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defaultThemeVersion="166925"/>
  <mc:AlternateContent xmlns:mc="http://schemas.openxmlformats.org/markup-compatibility/2006">
    <mc:Choice Requires="x15">
      <x15ac:absPath xmlns:x15ac="http://schemas.microsoft.com/office/spreadsheetml/2010/11/ac" url="C:\Users\Usuario\Documents\Scouts\"/>
    </mc:Choice>
  </mc:AlternateContent>
  <xr:revisionPtr revIDLastSave="0" documentId="8_{F5DDE239-3EC4-46FE-8766-E60F53694B61}" xr6:coauthVersionLast="45" xr6:coauthVersionMax="45" xr10:uidLastSave="{00000000-0000-0000-0000-000000000000}"/>
  <bookViews>
    <workbookView xWindow="-120" yWindow="-120" windowWidth="29040" windowHeight="15840" xr2:uid="{00000000-000D-0000-FFFF-FFFF00000000}"/>
  </bookViews>
  <sheets>
    <sheet name="TODOS" sheetId="1" r:id="rId1"/>
    <sheet name="NVScriptsProperties" sheetId="2" state="hidden" r:id="rId2"/>
    <sheet name="Listado Zonas Campamento" sheetId="3" r:id="rId3"/>
    <sheet name="Lista con link" sheetId="4" r:id="rId4"/>
    <sheet name="Provincias" sheetId="5" r:id="rId5"/>
    <sheet name="CCAA" sheetId="6" r:id="rId6"/>
    <sheet name="Andalucía" sheetId="7" r:id="rId7"/>
    <sheet name="Aragón OK" sheetId="8" r:id="rId8"/>
    <sheet name="Asturias OK" sheetId="9" r:id="rId9"/>
    <sheet name="ARAGÓN " sheetId="10" r:id="rId10"/>
    <sheet name="ASTURIAS" sheetId="11" r:id="rId11"/>
    <sheet name="CANTABRIA" sheetId="12" r:id="rId12"/>
    <sheet name="CASTILLA Y LEÓN" sheetId="13" r:id="rId13"/>
    <sheet name="CASTILLA LA MANCHA " sheetId="14" r:id="rId14"/>
    <sheet name="CATALUÑA" sheetId="15" r:id="rId15"/>
    <sheet name="EXTREMADURA" sheetId="16" r:id="rId16"/>
    <sheet name="EUSKADI" sheetId="17" r:id="rId17"/>
    <sheet name="GALICIA" sheetId="18" r:id="rId18"/>
    <sheet name="LA RIOJA" sheetId="19" r:id="rId19"/>
    <sheet name="MADRID " sheetId="20" r:id="rId20"/>
    <sheet name="VALENCIA" sheetId="21" r:id="rId21"/>
    <sheet name="EXTRANJERO" sheetId="22" r:id="rId22"/>
    <sheet name="AutoCrat Demo Merge Sheet" sheetId="23" r:id="rId23"/>
    <sheet name="DO NOT DELETE - AutoCrat Job Se" sheetId="24" state="hidden" r:id="rId24"/>
  </sheets>
  <definedNames>
    <definedName name="_xlnm._FilterDatabase" localSheetId="6" hidden="1">Andalucía!$A$1:$Z$1000</definedName>
    <definedName name="_xlnm._FilterDatabase" localSheetId="7" hidden="1">'Aragón OK'!$A$1:$Z$1000</definedName>
    <definedName name="_xlnm._FilterDatabase" localSheetId="8" hidden="1">'Asturias OK'!$A$1:$Z$1000</definedName>
    <definedName name="_xlnm._FilterDatabase" localSheetId="13" hidden="1">'CASTILLA LA MANCHA '!$A$1:$AG$15</definedName>
    <definedName name="_xlnm._FilterDatabase" localSheetId="12" hidden="1">'CASTILLA Y LEÓN'!$A$1:$AG$94</definedName>
    <definedName name="_xlnm._FilterDatabase" localSheetId="16" hidden="1">EUSKADI!$A$1:$X$6</definedName>
    <definedName name="_xlnm._FilterDatabase" localSheetId="15" hidden="1">EXTREMADURA!$A$1:$AJ$4</definedName>
    <definedName name="_xlnm._FilterDatabase" localSheetId="2" hidden="1">'Listado Zonas Campamento'!$A$1:$B$167</definedName>
    <definedName name="_xlnm._FilterDatabase" localSheetId="0" hidden="1">TODOS!$A$1:$AB$996</definedName>
    <definedName name="Z_0F678C3A_5D12_41A8_BF68_9E6665A16E2A_.wvu.FilterData" localSheetId="0" hidden="1">TODOS!$A$1:$AB$996</definedName>
    <definedName name="Z_53473762_ECDC_4927_A810_8ABCDB80B9C2_.wvu.FilterData" localSheetId="0" hidden="1">TODOS!$A$1:$AB$996</definedName>
    <definedName name="Z_5A6C87E1_05B0_4F28_B950_850C5D34FB1F_.wvu.FilterData" localSheetId="0" hidden="1">TODOS!$B$1:$Y$183</definedName>
    <definedName name="Z_5B7E39A5_18A3_49D5_B742_E4404BAA9F18_.wvu.FilterData" localSheetId="0" hidden="1">TODOS!$A$1:$AB$996</definedName>
    <definedName name="Z_7DCE6E51_8582_4522_BD0B_DE3453A0E856_.wvu.FilterData" localSheetId="0" hidden="1">TODOS!$A$1:$AB$996</definedName>
    <definedName name="Z_7E4AF731_FB9C_4D89_B079_C864922291DF_.wvu.FilterData" localSheetId="0" hidden="1">TODOS!$A$1:$AB$996</definedName>
    <definedName name="Z_8B217CDA_5FC0_4DC0_A5C9_05739CD87891_.wvu.FilterData" localSheetId="0" hidden="1">TODOS!$A$1:$AB$996</definedName>
    <definedName name="Z_8C607FB6_F711_4B5A_92A9_2E0A9536B036_.wvu.FilterData" localSheetId="0" hidden="1">TODOS!$A$1:$AB$996</definedName>
    <definedName name="Z_8FA3C542_0A72_4B1D_A595_BE7DA331998C_.wvu.FilterData" localSheetId="0" hidden="1">TODOS!$A$1:$AB$996</definedName>
    <definedName name="Z_C91E7C89_6E41_49F2_B9A4_206B89D7F3D4_.wvu.FilterData" localSheetId="0" hidden="1">TODOS!$A$1:$AB$996</definedName>
    <definedName name="Z_F98AEF2A_2F1D_4722_A9B1_E4EF0C4A0BA7_.wvu.FilterData" localSheetId="0" hidden="1">TODOS!$A$1:$AB$996</definedName>
  </definedNames>
  <calcPr calcId="191029"/>
  <customWorkbookViews>
    <customWorkbookView name="Ávila" guid="{7E4AF731-FB9C-4D89-B079-C864922291DF}" maximized="1" windowWidth="0" windowHeight="0" activeSheetId="0"/>
    <customWorkbookView name="Asturias" guid="{8FA3C542-0A72-4B1D-A595-BE7DA331998C}" maximized="1" windowWidth="0" windowHeight="0" activeSheetId="0"/>
    <customWorkbookView name="Cuenca" guid="{C91E7C89-6E41-49F2-B9A4-206B89D7F3D4}" maximized="1" windowWidth="0" windowHeight="0" activeSheetId="0"/>
    <customWorkbookView name="Granada" guid="{8C607FB6-F711-4B5A-92A9-2E0A9536B036}" maximized="1" windowWidth="0" windowHeight="0" activeSheetId="0"/>
    <customWorkbookView name="Cantabria" guid="{7DCE6E51-8582-4522-BD0B-DE3453A0E856}" maximized="1" windowWidth="0" windowHeight="0" activeSheetId="0"/>
    <customWorkbookView name="Burgos" guid="{0F678C3A-5D12-41A8-BF68-9E6665A16E2A}" maximized="1" windowWidth="0" windowHeight="0" activeSheetId="0"/>
    <customWorkbookView name="Cáceres" guid="{53473762-ECDC-4927-A810-8ABCDB80B9C2}" maximized="1" windowWidth="0" windowHeight="0" activeSheetId="0"/>
    <customWorkbookView name="A Coruña" guid="{F98AEF2A-2F1D-4722-A9B1-E4EF0C4A0BA7}" maximized="1" windowWidth="0" windowHeight="0" activeSheetId="0"/>
    <customWorkbookView name="Álava" guid="{8B217CDA-5FC0-4DC0-A5C9-05739CD87891}" maximized="1" windowWidth="0" windowHeight="0" activeSheetId="0"/>
    <customWorkbookView name="Fuera de España" guid="{5A6C87E1-05B0-4F28-B950-850C5D34FB1F}" maximized="1" windowWidth="0" windowHeight="0" activeSheetId="0"/>
    <customWorkbookView name="Albacete" guid="{5B7E39A5-18A3-49D5-B742-E4404BAA9F18}" maximized="1" windowWidth="0" windowHeight="0" activeSheetId="0"/>
  </customWorkbookViews>
  <pivotCaches>
    <pivotCache cacheId="7" r:id="rId2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2" i="23" l="1"/>
  <c r="K2" i="23"/>
  <c r="C5" i="21"/>
  <c r="C3" i="20"/>
  <c r="C4" i="20" s="1"/>
  <c r="C5" i="20" s="1"/>
  <c r="C9" i="18"/>
  <c r="C4" i="17"/>
  <c r="C9" i="14"/>
  <c r="C10" i="14" s="1"/>
  <c r="C3" i="14"/>
  <c r="C38" i="13"/>
  <c r="C39" i="13" s="1"/>
  <c r="C40" i="13" s="1"/>
  <c r="C37" i="13"/>
  <c r="C31" i="13"/>
  <c r="C32" i="13" s="1"/>
  <c r="C33" i="13" s="1"/>
  <c r="C30" i="13"/>
  <c r="C27" i="13"/>
  <c r="C28" i="13" s="1"/>
  <c r="C25" i="13"/>
  <c r="C20" i="13"/>
  <c r="C21" i="13" s="1"/>
  <c r="C22" i="13" s="1"/>
  <c r="C23" i="13" s="1"/>
  <c r="C16" i="13"/>
  <c r="C13" i="13"/>
  <c r="C14" i="13" s="1"/>
  <c r="C12" i="13"/>
  <c r="C11" i="13"/>
  <c r="C7" i="13"/>
  <c r="C8" i="13" s="1"/>
  <c r="C9" i="13" s="1"/>
  <c r="W900" i="9"/>
  <c r="V900" i="9"/>
  <c r="U900" i="9"/>
  <c r="T900" i="9"/>
  <c r="S900" i="9"/>
  <c r="R900" i="9"/>
  <c r="Q900" i="9"/>
  <c r="P900" i="9"/>
  <c r="O900" i="9"/>
  <c r="N900" i="9"/>
  <c r="M900" i="9"/>
  <c r="L900" i="9"/>
  <c r="K900" i="9"/>
  <c r="J900" i="9"/>
  <c r="I900" i="9"/>
  <c r="H900" i="9"/>
  <c r="G900" i="9"/>
  <c r="F900" i="9"/>
  <c r="E900" i="9"/>
  <c r="D900" i="9"/>
  <c r="C900" i="9"/>
  <c r="B900" i="9"/>
  <c r="A900" i="9"/>
  <c r="W899" i="9"/>
  <c r="V899" i="9"/>
  <c r="U899" i="9"/>
  <c r="T899" i="9"/>
  <c r="S899" i="9"/>
  <c r="R899" i="9"/>
  <c r="Q899" i="9"/>
  <c r="P899" i="9"/>
  <c r="O899" i="9"/>
  <c r="N899" i="9"/>
  <c r="M899" i="9"/>
  <c r="L899" i="9"/>
  <c r="K899" i="9"/>
  <c r="J899" i="9"/>
  <c r="I899" i="9"/>
  <c r="H899" i="9"/>
  <c r="G899" i="9"/>
  <c r="F899" i="9"/>
  <c r="E899" i="9"/>
  <c r="D899" i="9"/>
  <c r="C899" i="9"/>
  <c r="B899" i="9"/>
  <c r="A899" i="9"/>
  <c r="W898" i="9"/>
  <c r="V898" i="9"/>
  <c r="U898" i="9"/>
  <c r="T898" i="9"/>
  <c r="S898" i="9"/>
  <c r="R898" i="9"/>
  <c r="Q898" i="9"/>
  <c r="P898" i="9"/>
  <c r="O898" i="9"/>
  <c r="N898" i="9"/>
  <c r="M898" i="9"/>
  <c r="L898" i="9"/>
  <c r="K898" i="9"/>
  <c r="J898" i="9"/>
  <c r="I898" i="9"/>
  <c r="H898" i="9"/>
  <c r="G898" i="9"/>
  <c r="F898" i="9"/>
  <c r="E898" i="9"/>
  <c r="D898" i="9"/>
  <c r="C898" i="9"/>
  <c r="B898" i="9"/>
  <c r="A898" i="9"/>
  <c r="W897" i="9"/>
  <c r="V897" i="9"/>
  <c r="U897" i="9"/>
  <c r="T897" i="9"/>
  <c r="S897" i="9"/>
  <c r="R897" i="9"/>
  <c r="Q897" i="9"/>
  <c r="P897" i="9"/>
  <c r="O897" i="9"/>
  <c r="N897" i="9"/>
  <c r="M897" i="9"/>
  <c r="L897" i="9"/>
  <c r="K897" i="9"/>
  <c r="J897" i="9"/>
  <c r="I897" i="9"/>
  <c r="H897" i="9"/>
  <c r="G897" i="9"/>
  <c r="F897" i="9"/>
  <c r="E897" i="9"/>
  <c r="D897" i="9"/>
  <c r="C897" i="9"/>
  <c r="B897" i="9"/>
  <c r="A897" i="9"/>
  <c r="W896" i="9"/>
  <c r="V896" i="9"/>
  <c r="U896" i="9"/>
  <c r="T896" i="9"/>
  <c r="S896" i="9"/>
  <c r="R896" i="9"/>
  <c r="Q896" i="9"/>
  <c r="P896" i="9"/>
  <c r="O896" i="9"/>
  <c r="N896" i="9"/>
  <c r="M896" i="9"/>
  <c r="L896" i="9"/>
  <c r="K896" i="9"/>
  <c r="J896" i="9"/>
  <c r="I896" i="9"/>
  <c r="H896" i="9"/>
  <c r="G896" i="9"/>
  <c r="F896" i="9"/>
  <c r="E896" i="9"/>
  <c r="D896" i="9"/>
  <c r="C896" i="9"/>
  <c r="B896" i="9"/>
  <c r="A896" i="9"/>
  <c r="W895" i="9"/>
  <c r="V895" i="9"/>
  <c r="U895" i="9"/>
  <c r="T895" i="9"/>
  <c r="S895" i="9"/>
  <c r="R895" i="9"/>
  <c r="Q895" i="9"/>
  <c r="P895" i="9"/>
  <c r="O895" i="9"/>
  <c r="N895" i="9"/>
  <c r="M895" i="9"/>
  <c r="L895" i="9"/>
  <c r="K895" i="9"/>
  <c r="J895" i="9"/>
  <c r="I895" i="9"/>
  <c r="H895" i="9"/>
  <c r="G895" i="9"/>
  <c r="F895" i="9"/>
  <c r="E895" i="9"/>
  <c r="D895" i="9"/>
  <c r="C895" i="9"/>
  <c r="B895" i="9"/>
  <c r="A895" i="9"/>
  <c r="W894" i="9"/>
  <c r="V894" i="9"/>
  <c r="U894" i="9"/>
  <c r="T894" i="9"/>
  <c r="S894" i="9"/>
  <c r="R894" i="9"/>
  <c r="Q894" i="9"/>
  <c r="P894" i="9"/>
  <c r="O894" i="9"/>
  <c r="N894" i="9"/>
  <c r="M894" i="9"/>
  <c r="L894" i="9"/>
  <c r="K894" i="9"/>
  <c r="J894" i="9"/>
  <c r="I894" i="9"/>
  <c r="H894" i="9"/>
  <c r="G894" i="9"/>
  <c r="F894" i="9"/>
  <c r="E894" i="9"/>
  <c r="D894" i="9"/>
  <c r="C894" i="9"/>
  <c r="B894" i="9"/>
  <c r="A894" i="9"/>
  <c r="W893" i="9"/>
  <c r="V893" i="9"/>
  <c r="U893" i="9"/>
  <c r="T893" i="9"/>
  <c r="S893" i="9"/>
  <c r="R893" i="9"/>
  <c r="Q893" i="9"/>
  <c r="P893" i="9"/>
  <c r="O893" i="9"/>
  <c r="N893" i="9"/>
  <c r="M893" i="9"/>
  <c r="L893" i="9"/>
  <c r="K893" i="9"/>
  <c r="J893" i="9"/>
  <c r="I893" i="9"/>
  <c r="H893" i="9"/>
  <c r="G893" i="9"/>
  <c r="F893" i="9"/>
  <c r="E893" i="9"/>
  <c r="D893" i="9"/>
  <c r="C893" i="9"/>
  <c r="B893" i="9"/>
  <c r="A893" i="9"/>
  <c r="W892" i="9"/>
  <c r="V892" i="9"/>
  <c r="U892" i="9"/>
  <c r="T892" i="9"/>
  <c r="S892" i="9"/>
  <c r="R892" i="9"/>
  <c r="Q892" i="9"/>
  <c r="P892" i="9"/>
  <c r="O892" i="9"/>
  <c r="N892" i="9"/>
  <c r="M892" i="9"/>
  <c r="L892" i="9"/>
  <c r="K892" i="9"/>
  <c r="J892" i="9"/>
  <c r="I892" i="9"/>
  <c r="H892" i="9"/>
  <c r="G892" i="9"/>
  <c r="F892" i="9"/>
  <c r="E892" i="9"/>
  <c r="D892" i="9"/>
  <c r="C892" i="9"/>
  <c r="B892" i="9"/>
  <c r="A892" i="9"/>
  <c r="W891" i="9"/>
  <c r="V891" i="9"/>
  <c r="U891" i="9"/>
  <c r="T891" i="9"/>
  <c r="S891" i="9"/>
  <c r="R891" i="9"/>
  <c r="Q891" i="9"/>
  <c r="P891" i="9"/>
  <c r="O891" i="9"/>
  <c r="N891" i="9"/>
  <c r="M891" i="9"/>
  <c r="L891" i="9"/>
  <c r="K891" i="9"/>
  <c r="J891" i="9"/>
  <c r="I891" i="9"/>
  <c r="H891" i="9"/>
  <c r="G891" i="9"/>
  <c r="F891" i="9"/>
  <c r="E891" i="9"/>
  <c r="D891" i="9"/>
  <c r="C891" i="9"/>
  <c r="B891" i="9"/>
  <c r="A891" i="9"/>
  <c r="W890" i="9"/>
  <c r="V890" i="9"/>
  <c r="U890" i="9"/>
  <c r="T890" i="9"/>
  <c r="S890" i="9"/>
  <c r="R890" i="9"/>
  <c r="Q890" i="9"/>
  <c r="P890" i="9"/>
  <c r="O890" i="9"/>
  <c r="N890" i="9"/>
  <c r="M890" i="9"/>
  <c r="L890" i="9"/>
  <c r="K890" i="9"/>
  <c r="J890" i="9"/>
  <c r="I890" i="9"/>
  <c r="H890" i="9"/>
  <c r="G890" i="9"/>
  <c r="F890" i="9"/>
  <c r="E890" i="9"/>
  <c r="D890" i="9"/>
  <c r="C890" i="9"/>
  <c r="B890" i="9"/>
  <c r="A890" i="9"/>
  <c r="W889" i="9"/>
  <c r="V889" i="9"/>
  <c r="U889" i="9"/>
  <c r="T889" i="9"/>
  <c r="S889" i="9"/>
  <c r="R889" i="9"/>
  <c r="Q889" i="9"/>
  <c r="P889" i="9"/>
  <c r="O889" i="9"/>
  <c r="N889" i="9"/>
  <c r="M889" i="9"/>
  <c r="L889" i="9"/>
  <c r="K889" i="9"/>
  <c r="J889" i="9"/>
  <c r="I889" i="9"/>
  <c r="H889" i="9"/>
  <c r="G889" i="9"/>
  <c r="F889" i="9"/>
  <c r="E889" i="9"/>
  <c r="D889" i="9"/>
  <c r="C889" i="9"/>
  <c r="B889" i="9"/>
  <c r="A889" i="9"/>
  <c r="W888" i="9"/>
  <c r="V888" i="9"/>
  <c r="U888" i="9"/>
  <c r="T888" i="9"/>
  <c r="S888" i="9"/>
  <c r="R888" i="9"/>
  <c r="Q888" i="9"/>
  <c r="P888" i="9"/>
  <c r="O888" i="9"/>
  <c r="N888" i="9"/>
  <c r="M888" i="9"/>
  <c r="L888" i="9"/>
  <c r="K888" i="9"/>
  <c r="J888" i="9"/>
  <c r="I888" i="9"/>
  <c r="H888" i="9"/>
  <c r="G888" i="9"/>
  <c r="F888" i="9"/>
  <c r="E888" i="9"/>
  <c r="D888" i="9"/>
  <c r="C888" i="9"/>
  <c r="B888" i="9"/>
  <c r="A888" i="9"/>
  <c r="W887" i="9"/>
  <c r="V887" i="9"/>
  <c r="U887" i="9"/>
  <c r="T887" i="9"/>
  <c r="S887" i="9"/>
  <c r="R887" i="9"/>
  <c r="Q887" i="9"/>
  <c r="P887" i="9"/>
  <c r="O887" i="9"/>
  <c r="N887" i="9"/>
  <c r="M887" i="9"/>
  <c r="L887" i="9"/>
  <c r="K887" i="9"/>
  <c r="J887" i="9"/>
  <c r="I887" i="9"/>
  <c r="H887" i="9"/>
  <c r="G887" i="9"/>
  <c r="F887" i="9"/>
  <c r="E887" i="9"/>
  <c r="D887" i="9"/>
  <c r="C887" i="9"/>
  <c r="B887" i="9"/>
  <c r="A887" i="9"/>
  <c r="W886" i="9"/>
  <c r="V886" i="9"/>
  <c r="U886" i="9"/>
  <c r="T886" i="9"/>
  <c r="S886" i="9"/>
  <c r="R886" i="9"/>
  <c r="Q886" i="9"/>
  <c r="P886" i="9"/>
  <c r="O886" i="9"/>
  <c r="N886" i="9"/>
  <c r="M886" i="9"/>
  <c r="L886" i="9"/>
  <c r="K886" i="9"/>
  <c r="J886" i="9"/>
  <c r="I886" i="9"/>
  <c r="H886" i="9"/>
  <c r="G886" i="9"/>
  <c r="F886" i="9"/>
  <c r="E886" i="9"/>
  <c r="D886" i="9"/>
  <c r="C886" i="9"/>
  <c r="B886" i="9"/>
  <c r="A886" i="9"/>
  <c r="W885" i="9"/>
  <c r="V885" i="9"/>
  <c r="U885" i="9"/>
  <c r="T885" i="9"/>
  <c r="S885" i="9"/>
  <c r="R885" i="9"/>
  <c r="Q885" i="9"/>
  <c r="P885" i="9"/>
  <c r="O885" i="9"/>
  <c r="N885" i="9"/>
  <c r="M885" i="9"/>
  <c r="L885" i="9"/>
  <c r="K885" i="9"/>
  <c r="J885" i="9"/>
  <c r="I885" i="9"/>
  <c r="H885" i="9"/>
  <c r="G885" i="9"/>
  <c r="F885" i="9"/>
  <c r="E885" i="9"/>
  <c r="D885" i="9"/>
  <c r="C885" i="9"/>
  <c r="B885" i="9"/>
  <c r="A885" i="9"/>
  <c r="W884" i="9"/>
  <c r="V884" i="9"/>
  <c r="U884" i="9"/>
  <c r="T884" i="9"/>
  <c r="S884" i="9"/>
  <c r="R884" i="9"/>
  <c r="Q884" i="9"/>
  <c r="P884" i="9"/>
  <c r="O884" i="9"/>
  <c r="N884" i="9"/>
  <c r="M884" i="9"/>
  <c r="L884" i="9"/>
  <c r="K884" i="9"/>
  <c r="J884" i="9"/>
  <c r="I884" i="9"/>
  <c r="H884" i="9"/>
  <c r="G884" i="9"/>
  <c r="F884" i="9"/>
  <c r="E884" i="9"/>
  <c r="D884" i="9"/>
  <c r="C884" i="9"/>
  <c r="B884" i="9"/>
  <c r="A884" i="9"/>
  <c r="W883" i="9"/>
  <c r="V883" i="9"/>
  <c r="U883" i="9"/>
  <c r="T883" i="9"/>
  <c r="S883" i="9"/>
  <c r="R883" i="9"/>
  <c r="Q883" i="9"/>
  <c r="P883" i="9"/>
  <c r="O883" i="9"/>
  <c r="N883" i="9"/>
  <c r="M883" i="9"/>
  <c r="L883" i="9"/>
  <c r="K883" i="9"/>
  <c r="J883" i="9"/>
  <c r="I883" i="9"/>
  <c r="H883" i="9"/>
  <c r="G883" i="9"/>
  <c r="F883" i="9"/>
  <c r="E883" i="9"/>
  <c r="D883" i="9"/>
  <c r="C883" i="9"/>
  <c r="B883" i="9"/>
  <c r="A883" i="9"/>
  <c r="W882" i="9"/>
  <c r="V882" i="9"/>
  <c r="U882" i="9"/>
  <c r="T882" i="9"/>
  <c r="S882" i="9"/>
  <c r="R882" i="9"/>
  <c r="Q882" i="9"/>
  <c r="P882" i="9"/>
  <c r="O882" i="9"/>
  <c r="N882" i="9"/>
  <c r="M882" i="9"/>
  <c r="L882" i="9"/>
  <c r="K882" i="9"/>
  <c r="J882" i="9"/>
  <c r="I882" i="9"/>
  <c r="H882" i="9"/>
  <c r="G882" i="9"/>
  <c r="F882" i="9"/>
  <c r="E882" i="9"/>
  <c r="D882" i="9"/>
  <c r="C882" i="9"/>
  <c r="B882" i="9"/>
  <c r="A882" i="9"/>
  <c r="W881" i="9"/>
  <c r="V881" i="9"/>
  <c r="U881" i="9"/>
  <c r="T881" i="9"/>
  <c r="S881" i="9"/>
  <c r="R881" i="9"/>
  <c r="Q881" i="9"/>
  <c r="P881" i="9"/>
  <c r="O881" i="9"/>
  <c r="N881" i="9"/>
  <c r="M881" i="9"/>
  <c r="L881" i="9"/>
  <c r="K881" i="9"/>
  <c r="J881" i="9"/>
  <c r="I881" i="9"/>
  <c r="H881" i="9"/>
  <c r="G881" i="9"/>
  <c r="F881" i="9"/>
  <c r="E881" i="9"/>
  <c r="D881" i="9"/>
  <c r="C881" i="9"/>
  <c r="B881" i="9"/>
  <c r="A881" i="9"/>
  <c r="W880" i="9"/>
  <c r="V880" i="9"/>
  <c r="U880" i="9"/>
  <c r="T880" i="9"/>
  <c r="S880" i="9"/>
  <c r="R880" i="9"/>
  <c r="Q880" i="9"/>
  <c r="P880" i="9"/>
  <c r="O880" i="9"/>
  <c r="N880" i="9"/>
  <c r="M880" i="9"/>
  <c r="L880" i="9"/>
  <c r="K880" i="9"/>
  <c r="J880" i="9"/>
  <c r="I880" i="9"/>
  <c r="H880" i="9"/>
  <c r="G880" i="9"/>
  <c r="F880" i="9"/>
  <c r="E880" i="9"/>
  <c r="D880" i="9"/>
  <c r="C880" i="9"/>
  <c r="B880" i="9"/>
  <c r="A880" i="9"/>
  <c r="W879" i="9"/>
  <c r="V879" i="9"/>
  <c r="U879" i="9"/>
  <c r="T879" i="9"/>
  <c r="S879" i="9"/>
  <c r="R879" i="9"/>
  <c r="Q879" i="9"/>
  <c r="P879" i="9"/>
  <c r="O879" i="9"/>
  <c r="N879" i="9"/>
  <c r="M879" i="9"/>
  <c r="L879" i="9"/>
  <c r="K879" i="9"/>
  <c r="J879" i="9"/>
  <c r="I879" i="9"/>
  <c r="H879" i="9"/>
  <c r="G879" i="9"/>
  <c r="F879" i="9"/>
  <c r="E879" i="9"/>
  <c r="D879" i="9"/>
  <c r="C879" i="9"/>
  <c r="B879" i="9"/>
  <c r="A879" i="9"/>
  <c r="W878" i="9"/>
  <c r="V878" i="9"/>
  <c r="U878" i="9"/>
  <c r="T878" i="9"/>
  <c r="S878" i="9"/>
  <c r="R878" i="9"/>
  <c r="Q878" i="9"/>
  <c r="P878" i="9"/>
  <c r="O878" i="9"/>
  <c r="N878" i="9"/>
  <c r="M878" i="9"/>
  <c r="L878" i="9"/>
  <c r="K878" i="9"/>
  <c r="J878" i="9"/>
  <c r="I878" i="9"/>
  <c r="H878" i="9"/>
  <c r="G878" i="9"/>
  <c r="F878" i="9"/>
  <c r="E878" i="9"/>
  <c r="D878" i="9"/>
  <c r="C878" i="9"/>
  <c r="B878" i="9"/>
  <c r="A878" i="9"/>
  <c r="W877" i="9"/>
  <c r="V877" i="9"/>
  <c r="U877" i="9"/>
  <c r="T877" i="9"/>
  <c r="S877" i="9"/>
  <c r="R877" i="9"/>
  <c r="Q877" i="9"/>
  <c r="P877" i="9"/>
  <c r="O877" i="9"/>
  <c r="N877" i="9"/>
  <c r="M877" i="9"/>
  <c r="L877" i="9"/>
  <c r="K877" i="9"/>
  <c r="J877" i="9"/>
  <c r="I877" i="9"/>
  <c r="H877" i="9"/>
  <c r="G877" i="9"/>
  <c r="F877" i="9"/>
  <c r="E877" i="9"/>
  <c r="D877" i="9"/>
  <c r="C877" i="9"/>
  <c r="B877" i="9"/>
  <c r="A877" i="9"/>
  <c r="W876" i="9"/>
  <c r="V876" i="9"/>
  <c r="U876" i="9"/>
  <c r="T876" i="9"/>
  <c r="S876" i="9"/>
  <c r="R876" i="9"/>
  <c r="Q876" i="9"/>
  <c r="P876" i="9"/>
  <c r="O876" i="9"/>
  <c r="N876" i="9"/>
  <c r="M876" i="9"/>
  <c r="L876" i="9"/>
  <c r="K876" i="9"/>
  <c r="J876" i="9"/>
  <c r="I876" i="9"/>
  <c r="H876" i="9"/>
  <c r="G876" i="9"/>
  <c r="F876" i="9"/>
  <c r="E876" i="9"/>
  <c r="D876" i="9"/>
  <c r="C876" i="9"/>
  <c r="B876" i="9"/>
  <c r="A876" i="9"/>
  <c r="W875" i="9"/>
  <c r="V875" i="9"/>
  <c r="U875" i="9"/>
  <c r="T875" i="9"/>
  <c r="S875" i="9"/>
  <c r="R875" i="9"/>
  <c r="Q875" i="9"/>
  <c r="P875" i="9"/>
  <c r="O875" i="9"/>
  <c r="N875" i="9"/>
  <c r="M875" i="9"/>
  <c r="L875" i="9"/>
  <c r="K875" i="9"/>
  <c r="J875" i="9"/>
  <c r="I875" i="9"/>
  <c r="H875" i="9"/>
  <c r="G875" i="9"/>
  <c r="F875" i="9"/>
  <c r="E875" i="9"/>
  <c r="D875" i="9"/>
  <c r="C875" i="9"/>
  <c r="B875" i="9"/>
  <c r="A875" i="9"/>
  <c r="W874" i="9"/>
  <c r="V874" i="9"/>
  <c r="U874" i="9"/>
  <c r="T874" i="9"/>
  <c r="S874" i="9"/>
  <c r="R874" i="9"/>
  <c r="Q874" i="9"/>
  <c r="P874" i="9"/>
  <c r="O874" i="9"/>
  <c r="N874" i="9"/>
  <c r="M874" i="9"/>
  <c r="L874" i="9"/>
  <c r="K874" i="9"/>
  <c r="J874" i="9"/>
  <c r="I874" i="9"/>
  <c r="H874" i="9"/>
  <c r="G874" i="9"/>
  <c r="F874" i="9"/>
  <c r="E874" i="9"/>
  <c r="D874" i="9"/>
  <c r="C874" i="9"/>
  <c r="B874" i="9"/>
  <c r="A874" i="9"/>
  <c r="W873" i="9"/>
  <c r="V873" i="9"/>
  <c r="U873" i="9"/>
  <c r="T873" i="9"/>
  <c r="S873" i="9"/>
  <c r="R873" i="9"/>
  <c r="Q873" i="9"/>
  <c r="P873" i="9"/>
  <c r="O873" i="9"/>
  <c r="N873" i="9"/>
  <c r="M873" i="9"/>
  <c r="L873" i="9"/>
  <c r="K873" i="9"/>
  <c r="J873" i="9"/>
  <c r="I873" i="9"/>
  <c r="H873" i="9"/>
  <c r="G873" i="9"/>
  <c r="F873" i="9"/>
  <c r="E873" i="9"/>
  <c r="D873" i="9"/>
  <c r="C873" i="9"/>
  <c r="B873" i="9"/>
  <c r="A873" i="9"/>
  <c r="W872" i="9"/>
  <c r="V872" i="9"/>
  <c r="U872" i="9"/>
  <c r="T872" i="9"/>
  <c r="S872" i="9"/>
  <c r="R872" i="9"/>
  <c r="Q872" i="9"/>
  <c r="P872" i="9"/>
  <c r="O872" i="9"/>
  <c r="N872" i="9"/>
  <c r="M872" i="9"/>
  <c r="L872" i="9"/>
  <c r="K872" i="9"/>
  <c r="J872" i="9"/>
  <c r="I872" i="9"/>
  <c r="H872" i="9"/>
  <c r="G872" i="9"/>
  <c r="F872" i="9"/>
  <c r="E872" i="9"/>
  <c r="D872" i="9"/>
  <c r="C872" i="9"/>
  <c r="B872" i="9"/>
  <c r="A872" i="9"/>
  <c r="W871" i="9"/>
  <c r="V871" i="9"/>
  <c r="U871" i="9"/>
  <c r="T871" i="9"/>
  <c r="S871" i="9"/>
  <c r="R871" i="9"/>
  <c r="Q871" i="9"/>
  <c r="P871" i="9"/>
  <c r="O871" i="9"/>
  <c r="N871" i="9"/>
  <c r="M871" i="9"/>
  <c r="L871" i="9"/>
  <c r="K871" i="9"/>
  <c r="J871" i="9"/>
  <c r="I871" i="9"/>
  <c r="H871" i="9"/>
  <c r="G871" i="9"/>
  <c r="F871" i="9"/>
  <c r="E871" i="9"/>
  <c r="D871" i="9"/>
  <c r="C871" i="9"/>
  <c r="B871" i="9"/>
  <c r="A871" i="9"/>
  <c r="W870" i="9"/>
  <c r="V870" i="9"/>
  <c r="U870" i="9"/>
  <c r="T870" i="9"/>
  <c r="S870" i="9"/>
  <c r="R870" i="9"/>
  <c r="Q870" i="9"/>
  <c r="P870" i="9"/>
  <c r="O870" i="9"/>
  <c r="N870" i="9"/>
  <c r="M870" i="9"/>
  <c r="L870" i="9"/>
  <c r="K870" i="9"/>
  <c r="J870" i="9"/>
  <c r="I870" i="9"/>
  <c r="H870" i="9"/>
  <c r="G870" i="9"/>
  <c r="F870" i="9"/>
  <c r="E870" i="9"/>
  <c r="D870" i="9"/>
  <c r="C870" i="9"/>
  <c r="B870" i="9"/>
  <c r="A870" i="9"/>
  <c r="W869" i="9"/>
  <c r="V869" i="9"/>
  <c r="U869" i="9"/>
  <c r="T869" i="9"/>
  <c r="S869" i="9"/>
  <c r="R869" i="9"/>
  <c r="Q869" i="9"/>
  <c r="P869" i="9"/>
  <c r="O869" i="9"/>
  <c r="N869" i="9"/>
  <c r="M869" i="9"/>
  <c r="L869" i="9"/>
  <c r="K869" i="9"/>
  <c r="J869" i="9"/>
  <c r="I869" i="9"/>
  <c r="H869" i="9"/>
  <c r="G869" i="9"/>
  <c r="F869" i="9"/>
  <c r="E869" i="9"/>
  <c r="D869" i="9"/>
  <c r="C869" i="9"/>
  <c r="B869" i="9"/>
  <c r="A869" i="9"/>
  <c r="W868" i="9"/>
  <c r="V868" i="9"/>
  <c r="U868" i="9"/>
  <c r="T868" i="9"/>
  <c r="S868" i="9"/>
  <c r="R868" i="9"/>
  <c r="Q868" i="9"/>
  <c r="P868" i="9"/>
  <c r="O868" i="9"/>
  <c r="N868" i="9"/>
  <c r="M868" i="9"/>
  <c r="L868" i="9"/>
  <c r="K868" i="9"/>
  <c r="J868" i="9"/>
  <c r="I868" i="9"/>
  <c r="H868" i="9"/>
  <c r="G868" i="9"/>
  <c r="F868" i="9"/>
  <c r="E868" i="9"/>
  <c r="D868" i="9"/>
  <c r="C868" i="9"/>
  <c r="B868" i="9"/>
  <c r="A868" i="9"/>
  <c r="W867" i="9"/>
  <c r="V867" i="9"/>
  <c r="U867" i="9"/>
  <c r="T867" i="9"/>
  <c r="S867" i="9"/>
  <c r="R867" i="9"/>
  <c r="Q867" i="9"/>
  <c r="P867" i="9"/>
  <c r="O867" i="9"/>
  <c r="N867" i="9"/>
  <c r="M867" i="9"/>
  <c r="L867" i="9"/>
  <c r="K867" i="9"/>
  <c r="J867" i="9"/>
  <c r="I867" i="9"/>
  <c r="H867" i="9"/>
  <c r="G867" i="9"/>
  <c r="F867" i="9"/>
  <c r="E867" i="9"/>
  <c r="D867" i="9"/>
  <c r="C867" i="9"/>
  <c r="B867" i="9"/>
  <c r="A867" i="9"/>
  <c r="W866" i="9"/>
  <c r="V866" i="9"/>
  <c r="U866" i="9"/>
  <c r="T866" i="9"/>
  <c r="S866" i="9"/>
  <c r="R866" i="9"/>
  <c r="Q866" i="9"/>
  <c r="P866" i="9"/>
  <c r="O866" i="9"/>
  <c r="N866" i="9"/>
  <c r="M866" i="9"/>
  <c r="L866" i="9"/>
  <c r="K866" i="9"/>
  <c r="J866" i="9"/>
  <c r="I866" i="9"/>
  <c r="H866" i="9"/>
  <c r="G866" i="9"/>
  <c r="F866" i="9"/>
  <c r="E866" i="9"/>
  <c r="D866" i="9"/>
  <c r="C866" i="9"/>
  <c r="B866" i="9"/>
  <c r="A866" i="9"/>
  <c r="W865" i="9"/>
  <c r="V865" i="9"/>
  <c r="U865" i="9"/>
  <c r="T865" i="9"/>
  <c r="S865" i="9"/>
  <c r="R865" i="9"/>
  <c r="Q865" i="9"/>
  <c r="P865" i="9"/>
  <c r="O865" i="9"/>
  <c r="N865" i="9"/>
  <c r="M865" i="9"/>
  <c r="L865" i="9"/>
  <c r="K865" i="9"/>
  <c r="J865" i="9"/>
  <c r="I865" i="9"/>
  <c r="H865" i="9"/>
  <c r="G865" i="9"/>
  <c r="F865" i="9"/>
  <c r="E865" i="9"/>
  <c r="D865" i="9"/>
  <c r="C865" i="9"/>
  <c r="B865" i="9"/>
  <c r="A865" i="9"/>
  <c r="W864" i="9"/>
  <c r="V864" i="9"/>
  <c r="U864" i="9"/>
  <c r="T864" i="9"/>
  <c r="S864" i="9"/>
  <c r="R864" i="9"/>
  <c r="Q864" i="9"/>
  <c r="P864" i="9"/>
  <c r="O864" i="9"/>
  <c r="N864" i="9"/>
  <c r="M864" i="9"/>
  <c r="L864" i="9"/>
  <c r="K864" i="9"/>
  <c r="J864" i="9"/>
  <c r="I864" i="9"/>
  <c r="H864" i="9"/>
  <c r="G864" i="9"/>
  <c r="F864" i="9"/>
  <c r="E864" i="9"/>
  <c r="D864" i="9"/>
  <c r="C864" i="9"/>
  <c r="B864" i="9"/>
  <c r="A864" i="9"/>
  <c r="W863" i="9"/>
  <c r="V863" i="9"/>
  <c r="U863" i="9"/>
  <c r="T863" i="9"/>
  <c r="S863" i="9"/>
  <c r="R863" i="9"/>
  <c r="Q863" i="9"/>
  <c r="P863" i="9"/>
  <c r="O863" i="9"/>
  <c r="N863" i="9"/>
  <c r="M863" i="9"/>
  <c r="L863" i="9"/>
  <c r="K863" i="9"/>
  <c r="J863" i="9"/>
  <c r="I863" i="9"/>
  <c r="H863" i="9"/>
  <c r="G863" i="9"/>
  <c r="F863" i="9"/>
  <c r="E863" i="9"/>
  <c r="D863" i="9"/>
  <c r="C863" i="9"/>
  <c r="B863" i="9"/>
  <c r="A863" i="9"/>
  <c r="W862" i="9"/>
  <c r="V862" i="9"/>
  <c r="U862" i="9"/>
  <c r="T862" i="9"/>
  <c r="S862" i="9"/>
  <c r="R862" i="9"/>
  <c r="Q862" i="9"/>
  <c r="P862" i="9"/>
  <c r="O862" i="9"/>
  <c r="N862" i="9"/>
  <c r="M862" i="9"/>
  <c r="L862" i="9"/>
  <c r="K862" i="9"/>
  <c r="J862" i="9"/>
  <c r="I862" i="9"/>
  <c r="H862" i="9"/>
  <c r="G862" i="9"/>
  <c r="F862" i="9"/>
  <c r="E862" i="9"/>
  <c r="D862" i="9"/>
  <c r="C862" i="9"/>
  <c r="B862" i="9"/>
  <c r="A862" i="9"/>
  <c r="W861" i="9"/>
  <c r="V861" i="9"/>
  <c r="U861" i="9"/>
  <c r="T861" i="9"/>
  <c r="S861" i="9"/>
  <c r="R861" i="9"/>
  <c r="Q861" i="9"/>
  <c r="P861" i="9"/>
  <c r="O861" i="9"/>
  <c r="N861" i="9"/>
  <c r="M861" i="9"/>
  <c r="L861" i="9"/>
  <c r="K861" i="9"/>
  <c r="J861" i="9"/>
  <c r="I861" i="9"/>
  <c r="H861" i="9"/>
  <c r="G861" i="9"/>
  <c r="F861" i="9"/>
  <c r="E861" i="9"/>
  <c r="D861" i="9"/>
  <c r="C861" i="9"/>
  <c r="B861" i="9"/>
  <c r="A861" i="9"/>
  <c r="W860" i="9"/>
  <c r="V860" i="9"/>
  <c r="U860" i="9"/>
  <c r="T860" i="9"/>
  <c r="S860" i="9"/>
  <c r="R860" i="9"/>
  <c r="Q860" i="9"/>
  <c r="P860" i="9"/>
  <c r="O860" i="9"/>
  <c r="N860" i="9"/>
  <c r="M860" i="9"/>
  <c r="L860" i="9"/>
  <c r="K860" i="9"/>
  <c r="J860" i="9"/>
  <c r="I860" i="9"/>
  <c r="H860" i="9"/>
  <c r="G860" i="9"/>
  <c r="F860" i="9"/>
  <c r="E860" i="9"/>
  <c r="D860" i="9"/>
  <c r="C860" i="9"/>
  <c r="B860" i="9"/>
  <c r="A860" i="9"/>
  <c r="W859" i="9"/>
  <c r="V859" i="9"/>
  <c r="U859" i="9"/>
  <c r="T859" i="9"/>
  <c r="S859" i="9"/>
  <c r="R859" i="9"/>
  <c r="Q859" i="9"/>
  <c r="P859" i="9"/>
  <c r="O859" i="9"/>
  <c r="N859" i="9"/>
  <c r="M859" i="9"/>
  <c r="L859" i="9"/>
  <c r="K859" i="9"/>
  <c r="J859" i="9"/>
  <c r="I859" i="9"/>
  <c r="H859" i="9"/>
  <c r="G859" i="9"/>
  <c r="F859" i="9"/>
  <c r="E859" i="9"/>
  <c r="D859" i="9"/>
  <c r="C859" i="9"/>
  <c r="B859" i="9"/>
  <c r="A859" i="9"/>
  <c r="W858" i="9"/>
  <c r="V858" i="9"/>
  <c r="U858" i="9"/>
  <c r="T858" i="9"/>
  <c r="S858" i="9"/>
  <c r="R858" i="9"/>
  <c r="Q858" i="9"/>
  <c r="P858" i="9"/>
  <c r="O858" i="9"/>
  <c r="N858" i="9"/>
  <c r="M858" i="9"/>
  <c r="L858" i="9"/>
  <c r="K858" i="9"/>
  <c r="J858" i="9"/>
  <c r="I858" i="9"/>
  <c r="H858" i="9"/>
  <c r="G858" i="9"/>
  <c r="F858" i="9"/>
  <c r="E858" i="9"/>
  <c r="D858" i="9"/>
  <c r="C858" i="9"/>
  <c r="B858" i="9"/>
  <c r="A858" i="9"/>
  <c r="W857" i="9"/>
  <c r="V857" i="9"/>
  <c r="U857" i="9"/>
  <c r="T857" i="9"/>
  <c r="S857" i="9"/>
  <c r="R857" i="9"/>
  <c r="Q857" i="9"/>
  <c r="P857" i="9"/>
  <c r="O857" i="9"/>
  <c r="N857" i="9"/>
  <c r="M857" i="9"/>
  <c r="L857" i="9"/>
  <c r="K857" i="9"/>
  <c r="J857" i="9"/>
  <c r="I857" i="9"/>
  <c r="H857" i="9"/>
  <c r="G857" i="9"/>
  <c r="F857" i="9"/>
  <c r="E857" i="9"/>
  <c r="D857" i="9"/>
  <c r="C857" i="9"/>
  <c r="B857" i="9"/>
  <c r="A857" i="9"/>
  <c r="W856" i="9"/>
  <c r="V856" i="9"/>
  <c r="U856" i="9"/>
  <c r="T856" i="9"/>
  <c r="S856" i="9"/>
  <c r="R856" i="9"/>
  <c r="Q856" i="9"/>
  <c r="P856" i="9"/>
  <c r="O856" i="9"/>
  <c r="N856" i="9"/>
  <c r="M856" i="9"/>
  <c r="L856" i="9"/>
  <c r="K856" i="9"/>
  <c r="J856" i="9"/>
  <c r="I856" i="9"/>
  <c r="H856" i="9"/>
  <c r="G856" i="9"/>
  <c r="F856" i="9"/>
  <c r="E856" i="9"/>
  <c r="D856" i="9"/>
  <c r="C856" i="9"/>
  <c r="B856" i="9"/>
  <c r="A856" i="9"/>
  <c r="W855" i="9"/>
  <c r="V855" i="9"/>
  <c r="U855" i="9"/>
  <c r="T855" i="9"/>
  <c r="S855" i="9"/>
  <c r="R855" i="9"/>
  <c r="Q855" i="9"/>
  <c r="P855" i="9"/>
  <c r="O855" i="9"/>
  <c r="N855" i="9"/>
  <c r="M855" i="9"/>
  <c r="L855" i="9"/>
  <c r="K855" i="9"/>
  <c r="J855" i="9"/>
  <c r="I855" i="9"/>
  <c r="H855" i="9"/>
  <c r="G855" i="9"/>
  <c r="F855" i="9"/>
  <c r="E855" i="9"/>
  <c r="D855" i="9"/>
  <c r="C855" i="9"/>
  <c r="B855" i="9"/>
  <c r="A855" i="9"/>
  <c r="W854" i="9"/>
  <c r="V854" i="9"/>
  <c r="U854" i="9"/>
  <c r="T854" i="9"/>
  <c r="S854" i="9"/>
  <c r="R854" i="9"/>
  <c r="Q854" i="9"/>
  <c r="P854" i="9"/>
  <c r="O854" i="9"/>
  <c r="N854" i="9"/>
  <c r="M854" i="9"/>
  <c r="L854" i="9"/>
  <c r="K854" i="9"/>
  <c r="J854" i="9"/>
  <c r="I854" i="9"/>
  <c r="H854" i="9"/>
  <c r="G854" i="9"/>
  <c r="F854" i="9"/>
  <c r="E854" i="9"/>
  <c r="D854" i="9"/>
  <c r="C854" i="9"/>
  <c r="B854" i="9"/>
  <c r="A854" i="9"/>
  <c r="W853" i="9"/>
  <c r="V853" i="9"/>
  <c r="U853" i="9"/>
  <c r="T853" i="9"/>
  <c r="S853" i="9"/>
  <c r="R853" i="9"/>
  <c r="Q853" i="9"/>
  <c r="P853" i="9"/>
  <c r="O853" i="9"/>
  <c r="N853" i="9"/>
  <c r="M853" i="9"/>
  <c r="L853" i="9"/>
  <c r="K853" i="9"/>
  <c r="J853" i="9"/>
  <c r="I853" i="9"/>
  <c r="H853" i="9"/>
  <c r="G853" i="9"/>
  <c r="F853" i="9"/>
  <c r="E853" i="9"/>
  <c r="D853" i="9"/>
  <c r="C853" i="9"/>
  <c r="B853" i="9"/>
  <c r="A853" i="9"/>
  <c r="W852" i="9"/>
  <c r="V852" i="9"/>
  <c r="U852" i="9"/>
  <c r="T852" i="9"/>
  <c r="S852" i="9"/>
  <c r="R852" i="9"/>
  <c r="Q852" i="9"/>
  <c r="P852" i="9"/>
  <c r="O852" i="9"/>
  <c r="N852" i="9"/>
  <c r="M852" i="9"/>
  <c r="L852" i="9"/>
  <c r="K852" i="9"/>
  <c r="J852" i="9"/>
  <c r="I852" i="9"/>
  <c r="H852" i="9"/>
  <c r="G852" i="9"/>
  <c r="F852" i="9"/>
  <c r="E852" i="9"/>
  <c r="D852" i="9"/>
  <c r="C852" i="9"/>
  <c r="B852" i="9"/>
  <c r="A852" i="9"/>
  <c r="W851" i="9"/>
  <c r="V851" i="9"/>
  <c r="U851" i="9"/>
  <c r="T851" i="9"/>
  <c r="S851" i="9"/>
  <c r="R851" i="9"/>
  <c r="Q851" i="9"/>
  <c r="P851" i="9"/>
  <c r="O851" i="9"/>
  <c r="N851" i="9"/>
  <c r="M851" i="9"/>
  <c r="L851" i="9"/>
  <c r="K851" i="9"/>
  <c r="J851" i="9"/>
  <c r="I851" i="9"/>
  <c r="H851" i="9"/>
  <c r="G851" i="9"/>
  <c r="F851" i="9"/>
  <c r="E851" i="9"/>
  <c r="D851" i="9"/>
  <c r="C851" i="9"/>
  <c r="B851" i="9"/>
  <c r="A851" i="9"/>
  <c r="W850" i="9"/>
  <c r="V850" i="9"/>
  <c r="U850" i="9"/>
  <c r="T850" i="9"/>
  <c r="S850" i="9"/>
  <c r="R850" i="9"/>
  <c r="Q850" i="9"/>
  <c r="P850" i="9"/>
  <c r="O850" i="9"/>
  <c r="N850" i="9"/>
  <c r="M850" i="9"/>
  <c r="L850" i="9"/>
  <c r="K850" i="9"/>
  <c r="J850" i="9"/>
  <c r="I850" i="9"/>
  <c r="H850" i="9"/>
  <c r="G850" i="9"/>
  <c r="F850" i="9"/>
  <c r="E850" i="9"/>
  <c r="D850" i="9"/>
  <c r="C850" i="9"/>
  <c r="B850" i="9"/>
  <c r="A850" i="9"/>
  <c r="W849" i="9"/>
  <c r="V849" i="9"/>
  <c r="U849" i="9"/>
  <c r="T849" i="9"/>
  <c r="S849" i="9"/>
  <c r="R849" i="9"/>
  <c r="Q849" i="9"/>
  <c r="P849" i="9"/>
  <c r="O849" i="9"/>
  <c r="N849" i="9"/>
  <c r="M849" i="9"/>
  <c r="L849" i="9"/>
  <c r="K849" i="9"/>
  <c r="J849" i="9"/>
  <c r="I849" i="9"/>
  <c r="H849" i="9"/>
  <c r="G849" i="9"/>
  <c r="F849" i="9"/>
  <c r="E849" i="9"/>
  <c r="D849" i="9"/>
  <c r="C849" i="9"/>
  <c r="B849" i="9"/>
  <c r="A849" i="9"/>
  <c r="W848" i="9"/>
  <c r="V848" i="9"/>
  <c r="U848" i="9"/>
  <c r="T848" i="9"/>
  <c r="S848" i="9"/>
  <c r="R848" i="9"/>
  <c r="Q848" i="9"/>
  <c r="P848" i="9"/>
  <c r="O848" i="9"/>
  <c r="N848" i="9"/>
  <c r="M848" i="9"/>
  <c r="L848" i="9"/>
  <c r="K848" i="9"/>
  <c r="J848" i="9"/>
  <c r="I848" i="9"/>
  <c r="H848" i="9"/>
  <c r="G848" i="9"/>
  <c r="F848" i="9"/>
  <c r="E848" i="9"/>
  <c r="D848" i="9"/>
  <c r="C848" i="9"/>
  <c r="B848" i="9"/>
  <c r="A848" i="9"/>
  <c r="W847" i="9"/>
  <c r="V847" i="9"/>
  <c r="U847" i="9"/>
  <c r="T847" i="9"/>
  <c r="S847" i="9"/>
  <c r="R847" i="9"/>
  <c r="Q847" i="9"/>
  <c r="P847" i="9"/>
  <c r="O847" i="9"/>
  <c r="N847" i="9"/>
  <c r="M847" i="9"/>
  <c r="L847" i="9"/>
  <c r="K847" i="9"/>
  <c r="J847" i="9"/>
  <c r="I847" i="9"/>
  <c r="H847" i="9"/>
  <c r="G847" i="9"/>
  <c r="F847" i="9"/>
  <c r="E847" i="9"/>
  <c r="D847" i="9"/>
  <c r="C847" i="9"/>
  <c r="B847" i="9"/>
  <c r="A847" i="9"/>
  <c r="W846" i="9"/>
  <c r="V846" i="9"/>
  <c r="U846" i="9"/>
  <c r="T846" i="9"/>
  <c r="S846" i="9"/>
  <c r="R846" i="9"/>
  <c r="Q846" i="9"/>
  <c r="P846" i="9"/>
  <c r="O846" i="9"/>
  <c r="N846" i="9"/>
  <c r="M846" i="9"/>
  <c r="L846" i="9"/>
  <c r="K846" i="9"/>
  <c r="J846" i="9"/>
  <c r="I846" i="9"/>
  <c r="H846" i="9"/>
  <c r="G846" i="9"/>
  <c r="F846" i="9"/>
  <c r="E846" i="9"/>
  <c r="D846" i="9"/>
  <c r="C846" i="9"/>
  <c r="B846" i="9"/>
  <c r="A846" i="9"/>
  <c r="W845" i="9"/>
  <c r="V845" i="9"/>
  <c r="U845" i="9"/>
  <c r="T845" i="9"/>
  <c r="S845" i="9"/>
  <c r="R845" i="9"/>
  <c r="Q845" i="9"/>
  <c r="P845" i="9"/>
  <c r="O845" i="9"/>
  <c r="N845" i="9"/>
  <c r="M845" i="9"/>
  <c r="L845" i="9"/>
  <c r="K845" i="9"/>
  <c r="J845" i="9"/>
  <c r="I845" i="9"/>
  <c r="H845" i="9"/>
  <c r="G845" i="9"/>
  <c r="F845" i="9"/>
  <c r="E845" i="9"/>
  <c r="D845" i="9"/>
  <c r="C845" i="9"/>
  <c r="B845" i="9"/>
  <c r="A845" i="9"/>
  <c r="W844" i="9"/>
  <c r="V844" i="9"/>
  <c r="U844" i="9"/>
  <c r="T844" i="9"/>
  <c r="S844" i="9"/>
  <c r="R844" i="9"/>
  <c r="Q844" i="9"/>
  <c r="P844" i="9"/>
  <c r="O844" i="9"/>
  <c r="N844" i="9"/>
  <c r="M844" i="9"/>
  <c r="L844" i="9"/>
  <c r="K844" i="9"/>
  <c r="J844" i="9"/>
  <c r="I844" i="9"/>
  <c r="H844" i="9"/>
  <c r="G844" i="9"/>
  <c r="F844" i="9"/>
  <c r="E844" i="9"/>
  <c r="D844" i="9"/>
  <c r="C844" i="9"/>
  <c r="B844" i="9"/>
  <c r="A844" i="9"/>
  <c r="W843" i="9"/>
  <c r="V843" i="9"/>
  <c r="U843" i="9"/>
  <c r="T843" i="9"/>
  <c r="S843" i="9"/>
  <c r="R843" i="9"/>
  <c r="Q843" i="9"/>
  <c r="P843" i="9"/>
  <c r="O843" i="9"/>
  <c r="N843" i="9"/>
  <c r="M843" i="9"/>
  <c r="L843" i="9"/>
  <c r="K843" i="9"/>
  <c r="J843" i="9"/>
  <c r="I843" i="9"/>
  <c r="H843" i="9"/>
  <c r="G843" i="9"/>
  <c r="F843" i="9"/>
  <c r="E843" i="9"/>
  <c r="D843" i="9"/>
  <c r="C843" i="9"/>
  <c r="B843" i="9"/>
  <c r="A843" i="9"/>
  <c r="W842" i="9"/>
  <c r="V842" i="9"/>
  <c r="U842" i="9"/>
  <c r="T842" i="9"/>
  <c r="S842" i="9"/>
  <c r="R842" i="9"/>
  <c r="Q842" i="9"/>
  <c r="P842" i="9"/>
  <c r="O842" i="9"/>
  <c r="N842" i="9"/>
  <c r="M842" i="9"/>
  <c r="L842" i="9"/>
  <c r="K842" i="9"/>
  <c r="J842" i="9"/>
  <c r="I842" i="9"/>
  <c r="H842" i="9"/>
  <c r="G842" i="9"/>
  <c r="F842" i="9"/>
  <c r="E842" i="9"/>
  <c r="D842" i="9"/>
  <c r="C842" i="9"/>
  <c r="B842" i="9"/>
  <c r="A842" i="9"/>
  <c r="W841" i="9"/>
  <c r="V841" i="9"/>
  <c r="U841" i="9"/>
  <c r="T841" i="9"/>
  <c r="S841" i="9"/>
  <c r="R841" i="9"/>
  <c r="Q841" i="9"/>
  <c r="P841" i="9"/>
  <c r="O841" i="9"/>
  <c r="N841" i="9"/>
  <c r="M841" i="9"/>
  <c r="L841" i="9"/>
  <c r="K841" i="9"/>
  <c r="J841" i="9"/>
  <c r="I841" i="9"/>
  <c r="H841" i="9"/>
  <c r="G841" i="9"/>
  <c r="F841" i="9"/>
  <c r="E841" i="9"/>
  <c r="D841" i="9"/>
  <c r="C841" i="9"/>
  <c r="B841" i="9"/>
  <c r="A841" i="9"/>
  <c r="W840" i="9"/>
  <c r="V840" i="9"/>
  <c r="U840" i="9"/>
  <c r="T840" i="9"/>
  <c r="S840" i="9"/>
  <c r="R840" i="9"/>
  <c r="Q840" i="9"/>
  <c r="P840" i="9"/>
  <c r="O840" i="9"/>
  <c r="N840" i="9"/>
  <c r="M840" i="9"/>
  <c r="L840" i="9"/>
  <c r="K840" i="9"/>
  <c r="J840" i="9"/>
  <c r="I840" i="9"/>
  <c r="H840" i="9"/>
  <c r="G840" i="9"/>
  <c r="F840" i="9"/>
  <c r="E840" i="9"/>
  <c r="D840" i="9"/>
  <c r="C840" i="9"/>
  <c r="B840" i="9"/>
  <c r="A840" i="9"/>
  <c r="W839" i="9"/>
  <c r="V839" i="9"/>
  <c r="U839" i="9"/>
  <c r="T839" i="9"/>
  <c r="S839" i="9"/>
  <c r="R839" i="9"/>
  <c r="Q839" i="9"/>
  <c r="P839" i="9"/>
  <c r="O839" i="9"/>
  <c r="N839" i="9"/>
  <c r="M839" i="9"/>
  <c r="L839" i="9"/>
  <c r="K839" i="9"/>
  <c r="J839" i="9"/>
  <c r="I839" i="9"/>
  <c r="H839" i="9"/>
  <c r="G839" i="9"/>
  <c r="F839" i="9"/>
  <c r="E839" i="9"/>
  <c r="D839" i="9"/>
  <c r="C839" i="9"/>
  <c r="B839" i="9"/>
  <c r="A839" i="9"/>
  <c r="W838" i="9"/>
  <c r="V838" i="9"/>
  <c r="U838" i="9"/>
  <c r="T838" i="9"/>
  <c r="S838" i="9"/>
  <c r="R838" i="9"/>
  <c r="Q838" i="9"/>
  <c r="P838" i="9"/>
  <c r="O838" i="9"/>
  <c r="N838" i="9"/>
  <c r="M838" i="9"/>
  <c r="L838" i="9"/>
  <c r="K838" i="9"/>
  <c r="J838" i="9"/>
  <c r="I838" i="9"/>
  <c r="H838" i="9"/>
  <c r="G838" i="9"/>
  <c r="F838" i="9"/>
  <c r="E838" i="9"/>
  <c r="D838" i="9"/>
  <c r="C838" i="9"/>
  <c r="B838" i="9"/>
  <c r="A838" i="9"/>
  <c r="W837" i="9"/>
  <c r="V837" i="9"/>
  <c r="U837" i="9"/>
  <c r="T837" i="9"/>
  <c r="S837" i="9"/>
  <c r="R837" i="9"/>
  <c r="Q837" i="9"/>
  <c r="P837" i="9"/>
  <c r="O837" i="9"/>
  <c r="N837" i="9"/>
  <c r="M837" i="9"/>
  <c r="L837" i="9"/>
  <c r="K837" i="9"/>
  <c r="J837" i="9"/>
  <c r="I837" i="9"/>
  <c r="H837" i="9"/>
  <c r="G837" i="9"/>
  <c r="F837" i="9"/>
  <c r="E837" i="9"/>
  <c r="D837" i="9"/>
  <c r="C837" i="9"/>
  <c r="B837" i="9"/>
  <c r="A837" i="9"/>
  <c r="W836" i="9"/>
  <c r="V836" i="9"/>
  <c r="U836" i="9"/>
  <c r="T836" i="9"/>
  <c r="S836" i="9"/>
  <c r="R836" i="9"/>
  <c r="Q836" i="9"/>
  <c r="P836" i="9"/>
  <c r="O836" i="9"/>
  <c r="N836" i="9"/>
  <c r="M836" i="9"/>
  <c r="L836" i="9"/>
  <c r="K836" i="9"/>
  <c r="J836" i="9"/>
  <c r="I836" i="9"/>
  <c r="H836" i="9"/>
  <c r="G836" i="9"/>
  <c r="F836" i="9"/>
  <c r="E836" i="9"/>
  <c r="D836" i="9"/>
  <c r="C836" i="9"/>
  <c r="B836" i="9"/>
  <c r="A836" i="9"/>
  <c r="W835" i="9"/>
  <c r="V835" i="9"/>
  <c r="U835" i="9"/>
  <c r="T835" i="9"/>
  <c r="S835" i="9"/>
  <c r="R835" i="9"/>
  <c r="Q835" i="9"/>
  <c r="P835" i="9"/>
  <c r="O835" i="9"/>
  <c r="N835" i="9"/>
  <c r="M835" i="9"/>
  <c r="L835" i="9"/>
  <c r="K835" i="9"/>
  <c r="J835" i="9"/>
  <c r="I835" i="9"/>
  <c r="H835" i="9"/>
  <c r="G835" i="9"/>
  <c r="F835" i="9"/>
  <c r="E835" i="9"/>
  <c r="D835" i="9"/>
  <c r="C835" i="9"/>
  <c r="B835" i="9"/>
  <c r="A835" i="9"/>
  <c r="W834" i="9"/>
  <c r="V834" i="9"/>
  <c r="U834" i="9"/>
  <c r="T834" i="9"/>
  <c r="S834" i="9"/>
  <c r="R834" i="9"/>
  <c r="Q834" i="9"/>
  <c r="P834" i="9"/>
  <c r="O834" i="9"/>
  <c r="N834" i="9"/>
  <c r="M834" i="9"/>
  <c r="L834" i="9"/>
  <c r="K834" i="9"/>
  <c r="J834" i="9"/>
  <c r="I834" i="9"/>
  <c r="H834" i="9"/>
  <c r="G834" i="9"/>
  <c r="F834" i="9"/>
  <c r="E834" i="9"/>
  <c r="D834" i="9"/>
  <c r="C834" i="9"/>
  <c r="B834" i="9"/>
  <c r="A834" i="9"/>
  <c r="W833" i="9"/>
  <c r="V833" i="9"/>
  <c r="U833" i="9"/>
  <c r="T833" i="9"/>
  <c r="S833" i="9"/>
  <c r="R833" i="9"/>
  <c r="Q833" i="9"/>
  <c r="P833" i="9"/>
  <c r="O833" i="9"/>
  <c r="N833" i="9"/>
  <c r="M833" i="9"/>
  <c r="L833" i="9"/>
  <c r="K833" i="9"/>
  <c r="J833" i="9"/>
  <c r="I833" i="9"/>
  <c r="H833" i="9"/>
  <c r="G833" i="9"/>
  <c r="F833" i="9"/>
  <c r="E833" i="9"/>
  <c r="D833" i="9"/>
  <c r="C833" i="9"/>
  <c r="B833" i="9"/>
  <c r="A833" i="9"/>
  <c r="W832" i="9"/>
  <c r="V832" i="9"/>
  <c r="U832" i="9"/>
  <c r="T832" i="9"/>
  <c r="S832" i="9"/>
  <c r="R832" i="9"/>
  <c r="Q832" i="9"/>
  <c r="P832" i="9"/>
  <c r="O832" i="9"/>
  <c r="N832" i="9"/>
  <c r="M832" i="9"/>
  <c r="L832" i="9"/>
  <c r="K832" i="9"/>
  <c r="J832" i="9"/>
  <c r="I832" i="9"/>
  <c r="H832" i="9"/>
  <c r="G832" i="9"/>
  <c r="F832" i="9"/>
  <c r="E832" i="9"/>
  <c r="D832" i="9"/>
  <c r="C832" i="9"/>
  <c r="B832" i="9"/>
  <c r="A832" i="9"/>
  <c r="W831" i="9"/>
  <c r="V831" i="9"/>
  <c r="U831" i="9"/>
  <c r="T831" i="9"/>
  <c r="S831" i="9"/>
  <c r="R831" i="9"/>
  <c r="Q831" i="9"/>
  <c r="P831" i="9"/>
  <c r="O831" i="9"/>
  <c r="N831" i="9"/>
  <c r="M831" i="9"/>
  <c r="L831" i="9"/>
  <c r="K831" i="9"/>
  <c r="J831" i="9"/>
  <c r="I831" i="9"/>
  <c r="H831" i="9"/>
  <c r="G831" i="9"/>
  <c r="F831" i="9"/>
  <c r="E831" i="9"/>
  <c r="D831" i="9"/>
  <c r="C831" i="9"/>
  <c r="B831" i="9"/>
  <c r="A831" i="9"/>
  <c r="W830" i="9"/>
  <c r="V830" i="9"/>
  <c r="U830" i="9"/>
  <c r="T830" i="9"/>
  <c r="S830" i="9"/>
  <c r="R830" i="9"/>
  <c r="Q830" i="9"/>
  <c r="P830" i="9"/>
  <c r="O830" i="9"/>
  <c r="N830" i="9"/>
  <c r="M830" i="9"/>
  <c r="L830" i="9"/>
  <c r="K830" i="9"/>
  <c r="J830" i="9"/>
  <c r="I830" i="9"/>
  <c r="H830" i="9"/>
  <c r="G830" i="9"/>
  <c r="F830" i="9"/>
  <c r="E830" i="9"/>
  <c r="D830" i="9"/>
  <c r="C830" i="9"/>
  <c r="B830" i="9"/>
  <c r="A830" i="9"/>
  <c r="W829" i="9"/>
  <c r="V829" i="9"/>
  <c r="U829" i="9"/>
  <c r="T829" i="9"/>
  <c r="S829" i="9"/>
  <c r="R829" i="9"/>
  <c r="Q829" i="9"/>
  <c r="P829" i="9"/>
  <c r="O829" i="9"/>
  <c r="N829" i="9"/>
  <c r="M829" i="9"/>
  <c r="L829" i="9"/>
  <c r="K829" i="9"/>
  <c r="J829" i="9"/>
  <c r="I829" i="9"/>
  <c r="H829" i="9"/>
  <c r="G829" i="9"/>
  <c r="F829" i="9"/>
  <c r="E829" i="9"/>
  <c r="D829" i="9"/>
  <c r="C829" i="9"/>
  <c r="B829" i="9"/>
  <c r="A829" i="9"/>
  <c r="W828" i="9"/>
  <c r="V828" i="9"/>
  <c r="U828" i="9"/>
  <c r="T828" i="9"/>
  <c r="S828" i="9"/>
  <c r="R828" i="9"/>
  <c r="Q828" i="9"/>
  <c r="P828" i="9"/>
  <c r="O828" i="9"/>
  <c r="N828" i="9"/>
  <c r="M828" i="9"/>
  <c r="L828" i="9"/>
  <c r="K828" i="9"/>
  <c r="J828" i="9"/>
  <c r="I828" i="9"/>
  <c r="H828" i="9"/>
  <c r="G828" i="9"/>
  <c r="F828" i="9"/>
  <c r="E828" i="9"/>
  <c r="D828" i="9"/>
  <c r="C828" i="9"/>
  <c r="B828" i="9"/>
  <c r="A828" i="9"/>
  <c r="W827" i="9"/>
  <c r="V827" i="9"/>
  <c r="U827" i="9"/>
  <c r="T827" i="9"/>
  <c r="S827" i="9"/>
  <c r="R827" i="9"/>
  <c r="Q827" i="9"/>
  <c r="P827" i="9"/>
  <c r="O827" i="9"/>
  <c r="N827" i="9"/>
  <c r="M827" i="9"/>
  <c r="L827" i="9"/>
  <c r="K827" i="9"/>
  <c r="J827" i="9"/>
  <c r="I827" i="9"/>
  <c r="H827" i="9"/>
  <c r="G827" i="9"/>
  <c r="F827" i="9"/>
  <c r="E827" i="9"/>
  <c r="D827" i="9"/>
  <c r="C827" i="9"/>
  <c r="B827" i="9"/>
  <c r="A827" i="9"/>
  <c r="W826" i="9"/>
  <c r="V826" i="9"/>
  <c r="U826" i="9"/>
  <c r="T826" i="9"/>
  <c r="S826" i="9"/>
  <c r="R826" i="9"/>
  <c r="Q826" i="9"/>
  <c r="P826" i="9"/>
  <c r="O826" i="9"/>
  <c r="N826" i="9"/>
  <c r="M826" i="9"/>
  <c r="L826" i="9"/>
  <c r="K826" i="9"/>
  <c r="J826" i="9"/>
  <c r="I826" i="9"/>
  <c r="H826" i="9"/>
  <c r="G826" i="9"/>
  <c r="F826" i="9"/>
  <c r="E826" i="9"/>
  <c r="D826" i="9"/>
  <c r="C826" i="9"/>
  <c r="B826" i="9"/>
  <c r="A826" i="9"/>
  <c r="W825" i="9"/>
  <c r="V825" i="9"/>
  <c r="U825" i="9"/>
  <c r="T825" i="9"/>
  <c r="S825" i="9"/>
  <c r="R825" i="9"/>
  <c r="Q825" i="9"/>
  <c r="P825" i="9"/>
  <c r="O825" i="9"/>
  <c r="N825" i="9"/>
  <c r="M825" i="9"/>
  <c r="L825" i="9"/>
  <c r="K825" i="9"/>
  <c r="J825" i="9"/>
  <c r="I825" i="9"/>
  <c r="H825" i="9"/>
  <c r="G825" i="9"/>
  <c r="F825" i="9"/>
  <c r="E825" i="9"/>
  <c r="D825" i="9"/>
  <c r="C825" i="9"/>
  <c r="B825" i="9"/>
  <c r="A825" i="9"/>
  <c r="W824" i="9"/>
  <c r="V824" i="9"/>
  <c r="U824" i="9"/>
  <c r="T824" i="9"/>
  <c r="S824" i="9"/>
  <c r="R824" i="9"/>
  <c r="Q824" i="9"/>
  <c r="P824" i="9"/>
  <c r="O824" i="9"/>
  <c r="N824" i="9"/>
  <c r="M824" i="9"/>
  <c r="L824" i="9"/>
  <c r="K824" i="9"/>
  <c r="J824" i="9"/>
  <c r="I824" i="9"/>
  <c r="H824" i="9"/>
  <c r="G824" i="9"/>
  <c r="F824" i="9"/>
  <c r="E824" i="9"/>
  <c r="D824" i="9"/>
  <c r="C824" i="9"/>
  <c r="B824" i="9"/>
  <c r="A824" i="9"/>
  <c r="W823" i="9"/>
  <c r="V823" i="9"/>
  <c r="U823" i="9"/>
  <c r="T823" i="9"/>
  <c r="S823" i="9"/>
  <c r="R823" i="9"/>
  <c r="Q823" i="9"/>
  <c r="P823" i="9"/>
  <c r="O823" i="9"/>
  <c r="N823" i="9"/>
  <c r="M823" i="9"/>
  <c r="L823" i="9"/>
  <c r="K823" i="9"/>
  <c r="J823" i="9"/>
  <c r="I823" i="9"/>
  <c r="H823" i="9"/>
  <c r="G823" i="9"/>
  <c r="F823" i="9"/>
  <c r="E823" i="9"/>
  <c r="D823" i="9"/>
  <c r="C823" i="9"/>
  <c r="B823" i="9"/>
  <c r="A823" i="9"/>
  <c r="W822" i="9"/>
  <c r="V822" i="9"/>
  <c r="U822" i="9"/>
  <c r="T822" i="9"/>
  <c r="S822" i="9"/>
  <c r="R822" i="9"/>
  <c r="Q822" i="9"/>
  <c r="P822" i="9"/>
  <c r="O822" i="9"/>
  <c r="N822" i="9"/>
  <c r="M822" i="9"/>
  <c r="L822" i="9"/>
  <c r="K822" i="9"/>
  <c r="J822" i="9"/>
  <c r="I822" i="9"/>
  <c r="H822" i="9"/>
  <c r="G822" i="9"/>
  <c r="F822" i="9"/>
  <c r="E822" i="9"/>
  <c r="D822" i="9"/>
  <c r="C822" i="9"/>
  <c r="B822" i="9"/>
  <c r="A822" i="9"/>
  <c r="W821" i="9"/>
  <c r="V821" i="9"/>
  <c r="U821" i="9"/>
  <c r="T821" i="9"/>
  <c r="S821" i="9"/>
  <c r="R821" i="9"/>
  <c r="Q821" i="9"/>
  <c r="P821" i="9"/>
  <c r="O821" i="9"/>
  <c r="N821" i="9"/>
  <c r="M821" i="9"/>
  <c r="L821" i="9"/>
  <c r="K821" i="9"/>
  <c r="J821" i="9"/>
  <c r="I821" i="9"/>
  <c r="H821" i="9"/>
  <c r="G821" i="9"/>
  <c r="F821" i="9"/>
  <c r="E821" i="9"/>
  <c r="D821" i="9"/>
  <c r="C821" i="9"/>
  <c r="B821" i="9"/>
  <c r="A821" i="9"/>
  <c r="W820" i="9"/>
  <c r="V820" i="9"/>
  <c r="U820" i="9"/>
  <c r="T820" i="9"/>
  <c r="S820" i="9"/>
  <c r="R820" i="9"/>
  <c r="Q820" i="9"/>
  <c r="P820" i="9"/>
  <c r="O820" i="9"/>
  <c r="N820" i="9"/>
  <c r="M820" i="9"/>
  <c r="L820" i="9"/>
  <c r="K820" i="9"/>
  <c r="J820" i="9"/>
  <c r="I820" i="9"/>
  <c r="H820" i="9"/>
  <c r="G820" i="9"/>
  <c r="F820" i="9"/>
  <c r="E820" i="9"/>
  <c r="D820" i="9"/>
  <c r="C820" i="9"/>
  <c r="B820" i="9"/>
  <c r="A820" i="9"/>
  <c r="W819" i="9"/>
  <c r="V819" i="9"/>
  <c r="U819" i="9"/>
  <c r="T819" i="9"/>
  <c r="S819" i="9"/>
  <c r="R819" i="9"/>
  <c r="Q819" i="9"/>
  <c r="P819" i="9"/>
  <c r="O819" i="9"/>
  <c r="N819" i="9"/>
  <c r="M819" i="9"/>
  <c r="L819" i="9"/>
  <c r="K819" i="9"/>
  <c r="J819" i="9"/>
  <c r="I819" i="9"/>
  <c r="H819" i="9"/>
  <c r="G819" i="9"/>
  <c r="F819" i="9"/>
  <c r="E819" i="9"/>
  <c r="D819" i="9"/>
  <c r="C819" i="9"/>
  <c r="B819" i="9"/>
  <c r="A819" i="9"/>
  <c r="W818" i="9"/>
  <c r="V818" i="9"/>
  <c r="U818" i="9"/>
  <c r="T818" i="9"/>
  <c r="S818" i="9"/>
  <c r="R818" i="9"/>
  <c r="Q818" i="9"/>
  <c r="P818" i="9"/>
  <c r="O818" i="9"/>
  <c r="N818" i="9"/>
  <c r="M818" i="9"/>
  <c r="L818" i="9"/>
  <c r="K818" i="9"/>
  <c r="J818" i="9"/>
  <c r="I818" i="9"/>
  <c r="H818" i="9"/>
  <c r="G818" i="9"/>
  <c r="F818" i="9"/>
  <c r="E818" i="9"/>
  <c r="D818" i="9"/>
  <c r="C818" i="9"/>
  <c r="B818" i="9"/>
  <c r="A818" i="9"/>
  <c r="W817" i="9"/>
  <c r="V817" i="9"/>
  <c r="U817" i="9"/>
  <c r="T817" i="9"/>
  <c r="S817" i="9"/>
  <c r="R817" i="9"/>
  <c r="Q817" i="9"/>
  <c r="P817" i="9"/>
  <c r="O817" i="9"/>
  <c r="N817" i="9"/>
  <c r="M817" i="9"/>
  <c r="L817" i="9"/>
  <c r="K817" i="9"/>
  <c r="J817" i="9"/>
  <c r="I817" i="9"/>
  <c r="H817" i="9"/>
  <c r="G817" i="9"/>
  <c r="F817" i="9"/>
  <c r="E817" i="9"/>
  <c r="D817" i="9"/>
  <c r="C817" i="9"/>
  <c r="B817" i="9"/>
  <c r="A817" i="9"/>
  <c r="W816" i="9"/>
  <c r="V816" i="9"/>
  <c r="U816" i="9"/>
  <c r="T816" i="9"/>
  <c r="S816" i="9"/>
  <c r="R816" i="9"/>
  <c r="Q816" i="9"/>
  <c r="P816" i="9"/>
  <c r="O816" i="9"/>
  <c r="N816" i="9"/>
  <c r="M816" i="9"/>
  <c r="L816" i="9"/>
  <c r="K816" i="9"/>
  <c r="J816" i="9"/>
  <c r="I816" i="9"/>
  <c r="H816" i="9"/>
  <c r="G816" i="9"/>
  <c r="F816" i="9"/>
  <c r="E816" i="9"/>
  <c r="D816" i="9"/>
  <c r="C816" i="9"/>
  <c r="B816" i="9"/>
  <c r="A816" i="9"/>
  <c r="W815" i="9"/>
  <c r="V815" i="9"/>
  <c r="U815" i="9"/>
  <c r="T815" i="9"/>
  <c r="S815" i="9"/>
  <c r="R815" i="9"/>
  <c r="Q815" i="9"/>
  <c r="P815" i="9"/>
  <c r="O815" i="9"/>
  <c r="N815" i="9"/>
  <c r="M815" i="9"/>
  <c r="L815" i="9"/>
  <c r="K815" i="9"/>
  <c r="J815" i="9"/>
  <c r="I815" i="9"/>
  <c r="H815" i="9"/>
  <c r="G815" i="9"/>
  <c r="F815" i="9"/>
  <c r="E815" i="9"/>
  <c r="D815" i="9"/>
  <c r="C815" i="9"/>
  <c r="B815" i="9"/>
  <c r="A815" i="9"/>
  <c r="W814" i="9"/>
  <c r="V814" i="9"/>
  <c r="U814" i="9"/>
  <c r="T814" i="9"/>
  <c r="S814" i="9"/>
  <c r="R814" i="9"/>
  <c r="Q814" i="9"/>
  <c r="P814" i="9"/>
  <c r="O814" i="9"/>
  <c r="N814" i="9"/>
  <c r="M814" i="9"/>
  <c r="L814" i="9"/>
  <c r="K814" i="9"/>
  <c r="J814" i="9"/>
  <c r="I814" i="9"/>
  <c r="H814" i="9"/>
  <c r="G814" i="9"/>
  <c r="F814" i="9"/>
  <c r="E814" i="9"/>
  <c r="D814" i="9"/>
  <c r="C814" i="9"/>
  <c r="B814" i="9"/>
  <c r="A814" i="9"/>
  <c r="W813" i="9"/>
  <c r="V813" i="9"/>
  <c r="U813" i="9"/>
  <c r="T813" i="9"/>
  <c r="S813" i="9"/>
  <c r="R813" i="9"/>
  <c r="Q813" i="9"/>
  <c r="P813" i="9"/>
  <c r="O813" i="9"/>
  <c r="N813" i="9"/>
  <c r="M813" i="9"/>
  <c r="L813" i="9"/>
  <c r="K813" i="9"/>
  <c r="J813" i="9"/>
  <c r="I813" i="9"/>
  <c r="H813" i="9"/>
  <c r="G813" i="9"/>
  <c r="F813" i="9"/>
  <c r="E813" i="9"/>
  <c r="D813" i="9"/>
  <c r="C813" i="9"/>
  <c r="B813" i="9"/>
  <c r="A813" i="9"/>
  <c r="W812" i="9"/>
  <c r="V812" i="9"/>
  <c r="U812" i="9"/>
  <c r="T812" i="9"/>
  <c r="S812" i="9"/>
  <c r="R812" i="9"/>
  <c r="Q812" i="9"/>
  <c r="P812" i="9"/>
  <c r="O812" i="9"/>
  <c r="N812" i="9"/>
  <c r="M812" i="9"/>
  <c r="L812" i="9"/>
  <c r="K812" i="9"/>
  <c r="J812" i="9"/>
  <c r="I812" i="9"/>
  <c r="H812" i="9"/>
  <c r="G812" i="9"/>
  <c r="F812" i="9"/>
  <c r="E812" i="9"/>
  <c r="D812" i="9"/>
  <c r="C812" i="9"/>
  <c r="B812" i="9"/>
  <c r="A812" i="9"/>
  <c r="W811" i="9"/>
  <c r="V811" i="9"/>
  <c r="U811" i="9"/>
  <c r="T811" i="9"/>
  <c r="S811" i="9"/>
  <c r="R811" i="9"/>
  <c r="Q811" i="9"/>
  <c r="P811" i="9"/>
  <c r="O811" i="9"/>
  <c r="N811" i="9"/>
  <c r="M811" i="9"/>
  <c r="L811" i="9"/>
  <c r="K811" i="9"/>
  <c r="J811" i="9"/>
  <c r="I811" i="9"/>
  <c r="H811" i="9"/>
  <c r="G811" i="9"/>
  <c r="F811" i="9"/>
  <c r="E811" i="9"/>
  <c r="D811" i="9"/>
  <c r="C811" i="9"/>
  <c r="B811" i="9"/>
  <c r="A811" i="9"/>
  <c r="W810" i="9"/>
  <c r="V810" i="9"/>
  <c r="U810" i="9"/>
  <c r="T810" i="9"/>
  <c r="S810" i="9"/>
  <c r="R810" i="9"/>
  <c r="Q810" i="9"/>
  <c r="P810" i="9"/>
  <c r="O810" i="9"/>
  <c r="N810" i="9"/>
  <c r="M810" i="9"/>
  <c r="L810" i="9"/>
  <c r="K810" i="9"/>
  <c r="J810" i="9"/>
  <c r="I810" i="9"/>
  <c r="H810" i="9"/>
  <c r="G810" i="9"/>
  <c r="F810" i="9"/>
  <c r="E810" i="9"/>
  <c r="D810" i="9"/>
  <c r="C810" i="9"/>
  <c r="B810" i="9"/>
  <c r="A810" i="9"/>
  <c r="W809" i="9"/>
  <c r="V809" i="9"/>
  <c r="U809" i="9"/>
  <c r="T809" i="9"/>
  <c r="S809" i="9"/>
  <c r="R809" i="9"/>
  <c r="Q809" i="9"/>
  <c r="P809" i="9"/>
  <c r="O809" i="9"/>
  <c r="N809" i="9"/>
  <c r="M809" i="9"/>
  <c r="L809" i="9"/>
  <c r="K809" i="9"/>
  <c r="J809" i="9"/>
  <c r="I809" i="9"/>
  <c r="H809" i="9"/>
  <c r="G809" i="9"/>
  <c r="F809" i="9"/>
  <c r="E809" i="9"/>
  <c r="D809" i="9"/>
  <c r="C809" i="9"/>
  <c r="B809" i="9"/>
  <c r="A809" i="9"/>
  <c r="W808" i="9"/>
  <c r="V808" i="9"/>
  <c r="U808" i="9"/>
  <c r="T808" i="9"/>
  <c r="S808" i="9"/>
  <c r="R808" i="9"/>
  <c r="Q808" i="9"/>
  <c r="P808" i="9"/>
  <c r="O808" i="9"/>
  <c r="N808" i="9"/>
  <c r="M808" i="9"/>
  <c r="L808" i="9"/>
  <c r="K808" i="9"/>
  <c r="J808" i="9"/>
  <c r="I808" i="9"/>
  <c r="H808" i="9"/>
  <c r="G808" i="9"/>
  <c r="F808" i="9"/>
  <c r="E808" i="9"/>
  <c r="D808" i="9"/>
  <c r="C808" i="9"/>
  <c r="B808" i="9"/>
  <c r="A808" i="9"/>
  <c r="W807" i="9"/>
  <c r="V807" i="9"/>
  <c r="U807" i="9"/>
  <c r="T807" i="9"/>
  <c r="S807" i="9"/>
  <c r="R807" i="9"/>
  <c r="Q807" i="9"/>
  <c r="P807" i="9"/>
  <c r="O807" i="9"/>
  <c r="N807" i="9"/>
  <c r="M807" i="9"/>
  <c r="L807" i="9"/>
  <c r="K807" i="9"/>
  <c r="J807" i="9"/>
  <c r="I807" i="9"/>
  <c r="H807" i="9"/>
  <c r="G807" i="9"/>
  <c r="F807" i="9"/>
  <c r="E807" i="9"/>
  <c r="D807" i="9"/>
  <c r="C807" i="9"/>
  <c r="B807" i="9"/>
  <c r="A807" i="9"/>
  <c r="W806" i="9"/>
  <c r="V806" i="9"/>
  <c r="U806" i="9"/>
  <c r="T806" i="9"/>
  <c r="S806" i="9"/>
  <c r="R806" i="9"/>
  <c r="Q806" i="9"/>
  <c r="P806" i="9"/>
  <c r="O806" i="9"/>
  <c r="N806" i="9"/>
  <c r="M806" i="9"/>
  <c r="L806" i="9"/>
  <c r="K806" i="9"/>
  <c r="J806" i="9"/>
  <c r="I806" i="9"/>
  <c r="H806" i="9"/>
  <c r="G806" i="9"/>
  <c r="F806" i="9"/>
  <c r="E806" i="9"/>
  <c r="D806" i="9"/>
  <c r="C806" i="9"/>
  <c r="B806" i="9"/>
  <c r="A806" i="9"/>
  <c r="W805" i="9"/>
  <c r="V805" i="9"/>
  <c r="U805" i="9"/>
  <c r="T805" i="9"/>
  <c r="S805" i="9"/>
  <c r="R805" i="9"/>
  <c r="Q805" i="9"/>
  <c r="P805" i="9"/>
  <c r="O805" i="9"/>
  <c r="N805" i="9"/>
  <c r="M805" i="9"/>
  <c r="L805" i="9"/>
  <c r="K805" i="9"/>
  <c r="J805" i="9"/>
  <c r="I805" i="9"/>
  <c r="H805" i="9"/>
  <c r="G805" i="9"/>
  <c r="F805" i="9"/>
  <c r="E805" i="9"/>
  <c r="D805" i="9"/>
  <c r="C805" i="9"/>
  <c r="B805" i="9"/>
  <c r="A805" i="9"/>
  <c r="W804" i="9"/>
  <c r="V804" i="9"/>
  <c r="U804" i="9"/>
  <c r="T804" i="9"/>
  <c r="S804" i="9"/>
  <c r="R804" i="9"/>
  <c r="Q804" i="9"/>
  <c r="P804" i="9"/>
  <c r="O804" i="9"/>
  <c r="N804" i="9"/>
  <c r="M804" i="9"/>
  <c r="L804" i="9"/>
  <c r="K804" i="9"/>
  <c r="J804" i="9"/>
  <c r="I804" i="9"/>
  <c r="H804" i="9"/>
  <c r="G804" i="9"/>
  <c r="F804" i="9"/>
  <c r="E804" i="9"/>
  <c r="D804" i="9"/>
  <c r="C804" i="9"/>
  <c r="B804" i="9"/>
  <c r="A804" i="9"/>
  <c r="W803" i="9"/>
  <c r="V803" i="9"/>
  <c r="U803" i="9"/>
  <c r="T803" i="9"/>
  <c r="S803" i="9"/>
  <c r="R803" i="9"/>
  <c r="Q803" i="9"/>
  <c r="P803" i="9"/>
  <c r="O803" i="9"/>
  <c r="N803" i="9"/>
  <c r="M803" i="9"/>
  <c r="L803" i="9"/>
  <c r="K803" i="9"/>
  <c r="J803" i="9"/>
  <c r="I803" i="9"/>
  <c r="H803" i="9"/>
  <c r="G803" i="9"/>
  <c r="F803" i="9"/>
  <c r="E803" i="9"/>
  <c r="D803" i="9"/>
  <c r="C803" i="9"/>
  <c r="B803" i="9"/>
  <c r="A803" i="9"/>
  <c r="W802" i="9"/>
  <c r="V802" i="9"/>
  <c r="U802" i="9"/>
  <c r="T802" i="9"/>
  <c r="S802" i="9"/>
  <c r="R802" i="9"/>
  <c r="Q802" i="9"/>
  <c r="P802" i="9"/>
  <c r="O802" i="9"/>
  <c r="N802" i="9"/>
  <c r="M802" i="9"/>
  <c r="L802" i="9"/>
  <c r="K802" i="9"/>
  <c r="J802" i="9"/>
  <c r="I802" i="9"/>
  <c r="H802" i="9"/>
  <c r="G802" i="9"/>
  <c r="F802" i="9"/>
  <c r="E802" i="9"/>
  <c r="D802" i="9"/>
  <c r="C802" i="9"/>
  <c r="B802" i="9"/>
  <c r="A802" i="9"/>
  <c r="W801" i="9"/>
  <c r="V801" i="9"/>
  <c r="U801" i="9"/>
  <c r="T801" i="9"/>
  <c r="S801" i="9"/>
  <c r="R801" i="9"/>
  <c r="Q801" i="9"/>
  <c r="P801" i="9"/>
  <c r="O801" i="9"/>
  <c r="N801" i="9"/>
  <c r="M801" i="9"/>
  <c r="L801" i="9"/>
  <c r="K801" i="9"/>
  <c r="J801" i="9"/>
  <c r="I801" i="9"/>
  <c r="H801" i="9"/>
  <c r="G801" i="9"/>
  <c r="F801" i="9"/>
  <c r="E801" i="9"/>
  <c r="D801" i="9"/>
  <c r="C801" i="9"/>
  <c r="B801" i="9"/>
  <c r="A801" i="9"/>
  <c r="W800" i="9"/>
  <c r="V800" i="9"/>
  <c r="U800" i="9"/>
  <c r="T800" i="9"/>
  <c r="S800" i="9"/>
  <c r="R800" i="9"/>
  <c r="Q800" i="9"/>
  <c r="P800" i="9"/>
  <c r="O800" i="9"/>
  <c r="N800" i="9"/>
  <c r="M800" i="9"/>
  <c r="L800" i="9"/>
  <c r="K800" i="9"/>
  <c r="J800" i="9"/>
  <c r="I800" i="9"/>
  <c r="H800" i="9"/>
  <c r="G800" i="9"/>
  <c r="F800" i="9"/>
  <c r="E800" i="9"/>
  <c r="D800" i="9"/>
  <c r="C800" i="9"/>
  <c r="B800" i="9"/>
  <c r="A800" i="9"/>
  <c r="W799" i="9"/>
  <c r="V799" i="9"/>
  <c r="U799" i="9"/>
  <c r="T799" i="9"/>
  <c r="S799" i="9"/>
  <c r="R799" i="9"/>
  <c r="Q799" i="9"/>
  <c r="P799" i="9"/>
  <c r="O799" i="9"/>
  <c r="N799" i="9"/>
  <c r="M799" i="9"/>
  <c r="L799" i="9"/>
  <c r="K799" i="9"/>
  <c r="J799" i="9"/>
  <c r="I799" i="9"/>
  <c r="H799" i="9"/>
  <c r="G799" i="9"/>
  <c r="F799" i="9"/>
  <c r="E799" i="9"/>
  <c r="D799" i="9"/>
  <c r="C799" i="9"/>
  <c r="B799" i="9"/>
  <c r="A799" i="9"/>
  <c r="W798" i="9"/>
  <c r="V798" i="9"/>
  <c r="U798" i="9"/>
  <c r="T798" i="9"/>
  <c r="S798" i="9"/>
  <c r="R798" i="9"/>
  <c r="Q798" i="9"/>
  <c r="P798" i="9"/>
  <c r="O798" i="9"/>
  <c r="N798" i="9"/>
  <c r="M798" i="9"/>
  <c r="L798" i="9"/>
  <c r="K798" i="9"/>
  <c r="J798" i="9"/>
  <c r="I798" i="9"/>
  <c r="H798" i="9"/>
  <c r="G798" i="9"/>
  <c r="F798" i="9"/>
  <c r="E798" i="9"/>
  <c r="D798" i="9"/>
  <c r="C798" i="9"/>
  <c r="B798" i="9"/>
  <c r="A798" i="9"/>
  <c r="W797" i="9"/>
  <c r="V797" i="9"/>
  <c r="U797" i="9"/>
  <c r="T797" i="9"/>
  <c r="S797" i="9"/>
  <c r="R797" i="9"/>
  <c r="Q797" i="9"/>
  <c r="P797" i="9"/>
  <c r="O797" i="9"/>
  <c r="N797" i="9"/>
  <c r="M797" i="9"/>
  <c r="L797" i="9"/>
  <c r="K797" i="9"/>
  <c r="J797" i="9"/>
  <c r="I797" i="9"/>
  <c r="H797" i="9"/>
  <c r="G797" i="9"/>
  <c r="F797" i="9"/>
  <c r="E797" i="9"/>
  <c r="D797" i="9"/>
  <c r="C797" i="9"/>
  <c r="B797" i="9"/>
  <c r="A797" i="9"/>
  <c r="W796" i="9"/>
  <c r="V796" i="9"/>
  <c r="U796" i="9"/>
  <c r="T796" i="9"/>
  <c r="S796" i="9"/>
  <c r="R796" i="9"/>
  <c r="Q796" i="9"/>
  <c r="P796" i="9"/>
  <c r="O796" i="9"/>
  <c r="N796" i="9"/>
  <c r="M796" i="9"/>
  <c r="L796" i="9"/>
  <c r="K796" i="9"/>
  <c r="J796" i="9"/>
  <c r="I796" i="9"/>
  <c r="H796" i="9"/>
  <c r="G796" i="9"/>
  <c r="F796" i="9"/>
  <c r="E796" i="9"/>
  <c r="D796" i="9"/>
  <c r="C796" i="9"/>
  <c r="B796" i="9"/>
  <c r="A796" i="9"/>
  <c r="W795" i="9"/>
  <c r="V795" i="9"/>
  <c r="U795" i="9"/>
  <c r="T795" i="9"/>
  <c r="S795" i="9"/>
  <c r="R795" i="9"/>
  <c r="Q795" i="9"/>
  <c r="P795" i="9"/>
  <c r="O795" i="9"/>
  <c r="N795" i="9"/>
  <c r="M795" i="9"/>
  <c r="L795" i="9"/>
  <c r="K795" i="9"/>
  <c r="J795" i="9"/>
  <c r="I795" i="9"/>
  <c r="H795" i="9"/>
  <c r="G795" i="9"/>
  <c r="F795" i="9"/>
  <c r="E795" i="9"/>
  <c r="D795" i="9"/>
  <c r="C795" i="9"/>
  <c r="B795" i="9"/>
  <c r="A795" i="9"/>
  <c r="W794" i="9"/>
  <c r="V794" i="9"/>
  <c r="U794" i="9"/>
  <c r="T794" i="9"/>
  <c r="S794" i="9"/>
  <c r="R794" i="9"/>
  <c r="Q794" i="9"/>
  <c r="P794" i="9"/>
  <c r="O794" i="9"/>
  <c r="N794" i="9"/>
  <c r="M794" i="9"/>
  <c r="L794" i="9"/>
  <c r="K794" i="9"/>
  <c r="J794" i="9"/>
  <c r="I794" i="9"/>
  <c r="H794" i="9"/>
  <c r="G794" i="9"/>
  <c r="F794" i="9"/>
  <c r="E794" i="9"/>
  <c r="D794" i="9"/>
  <c r="C794" i="9"/>
  <c r="B794" i="9"/>
  <c r="A794" i="9"/>
  <c r="W793" i="9"/>
  <c r="V793" i="9"/>
  <c r="U793" i="9"/>
  <c r="T793" i="9"/>
  <c r="S793" i="9"/>
  <c r="R793" i="9"/>
  <c r="Q793" i="9"/>
  <c r="P793" i="9"/>
  <c r="O793" i="9"/>
  <c r="N793" i="9"/>
  <c r="M793" i="9"/>
  <c r="L793" i="9"/>
  <c r="K793" i="9"/>
  <c r="J793" i="9"/>
  <c r="I793" i="9"/>
  <c r="H793" i="9"/>
  <c r="G793" i="9"/>
  <c r="F793" i="9"/>
  <c r="E793" i="9"/>
  <c r="D793" i="9"/>
  <c r="C793" i="9"/>
  <c r="B793" i="9"/>
  <c r="A793" i="9"/>
  <c r="W792" i="9"/>
  <c r="V792" i="9"/>
  <c r="U792" i="9"/>
  <c r="T792" i="9"/>
  <c r="S792" i="9"/>
  <c r="R792" i="9"/>
  <c r="Q792" i="9"/>
  <c r="P792" i="9"/>
  <c r="O792" i="9"/>
  <c r="N792" i="9"/>
  <c r="M792" i="9"/>
  <c r="L792" i="9"/>
  <c r="K792" i="9"/>
  <c r="J792" i="9"/>
  <c r="I792" i="9"/>
  <c r="H792" i="9"/>
  <c r="G792" i="9"/>
  <c r="F792" i="9"/>
  <c r="E792" i="9"/>
  <c r="D792" i="9"/>
  <c r="C792" i="9"/>
  <c r="B792" i="9"/>
  <c r="A792" i="9"/>
  <c r="W791" i="9"/>
  <c r="V791" i="9"/>
  <c r="U791" i="9"/>
  <c r="T791" i="9"/>
  <c r="S791" i="9"/>
  <c r="R791" i="9"/>
  <c r="Q791" i="9"/>
  <c r="P791" i="9"/>
  <c r="O791" i="9"/>
  <c r="N791" i="9"/>
  <c r="M791" i="9"/>
  <c r="L791" i="9"/>
  <c r="K791" i="9"/>
  <c r="J791" i="9"/>
  <c r="I791" i="9"/>
  <c r="H791" i="9"/>
  <c r="G791" i="9"/>
  <c r="F791" i="9"/>
  <c r="E791" i="9"/>
  <c r="D791" i="9"/>
  <c r="C791" i="9"/>
  <c r="B791" i="9"/>
  <c r="A791" i="9"/>
  <c r="W790" i="9"/>
  <c r="V790" i="9"/>
  <c r="U790" i="9"/>
  <c r="T790" i="9"/>
  <c r="S790" i="9"/>
  <c r="R790" i="9"/>
  <c r="Q790" i="9"/>
  <c r="P790" i="9"/>
  <c r="O790" i="9"/>
  <c r="N790" i="9"/>
  <c r="M790" i="9"/>
  <c r="L790" i="9"/>
  <c r="K790" i="9"/>
  <c r="J790" i="9"/>
  <c r="I790" i="9"/>
  <c r="H790" i="9"/>
  <c r="G790" i="9"/>
  <c r="F790" i="9"/>
  <c r="E790" i="9"/>
  <c r="D790" i="9"/>
  <c r="C790" i="9"/>
  <c r="B790" i="9"/>
  <c r="A790" i="9"/>
  <c r="W789" i="9"/>
  <c r="V789" i="9"/>
  <c r="U789" i="9"/>
  <c r="T789" i="9"/>
  <c r="S789" i="9"/>
  <c r="R789" i="9"/>
  <c r="Q789" i="9"/>
  <c r="P789" i="9"/>
  <c r="O789" i="9"/>
  <c r="N789" i="9"/>
  <c r="M789" i="9"/>
  <c r="L789" i="9"/>
  <c r="K789" i="9"/>
  <c r="J789" i="9"/>
  <c r="I789" i="9"/>
  <c r="H789" i="9"/>
  <c r="G789" i="9"/>
  <c r="F789" i="9"/>
  <c r="E789" i="9"/>
  <c r="D789" i="9"/>
  <c r="C789" i="9"/>
  <c r="B789" i="9"/>
  <c r="A789" i="9"/>
  <c r="W788" i="9"/>
  <c r="V788" i="9"/>
  <c r="U788" i="9"/>
  <c r="T788" i="9"/>
  <c r="S788" i="9"/>
  <c r="R788" i="9"/>
  <c r="Q788" i="9"/>
  <c r="P788" i="9"/>
  <c r="O788" i="9"/>
  <c r="N788" i="9"/>
  <c r="M788" i="9"/>
  <c r="L788" i="9"/>
  <c r="K788" i="9"/>
  <c r="J788" i="9"/>
  <c r="I788" i="9"/>
  <c r="H788" i="9"/>
  <c r="G788" i="9"/>
  <c r="F788" i="9"/>
  <c r="E788" i="9"/>
  <c r="D788" i="9"/>
  <c r="C788" i="9"/>
  <c r="B788" i="9"/>
  <c r="A788" i="9"/>
  <c r="W787" i="9"/>
  <c r="V787" i="9"/>
  <c r="U787" i="9"/>
  <c r="T787" i="9"/>
  <c r="S787" i="9"/>
  <c r="R787" i="9"/>
  <c r="Q787" i="9"/>
  <c r="P787" i="9"/>
  <c r="O787" i="9"/>
  <c r="N787" i="9"/>
  <c r="M787" i="9"/>
  <c r="L787" i="9"/>
  <c r="K787" i="9"/>
  <c r="J787" i="9"/>
  <c r="I787" i="9"/>
  <c r="H787" i="9"/>
  <c r="G787" i="9"/>
  <c r="F787" i="9"/>
  <c r="E787" i="9"/>
  <c r="D787" i="9"/>
  <c r="C787" i="9"/>
  <c r="B787" i="9"/>
  <c r="A787" i="9"/>
  <c r="W786" i="9"/>
  <c r="V786" i="9"/>
  <c r="U786" i="9"/>
  <c r="T786" i="9"/>
  <c r="S786" i="9"/>
  <c r="R786" i="9"/>
  <c r="Q786" i="9"/>
  <c r="P786" i="9"/>
  <c r="O786" i="9"/>
  <c r="N786" i="9"/>
  <c r="M786" i="9"/>
  <c r="L786" i="9"/>
  <c r="K786" i="9"/>
  <c r="J786" i="9"/>
  <c r="I786" i="9"/>
  <c r="H786" i="9"/>
  <c r="G786" i="9"/>
  <c r="F786" i="9"/>
  <c r="E786" i="9"/>
  <c r="D786" i="9"/>
  <c r="C786" i="9"/>
  <c r="B786" i="9"/>
  <c r="A786" i="9"/>
  <c r="W785" i="9"/>
  <c r="V785" i="9"/>
  <c r="U785" i="9"/>
  <c r="T785" i="9"/>
  <c r="S785" i="9"/>
  <c r="R785" i="9"/>
  <c r="Q785" i="9"/>
  <c r="P785" i="9"/>
  <c r="O785" i="9"/>
  <c r="N785" i="9"/>
  <c r="M785" i="9"/>
  <c r="L785" i="9"/>
  <c r="K785" i="9"/>
  <c r="J785" i="9"/>
  <c r="I785" i="9"/>
  <c r="H785" i="9"/>
  <c r="G785" i="9"/>
  <c r="F785" i="9"/>
  <c r="E785" i="9"/>
  <c r="D785" i="9"/>
  <c r="C785" i="9"/>
  <c r="B785" i="9"/>
  <c r="A785" i="9"/>
  <c r="W784" i="9"/>
  <c r="V784" i="9"/>
  <c r="U784" i="9"/>
  <c r="T784" i="9"/>
  <c r="S784" i="9"/>
  <c r="R784" i="9"/>
  <c r="Q784" i="9"/>
  <c r="P784" i="9"/>
  <c r="O784" i="9"/>
  <c r="N784" i="9"/>
  <c r="M784" i="9"/>
  <c r="L784" i="9"/>
  <c r="K784" i="9"/>
  <c r="J784" i="9"/>
  <c r="I784" i="9"/>
  <c r="H784" i="9"/>
  <c r="G784" i="9"/>
  <c r="F784" i="9"/>
  <c r="E784" i="9"/>
  <c r="D784" i="9"/>
  <c r="C784" i="9"/>
  <c r="B784" i="9"/>
  <c r="A784" i="9"/>
  <c r="W783" i="9"/>
  <c r="V783" i="9"/>
  <c r="U783" i="9"/>
  <c r="T783" i="9"/>
  <c r="S783" i="9"/>
  <c r="R783" i="9"/>
  <c r="Q783" i="9"/>
  <c r="P783" i="9"/>
  <c r="O783" i="9"/>
  <c r="N783" i="9"/>
  <c r="M783" i="9"/>
  <c r="L783" i="9"/>
  <c r="K783" i="9"/>
  <c r="J783" i="9"/>
  <c r="I783" i="9"/>
  <c r="H783" i="9"/>
  <c r="G783" i="9"/>
  <c r="F783" i="9"/>
  <c r="E783" i="9"/>
  <c r="D783" i="9"/>
  <c r="C783" i="9"/>
  <c r="B783" i="9"/>
  <c r="A783" i="9"/>
  <c r="W782" i="9"/>
  <c r="V782" i="9"/>
  <c r="U782" i="9"/>
  <c r="T782" i="9"/>
  <c r="S782" i="9"/>
  <c r="R782" i="9"/>
  <c r="Q782" i="9"/>
  <c r="P782" i="9"/>
  <c r="O782" i="9"/>
  <c r="N782" i="9"/>
  <c r="M782" i="9"/>
  <c r="L782" i="9"/>
  <c r="K782" i="9"/>
  <c r="J782" i="9"/>
  <c r="I782" i="9"/>
  <c r="H782" i="9"/>
  <c r="G782" i="9"/>
  <c r="F782" i="9"/>
  <c r="E782" i="9"/>
  <c r="D782" i="9"/>
  <c r="C782" i="9"/>
  <c r="B782" i="9"/>
  <c r="A782" i="9"/>
  <c r="W781" i="9"/>
  <c r="V781" i="9"/>
  <c r="U781" i="9"/>
  <c r="T781" i="9"/>
  <c r="S781" i="9"/>
  <c r="R781" i="9"/>
  <c r="Q781" i="9"/>
  <c r="P781" i="9"/>
  <c r="O781" i="9"/>
  <c r="N781" i="9"/>
  <c r="M781" i="9"/>
  <c r="L781" i="9"/>
  <c r="K781" i="9"/>
  <c r="J781" i="9"/>
  <c r="I781" i="9"/>
  <c r="H781" i="9"/>
  <c r="G781" i="9"/>
  <c r="F781" i="9"/>
  <c r="E781" i="9"/>
  <c r="D781" i="9"/>
  <c r="C781" i="9"/>
  <c r="B781" i="9"/>
  <c r="A781" i="9"/>
  <c r="W780" i="9"/>
  <c r="V780" i="9"/>
  <c r="U780" i="9"/>
  <c r="T780" i="9"/>
  <c r="S780" i="9"/>
  <c r="R780" i="9"/>
  <c r="Q780" i="9"/>
  <c r="P780" i="9"/>
  <c r="O780" i="9"/>
  <c r="N780" i="9"/>
  <c r="M780" i="9"/>
  <c r="L780" i="9"/>
  <c r="K780" i="9"/>
  <c r="J780" i="9"/>
  <c r="I780" i="9"/>
  <c r="H780" i="9"/>
  <c r="G780" i="9"/>
  <c r="F780" i="9"/>
  <c r="E780" i="9"/>
  <c r="D780" i="9"/>
  <c r="C780" i="9"/>
  <c r="B780" i="9"/>
  <c r="A780" i="9"/>
  <c r="W779" i="9"/>
  <c r="V779" i="9"/>
  <c r="U779" i="9"/>
  <c r="T779" i="9"/>
  <c r="S779" i="9"/>
  <c r="R779" i="9"/>
  <c r="Q779" i="9"/>
  <c r="P779" i="9"/>
  <c r="O779" i="9"/>
  <c r="N779" i="9"/>
  <c r="M779" i="9"/>
  <c r="L779" i="9"/>
  <c r="K779" i="9"/>
  <c r="J779" i="9"/>
  <c r="I779" i="9"/>
  <c r="H779" i="9"/>
  <c r="G779" i="9"/>
  <c r="F779" i="9"/>
  <c r="E779" i="9"/>
  <c r="D779" i="9"/>
  <c r="C779" i="9"/>
  <c r="B779" i="9"/>
  <c r="A779" i="9"/>
  <c r="W778" i="9"/>
  <c r="V778" i="9"/>
  <c r="U778" i="9"/>
  <c r="T778" i="9"/>
  <c r="S778" i="9"/>
  <c r="R778" i="9"/>
  <c r="Q778" i="9"/>
  <c r="P778" i="9"/>
  <c r="O778" i="9"/>
  <c r="N778" i="9"/>
  <c r="M778" i="9"/>
  <c r="L778" i="9"/>
  <c r="K778" i="9"/>
  <c r="J778" i="9"/>
  <c r="I778" i="9"/>
  <c r="H778" i="9"/>
  <c r="G778" i="9"/>
  <c r="F778" i="9"/>
  <c r="E778" i="9"/>
  <c r="D778" i="9"/>
  <c r="C778" i="9"/>
  <c r="B778" i="9"/>
  <c r="A778" i="9"/>
  <c r="W777" i="9"/>
  <c r="V777" i="9"/>
  <c r="U777" i="9"/>
  <c r="T777" i="9"/>
  <c r="S777" i="9"/>
  <c r="R777" i="9"/>
  <c r="Q777" i="9"/>
  <c r="P777" i="9"/>
  <c r="O777" i="9"/>
  <c r="N777" i="9"/>
  <c r="M777" i="9"/>
  <c r="L777" i="9"/>
  <c r="K777" i="9"/>
  <c r="J777" i="9"/>
  <c r="I777" i="9"/>
  <c r="H777" i="9"/>
  <c r="G777" i="9"/>
  <c r="F777" i="9"/>
  <c r="E777" i="9"/>
  <c r="D777" i="9"/>
  <c r="C777" i="9"/>
  <c r="B777" i="9"/>
  <c r="A777" i="9"/>
  <c r="W776" i="9"/>
  <c r="V776" i="9"/>
  <c r="U776" i="9"/>
  <c r="T776" i="9"/>
  <c r="S776" i="9"/>
  <c r="R776" i="9"/>
  <c r="Q776" i="9"/>
  <c r="P776" i="9"/>
  <c r="O776" i="9"/>
  <c r="N776" i="9"/>
  <c r="M776" i="9"/>
  <c r="L776" i="9"/>
  <c r="K776" i="9"/>
  <c r="J776" i="9"/>
  <c r="I776" i="9"/>
  <c r="H776" i="9"/>
  <c r="G776" i="9"/>
  <c r="F776" i="9"/>
  <c r="E776" i="9"/>
  <c r="D776" i="9"/>
  <c r="C776" i="9"/>
  <c r="B776" i="9"/>
  <c r="A776" i="9"/>
  <c r="W775" i="9"/>
  <c r="V775" i="9"/>
  <c r="U775" i="9"/>
  <c r="T775" i="9"/>
  <c r="S775" i="9"/>
  <c r="R775" i="9"/>
  <c r="Q775" i="9"/>
  <c r="P775" i="9"/>
  <c r="O775" i="9"/>
  <c r="N775" i="9"/>
  <c r="M775" i="9"/>
  <c r="L775" i="9"/>
  <c r="K775" i="9"/>
  <c r="J775" i="9"/>
  <c r="I775" i="9"/>
  <c r="H775" i="9"/>
  <c r="G775" i="9"/>
  <c r="F775" i="9"/>
  <c r="E775" i="9"/>
  <c r="D775" i="9"/>
  <c r="C775" i="9"/>
  <c r="B775" i="9"/>
  <c r="A775" i="9"/>
  <c r="W774" i="9"/>
  <c r="V774" i="9"/>
  <c r="U774" i="9"/>
  <c r="T774" i="9"/>
  <c r="S774" i="9"/>
  <c r="R774" i="9"/>
  <c r="Q774" i="9"/>
  <c r="P774" i="9"/>
  <c r="O774" i="9"/>
  <c r="N774" i="9"/>
  <c r="M774" i="9"/>
  <c r="L774" i="9"/>
  <c r="K774" i="9"/>
  <c r="J774" i="9"/>
  <c r="I774" i="9"/>
  <c r="H774" i="9"/>
  <c r="G774" i="9"/>
  <c r="F774" i="9"/>
  <c r="E774" i="9"/>
  <c r="D774" i="9"/>
  <c r="C774" i="9"/>
  <c r="B774" i="9"/>
  <c r="A774" i="9"/>
  <c r="W773" i="9"/>
  <c r="V773" i="9"/>
  <c r="U773" i="9"/>
  <c r="T773" i="9"/>
  <c r="S773" i="9"/>
  <c r="R773" i="9"/>
  <c r="Q773" i="9"/>
  <c r="P773" i="9"/>
  <c r="O773" i="9"/>
  <c r="N773" i="9"/>
  <c r="M773" i="9"/>
  <c r="L773" i="9"/>
  <c r="K773" i="9"/>
  <c r="J773" i="9"/>
  <c r="I773" i="9"/>
  <c r="H773" i="9"/>
  <c r="G773" i="9"/>
  <c r="F773" i="9"/>
  <c r="E773" i="9"/>
  <c r="D773" i="9"/>
  <c r="C773" i="9"/>
  <c r="B773" i="9"/>
  <c r="A773" i="9"/>
  <c r="W772" i="9"/>
  <c r="V772" i="9"/>
  <c r="U772" i="9"/>
  <c r="T772" i="9"/>
  <c r="S772" i="9"/>
  <c r="R772" i="9"/>
  <c r="Q772" i="9"/>
  <c r="P772" i="9"/>
  <c r="O772" i="9"/>
  <c r="N772" i="9"/>
  <c r="M772" i="9"/>
  <c r="L772" i="9"/>
  <c r="K772" i="9"/>
  <c r="J772" i="9"/>
  <c r="I772" i="9"/>
  <c r="H772" i="9"/>
  <c r="G772" i="9"/>
  <c r="F772" i="9"/>
  <c r="E772" i="9"/>
  <c r="D772" i="9"/>
  <c r="C772" i="9"/>
  <c r="B772" i="9"/>
  <c r="A772" i="9"/>
  <c r="W771" i="9"/>
  <c r="V771" i="9"/>
  <c r="U771" i="9"/>
  <c r="T771" i="9"/>
  <c r="S771" i="9"/>
  <c r="R771" i="9"/>
  <c r="Q771" i="9"/>
  <c r="P771" i="9"/>
  <c r="O771" i="9"/>
  <c r="N771" i="9"/>
  <c r="M771" i="9"/>
  <c r="L771" i="9"/>
  <c r="K771" i="9"/>
  <c r="J771" i="9"/>
  <c r="I771" i="9"/>
  <c r="H771" i="9"/>
  <c r="G771" i="9"/>
  <c r="F771" i="9"/>
  <c r="E771" i="9"/>
  <c r="D771" i="9"/>
  <c r="C771" i="9"/>
  <c r="B771" i="9"/>
  <c r="A771" i="9"/>
  <c r="W770" i="9"/>
  <c r="V770" i="9"/>
  <c r="U770" i="9"/>
  <c r="T770" i="9"/>
  <c r="S770" i="9"/>
  <c r="R770" i="9"/>
  <c r="Q770" i="9"/>
  <c r="P770" i="9"/>
  <c r="O770" i="9"/>
  <c r="N770" i="9"/>
  <c r="M770" i="9"/>
  <c r="L770" i="9"/>
  <c r="K770" i="9"/>
  <c r="J770" i="9"/>
  <c r="I770" i="9"/>
  <c r="H770" i="9"/>
  <c r="G770" i="9"/>
  <c r="F770" i="9"/>
  <c r="E770" i="9"/>
  <c r="D770" i="9"/>
  <c r="C770" i="9"/>
  <c r="B770" i="9"/>
  <c r="A770" i="9"/>
  <c r="W769" i="9"/>
  <c r="V769" i="9"/>
  <c r="U769" i="9"/>
  <c r="T769" i="9"/>
  <c r="S769" i="9"/>
  <c r="R769" i="9"/>
  <c r="Q769" i="9"/>
  <c r="P769" i="9"/>
  <c r="O769" i="9"/>
  <c r="N769" i="9"/>
  <c r="M769" i="9"/>
  <c r="L769" i="9"/>
  <c r="K769" i="9"/>
  <c r="J769" i="9"/>
  <c r="I769" i="9"/>
  <c r="H769" i="9"/>
  <c r="G769" i="9"/>
  <c r="F769" i="9"/>
  <c r="E769" i="9"/>
  <c r="D769" i="9"/>
  <c r="C769" i="9"/>
  <c r="B769" i="9"/>
  <c r="A769" i="9"/>
  <c r="W768" i="9"/>
  <c r="V768" i="9"/>
  <c r="U768" i="9"/>
  <c r="T768" i="9"/>
  <c r="S768" i="9"/>
  <c r="R768" i="9"/>
  <c r="Q768" i="9"/>
  <c r="P768" i="9"/>
  <c r="O768" i="9"/>
  <c r="N768" i="9"/>
  <c r="M768" i="9"/>
  <c r="L768" i="9"/>
  <c r="K768" i="9"/>
  <c r="J768" i="9"/>
  <c r="I768" i="9"/>
  <c r="H768" i="9"/>
  <c r="G768" i="9"/>
  <c r="F768" i="9"/>
  <c r="E768" i="9"/>
  <c r="D768" i="9"/>
  <c r="C768" i="9"/>
  <c r="B768" i="9"/>
  <c r="A768" i="9"/>
  <c r="W767" i="9"/>
  <c r="V767" i="9"/>
  <c r="U767" i="9"/>
  <c r="T767" i="9"/>
  <c r="S767" i="9"/>
  <c r="R767" i="9"/>
  <c r="Q767" i="9"/>
  <c r="P767" i="9"/>
  <c r="O767" i="9"/>
  <c r="N767" i="9"/>
  <c r="M767" i="9"/>
  <c r="L767" i="9"/>
  <c r="K767" i="9"/>
  <c r="J767" i="9"/>
  <c r="I767" i="9"/>
  <c r="H767" i="9"/>
  <c r="G767" i="9"/>
  <c r="F767" i="9"/>
  <c r="E767" i="9"/>
  <c r="D767" i="9"/>
  <c r="C767" i="9"/>
  <c r="B767" i="9"/>
  <c r="A767" i="9"/>
  <c r="W766" i="9"/>
  <c r="V766" i="9"/>
  <c r="U766" i="9"/>
  <c r="T766" i="9"/>
  <c r="S766" i="9"/>
  <c r="R766" i="9"/>
  <c r="Q766" i="9"/>
  <c r="P766" i="9"/>
  <c r="O766" i="9"/>
  <c r="N766" i="9"/>
  <c r="M766" i="9"/>
  <c r="L766" i="9"/>
  <c r="K766" i="9"/>
  <c r="J766" i="9"/>
  <c r="I766" i="9"/>
  <c r="H766" i="9"/>
  <c r="G766" i="9"/>
  <c r="F766" i="9"/>
  <c r="E766" i="9"/>
  <c r="D766" i="9"/>
  <c r="C766" i="9"/>
  <c r="B766" i="9"/>
  <c r="A766" i="9"/>
  <c r="W765" i="9"/>
  <c r="V765" i="9"/>
  <c r="U765" i="9"/>
  <c r="T765" i="9"/>
  <c r="S765" i="9"/>
  <c r="R765" i="9"/>
  <c r="Q765" i="9"/>
  <c r="P765" i="9"/>
  <c r="O765" i="9"/>
  <c r="N765" i="9"/>
  <c r="M765" i="9"/>
  <c r="L765" i="9"/>
  <c r="K765" i="9"/>
  <c r="J765" i="9"/>
  <c r="I765" i="9"/>
  <c r="H765" i="9"/>
  <c r="G765" i="9"/>
  <c r="F765" i="9"/>
  <c r="E765" i="9"/>
  <c r="D765" i="9"/>
  <c r="C765" i="9"/>
  <c r="B765" i="9"/>
  <c r="A765" i="9"/>
  <c r="W764" i="9"/>
  <c r="V764" i="9"/>
  <c r="U764" i="9"/>
  <c r="T764" i="9"/>
  <c r="S764" i="9"/>
  <c r="R764" i="9"/>
  <c r="Q764" i="9"/>
  <c r="P764" i="9"/>
  <c r="O764" i="9"/>
  <c r="N764" i="9"/>
  <c r="M764" i="9"/>
  <c r="L764" i="9"/>
  <c r="K764" i="9"/>
  <c r="J764" i="9"/>
  <c r="I764" i="9"/>
  <c r="H764" i="9"/>
  <c r="G764" i="9"/>
  <c r="F764" i="9"/>
  <c r="E764" i="9"/>
  <c r="D764" i="9"/>
  <c r="C764" i="9"/>
  <c r="B764" i="9"/>
  <c r="A764" i="9"/>
  <c r="W763" i="9"/>
  <c r="V763" i="9"/>
  <c r="U763" i="9"/>
  <c r="T763" i="9"/>
  <c r="S763" i="9"/>
  <c r="R763" i="9"/>
  <c r="Q763" i="9"/>
  <c r="P763" i="9"/>
  <c r="O763" i="9"/>
  <c r="N763" i="9"/>
  <c r="M763" i="9"/>
  <c r="L763" i="9"/>
  <c r="K763" i="9"/>
  <c r="J763" i="9"/>
  <c r="I763" i="9"/>
  <c r="H763" i="9"/>
  <c r="G763" i="9"/>
  <c r="F763" i="9"/>
  <c r="E763" i="9"/>
  <c r="D763" i="9"/>
  <c r="C763" i="9"/>
  <c r="B763" i="9"/>
  <c r="A763" i="9"/>
  <c r="W762" i="9"/>
  <c r="V762" i="9"/>
  <c r="U762" i="9"/>
  <c r="T762" i="9"/>
  <c r="S762" i="9"/>
  <c r="R762" i="9"/>
  <c r="Q762" i="9"/>
  <c r="P762" i="9"/>
  <c r="O762" i="9"/>
  <c r="N762" i="9"/>
  <c r="M762" i="9"/>
  <c r="L762" i="9"/>
  <c r="K762" i="9"/>
  <c r="J762" i="9"/>
  <c r="I762" i="9"/>
  <c r="H762" i="9"/>
  <c r="G762" i="9"/>
  <c r="F762" i="9"/>
  <c r="E762" i="9"/>
  <c r="D762" i="9"/>
  <c r="C762" i="9"/>
  <c r="B762" i="9"/>
  <c r="A762" i="9"/>
  <c r="W761" i="9"/>
  <c r="V761" i="9"/>
  <c r="U761" i="9"/>
  <c r="T761" i="9"/>
  <c r="S761" i="9"/>
  <c r="R761" i="9"/>
  <c r="Q761" i="9"/>
  <c r="P761" i="9"/>
  <c r="O761" i="9"/>
  <c r="N761" i="9"/>
  <c r="M761" i="9"/>
  <c r="L761" i="9"/>
  <c r="K761" i="9"/>
  <c r="J761" i="9"/>
  <c r="I761" i="9"/>
  <c r="H761" i="9"/>
  <c r="G761" i="9"/>
  <c r="F761" i="9"/>
  <c r="E761" i="9"/>
  <c r="D761" i="9"/>
  <c r="C761" i="9"/>
  <c r="B761" i="9"/>
  <c r="A761" i="9"/>
  <c r="W760" i="9"/>
  <c r="V760" i="9"/>
  <c r="U760" i="9"/>
  <c r="T760" i="9"/>
  <c r="S760" i="9"/>
  <c r="R760" i="9"/>
  <c r="Q760" i="9"/>
  <c r="P760" i="9"/>
  <c r="O760" i="9"/>
  <c r="N760" i="9"/>
  <c r="M760" i="9"/>
  <c r="L760" i="9"/>
  <c r="K760" i="9"/>
  <c r="J760" i="9"/>
  <c r="I760" i="9"/>
  <c r="H760" i="9"/>
  <c r="G760" i="9"/>
  <c r="F760" i="9"/>
  <c r="E760" i="9"/>
  <c r="D760" i="9"/>
  <c r="C760" i="9"/>
  <c r="B760" i="9"/>
  <c r="A760" i="9"/>
  <c r="W759" i="9"/>
  <c r="V759" i="9"/>
  <c r="U759" i="9"/>
  <c r="T759" i="9"/>
  <c r="S759" i="9"/>
  <c r="R759" i="9"/>
  <c r="Q759" i="9"/>
  <c r="P759" i="9"/>
  <c r="O759" i="9"/>
  <c r="N759" i="9"/>
  <c r="M759" i="9"/>
  <c r="L759" i="9"/>
  <c r="K759" i="9"/>
  <c r="J759" i="9"/>
  <c r="I759" i="9"/>
  <c r="H759" i="9"/>
  <c r="G759" i="9"/>
  <c r="F759" i="9"/>
  <c r="E759" i="9"/>
  <c r="D759" i="9"/>
  <c r="C759" i="9"/>
  <c r="B759" i="9"/>
  <c r="A759" i="9"/>
  <c r="W758" i="9"/>
  <c r="V758" i="9"/>
  <c r="U758" i="9"/>
  <c r="T758" i="9"/>
  <c r="S758" i="9"/>
  <c r="R758" i="9"/>
  <c r="Q758" i="9"/>
  <c r="P758" i="9"/>
  <c r="O758" i="9"/>
  <c r="N758" i="9"/>
  <c r="M758" i="9"/>
  <c r="L758" i="9"/>
  <c r="K758" i="9"/>
  <c r="J758" i="9"/>
  <c r="I758" i="9"/>
  <c r="H758" i="9"/>
  <c r="G758" i="9"/>
  <c r="F758" i="9"/>
  <c r="E758" i="9"/>
  <c r="D758" i="9"/>
  <c r="C758" i="9"/>
  <c r="B758" i="9"/>
  <c r="A758" i="9"/>
  <c r="W757" i="9"/>
  <c r="V757" i="9"/>
  <c r="U757" i="9"/>
  <c r="T757" i="9"/>
  <c r="S757" i="9"/>
  <c r="R757" i="9"/>
  <c r="Q757" i="9"/>
  <c r="P757" i="9"/>
  <c r="O757" i="9"/>
  <c r="N757" i="9"/>
  <c r="M757" i="9"/>
  <c r="L757" i="9"/>
  <c r="K757" i="9"/>
  <c r="J757" i="9"/>
  <c r="I757" i="9"/>
  <c r="H757" i="9"/>
  <c r="G757" i="9"/>
  <c r="F757" i="9"/>
  <c r="E757" i="9"/>
  <c r="D757" i="9"/>
  <c r="C757" i="9"/>
  <c r="B757" i="9"/>
  <c r="A757" i="9"/>
  <c r="W756" i="9"/>
  <c r="V756" i="9"/>
  <c r="U756" i="9"/>
  <c r="T756" i="9"/>
  <c r="S756" i="9"/>
  <c r="R756" i="9"/>
  <c r="Q756" i="9"/>
  <c r="P756" i="9"/>
  <c r="O756" i="9"/>
  <c r="N756" i="9"/>
  <c r="M756" i="9"/>
  <c r="L756" i="9"/>
  <c r="K756" i="9"/>
  <c r="J756" i="9"/>
  <c r="I756" i="9"/>
  <c r="H756" i="9"/>
  <c r="G756" i="9"/>
  <c r="F756" i="9"/>
  <c r="E756" i="9"/>
  <c r="D756" i="9"/>
  <c r="C756" i="9"/>
  <c r="B756" i="9"/>
  <c r="A756" i="9"/>
  <c r="W755" i="9"/>
  <c r="V755" i="9"/>
  <c r="U755" i="9"/>
  <c r="T755" i="9"/>
  <c r="S755" i="9"/>
  <c r="R755" i="9"/>
  <c r="Q755" i="9"/>
  <c r="P755" i="9"/>
  <c r="O755" i="9"/>
  <c r="N755" i="9"/>
  <c r="M755" i="9"/>
  <c r="L755" i="9"/>
  <c r="K755" i="9"/>
  <c r="J755" i="9"/>
  <c r="I755" i="9"/>
  <c r="H755" i="9"/>
  <c r="G755" i="9"/>
  <c r="F755" i="9"/>
  <c r="E755" i="9"/>
  <c r="D755" i="9"/>
  <c r="C755" i="9"/>
  <c r="B755" i="9"/>
  <c r="A755" i="9"/>
  <c r="W754" i="9"/>
  <c r="V754" i="9"/>
  <c r="U754" i="9"/>
  <c r="T754" i="9"/>
  <c r="S754" i="9"/>
  <c r="R754" i="9"/>
  <c r="Q754" i="9"/>
  <c r="P754" i="9"/>
  <c r="O754" i="9"/>
  <c r="N754" i="9"/>
  <c r="M754" i="9"/>
  <c r="L754" i="9"/>
  <c r="K754" i="9"/>
  <c r="J754" i="9"/>
  <c r="I754" i="9"/>
  <c r="H754" i="9"/>
  <c r="G754" i="9"/>
  <c r="F754" i="9"/>
  <c r="E754" i="9"/>
  <c r="D754" i="9"/>
  <c r="C754" i="9"/>
  <c r="B754" i="9"/>
  <c r="A754" i="9"/>
  <c r="W753" i="9"/>
  <c r="V753" i="9"/>
  <c r="U753" i="9"/>
  <c r="T753" i="9"/>
  <c r="S753" i="9"/>
  <c r="R753" i="9"/>
  <c r="Q753" i="9"/>
  <c r="P753" i="9"/>
  <c r="O753" i="9"/>
  <c r="N753" i="9"/>
  <c r="M753" i="9"/>
  <c r="L753" i="9"/>
  <c r="K753" i="9"/>
  <c r="J753" i="9"/>
  <c r="I753" i="9"/>
  <c r="H753" i="9"/>
  <c r="G753" i="9"/>
  <c r="F753" i="9"/>
  <c r="E753" i="9"/>
  <c r="D753" i="9"/>
  <c r="C753" i="9"/>
  <c r="B753" i="9"/>
  <c r="A753" i="9"/>
  <c r="W752" i="9"/>
  <c r="V752" i="9"/>
  <c r="U752" i="9"/>
  <c r="T752" i="9"/>
  <c r="S752" i="9"/>
  <c r="R752" i="9"/>
  <c r="Q752" i="9"/>
  <c r="P752" i="9"/>
  <c r="O752" i="9"/>
  <c r="N752" i="9"/>
  <c r="M752" i="9"/>
  <c r="L752" i="9"/>
  <c r="K752" i="9"/>
  <c r="J752" i="9"/>
  <c r="I752" i="9"/>
  <c r="H752" i="9"/>
  <c r="G752" i="9"/>
  <c r="F752" i="9"/>
  <c r="E752" i="9"/>
  <c r="D752" i="9"/>
  <c r="C752" i="9"/>
  <c r="B752" i="9"/>
  <c r="A752" i="9"/>
  <c r="W751" i="9"/>
  <c r="V751" i="9"/>
  <c r="U751" i="9"/>
  <c r="T751" i="9"/>
  <c r="S751" i="9"/>
  <c r="R751" i="9"/>
  <c r="Q751" i="9"/>
  <c r="P751" i="9"/>
  <c r="O751" i="9"/>
  <c r="N751" i="9"/>
  <c r="M751" i="9"/>
  <c r="L751" i="9"/>
  <c r="K751" i="9"/>
  <c r="J751" i="9"/>
  <c r="I751" i="9"/>
  <c r="H751" i="9"/>
  <c r="G751" i="9"/>
  <c r="F751" i="9"/>
  <c r="E751" i="9"/>
  <c r="D751" i="9"/>
  <c r="C751" i="9"/>
  <c r="B751" i="9"/>
  <c r="A751" i="9"/>
  <c r="W750" i="9"/>
  <c r="V750" i="9"/>
  <c r="U750" i="9"/>
  <c r="T750" i="9"/>
  <c r="S750" i="9"/>
  <c r="R750" i="9"/>
  <c r="Q750" i="9"/>
  <c r="P750" i="9"/>
  <c r="O750" i="9"/>
  <c r="N750" i="9"/>
  <c r="M750" i="9"/>
  <c r="L750" i="9"/>
  <c r="K750" i="9"/>
  <c r="J750" i="9"/>
  <c r="I750" i="9"/>
  <c r="H750" i="9"/>
  <c r="G750" i="9"/>
  <c r="F750" i="9"/>
  <c r="E750" i="9"/>
  <c r="D750" i="9"/>
  <c r="C750" i="9"/>
  <c r="B750" i="9"/>
  <c r="A750" i="9"/>
  <c r="W749" i="9"/>
  <c r="V749" i="9"/>
  <c r="U749" i="9"/>
  <c r="T749" i="9"/>
  <c r="S749" i="9"/>
  <c r="R749" i="9"/>
  <c r="Q749" i="9"/>
  <c r="P749" i="9"/>
  <c r="O749" i="9"/>
  <c r="N749" i="9"/>
  <c r="M749" i="9"/>
  <c r="L749" i="9"/>
  <c r="K749" i="9"/>
  <c r="J749" i="9"/>
  <c r="I749" i="9"/>
  <c r="H749" i="9"/>
  <c r="G749" i="9"/>
  <c r="F749" i="9"/>
  <c r="E749" i="9"/>
  <c r="D749" i="9"/>
  <c r="C749" i="9"/>
  <c r="B749" i="9"/>
  <c r="A749" i="9"/>
  <c r="W748" i="9"/>
  <c r="V748" i="9"/>
  <c r="U748" i="9"/>
  <c r="T748" i="9"/>
  <c r="S748" i="9"/>
  <c r="R748" i="9"/>
  <c r="Q748" i="9"/>
  <c r="P748" i="9"/>
  <c r="O748" i="9"/>
  <c r="N748" i="9"/>
  <c r="M748" i="9"/>
  <c r="L748" i="9"/>
  <c r="K748" i="9"/>
  <c r="J748" i="9"/>
  <c r="I748" i="9"/>
  <c r="H748" i="9"/>
  <c r="G748" i="9"/>
  <c r="F748" i="9"/>
  <c r="E748" i="9"/>
  <c r="D748" i="9"/>
  <c r="C748" i="9"/>
  <c r="B748" i="9"/>
  <c r="A748" i="9"/>
  <c r="W747" i="9"/>
  <c r="V747" i="9"/>
  <c r="U747" i="9"/>
  <c r="T747" i="9"/>
  <c r="S747" i="9"/>
  <c r="R747" i="9"/>
  <c r="Q747" i="9"/>
  <c r="P747" i="9"/>
  <c r="O747" i="9"/>
  <c r="N747" i="9"/>
  <c r="M747" i="9"/>
  <c r="L747" i="9"/>
  <c r="K747" i="9"/>
  <c r="J747" i="9"/>
  <c r="I747" i="9"/>
  <c r="H747" i="9"/>
  <c r="G747" i="9"/>
  <c r="F747" i="9"/>
  <c r="E747" i="9"/>
  <c r="D747" i="9"/>
  <c r="C747" i="9"/>
  <c r="B747" i="9"/>
  <c r="A747" i="9"/>
  <c r="W746" i="9"/>
  <c r="V746" i="9"/>
  <c r="U746" i="9"/>
  <c r="T746" i="9"/>
  <c r="S746" i="9"/>
  <c r="R746" i="9"/>
  <c r="Q746" i="9"/>
  <c r="P746" i="9"/>
  <c r="O746" i="9"/>
  <c r="N746" i="9"/>
  <c r="M746" i="9"/>
  <c r="L746" i="9"/>
  <c r="K746" i="9"/>
  <c r="J746" i="9"/>
  <c r="I746" i="9"/>
  <c r="H746" i="9"/>
  <c r="G746" i="9"/>
  <c r="F746" i="9"/>
  <c r="E746" i="9"/>
  <c r="D746" i="9"/>
  <c r="C746" i="9"/>
  <c r="B746" i="9"/>
  <c r="A746" i="9"/>
  <c r="W745" i="9"/>
  <c r="V745" i="9"/>
  <c r="U745" i="9"/>
  <c r="T745" i="9"/>
  <c r="S745" i="9"/>
  <c r="R745" i="9"/>
  <c r="Q745" i="9"/>
  <c r="P745" i="9"/>
  <c r="O745" i="9"/>
  <c r="N745" i="9"/>
  <c r="M745" i="9"/>
  <c r="L745" i="9"/>
  <c r="K745" i="9"/>
  <c r="J745" i="9"/>
  <c r="I745" i="9"/>
  <c r="H745" i="9"/>
  <c r="G745" i="9"/>
  <c r="F745" i="9"/>
  <c r="E745" i="9"/>
  <c r="D745" i="9"/>
  <c r="C745" i="9"/>
  <c r="B745" i="9"/>
  <c r="A745" i="9"/>
  <c r="W744" i="9"/>
  <c r="V744" i="9"/>
  <c r="U744" i="9"/>
  <c r="T744" i="9"/>
  <c r="S744" i="9"/>
  <c r="R744" i="9"/>
  <c r="Q744" i="9"/>
  <c r="P744" i="9"/>
  <c r="O744" i="9"/>
  <c r="N744" i="9"/>
  <c r="M744" i="9"/>
  <c r="L744" i="9"/>
  <c r="K744" i="9"/>
  <c r="J744" i="9"/>
  <c r="I744" i="9"/>
  <c r="H744" i="9"/>
  <c r="G744" i="9"/>
  <c r="F744" i="9"/>
  <c r="E744" i="9"/>
  <c r="D744" i="9"/>
  <c r="C744" i="9"/>
  <c r="B744" i="9"/>
  <c r="A744" i="9"/>
  <c r="W743" i="9"/>
  <c r="V743" i="9"/>
  <c r="U743" i="9"/>
  <c r="T743" i="9"/>
  <c r="S743" i="9"/>
  <c r="R743" i="9"/>
  <c r="Q743" i="9"/>
  <c r="P743" i="9"/>
  <c r="O743" i="9"/>
  <c r="N743" i="9"/>
  <c r="M743" i="9"/>
  <c r="L743" i="9"/>
  <c r="K743" i="9"/>
  <c r="J743" i="9"/>
  <c r="I743" i="9"/>
  <c r="H743" i="9"/>
  <c r="G743" i="9"/>
  <c r="F743" i="9"/>
  <c r="E743" i="9"/>
  <c r="D743" i="9"/>
  <c r="C743" i="9"/>
  <c r="B743" i="9"/>
  <c r="A743" i="9"/>
  <c r="W742" i="9"/>
  <c r="V742" i="9"/>
  <c r="U742" i="9"/>
  <c r="T742" i="9"/>
  <c r="S742" i="9"/>
  <c r="R742" i="9"/>
  <c r="Q742" i="9"/>
  <c r="P742" i="9"/>
  <c r="O742" i="9"/>
  <c r="N742" i="9"/>
  <c r="M742" i="9"/>
  <c r="L742" i="9"/>
  <c r="K742" i="9"/>
  <c r="J742" i="9"/>
  <c r="I742" i="9"/>
  <c r="H742" i="9"/>
  <c r="G742" i="9"/>
  <c r="F742" i="9"/>
  <c r="E742" i="9"/>
  <c r="D742" i="9"/>
  <c r="C742" i="9"/>
  <c r="B742" i="9"/>
  <c r="A742" i="9"/>
  <c r="W741" i="9"/>
  <c r="V741" i="9"/>
  <c r="U741" i="9"/>
  <c r="T741" i="9"/>
  <c r="S741" i="9"/>
  <c r="R741" i="9"/>
  <c r="Q741" i="9"/>
  <c r="P741" i="9"/>
  <c r="O741" i="9"/>
  <c r="N741" i="9"/>
  <c r="M741" i="9"/>
  <c r="L741" i="9"/>
  <c r="K741" i="9"/>
  <c r="J741" i="9"/>
  <c r="I741" i="9"/>
  <c r="H741" i="9"/>
  <c r="G741" i="9"/>
  <c r="F741" i="9"/>
  <c r="E741" i="9"/>
  <c r="D741" i="9"/>
  <c r="C741" i="9"/>
  <c r="B741" i="9"/>
  <c r="A741" i="9"/>
  <c r="W740" i="9"/>
  <c r="V740" i="9"/>
  <c r="U740" i="9"/>
  <c r="T740" i="9"/>
  <c r="S740" i="9"/>
  <c r="R740" i="9"/>
  <c r="Q740" i="9"/>
  <c r="P740" i="9"/>
  <c r="O740" i="9"/>
  <c r="N740" i="9"/>
  <c r="M740" i="9"/>
  <c r="L740" i="9"/>
  <c r="K740" i="9"/>
  <c r="J740" i="9"/>
  <c r="I740" i="9"/>
  <c r="H740" i="9"/>
  <c r="G740" i="9"/>
  <c r="F740" i="9"/>
  <c r="E740" i="9"/>
  <c r="D740" i="9"/>
  <c r="C740" i="9"/>
  <c r="B740" i="9"/>
  <c r="A740" i="9"/>
  <c r="W739" i="9"/>
  <c r="V739" i="9"/>
  <c r="U739" i="9"/>
  <c r="T739" i="9"/>
  <c r="S739" i="9"/>
  <c r="R739" i="9"/>
  <c r="Q739" i="9"/>
  <c r="P739" i="9"/>
  <c r="O739" i="9"/>
  <c r="N739" i="9"/>
  <c r="M739" i="9"/>
  <c r="L739" i="9"/>
  <c r="K739" i="9"/>
  <c r="J739" i="9"/>
  <c r="I739" i="9"/>
  <c r="H739" i="9"/>
  <c r="G739" i="9"/>
  <c r="F739" i="9"/>
  <c r="E739" i="9"/>
  <c r="D739" i="9"/>
  <c r="C739" i="9"/>
  <c r="B739" i="9"/>
  <c r="A739" i="9"/>
  <c r="W738" i="9"/>
  <c r="V738" i="9"/>
  <c r="U738" i="9"/>
  <c r="T738" i="9"/>
  <c r="S738" i="9"/>
  <c r="R738" i="9"/>
  <c r="Q738" i="9"/>
  <c r="P738" i="9"/>
  <c r="O738" i="9"/>
  <c r="N738" i="9"/>
  <c r="M738" i="9"/>
  <c r="L738" i="9"/>
  <c r="K738" i="9"/>
  <c r="J738" i="9"/>
  <c r="I738" i="9"/>
  <c r="H738" i="9"/>
  <c r="G738" i="9"/>
  <c r="F738" i="9"/>
  <c r="E738" i="9"/>
  <c r="D738" i="9"/>
  <c r="C738" i="9"/>
  <c r="B738" i="9"/>
  <c r="A738" i="9"/>
  <c r="W737" i="9"/>
  <c r="V737" i="9"/>
  <c r="U737" i="9"/>
  <c r="T737" i="9"/>
  <c r="S737" i="9"/>
  <c r="R737" i="9"/>
  <c r="Q737" i="9"/>
  <c r="P737" i="9"/>
  <c r="O737" i="9"/>
  <c r="N737" i="9"/>
  <c r="M737" i="9"/>
  <c r="L737" i="9"/>
  <c r="K737" i="9"/>
  <c r="J737" i="9"/>
  <c r="I737" i="9"/>
  <c r="H737" i="9"/>
  <c r="G737" i="9"/>
  <c r="F737" i="9"/>
  <c r="E737" i="9"/>
  <c r="D737" i="9"/>
  <c r="C737" i="9"/>
  <c r="B737" i="9"/>
  <c r="A737" i="9"/>
  <c r="W736" i="9"/>
  <c r="V736" i="9"/>
  <c r="U736" i="9"/>
  <c r="T736" i="9"/>
  <c r="S736" i="9"/>
  <c r="R736" i="9"/>
  <c r="Q736" i="9"/>
  <c r="P736" i="9"/>
  <c r="O736" i="9"/>
  <c r="N736" i="9"/>
  <c r="M736" i="9"/>
  <c r="L736" i="9"/>
  <c r="K736" i="9"/>
  <c r="J736" i="9"/>
  <c r="I736" i="9"/>
  <c r="H736" i="9"/>
  <c r="G736" i="9"/>
  <c r="F736" i="9"/>
  <c r="E736" i="9"/>
  <c r="D736" i="9"/>
  <c r="C736" i="9"/>
  <c r="B736" i="9"/>
  <c r="A736" i="9"/>
  <c r="W735" i="9"/>
  <c r="V735" i="9"/>
  <c r="U735" i="9"/>
  <c r="T735" i="9"/>
  <c r="S735" i="9"/>
  <c r="R735" i="9"/>
  <c r="Q735" i="9"/>
  <c r="P735" i="9"/>
  <c r="O735" i="9"/>
  <c r="N735" i="9"/>
  <c r="M735" i="9"/>
  <c r="L735" i="9"/>
  <c r="K735" i="9"/>
  <c r="J735" i="9"/>
  <c r="I735" i="9"/>
  <c r="H735" i="9"/>
  <c r="G735" i="9"/>
  <c r="F735" i="9"/>
  <c r="E735" i="9"/>
  <c r="D735" i="9"/>
  <c r="C735" i="9"/>
  <c r="B735" i="9"/>
  <c r="A735" i="9"/>
  <c r="W734" i="9"/>
  <c r="V734" i="9"/>
  <c r="U734" i="9"/>
  <c r="T734" i="9"/>
  <c r="S734" i="9"/>
  <c r="R734" i="9"/>
  <c r="Q734" i="9"/>
  <c r="P734" i="9"/>
  <c r="O734" i="9"/>
  <c r="N734" i="9"/>
  <c r="M734" i="9"/>
  <c r="L734" i="9"/>
  <c r="K734" i="9"/>
  <c r="J734" i="9"/>
  <c r="I734" i="9"/>
  <c r="H734" i="9"/>
  <c r="G734" i="9"/>
  <c r="F734" i="9"/>
  <c r="E734" i="9"/>
  <c r="D734" i="9"/>
  <c r="C734" i="9"/>
  <c r="B734" i="9"/>
  <c r="A734" i="9"/>
  <c r="W733" i="9"/>
  <c r="V733" i="9"/>
  <c r="U733" i="9"/>
  <c r="T733" i="9"/>
  <c r="S733" i="9"/>
  <c r="R733" i="9"/>
  <c r="Q733" i="9"/>
  <c r="P733" i="9"/>
  <c r="O733" i="9"/>
  <c r="N733" i="9"/>
  <c r="M733" i="9"/>
  <c r="L733" i="9"/>
  <c r="K733" i="9"/>
  <c r="J733" i="9"/>
  <c r="I733" i="9"/>
  <c r="H733" i="9"/>
  <c r="G733" i="9"/>
  <c r="F733" i="9"/>
  <c r="E733" i="9"/>
  <c r="D733" i="9"/>
  <c r="C733" i="9"/>
  <c r="B733" i="9"/>
  <c r="A733" i="9"/>
  <c r="W732" i="9"/>
  <c r="V732" i="9"/>
  <c r="U732" i="9"/>
  <c r="T732" i="9"/>
  <c r="S732" i="9"/>
  <c r="R732" i="9"/>
  <c r="Q732" i="9"/>
  <c r="P732" i="9"/>
  <c r="O732" i="9"/>
  <c r="N732" i="9"/>
  <c r="M732" i="9"/>
  <c r="L732" i="9"/>
  <c r="K732" i="9"/>
  <c r="J732" i="9"/>
  <c r="I732" i="9"/>
  <c r="H732" i="9"/>
  <c r="G732" i="9"/>
  <c r="F732" i="9"/>
  <c r="E732" i="9"/>
  <c r="D732" i="9"/>
  <c r="C732" i="9"/>
  <c r="B732" i="9"/>
  <c r="A732" i="9"/>
  <c r="W731" i="9"/>
  <c r="V731" i="9"/>
  <c r="U731" i="9"/>
  <c r="T731" i="9"/>
  <c r="S731" i="9"/>
  <c r="R731" i="9"/>
  <c r="Q731" i="9"/>
  <c r="P731" i="9"/>
  <c r="O731" i="9"/>
  <c r="N731" i="9"/>
  <c r="M731" i="9"/>
  <c r="L731" i="9"/>
  <c r="K731" i="9"/>
  <c r="J731" i="9"/>
  <c r="I731" i="9"/>
  <c r="H731" i="9"/>
  <c r="G731" i="9"/>
  <c r="F731" i="9"/>
  <c r="E731" i="9"/>
  <c r="D731" i="9"/>
  <c r="C731" i="9"/>
  <c r="B731" i="9"/>
  <c r="A731" i="9"/>
  <c r="W730" i="9"/>
  <c r="V730" i="9"/>
  <c r="U730" i="9"/>
  <c r="T730" i="9"/>
  <c r="S730" i="9"/>
  <c r="R730" i="9"/>
  <c r="Q730" i="9"/>
  <c r="P730" i="9"/>
  <c r="O730" i="9"/>
  <c r="N730" i="9"/>
  <c r="M730" i="9"/>
  <c r="L730" i="9"/>
  <c r="K730" i="9"/>
  <c r="J730" i="9"/>
  <c r="I730" i="9"/>
  <c r="H730" i="9"/>
  <c r="G730" i="9"/>
  <c r="F730" i="9"/>
  <c r="E730" i="9"/>
  <c r="D730" i="9"/>
  <c r="C730" i="9"/>
  <c r="B730" i="9"/>
  <c r="A730" i="9"/>
  <c r="W729" i="9"/>
  <c r="V729" i="9"/>
  <c r="U729" i="9"/>
  <c r="T729" i="9"/>
  <c r="S729" i="9"/>
  <c r="R729" i="9"/>
  <c r="Q729" i="9"/>
  <c r="P729" i="9"/>
  <c r="O729" i="9"/>
  <c r="N729" i="9"/>
  <c r="M729" i="9"/>
  <c r="L729" i="9"/>
  <c r="K729" i="9"/>
  <c r="J729" i="9"/>
  <c r="I729" i="9"/>
  <c r="H729" i="9"/>
  <c r="G729" i="9"/>
  <c r="F729" i="9"/>
  <c r="E729" i="9"/>
  <c r="D729" i="9"/>
  <c r="C729" i="9"/>
  <c r="B729" i="9"/>
  <c r="A729" i="9"/>
  <c r="W728" i="9"/>
  <c r="V728" i="9"/>
  <c r="U728" i="9"/>
  <c r="T728" i="9"/>
  <c r="S728" i="9"/>
  <c r="R728" i="9"/>
  <c r="Q728" i="9"/>
  <c r="P728" i="9"/>
  <c r="O728" i="9"/>
  <c r="N728" i="9"/>
  <c r="M728" i="9"/>
  <c r="L728" i="9"/>
  <c r="K728" i="9"/>
  <c r="J728" i="9"/>
  <c r="I728" i="9"/>
  <c r="H728" i="9"/>
  <c r="G728" i="9"/>
  <c r="F728" i="9"/>
  <c r="E728" i="9"/>
  <c r="D728" i="9"/>
  <c r="C728" i="9"/>
  <c r="B728" i="9"/>
  <c r="A728" i="9"/>
  <c r="W727" i="9"/>
  <c r="V727" i="9"/>
  <c r="U727" i="9"/>
  <c r="T727" i="9"/>
  <c r="S727" i="9"/>
  <c r="R727" i="9"/>
  <c r="Q727" i="9"/>
  <c r="P727" i="9"/>
  <c r="O727" i="9"/>
  <c r="N727" i="9"/>
  <c r="M727" i="9"/>
  <c r="L727" i="9"/>
  <c r="K727" i="9"/>
  <c r="J727" i="9"/>
  <c r="I727" i="9"/>
  <c r="H727" i="9"/>
  <c r="G727" i="9"/>
  <c r="F727" i="9"/>
  <c r="E727" i="9"/>
  <c r="D727" i="9"/>
  <c r="C727" i="9"/>
  <c r="B727" i="9"/>
  <c r="A727" i="9"/>
  <c r="W726" i="9"/>
  <c r="V726" i="9"/>
  <c r="U726" i="9"/>
  <c r="T726" i="9"/>
  <c r="S726" i="9"/>
  <c r="R726" i="9"/>
  <c r="Q726" i="9"/>
  <c r="P726" i="9"/>
  <c r="O726" i="9"/>
  <c r="N726" i="9"/>
  <c r="M726" i="9"/>
  <c r="L726" i="9"/>
  <c r="K726" i="9"/>
  <c r="J726" i="9"/>
  <c r="I726" i="9"/>
  <c r="H726" i="9"/>
  <c r="G726" i="9"/>
  <c r="F726" i="9"/>
  <c r="E726" i="9"/>
  <c r="D726" i="9"/>
  <c r="C726" i="9"/>
  <c r="B726" i="9"/>
  <c r="A726" i="9"/>
  <c r="W725" i="9"/>
  <c r="V725" i="9"/>
  <c r="U725" i="9"/>
  <c r="T725" i="9"/>
  <c r="S725" i="9"/>
  <c r="R725" i="9"/>
  <c r="Q725" i="9"/>
  <c r="P725" i="9"/>
  <c r="O725" i="9"/>
  <c r="N725" i="9"/>
  <c r="M725" i="9"/>
  <c r="L725" i="9"/>
  <c r="K725" i="9"/>
  <c r="J725" i="9"/>
  <c r="I725" i="9"/>
  <c r="H725" i="9"/>
  <c r="G725" i="9"/>
  <c r="F725" i="9"/>
  <c r="E725" i="9"/>
  <c r="D725" i="9"/>
  <c r="C725" i="9"/>
  <c r="B725" i="9"/>
  <c r="A725" i="9"/>
  <c r="W724" i="9"/>
  <c r="V724" i="9"/>
  <c r="U724" i="9"/>
  <c r="T724" i="9"/>
  <c r="S724" i="9"/>
  <c r="R724" i="9"/>
  <c r="Q724" i="9"/>
  <c r="P724" i="9"/>
  <c r="O724" i="9"/>
  <c r="N724" i="9"/>
  <c r="M724" i="9"/>
  <c r="L724" i="9"/>
  <c r="K724" i="9"/>
  <c r="J724" i="9"/>
  <c r="I724" i="9"/>
  <c r="H724" i="9"/>
  <c r="G724" i="9"/>
  <c r="F724" i="9"/>
  <c r="E724" i="9"/>
  <c r="D724" i="9"/>
  <c r="C724" i="9"/>
  <c r="B724" i="9"/>
  <c r="A724" i="9"/>
  <c r="W723" i="9"/>
  <c r="V723" i="9"/>
  <c r="U723" i="9"/>
  <c r="T723" i="9"/>
  <c r="S723" i="9"/>
  <c r="R723" i="9"/>
  <c r="Q723" i="9"/>
  <c r="P723" i="9"/>
  <c r="O723" i="9"/>
  <c r="N723" i="9"/>
  <c r="M723" i="9"/>
  <c r="L723" i="9"/>
  <c r="K723" i="9"/>
  <c r="J723" i="9"/>
  <c r="I723" i="9"/>
  <c r="H723" i="9"/>
  <c r="G723" i="9"/>
  <c r="F723" i="9"/>
  <c r="E723" i="9"/>
  <c r="D723" i="9"/>
  <c r="C723" i="9"/>
  <c r="B723" i="9"/>
  <c r="A723" i="9"/>
  <c r="W722" i="9"/>
  <c r="V722" i="9"/>
  <c r="U722" i="9"/>
  <c r="T722" i="9"/>
  <c r="S722" i="9"/>
  <c r="R722" i="9"/>
  <c r="Q722" i="9"/>
  <c r="P722" i="9"/>
  <c r="O722" i="9"/>
  <c r="N722" i="9"/>
  <c r="M722" i="9"/>
  <c r="L722" i="9"/>
  <c r="K722" i="9"/>
  <c r="J722" i="9"/>
  <c r="I722" i="9"/>
  <c r="H722" i="9"/>
  <c r="G722" i="9"/>
  <c r="F722" i="9"/>
  <c r="E722" i="9"/>
  <c r="D722" i="9"/>
  <c r="C722" i="9"/>
  <c r="B722" i="9"/>
  <c r="A722" i="9"/>
  <c r="W721" i="9"/>
  <c r="V721" i="9"/>
  <c r="U721" i="9"/>
  <c r="T721" i="9"/>
  <c r="S721" i="9"/>
  <c r="R721" i="9"/>
  <c r="Q721" i="9"/>
  <c r="P721" i="9"/>
  <c r="O721" i="9"/>
  <c r="N721" i="9"/>
  <c r="M721" i="9"/>
  <c r="L721" i="9"/>
  <c r="K721" i="9"/>
  <c r="J721" i="9"/>
  <c r="I721" i="9"/>
  <c r="H721" i="9"/>
  <c r="G721" i="9"/>
  <c r="F721" i="9"/>
  <c r="E721" i="9"/>
  <c r="D721" i="9"/>
  <c r="C721" i="9"/>
  <c r="B721" i="9"/>
  <c r="A721" i="9"/>
  <c r="W720" i="9"/>
  <c r="V720" i="9"/>
  <c r="U720" i="9"/>
  <c r="T720" i="9"/>
  <c r="S720" i="9"/>
  <c r="R720" i="9"/>
  <c r="Q720" i="9"/>
  <c r="P720" i="9"/>
  <c r="O720" i="9"/>
  <c r="N720" i="9"/>
  <c r="M720" i="9"/>
  <c r="L720" i="9"/>
  <c r="K720" i="9"/>
  <c r="J720" i="9"/>
  <c r="I720" i="9"/>
  <c r="H720" i="9"/>
  <c r="G720" i="9"/>
  <c r="F720" i="9"/>
  <c r="E720" i="9"/>
  <c r="D720" i="9"/>
  <c r="C720" i="9"/>
  <c r="B720" i="9"/>
  <c r="A720" i="9"/>
  <c r="W719" i="9"/>
  <c r="V719" i="9"/>
  <c r="U719" i="9"/>
  <c r="T719" i="9"/>
  <c r="S719" i="9"/>
  <c r="R719" i="9"/>
  <c r="Q719" i="9"/>
  <c r="P719" i="9"/>
  <c r="O719" i="9"/>
  <c r="N719" i="9"/>
  <c r="M719" i="9"/>
  <c r="L719" i="9"/>
  <c r="K719" i="9"/>
  <c r="J719" i="9"/>
  <c r="I719" i="9"/>
  <c r="H719" i="9"/>
  <c r="G719" i="9"/>
  <c r="F719" i="9"/>
  <c r="E719" i="9"/>
  <c r="D719" i="9"/>
  <c r="C719" i="9"/>
  <c r="B719" i="9"/>
  <c r="A719" i="9"/>
  <c r="W718" i="9"/>
  <c r="V718" i="9"/>
  <c r="U718" i="9"/>
  <c r="T718" i="9"/>
  <c r="S718" i="9"/>
  <c r="R718" i="9"/>
  <c r="Q718" i="9"/>
  <c r="P718" i="9"/>
  <c r="O718" i="9"/>
  <c r="N718" i="9"/>
  <c r="M718" i="9"/>
  <c r="L718" i="9"/>
  <c r="K718" i="9"/>
  <c r="J718" i="9"/>
  <c r="I718" i="9"/>
  <c r="H718" i="9"/>
  <c r="G718" i="9"/>
  <c r="F718" i="9"/>
  <c r="E718" i="9"/>
  <c r="D718" i="9"/>
  <c r="C718" i="9"/>
  <c r="B718" i="9"/>
  <c r="A718" i="9"/>
  <c r="W717" i="9"/>
  <c r="V717" i="9"/>
  <c r="U717" i="9"/>
  <c r="T717" i="9"/>
  <c r="S717" i="9"/>
  <c r="R717" i="9"/>
  <c r="Q717" i="9"/>
  <c r="P717" i="9"/>
  <c r="O717" i="9"/>
  <c r="N717" i="9"/>
  <c r="M717" i="9"/>
  <c r="L717" i="9"/>
  <c r="K717" i="9"/>
  <c r="J717" i="9"/>
  <c r="I717" i="9"/>
  <c r="H717" i="9"/>
  <c r="G717" i="9"/>
  <c r="F717" i="9"/>
  <c r="E717" i="9"/>
  <c r="D717" i="9"/>
  <c r="C717" i="9"/>
  <c r="B717" i="9"/>
  <c r="A717" i="9"/>
  <c r="W716" i="9"/>
  <c r="V716" i="9"/>
  <c r="U716" i="9"/>
  <c r="T716" i="9"/>
  <c r="S716" i="9"/>
  <c r="R716" i="9"/>
  <c r="Q716" i="9"/>
  <c r="P716" i="9"/>
  <c r="O716" i="9"/>
  <c r="N716" i="9"/>
  <c r="M716" i="9"/>
  <c r="L716" i="9"/>
  <c r="K716" i="9"/>
  <c r="J716" i="9"/>
  <c r="I716" i="9"/>
  <c r="H716" i="9"/>
  <c r="G716" i="9"/>
  <c r="F716" i="9"/>
  <c r="E716" i="9"/>
  <c r="D716" i="9"/>
  <c r="C716" i="9"/>
  <c r="B716" i="9"/>
  <c r="A716" i="9"/>
  <c r="W715" i="9"/>
  <c r="V715" i="9"/>
  <c r="U715" i="9"/>
  <c r="T715" i="9"/>
  <c r="S715" i="9"/>
  <c r="R715" i="9"/>
  <c r="Q715" i="9"/>
  <c r="P715" i="9"/>
  <c r="O715" i="9"/>
  <c r="N715" i="9"/>
  <c r="M715" i="9"/>
  <c r="L715" i="9"/>
  <c r="K715" i="9"/>
  <c r="J715" i="9"/>
  <c r="I715" i="9"/>
  <c r="H715" i="9"/>
  <c r="G715" i="9"/>
  <c r="F715" i="9"/>
  <c r="E715" i="9"/>
  <c r="D715" i="9"/>
  <c r="C715" i="9"/>
  <c r="B715" i="9"/>
  <c r="A715" i="9"/>
  <c r="W714" i="9"/>
  <c r="V714" i="9"/>
  <c r="U714" i="9"/>
  <c r="T714" i="9"/>
  <c r="S714" i="9"/>
  <c r="R714" i="9"/>
  <c r="Q714" i="9"/>
  <c r="P714" i="9"/>
  <c r="O714" i="9"/>
  <c r="N714" i="9"/>
  <c r="M714" i="9"/>
  <c r="L714" i="9"/>
  <c r="K714" i="9"/>
  <c r="J714" i="9"/>
  <c r="I714" i="9"/>
  <c r="H714" i="9"/>
  <c r="G714" i="9"/>
  <c r="F714" i="9"/>
  <c r="E714" i="9"/>
  <c r="D714" i="9"/>
  <c r="C714" i="9"/>
  <c r="B714" i="9"/>
  <c r="A714" i="9"/>
  <c r="W713" i="9"/>
  <c r="V713" i="9"/>
  <c r="U713" i="9"/>
  <c r="T713" i="9"/>
  <c r="S713" i="9"/>
  <c r="R713" i="9"/>
  <c r="Q713" i="9"/>
  <c r="P713" i="9"/>
  <c r="O713" i="9"/>
  <c r="N713" i="9"/>
  <c r="M713" i="9"/>
  <c r="L713" i="9"/>
  <c r="K713" i="9"/>
  <c r="J713" i="9"/>
  <c r="I713" i="9"/>
  <c r="H713" i="9"/>
  <c r="G713" i="9"/>
  <c r="F713" i="9"/>
  <c r="E713" i="9"/>
  <c r="D713" i="9"/>
  <c r="C713" i="9"/>
  <c r="B713" i="9"/>
  <c r="A713" i="9"/>
  <c r="W712" i="9"/>
  <c r="V712" i="9"/>
  <c r="U712" i="9"/>
  <c r="T712" i="9"/>
  <c r="S712" i="9"/>
  <c r="R712" i="9"/>
  <c r="Q712" i="9"/>
  <c r="P712" i="9"/>
  <c r="O712" i="9"/>
  <c r="N712" i="9"/>
  <c r="M712" i="9"/>
  <c r="L712" i="9"/>
  <c r="K712" i="9"/>
  <c r="J712" i="9"/>
  <c r="I712" i="9"/>
  <c r="H712" i="9"/>
  <c r="G712" i="9"/>
  <c r="F712" i="9"/>
  <c r="E712" i="9"/>
  <c r="D712" i="9"/>
  <c r="C712" i="9"/>
  <c r="B712" i="9"/>
  <c r="A712" i="9"/>
  <c r="W711" i="9"/>
  <c r="V711" i="9"/>
  <c r="U711" i="9"/>
  <c r="T711" i="9"/>
  <c r="S711" i="9"/>
  <c r="R711" i="9"/>
  <c r="Q711" i="9"/>
  <c r="P711" i="9"/>
  <c r="O711" i="9"/>
  <c r="N711" i="9"/>
  <c r="M711" i="9"/>
  <c r="L711" i="9"/>
  <c r="K711" i="9"/>
  <c r="J711" i="9"/>
  <c r="I711" i="9"/>
  <c r="H711" i="9"/>
  <c r="G711" i="9"/>
  <c r="F711" i="9"/>
  <c r="E711" i="9"/>
  <c r="D711" i="9"/>
  <c r="C711" i="9"/>
  <c r="B711" i="9"/>
  <c r="A711" i="9"/>
  <c r="W710" i="9"/>
  <c r="V710" i="9"/>
  <c r="U710" i="9"/>
  <c r="T710" i="9"/>
  <c r="S710" i="9"/>
  <c r="R710" i="9"/>
  <c r="Q710" i="9"/>
  <c r="P710" i="9"/>
  <c r="O710" i="9"/>
  <c r="N710" i="9"/>
  <c r="M710" i="9"/>
  <c r="L710" i="9"/>
  <c r="K710" i="9"/>
  <c r="J710" i="9"/>
  <c r="I710" i="9"/>
  <c r="H710" i="9"/>
  <c r="G710" i="9"/>
  <c r="F710" i="9"/>
  <c r="E710" i="9"/>
  <c r="D710" i="9"/>
  <c r="C710" i="9"/>
  <c r="B710" i="9"/>
  <c r="A710" i="9"/>
  <c r="W709" i="9"/>
  <c r="V709" i="9"/>
  <c r="U709" i="9"/>
  <c r="T709" i="9"/>
  <c r="S709" i="9"/>
  <c r="R709" i="9"/>
  <c r="Q709" i="9"/>
  <c r="P709" i="9"/>
  <c r="O709" i="9"/>
  <c r="N709" i="9"/>
  <c r="M709" i="9"/>
  <c r="L709" i="9"/>
  <c r="K709" i="9"/>
  <c r="J709" i="9"/>
  <c r="I709" i="9"/>
  <c r="H709" i="9"/>
  <c r="G709" i="9"/>
  <c r="F709" i="9"/>
  <c r="E709" i="9"/>
  <c r="D709" i="9"/>
  <c r="C709" i="9"/>
  <c r="B709" i="9"/>
  <c r="A709" i="9"/>
  <c r="W708" i="9"/>
  <c r="V708" i="9"/>
  <c r="U708" i="9"/>
  <c r="T708" i="9"/>
  <c r="S708" i="9"/>
  <c r="R708" i="9"/>
  <c r="Q708" i="9"/>
  <c r="P708" i="9"/>
  <c r="O708" i="9"/>
  <c r="N708" i="9"/>
  <c r="M708" i="9"/>
  <c r="L708" i="9"/>
  <c r="K708" i="9"/>
  <c r="J708" i="9"/>
  <c r="I708" i="9"/>
  <c r="H708" i="9"/>
  <c r="G708" i="9"/>
  <c r="F708" i="9"/>
  <c r="E708" i="9"/>
  <c r="D708" i="9"/>
  <c r="C708" i="9"/>
  <c r="B708" i="9"/>
  <c r="A708" i="9"/>
  <c r="W707" i="9"/>
  <c r="V707" i="9"/>
  <c r="U707" i="9"/>
  <c r="T707" i="9"/>
  <c r="S707" i="9"/>
  <c r="R707" i="9"/>
  <c r="Q707" i="9"/>
  <c r="P707" i="9"/>
  <c r="O707" i="9"/>
  <c r="N707" i="9"/>
  <c r="M707" i="9"/>
  <c r="L707" i="9"/>
  <c r="K707" i="9"/>
  <c r="J707" i="9"/>
  <c r="I707" i="9"/>
  <c r="H707" i="9"/>
  <c r="G707" i="9"/>
  <c r="F707" i="9"/>
  <c r="E707" i="9"/>
  <c r="D707" i="9"/>
  <c r="C707" i="9"/>
  <c r="B707" i="9"/>
  <c r="A707" i="9"/>
  <c r="W706" i="9"/>
  <c r="V706" i="9"/>
  <c r="U706" i="9"/>
  <c r="T706" i="9"/>
  <c r="S706" i="9"/>
  <c r="R706" i="9"/>
  <c r="Q706" i="9"/>
  <c r="P706" i="9"/>
  <c r="O706" i="9"/>
  <c r="N706" i="9"/>
  <c r="M706" i="9"/>
  <c r="L706" i="9"/>
  <c r="K706" i="9"/>
  <c r="J706" i="9"/>
  <c r="I706" i="9"/>
  <c r="H706" i="9"/>
  <c r="G706" i="9"/>
  <c r="F706" i="9"/>
  <c r="E706" i="9"/>
  <c r="D706" i="9"/>
  <c r="C706" i="9"/>
  <c r="B706" i="9"/>
  <c r="A706" i="9"/>
  <c r="W705" i="9"/>
  <c r="V705" i="9"/>
  <c r="U705" i="9"/>
  <c r="T705" i="9"/>
  <c r="S705" i="9"/>
  <c r="R705" i="9"/>
  <c r="Q705" i="9"/>
  <c r="P705" i="9"/>
  <c r="O705" i="9"/>
  <c r="N705" i="9"/>
  <c r="M705" i="9"/>
  <c r="L705" i="9"/>
  <c r="K705" i="9"/>
  <c r="J705" i="9"/>
  <c r="I705" i="9"/>
  <c r="H705" i="9"/>
  <c r="G705" i="9"/>
  <c r="F705" i="9"/>
  <c r="E705" i="9"/>
  <c r="D705" i="9"/>
  <c r="C705" i="9"/>
  <c r="B705" i="9"/>
  <c r="A705" i="9"/>
  <c r="W704" i="9"/>
  <c r="V704" i="9"/>
  <c r="U704" i="9"/>
  <c r="T704" i="9"/>
  <c r="S704" i="9"/>
  <c r="R704" i="9"/>
  <c r="Q704" i="9"/>
  <c r="P704" i="9"/>
  <c r="O704" i="9"/>
  <c r="N704" i="9"/>
  <c r="M704" i="9"/>
  <c r="L704" i="9"/>
  <c r="K704" i="9"/>
  <c r="J704" i="9"/>
  <c r="I704" i="9"/>
  <c r="H704" i="9"/>
  <c r="G704" i="9"/>
  <c r="F704" i="9"/>
  <c r="E704" i="9"/>
  <c r="D704" i="9"/>
  <c r="C704" i="9"/>
  <c r="B704" i="9"/>
  <c r="A704" i="9"/>
  <c r="W703" i="9"/>
  <c r="V703" i="9"/>
  <c r="U703" i="9"/>
  <c r="T703" i="9"/>
  <c r="S703" i="9"/>
  <c r="R703" i="9"/>
  <c r="Q703" i="9"/>
  <c r="P703" i="9"/>
  <c r="O703" i="9"/>
  <c r="N703" i="9"/>
  <c r="M703" i="9"/>
  <c r="L703" i="9"/>
  <c r="K703" i="9"/>
  <c r="J703" i="9"/>
  <c r="I703" i="9"/>
  <c r="H703" i="9"/>
  <c r="G703" i="9"/>
  <c r="F703" i="9"/>
  <c r="E703" i="9"/>
  <c r="D703" i="9"/>
  <c r="C703" i="9"/>
  <c r="B703" i="9"/>
  <c r="A703" i="9"/>
  <c r="W702" i="9"/>
  <c r="V702" i="9"/>
  <c r="U702" i="9"/>
  <c r="T702" i="9"/>
  <c r="S702" i="9"/>
  <c r="R702" i="9"/>
  <c r="Q702" i="9"/>
  <c r="P702" i="9"/>
  <c r="O702" i="9"/>
  <c r="N702" i="9"/>
  <c r="M702" i="9"/>
  <c r="L702" i="9"/>
  <c r="K702" i="9"/>
  <c r="J702" i="9"/>
  <c r="I702" i="9"/>
  <c r="H702" i="9"/>
  <c r="G702" i="9"/>
  <c r="F702" i="9"/>
  <c r="E702" i="9"/>
  <c r="D702" i="9"/>
  <c r="C702" i="9"/>
  <c r="B702" i="9"/>
  <c r="A702" i="9"/>
  <c r="W701" i="9"/>
  <c r="V701" i="9"/>
  <c r="U701" i="9"/>
  <c r="T701" i="9"/>
  <c r="S701" i="9"/>
  <c r="R701" i="9"/>
  <c r="Q701" i="9"/>
  <c r="P701" i="9"/>
  <c r="O701" i="9"/>
  <c r="N701" i="9"/>
  <c r="M701" i="9"/>
  <c r="L701" i="9"/>
  <c r="K701" i="9"/>
  <c r="J701" i="9"/>
  <c r="I701" i="9"/>
  <c r="H701" i="9"/>
  <c r="G701" i="9"/>
  <c r="F701" i="9"/>
  <c r="E701" i="9"/>
  <c r="D701" i="9"/>
  <c r="C701" i="9"/>
  <c r="B701" i="9"/>
  <c r="A701" i="9"/>
  <c r="W700" i="9"/>
  <c r="V700" i="9"/>
  <c r="U700" i="9"/>
  <c r="T700" i="9"/>
  <c r="S700" i="9"/>
  <c r="R700" i="9"/>
  <c r="Q700" i="9"/>
  <c r="P700" i="9"/>
  <c r="O700" i="9"/>
  <c r="N700" i="9"/>
  <c r="M700" i="9"/>
  <c r="L700" i="9"/>
  <c r="K700" i="9"/>
  <c r="J700" i="9"/>
  <c r="I700" i="9"/>
  <c r="H700" i="9"/>
  <c r="G700" i="9"/>
  <c r="F700" i="9"/>
  <c r="E700" i="9"/>
  <c r="D700" i="9"/>
  <c r="C700" i="9"/>
  <c r="B700" i="9"/>
  <c r="A700" i="9"/>
  <c r="W699" i="9"/>
  <c r="V699" i="9"/>
  <c r="U699" i="9"/>
  <c r="T699" i="9"/>
  <c r="S699" i="9"/>
  <c r="R699" i="9"/>
  <c r="Q699" i="9"/>
  <c r="P699" i="9"/>
  <c r="O699" i="9"/>
  <c r="N699" i="9"/>
  <c r="M699" i="9"/>
  <c r="L699" i="9"/>
  <c r="K699" i="9"/>
  <c r="J699" i="9"/>
  <c r="I699" i="9"/>
  <c r="H699" i="9"/>
  <c r="G699" i="9"/>
  <c r="F699" i="9"/>
  <c r="E699" i="9"/>
  <c r="D699" i="9"/>
  <c r="C699" i="9"/>
  <c r="B699" i="9"/>
  <c r="A699" i="9"/>
  <c r="W698" i="9"/>
  <c r="V698" i="9"/>
  <c r="U698" i="9"/>
  <c r="T698" i="9"/>
  <c r="S698" i="9"/>
  <c r="R698" i="9"/>
  <c r="Q698" i="9"/>
  <c r="P698" i="9"/>
  <c r="O698" i="9"/>
  <c r="N698" i="9"/>
  <c r="M698" i="9"/>
  <c r="L698" i="9"/>
  <c r="K698" i="9"/>
  <c r="J698" i="9"/>
  <c r="I698" i="9"/>
  <c r="H698" i="9"/>
  <c r="G698" i="9"/>
  <c r="F698" i="9"/>
  <c r="E698" i="9"/>
  <c r="D698" i="9"/>
  <c r="C698" i="9"/>
  <c r="B698" i="9"/>
  <c r="A698" i="9"/>
  <c r="W697" i="9"/>
  <c r="V697" i="9"/>
  <c r="U697" i="9"/>
  <c r="T697" i="9"/>
  <c r="S697" i="9"/>
  <c r="R697" i="9"/>
  <c r="Q697" i="9"/>
  <c r="P697" i="9"/>
  <c r="O697" i="9"/>
  <c r="N697" i="9"/>
  <c r="M697" i="9"/>
  <c r="L697" i="9"/>
  <c r="K697" i="9"/>
  <c r="J697" i="9"/>
  <c r="I697" i="9"/>
  <c r="H697" i="9"/>
  <c r="G697" i="9"/>
  <c r="F697" i="9"/>
  <c r="E697" i="9"/>
  <c r="D697" i="9"/>
  <c r="C697" i="9"/>
  <c r="B697" i="9"/>
  <c r="A697" i="9"/>
  <c r="W696" i="9"/>
  <c r="V696" i="9"/>
  <c r="U696" i="9"/>
  <c r="T696" i="9"/>
  <c r="S696" i="9"/>
  <c r="R696" i="9"/>
  <c r="Q696" i="9"/>
  <c r="P696" i="9"/>
  <c r="O696" i="9"/>
  <c r="N696" i="9"/>
  <c r="M696" i="9"/>
  <c r="L696" i="9"/>
  <c r="K696" i="9"/>
  <c r="J696" i="9"/>
  <c r="I696" i="9"/>
  <c r="H696" i="9"/>
  <c r="G696" i="9"/>
  <c r="F696" i="9"/>
  <c r="E696" i="9"/>
  <c r="D696" i="9"/>
  <c r="C696" i="9"/>
  <c r="B696" i="9"/>
  <c r="A696" i="9"/>
  <c r="W695" i="9"/>
  <c r="V695" i="9"/>
  <c r="U695" i="9"/>
  <c r="T695" i="9"/>
  <c r="S695" i="9"/>
  <c r="R695" i="9"/>
  <c r="Q695" i="9"/>
  <c r="P695" i="9"/>
  <c r="O695" i="9"/>
  <c r="N695" i="9"/>
  <c r="M695" i="9"/>
  <c r="L695" i="9"/>
  <c r="K695" i="9"/>
  <c r="J695" i="9"/>
  <c r="I695" i="9"/>
  <c r="H695" i="9"/>
  <c r="G695" i="9"/>
  <c r="F695" i="9"/>
  <c r="E695" i="9"/>
  <c r="D695" i="9"/>
  <c r="C695" i="9"/>
  <c r="B695" i="9"/>
  <c r="A695" i="9"/>
  <c r="W694" i="9"/>
  <c r="V694" i="9"/>
  <c r="U694" i="9"/>
  <c r="T694" i="9"/>
  <c r="S694" i="9"/>
  <c r="R694" i="9"/>
  <c r="Q694" i="9"/>
  <c r="P694" i="9"/>
  <c r="O694" i="9"/>
  <c r="N694" i="9"/>
  <c r="M694" i="9"/>
  <c r="L694" i="9"/>
  <c r="K694" i="9"/>
  <c r="J694" i="9"/>
  <c r="I694" i="9"/>
  <c r="H694" i="9"/>
  <c r="G694" i="9"/>
  <c r="F694" i="9"/>
  <c r="E694" i="9"/>
  <c r="D694" i="9"/>
  <c r="C694" i="9"/>
  <c r="B694" i="9"/>
  <c r="A694" i="9"/>
  <c r="W693" i="9"/>
  <c r="V693" i="9"/>
  <c r="U693" i="9"/>
  <c r="T693" i="9"/>
  <c r="S693" i="9"/>
  <c r="R693" i="9"/>
  <c r="Q693" i="9"/>
  <c r="P693" i="9"/>
  <c r="O693" i="9"/>
  <c r="N693" i="9"/>
  <c r="M693" i="9"/>
  <c r="L693" i="9"/>
  <c r="K693" i="9"/>
  <c r="J693" i="9"/>
  <c r="I693" i="9"/>
  <c r="H693" i="9"/>
  <c r="G693" i="9"/>
  <c r="F693" i="9"/>
  <c r="E693" i="9"/>
  <c r="D693" i="9"/>
  <c r="C693" i="9"/>
  <c r="B693" i="9"/>
  <c r="A693" i="9"/>
  <c r="W692" i="9"/>
  <c r="V692" i="9"/>
  <c r="U692" i="9"/>
  <c r="T692" i="9"/>
  <c r="S692" i="9"/>
  <c r="R692" i="9"/>
  <c r="Q692" i="9"/>
  <c r="P692" i="9"/>
  <c r="O692" i="9"/>
  <c r="N692" i="9"/>
  <c r="M692" i="9"/>
  <c r="L692" i="9"/>
  <c r="K692" i="9"/>
  <c r="J692" i="9"/>
  <c r="I692" i="9"/>
  <c r="H692" i="9"/>
  <c r="G692" i="9"/>
  <c r="F692" i="9"/>
  <c r="E692" i="9"/>
  <c r="D692" i="9"/>
  <c r="C692" i="9"/>
  <c r="B692" i="9"/>
  <c r="A692" i="9"/>
  <c r="W691" i="9"/>
  <c r="V691" i="9"/>
  <c r="U691" i="9"/>
  <c r="T691" i="9"/>
  <c r="S691" i="9"/>
  <c r="R691" i="9"/>
  <c r="Q691" i="9"/>
  <c r="P691" i="9"/>
  <c r="O691" i="9"/>
  <c r="N691" i="9"/>
  <c r="M691" i="9"/>
  <c r="L691" i="9"/>
  <c r="K691" i="9"/>
  <c r="J691" i="9"/>
  <c r="I691" i="9"/>
  <c r="H691" i="9"/>
  <c r="G691" i="9"/>
  <c r="F691" i="9"/>
  <c r="E691" i="9"/>
  <c r="D691" i="9"/>
  <c r="C691" i="9"/>
  <c r="B691" i="9"/>
  <c r="A691" i="9"/>
  <c r="W690" i="9"/>
  <c r="V690" i="9"/>
  <c r="U690" i="9"/>
  <c r="T690" i="9"/>
  <c r="S690" i="9"/>
  <c r="R690" i="9"/>
  <c r="Q690" i="9"/>
  <c r="P690" i="9"/>
  <c r="O690" i="9"/>
  <c r="N690" i="9"/>
  <c r="M690" i="9"/>
  <c r="L690" i="9"/>
  <c r="K690" i="9"/>
  <c r="J690" i="9"/>
  <c r="I690" i="9"/>
  <c r="H690" i="9"/>
  <c r="G690" i="9"/>
  <c r="F690" i="9"/>
  <c r="E690" i="9"/>
  <c r="D690" i="9"/>
  <c r="C690" i="9"/>
  <c r="B690" i="9"/>
  <c r="A690" i="9"/>
  <c r="W689" i="9"/>
  <c r="V689" i="9"/>
  <c r="U689" i="9"/>
  <c r="T689" i="9"/>
  <c r="S689" i="9"/>
  <c r="R689" i="9"/>
  <c r="Q689" i="9"/>
  <c r="P689" i="9"/>
  <c r="O689" i="9"/>
  <c r="N689" i="9"/>
  <c r="M689" i="9"/>
  <c r="L689" i="9"/>
  <c r="K689" i="9"/>
  <c r="J689" i="9"/>
  <c r="I689" i="9"/>
  <c r="H689" i="9"/>
  <c r="G689" i="9"/>
  <c r="F689" i="9"/>
  <c r="E689" i="9"/>
  <c r="D689" i="9"/>
  <c r="C689" i="9"/>
  <c r="B689" i="9"/>
  <c r="A689" i="9"/>
  <c r="W688" i="9"/>
  <c r="V688" i="9"/>
  <c r="U688" i="9"/>
  <c r="T688" i="9"/>
  <c r="S688" i="9"/>
  <c r="R688" i="9"/>
  <c r="Q688" i="9"/>
  <c r="P688" i="9"/>
  <c r="O688" i="9"/>
  <c r="N688" i="9"/>
  <c r="M688" i="9"/>
  <c r="L688" i="9"/>
  <c r="K688" i="9"/>
  <c r="J688" i="9"/>
  <c r="I688" i="9"/>
  <c r="H688" i="9"/>
  <c r="G688" i="9"/>
  <c r="F688" i="9"/>
  <c r="E688" i="9"/>
  <c r="D688" i="9"/>
  <c r="C688" i="9"/>
  <c r="B688" i="9"/>
  <c r="A688" i="9"/>
  <c r="W687" i="9"/>
  <c r="V687" i="9"/>
  <c r="U687" i="9"/>
  <c r="T687" i="9"/>
  <c r="S687" i="9"/>
  <c r="R687" i="9"/>
  <c r="Q687" i="9"/>
  <c r="P687" i="9"/>
  <c r="O687" i="9"/>
  <c r="N687" i="9"/>
  <c r="M687" i="9"/>
  <c r="L687" i="9"/>
  <c r="K687" i="9"/>
  <c r="J687" i="9"/>
  <c r="I687" i="9"/>
  <c r="H687" i="9"/>
  <c r="G687" i="9"/>
  <c r="F687" i="9"/>
  <c r="E687" i="9"/>
  <c r="D687" i="9"/>
  <c r="C687" i="9"/>
  <c r="B687" i="9"/>
  <c r="A687" i="9"/>
  <c r="W686" i="9"/>
  <c r="V686" i="9"/>
  <c r="U686" i="9"/>
  <c r="T686" i="9"/>
  <c r="S686" i="9"/>
  <c r="R686" i="9"/>
  <c r="Q686" i="9"/>
  <c r="P686" i="9"/>
  <c r="O686" i="9"/>
  <c r="N686" i="9"/>
  <c r="M686" i="9"/>
  <c r="L686" i="9"/>
  <c r="K686" i="9"/>
  <c r="J686" i="9"/>
  <c r="I686" i="9"/>
  <c r="H686" i="9"/>
  <c r="G686" i="9"/>
  <c r="F686" i="9"/>
  <c r="E686" i="9"/>
  <c r="D686" i="9"/>
  <c r="C686" i="9"/>
  <c r="B686" i="9"/>
  <c r="A686" i="9"/>
  <c r="W685" i="9"/>
  <c r="V685" i="9"/>
  <c r="U685" i="9"/>
  <c r="T685" i="9"/>
  <c r="S685" i="9"/>
  <c r="R685" i="9"/>
  <c r="Q685" i="9"/>
  <c r="P685" i="9"/>
  <c r="O685" i="9"/>
  <c r="N685" i="9"/>
  <c r="M685" i="9"/>
  <c r="L685" i="9"/>
  <c r="K685" i="9"/>
  <c r="J685" i="9"/>
  <c r="I685" i="9"/>
  <c r="H685" i="9"/>
  <c r="G685" i="9"/>
  <c r="F685" i="9"/>
  <c r="E685" i="9"/>
  <c r="D685" i="9"/>
  <c r="C685" i="9"/>
  <c r="B685" i="9"/>
  <c r="A685" i="9"/>
  <c r="W684" i="9"/>
  <c r="V684" i="9"/>
  <c r="U684" i="9"/>
  <c r="T684" i="9"/>
  <c r="S684" i="9"/>
  <c r="R684" i="9"/>
  <c r="Q684" i="9"/>
  <c r="P684" i="9"/>
  <c r="O684" i="9"/>
  <c r="N684" i="9"/>
  <c r="M684" i="9"/>
  <c r="L684" i="9"/>
  <c r="K684" i="9"/>
  <c r="J684" i="9"/>
  <c r="I684" i="9"/>
  <c r="H684" i="9"/>
  <c r="G684" i="9"/>
  <c r="F684" i="9"/>
  <c r="E684" i="9"/>
  <c r="D684" i="9"/>
  <c r="C684" i="9"/>
  <c r="B684" i="9"/>
  <c r="A684" i="9"/>
  <c r="W683" i="9"/>
  <c r="V683" i="9"/>
  <c r="U683" i="9"/>
  <c r="T683" i="9"/>
  <c r="S683" i="9"/>
  <c r="R683" i="9"/>
  <c r="Q683" i="9"/>
  <c r="P683" i="9"/>
  <c r="O683" i="9"/>
  <c r="N683" i="9"/>
  <c r="M683" i="9"/>
  <c r="L683" i="9"/>
  <c r="K683" i="9"/>
  <c r="J683" i="9"/>
  <c r="I683" i="9"/>
  <c r="H683" i="9"/>
  <c r="G683" i="9"/>
  <c r="F683" i="9"/>
  <c r="E683" i="9"/>
  <c r="D683" i="9"/>
  <c r="C683" i="9"/>
  <c r="B683" i="9"/>
  <c r="A683" i="9"/>
  <c r="W682" i="9"/>
  <c r="V682" i="9"/>
  <c r="U682" i="9"/>
  <c r="T682" i="9"/>
  <c r="S682" i="9"/>
  <c r="R682" i="9"/>
  <c r="Q682" i="9"/>
  <c r="P682" i="9"/>
  <c r="O682" i="9"/>
  <c r="N682" i="9"/>
  <c r="M682" i="9"/>
  <c r="L682" i="9"/>
  <c r="K682" i="9"/>
  <c r="J682" i="9"/>
  <c r="I682" i="9"/>
  <c r="H682" i="9"/>
  <c r="G682" i="9"/>
  <c r="F682" i="9"/>
  <c r="E682" i="9"/>
  <c r="D682" i="9"/>
  <c r="C682" i="9"/>
  <c r="B682" i="9"/>
  <c r="A682" i="9"/>
  <c r="W681" i="9"/>
  <c r="V681" i="9"/>
  <c r="U681" i="9"/>
  <c r="T681" i="9"/>
  <c r="S681" i="9"/>
  <c r="R681" i="9"/>
  <c r="Q681" i="9"/>
  <c r="P681" i="9"/>
  <c r="O681" i="9"/>
  <c r="N681" i="9"/>
  <c r="M681" i="9"/>
  <c r="L681" i="9"/>
  <c r="K681" i="9"/>
  <c r="J681" i="9"/>
  <c r="I681" i="9"/>
  <c r="H681" i="9"/>
  <c r="G681" i="9"/>
  <c r="F681" i="9"/>
  <c r="E681" i="9"/>
  <c r="D681" i="9"/>
  <c r="C681" i="9"/>
  <c r="B681" i="9"/>
  <c r="A681" i="9"/>
  <c r="W680" i="9"/>
  <c r="V680" i="9"/>
  <c r="U680" i="9"/>
  <c r="T680" i="9"/>
  <c r="S680" i="9"/>
  <c r="R680" i="9"/>
  <c r="Q680" i="9"/>
  <c r="P680" i="9"/>
  <c r="O680" i="9"/>
  <c r="N680" i="9"/>
  <c r="M680" i="9"/>
  <c r="L680" i="9"/>
  <c r="K680" i="9"/>
  <c r="J680" i="9"/>
  <c r="I680" i="9"/>
  <c r="H680" i="9"/>
  <c r="G680" i="9"/>
  <c r="F680" i="9"/>
  <c r="E680" i="9"/>
  <c r="D680" i="9"/>
  <c r="C680" i="9"/>
  <c r="B680" i="9"/>
  <c r="A680" i="9"/>
  <c r="W679" i="9"/>
  <c r="V679" i="9"/>
  <c r="U679" i="9"/>
  <c r="T679" i="9"/>
  <c r="S679" i="9"/>
  <c r="R679" i="9"/>
  <c r="Q679" i="9"/>
  <c r="P679" i="9"/>
  <c r="O679" i="9"/>
  <c r="N679" i="9"/>
  <c r="M679" i="9"/>
  <c r="L679" i="9"/>
  <c r="K679" i="9"/>
  <c r="J679" i="9"/>
  <c r="I679" i="9"/>
  <c r="H679" i="9"/>
  <c r="G679" i="9"/>
  <c r="F679" i="9"/>
  <c r="E679" i="9"/>
  <c r="D679" i="9"/>
  <c r="C679" i="9"/>
  <c r="B679" i="9"/>
  <c r="A679" i="9"/>
  <c r="W678" i="9"/>
  <c r="V678" i="9"/>
  <c r="U678" i="9"/>
  <c r="T678" i="9"/>
  <c r="S678" i="9"/>
  <c r="R678" i="9"/>
  <c r="Q678" i="9"/>
  <c r="P678" i="9"/>
  <c r="O678" i="9"/>
  <c r="N678" i="9"/>
  <c r="M678" i="9"/>
  <c r="L678" i="9"/>
  <c r="K678" i="9"/>
  <c r="J678" i="9"/>
  <c r="I678" i="9"/>
  <c r="H678" i="9"/>
  <c r="G678" i="9"/>
  <c r="F678" i="9"/>
  <c r="E678" i="9"/>
  <c r="D678" i="9"/>
  <c r="C678" i="9"/>
  <c r="B678" i="9"/>
  <c r="A678" i="9"/>
  <c r="W677" i="9"/>
  <c r="V677" i="9"/>
  <c r="U677" i="9"/>
  <c r="T677" i="9"/>
  <c r="S677" i="9"/>
  <c r="R677" i="9"/>
  <c r="Q677" i="9"/>
  <c r="P677" i="9"/>
  <c r="O677" i="9"/>
  <c r="N677" i="9"/>
  <c r="M677" i="9"/>
  <c r="L677" i="9"/>
  <c r="K677" i="9"/>
  <c r="J677" i="9"/>
  <c r="I677" i="9"/>
  <c r="H677" i="9"/>
  <c r="G677" i="9"/>
  <c r="F677" i="9"/>
  <c r="E677" i="9"/>
  <c r="D677" i="9"/>
  <c r="C677" i="9"/>
  <c r="B677" i="9"/>
  <c r="A677" i="9"/>
  <c r="W676" i="9"/>
  <c r="V676" i="9"/>
  <c r="U676" i="9"/>
  <c r="T676" i="9"/>
  <c r="S676" i="9"/>
  <c r="R676" i="9"/>
  <c r="Q676" i="9"/>
  <c r="P676" i="9"/>
  <c r="O676" i="9"/>
  <c r="N676" i="9"/>
  <c r="M676" i="9"/>
  <c r="L676" i="9"/>
  <c r="K676" i="9"/>
  <c r="J676" i="9"/>
  <c r="I676" i="9"/>
  <c r="H676" i="9"/>
  <c r="G676" i="9"/>
  <c r="F676" i="9"/>
  <c r="E676" i="9"/>
  <c r="D676" i="9"/>
  <c r="C676" i="9"/>
  <c r="B676" i="9"/>
  <c r="A676" i="9"/>
  <c r="W675" i="9"/>
  <c r="V675" i="9"/>
  <c r="U675" i="9"/>
  <c r="T675" i="9"/>
  <c r="S675" i="9"/>
  <c r="R675" i="9"/>
  <c r="Q675" i="9"/>
  <c r="P675" i="9"/>
  <c r="O675" i="9"/>
  <c r="N675" i="9"/>
  <c r="M675" i="9"/>
  <c r="L675" i="9"/>
  <c r="K675" i="9"/>
  <c r="J675" i="9"/>
  <c r="I675" i="9"/>
  <c r="H675" i="9"/>
  <c r="G675" i="9"/>
  <c r="F675" i="9"/>
  <c r="E675" i="9"/>
  <c r="D675" i="9"/>
  <c r="C675" i="9"/>
  <c r="B675" i="9"/>
  <c r="A675" i="9"/>
  <c r="W674" i="9"/>
  <c r="V674" i="9"/>
  <c r="U674" i="9"/>
  <c r="T674" i="9"/>
  <c r="S674" i="9"/>
  <c r="R674" i="9"/>
  <c r="Q674" i="9"/>
  <c r="P674" i="9"/>
  <c r="O674" i="9"/>
  <c r="N674" i="9"/>
  <c r="M674" i="9"/>
  <c r="L674" i="9"/>
  <c r="K674" i="9"/>
  <c r="J674" i="9"/>
  <c r="I674" i="9"/>
  <c r="H674" i="9"/>
  <c r="G674" i="9"/>
  <c r="F674" i="9"/>
  <c r="E674" i="9"/>
  <c r="D674" i="9"/>
  <c r="C674" i="9"/>
  <c r="B674" i="9"/>
  <c r="A674" i="9"/>
  <c r="W673" i="9"/>
  <c r="V673" i="9"/>
  <c r="U673" i="9"/>
  <c r="T673" i="9"/>
  <c r="S673" i="9"/>
  <c r="R673" i="9"/>
  <c r="Q673" i="9"/>
  <c r="P673" i="9"/>
  <c r="O673" i="9"/>
  <c r="N673" i="9"/>
  <c r="M673" i="9"/>
  <c r="L673" i="9"/>
  <c r="K673" i="9"/>
  <c r="J673" i="9"/>
  <c r="I673" i="9"/>
  <c r="H673" i="9"/>
  <c r="G673" i="9"/>
  <c r="F673" i="9"/>
  <c r="E673" i="9"/>
  <c r="D673" i="9"/>
  <c r="C673" i="9"/>
  <c r="B673" i="9"/>
  <c r="A673" i="9"/>
  <c r="W672" i="9"/>
  <c r="V672" i="9"/>
  <c r="U672" i="9"/>
  <c r="T672" i="9"/>
  <c r="S672" i="9"/>
  <c r="R672" i="9"/>
  <c r="Q672" i="9"/>
  <c r="P672" i="9"/>
  <c r="O672" i="9"/>
  <c r="N672" i="9"/>
  <c r="M672" i="9"/>
  <c r="L672" i="9"/>
  <c r="K672" i="9"/>
  <c r="J672" i="9"/>
  <c r="I672" i="9"/>
  <c r="H672" i="9"/>
  <c r="G672" i="9"/>
  <c r="F672" i="9"/>
  <c r="E672" i="9"/>
  <c r="D672" i="9"/>
  <c r="C672" i="9"/>
  <c r="B672" i="9"/>
  <c r="A672" i="9"/>
  <c r="W671" i="9"/>
  <c r="V671" i="9"/>
  <c r="U671" i="9"/>
  <c r="T671" i="9"/>
  <c r="S671" i="9"/>
  <c r="R671" i="9"/>
  <c r="Q671" i="9"/>
  <c r="P671" i="9"/>
  <c r="O671" i="9"/>
  <c r="N671" i="9"/>
  <c r="M671" i="9"/>
  <c r="L671" i="9"/>
  <c r="K671" i="9"/>
  <c r="J671" i="9"/>
  <c r="I671" i="9"/>
  <c r="H671" i="9"/>
  <c r="G671" i="9"/>
  <c r="F671" i="9"/>
  <c r="E671" i="9"/>
  <c r="D671" i="9"/>
  <c r="C671" i="9"/>
  <c r="B671" i="9"/>
  <c r="A671" i="9"/>
  <c r="W670" i="9"/>
  <c r="V670" i="9"/>
  <c r="U670" i="9"/>
  <c r="T670" i="9"/>
  <c r="S670" i="9"/>
  <c r="R670" i="9"/>
  <c r="Q670" i="9"/>
  <c r="P670" i="9"/>
  <c r="O670" i="9"/>
  <c r="N670" i="9"/>
  <c r="M670" i="9"/>
  <c r="L670" i="9"/>
  <c r="K670" i="9"/>
  <c r="J670" i="9"/>
  <c r="I670" i="9"/>
  <c r="H670" i="9"/>
  <c r="G670" i="9"/>
  <c r="F670" i="9"/>
  <c r="E670" i="9"/>
  <c r="D670" i="9"/>
  <c r="C670" i="9"/>
  <c r="B670" i="9"/>
  <c r="A670" i="9"/>
  <c r="W669" i="9"/>
  <c r="V669" i="9"/>
  <c r="U669" i="9"/>
  <c r="T669" i="9"/>
  <c r="S669" i="9"/>
  <c r="R669" i="9"/>
  <c r="Q669" i="9"/>
  <c r="P669" i="9"/>
  <c r="O669" i="9"/>
  <c r="N669" i="9"/>
  <c r="M669" i="9"/>
  <c r="L669" i="9"/>
  <c r="K669" i="9"/>
  <c r="J669" i="9"/>
  <c r="I669" i="9"/>
  <c r="H669" i="9"/>
  <c r="G669" i="9"/>
  <c r="F669" i="9"/>
  <c r="E669" i="9"/>
  <c r="D669" i="9"/>
  <c r="C669" i="9"/>
  <c r="B669" i="9"/>
  <c r="A669" i="9"/>
  <c r="W668" i="9"/>
  <c r="V668" i="9"/>
  <c r="U668" i="9"/>
  <c r="T668" i="9"/>
  <c r="S668" i="9"/>
  <c r="R668" i="9"/>
  <c r="Q668" i="9"/>
  <c r="P668" i="9"/>
  <c r="O668" i="9"/>
  <c r="N668" i="9"/>
  <c r="M668" i="9"/>
  <c r="L668" i="9"/>
  <c r="K668" i="9"/>
  <c r="J668" i="9"/>
  <c r="I668" i="9"/>
  <c r="H668" i="9"/>
  <c r="G668" i="9"/>
  <c r="F668" i="9"/>
  <c r="E668" i="9"/>
  <c r="D668" i="9"/>
  <c r="C668" i="9"/>
  <c r="B668" i="9"/>
  <c r="A668" i="9"/>
  <c r="W667" i="9"/>
  <c r="V667" i="9"/>
  <c r="U667" i="9"/>
  <c r="T667" i="9"/>
  <c r="S667" i="9"/>
  <c r="R667" i="9"/>
  <c r="Q667" i="9"/>
  <c r="P667" i="9"/>
  <c r="O667" i="9"/>
  <c r="N667" i="9"/>
  <c r="M667" i="9"/>
  <c r="L667" i="9"/>
  <c r="K667" i="9"/>
  <c r="J667" i="9"/>
  <c r="I667" i="9"/>
  <c r="H667" i="9"/>
  <c r="G667" i="9"/>
  <c r="F667" i="9"/>
  <c r="E667" i="9"/>
  <c r="D667" i="9"/>
  <c r="C667" i="9"/>
  <c r="B667" i="9"/>
  <c r="A667" i="9"/>
  <c r="W666" i="9"/>
  <c r="V666" i="9"/>
  <c r="U666" i="9"/>
  <c r="T666" i="9"/>
  <c r="S666" i="9"/>
  <c r="R666" i="9"/>
  <c r="Q666" i="9"/>
  <c r="P666" i="9"/>
  <c r="O666" i="9"/>
  <c r="N666" i="9"/>
  <c r="M666" i="9"/>
  <c r="L666" i="9"/>
  <c r="K666" i="9"/>
  <c r="J666" i="9"/>
  <c r="I666" i="9"/>
  <c r="H666" i="9"/>
  <c r="G666" i="9"/>
  <c r="F666" i="9"/>
  <c r="E666" i="9"/>
  <c r="D666" i="9"/>
  <c r="C666" i="9"/>
  <c r="B666" i="9"/>
  <c r="A666" i="9"/>
  <c r="W665" i="9"/>
  <c r="V665" i="9"/>
  <c r="U665" i="9"/>
  <c r="T665" i="9"/>
  <c r="S665" i="9"/>
  <c r="R665" i="9"/>
  <c r="Q665" i="9"/>
  <c r="P665" i="9"/>
  <c r="O665" i="9"/>
  <c r="N665" i="9"/>
  <c r="M665" i="9"/>
  <c r="L665" i="9"/>
  <c r="K665" i="9"/>
  <c r="J665" i="9"/>
  <c r="I665" i="9"/>
  <c r="H665" i="9"/>
  <c r="G665" i="9"/>
  <c r="F665" i="9"/>
  <c r="E665" i="9"/>
  <c r="D665" i="9"/>
  <c r="C665" i="9"/>
  <c r="B665" i="9"/>
  <c r="A665" i="9"/>
  <c r="W664" i="9"/>
  <c r="V664" i="9"/>
  <c r="U664" i="9"/>
  <c r="T664" i="9"/>
  <c r="S664" i="9"/>
  <c r="R664" i="9"/>
  <c r="Q664" i="9"/>
  <c r="P664" i="9"/>
  <c r="O664" i="9"/>
  <c r="N664" i="9"/>
  <c r="M664" i="9"/>
  <c r="L664" i="9"/>
  <c r="K664" i="9"/>
  <c r="J664" i="9"/>
  <c r="I664" i="9"/>
  <c r="H664" i="9"/>
  <c r="G664" i="9"/>
  <c r="F664" i="9"/>
  <c r="E664" i="9"/>
  <c r="D664" i="9"/>
  <c r="C664" i="9"/>
  <c r="B664" i="9"/>
  <c r="A664" i="9"/>
  <c r="W663" i="9"/>
  <c r="V663" i="9"/>
  <c r="U663" i="9"/>
  <c r="T663" i="9"/>
  <c r="S663" i="9"/>
  <c r="R663" i="9"/>
  <c r="Q663" i="9"/>
  <c r="P663" i="9"/>
  <c r="O663" i="9"/>
  <c r="N663" i="9"/>
  <c r="M663" i="9"/>
  <c r="L663" i="9"/>
  <c r="K663" i="9"/>
  <c r="J663" i="9"/>
  <c r="I663" i="9"/>
  <c r="H663" i="9"/>
  <c r="G663" i="9"/>
  <c r="F663" i="9"/>
  <c r="E663" i="9"/>
  <c r="D663" i="9"/>
  <c r="C663" i="9"/>
  <c r="B663" i="9"/>
  <c r="A663" i="9"/>
  <c r="W662" i="9"/>
  <c r="V662" i="9"/>
  <c r="U662" i="9"/>
  <c r="T662" i="9"/>
  <c r="S662" i="9"/>
  <c r="R662" i="9"/>
  <c r="Q662" i="9"/>
  <c r="P662" i="9"/>
  <c r="O662" i="9"/>
  <c r="N662" i="9"/>
  <c r="M662" i="9"/>
  <c r="L662" i="9"/>
  <c r="K662" i="9"/>
  <c r="J662" i="9"/>
  <c r="I662" i="9"/>
  <c r="H662" i="9"/>
  <c r="G662" i="9"/>
  <c r="F662" i="9"/>
  <c r="E662" i="9"/>
  <c r="D662" i="9"/>
  <c r="C662" i="9"/>
  <c r="B662" i="9"/>
  <c r="A662" i="9"/>
  <c r="W661" i="9"/>
  <c r="V661" i="9"/>
  <c r="U661" i="9"/>
  <c r="T661" i="9"/>
  <c r="S661" i="9"/>
  <c r="R661" i="9"/>
  <c r="Q661" i="9"/>
  <c r="P661" i="9"/>
  <c r="O661" i="9"/>
  <c r="N661" i="9"/>
  <c r="M661" i="9"/>
  <c r="L661" i="9"/>
  <c r="K661" i="9"/>
  <c r="J661" i="9"/>
  <c r="I661" i="9"/>
  <c r="H661" i="9"/>
  <c r="G661" i="9"/>
  <c r="F661" i="9"/>
  <c r="E661" i="9"/>
  <c r="D661" i="9"/>
  <c r="C661" i="9"/>
  <c r="B661" i="9"/>
  <c r="A661" i="9"/>
  <c r="W660" i="9"/>
  <c r="V660" i="9"/>
  <c r="U660" i="9"/>
  <c r="T660" i="9"/>
  <c r="S660" i="9"/>
  <c r="R660" i="9"/>
  <c r="Q660" i="9"/>
  <c r="P660" i="9"/>
  <c r="O660" i="9"/>
  <c r="N660" i="9"/>
  <c r="M660" i="9"/>
  <c r="L660" i="9"/>
  <c r="K660" i="9"/>
  <c r="J660" i="9"/>
  <c r="I660" i="9"/>
  <c r="H660" i="9"/>
  <c r="G660" i="9"/>
  <c r="F660" i="9"/>
  <c r="E660" i="9"/>
  <c r="D660" i="9"/>
  <c r="C660" i="9"/>
  <c r="B660" i="9"/>
  <c r="A660" i="9"/>
  <c r="W659" i="9"/>
  <c r="V659" i="9"/>
  <c r="U659" i="9"/>
  <c r="T659" i="9"/>
  <c r="S659" i="9"/>
  <c r="R659" i="9"/>
  <c r="Q659" i="9"/>
  <c r="P659" i="9"/>
  <c r="O659" i="9"/>
  <c r="N659" i="9"/>
  <c r="M659" i="9"/>
  <c r="L659" i="9"/>
  <c r="K659" i="9"/>
  <c r="J659" i="9"/>
  <c r="I659" i="9"/>
  <c r="H659" i="9"/>
  <c r="G659" i="9"/>
  <c r="F659" i="9"/>
  <c r="E659" i="9"/>
  <c r="D659" i="9"/>
  <c r="C659" i="9"/>
  <c r="B659" i="9"/>
  <c r="A659" i="9"/>
  <c r="W658" i="9"/>
  <c r="V658" i="9"/>
  <c r="U658" i="9"/>
  <c r="T658" i="9"/>
  <c r="S658" i="9"/>
  <c r="R658" i="9"/>
  <c r="Q658" i="9"/>
  <c r="P658" i="9"/>
  <c r="O658" i="9"/>
  <c r="N658" i="9"/>
  <c r="M658" i="9"/>
  <c r="L658" i="9"/>
  <c r="K658" i="9"/>
  <c r="J658" i="9"/>
  <c r="I658" i="9"/>
  <c r="H658" i="9"/>
  <c r="G658" i="9"/>
  <c r="F658" i="9"/>
  <c r="E658" i="9"/>
  <c r="D658" i="9"/>
  <c r="C658" i="9"/>
  <c r="B658" i="9"/>
  <c r="A658" i="9"/>
  <c r="W657" i="9"/>
  <c r="V657" i="9"/>
  <c r="U657" i="9"/>
  <c r="T657" i="9"/>
  <c r="S657" i="9"/>
  <c r="R657" i="9"/>
  <c r="Q657" i="9"/>
  <c r="P657" i="9"/>
  <c r="O657" i="9"/>
  <c r="N657" i="9"/>
  <c r="M657" i="9"/>
  <c r="L657" i="9"/>
  <c r="K657" i="9"/>
  <c r="J657" i="9"/>
  <c r="I657" i="9"/>
  <c r="H657" i="9"/>
  <c r="G657" i="9"/>
  <c r="F657" i="9"/>
  <c r="E657" i="9"/>
  <c r="D657" i="9"/>
  <c r="C657" i="9"/>
  <c r="B657" i="9"/>
  <c r="A657" i="9"/>
  <c r="W656" i="9"/>
  <c r="V656" i="9"/>
  <c r="U656" i="9"/>
  <c r="T656" i="9"/>
  <c r="S656" i="9"/>
  <c r="R656" i="9"/>
  <c r="Q656" i="9"/>
  <c r="P656" i="9"/>
  <c r="O656" i="9"/>
  <c r="N656" i="9"/>
  <c r="M656" i="9"/>
  <c r="L656" i="9"/>
  <c r="K656" i="9"/>
  <c r="J656" i="9"/>
  <c r="I656" i="9"/>
  <c r="H656" i="9"/>
  <c r="G656" i="9"/>
  <c r="F656" i="9"/>
  <c r="E656" i="9"/>
  <c r="D656" i="9"/>
  <c r="C656" i="9"/>
  <c r="B656" i="9"/>
  <c r="A656" i="9"/>
  <c r="W655" i="9"/>
  <c r="V655" i="9"/>
  <c r="U655" i="9"/>
  <c r="T655" i="9"/>
  <c r="S655" i="9"/>
  <c r="R655" i="9"/>
  <c r="Q655" i="9"/>
  <c r="P655" i="9"/>
  <c r="O655" i="9"/>
  <c r="N655" i="9"/>
  <c r="M655" i="9"/>
  <c r="L655" i="9"/>
  <c r="K655" i="9"/>
  <c r="J655" i="9"/>
  <c r="I655" i="9"/>
  <c r="H655" i="9"/>
  <c r="G655" i="9"/>
  <c r="F655" i="9"/>
  <c r="E655" i="9"/>
  <c r="D655" i="9"/>
  <c r="C655" i="9"/>
  <c r="B655" i="9"/>
  <c r="A655" i="9"/>
  <c r="W654" i="9"/>
  <c r="V654" i="9"/>
  <c r="U654" i="9"/>
  <c r="T654" i="9"/>
  <c r="S654" i="9"/>
  <c r="R654" i="9"/>
  <c r="Q654" i="9"/>
  <c r="P654" i="9"/>
  <c r="O654" i="9"/>
  <c r="N654" i="9"/>
  <c r="M654" i="9"/>
  <c r="L654" i="9"/>
  <c r="K654" i="9"/>
  <c r="J654" i="9"/>
  <c r="I654" i="9"/>
  <c r="H654" i="9"/>
  <c r="G654" i="9"/>
  <c r="F654" i="9"/>
  <c r="E654" i="9"/>
  <c r="D654" i="9"/>
  <c r="C654" i="9"/>
  <c r="B654" i="9"/>
  <c r="A654" i="9"/>
  <c r="W653" i="9"/>
  <c r="V653" i="9"/>
  <c r="U653" i="9"/>
  <c r="T653" i="9"/>
  <c r="S653" i="9"/>
  <c r="R653" i="9"/>
  <c r="Q653" i="9"/>
  <c r="P653" i="9"/>
  <c r="O653" i="9"/>
  <c r="N653" i="9"/>
  <c r="M653" i="9"/>
  <c r="L653" i="9"/>
  <c r="K653" i="9"/>
  <c r="J653" i="9"/>
  <c r="I653" i="9"/>
  <c r="H653" i="9"/>
  <c r="G653" i="9"/>
  <c r="F653" i="9"/>
  <c r="E653" i="9"/>
  <c r="D653" i="9"/>
  <c r="C653" i="9"/>
  <c r="B653" i="9"/>
  <c r="A653" i="9"/>
  <c r="W652" i="9"/>
  <c r="V652" i="9"/>
  <c r="U652" i="9"/>
  <c r="T652" i="9"/>
  <c r="S652" i="9"/>
  <c r="R652" i="9"/>
  <c r="Q652" i="9"/>
  <c r="P652" i="9"/>
  <c r="O652" i="9"/>
  <c r="N652" i="9"/>
  <c r="M652" i="9"/>
  <c r="L652" i="9"/>
  <c r="K652" i="9"/>
  <c r="J652" i="9"/>
  <c r="I652" i="9"/>
  <c r="H652" i="9"/>
  <c r="G652" i="9"/>
  <c r="F652" i="9"/>
  <c r="E652" i="9"/>
  <c r="D652" i="9"/>
  <c r="C652" i="9"/>
  <c r="B652" i="9"/>
  <c r="A652" i="9"/>
  <c r="W651" i="9"/>
  <c r="V651" i="9"/>
  <c r="U651" i="9"/>
  <c r="T651" i="9"/>
  <c r="S651" i="9"/>
  <c r="R651" i="9"/>
  <c r="Q651" i="9"/>
  <c r="P651" i="9"/>
  <c r="O651" i="9"/>
  <c r="N651" i="9"/>
  <c r="M651" i="9"/>
  <c r="L651" i="9"/>
  <c r="K651" i="9"/>
  <c r="J651" i="9"/>
  <c r="I651" i="9"/>
  <c r="H651" i="9"/>
  <c r="G651" i="9"/>
  <c r="F651" i="9"/>
  <c r="E651" i="9"/>
  <c r="D651" i="9"/>
  <c r="C651" i="9"/>
  <c r="B651" i="9"/>
  <c r="A651" i="9"/>
  <c r="W650" i="9"/>
  <c r="V650" i="9"/>
  <c r="U650" i="9"/>
  <c r="T650" i="9"/>
  <c r="S650" i="9"/>
  <c r="R650" i="9"/>
  <c r="Q650" i="9"/>
  <c r="P650" i="9"/>
  <c r="O650" i="9"/>
  <c r="N650" i="9"/>
  <c r="M650" i="9"/>
  <c r="L650" i="9"/>
  <c r="K650" i="9"/>
  <c r="J650" i="9"/>
  <c r="I650" i="9"/>
  <c r="H650" i="9"/>
  <c r="G650" i="9"/>
  <c r="F650" i="9"/>
  <c r="E650" i="9"/>
  <c r="D650" i="9"/>
  <c r="C650" i="9"/>
  <c r="B650" i="9"/>
  <c r="A650" i="9"/>
  <c r="W649" i="9"/>
  <c r="V649" i="9"/>
  <c r="U649" i="9"/>
  <c r="T649" i="9"/>
  <c r="S649" i="9"/>
  <c r="R649" i="9"/>
  <c r="Q649" i="9"/>
  <c r="P649" i="9"/>
  <c r="O649" i="9"/>
  <c r="N649" i="9"/>
  <c r="M649" i="9"/>
  <c r="L649" i="9"/>
  <c r="K649" i="9"/>
  <c r="J649" i="9"/>
  <c r="I649" i="9"/>
  <c r="H649" i="9"/>
  <c r="G649" i="9"/>
  <c r="F649" i="9"/>
  <c r="E649" i="9"/>
  <c r="D649" i="9"/>
  <c r="C649" i="9"/>
  <c r="B649" i="9"/>
  <c r="A649" i="9"/>
  <c r="W648" i="9"/>
  <c r="V648" i="9"/>
  <c r="U648" i="9"/>
  <c r="T648" i="9"/>
  <c r="S648" i="9"/>
  <c r="R648" i="9"/>
  <c r="Q648" i="9"/>
  <c r="P648" i="9"/>
  <c r="O648" i="9"/>
  <c r="N648" i="9"/>
  <c r="M648" i="9"/>
  <c r="L648" i="9"/>
  <c r="K648" i="9"/>
  <c r="J648" i="9"/>
  <c r="I648" i="9"/>
  <c r="H648" i="9"/>
  <c r="G648" i="9"/>
  <c r="F648" i="9"/>
  <c r="E648" i="9"/>
  <c r="D648" i="9"/>
  <c r="C648" i="9"/>
  <c r="B648" i="9"/>
  <c r="A648" i="9"/>
  <c r="W647" i="9"/>
  <c r="V647" i="9"/>
  <c r="U647" i="9"/>
  <c r="T647" i="9"/>
  <c r="S647" i="9"/>
  <c r="R647" i="9"/>
  <c r="Q647" i="9"/>
  <c r="P647" i="9"/>
  <c r="O647" i="9"/>
  <c r="N647" i="9"/>
  <c r="M647" i="9"/>
  <c r="L647" i="9"/>
  <c r="K647" i="9"/>
  <c r="J647" i="9"/>
  <c r="I647" i="9"/>
  <c r="H647" i="9"/>
  <c r="G647" i="9"/>
  <c r="F647" i="9"/>
  <c r="E647" i="9"/>
  <c r="D647" i="9"/>
  <c r="C647" i="9"/>
  <c r="B647" i="9"/>
  <c r="A647" i="9"/>
  <c r="W646" i="9"/>
  <c r="V646" i="9"/>
  <c r="U646" i="9"/>
  <c r="T646" i="9"/>
  <c r="S646" i="9"/>
  <c r="R646" i="9"/>
  <c r="Q646" i="9"/>
  <c r="P646" i="9"/>
  <c r="O646" i="9"/>
  <c r="N646" i="9"/>
  <c r="M646" i="9"/>
  <c r="L646" i="9"/>
  <c r="K646" i="9"/>
  <c r="J646" i="9"/>
  <c r="I646" i="9"/>
  <c r="H646" i="9"/>
  <c r="G646" i="9"/>
  <c r="F646" i="9"/>
  <c r="E646" i="9"/>
  <c r="D646" i="9"/>
  <c r="C646" i="9"/>
  <c r="B646" i="9"/>
  <c r="A646" i="9"/>
  <c r="W645" i="9"/>
  <c r="V645" i="9"/>
  <c r="U645" i="9"/>
  <c r="T645" i="9"/>
  <c r="S645" i="9"/>
  <c r="R645" i="9"/>
  <c r="Q645" i="9"/>
  <c r="P645" i="9"/>
  <c r="O645" i="9"/>
  <c r="N645" i="9"/>
  <c r="M645" i="9"/>
  <c r="L645" i="9"/>
  <c r="K645" i="9"/>
  <c r="J645" i="9"/>
  <c r="I645" i="9"/>
  <c r="H645" i="9"/>
  <c r="G645" i="9"/>
  <c r="F645" i="9"/>
  <c r="E645" i="9"/>
  <c r="D645" i="9"/>
  <c r="C645" i="9"/>
  <c r="B645" i="9"/>
  <c r="A645" i="9"/>
  <c r="W644" i="9"/>
  <c r="V644" i="9"/>
  <c r="U644" i="9"/>
  <c r="T644" i="9"/>
  <c r="S644" i="9"/>
  <c r="R644" i="9"/>
  <c r="Q644" i="9"/>
  <c r="P644" i="9"/>
  <c r="O644" i="9"/>
  <c r="N644" i="9"/>
  <c r="M644" i="9"/>
  <c r="L644" i="9"/>
  <c r="K644" i="9"/>
  <c r="J644" i="9"/>
  <c r="I644" i="9"/>
  <c r="H644" i="9"/>
  <c r="G644" i="9"/>
  <c r="F644" i="9"/>
  <c r="E644" i="9"/>
  <c r="D644" i="9"/>
  <c r="C644" i="9"/>
  <c r="B644" i="9"/>
  <c r="A644" i="9"/>
  <c r="W643" i="9"/>
  <c r="V643" i="9"/>
  <c r="U643" i="9"/>
  <c r="T643" i="9"/>
  <c r="S643" i="9"/>
  <c r="R643" i="9"/>
  <c r="Q643" i="9"/>
  <c r="P643" i="9"/>
  <c r="O643" i="9"/>
  <c r="N643" i="9"/>
  <c r="M643" i="9"/>
  <c r="L643" i="9"/>
  <c r="K643" i="9"/>
  <c r="J643" i="9"/>
  <c r="I643" i="9"/>
  <c r="H643" i="9"/>
  <c r="G643" i="9"/>
  <c r="F643" i="9"/>
  <c r="E643" i="9"/>
  <c r="D643" i="9"/>
  <c r="C643" i="9"/>
  <c r="B643" i="9"/>
  <c r="A643" i="9"/>
  <c r="W642" i="9"/>
  <c r="V642" i="9"/>
  <c r="U642" i="9"/>
  <c r="T642" i="9"/>
  <c r="S642" i="9"/>
  <c r="R642" i="9"/>
  <c r="Q642" i="9"/>
  <c r="P642" i="9"/>
  <c r="O642" i="9"/>
  <c r="N642" i="9"/>
  <c r="M642" i="9"/>
  <c r="L642" i="9"/>
  <c r="K642" i="9"/>
  <c r="J642" i="9"/>
  <c r="I642" i="9"/>
  <c r="H642" i="9"/>
  <c r="G642" i="9"/>
  <c r="F642" i="9"/>
  <c r="E642" i="9"/>
  <c r="D642" i="9"/>
  <c r="C642" i="9"/>
  <c r="B642" i="9"/>
  <c r="A642" i="9"/>
  <c r="W641" i="9"/>
  <c r="V641" i="9"/>
  <c r="U641" i="9"/>
  <c r="T641" i="9"/>
  <c r="S641" i="9"/>
  <c r="R641" i="9"/>
  <c r="Q641" i="9"/>
  <c r="P641" i="9"/>
  <c r="O641" i="9"/>
  <c r="N641" i="9"/>
  <c r="M641" i="9"/>
  <c r="L641" i="9"/>
  <c r="K641" i="9"/>
  <c r="J641" i="9"/>
  <c r="I641" i="9"/>
  <c r="H641" i="9"/>
  <c r="G641" i="9"/>
  <c r="F641" i="9"/>
  <c r="E641" i="9"/>
  <c r="D641" i="9"/>
  <c r="C641" i="9"/>
  <c r="B641" i="9"/>
  <c r="A641" i="9"/>
  <c r="W640" i="9"/>
  <c r="V640" i="9"/>
  <c r="U640" i="9"/>
  <c r="T640" i="9"/>
  <c r="S640" i="9"/>
  <c r="R640" i="9"/>
  <c r="Q640" i="9"/>
  <c r="P640" i="9"/>
  <c r="O640" i="9"/>
  <c r="N640" i="9"/>
  <c r="M640" i="9"/>
  <c r="L640" i="9"/>
  <c r="K640" i="9"/>
  <c r="J640" i="9"/>
  <c r="I640" i="9"/>
  <c r="H640" i="9"/>
  <c r="G640" i="9"/>
  <c r="F640" i="9"/>
  <c r="E640" i="9"/>
  <c r="D640" i="9"/>
  <c r="C640" i="9"/>
  <c r="B640" i="9"/>
  <c r="A640" i="9"/>
  <c r="W639" i="9"/>
  <c r="V639" i="9"/>
  <c r="U639" i="9"/>
  <c r="T639" i="9"/>
  <c r="S639" i="9"/>
  <c r="R639" i="9"/>
  <c r="Q639" i="9"/>
  <c r="P639" i="9"/>
  <c r="O639" i="9"/>
  <c r="N639" i="9"/>
  <c r="M639" i="9"/>
  <c r="L639" i="9"/>
  <c r="K639" i="9"/>
  <c r="J639" i="9"/>
  <c r="I639" i="9"/>
  <c r="H639" i="9"/>
  <c r="G639" i="9"/>
  <c r="F639" i="9"/>
  <c r="E639" i="9"/>
  <c r="D639" i="9"/>
  <c r="C639" i="9"/>
  <c r="B639" i="9"/>
  <c r="A639" i="9"/>
  <c r="W638" i="9"/>
  <c r="V638" i="9"/>
  <c r="U638" i="9"/>
  <c r="T638" i="9"/>
  <c r="S638" i="9"/>
  <c r="R638" i="9"/>
  <c r="Q638" i="9"/>
  <c r="P638" i="9"/>
  <c r="O638" i="9"/>
  <c r="N638" i="9"/>
  <c r="M638" i="9"/>
  <c r="L638" i="9"/>
  <c r="K638" i="9"/>
  <c r="J638" i="9"/>
  <c r="I638" i="9"/>
  <c r="H638" i="9"/>
  <c r="G638" i="9"/>
  <c r="F638" i="9"/>
  <c r="E638" i="9"/>
  <c r="D638" i="9"/>
  <c r="C638" i="9"/>
  <c r="B638" i="9"/>
  <c r="A638" i="9"/>
  <c r="W637" i="9"/>
  <c r="V637" i="9"/>
  <c r="U637" i="9"/>
  <c r="T637" i="9"/>
  <c r="S637" i="9"/>
  <c r="R637" i="9"/>
  <c r="Q637" i="9"/>
  <c r="P637" i="9"/>
  <c r="O637" i="9"/>
  <c r="N637" i="9"/>
  <c r="M637" i="9"/>
  <c r="L637" i="9"/>
  <c r="K637" i="9"/>
  <c r="J637" i="9"/>
  <c r="I637" i="9"/>
  <c r="H637" i="9"/>
  <c r="G637" i="9"/>
  <c r="F637" i="9"/>
  <c r="E637" i="9"/>
  <c r="D637" i="9"/>
  <c r="C637" i="9"/>
  <c r="B637" i="9"/>
  <c r="A637" i="9"/>
  <c r="W636" i="9"/>
  <c r="V636" i="9"/>
  <c r="U636" i="9"/>
  <c r="T636" i="9"/>
  <c r="S636" i="9"/>
  <c r="R636" i="9"/>
  <c r="Q636" i="9"/>
  <c r="P636" i="9"/>
  <c r="O636" i="9"/>
  <c r="N636" i="9"/>
  <c r="M636" i="9"/>
  <c r="L636" i="9"/>
  <c r="K636" i="9"/>
  <c r="J636" i="9"/>
  <c r="I636" i="9"/>
  <c r="H636" i="9"/>
  <c r="G636" i="9"/>
  <c r="F636" i="9"/>
  <c r="E636" i="9"/>
  <c r="D636" i="9"/>
  <c r="C636" i="9"/>
  <c r="B636" i="9"/>
  <c r="A636" i="9"/>
  <c r="W635" i="9"/>
  <c r="V635" i="9"/>
  <c r="U635" i="9"/>
  <c r="T635" i="9"/>
  <c r="S635" i="9"/>
  <c r="R635" i="9"/>
  <c r="Q635" i="9"/>
  <c r="P635" i="9"/>
  <c r="O635" i="9"/>
  <c r="N635" i="9"/>
  <c r="M635" i="9"/>
  <c r="L635" i="9"/>
  <c r="K635" i="9"/>
  <c r="J635" i="9"/>
  <c r="I635" i="9"/>
  <c r="H635" i="9"/>
  <c r="G635" i="9"/>
  <c r="F635" i="9"/>
  <c r="E635" i="9"/>
  <c r="D635" i="9"/>
  <c r="C635" i="9"/>
  <c r="B635" i="9"/>
  <c r="A635" i="9"/>
  <c r="W634" i="9"/>
  <c r="V634" i="9"/>
  <c r="U634" i="9"/>
  <c r="T634" i="9"/>
  <c r="S634" i="9"/>
  <c r="R634" i="9"/>
  <c r="Q634" i="9"/>
  <c r="P634" i="9"/>
  <c r="O634" i="9"/>
  <c r="N634" i="9"/>
  <c r="M634" i="9"/>
  <c r="L634" i="9"/>
  <c r="K634" i="9"/>
  <c r="J634" i="9"/>
  <c r="I634" i="9"/>
  <c r="H634" i="9"/>
  <c r="G634" i="9"/>
  <c r="F634" i="9"/>
  <c r="E634" i="9"/>
  <c r="D634" i="9"/>
  <c r="C634" i="9"/>
  <c r="B634" i="9"/>
  <c r="A634" i="9"/>
  <c r="W633" i="9"/>
  <c r="V633" i="9"/>
  <c r="U633" i="9"/>
  <c r="T633" i="9"/>
  <c r="S633" i="9"/>
  <c r="R633" i="9"/>
  <c r="Q633" i="9"/>
  <c r="P633" i="9"/>
  <c r="O633" i="9"/>
  <c r="N633" i="9"/>
  <c r="M633" i="9"/>
  <c r="L633" i="9"/>
  <c r="K633" i="9"/>
  <c r="J633" i="9"/>
  <c r="I633" i="9"/>
  <c r="H633" i="9"/>
  <c r="G633" i="9"/>
  <c r="F633" i="9"/>
  <c r="E633" i="9"/>
  <c r="D633" i="9"/>
  <c r="C633" i="9"/>
  <c r="B633" i="9"/>
  <c r="A633" i="9"/>
  <c r="W632" i="9"/>
  <c r="V632" i="9"/>
  <c r="U632" i="9"/>
  <c r="T632" i="9"/>
  <c r="S632" i="9"/>
  <c r="R632" i="9"/>
  <c r="Q632" i="9"/>
  <c r="P632" i="9"/>
  <c r="O632" i="9"/>
  <c r="N632" i="9"/>
  <c r="M632" i="9"/>
  <c r="L632" i="9"/>
  <c r="K632" i="9"/>
  <c r="J632" i="9"/>
  <c r="I632" i="9"/>
  <c r="H632" i="9"/>
  <c r="G632" i="9"/>
  <c r="F632" i="9"/>
  <c r="E632" i="9"/>
  <c r="D632" i="9"/>
  <c r="C632" i="9"/>
  <c r="B632" i="9"/>
  <c r="A632" i="9"/>
  <c r="W631" i="9"/>
  <c r="V631" i="9"/>
  <c r="U631" i="9"/>
  <c r="T631" i="9"/>
  <c r="S631" i="9"/>
  <c r="R631" i="9"/>
  <c r="Q631" i="9"/>
  <c r="P631" i="9"/>
  <c r="O631" i="9"/>
  <c r="N631" i="9"/>
  <c r="M631" i="9"/>
  <c r="L631" i="9"/>
  <c r="K631" i="9"/>
  <c r="J631" i="9"/>
  <c r="I631" i="9"/>
  <c r="H631" i="9"/>
  <c r="G631" i="9"/>
  <c r="F631" i="9"/>
  <c r="E631" i="9"/>
  <c r="D631" i="9"/>
  <c r="C631" i="9"/>
  <c r="B631" i="9"/>
  <c r="A631" i="9"/>
  <c r="W630" i="9"/>
  <c r="V630" i="9"/>
  <c r="U630" i="9"/>
  <c r="T630" i="9"/>
  <c r="S630" i="9"/>
  <c r="R630" i="9"/>
  <c r="Q630" i="9"/>
  <c r="P630" i="9"/>
  <c r="O630" i="9"/>
  <c r="N630" i="9"/>
  <c r="M630" i="9"/>
  <c r="L630" i="9"/>
  <c r="K630" i="9"/>
  <c r="J630" i="9"/>
  <c r="I630" i="9"/>
  <c r="H630" i="9"/>
  <c r="G630" i="9"/>
  <c r="F630" i="9"/>
  <c r="E630" i="9"/>
  <c r="D630" i="9"/>
  <c r="C630" i="9"/>
  <c r="B630" i="9"/>
  <c r="A630" i="9"/>
  <c r="W629" i="9"/>
  <c r="V629" i="9"/>
  <c r="U629" i="9"/>
  <c r="T629" i="9"/>
  <c r="S629" i="9"/>
  <c r="R629" i="9"/>
  <c r="Q629" i="9"/>
  <c r="P629" i="9"/>
  <c r="O629" i="9"/>
  <c r="N629" i="9"/>
  <c r="M629" i="9"/>
  <c r="L629" i="9"/>
  <c r="K629" i="9"/>
  <c r="J629" i="9"/>
  <c r="I629" i="9"/>
  <c r="H629" i="9"/>
  <c r="G629" i="9"/>
  <c r="F629" i="9"/>
  <c r="E629" i="9"/>
  <c r="D629" i="9"/>
  <c r="C629" i="9"/>
  <c r="B629" i="9"/>
  <c r="A629" i="9"/>
  <c r="W628" i="9"/>
  <c r="V628" i="9"/>
  <c r="U628" i="9"/>
  <c r="T628" i="9"/>
  <c r="S628" i="9"/>
  <c r="R628" i="9"/>
  <c r="Q628" i="9"/>
  <c r="P628" i="9"/>
  <c r="O628" i="9"/>
  <c r="N628" i="9"/>
  <c r="M628" i="9"/>
  <c r="L628" i="9"/>
  <c r="K628" i="9"/>
  <c r="J628" i="9"/>
  <c r="I628" i="9"/>
  <c r="H628" i="9"/>
  <c r="G628" i="9"/>
  <c r="F628" i="9"/>
  <c r="E628" i="9"/>
  <c r="D628" i="9"/>
  <c r="C628" i="9"/>
  <c r="B628" i="9"/>
  <c r="A628" i="9"/>
  <c r="W627" i="9"/>
  <c r="V627" i="9"/>
  <c r="U627" i="9"/>
  <c r="T627" i="9"/>
  <c r="S627" i="9"/>
  <c r="R627" i="9"/>
  <c r="Q627" i="9"/>
  <c r="P627" i="9"/>
  <c r="O627" i="9"/>
  <c r="N627" i="9"/>
  <c r="M627" i="9"/>
  <c r="L627" i="9"/>
  <c r="K627" i="9"/>
  <c r="J627" i="9"/>
  <c r="I627" i="9"/>
  <c r="H627" i="9"/>
  <c r="G627" i="9"/>
  <c r="F627" i="9"/>
  <c r="E627" i="9"/>
  <c r="D627" i="9"/>
  <c r="C627" i="9"/>
  <c r="B627" i="9"/>
  <c r="A627" i="9"/>
  <c r="W626" i="9"/>
  <c r="V626" i="9"/>
  <c r="U626" i="9"/>
  <c r="T626" i="9"/>
  <c r="S626" i="9"/>
  <c r="R626" i="9"/>
  <c r="Q626" i="9"/>
  <c r="P626" i="9"/>
  <c r="O626" i="9"/>
  <c r="N626" i="9"/>
  <c r="M626" i="9"/>
  <c r="L626" i="9"/>
  <c r="K626" i="9"/>
  <c r="J626" i="9"/>
  <c r="I626" i="9"/>
  <c r="H626" i="9"/>
  <c r="G626" i="9"/>
  <c r="F626" i="9"/>
  <c r="E626" i="9"/>
  <c r="D626" i="9"/>
  <c r="C626" i="9"/>
  <c r="B626" i="9"/>
  <c r="A626" i="9"/>
  <c r="W625" i="9"/>
  <c r="V625" i="9"/>
  <c r="U625" i="9"/>
  <c r="T625" i="9"/>
  <c r="S625" i="9"/>
  <c r="R625" i="9"/>
  <c r="Q625" i="9"/>
  <c r="P625" i="9"/>
  <c r="O625" i="9"/>
  <c r="N625" i="9"/>
  <c r="M625" i="9"/>
  <c r="L625" i="9"/>
  <c r="K625" i="9"/>
  <c r="J625" i="9"/>
  <c r="I625" i="9"/>
  <c r="H625" i="9"/>
  <c r="G625" i="9"/>
  <c r="F625" i="9"/>
  <c r="E625" i="9"/>
  <c r="D625" i="9"/>
  <c r="C625" i="9"/>
  <c r="B625" i="9"/>
  <c r="A625" i="9"/>
  <c r="W624" i="9"/>
  <c r="V624" i="9"/>
  <c r="U624" i="9"/>
  <c r="T624" i="9"/>
  <c r="S624" i="9"/>
  <c r="R624" i="9"/>
  <c r="Q624" i="9"/>
  <c r="P624" i="9"/>
  <c r="O624" i="9"/>
  <c r="N624" i="9"/>
  <c r="M624" i="9"/>
  <c r="L624" i="9"/>
  <c r="K624" i="9"/>
  <c r="J624" i="9"/>
  <c r="I624" i="9"/>
  <c r="H624" i="9"/>
  <c r="G624" i="9"/>
  <c r="F624" i="9"/>
  <c r="E624" i="9"/>
  <c r="D624" i="9"/>
  <c r="C624" i="9"/>
  <c r="B624" i="9"/>
  <c r="A624" i="9"/>
  <c r="W623" i="9"/>
  <c r="V623" i="9"/>
  <c r="U623" i="9"/>
  <c r="T623" i="9"/>
  <c r="S623" i="9"/>
  <c r="R623" i="9"/>
  <c r="Q623" i="9"/>
  <c r="P623" i="9"/>
  <c r="O623" i="9"/>
  <c r="N623" i="9"/>
  <c r="M623" i="9"/>
  <c r="L623" i="9"/>
  <c r="K623" i="9"/>
  <c r="J623" i="9"/>
  <c r="I623" i="9"/>
  <c r="H623" i="9"/>
  <c r="G623" i="9"/>
  <c r="F623" i="9"/>
  <c r="E623" i="9"/>
  <c r="D623" i="9"/>
  <c r="C623" i="9"/>
  <c r="B623" i="9"/>
  <c r="A623" i="9"/>
  <c r="W622" i="9"/>
  <c r="V622" i="9"/>
  <c r="U622" i="9"/>
  <c r="T622" i="9"/>
  <c r="S622" i="9"/>
  <c r="R622" i="9"/>
  <c r="Q622" i="9"/>
  <c r="P622" i="9"/>
  <c r="O622" i="9"/>
  <c r="N622" i="9"/>
  <c r="M622" i="9"/>
  <c r="L622" i="9"/>
  <c r="K622" i="9"/>
  <c r="J622" i="9"/>
  <c r="I622" i="9"/>
  <c r="H622" i="9"/>
  <c r="G622" i="9"/>
  <c r="F622" i="9"/>
  <c r="E622" i="9"/>
  <c r="D622" i="9"/>
  <c r="C622" i="9"/>
  <c r="B622" i="9"/>
  <c r="A622" i="9"/>
  <c r="W621" i="9"/>
  <c r="V621" i="9"/>
  <c r="U621" i="9"/>
  <c r="T621" i="9"/>
  <c r="S621" i="9"/>
  <c r="R621" i="9"/>
  <c r="Q621" i="9"/>
  <c r="P621" i="9"/>
  <c r="O621" i="9"/>
  <c r="N621" i="9"/>
  <c r="M621" i="9"/>
  <c r="L621" i="9"/>
  <c r="K621" i="9"/>
  <c r="J621" i="9"/>
  <c r="I621" i="9"/>
  <c r="H621" i="9"/>
  <c r="G621" i="9"/>
  <c r="F621" i="9"/>
  <c r="E621" i="9"/>
  <c r="D621" i="9"/>
  <c r="C621" i="9"/>
  <c r="B621" i="9"/>
  <c r="A621" i="9"/>
  <c r="W620" i="9"/>
  <c r="V620" i="9"/>
  <c r="U620" i="9"/>
  <c r="T620" i="9"/>
  <c r="S620" i="9"/>
  <c r="R620" i="9"/>
  <c r="Q620" i="9"/>
  <c r="P620" i="9"/>
  <c r="O620" i="9"/>
  <c r="N620" i="9"/>
  <c r="M620" i="9"/>
  <c r="L620" i="9"/>
  <c r="K620" i="9"/>
  <c r="J620" i="9"/>
  <c r="I620" i="9"/>
  <c r="H620" i="9"/>
  <c r="G620" i="9"/>
  <c r="F620" i="9"/>
  <c r="E620" i="9"/>
  <c r="D620" i="9"/>
  <c r="C620" i="9"/>
  <c r="B620" i="9"/>
  <c r="A620" i="9"/>
  <c r="W619" i="9"/>
  <c r="V619" i="9"/>
  <c r="U619" i="9"/>
  <c r="T619" i="9"/>
  <c r="S619" i="9"/>
  <c r="R619" i="9"/>
  <c r="Q619" i="9"/>
  <c r="P619" i="9"/>
  <c r="O619" i="9"/>
  <c r="N619" i="9"/>
  <c r="M619" i="9"/>
  <c r="L619" i="9"/>
  <c r="K619" i="9"/>
  <c r="J619" i="9"/>
  <c r="I619" i="9"/>
  <c r="H619" i="9"/>
  <c r="G619" i="9"/>
  <c r="F619" i="9"/>
  <c r="E619" i="9"/>
  <c r="D619" i="9"/>
  <c r="C619" i="9"/>
  <c r="B619" i="9"/>
  <c r="A619" i="9"/>
  <c r="W618" i="9"/>
  <c r="V618" i="9"/>
  <c r="U618" i="9"/>
  <c r="T618" i="9"/>
  <c r="S618" i="9"/>
  <c r="R618" i="9"/>
  <c r="Q618" i="9"/>
  <c r="P618" i="9"/>
  <c r="O618" i="9"/>
  <c r="N618" i="9"/>
  <c r="M618" i="9"/>
  <c r="L618" i="9"/>
  <c r="K618" i="9"/>
  <c r="J618" i="9"/>
  <c r="I618" i="9"/>
  <c r="H618" i="9"/>
  <c r="G618" i="9"/>
  <c r="F618" i="9"/>
  <c r="E618" i="9"/>
  <c r="D618" i="9"/>
  <c r="C618" i="9"/>
  <c r="B618" i="9"/>
  <c r="A618" i="9"/>
  <c r="W617" i="9"/>
  <c r="V617" i="9"/>
  <c r="U617" i="9"/>
  <c r="T617" i="9"/>
  <c r="S617" i="9"/>
  <c r="R617" i="9"/>
  <c r="Q617" i="9"/>
  <c r="P617" i="9"/>
  <c r="O617" i="9"/>
  <c r="N617" i="9"/>
  <c r="M617" i="9"/>
  <c r="L617" i="9"/>
  <c r="K617" i="9"/>
  <c r="J617" i="9"/>
  <c r="I617" i="9"/>
  <c r="H617" i="9"/>
  <c r="G617" i="9"/>
  <c r="F617" i="9"/>
  <c r="E617" i="9"/>
  <c r="D617" i="9"/>
  <c r="C617" i="9"/>
  <c r="B617" i="9"/>
  <c r="A617" i="9"/>
  <c r="W616" i="9"/>
  <c r="V616" i="9"/>
  <c r="U616" i="9"/>
  <c r="T616" i="9"/>
  <c r="S616" i="9"/>
  <c r="R616" i="9"/>
  <c r="Q616" i="9"/>
  <c r="P616" i="9"/>
  <c r="O616" i="9"/>
  <c r="N616" i="9"/>
  <c r="M616" i="9"/>
  <c r="L616" i="9"/>
  <c r="K616" i="9"/>
  <c r="J616" i="9"/>
  <c r="I616" i="9"/>
  <c r="H616" i="9"/>
  <c r="G616" i="9"/>
  <c r="F616" i="9"/>
  <c r="E616" i="9"/>
  <c r="D616" i="9"/>
  <c r="C616" i="9"/>
  <c r="B616" i="9"/>
  <c r="A616" i="9"/>
  <c r="W615" i="9"/>
  <c r="V615" i="9"/>
  <c r="U615" i="9"/>
  <c r="T615" i="9"/>
  <c r="S615" i="9"/>
  <c r="R615" i="9"/>
  <c r="Q615" i="9"/>
  <c r="P615" i="9"/>
  <c r="O615" i="9"/>
  <c r="N615" i="9"/>
  <c r="M615" i="9"/>
  <c r="L615" i="9"/>
  <c r="K615" i="9"/>
  <c r="J615" i="9"/>
  <c r="I615" i="9"/>
  <c r="H615" i="9"/>
  <c r="G615" i="9"/>
  <c r="F615" i="9"/>
  <c r="E615" i="9"/>
  <c r="D615" i="9"/>
  <c r="C615" i="9"/>
  <c r="B615" i="9"/>
  <c r="A615" i="9"/>
  <c r="W614" i="9"/>
  <c r="V614" i="9"/>
  <c r="U614" i="9"/>
  <c r="T614" i="9"/>
  <c r="S614" i="9"/>
  <c r="R614" i="9"/>
  <c r="Q614" i="9"/>
  <c r="P614" i="9"/>
  <c r="O614" i="9"/>
  <c r="N614" i="9"/>
  <c r="M614" i="9"/>
  <c r="L614" i="9"/>
  <c r="K614" i="9"/>
  <c r="J614" i="9"/>
  <c r="I614" i="9"/>
  <c r="H614" i="9"/>
  <c r="G614" i="9"/>
  <c r="F614" i="9"/>
  <c r="E614" i="9"/>
  <c r="D614" i="9"/>
  <c r="C614" i="9"/>
  <c r="B614" i="9"/>
  <c r="A614" i="9"/>
  <c r="W613" i="9"/>
  <c r="V613" i="9"/>
  <c r="U613" i="9"/>
  <c r="T613" i="9"/>
  <c r="S613" i="9"/>
  <c r="R613" i="9"/>
  <c r="Q613" i="9"/>
  <c r="P613" i="9"/>
  <c r="O613" i="9"/>
  <c r="N613" i="9"/>
  <c r="M613" i="9"/>
  <c r="L613" i="9"/>
  <c r="K613" i="9"/>
  <c r="J613" i="9"/>
  <c r="I613" i="9"/>
  <c r="H613" i="9"/>
  <c r="G613" i="9"/>
  <c r="F613" i="9"/>
  <c r="E613" i="9"/>
  <c r="D613" i="9"/>
  <c r="C613" i="9"/>
  <c r="B613" i="9"/>
  <c r="A613" i="9"/>
  <c r="W612" i="9"/>
  <c r="V612" i="9"/>
  <c r="U612" i="9"/>
  <c r="T612" i="9"/>
  <c r="S612" i="9"/>
  <c r="R612" i="9"/>
  <c r="Q612" i="9"/>
  <c r="P612" i="9"/>
  <c r="O612" i="9"/>
  <c r="N612" i="9"/>
  <c r="M612" i="9"/>
  <c r="L612" i="9"/>
  <c r="K612" i="9"/>
  <c r="J612" i="9"/>
  <c r="I612" i="9"/>
  <c r="H612" i="9"/>
  <c r="G612" i="9"/>
  <c r="F612" i="9"/>
  <c r="E612" i="9"/>
  <c r="D612" i="9"/>
  <c r="C612" i="9"/>
  <c r="B612" i="9"/>
  <c r="A612" i="9"/>
  <c r="W611" i="9"/>
  <c r="V611" i="9"/>
  <c r="U611" i="9"/>
  <c r="T611" i="9"/>
  <c r="S611" i="9"/>
  <c r="R611" i="9"/>
  <c r="Q611" i="9"/>
  <c r="P611" i="9"/>
  <c r="O611" i="9"/>
  <c r="N611" i="9"/>
  <c r="M611" i="9"/>
  <c r="L611" i="9"/>
  <c r="K611" i="9"/>
  <c r="J611" i="9"/>
  <c r="I611" i="9"/>
  <c r="H611" i="9"/>
  <c r="G611" i="9"/>
  <c r="F611" i="9"/>
  <c r="E611" i="9"/>
  <c r="D611" i="9"/>
  <c r="C611" i="9"/>
  <c r="B611" i="9"/>
  <c r="A611" i="9"/>
  <c r="W610" i="9"/>
  <c r="V610" i="9"/>
  <c r="U610" i="9"/>
  <c r="T610" i="9"/>
  <c r="S610" i="9"/>
  <c r="R610" i="9"/>
  <c r="Q610" i="9"/>
  <c r="P610" i="9"/>
  <c r="O610" i="9"/>
  <c r="N610" i="9"/>
  <c r="M610" i="9"/>
  <c r="L610" i="9"/>
  <c r="K610" i="9"/>
  <c r="J610" i="9"/>
  <c r="I610" i="9"/>
  <c r="H610" i="9"/>
  <c r="G610" i="9"/>
  <c r="F610" i="9"/>
  <c r="E610" i="9"/>
  <c r="D610" i="9"/>
  <c r="C610" i="9"/>
  <c r="B610" i="9"/>
  <c r="A610" i="9"/>
  <c r="W609" i="9"/>
  <c r="V609" i="9"/>
  <c r="U609" i="9"/>
  <c r="T609" i="9"/>
  <c r="S609" i="9"/>
  <c r="R609" i="9"/>
  <c r="Q609" i="9"/>
  <c r="P609" i="9"/>
  <c r="O609" i="9"/>
  <c r="N609" i="9"/>
  <c r="M609" i="9"/>
  <c r="L609" i="9"/>
  <c r="K609" i="9"/>
  <c r="J609" i="9"/>
  <c r="I609" i="9"/>
  <c r="H609" i="9"/>
  <c r="G609" i="9"/>
  <c r="F609" i="9"/>
  <c r="E609" i="9"/>
  <c r="D609" i="9"/>
  <c r="C609" i="9"/>
  <c r="B609" i="9"/>
  <c r="A609" i="9"/>
  <c r="W608" i="9"/>
  <c r="V608" i="9"/>
  <c r="U608" i="9"/>
  <c r="T608" i="9"/>
  <c r="S608" i="9"/>
  <c r="R608" i="9"/>
  <c r="Q608" i="9"/>
  <c r="P608" i="9"/>
  <c r="O608" i="9"/>
  <c r="N608" i="9"/>
  <c r="M608" i="9"/>
  <c r="L608" i="9"/>
  <c r="K608" i="9"/>
  <c r="J608" i="9"/>
  <c r="I608" i="9"/>
  <c r="H608" i="9"/>
  <c r="G608" i="9"/>
  <c r="F608" i="9"/>
  <c r="E608" i="9"/>
  <c r="D608" i="9"/>
  <c r="C608" i="9"/>
  <c r="B608" i="9"/>
  <c r="A608" i="9"/>
  <c r="W607" i="9"/>
  <c r="V607" i="9"/>
  <c r="U607" i="9"/>
  <c r="T607" i="9"/>
  <c r="S607" i="9"/>
  <c r="R607" i="9"/>
  <c r="Q607" i="9"/>
  <c r="P607" i="9"/>
  <c r="O607" i="9"/>
  <c r="N607" i="9"/>
  <c r="M607" i="9"/>
  <c r="L607" i="9"/>
  <c r="K607" i="9"/>
  <c r="J607" i="9"/>
  <c r="I607" i="9"/>
  <c r="H607" i="9"/>
  <c r="G607" i="9"/>
  <c r="F607" i="9"/>
  <c r="E607" i="9"/>
  <c r="D607" i="9"/>
  <c r="C607" i="9"/>
  <c r="B607" i="9"/>
  <c r="A607" i="9"/>
  <c r="W606" i="9"/>
  <c r="V606" i="9"/>
  <c r="U606" i="9"/>
  <c r="T606" i="9"/>
  <c r="S606" i="9"/>
  <c r="R606" i="9"/>
  <c r="Q606" i="9"/>
  <c r="P606" i="9"/>
  <c r="O606" i="9"/>
  <c r="N606" i="9"/>
  <c r="M606" i="9"/>
  <c r="L606" i="9"/>
  <c r="K606" i="9"/>
  <c r="J606" i="9"/>
  <c r="I606" i="9"/>
  <c r="H606" i="9"/>
  <c r="G606" i="9"/>
  <c r="F606" i="9"/>
  <c r="E606" i="9"/>
  <c r="D606" i="9"/>
  <c r="C606" i="9"/>
  <c r="B606" i="9"/>
  <c r="A606" i="9"/>
  <c r="W605" i="9"/>
  <c r="V605" i="9"/>
  <c r="U605" i="9"/>
  <c r="T605" i="9"/>
  <c r="S605" i="9"/>
  <c r="R605" i="9"/>
  <c r="Q605" i="9"/>
  <c r="P605" i="9"/>
  <c r="O605" i="9"/>
  <c r="N605" i="9"/>
  <c r="M605" i="9"/>
  <c r="L605" i="9"/>
  <c r="K605" i="9"/>
  <c r="J605" i="9"/>
  <c r="I605" i="9"/>
  <c r="H605" i="9"/>
  <c r="G605" i="9"/>
  <c r="F605" i="9"/>
  <c r="E605" i="9"/>
  <c r="D605" i="9"/>
  <c r="C605" i="9"/>
  <c r="B605" i="9"/>
  <c r="A605" i="9"/>
  <c r="W604" i="9"/>
  <c r="V604" i="9"/>
  <c r="U604" i="9"/>
  <c r="T604" i="9"/>
  <c r="S604" i="9"/>
  <c r="R604" i="9"/>
  <c r="Q604" i="9"/>
  <c r="P604" i="9"/>
  <c r="O604" i="9"/>
  <c r="N604" i="9"/>
  <c r="M604" i="9"/>
  <c r="L604" i="9"/>
  <c r="K604" i="9"/>
  <c r="J604" i="9"/>
  <c r="I604" i="9"/>
  <c r="H604" i="9"/>
  <c r="G604" i="9"/>
  <c r="F604" i="9"/>
  <c r="E604" i="9"/>
  <c r="D604" i="9"/>
  <c r="C604" i="9"/>
  <c r="B604" i="9"/>
  <c r="A604" i="9"/>
  <c r="W603" i="9"/>
  <c r="V603" i="9"/>
  <c r="U603" i="9"/>
  <c r="T603" i="9"/>
  <c r="S603" i="9"/>
  <c r="R603" i="9"/>
  <c r="Q603" i="9"/>
  <c r="P603" i="9"/>
  <c r="O603" i="9"/>
  <c r="N603" i="9"/>
  <c r="M603" i="9"/>
  <c r="L603" i="9"/>
  <c r="K603" i="9"/>
  <c r="J603" i="9"/>
  <c r="I603" i="9"/>
  <c r="H603" i="9"/>
  <c r="G603" i="9"/>
  <c r="F603" i="9"/>
  <c r="E603" i="9"/>
  <c r="D603" i="9"/>
  <c r="C603" i="9"/>
  <c r="B603" i="9"/>
  <c r="A603" i="9"/>
  <c r="W602" i="9"/>
  <c r="V602" i="9"/>
  <c r="U602" i="9"/>
  <c r="T602" i="9"/>
  <c r="S602" i="9"/>
  <c r="R602" i="9"/>
  <c r="Q602" i="9"/>
  <c r="P602" i="9"/>
  <c r="O602" i="9"/>
  <c r="N602" i="9"/>
  <c r="M602" i="9"/>
  <c r="L602" i="9"/>
  <c r="K602" i="9"/>
  <c r="J602" i="9"/>
  <c r="I602" i="9"/>
  <c r="H602" i="9"/>
  <c r="G602" i="9"/>
  <c r="F602" i="9"/>
  <c r="E602" i="9"/>
  <c r="D602" i="9"/>
  <c r="C602" i="9"/>
  <c r="B602" i="9"/>
  <c r="A602" i="9"/>
  <c r="W601" i="9"/>
  <c r="V601" i="9"/>
  <c r="U601" i="9"/>
  <c r="T601" i="9"/>
  <c r="S601" i="9"/>
  <c r="R601" i="9"/>
  <c r="Q601" i="9"/>
  <c r="P601" i="9"/>
  <c r="O601" i="9"/>
  <c r="N601" i="9"/>
  <c r="M601" i="9"/>
  <c r="L601" i="9"/>
  <c r="K601" i="9"/>
  <c r="J601" i="9"/>
  <c r="I601" i="9"/>
  <c r="H601" i="9"/>
  <c r="G601" i="9"/>
  <c r="F601" i="9"/>
  <c r="E601" i="9"/>
  <c r="D601" i="9"/>
  <c r="C601" i="9"/>
  <c r="B601" i="9"/>
  <c r="A601" i="9"/>
  <c r="W600" i="9"/>
  <c r="V600" i="9"/>
  <c r="U600" i="9"/>
  <c r="T600" i="9"/>
  <c r="S600" i="9"/>
  <c r="R600" i="9"/>
  <c r="Q600" i="9"/>
  <c r="P600" i="9"/>
  <c r="O600" i="9"/>
  <c r="N600" i="9"/>
  <c r="M600" i="9"/>
  <c r="L600" i="9"/>
  <c r="K600" i="9"/>
  <c r="J600" i="9"/>
  <c r="I600" i="9"/>
  <c r="H600" i="9"/>
  <c r="G600" i="9"/>
  <c r="F600" i="9"/>
  <c r="E600" i="9"/>
  <c r="D600" i="9"/>
  <c r="C600" i="9"/>
  <c r="B600" i="9"/>
  <c r="A600" i="9"/>
  <c r="W599" i="9"/>
  <c r="V599" i="9"/>
  <c r="U599" i="9"/>
  <c r="T599" i="9"/>
  <c r="S599" i="9"/>
  <c r="R599" i="9"/>
  <c r="Q599" i="9"/>
  <c r="P599" i="9"/>
  <c r="O599" i="9"/>
  <c r="N599" i="9"/>
  <c r="M599" i="9"/>
  <c r="L599" i="9"/>
  <c r="K599" i="9"/>
  <c r="J599" i="9"/>
  <c r="I599" i="9"/>
  <c r="H599" i="9"/>
  <c r="G599" i="9"/>
  <c r="F599" i="9"/>
  <c r="E599" i="9"/>
  <c r="D599" i="9"/>
  <c r="C599" i="9"/>
  <c r="B599" i="9"/>
  <c r="A599" i="9"/>
  <c r="W598" i="9"/>
  <c r="V598" i="9"/>
  <c r="U598" i="9"/>
  <c r="T598" i="9"/>
  <c r="S598" i="9"/>
  <c r="R598" i="9"/>
  <c r="Q598" i="9"/>
  <c r="P598" i="9"/>
  <c r="O598" i="9"/>
  <c r="N598" i="9"/>
  <c r="M598" i="9"/>
  <c r="L598" i="9"/>
  <c r="K598" i="9"/>
  <c r="J598" i="9"/>
  <c r="I598" i="9"/>
  <c r="H598" i="9"/>
  <c r="G598" i="9"/>
  <c r="F598" i="9"/>
  <c r="E598" i="9"/>
  <c r="D598" i="9"/>
  <c r="C598" i="9"/>
  <c r="B598" i="9"/>
  <c r="A598" i="9"/>
  <c r="W597" i="9"/>
  <c r="V597" i="9"/>
  <c r="U597" i="9"/>
  <c r="T597" i="9"/>
  <c r="S597" i="9"/>
  <c r="R597" i="9"/>
  <c r="Q597" i="9"/>
  <c r="P597" i="9"/>
  <c r="O597" i="9"/>
  <c r="N597" i="9"/>
  <c r="M597" i="9"/>
  <c r="L597" i="9"/>
  <c r="K597" i="9"/>
  <c r="J597" i="9"/>
  <c r="I597" i="9"/>
  <c r="H597" i="9"/>
  <c r="G597" i="9"/>
  <c r="F597" i="9"/>
  <c r="E597" i="9"/>
  <c r="D597" i="9"/>
  <c r="C597" i="9"/>
  <c r="B597" i="9"/>
  <c r="A597" i="9"/>
  <c r="W596" i="9"/>
  <c r="V596" i="9"/>
  <c r="U596" i="9"/>
  <c r="T596" i="9"/>
  <c r="S596" i="9"/>
  <c r="R596" i="9"/>
  <c r="Q596" i="9"/>
  <c r="P596" i="9"/>
  <c r="O596" i="9"/>
  <c r="N596" i="9"/>
  <c r="M596" i="9"/>
  <c r="L596" i="9"/>
  <c r="K596" i="9"/>
  <c r="J596" i="9"/>
  <c r="I596" i="9"/>
  <c r="H596" i="9"/>
  <c r="G596" i="9"/>
  <c r="F596" i="9"/>
  <c r="E596" i="9"/>
  <c r="D596" i="9"/>
  <c r="C596" i="9"/>
  <c r="B596" i="9"/>
  <c r="A596" i="9"/>
  <c r="W595" i="9"/>
  <c r="V595" i="9"/>
  <c r="U595" i="9"/>
  <c r="T595" i="9"/>
  <c r="S595" i="9"/>
  <c r="R595" i="9"/>
  <c r="Q595" i="9"/>
  <c r="P595" i="9"/>
  <c r="O595" i="9"/>
  <c r="N595" i="9"/>
  <c r="M595" i="9"/>
  <c r="L595" i="9"/>
  <c r="K595" i="9"/>
  <c r="J595" i="9"/>
  <c r="I595" i="9"/>
  <c r="H595" i="9"/>
  <c r="G595" i="9"/>
  <c r="F595" i="9"/>
  <c r="E595" i="9"/>
  <c r="D595" i="9"/>
  <c r="C595" i="9"/>
  <c r="B595" i="9"/>
  <c r="A595" i="9"/>
  <c r="W594" i="9"/>
  <c r="V594" i="9"/>
  <c r="U594" i="9"/>
  <c r="T594" i="9"/>
  <c r="S594" i="9"/>
  <c r="R594" i="9"/>
  <c r="Q594" i="9"/>
  <c r="P594" i="9"/>
  <c r="O594" i="9"/>
  <c r="N594" i="9"/>
  <c r="M594" i="9"/>
  <c r="L594" i="9"/>
  <c r="K594" i="9"/>
  <c r="J594" i="9"/>
  <c r="I594" i="9"/>
  <c r="H594" i="9"/>
  <c r="G594" i="9"/>
  <c r="F594" i="9"/>
  <c r="E594" i="9"/>
  <c r="D594" i="9"/>
  <c r="C594" i="9"/>
  <c r="B594" i="9"/>
  <c r="A594" i="9"/>
  <c r="W593" i="9"/>
  <c r="V593" i="9"/>
  <c r="U593" i="9"/>
  <c r="T593" i="9"/>
  <c r="S593" i="9"/>
  <c r="R593" i="9"/>
  <c r="Q593" i="9"/>
  <c r="P593" i="9"/>
  <c r="O593" i="9"/>
  <c r="N593" i="9"/>
  <c r="M593" i="9"/>
  <c r="L593" i="9"/>
  <c r="K593" i="9"/>
  <c r="J593" i="9"/>
  <c r="I593" i="9"/>
  <c r="H593" i="9"/>
  <c r="G593" i="9"/>
  <c r="F593" i="9"/>
  <c r="E593" i="9"/>
  <c r="D593" i="9"/>
  <c r="C593" i="9"/>
  <c r="B593" i="9"/>
  <c r="A593" i="9"/>
  <c r="W592" i="9"/>
  <c r="V592" i="9"/>
  <c r="U592" i="9"/>
  <c r="T592" i="9"/>
  <c r="S592" i="9"/>
  <c r="R592" i="9"/>
  <c r="Q592" i="9"/>
  <c r="P592" i="9"/>
  <c r="O592" i="9"/>
  <c r="N592" i="9"/>
  <c r="M592" i="9"/>
  <c r="L592" i="9"/>
  <c r="K592" i="9"/>
  <c r="J592" i="9"/>
  <c r="I592" i="9"/>
  <c r="H592" i="9"/>
  <c r="G592" i="9"/>
  <c r="F592" i="9"/>
  <c r="E592" i="9"/>
  <c r="D592" i="9"/>
  <c r="C592" i="9"/>
  <c r="B592" i="9"/>
  <c r="A592" i="9"/>
  <c r="W591" i="9"/>
  <c r="V591" i="9"/>
  <c r="U591" i="9"/>
  <c r="T591" i="9"/>
  <c r="S591" i="9"/>
  <c r="R591" i="9"/>
  <c r="Q591" i="9"/>
  <c r="P591" i="9"/>
  <c r="O591" i="9"/>
  <c r="N591" i="9"/>
  <c r="M591" i="9"/>
  <c r="L591" i="9"/>
  <c r="K591" i="9"/>
  <c r="J591" i="9"/>
  <c r="I591" i="9"/>
  <c r="H591" i="9"/>
  <c r="G591" i="9"/>
  <c r="F591" i="9"/>
  <c r="E591" i="9"/>
  <c r="D591" i="9"/>
  <c r="C591" i="9"/>
  <c r="B591" i="9"/>
  <c r="A591" i="9"/>
  <c r="W590" i="9"/>
  <c r="V590" i="9"/>
  <c r="U590" i="9"/>
  <c r="T590" i="9"/>
  <c r="S590" i="9"/>
  <c r="R590" i="9"/>
  <c r="Q590" i="9"/>
  <c r="P590" i="9"/>
  <c r="O590" i="9"/>
  <c r="N590" i="9"/>
  <c r="M590" i="9"/>
  <c r="L590" i="9"/>
  <c r="K590" i="9"/>
  <c r="J590" i="9"/>
  <c r="I590" i="9"/>
  <c r="H590" i="9"/>
  <c r="G590" i="9"/>
  <c r="F590" i="9"/>
  <c r="E590" i="9"/>
  <c r="D590" i="9"/>
  <c r="C590" i="9"/>
  <c r="B590" i="9"/>
  <c r="A590" i="9"/>
  <c r="W589" i="9"/>
  <c r="V589" i="9"/>
  <c r="U589" i="9"/>
  <c r="T589" i="9"/>
  <c r="S589" i="9"/>
  <c r="R589" i="9"/>
  <c r="Q589" i="9"/>
  <c r="P589" i="9"/>
  <c r="O589" i="9"/>
  <c r="N589" i="9"/>
  <c r="M589" i="9"/>
  <c r="L589" i="9"/>
  <c r="K589" i="9"/>
  <c r="J589" i="9"/>
  <c r="I589" i="9"/>
  <c r="H589" i="9"/>
  <c r="G589" i="9"/>
  <c r="F589" i="9"/>
  <c r="E589" i="9"/>
  <c r="D589" i="9"/>
  <c r="C589" i="9"/>
  <c r="B589" i="9"/>
  <c r="A589" i="9"/>
  <c r="W588" i="9"/>
  <c r="V588" i="9"/>
  <c r="U588" i="9"/>
  <c r="T588" i="9"/>
  <c r="S588" i="9"/>
  <c r="R588" i="9"/>
  <c r="Q588" i="9"/>
  <c r="P588" i="9"/>
  <c r="O588" i="9"/>
  <c r="N588" i="9"/>
  <c r="M588" i="9"/>
  <c r="L588" i="9"/>
  <c r="K588" i="9"/>
  <c r="J588" i="9"/>
  <c r="I588" i="9"/>
  <c r="H588" i="9"/>
  <c r="G588" i="9"/>
  <c r="F588" i="9"/>
  <c r="E588" i="9"/>
  <c r="D588" i="9"/>
  <c r="C588" i="9"/>
  <c r="B588" i="9"/>
  <c r="A588" i="9"/>
  <c r="W587" i="9"/>
  <c r="V587" i="9"/>
  <c r="U587" i="9"/>
  <c r="T587" i="9"/>
  <c r="S587" i="9"/>
  <c r="R587" i="9"/>
  <c r="Q587" i="9"/>
  <c r="P587" i="9"/>
  <c r="O587" i="9"/>
  <c r="N587" i="9"/>
  <c r="M587" i="9"/>
  <c r="L587" i="9"/>
  <c r="K587" i="9"/>
  <c r="J587" i="9"/>
  <c r="I587" i="9"/>
  <c r="H587" i="9"/>
  <c r="G587" i="9"/>
  <c r="F587" i="9"/>
  <c r="E587" i="9"/>
  <c r="D587" i="9"/>
  <c r="C587" i="9"/>
  <c r="B587" i="9"/>
  <c r="A587" i="9"/>
  <c r="W586" i="9"/>
  <c r="V586" i="9"/>
  <c r="U586" i="9"/>
  <c r="T586" i="9"/>
  <c r="S586" i="9"/>
  <c r="R586" i="9"/>
  <c r="Q586" i="9"/>
  <c r="P586" i="9"/>
  <c r="O586" i="9"/>
  <c r="N586" i="9"/>
  <c r="M586" i="9"/>
  <c r="L586" i="9"/>
  <c r="K586" i="9"/>
  <c r="J586" i="9"/>
  <c r="I586" i="9"/>
  <c r="H586" i="9"/>
  <c r="G586" i="9"/>
  <c r="F586" i="9"/>
  <c r="E586" i="9"/>
  <c r="D586" i="9"/>
  <c r="C586" i="9"/>
  <c r="B586" i="9"/>
  <c r="A586" i="9"/>
  <c r="W585" i="9"/>
  <c r="V585" i="9"/>
  <c r="U585" i="9"/>
  <c r="T585" i="9"/>
  <c r="S585" i="9"/>
  <c r="R585" i="9"/>
  <c r="Q585" i="9"/>
  <c r="P585" i="9"/>
  <c r="O585" i="9"/>
  <c r="N585" i="9"/>
  <c r="M585" i="9"/>
  <c r="L585" i="9"/>
  <c r="K585" i="9"/>
  <c r="J585" i="9"/>
  <c r="I585" i="9"/>
  <c r="H585" i="9"/>
  <c r="G585" i="9"/>
  <c r="F585" i="9"/>
  <c r="E585" i="9"/>
  <c r="D585" i="9"/>
  <c r="C585" i="9"/>
  <c r="B585" i="9"/>
  <c r="A585" i="9"/>
  <c r="W584" i="9"/>
  <c r="V584" i="9"/>
  <c r="U584" i="9"/>
  <c r="T584" i="9"/>
  <c r="S584" i="9"/>
  <c r="R584" i="9"/>
  <c r="Q584" i="9"/>
  <c r="P584" i="9"/>
  <c r="O584" i="9"/>
  <c r="N584" i="9"/>
  <c r="M584" i="9"/>
  <c r="L584" i="9"/>
  <c r="K584" i="9"/>
  <c r="J584" i="9"/>
  <c r="I584" i="9"/>
  <c r="H584" i="9"/>
  <c r="G584" i="9"/>
  <c r="F584" i="9"/>
  <c r="E584" i="9"/>
  <c r="D584" i="9"/>
  <c r="C584" i="9"/>
  <c r="B584" i="9"/>
  <c r="A584" i="9"/>
  <c r="W583" i="9"/>
  <c r="V583" i="9"/>
  <c r="U583" i="9"/>
  <c r="T583" i="9"/>
  <c r="S583" i="9"/>
  <c r="R583" i="9"/>
  <c r="Q583" i="9"/>
  <c r="P583" i="9"/>
  <c r="O583" i="9"/>
  <c r="N583" i="9"/>
  <c r="M583" i="9"/>
  <c r="L583" i="9"/>
  <c r="K583" i="9"/>
  <c r="J583" i="9"/>
  <c r="I583" i="9"/>
  <c r="H583" i="9"/>
  <c r="G583" i="9"/>
  <c r="F583" i="9"/>
  <c r="E583" i="9"/>
  <c r="D583" i="9"/>
  <c r="C583" i="9"/>
  <c r="B583" i="9"/>
  <c r="A583" i="9"/>
  <c r="W582" i="9"/>
  <c r="V582" i="9"/>
  <c r="U582" i="9"/>
  <c r="T582" i="9"/>
  <c r="S582" i="9"/>
  <c r="R582" i="9"/>
  <c r="Q582" i="9"/>
  <c r="P582" i="9"/>
  <c r="O582" i="9"/>
  <c r="N582" i="9"/>
  <c r="M582" i="9"/>
  <c r="L582" i="9"/>
  <c r="K582" i="9"/>
  <c r="J582" i="9"/>
  <c r="I582" i="9"/>
  <c r="H582" i="9"/>
  <c r="G582" i="9"/>
  <c r="F582" i="9"/>
  <c r="E582" i="9"/>
  <c r="D582" i="9"/>
  <c r="C582" i="9"/>
  <c r="B582" i="9"/>
  <c r="A582" i="9"/>
  <c r="W581" i="9"/>
  <c r="V581" i="9"/>
  <c r="U581" i="9"/>
  <c r="T581" i="9"/>
  <c r="S581" i="9"/>
  <c r="R581" i="9"/>
  <c r="Q581" i="9"/>
  <c r="P581" i="9"/>
  <c r="O581" i="9"/>
  <c r="N581" i="9"/>
  <c r="M581" i="9"/>
  <c r="L581" i="9"/>
  <c r="K581" i="9"/>
  <c r="J581" i="9"/>
  <c r="I581" i="9"/>
  <c r="H581" i="9"/>
  <c r="G581" i="9"/>
  <c r="F581" i="9"/>
  <c r="E581" i="9"/>
  <c r="D581" i="9"/>
  <c r="C581" i="9"/>
  <c r="B581" i="9"/>
  <c r="A581" i="9"/>
  <c r="W580" i="9"/>
  <c r="V580" i="9"/>
  <c r="U580" i="9"/>
  <c r="T580" i="9"/>
  <c r="S580" i="9"/>
  <c r="R580" i="9"/>
  <c r="Q580" i="9"/>
  <c r="P580" i="9"/>
  <c r="O580" i="9"/>
  <c r="N580" i="9"/>
  <c r="M580" i="9"/>
  <c r="L580" i="9"/>
  <c r="K580" i="9"/>
  <c r="J580" i="9"/>
  <c r="I580" i="9"/>
  <c r="H580" i="9"/>
  <c r="G580" i="9"/>
  <c r="F580" i="9"/>
  <c r="E580" i="9"/>
  <c r="D580" i="9"/>
  <c r="C580" i="9"/>
  <c r="B580" i="9"/>
  <c r="A580" i="9"/>
  <c r="W579" i="9"/>
  <c r="V579" i="9"/>
  <c r="U579" i="9"/>
  <c r="T579" i="9"/>
  <c r="S579" i="9"/>
  <c r="R579" i="9"/>
  <c r="Q579" i="9"/>
  <c r="P579" i="9"/>
  <c r="O579" i="9"/>
  <c r="N579" i="9"/>
  <c r="M579" i="9"/>
  <c r="L579" i="9"/>
  <c r="K579" i="9"/>
  <c r="J579" i="9"/>
  <c r="I579" i="9"/>
  <c r="H579" i="9"/>
  <c r="G579" i="9"/>
  <c r="F579" i="9"/>
  <c r="E579" i="9"/>
  <c r="D579" i="9"/>
  <c r="C579" i="9"/>
  <c r="B579" i="9"/>
  <c r="A579" i="9"/>
  <c r="W578" i="9"/>
  <c r="V578" i="9"/>
  <c r="U578" i="9"/>
  <c r="T578" i="9"/>
  <c r="S578" i="9"/>
  <c r="R578" i="9"/>
  <c r="Q578" i="9"/>
  <c r="P578" i="9"/>
  <c r="O578" i="9"/>
  <c r="N578" i="9"/>
  <c r="M578" i="9"/>
  <c r="L578" i="9"/>
  <c r="K578" i="9"/>
  <c r="J578" i="9"/>
  <c r="I578" i="9"/>
  <c r="H578" i="9"/>
  <c r="G578" i="9"/>
  <c r="F578" i="9"/>
  <c r="E578" i="9"/>
  <c r="D578" i="9"/>
  <c r="C578" i="9"/>
  <c r="B578" i="9"/>
  <c r="A578" i="9"/>
  <c r="W577" i="9"/>
  <c r="V577" i="9"/>
  <c r="U577" i="9"/>
  <c r="T577" i="9"/>
  <c r="S577" i="9"/>
  <c r="R577" i="9"/>
  <c r="Q577" i="9"/>
  <c r="P577" i="9"/>
  <c r="O577" i="9"/>
  <c r="N577" i="9"/>
  <c r="M577" i="9"/>
  <c r="L577" i="9"/>
  <c r="K577" i="9"/>
  <c r="J577" i="9"/>
  <c r="I577" i="9"/>
  <c r="H577" i="9"/>
  <c r="G577" i="9"/>
  <c r="F577" i="9"/>
  <c r="E577" i="9"/>
  <c r="D577" i="9"/>
  <c r="C577" i="9"/>
  <c r="B577" i="9"/>
  <c r="A577" i="9"/>
  <c r="W576" i="9"/>
  <c r="V576" i="9"/>
  <c r="U576" i="9"/>
  <c r="T576" i="9"/>
  <c r="S576" i="9"/>
  <c r="R576" i="9"/>
  <c r="Q576" i="9"/>
  <c r="P576" i="9"/>
  <c r="O576" i="9"/>
  <c r="N576" i="9"/>
  <c r="M576" i="9"/>
  <c r="L576" i="9"/>
  <c r="K576" i="9"/>
  <c r="J576" i="9"/>
  <c r="I576" i="9"/>
  <c r="H576" i="9"/>
  <c r="G576" i="9"/>
  <c r="F576" i="9"/>
  <c r="E576" i="9"/>
  <c r="D576" i="9"/>
  <c r="C576" i="9"/>
  <c r="B576" i="9"/>
  <c r="A576" i="9"/>
  <c r="W575" i="9"/>
  <c r="V575" i="9"/>
  <c r="U575" i="9"/>
  <c r="T575" i="9"/>
  <c r="S575" i="9"/>
  <c r="R575" i="9"/>
  <c r="Q575" i="9"/>
  <c r="P575" i="9"/>
  <c r="O575" i="9"/>
  <c r="N575" i="9"/>
  <c r="M575" i="9"/>
  <c r="L575" i="9"/>
  <c r="K575" i="9"/>
  <c r="J575" i="9"/>
  <c r="I575" i="9"/>
  <c r="H575" i="9"/>
  <c r="G575" i="9"/>
  <c r="F575" i="9"/>
  <c r="E575" i="9"/>
  <c r="D575" i="9"/>
  <c r="C575" i="9"/>
  <c r="B575" i="9"/>
  <c r="A575" i="9"/>
  <c r="W574" i="9"/>
  <c r="V574" i="9"/>
  <c r="U574" i="9"/>
  <c r="T574" i="9"/>
  <c r="S574" i="9"/>
  <c r="R574" i="9"/>
  <c r="Q574" i="9"/>
  <c r="P574" i="9"/>
  <c r="O574" i="9"/>
  <c r="N574" i="9"/>
  <c r="M574" i="9"/>
  <c r="L574" i="9"/>
  <c r="K574" i="9"/>
  <c r="J574" i="9"/>
  <c r="I574" i="9"/>
  <c r="H574" i="9"/>
  <c r="G574" i="9"/>
  <c r="F574" i="9"/>
  <c r="E574" i="9"/>
  <c r="D574" i="9"/>
  <c r="C574" i="9"/>
  <c r="B574" i="9"/>
  <c r="A574" i="9"/>
  <c r="W573" i="9"/>
  <c r="V573" i="9"/>
  <c r="U573" i="9"/>
  <c r="T573" i="9"/>
  <c r="S573" i="9"/>
  <c r="R573" i="9"/>
  <c r="Q573" i="9"/>
  <c r="P573" i="9"/>
  <c r="O573" i="9"/>
  <c r="N573" i="9"/>
  <c r="M573" i="9"/>
  <c r="L573" i="9"/>
  <c r="K573" i="9"/>
  <c r="J573" i="9"/>
  <c r="I573" i="9"/>
  <c r="H573" i="9"/>
  <c r="G573" i="9"/>
  <c r="F573" i="9"/>
  <c r="E573" i="9"/>
  <c r="D573" i="9"/>
  <c r="C573" i="9"/>
  <c r="B573" i="9"/>
  <c r="A573" i="9"/>
  <c r="W572" i="9"/>
  <c r="V572" i="9"/>
  <c r="U572" i="9"/>
  <c r="T572" i="9"/>
  <c r="S572" i="9"/>
  <c r="R572" i="9"/>
  <c r="Q572" i="9"/>
  <c r="P572" i="9"/>
  <c r="O572" i="9"/>
  <c r="N572" i="9"/>
  <c r="M572" i="9"/>
  <c r="L572" i="9"/>
  <c r="K572" i="9"/>
  <c r="J572" i="9"/>
  <c r="I572" i="9"/>
  <c r="H572" i="9"/>
  <c r="G572" i="9"/>
  <c r="F572" i="9"/>
  <c r="E572" i="9"/>
  <c r="D572" i="9"/>
  <c r="C572" i="9"/>
  <c r="B572" i="9"/>
  <c r="A572" i="9"/>
  <c r="W571" i="9"/>
  <c r="V571" i="9"/>
  <c r="U571" i="9"/>
  <c r="T571" i="9"/>
  <c r="S571" i="9"/>
  <c r="R571" i="9"/>
  <c r="Q571" i="9"/>
  <c r="P571" i="9"/>
  <c r="O571" i="9"/>
  <c r="N571" i="9"/>
  <c r="M571" i="9"/>
  <c r="L571" i="9"/>
  <c r="K571" i="9"/>
  <c r="J571" i="9"/>
  <c r="I571" i="9"/>
  <c r="H571" i="9"/>
  <c r="G571" i="9"/>
  <c r="F571" i="9"/>
  <c r="E571" i="9"/>
  <c r="D571" i="9"/>
  <c r="C571" i="9"/>
  <c r="B571" i="9"/>
  <c r="A571" i="9"/>
  <c r="W570" i="9"/>
  <c r="V570" i="9"/>
  <c r="U570" i="9"/>
  <c r="T570" i="9"/>
  <c r="S570" i="9"/>
  <c r="R570" i="9"/>
  <c r="Q570" i="9"/>
  <c r="P570" i="9"/>
  <c r="O570" i="9"/>
  <c r="N570" i="9"/>
  <c r="M570" i="9"/>
  <c r="L570" i="9"/>
  <c r="K570" i="9"/>
  <c r="J570" i="9"/>
  <c r="I570" i="9"/>
  <c r="H570" i="9"/>
  <c r="G570" i="9"/>
  <c r="F570" i="9"/>
  <c r="E570" i="9"/>
  <c r="D570" i="9"/>
  <c r="C570" i="9"/>
  <c r="B570" i="9"/>
  <c r="A570" i="9"/>
  <c r="W569" i="9"/>
  <c r="V569" i="9"/>
  <c r="U569" i="9"/>
  <c r="T569" i="9"/>
  <c r="S569" i="9"/>
  <c r="R569" i="9"/>
  <c r="Q569" i="9"/>
  <c r="P569" i="9"/>
  <c r="O569" i="9"/>
  <c r="N569" i="9"/>
  <c r="M569" i="9"/>
  <c r="L569" i="9"/>
  <c r="K569" i="9"/>
  <c r="J569" i="9"/>
  <c r="I569" i="9"/>
  <c r="H569" i="9"/>
  <c r="G569" i="9"/>
  <c r="F569" i="9"/>
  <c r="E569" i="9"/>
  <c r="D569" i="9"/>
  <c r="C569" i="9"/>
  <c r="B569" i="9"/>
  <c r="A569" i="9"/>
  <c r="W568" i="9"/>
  <c r="V568" i="9"/>
  <c r="U568" i="9"/>
  <c r="T568" i="9"/>
  <c r="S568" i="9"/>
  <c r="R568" i="9"/>
  <c r="Q568" i="9"/>
  <c r="P568" i="9"/>
  <c r="O568" i="9"/>
  <c r="N568" i="9"/>
  <c r="M568" i="9"/>
  <c r="L568" i="9"/>
  <c r="K568" i="9"/>
  <c r="J568" i="9"/>
  <c r="I568" i="9"/>
  <c r="H568" i="9"/>
  <c r="G568" i="9"/>
  <c r="F568" i="9"/>
  <c r="E568" i="9"/>
  <c r="D568" i="9"/>
  <c r="C568" i="9"/>
  <c r="B568" i="9"/>
  <c r="A568" i="9"/>
  <c r="W567" i="9"/>
  <c r="V567" i="9"/>
  <c r="U567" i="9"/>
  <c r="T567" i="9"/>
  <c r="S567" i="9"/>
  <c r="R567" i="9"/>
  <c r="Q567" i="9"/>
  <c r="P567" i="9"/>
  <c r="O567" i="9"/>
  <c r="N567" i="9"/>
  <c r="M567" i="9"/>
  <c r="L567" i="9"/>
  <c r="K567" i="9"/>
  <c r="J567" i="9"/>
  <c r="I567" i="9"/>
  <c r="H567" i="9"/>
  <c r="G567" i="9"/>
  <c r="F567" i="9"/>
  <c r="E567" i="9"/>
  <c r="D567" i="9"/>
  <c r="C567" i="9"/>
  <c r="B567" i="9"/>
  <c r="A567" i="9"/>
  <c r="W566" i="9"/>
  <c r="V566" i="9"/>
  <c r="U566" i="9"/>
  <c r="T566" i="9"/>
  <c r="S566" i="9"/>
  <c r="R566" i="9"/>
  <c r="Q566" i="9"/>
  <c r="P566" i="9"/>
  <c r="O566" i="9"/>
  <c r="N566" i="9"/>
  <c r="M566" i="9"/>
  <c r="L566" i="9"/>
  <c r="K566" i="9"/>
  <c r="J566" i="9"/>
  <c r="I566" i="9"/>
  <c r="H566" i="9"/>
  <c r="G566" i="9"/>
  <c r="F566" i="9"/>
  <c r="E566" i="9"/>
  <c r="D566" i="9"/>
  <c r="C566" i="9"/>
  <c r="B566" i="9"/>
  <c r="A566" i="9"/>
  <c r="W565" i="9"/>
  <c r="V565" i="9"/>
  <c r="U565" i="9"/>
  <c r="T565" i="9"/>
  <c r="S565" i="9"/>
  <c r="R565" i="9"/>
  <c r="Q565" i="9"/>
  <c r="P565" i="9"/>
  <c r="O565" i="9"/>
  <c r="N565" i="9"/>
  <c r="M565" i="9"/>
  <c r="L565" i="9"/>
  <c r="K565" i="9"/>
  <c r="J565" i="9"/>
  <c r="I565" i="9"/>
  <c r="H565" i="9"/>
  <c r="G565" i="9"/>
  <c r="F565" i="9"/>
  <c r="E565" i="9"/>
  <c r="D565" i="9"/>
  <c r="C565" i="9"/>
  <c r="B565" i="9"/>
  <c r="A565" i="9"/>
  <c r="W564" i="9"/>
  <c r="V564" i="9"/>
  <c r="U564" i="9"/>
  <c r="T564" i="9"/>
  <c r="S564" i="9"/>
  <c r="R564" i="9"/>
  <c r="Q564" i="9"/>
  <c r="P564" i="9"/>
  <c r="O564" i="9"/>
  <c r="N564" i="9"/>
  <c r="M564" i="9"/>
  <c r="L564" i="9"/>
  <c r="K564" i="9"/>
  <c r="J564" i="9"/>
  <c r="I564" i="9"/>
  <c r="H564" i="9"/>
  <c r="G564" i="9"/>
  <c r="F564" i="9"/>
  <c r="E564" i="9"/>
  <c r="D564" i="9"/>
  <c r="C564" i="9"/>
  <c r="B564" i="9"/>
  <c r="A564" i="9"/>
  <c r="W563" i="9"/>
  <c r="V563" i="9"/>
  <c r="U563" i="9"/>
  <c r="T563" i="9"/>
  <c r="S563" i="9"/>
  <c r="R563" i="9"/>
  <c r="Q563" i="9"/>
  <c r="P563" i="9"/>
  <c r="O563" i="9"/>
  <c r="N563" i="9"/>
  <c r="M563" i="9"/>
  <c r="L563" i="9"/>
  <c r="K563" i="9"/>
  <c r="J563" i="9"/>
  <c r="I563" i="9"/>
  <c r="H563" i="9"/>
  <c r="G563" i="9"/>
  <c r="F563" i="9"/>
  <c r="E563" i="9"/>
  <c r="D563" i="9"/>
  <c r="C563" i="9"/>
  <c r="B563" i="9"/>
  <c r="A563" i="9"/>
  <c r="W562" i="9"/>
  <c r="V562" i="9"/>
  <c r="U562" i="9"/>
  <c r="T562" i="9"/>
  <c r="S562" i="9"/>
  <c r="R562" i="9"/>
  <c r="Q562" i="9"/>
  <c r="P562" i="9"/>
  <c r="O562" i="9"/>
  <c r="N562" i="9"/>
  <c r="M562" i="9"/>
  <c r="L562" i="9"/>
  <c r="K562" i="9"/>
  <c r="J562" i="9"/>
  <c r="I562" i="9"/>
  <c r="H562" i="9"/>
  <c r="G562" i="9"/>
  <c r="F562" i="9"/>
  <c r="E562" i="9"/>
  <c r="D562" i="9"/>
  <c r="C562" i="9"/>
  <c r="B562" i="9"/>
  <c r="A562" i="9"/>
  <c r="W561" i="9"/>
  <c r="V561" i="9"/>
  <c r="U561" i="9"/>
  <c r="T561" i="9"/>
  <c r="S561" i="9"/>
  <c r="R561" i="9"/>
  <c r="Q561" i="9"/>
  <c r="P561" i="9"/>
  <c r="O561" i="9"/>
  <c r="N561" i="9"/>
  <c r="M561" i="9"/>
  <c r="L561" i="9"/>
  <c r="K561" i="9"/>
  <c r="J561" i="9"/>
  <c r="I561" i="9"/>
  <c r="H561" i="9"/>
  <c r="G561" i="9"/>
  <c r="F561" i="9"/>
  <c r="E561" i="9"/>
  <c r="D561" i="9"/>
  <c r="C561" i="9"/>
  <c r="B561" i="9"/>
  <c r="A561" i="9"/>
  <c r="W560" i="9"/>
  <c r="V560" i="9"/>
  <c r="U560" i="9"/>
  <c r="T560" i="9"/>
  <c r="S560" i="9"/>
  <c r="R560" i="9"/>
  <c r="Q560" i="9"/>
  <c r="P560" i="9"/>
  <c r="O560" i="9"/>
  <c r="N560" i="9"/>
  <c r="M560" i="9"/>
  <c r="L560" i="9"/>
  <c r="K560" i="9"/>
  <c r="J560" i="9"/>
  <c r="I560" i="9"/>
  <c r="H560" i="9"/>
  <c r="G560" i="9"/>
  <c r="F560" i="9"/>
  <c r="E560" i="9"/>
  <c r="D560" i="9"/>
  <c r="C560" i="9"/>
  <c r="B560" i="9"/>
  <c r="A560" i="9"/>
  <c r="W559" i="9"/>
  <c r="V559" i="9"/>
  <c r="U559" i="9"/>
  <c r="T559" i="9"/>
  <c r="S559" i="9"/>
  <c r="R559" i="9"/>
  <c r="Q559" i="9"/>
  <c r="P559" i="9"/>
  <c r="O559" i="9"/>
  <c r="N559" i="9"/>
  <c r="M559" i="9"/>
  <c r="L559" i="9"/>
  <c r="K559" i="9"/>
  <c r="J559" i="9"/>
  <c r="I559" i="9"/>
  <c r="H559" i="9"/>
  <c r="G559" i="9"/>
  <c r="F559" i="9"/>
  <c r="E559" i="9"/>
  <c r="D559" i="9"/>
  <c r="C559" i="9"/>
  <c r="B559" i="9"/>
  <c r="A559" i="9"/>
  <c r="W558" i="9"/>
  <c r="V558" i="9"/>
  <c r="U558" i="9"/>
  <c r="T558" i="9"/>
  <c r="S558" i="9"/>
  <c r="R558" i="9"/>
  <c r="Q558" i="9"/>
  <c r="P558" i="9"/>
  <c r="O558" i="9"/>
  <c r="N558" i="9"/>
  <c r="M558" i="9"/>
  <c r="L558" i="9"/>
  <c r="K558" i="9"/>
  <c r="J558" i="9"/>
  <c r="I558" i="9"/>
  <c r="H558" i="9"/>
  <c r="G558" i="9"/>
  <c r="F558" i="9"/>
  <c r="E558" i="9"/>
  <c r="D558" i="9"/>
  <c r="C558" i="9"/>
  <c r="B558" i="9"/>
  <c r="A558" i="9"/>
  <c r="W557" i="9"/>
  <c r="V557" i="9"/>
  <c r="U557" i="9"/>
  <c r="T557" i="9"/>
  <c r="S557" i="9"/>
  <c r="R557" i="9"/>
  <c r="Q557" i="9"/>
  <c r="P557" i="9"/>
  <c r="O557" i="9"/>
  <c r="N557" i="9"/>
  <c r="M557" i="9"/>
  <c r="L557" i="9"/>
  <c r="K557" i="9"/>
  <c r="J557" i="9"/>
  <c r="I557" i="9"/>
  <c r="H557" i="9"/>
  <c r="G557" i="9"/>
  <c r="F557" i="9"/>
  <c r="E557" i="9"/>
  <c r="D557" i="9"/>
  <c r="C557" i="9"/>
  <c r="B557" i="9"/>
  <c r="A557" i="9"/>
  <c r="W556" i="9"/>
  <c r="V556" i="9"/>
  <c r="U556" i="9"/>
  <c r="T556" i="9"/>
  <c r="S556" i="9"/>
  <c r="R556" i="9"/>
  <c r="Q556" i="9"/>
  <c r="P556" i="9"/>
  <c r="O556" i="9"/>
  <c r="N556" i="9"/>
  <c r="M556" i="9"/>
  <c r="L556" i="9"/>
  <c r="K556" i="9"/>
  <c r="J556" i="9"/>
  <c r="I556" i="9"/>
  <c r="H556" i="9"/>
  <c r="G556" i="9"/>
  <c r="F556" i="9"/>
  <c r="E556" i="9"/>
  <c r="D556" i="9"/>
  <c r="C556" i="9"/>
  <c r="B556" i="9"/>
  <c r="A556" i="9"/>
  <c r="W555" i="9"/>
  <c r="V555" i="9"/>
  <c r="U555" i="9"/>
  <c r="T555" i="9"/>
  <c r="S555" i="9"/>
  <c r="R555" i="9"/>
  <c r="Q555" i="9"/>
  <c r="P555" i="9"/>
  <c r="O555" i="9"/>
  <c r="N555" i="9"/>
  <c r="M555" i="9"/>
  <c r="L555" i="9"/>
  <c r="K555" i="9"/>
  <c r="J555" i="9"/>
  <c r="I555" i="9"/>
  <c r="H555" i="9"/>
  <c r="G555" i="9"/>
  <c r="F555" i="9"/>
  <c r="E555" i="9"/>
  <c r="D555" i="9"/>
  <c r="C555" i="9"/>
  <c r="B555" i="9"/>
  <c r="A555" i="9"/>
  <c r="W554" i="9"/>
  <c r="V554" i="9"/>
  <c r="U554" i="9"/>
  <c r="T554" i="9"/>
  <c r="S554" i="9"/>
  <c r="R554" i="9"/>
  <c r="Q554" i="9"/>
  <c r="P554" i="9"/>
  <c r="O554" i="9"/>
  <c r="N554" i="9"/>
  <c r="M554" i="9"/>
  <c r="L554" i="9"/>
  <c r="K554" i="9"/>
  <c r="J554" i="9"/>
  <c r="I554" i="9"/>
  <c r="H554" i="9"/>
  <c r="G554" i="9"/>
  <c r="F554" i="9"/>
  <c r="E554" i="9"/>
  <c r="D554" i="9"/>
  <c r="C554" i="9"/>
  <c r="B554" i="9"/>
  <c r="A554" i="9"/>
  <c r="W553" i="9"/>
  <c r="V553" i="9"/>
  <c r="U553" i="9"/>
  <c r="T553" i="9"/>
  <c r="S553" i="9"/>
  <c r="R553" i="9"/>
  <c r="Q553" i="9"/>
  <c r="P553" i="9"/>
  <c r="O553" i="9"/>
  <c r="N553" i="9"/>
  <c r="M553" i="9"/>
  <c r="L553" i="9"/>
  <c r="K553" i="9"/>
  <c r="J553" i="9"/>
  <c r="I553" i="9"/>
  <c r="H553" i="9"/>
  <c r="G553" i="9"/>
  <c r="F553" i="9"/>
  <c r="E553" i="9"/>
  <c r="D553" i="9"/>
  <c r="C553" i="9"/>
  <c r="B553" i="9"/>
  <c r="A553" i="9"/>
  <c r="W552" i="9"/>
  <c r="V552" i="9"/>
  <c r="U552" i="9"/>
  <c r="T552" i="9"/>
  <c r="S552" i="9"/>
  <c r="R552" i="9"/>
  <c r="Q552" i="9"/>
  <c r="P552" i="9"/>
  <c r="O552" i="9"/>
  <c r="N552" i="9"/>
  <c r="M552" i="9"/>
  <c r="L552" i="9"/>
  <c r="K552" i="9"/>
  <c r="J552" i="9"/>
  <c r="I552" i="9"/>
  <c r="H552" i="9"/>
  <c r="G552" i="9"/>
  <c r="F552" i="9"/>
  <c r="E552" i="9"/>
  <c r="D552" i="9"/>
  <c r="C552" i="9"/>
  <c r="B552" i="9"/>
  <c r="A552" i="9"/>
  <c r="W551" i="9"/>
  <c r="V551" i="9"/>
  <c r="U551" i="9"/>
  <c r="T551" i="9"/>
  <c r="S551" i="9"/>
  <c r="R551" i="9"/>
  <c r="Q551" i="9"/>
  <c r="P551" i="9"/>
  <c r="O551" i="9"/>
  <c r="N551" i="9"/>
  <c r="M551" i="9"/>
  <c r="L551" i="9"/>
  <c r="K551" i="9"/>
  <c r="J551" i="9"/>
  <c r="I551" i="9"/>
  <c r="H551" i="9"/>
  <c r="G551" i="9"/>
  <c r="F551" i="9"/>
  <c r="E551" i="9"/>
  <c r="D551" i="9"/>
  <c r="C551" i="9"/>
  <c r="B551" i="9"/>
  <c r="A551" i="9"/>
  <c r="W550" i="9"/>
  <c r="V550" i="9"/>
  <c r="U550" i="9"/>
  <c r="T550" i="9"/>
  <c r="S550" i="9"/>
  <c r="R550" i="9"/>
  <c r="Q550" i="9"/>
  <c r="P550" i="9"/>
  <c r="O550" i="9"/>
  <c r="N550" i="9"/>
  <c r="M550" i="9"/>
  <c r="L550" i="9"/>
  <c r="K550" i="9"/>
  <c r="J550" i="9"/>
  <c r="I550" i="9"/>
  <c r="H550" i="9"/>
  <c r="G550" i="9"/>
  <c r="F550" i="9"/>
  <c r="E550" i="9"/>
  <c r="D550" i="9"/>
  <c r="C550" i="9"/>
  <c r="B550" i="9"/>
  <c r="A550" i="9"/>
  <c r="W549" i="9"/>
  <c r="V549" i="9"/>
  <c r="U549" i="9"/>
  <c r="T549" i="9"/>
  <c r="S549" i="9"/>
  <c r="R549" i="9"/>
  <c r="Q549" i="9"/>
  <c r="P549" i="9"/>
  <c r="O549" i="9"/>
  <c r="N549" i="9"/>
  <c r="M549" i="9"/>
  <c r="L549" i="9"/>
  <c r="K549" i="9"/>
  <c r="J549" i="9"/>
  <c r="I549" i="9"/>
  <c r="H549" i="9"/>
  <c r="G549" i="9"/>
  <c r="F549" i="9"/>
  <c r="E549" i="9"/>
  <c r="D549" i="9"/>
  <c r="C549" i="9"/>
  <c r="B549" i="9"/>
  <c r="A549" i="9"/>
  <c r="W548" i="9"/>
  <c r="V548" i="9"/>
  <c r="U548" i="9"/>
  <c r="T548" i="9"/>
  <c r="S548" i="9"/>
  <c r="R548" i="9"/>
  <c r="Q548" i="9"/>
  <c r="P548" i="9"/>
  <c r="O548" i="9"/>
  <c r="N548" i="9"/>
  <c r="M548" i="9"/>
  <c r="L548" i="9"/>
  <c r="K548" i="9"/>
  <c r="J548" i="9"/>
  <c r="I548" i="9"/>
  <c r="H548" i="9"/>
  <c r="G548" i="9"/>
  <c r="F548" i="9"/>
  <c r="E548" i="9"/>
  <c r="D548" i="9"/>
  <c r="C548" i="9"/>
  <c r="B548" i="9"/>
  <c r="A548" i="9"/>
  <c r="W547" i="9"/>
  <c r="V547" i="9"/>
  <c r="U547" i="9"/>
  <c r="T547" i="9"/>
  <c r="S547" i="9"/>
  <c r="R547" i="9"/>
  <c r="Q547" i="9"/>
  <c r="P547" i="9"/>
  <c r="O547" i="9"/>
  <c r="N547" i="9"/>
  <c r="M547" i="9"/>
  <c r="L547" i="9"/>
  <c r="K547" i="9"/>
  <c r="J547" i="9"/>
  <c r="I547" i="9"/>
  <c r="H547" i="9"/>
  <c r="G547" i="9"/>
  <c r="F547" i="9"/>
  <c r="E547" i="9"/>
  <c r="D547" i="9"/>
  <c r="C547" i="9"/>
  <c r="B547" i="9"/>
  <c r="A547" i="9"/>
  <c r="W546" i="9"/>
  <c r="V546" i="9"/>
  <c r="U546" i="9"/>
  <c r="T546" i="9"/>
  <c r="S546" i="9"/>
  <c r="R546" i="9"/>
  <c r="Q546" i="9"/>
  <c r="P546" i="9"/>
  <c r="O546" i="9"/>
  <c r="N546" i="9"/>
  <c r="M546" i="9"/>
  <c r="L546" i="9"/>
  <c r="K546" i="9"/>
  <c r="J546" i="9"/>
  <c r="I546" i="9"/>
  <c r="H546" i="9"/>
  <c r="G546" i="9"/>
  <c r="F546" i="9"/>
  <c r="E546" i="9"/>
  <c r="D546" i="9"/>
  <c r="C546" i="9"/>
  <c r="B546" i="9"/>
  <c r="A546" i="9"/>
  <c r="W545" i="9"/>
  <c r="V545" i="9"/>
  <c r="U545" i="9"/>
  <c r="T545" i="9"/>
  <c r="S545" i="9"/>
  <c r="R545" i="9"/>
  <c r="Q545" i="9"/>
  <c r="P545" i="9"/>
  <c r="O545" i="9"/>
  <c r="N545" i="9"/>
  <c r="M545" i="9"/>
  <c r="L545" i="9"/>
  <c r="K545" i="9"/>
  <c r="J545" i="9"/>
  <c r="I545" i="9"/>
  <c r="H545" i="9"/>
  <c r="G545" i="9"/>
  <c r="F545" i="9"/>
  <c r="E545" i="9"/>
  <c r="D545" i="9"/>
  <c r="C545" i="9"/>
  <c r="B545" i="9"/>
  <c r="A545" i="9"/>
  <c r="W544" i="9"/>
  <c r="V544" i="9"/>
  <c r="U544" i="9"/>
  <c r="T544" i="9"/>
  <c r="S544" i="9"/>
  <c r="R544" i="9"/>
  <c r="Q544" i="9"/>
  <c r="P544" i="9"/>
  <c r="O544" i="9"/>
  <c r="N544" i="9"/>
  <c r="M544" i="9"/>
  <c r="L544" i="9"/>
  <c r="K544" i="9"/>
  <c r="J544" i="9"/>
  <c r="I544" i="9"/>
  <c r="H544" i="9"/>
  <c r="G544" i="9"/>
  <c r="F544" i="9"/>
  <c r="E544" i="9"/>
  <c r="D544" i="9"/>
  <c r="C544" i="9"/>
  <c r="B544" i="9"/>
  <c r="A544" i="9"/>
  <c r="W543" i="9"/>
  <c r="V543" i="9"/>
  <c r="U543" i="9"/>
  <c r="T543" i="9"/>
  <c r="S543" i="9"/>
  <c r="R543" i="9"/>
  <c r="Q543" i="9"/>
  <c r="P543" i="9"/>
  <c r="O543" i="9"/>
  <c r="N543" i="9"/>
  <c r="M543" i="9"/>
  <c r="L543" i="9"/>
  <c r="K543" i="9"/>
  <c r="J543" i="9"/>
  <c r="I543" i="9"/>
  <c r="H543" i="9"/>
  <c r="G543" i="9"/>
  <c r="F543" i="9"/>
  <c r="E543" i="9"/>
  <c r="D543" i="9"/>
  <c r="C543" i="9"/>
  <c r="B543" i="9"/>
  <c r="A543" i="9"/>
  <c r="W542" i="9"/>
  <c r="V542" i="9"/>
  <c r="U542" i="9"/>
  <c r="T542" i="9"/>
  <c r="S542" i="9"/>
  <c r="R542" i="9"/>
  <c r="Q542" i="9"/>
  <c r="P542" i="9"/>
  <c r="O542" i="9"/>
  <c r="N542" i="9"/>
  <c r="M542" i="9"/>
  <c r="L542" i="9"/>
  <c r="K542" i="9"/>
  <c r="J542" i="9"/>
  <c r="I542" i="9"/>
  <c r="H542" i="9"/>
  <c r="G542" i="9"/>
  <c r="F542" i="9"/>
  <c r="E542" i="9"/>
  <c r="D542" i="9"/>
  <c r="C542" i="9"/>
  <c r="B542" i="9"/>
  <c r="A542" i="9"/>
  <c r="W541" i="9"/>
  <c r="V541" i="9"/>
  <c r="U541" i="9"/>
  <c r="T541" i="9"/>
  <c r="S541" i="9"/>
  <c r="R541" i="9"/>
  <c r="Q541" i="9"/>
  <c r="P541" i="9"/>
  <c r="O541" i="9"/>
  <c r="N541" i="9"/>
  <c r="M541" i="9"/>
  <c r="L541" i="9"/>
  <c r="K541" i="9"/>
  <c r="J541" i="9"/>
  <c r="I541" i="9"/>
  <c r="H541" i="9"/>
  <c r="G541" i="9"/>
  <c r="F541" i="9"/>
  <c r="E541" i="9"/>
  <c r="D541" i="9"/>
  <c r="C541" i="9"/>
  <c r="B541" i="9"/>
  <c r="A541" i="9"/>
  <c r="W540" i="9"/>
  <c r="V540" i="9"/>
  <c r="U540" i="9"/>
  <c r="T540" i="9"/>
  <c r="S540" i="9"/>
  <c r="R540" i="9"/>
  <c r="Q540" i="9"/>
  <c r="P540" i="9"/>
  <c r="O540" i="9"/>
  <c r="N540" i="9"/>
  <c r="M540" i="9"/>
  <c r="L540" i="9"/>
  <c r="K540" i="9"/>
  <c r="J540" i="9"/>
  <c r="I540" i="9"/>
  <c r="H540" i="9"/>
  <c r="G540" i="9"/>
  <c r="F540" i="9"/>
  <c r="E540" i="9"/>
  <c r="D540" i="9"/>
  <c r="C540" i="9"/>
  <c r="B540" i="9"/>
  <c r="A540" i="9"/>
  <c r="W539" i="9"/>
  <c r="V539" i="9"/>
  <c r="U539" i="9"/>
  <c r="T539" i="9"/>
  <c r="S539" i="9"/>
  <c r="R539" i="9"/>
  <c r="Q539" i="9"/>
  <c r="P539" i="9"/>
  <c r="O539" i="9"/>
  <c r="N539" i="9"/>
  <c r="M539" i="9"/>
  <c r="L539" i="9"/>
  <c r="K539" i="9"/>
  <c r="J539" i="9"/>
  <c r="I539" i="9"/>
  <c r="H539" i="9"/>
  <c r="G539" i="9"/>
  <c r="F539" i="9"/>
  <c r="E539" i="9"/>
  <c r="D539" i="9"/>
  <c r="C539" i="9"/>
  <c r="B539" i="9"/>
  <c r="A539" i="9"/>
  <c r="W538" i="9"/>
  <c r="V538" i="9"/>
  <c r="U538" i="9"/>
  <c r="T538" i="9"/>
  <c r="S538" i="9"/>
  <c r="R538" i="9"/>
  <c r="Q538" i="9"/>
  <c r="P538" i="9"/>
  <c r="O538" i="9"/>
  <c r="N538" i="9"/>
  <c r="M538" i="9"/>
  <c r="L538" i="9"/>
  <c r="K538" i="9"/>
  <c r="J538" i="9"/>
  <c r="I538" i="9"/>
  <c r="H538" i="9"/>
  <c r="G538" i="9"/>
  <c r="F538" i="9"/>
  <c r="E538" i="9"/>
  <c r="D538" i="9"/>
  <c r="C538" i="9"/>
  <c r="B538" i="9"/>
  <c r="A538" i="9"/>
  <c r="W537" i="9"/>
  <c r="V537" i="9"/>
  <c r="U537" i="9"/>
  <c r="T537" i="9"/>
  <c r="S537" i="9"/>
  <c r="R537" i="9"/>
  <c r="Q537" i="9"/>
  <c r="P537" i="9"/>
  <c r="O537" i="9"/>
  <c r="N537" i="9"/>
  <c r="M537" i="9"/>
  <c r="L537" i="9"/>
  <c r="K537" i="9"/>
  <c r="J537" i="9"/>
  <c r="I537" i="9"/>
  <c r="H537" i="9"/>
  <c r="G537" i="9"/>
  <c r="F537" i="9"/>
  <c r="E537" i="9"/>
  <c r="D537" i="9"/>
  <c r="C537" i="9"/>
  <c r="B537" i="9"/>
  <c r="A537" i="9"/>
  <c r="W536" i="9"/>
  <c r="V536" i="9"/>
  <c r="U536" i="9"/>
  <c r="T536" i="9"/>
  <c r="S536" i="9"/>
  <c r="R536" i="9"/>
  <c r="Q536" i="9"/>
  <c r="P536" i="9"/>
  <c r="O536" i="9"/>
  <c r="N536" i="9"/>
  <c r="M536" i="9"/>
  <c r="L536" i="9"/>
  <c r="K536" i="9"/>
  <c r="J536" i="9"/>
  <c r="I536" i="9"/>
  <c r="H536" i="9"/>
  <c r="G536" i="9"/>
  <c r="F536" i="9"/>
  <c r="E536" i="9"/>
  <c r="D536" i="9"/>
  <c r="C536" i="9"/>
  <c r="B536" i="9"/>
  <c r="A536" i="9"/>
  <c r="W535" i="9"/>
  <c r="V535" i="9"/>
  <c r="U535" i="9"/>
  <c r="T535" i="9"/>
  <c r="S535" i="9"/>
  <c r="R535" i="9"/>
  <c r="Q535" i="9"/>
  <c r="P535" i="9"/>
  <c r="O535" i="9"/>
  <c r="N535" i="9"/>
  <c r="M535" i="9"/>
  <c r="L535" i="9"/>
  <c r="K535" i="9"/>
  <c r="J535" i="9"/>
  <c r="I535" i="9"/>
  <c r="H535" i="9"/>
  <c r="G535" i="9"/>
  <c r="F535" i="9"/>
  <c r="E535" i="9"/>
  <c r="D535" i="9"/>
  <c r="C535" i="9"/>
  <c r="B535" i="9"/>
  <c r="A535" i="9"/>
  <c r="W534" i="9"/>
  <c r="V534" i="9"/>
  <c r="U534" i="9"/>
  <c r="T534" i="9"/>
  <c r="S534" i="9"/>
  <c r="R534" i="9"/>
  <c r="Q534" i="9"/>
  <c r="P534" i="9"/>
  <c r="O534" i="9"/>
  <c r="N534" i="9"/>
  <c r="M534" i="9"/>
  <c r="L534" i="9"/>
  <c r="K534" i="9"/>
  <c r="J534" i="9"/>
  <c r="I534" i="9"/>
  <c r="H534" i="9"/>
  <c r="G534" i="9"/>
  <c r="F534" i="9"/>
  <c r="E534" i="9"/>
  <c r="D534" i="9"/>
  <c r="C534" i="9"/>
  <c r="B534" i="9"/>
  <c r="A534" i="9"/>
  <c r="W533" i="9"/>
  <c r="V533" i="9"/>
  <c r="U533" i="9"/>
  <c r="T533" i="9"/>
  <c r="S533" i="9"/>
  <c r="R533" i="9"/>
  <c r="Q533" i="9"/>
  <c r="P533" i="9"/>
  <c r="O533" i="9"/>
  <c r="N533" i="9"/>
  <c r="M533" i="9"/>
  <c r="L533" i="9"/>
  <c r="K533" i="9"/>
  <c r="J533" i="9"/>
  <c r="I533" i="9"/>
  <c r="H533" i="9"/>
  <c r="G533" i="9"/>
  <c r="F533" i="9"/>
  <c r="E533" i="9"/>
  <c r="D533" i="9"/>
  <c r="C533" i="9"/>
  <c r="B533" i="9"/>
  <c r="A533" i="9"/>
  <c r="W532" i="9"/>
  <c r="V532" i="9"/>
  <c r="U532" i="9"/>
  <c r="T532" i="9"/>
  <c r="S532" i="9"/>
  <c r="R532" i="9"/>
  <c r="Q532" i="9"/>
  <c r="P532" i="9"/>
  <c r="O532" i="9"/>
  <c r="N532" i="9"/>
  <c r="M532" i="9"/>
  <c r="L532" i="9"/>
  <c r="K532" i="9"/>
  <c r="J532" i="9"/>
  <c r="I532" i="9"/>
  <c r="H532" i="9"/>
  <c r="G532" i="9"/>
  <c r="F532" i="9"/>
  <c r="E532" i="9"/>
  <c r="D532" i="9"/>
  <c r="C532" i="9"/>
  <c r="B532" i="9"/>
  <c r="A532" i="9"/>
  <c r="W531" i="9"/>
  <c r="V531" i="9"/>
  <c r="U531" i="9"/>
  <c r="T531" i="9"/>
  <c r="S531" i="9"/>
  <c r="R531" i="9"/>
  <c r="Q531" i="9"/>
  <c r="P531" i="9"/>
  <c r="O531" i="9"/>
  <c r="N531" i="9"/>
  <c r="M531" i="9"/>
  <c r="L531" i="9"/>
  <c r="K531" i="9"/>
  <c r="J531" i="9"/>
  <c r="I531" i="9"/>
  <c r="H531" i="9"/>
  <c r="G531" i="9"/>
  <c r="F531" i="9"/>
  <c r="E531" i="9"/>
  <c r="D531" i="9"/>
  <c r="C531" i="9"/>
  <c r="B531" i="9"/>
  <c r="A531" i="9"/>
  <c r="W530" i="9"/>
  <c r="V530" i="9"/>
  <c r="U530" i="9"/>
  <c r="T530" i="9"/>
  <c r="S530" i="9"/>
  <c r="R530" i="9"/>
  <c r="Q530" i="9"/>
  <c r="P530" i="9"/>
  <c r="O530" i="9"/>
  <c r="N530" i="9"/>
  <c r="M530" i="9"/>
  <c r="L530" i="9"/>
  <c r="K530" i="9"/>
  <c r="J530" i="9"/>
  <c r="I530" i="9"/>
  <c r="H530" i="9"/>
  <c r="G530" i="9"/>
  <c r="F530" i="9"/>
  <c r="E530" i="9"/>
  <c r="D530" i="9"/>
  <c r="C530" i="9"/>
  <c r="B530" i="9"/>
  <c r="A530" i="9"/>
  <c r="W529" i="9"/>
  <c r="V529" i="9"/>
  <c r="U529" i="9"/>
  <c r="T529" i="9"/>
  <c r="S529" i="9"/>
  <c r="R529" i="9"/>
  <c r="Q529" i="9"/>
  <c r="P529" i="9"/>
  <c r="O529" i="9"/>
  <c r="N529" i="9"/>
  <c r="M529" i="9"/>
  <c r="L529" i="9"/>
  <c r="K529" i="9"/>
  <c r="J529" i="9"/>
  <c r="I529" i="9"/>
  <c r="H529" i="9"/>
  <c r="G529" i="9"/>
  <c r="F529" i="9"/>
  <c r="E529" i="9"/>
  <c r="D529" i="9"/>
  <c r="C529" i="9"/>
  <c r="B529" i="9"/>
  <c r="A529" i="9"/>
  <c r="W528" i="9"/>
  <c r="V528" i="9"/>
  <c r="U528" i="9"/>
  <c r="T528" i="9"/>
  <c r="S528" i="9"/>
  <c r="R528" i="9"/>
  <c r="Q528" i="9"/>
  <c r="P528" i="9"/>
  <c r="O528" i="9"/>
  <c r="N528" i="9"/>
  <c r="M528" i="9"/>
  <c r="L528" i="9"/>
  <c r="K528" i="9"/>
  <c r="J528" i="9"/>
  <c r="I528" i="9"/>
  <c r="H528" i="9"/>
  <c r="G528" i="9"/>
  <c r="F528" i="9"/>
  <c r="E528" i="9"/>
  <c r="D528" i="9"/>
  <c r="C528" i="9"/>
  <c r="B528" i="9"/>
  <c r="A528" i="9"/>
  <c r="W527" i="9"/>
  <c r="V527" i="9"/>
  <c r="U527" i="9"/>
  <c r="T527" i="9"/>
  <c r="S527" i="9"/>
  <c r="R527" i="9"/>
  <c r="Q527" i="9"/>
  <c r="P527" i="9"/>
  <c r="O527" i="9"/>
  <c r="N527" i="9"/>
  <c r="M527" i="9"/>
  <c r="L527" i="9"/>
  <c r="K527" i="9"/>
  <c r="J527" i="9"/>
  <c r="I527" i="9"/>
  <c r="H527" i="9"/>
  <c r="G527" i="9"/>
  <c r="F527" i="9"/>
  <c r="E527" i="9"/>
  <c r="D527" i="9"/>
  <c r="C527" i="9"/>
  <c r="B527" i="9"/>
  <c r="A527" i="9"/>
  <c r="W526" i="9"/>
  <c r="V526" i="9"/>
  <c r="U526" i="9"/>
  <c r="T526" i="9"/>
  <c r="S526" i="9"/>
  <c r="R526" i="9"/>
  <c r="Q526" i="9"/>
  <c r="P526" i="9"/>
  <c r="O526" i="9"/>
  <c r="N526" i="9"/>
  <c r="M526" i="9"/>
  <c r="L526" i="9"/>
  <c r="K526" i="9"/>
  <c r="J526" i="9"/>
  <c r="I526" i="9"/>
  <c r="H526" i="9"/>
  <c r="G526" i="9"/>
  <c r="F526" i="9"/>
  <c r="E526" i="9"/>
  <c r="D526" i="9"/>
  <c r="C526" i="9"/>
  <c r="B526" i="9"/>
  <c r="A526" i="9"/>
  <c r="W525" i="9"/>
  <c r="V525" i="9"/>
  <c r="U525" i="9"/>
  <c r="T525" i="9"/>
  <c r="S525" i="9"/>
  <c r="R525" i="9"/>
  <c r="Q525" i="9"/>
  <c r="P525" i="9"/>
  <c r="O525" i="9"/>
  <c r="N525" i="9"/>
  <c r="M525" i="9"/>
  <c r="L525" i="9"/>
  <c r="K525" i="9"/>
  <c r="J525" i="9"/>
  <c r="I525" i="9"/>
  <c r="H525" i="9"/>
  <c r="G525" i="9"/>
  <c r="F525" i="9"/>
  <c r="E525" i="9"/>
  <c r="D525" i="9"/>
  <c r="C525" i="9"/>
  <c r="B525" i="9"/>
  <c r="A525" i="9"/>
  <c r="W524" i="9"/>
  <c r="V524" i="9"/>
  <c r="U524" i="9"/>
  <c r="T524" i="9"/>
  <c r="S524" i="9"/>
  <c r="R524" i="9"/>
  <c r="Q524" i="9"/>
  <c r="P524" i="9"/>
  <c r="O524" i="9"/>
  <c r="N524" i="9"/>
  <c r="M524" i="9"/>
  <c r="L524" i="9"/>
  <c r="K524" i="9"/>
  <c r="J524" i="9"/>
  <c r="I524" i="9"/>
  <c r="H524" i="9"/>
  <c r="G524" i="9"/>
  <c r="F524" i="9"/>
  <c r="E524" i="9"/>
  <c r="D524" i="9"/>
  <c r="C524" i="9"/>
  <c r="B524" i="9"/>
  <c r="A524" i="9"/>
  <c r="W523" i="9"/>
  <c r="V523" i="9"/>
  <c r="U523" i="9"/>
  <c r="T523" i="9"/>
  <c r="S523" i="9"/>
  <c r="R523" i="9"/>
  <c r="Q523" i="9"/>
  <c r="P523" i="9"/>
  <c r="O523" i="9"/>
  <c r="N523" i="9"/>
  <c r="M523" i="9"/>
  <c r="L523" i="9"/>
  <c r="K523" i="9"/>
  <c r="J523" i="9"/>
  <c r="I523" i="9"/>
  <c r="H523" i="9"/>
  <c r="G523" i="9"/>
  <c r="F523" i="9"/>
  <c r="E523" i="9"/>
  <c r="D523" i="9"/>
  <c r="C523" i="9"/>
  <c r="B523" i="9"/>
  <c r="A523" i="9"/>
  <c r="W522" i="9"/>
  <c r="V522" i="9"/>
  <c r="U522" i="9"/>
  <c r="T522" i="9"/>
  <c r="S522" i="9"/>
  <c r="R522" i="9"/>
  <c r="Q522" i="9"/>
  <c r="P522" i="9"/>
  <c r="O522" i="9"/>
  <c r="N522" i="9"/>
  <c r="M522" i="9"/>
  <c r="L522" i="9"/>
  <c r="K522" i="9"/>
  <c r="J522" i="9"/>
  <c r="I522" i="9"/>
  <c r="H522" i="9"/>
  <c r="G522" i="9"/>
  <c r="F522" i="9"/>
  <c r="E522" i="9"/>
  <c r="D522" i="9"/>
  <c r="C522" i="9"/>
  <c r="B522" i="9"/>
  <c r="A522" i="9"/>
  <c r="W521" i="9"/>
  <c r="V521" i="9"/>
  <c r="U521" i="9"/>
  <c r="T521" i="9"/>
  <c r="S521" i="9"/>
  <c r="R521" i="9"/>
  <c r="Q521" i="9"/>
  <c r="P521" i="9"/>
  <c r="O521" i="9"/>
  <c r="N521" i="9"/>
  <c r="M521" i="9"/>
  <c r="L521" i="9"/>
  <c r="K521" i="9"/>
  <c r="J521" i="9"/>
  <c r="I521" i="9"/>
  <c r="H521" i="9"/>
  <c r="G521" i="9"/>
  <c r="F521" i="9"/>
  <c r="E521" i="9"/>
  <c r="D521" i="9"/>
  <c r="C521" i="9"/>
  <c r="B521" i="9"/>
  <c r="A521" i="9"/>
  <c r="W520" i="9"/>
  <c r="V520" i="9"/>
  <c r="U520" i="9"/>
  <c r="T520" i="9"/>
  <c r="S520" i="9"/>
  <c r="R520" i="9"/>
  <c r="Q520" i="9"/>
  <c r="P520" i="9"/>
  <c r="O520" i="9"/>
  <c r="N520" i="9"/>
  <c r="M520" i="9"/>
  <c r="L520" i="9"/>
  <c r="K520" i="9"/>
  <c r="J520" i="9"/>
  <c r="I520" i="9"/>
  <c r="H520" i="9"/>
  <c r="G520" i="9"/>
  <c r="F520" i="9"/>
  <c r="E520" i="9"/>
  <c r="D520" i="9"/>
  <c r="C520" i="9"/>
  <c r="B520" i="9"/>
  <c r="A520" i="9"/>
  <c r="W519" i="9"/>
  <c r="V519" i="9"/>
  <c r="U519" i="9"/>
  <c r="T519" i="9"/>
  <c r="S519" i="9"/>
  <c r="R519" i="9"/>
  <c r="Q519" i="9"/>
  <c r="P519" i="9"/>
  <c r="O519" i="9"/>
  <c r="N519" i="9"/>
  <c r="M519" i="9"/>
  <c r="L519" i="9"/>
  <c r="K519" i="9"/>
  <c r="J519" i="9"/>
  <c r="I519" i="9"/>
  <c r="H519" i="9"/>
  <c r="G519" i="9"/>
  <c r="F519" i="9"/>
  <c r="E519" i="9"/>
  <c r="D519" i="9"/>
  <c r="C519" i="9"/>
  <c r="B519" i="9"/>
  <c r="A519" i="9"/>
  <c r="W518" i="9"/>
  <c r="V518" i="9"/>
  <c r="U518" i="9"/>
  <c r="T518" i="9"/>
  <c r="S518" i="9"/>
  <c r="R518" i="9"/>
  <c r="Q518" i="9"/>
  <c r="P518" i="9"/>
  <c r="O518" i="9"/>
  <c r="N518" i="9"/>
  <c r="M518" i="9"/>
  <c r="L518" i="9"/>
  <c r="K518" i="9"/>
  <c r="J518" i="9"/>
  <c r="I518" i="9"/>
  <c r="H518" i="9"/>
  <c r="G518" i="9"/>
  <c r="F518" i="9"/>
  <c r="E518" i="9"/>
  <c r="D518" i="9"/>
  <c r="C518" i="9"/>
  <c r="B518" i="9"/>
  <c r="A518" i="9"/>
  <c r="W517" i="9"/>
  <c r="V517" i="9"/>
  <c r="U517" i="9"/>
  <c r="T517" i="9"/>
  <c r="S517" i="9"/>
  <c r="R517" i="9"/>
  <c r="Q517" i="9"/>
  <c r="P517" i="9"/>
  <c r="O517" i="9"/>
  <c r="N517" i="9"/>
  <c r="M517" i="9"/>
  <c r="L517" i="9"/>
  <c r="K517" i="9"/>
  <c r="J517" i="9"/>
  <c r="I517" i="9"/>
  <c r="H517" i="9"/>
  <c r="G517" i="9"/>
  <c r="F517" i="9"/>
  <c r="E517" i="9"/>
  <c r="D517" i="9"/>
  <c r="C517" i="9"/>
  <c r="B517" i="9"/>
  <c r="A517" i="9"/>
  <c r="W516" i="9"/>
  <c r="V516" i="9"/>
  <c r="U516" i="9"/>
  <c r="T516" i="9"/>
  <c r="S516" i="9"/>
  <c r="R516" i="9"/>
  <c r="Q516" i="9"/>
  <c r="P516" i="9"/>
  <c r="O516" i="9"/>
  <c r="N516" i="9"/>
  <c r="M516" i="9"/>
  <c r="L516" i="9"/>
  <c r="K516" i="9"/>
  <c r="J516" i="9"/>
  <c r="I516" i="9"/>
  <c r="H516" i="9"/>
  <c r="G516" i="9"/>
  <c r="F516" i="9"/>
  <c r="E516" i="9"/>
  <c r="D516" i="9"/>
  <c r="C516" i="9"/>
  <c r="B516" i="9"/>
  <c r="A516" i="9"/>
  <c r="W515" i="9"/>
  <c r="V515" i="9"/>
  <c r="U515" i="9"/>
  <c r="T515" i="9"/>
  <c r="S515" i="9"/>
  <c r="R515" i="9"/>
  <c r="Q515" i="9"/>
  <c r="P515" i="9"/>
  <c r="O515" i="9"/>
  <c r="N515" i="9"/>
  <c r="M515" i="9"/>
  <c r="L515" i="9"/>
  <c r="K515" i="9"/>
  <c r="J515" i="9"/>
  <c r="I515" i="9"/>
  <c r="H515" i="9"/>
  <c r="G515" i="9"/>
  <c r="F515" i="9"/>
  <c r="E515" i="9"/>
  <c r="D515" i="9"/>
  <c r="C515" i="9"/>
  <c r="B515" i="9"/>
  <c r="A515" i="9"/>
  <c r="W514" i="9"/>
  <c r="V514" i="9"/>
  <c r="U514" i="9"/>
  <c r="T514" i="9"/>
  <c r="S514" i="9"/>
  <c r="R514" i="9"/>
  <c r="Q514" i="9"/>
  <c r="P514" i="9"/>
  <c r="O514" i="9"/>
  <c r="N514" i="9"/>
  <c r="M514" i="9"/>
  <c r="L514" i="9"/>
  <c r="K514" i="9"/>
  <c r="J514" i="9"/>
  <c r="I514" i="9"/>
  <c r="H514" i="9"/>
  <c r="G514" i="9"/>
  <c r="F514" i="9"/>
  <c r="E514" i="9"/>
  <c r="D514" i="9"/>
  <c r="C514" i="9"/>
  <c r="B514" i="9"/>
  <c r="A514" i="9"/>
  <c r="W513" i="9"/>
  <c r="V513" i="9"/>
  <c r="U513" i="9"/>
  <c r="T513" i="9"/>
  <c r="S513" i="9"/>
  <c r="R513" i="9"/>
  <c r="Q513" i="9"/>
  <c r="P513" i="9"/>
  <c r="O513" i="9"/>
  <c r="N513" i="9"/>
  <c r="M513" i="9"/>
  <c r="L513" i="9"/>
  <c r="K513" i="9"/>
  <c r="J513" i="9"/>
  <c r="I513" i="9"/>
  <c r="H513" i="9"/>
  <c r="G513" i="9"/>
  <c r="F513" i="9"/>
  <c r="E513" i="9"/>
  <c r="D513" i="9"/>
  <c r="C513" i="9"/>
  <c r="B513" i="9"/>
  <c r="A513" i="9"/>
  <c r="W512" i="9"/>
  <c r="V512" i="9"/>
  <c r="U512" i="9"/>
  <c r="T512" i="9"/>
  <c r="S512" i="9"/>
  <c r="R512" i="9"/>
  <c r="Q512" i="9"/>
  <c r="P512" i="9"/>
  <c r="O512" i="9"/>
  <c r="N512" i="9"/>
  <c r="M512" i="9"/>
  <c r="L512" i="9"/>
  <c r="K512" i="9"/>
  <c r="J512" i="9"/>
  <c r="I512" i="9"/>
  <c r="H512" i="9"/>
  <c r="G512" i="9"/>
  <c r="F512" i="9"/>
  <c r="E512" i="9"/>
  <c r="D512" i="9"/>
  <c r="C512" i="9"/>
  <c r="B512" i="9"/>
  <c r="A512" i="9"/>
  <c r="W511" i="9"/>
  <c r="V511" i="9"/>
  <c r="U511" i="9"/>
  <c r="T511" i="9"/>
  <c r="S511" i="9"/>
  <c r="R511" i="9"/>
  <c r="Q511" i="9"/>
  <c r="P511" i="9"/>
  <c r="O511" i="9"/>
  <c r="N511" i="9"/>
  <c r="M511" i="9"/>
  <c r="L511" i="9"/>
  <c r="K511" i="9"/>
  <c r="J511" i="9"/>
  <c r="I511" i="9"/>
  <c r="H511" i="9"/>
  <c r="G511" i="9"/>
  <c r="F511" i="9"/>
  <c r="E511" i="9"/>
  <c r="D511" i="9"/>
  <c r="C511" i="9"/>
  <c r="B511" i="9"/>
  <c r="A511" i="9"/>
  <c r="W510" i="9"/>
  <c r="V510" i="9"/>
  <c r="U510" i="9"/>
  <c r="T510" i="9"/>
  <c r="S510" i="9"/>
  <c r="R510" i="9"/>
  <c r="Q510" i="9"/>
  <c r="P510" i="9"/>
  <c r="O510" i="9"/>
  <c r="N510" i="9"/>
  <c r="M510" i="9"/>
  <c r="L510" i="9"/>
  <c r="K510" i="9"/>
  <c r="J510" i="9"/>
  <c r="I510" i="9"/>
  <c r="H510" i="9"/>
  <c r="G510" i="9"/>
  <c r="F510" i="9"/>
  <c r="E510" i="9"/>
  <c r="D510" i="9"/>
  <c r="C510" i="9"/>
  <c r="B510" i="9"/>
  <c r="A510" i="9"/>
  <c r="W509" i="9"/>
  <c r="V509" i="9"/>
  <c r="U509" i="9"/>
  <c r="T509" i="9"/>
  <c r="S509" i="9"/>
  <c r="R509" i="9"/>
  <c r="Q509" i="9"/>
  <c r="P509" i="9"/>
  <c r="O509" i="9"/>
  <c r="N509" i="9"/>
  <c r="M509" i="9"/>
  <c r="L509" i="9"/>
  <c r="K509" i="9"/>
  <c r="J509" i="9"/>
  <c r="I509" i="9"/>
  <c r="H509" i="9"/>
  <c r="G509" i="9"/>
  <c r="F509" i="9"/>
  <c r="E509" i="9"/>
  <c r="D509" i="9"/>
  <c r="C509" i="9"/>
  <c r="B509" i="9"/>
  <c r="A509" i="9"/>
  <c r="W508" i="9"/>
  <c r="V508" i="9"/>
  <c r="U508" i="9"/>
  <c r="T508" i="9"/>
  <c r="S508" i="9"/>
  <c r="R508" i="9"/>
  <c r="Q508" i="9"/>
  <c r="P508" i="9"/>
  <c r="O508" i="9"/>
  <c r="N508" i="9"/>
  <c r="M508" i="9"/>
  <c r="L508" i="9"/>
  <c r="K508" i="9"/>
  <c r="J508" i="9"/>
  <c r="I508" i="9"/>
  <c r="H508" i="9"/>
  <c r="G508" i="9"/>
  <c r="F508" i="9"/>
  <c r="E508" i="9"/>
  <c r="D508" i="9"/>
  <c r="C508" i="9"/>
  <c r="B508" i="9"/>
  <c r="A508" i="9"/>
  <c r="W507" i="9"/>
  <c r="V507" i="9"/>
  <c r="U507" i="9"/>
  <c r="T507" i="9"/>
  <c r="S507" i="9"/>
  <c r="R507" i="9"/>
  <c r="Q507" i="9"/>
  <c r="P507" i="9"/>
  <c r="O507" i="9"/>
  <c r="N507" i="9"/>
  <c r="M507" i="9"/>
  <c r="L507" i="9"/>
  <c r="K507" i="9"/>
  <c r="J507" i="9"/>
  <c r="I507" i="9"/>
  <c r="H507" i="9"/>
  <c r="G507" i="9"/>
  <c r="F507" i="9"/>
  <c r="E507" i="9"/>
  <c r="D507" i="9"/>
  <c r="C507" i="9"/>
  <c r="B507" i="9"/>
  <c r="A507" i="9"/>
  <c r="W506" i="9"/>
  <c r="V506" i="9"/>
  <c r="U506" i="9"/>
  <c r="T506" i="9"/>
  <c r="S506" i="9"/>
  <c r="R506" i="9"/>
  <c r="Q506" i="9"/>
  <c r="P506" i="9"/>
  <c r="O506" i="9"/>
  <c r="N506" i="9"/>
  <c r="M506" i="9"/>
  <c r="L506" i="9"/>
  <c r="K506" i="9"/>
  <c r="J506" i="9"/>
  <c r="I506" i="9"/>
  <c r="H506" i="9"/>
  <c r="G506" i="9"/>
  <c r="F506" i="9"/>
  <c r="E506" i="9"/>
  <c r="D506" i="9"/>
  <c r="C506" i="9"/>
  <c r="B506" i="9"/>
  <c r="A506" i="9"/>
  <c r="W505" i="9"/>
  <c r="V505" i="9"/>
  <c r="U505" i="9"/>
  <c r="T505" i="9"/>
  <c r="S505" i="9"/>
  <c r="R505" i="9"/>
  <c r="Q505" i="9"/>
  <c r="P505" i="9"/>
  <c r="O505" i="9"/>
  <c r="N505" i="9"/>
  <c r="M505" i="9"/>
  <c r="L505" i="9"/>
  <c r="K505" i="9"/>
  <c r="J505" i="9"/>
  <c r="I505" i="9"/>
  <c r="H505" i="9"/>
  <c r="G505" i="9"/>
  <c r="F505" i="9"/>
  <c r="E505" i="9"/>
  <c r="D505" i="9"/>
  <c r="C505" i="9"/>
  <c r="B505" i="9"/>
  <c r="A505" i="9"/>
  <c r="W504" i="9"/>
  <c r="V504" i="9"/>
  <c r="U504" i="9"/>
  <c r="T504" i="9"/>
  <c r="S504" i="9"/>
  <c r="R504" i="9"/>
  <c r="Q504" i="9"/>
  <c r="P504" i="9"/>
  <c r="O504" i="9"/>
  <c r="N504" i="9"/>
  <c r="M504" i="9"/>
  <c r="L504" i="9"/>
  <c r="K504" i="9"/>
  <c r="J504" i="9"/>
  <c r="I504" i="9"/>
  <c r="H504" i="9"/>
  <c r="G504" i="9"/>
  <c r="F504" i="9"/>
  <c r="E504" i="9"/>
  <c r="D504" i="9"/>
  <c r="C504" i="9"/>
  <c r="B504" i="9"/>
  <c r="A504" i="9"/>
  <c r="W503" i="9"/>
  <c r="V503" i="9"/>
  <c r="U503" i="9"/>
  <c r="T503" i="9"/>
  <c r="S503" i="9"/>
  <c r="R503" i="9"/>
  <c r="Q503" i="9"/>
  <c r="P503" i="9"/>
  <c r="O503" i="9"/>
  <c r="N503" i="9"/>
  <c r="M503" i="9"/>
  <c r="L503" i="9"/>
  <c r="K503" i="9"/>
  <c r="J503" i="9"/>
  <c r="I503" i="9"/>
  <c r="H503" i="9"/>
  <c r="G503" i="9"/>
  <c r="F503" i="9"/>
  <c r="E503" i="9"/>
  <c r="D503" i="9"/>
  <c r="C503" i="9"/>
  <c r="B503" i="9"/>
  <c r="A503" i="9"/>
  <c r="W502" i="9"/>
  <c r="V502" i="9"/>
  <c r="U502" i="9"/>
  <c r="T502" i="9"/>
  <c r="S502" i="9"/>
  <c r="R502" i="9"/>
  <c r="Q502" i="9"/>
  <c r="P502" i="9"/>
  <c r="O502" i="9"/>
  <c r="N502" i="9"/>
  <c r="M502" i="9"/>
  <c r="L502" i="9"/>
  <c r="K502" i="9"/>
  <c r="J502" i="9"/>
  <c r="I502" i="9"/>
  <c r="H502" i="9"/>
  <c r="G502" i="9"/>
  <c r="F502" i="9"/>
  <c r="E502" i="9"/>
  <c r="D502" i="9"/>
  <c r="C502" i="9"/>
  <c r="B502" i="9"/>
  <c r="A502" i="9"/>
  <c r="W501" i="9"/>
  <c r="V501" i="9"/>
  <c r="U501" i="9"/>
  <c r="T501" i="9"/>
  <c r="S501" i="9"/>
  <c r="R501" i="9"/>
  <c r="Q501" i="9"/>
  <c r="P501" i="9"/>
  <c r="O501" i="9"/>
  <c r="N501" i="9"/>
  <c r="M501" i="9"/>
  <c r="L501" i="9"/>
  <c r="K501" i="9"/>
  <c r="J501" i="9"/>
  <c r="I501" i="9"/>
  <c r="H501" i="9"/>
  <c r="G501" i="9"/>
  <c r="F501" i="9"/>
  <c r="E501" i="9"/>
  <c r="D501" i="9"/>
  <c r="C501" i="9"/>
  <c r="B501" i="9"/>
  <c r="A501" i="9"/>
  <c r="W500" i="9"/>
  <c r="V500" i="9"/>
  <c r="U500" i="9"/>
  <c r="T500" i="9"/>
  <c r="S500" i="9"/>
  <c r="R500" i="9"/>
  <c r="Q500" i="9"/>
  <c r="P500" i="9"/>
  <c r="O500" i="9"/>
  <c r="N500" i="9"/>
  <c r="M500" i="9"/>
  <c r="L500" i="9"/>
  <c r="K500" i="9"/>
  <c r="J500" i="9"/>
  <c r="I500" i="9"/>
  <c r="H500" i="9"/>
  <c r="G500" i="9"/>
  <c r="F500" i="9"/>
  <c r="E500" i="9"/>
  <c r="D500" i="9"/>
  <c r="C500" i="9"/>
  <c r="B500" i="9"/>
  <c r="A500" i="9"/>
  <c r="W499" i="9"/>
  <c r="V499" i="9"/>
  <c r="U499" i="9"/>
  <c r="T499" i="9"/>
  <c r="S499" i="9"/>
  <c r="R499" i="9"/>
  <c r="Q499" i="9"/>
  <c r="P499" i="9"/>
  <c r="O499" i="9"/>
  <c r="N499" i="9"/>
  <c r="M499" i="9"/>
  <c r="L499" i="9"/>
  <c r="K499" i="9"/>
  <c r="J499" i="9"/>
  <c r="I499" i="9"/>
  <c r="H499" i="9"/>
  <c r="G499" i="9"/>
  <c r="F499" i="9"/>
  <c r="E499" i="9"/>
  <c r="D499" i="9"/>
  <c r="C499" i="9"/>
  <c r="B499" i="9"/>
  <c r="A499" i="9"/>
  <c r="W498" i="9"/>
  <c r="V498" i="9"/>
  <c r="U498" i="9"/>
  <c r="T498" i="9"/>
  <c r="S498" i="9"/>
  <c r="R498" i="9"/>
  <c r="Q498" i="9"/>
  <c r="P498" i="9"/>
  <c r="O498" i="9"/>
  <c r="N498" i="9"/>
  <c r="M498" i="9"/>
  <c r="L498" i="9"/>
  <c r="K498" i="9"/>
  <c r="J498" i="9"/>
  <c r="I498" i="9"/>
  <c r="H498" i="9"/>
  <c r="G498" i="9"/>
  <c r="F498" i="9"/>
  <c r="E498" i="9"/>
  <c r="D498" i="9"/>
  <c r="C498" i="9"/>
  <c r="B498" i="9"/>
  <c r="A498" i="9"/>
  <c r="W497" i="9"/>
  <c r="V497" i="9"/>
  <c r="U497" i="9"/>
  <c r="T497" i="9"/>
  <c r="S497" i="9"/>
  <c r="R497" i="9"/>
  <c r="Q497" i="9"/>
  <c r="P497" i="9"/>
  <c r="O497" i="9"/>
  <c r="N497" i="9"/>
  <c r="M497" i="9"/>
  <c r="L497" i="9"/>
  <c r="K497" i="9"/>
  <c r="J497" i="9"/>
  <c r="I497" i="9"/>
  <c r="H497" i="9"/>
  <c r="G497" i="9"/>
  <c r="F497" i="9"/>
  <c r="E497" i="9"/>
  <c r="D497" i="9"/>
  <c r="C497" i="9"/>
  <c r="B497" i="9"/>
  <c r="A497" i="9"/>
  <c r="W496" i="9"/>
  <c r="V496" i="9"/>
  <c r="U496" i="9"/>
  <c r="T496" i="9"/>
  <c r="S496" i="9"/>
  <c r="R496" i="9"/>
  <c r="Q496" i="9"/>
  <c r="P496" i="9"/>
  <c r="O496" i="9"/>
  <c r="N496" i="9"/>
  <c r="M496" i="9"/>
  <c r="L496" i="9"/>
  <c r="K496" i="9"/>
  <c r="J496" i="9"/>
  <c r="I496" i="9"/>
  <c r="H496" i="9"/>
  <c r="G496" i="9"/>
  <c r="F496" i="9"/>
  <c r="E496" i="9"/>
  <c r="D496" i="9"/>
  <c r="C496" i="9"/>
  <c r="B496" i="9"/>
  <c r="A496" i="9"/>
  <c r="W495" i="9"/>
  <c r="V495" i="9"/>
  <c r="U495" i="9"/>
  <c r="T495" i="9"/>
  <c r="S495" i="9"/>
  <c r="R495" i="9"/>
  <c r="Q495" i="9"/>
  <c r="P495" i="9"/>
  <c r="O495" i="9"/>
  <c r="N495" i="9"/>
  <c r="M495" i="9"/>
  <c r="L495" i="9"/>
  <c r="K495" i="9"/>
  <c r="J495" i="9"/>
  <c r="I495" i="9"/>
  <c r="H495" i="9"/>
  <c r="G495" i="9"/>
  <c r="F495" i="9"/>
  <c r="E495" i="9"/>
  <c r="D495" i="9"/>
  <c r="C495" i="9"/>
  <c r="B495" i="9"/>
  <c r="A495" i="9"/>
  <c r="W494" i="9"/>
  <c r="V494" i="9"/>
  <c r="U494" i="9"/>
  <c r="T494" i="9"/>
  <c r="S494" i="9"/>
  <c r="R494" i="9"/>
  <c r="Q494" i="9"/>
  <c r="P494" i="9"/>
  <c r="O494" i="9"/>
  <c r="N494" i="9"/>
  <c r="M494" i="9"/>
  <c r="L494" i="9"/>
  <c r="K494" i="9"/>
  <c r="J494" i="9"/>
  <c r="I494" i="9"/>
  <c r="H494" i="9"/>
  <c r="G494" i="9"/>
  <c r="F494" i="9"/>
  <c r="E494" i="9"/>
  <c r="D494" i="9"/>
  <c r="C494" i="9"/>
  <c r="B494" i="9"/>
  <c r="A494" i="9"/>
  <c r="W493" i="9"/>
  <c r="V493" i="9"/>
  <c r="U493" i="9"/>
  <c r="T493" i="9"/>
  <c r="S493" i="9"/>
  <c r="R493" i="9"/>
  <c r="Q493" i="9"/>
  <c r="P493" i="9"/>
  <c r="O493" i="9"/>
  <c r="N493" i="9"/>
  <c r="M493" i="9"/>
  <c r="L493" i="9"/>
  <c r="K493" i="9"/>
  <c r="J493" i="9"/>
  <c r="I493" i="9"/>
  <c r="H493" i="9"/>
  <c r="G493" i="9"/>
  <c r="F493" i="9"/>
  <c r="E493" i="9"/>
  <c r="D493" i="9"/>
  <c r="C493" i="9"/>
  <c r="B493" i="9"/>
  <c r="A493" i="9"/>
  <c r="W492" i="9"/>
  <c r="V492" i="9"/>
  <c r="U492" i="9"/>
  <c r="T492" i="9"/>
  <c r="S492" i="9"/>
  <c r="R492" i="9"/>
  <c r="Q492" i="9"/>
  <c r="P492" i="9"/>
  <c r="O492" i="9"/>
  <c r="N492" i="9"/>
  <c r="M492" i="9"/>
  <c r="L492" i="9"/>
  <c r="K492" i="9"/>
  <c r="J492" i="9"/>
  <c r="I492" i="9"/>
  <c r="H492" i="9"/>
  <c r="G492" i="9"/>
  <c r="F492" i="9"/>
  <c r="E492" i="9"/>
  <c r="D492" i="9"/>
  <c r="C492" i="9"/>
  <c r="B492" i="9"/>
  <c r="A492" i="9"/>
  <c r="W491" i="9"/>
  <c r="V491" i="9"/>
  <c r="U491" i="9"/>
  <c r="T491" i="9"/>
  <c r="S491" i="9"/>
  <c r="R491" i="9"/>
  <c r="Q491" i="9"/>
  <c r="P491" i="9"/>
  <c r="O491" i="9"/>
  <c r="N491" i="9"/>
  <c r="M491" i="9"/>
  <c r="L491" i="9"/>
  <c r="K491" i="9"/>
  <c r="J491" i="9"/>
  <c r="I491" i="9"/>
  <c r="H491" i="9"/>
  <c r="G491" i="9"/>
  <c r="F491" i="9"/>
  <c r="E491" i="9"/>
  <c r="D491" i="9"/>
  <c r="C491" i="9"/>
  <c r="B491" i="9"/>
  <c r="A491" i="9"/>
  <c r="W490" i="9"/>
  <c r="V490" i="9"/>
  <c r="U490" i="9"/>
  <c r="T490" i="9"/>
  <c r="S490" i="9"/>
  <c r="R490" i="9"/>
  <c r="Q490" i="9"/>
  <c r="P490" i="9"/>
  <c r="O490" i="9"/>
  <c r="N490" i="9"/>
  <c r="M490" i="9"/>
  <c r="L490" i="9"/>
  <c r="K490" i="9"/>
  <c r="J490" i="9"/>
  <c r="I490" i="9"/>
  <c r="H490" i="9"/>
  <c r="G490" i="9"/>
  <c r="F490" i="9"/>
  <c r="E490" i="9"/>
  <c r="D490" i="9"/>
  <c r="C490" i="9"/>
  <c r="B490" i="9"/>
  <c r="A490" i="9"/>
  <c r="W489" i="9"/>
  <c r="V489" i="9"/>
  <c r="U489" i="9"/>
  <c r="T489" i="9"/>
  <c r="S489" i="9"/>
  <c r="R489" i="9"/>
  <c r="Q489" i="9"/>
  <c r="P489" i="9"/>
  <c r="O489" i="9"/>
  <c r="N489" i="9"/>
  <c r="M489" i="9"/>
  <c r="L489" i="9"/>
  <c r="K489" i="9"/>
  <c r="J489" i="9"/>
  <c r="I489" i="9"/>
  <c r="H489" i="9"/>
  <c r="G489" i="9"/>
  <c r="F489" i="9"/>
  <c r="E489" i="9"/>
  <c r="D489" i="9"/>
  <c r="C489" i="9"/>
  <c r="B489" i="9"/>
  <c r="A489" i="9"/>
  <c r="W488" i="9"/>
  <c r="V488" i="9"/>
  <c r="U488" i="9"/>
  <c r="T488" i="9"/>
  <c r="S488" i="9"/>
  <c r="R488" i="9"/>
  <c r="Q488" i="9"/>
  <c r="P488" i="9"/>
  <c r="O488" i="9"/>
  <c r="N488" i="9"/>
  <c r="M488" i="9"/>
  <c r="L488" i="9"/>
  <c r="K488" i="9"/>
  <c r="J488" i="9"/>
  <c r="I488" i="9"/>
  <c r="H488" i="9"/>
  <c r="G488" i="9"/>
  <c r="F488" i="9"/>
  <c r="E488" i="9"/>
  <c r="D488" i="9"/>
  <c r="C488" i="9"/>
  <c r="B488" i="9"/>
  <c r="A488" i="9"/>
  <c r="W487" i="9"/>
  <c r="V487" i="9"/>
  <c r="U487" i="9"/>
  <c r="T487" i="9"/>
  <c r="S487" i="9"/>
  <c r="R487" i="9"/>
  <c r="Q487" i="9"/>
  <c r="P487" i="9"/>
  <c r="O487" i="9"/>
  <c r="N487" i="9"/>
  <c r="M487" i="9"/>
  <c r="L487" i="9"/>
  <c r="K487" i="9"/>
  <c r="J487" i="9"/>
  <c r="I487" i="9"/>
  <c r="H487" i="9"/>
  <c r="G487" i="9"/>
  <c r="F487" i="9"/>
  <c r="E487" i="9"/>
  <c r="D487" i="9"/>
  <c r="C487" i="9"/>
  <c r="B487" i="9"/>
  <c r="A487" i="9"/>
  <c r="W486" i="9"/>
  <c r="V486" i="9"/>
  <c r="U486" i="9"/>
  <c r="T486" i="9"/>
  <c r="S486" i="9"/>
  <c r="R486" i="9"/>
  <c r="Q486" i="9"/>
  <c r="P486" i="9"/>
  <c r="O486" i="9"/>
  <c r="N486" i="9"/>
  <c r="M486" i="9"/>
  <c r="L486" i="9"/>
  <c r="K486" i="9"/>
  <c r="J486" i="9"/>
  <c r="I486" i="9"/>
  <c r="H486" i="9"/>
  <c r="G486" i="9"/>
  <c r="F486" i="9"/>
  <c r="E486" i="9"/>
  <c r="D486" i="9"/>
  <c r="C486" i="9"/>
  <c r="B486" i="9"/>
  <c r="A486" i="9"/>
  <c r="W485" i="9"/>
  <c r="V485" i="9"/>
  <c r="U485" i="9"/>
  <c r="T485" i="9"/>
  <c r="S485" i="9"/>
  <c r="R485" i="9"/>
  <c r="Q485" i="9"/>
  <c r="P485" i="9"/>
  <c r="O485" i="9"/>
  <c r="N485" i="9"/>
  <c r="M485" i="9"/>
  <c r="L485" i="9"/>
  <c r="K485" i="9"/>
  <c r="J485" i="9"/>
  <c r="I485" i="9"/>
  <c r="H485" i="9"/>
  <c r="G485" i="9"/>
  <c r="F485" i="9"/>
  <c r="E485" i="9"/>
  <c r="D485" i="9"/>
  <c r="C485" i="9"/>
  <c r="B485" i="9"/>
  <c r="A485" i="9"/>
  <c r="W484" i="9"/>
  <c r="V484" i="9"/>
  <c r="U484" i="9"/>
  <c r="T484" i="9"/>
  <c r="S484" i="9"/>
  <c r="R484" i="9"/>
  <c r="Q484" i="9"/>
  <c r="P484" i="9"/>
  <c r="O484" i="9"/>
  <c r="N484" i="9"/>
  <c r="M484" i="9"/>
  <c r="L484" i="9"/>
  <c r="K484" i="9"/>
  <c r="J484" i="9"/>
  <c r="I484" i="9"/>
  <c r="H484" i="9"/>
  <c r="G484" i="9"/>
  <c r="F484" i="9"/>
  <c r="E484" i="9"/>
  <c r="D484" i="9"/>
  <c r="C484" i="9"/>
  <c r="B484" i="9"/>
  <c r="A484" i="9"/>
  <c r="W483" i="9"/>
  <c r="V483" i="9"/>
  <c r="U483" i="9"/>
  <c r="T483" i="9"/>
  <c r="S483" i="9"/>
  <c r="R483" i="9"/>
  <c r="Q483" i="9"/>
  <c r="P483" i="9"/>
  <c r="O483" i="9"/>
  <c r="N483" i="9"/>
  <c r="M483" i="9"/>
  <c r="L483" i="9"/>
  <c r="K483" i="9"/>
  <c r="J483" i="9"/>
  <c r="I483" i="9"/>
  <c r="H483" i="9"/>
  <c r="G483" i="9"/>
  <c r="F483" i="9"/>
  <c r="E483" i="9"/>
  <c r="D483" i="9"/>
  <c r="C483" i="9"/>
  <c r="B483" i="9"/>
  <c r="A483" i="9"/>
  <c r="W482" i="9"/>
  <c r="V482" i="9"/>
  <c r="U482" i="9"/>
  <c r="T482" i="9"/>
  <c r="S482" i="9"/>
  <c r="R482" i="9"/>
  <c r="Q482" i="9"/>
  <c r="P482" i="9"/>
  <c r="O482" i="9"/>
  <c r="N482" i="9"/>
  <c r="M482" i="9"/>
  <c r="L482" i="9"/>
  <c r="K482" i="9"/>
  <c r="J482" i="9"/>
  <c r="I482" i="9"/>
  <c r="H482" i="9"/>
  <c r="G482" i="9"/>
  <c r="F482" i="9"/>
  <c r="E482" i="9"/>
  <c r="D482" i="9"/>
  <c r="C482" i="9"/>
  <c r="B482" i="9"/>
  <c r="A482" i="9"/>
  <c r="W481" i="9"/>
  <c r="V481" i="9"/>
  <c r="U481" i="9"/>
  <c r="T481" i="9"/>
  <c r="S481" i="9"/>
  <c r="R481" i="9"/>
  <c r="Q481" i="9"/>
  <c r="P481" i="9"/>
  <c r="O481" i="9"/>
  <c r="N481" i="9"/>
  <c r="M481" i="9"/>
  <c r="L481" i="9"/>
  <c r="K481" i="9"/>
  <c r="J481" i="9"/>
  <c r="I481" i="9"/>
  <c r="H481" i="9"/>
  <c r="G481" i="9"/>
  <c r="F481" i="9"/>
  <c r="E481" i="9"/>
  <c r="D481" i="9"/>
  <c r="C481" i="9"/>
  <c r="B481" i="9"/>
  <c r="A481" i="9"/>
  <c r="W480" i="9"/>
  <c r="V480" i="9"/>
  <c r="U480" i="9"/>
  <c r="T480" i="9"/>
  <c r="S480" i="9"/>
  <c r="R480" i="9"/>
  <c r="Q480" i="9"/>
  <c r="P480" i="9"/>
  <c r="O480" i="9"/>
  <c r="N480" i="9"/>
  <c r="M480" i="9"/>
  <c r="L480" i="9"/>
  <c r="K480" i="9"/>
  <c r="J480" i="9"/>
  <c r="I480" i="9"/>
  <c r="H480" i="9"/>
  <c r="G480" i="9"/>
  <c r="F480" i="9"/>
  <c r="E480" i="9"/>
  <c r="D480" i="9"/>
  <c r="C480" i="9"/>
  <c r="B480" i="9"/>
  <c r="A480" i="9"/>
  <c r="W479" i="9"/>
  <c r="V479" i="9"/>
  <c r="U479" i="9"/>
  <c r="T479" i="9"/>
  <c r="S479" i="9"/>
  <c r="R479" i="9"/>
  <c r="Q479" i="9"/>
  <c r="P479" i="9"/>
  <c r="O479" i="9"/>
  <c r="N479" i="9"/>
  <c r="M479" i="9"/>
  <c r="L479" i="9"/>
  <c r="K479" i="9"/>
  <c r="J479" i="9"/>
  <c r="I479" i="9"/>
  <c r="H479" i="9"/>
  <c r="G479" i="9"/>
  <c r="F479" i="9"/>
  <c r="E479" i="9"/>
  <c r="D479" i="9"/>
  <c r="C479" i="9"/>
  <c r="B479" i="9"/>
  <c r="A479" i="9"/>
  <c r="W478" i="9"/>
  <c r="V478" i="9"/>
  <c r="U478" i="9"/>
  <c r="T478" i="9"/>
  <c r="S478" i="9"/>
  <c r="R478" i="9"/>
  <c r="Q478" i="9"/>
  <c r="P478" i="9"/>
  <c r="O478" i="9"/>
  <c r="N478" i="9"/>
  <c r="M478" i="9"/>
  <c r="L478" i="9"/>
  <c r="K478" i="9"/>
  <c r="J478" i="9"/>
  <c r="I478" i="9"/>
  <c r="H478" i="9"/>
  <c r="G478" i="9"/>
  <c r="F478" i="9"/>
  <c r="E478" i="9"/>
  <c r="D478" i="9"/>
  <c r="C478" i="9"/>
  <c r="B478" i="9"/>
  <c r="A478" i="9"/>
  <c r="W477" i="9"/>
  <c r="V477" i="9"/>
  <c r="U477" i="9"/>
  <c r="T477" i="9"/>
  <c r="S477" i="9"/>
  <c r="R477" i="9"/>
  <c r="Q477" i="9"/>
  <c r="P477" i="9"/>
  <c r="O477" i="9"/>
  <c r="N477" i="9"/>
  <c r="M477" i="9"/>
  <c r="L477" i="9"/>
  <c r="K477" i="9"/>
  <c r="J477" i="9"/>
  <c r="I477" i="9"/>
  <c r="H477" i="9"/>
  <c r="G477" i="9"/>
  <c r="F477" i="9"/>
  <c r="E477" i="9"/>
  <c r="D477" i="9"/>
  <c r="C477" i="9"/>
  <c r="B477" i="9"/>
  <c r="A477" i="9"/>
  <c r="W476" i="9"/>
  <c r="V476" i="9"/>
  <c r="U476" i="9"/>
  <c r="T476" i="9"/>
  <c r="S476" i="9"/>
  <c r="R476" i="9"/>
  <c r="Q476" i="9"/>
  <c r="P476" i="9"/>
  <c r="O476" i="9"/>
  <c r="N476" i="9"/>
  <c r="M476" i="9"/>
  <c r="L476" i="9"/>
  <c r="K476" i="9"/>
  <c r="J476" i="9"/>
  <c r="I476" i="9"/>
  <c r="H476" i="9"/>
  <c r="G476" i="9"/>
  <c r="F476" i="9"/>
  <c r="E476" i="9"/>
  <c r="D476" i="9"/>
  <c r="C476" i="9"/>
  <c r="B476" i="9"/>
  <c r="A476" i="9"/>
  <c r="W475" i="9"/>
  <c r="V475" i="9"/>
  <c r="U475" i="9"/>
  <c r="T475" i="9"/>
  <c r="S475" i="9"/>
  <c r="R475" i="9"/>
  <c r="Q475" i="9"/>
  <c r="P475" i="9"/>
  <c r="O475" i="9"/>
  <c r="N475" i="9"/>
  <c r="M475" i="9"/>
  <c r="L475" i="9"/>
  <c r="K475" i="9"/>
  <c r="J475" i="9"/>
  <c r="I475" i="9"/>
  <c r="H475" i="9"/>
  <c r="G475" i="9"/>
  <c r="F475" i="9"/>
  <c r="E475" i="9"/>
  <c r="D475" i="9"/>
  <c r="C475" i="9"/>
  <c r="B475" i="9"/>
  <c r="A475" i="9"/>
  <c r="W474" i="9"/>
  <c r="V474" i="9"/>
  <c r="U474" i="9"/>
  <c r="T474" i="9"/>
  <c r="S474" i="9"/>
  <c r="R474" i="9"/>
  <c r="Q474" i="9"/>
  <c r="P474" i="9"/>
  <c r="O474" i="9"/>
  <c r="N474" i="9"/>
  <c r="M474" i="9"/>
  <c r="L474" i="9"/>
  <c r="K474" i="9"/>
  <c r="J474" i="9"/>
  <c r="I474" i="9"/>
  <c r="H474" i="9"/>
  <c r="G474" i="9"/>
  <c r="F474" i="9"/>
  <c r="E474" i="9"/>
  <c r="D474" i="9"/>
  <c r="C474" i="9"/>
  <c r="B474" i="9"/>
  <c r="A474" i="9"/>
  <c r="W473" i="9"/>
  <c r="V473" i="9"/>
  <c r="U473" i="9"/>
  <c r="T473" i="9"/>
  <c r="S473" i="9"/>
  <c r="R473" i="9"/>
  <c r="Q473" i="9"/>
  <c r="P473" i="9"/>
  <c r="O473" i="9"/>
  <c r="N473" i="9"/>
  <c r="M473" i="9"/>
  <c r="L473" i="9"/>
  <c r="K473" i="9"/>
  <c r="J473" i="9"/>
  <c r="I473" i="9"/>
  <c r="H473" i="9"/>
  <c r="G473" i="9"/>
  <c r="F473" i="9"/>
  <c r="E473" i="9"/>
  <c r="D473" i="9"/>
  <c r="C473" i="9"/>
  <c r="B473" i="9"/>
  <c r="A473" i="9"/>
  <c r="W472" i="9"/>
  <c r="V472" i="9"/>
  <c r="U472" i="9"/>
  <c r="T472" i="9"/>
  <c r="S472" i="9"/>
  <c r="R472" i="9"/>
  <c r="Q472" i="9"/>
  <c r="P472" i="9"/>
  <c r="O472" i="9"/>
  <c r="N472" i="9"/>
  <c r="M472" i="9"/>
  <c r="L472" i="9"/>
  <c r="K472" i="9"/>
  <c r="J472" i="9"/>
  <c r="I472" i="9"/>
  <c r="H472" i="9"/>
  <c r="G472" i="9"/>
  <c r="F472" i="9"/>
  <c r="E472" i="9"/>
  <c r="D472" i="9"/>
  <c r="C472" i="9"/>
  <c r="B472" i="9"/>
  <c r="A472" i="9"/>
  <c r="W471" i="9"/>
  <c r="V471" i="9"/>
  <c r="U471" i="9"/>
  <c r="T471" i="9"/>
  <c r="S471" i="9"/>
  <c r="R471" i="9"/>
  <c r="Q471" i="9"/>
  <c r="P471" i="9"/>
  <c r="O471" i="9"/>
  <c r="N471" i="9"/>
  <c r="M471" i="9"/>
  <c r="L471" i="9"/>
  <c r="K471" i="9"/>
  <c r="J471" i="9"/>
  <c r="I471" i="9"/>
  <c r="H471" i="9"/>
  <c r="G471" i="9"/>
  <c r="F471" i="9"/>
  <c r="E471" i="9"/>
  <c r="D471" i="9"/>
  <c r="C471" i="9"/>
  <c r="B471" i="9"/>
  <c r="A471" i="9"/>
  <c r="W470" i="9"/>
  <c r="V470" i="9"/>
  <c r="U470" i="9"/>
  <c r="T470" i="9"/>
  <c r="S470" i="9"/>
  <c r="R470" i="9"/>
  <c r="Q470" i="9"/>
  <c r="P470" i="9"/>
  <c r="O470" i="9"/>
  <c r="N470" i="9"/>
  <c r="M470" i="9"/>
  <c r="L470" i="9"/>
  <c r="K470" i="9"/>
  <c r="J470" i="9"/>
  <c r="I470" i="9"/>
  <c r="H470" i="9"/>
  <c r="G470" i="9"/>
  <c r="F470" i="9"/>
  <c r="E470" i="9"/>
  <c r="D470" i="9"/>
  <c r="C470" i="9"/>
  <c r="B470" i="9"/>
  <c r="A470" i="9"/>
  <c r="W469" i="9"/>
  <c r="V469" i="9"/>
  <c r="U469" i="9"/>
  <c r="T469" i="9"/>
  <c r="S469" i="9"/>
  <c r="R469" i="9"/>
  <c r="Q469" i="9"/>
  <c r="P469" i="9"/>
  <c r="O469" i="9"/>
  <c r="N469" i="9"/>
  <c r="M469" i="9"/>
  <c r="L469" i="9"/>
  <c r="K469" i="9"/>
  <c r="J469" i="9"/>
  <c r="I469" i="9"/>
  <c r="H469" i="9"/>
  <c r="G469" i="9"/>
  <c r="F469" i="9"/>
  <c r="E469" i="9"/>
  <c r="D469" i="9"/>
  <c r="C469" i="9"/>
  <c r="B469" i="9"/>
  <c r="A469" i="9"/>
  <c r="W468" i="9"/>
  <c r="V468" i="9"/>
  <c r="U468" i="9"/>
  <c r="T468" i="9"/>
  <c r="S468" i="9"/>
  <c r="R468" i="9"/>
  <c r="Q468" i="9"/>
  <c r="P468" i="9"/>
  <c r="O468" i="9"/>
  <c r="N468" i="9"/>
  <c r="M468" i="9"/>
  <c r="L468" i="9"/>
  <c r="K468" i="9"/>
  <c r="J468" i="9"/>
  <c r="I468" i="9"/>
  <c r="H468" i="9"/>
  <c r="G468" i="9"/>
  <c r="F468" i="9"/>
  <c r="E468" i="9"/>
  <c r="D468" i="9"/>
  <c r="C468" i="9"/>
  <c r="B468" i="9"/>
  <c r="A468" i="9"/>
  <c r="W467" i="9"/>
  <c r="V467" i="9"/>
  <c r="U467" i="9"/>
  <c r="T467" i="9"/>
  <c r="S467" i="9"/>
  <c r="R467" i="9"/>
  <c r="Q467" i="9"/>
  <c r="P467" i="9"/>
  <c r="O467" i="9"/>
  <c r="N467" i="9"/>
  <c r="M467" i="9"/>
  <c r="L467" i="9"/>
  <c r="K467" i="9"/>
  <c r="J467" i="9"/>
  <c r="I467" i="9"/>
  <c r="H467" i="9"/>
  <c r="G467" i="9"/>
  <c r="F467" i="9"/>
  <c r="E467" i="9"/>
  <c r="D467" i="9"/>
  <c r="C467" i="9"/>
  <c r="B467" i="9"/>
  <c r="A467" i="9"/>
  <c r="W466" i="9"/>
  <c r="V466" i="9"/>
  <c r="U466" i="9"/>
  <c r="T466" i="9"/>
  <c r="S466" i="9"/>
  <c r="R466" i="9"/>
  <c r="Q466" i="9"/>
  <c r="P466" i="9"/>
  <c r="O466" i="9"/>
  <c r="N466" i="9"/>
  <c r="M466" i="9"/>
  <c r="L466" i="9"/>
  <c r="K466" i="9"/>
  <c r="J466" i="9"/>
  <c r="I466" i="9"/>
  <c r="H466" i="9"/>
  <c r="G466" i="9"/>
  <c r="F466" i="9"/>
  <c r="E466" i="9"/>
  <c r="D466" i="9"/>
  <c r="C466" i="9"/>
  <c r="B466" i="9"/>
  <c r="A466" i="9"/>
  <c r="W465" i="9"/>
  <c r="V465" i="9"/>
  <c r="U465" i="9"/>
  <c r="T465" i="9"/>
  <c r="S465" i="9"/>
  <c r="R465" i="9"/>
  <c r="Q465" i="9"/>
  <c r="P465" i="9"/>
  <c r="O465" i="9"/>
  <c r="N465" i="9"/>
  <c r="M465" i="9"/>
  <c r="L465" i="9"/>
  <c r="K465" i="9"/>
  <c r="J465" i="9"/>
  <c r="I465" i="9"/>
  <c r="H465" i="9"/>
  <c r="G465" i="9"/>
  <c r="F465" i="9"/>
  <c r="E465" i="9"/>
  <c r="D465" i="9"/>
  <c r="C465" i="9"/>
  <c r="B465" i="9"/>
  <c r="A465" i="9"/>
  <c r="W464" i="9"/>
  <c r="V464" i="9"/>
  <c r="U464" i="9"/>
  <c r="T464" i="9"/>
  <c r="S464" i="9"/>
  <c r="R464" i="9"/>
  <c r="Q464" i="9"/>
  <c r="P464" i="9"/>
  <c r="O464" i="9"/>
  <c r="N464" i="9"/>
  <c r="M464" i="9"/>
  <c r="L464" i="9"/>
  <c r="K464" i="9"/>
  <c r="J464" i="9"/>
  <c r="I464" i="9"/>
  <c r="H464" i="9"/>
  <c r="G464" i="9"/>
  <c r="F464" i="9"/>
  <c r="E464" i="9"/>
  <c r="D464" i="9"/>
  <c r="C464" i="9"/>
  <c r="B464" i="9"/>
  <c r="A464" i="9"/>
  <c r="W463" i="9"/>
  <c r="V463" i="9"/>
  <c r="U463" i="9"/>
  <c r="T463" i="9"/>
  <c r="S463" i="9"/>
  <c r="R463" i="9"/>
  <c r="Q463" i="9"/>
  <c r="P463" i="9"/>
  <c r="O463" i="9"/>
  <c r="N463" i="9"/>
  <c r="M463" i="9"/>
  <c r="L463" i="9"/>
  <c r="K463" i="9"/>
  <c r="J463" i="9"/>
  <c r="I463" i="9"/>
  <c r="H463" i="9"/>
  <c r="G463" i="9"/>
  <c r="F463" i="9"/>
  <c r="E463" i="9"/>
  <c r="D463" i="9"/>
  <c r="C463" i="9"/>
  <c r="B463" i="9"/>
  <c r="A463" i="9"/>
  <c r="W462" i="9"/>
  <c r="V462" i="9"/>
  <c r="U462" i="9"/>
  <c r="T462" i="9"/>
  <c r="S462" i="9"/>
  <c r="R462" i="9"/>
  <c r="Q462" i="9"/>
  <c r="P462" i="9"/>
  <c r="O462" i="9"/>
  <c r="N462" i="9"/>
  <c r="M462" i="9"/>
  <c r="L462" i="9"/>
  <c r="K462" i="9"/>
  <c r="J462" i="9"/>
  <c r="I462" i="9"/>
  <c r="H462" i="9"/>
  <c r="G462" i="9"/>
  <c r="F462" i="9"/>
  <c r="E462" i="9"/>
  <c r="D462" i="9"/>
  <c r="C462" i="9"/>
  <c r="B462" i="9"/>
  <c r="A462" i="9"/>
  <c r="W461" i="9"/>
  <c r="V461" i="9"/>
  <c r="U461" i="9"/>
  <c r="T461" i="9"/>
  <c r="S461" i="9"/>
  <c r="R461" i="9"/>
  <c r="Q461" i="9"/>
  <c r="P461" i="9"/>
  <c r="O461" i="9"/>
  <c r="N461" i="9"/>
  <c r="M461" i="9"/>
  <c r="L461" i="9"/>
  <c r="K461" i="9"/>
  <c r="J461" i="9"/>
  <c r="I461" i="9"/>
  <c r="H461" i="9"/>
  <c r="G461" i="9"/>
  <c r="F461" i="9"/>
  <c r="E461" i="9"/>
  <c r="D461" i="9"/>
  <c r="C461" i="9"/>
  <c r="B461" i="9"/>
  <c r="A461" i="9"/>
  <c r="W460" i="9"/>
  <c r="V460" i="9"/>
  <c r="U460" i="9"/>
  <c r="T460" i="9"/>
  <c r="S460" i="9"/>
  <c r="R460" i="9"/>
  <c r="Q460" i="9"/>
  <c r="P460" i="9"/>
  <c r="O460" i="9"/>
  <c r="N460" i="9"/>
  <c r="M460" i="9"/>
  <c r="L460" i="9"/>
  <c r="K460" i="9"/>
  <c r="J460" i="9"/>
  <c r="I460" i="9"/>
  <c r="H460" i="9"/>
  <c r="G460" i="9"/>
  <c r="F460" i="9"/>
  <c r="E460" i="9"/>
  <c r="D460" i="9"/>
  <c r="C460" i="9"/>
  <c r="B460" i="9"/>
  <c r="A460" i="9"/>
  <c r="W459" i="9"/>
  <c r="V459" i="9"/>
  <c r="U459" i="9"/>
  <c r="T459" i="9"/>
  <c r="S459" i="9"/>
  <c r="R459" i="9"/>
  <c r="Q459" i="9"/>
  <c r="P459" i="9"/>
  <c r="O459" i="9"/>
  <c r="N459" i="9"/>
  <c r="M459" i="9"/>
  <c r="L459" i="9"/>
  <c r="K459" i="9"/>
  <c r="J459" i="9"/>
  <c r="I459" i="9"/>
  <c r="H459" i="9"/>
  <c r="G459" i="9"/>
  <c r="F459" i="9"/>
  <c r="E459" i="9"/>
  <c r="D459" i="9"/>
  <c r="C459" i="9"/>
  <c r="B459" i="9"/>
  <c r="A459" i="9"/>
  <c r="W458" i="9"/>
  <c r="V458" i="9"/>
  <c r="U458" i="9"/>
  <c r="T458" i="9"/>
  <c r="S458" i="9"/>
  <c r="R458" i="9"/>
  <c r="Q458" i="9"/>
  <c r="P458" i="9"/>
  <c r="O458" i="9"/>
  <c r="N458" i="9"/>
  <c r="M458" i="9"/>
  <c r="L458" i="9"/>
  <c r="K458" i="9"/>
  <c r="J458" i="9"/>
  <c r="I458" i="9"/>
  <c r="H458" i="9"/>
  <c r="G458" i="9"/>
  <c r="F458" i="9"/>
  <c r="E458" i="9"/>
  <c r="D458" i="9"/>
  <c r="C458" i="9"/>
  <c r="B458" i="9"/>
  <c r="A458" i="9"/>
  <c r="W457" i="9"/>
  <c r="V457" i="9"/>
  <c r="U457" i="9"/>
  <c r="T457" i="9"/>
  <c r="S457" i="9"/>
  <c r="R457" i="9"/>
  <c r="Q457" i="9"/>
  <c r="P457" i="9"/>
  <c r="O457" i="9"/>
  <c r="N457" i="9"/>
  <c r="M457" i="9"/>
  <c r="L457" i="9"/>
  <c r="K457" i="9"/>
  <c r="J457" i="9"/>
  <c r="I457" i="9"/>
  <c r="H457" i="9"/>
  <c r="G457" i="9"/>
  <c r="F457" i="9"/>
  <c r="E457" i="9"/>
  <c r="D457" i="9"/>
  <c r="C457" i="9"/>
  <c r="B457" i="9"/>
  <c r="A457" i="9"/>
  <c r="W456" i="9"/>
  <c r="V456" i="9"/>
  <c r="U456" i="9"/>
  <c r="T456" i="9"/>
  <c r="S456" i="9"/>
  <c r="R456" i="9"/>
  <c r="Q456" i="9"/>
  <c r="P456" i="9"/>
  <c r="O456" i="9"/>
  <c r="N456" i="9"/>
  <c r="M456" i="9"/>
  <c r="L456" i="9"/>
  <c r="K456" i="9"/>
  <c r="J456" i="9"/>
  <c r="I456" i="9"/>
  <c r="H456" i="9"/>
  <c r="G456" i="9"/>
  <c r="F456" i="9"/>
  <c r="E456" i="9"/>
  <c r="D456" i="9"/>
  <c r="C456" i="9"/>
  <c r="B456" i="9"/>
  <c r="A456" i="9"/>
  <c r="W455" i="9"/>
  <c r="V455" i="9"/>
  <c r="U455" i="9"/>
  <c r="T455" i="9"/>
  <c r="S455" i="9"/>
  <c r="R455" i="9"/>
  <c r="Q455" i="9"/>
  <c r="P455" i="9"/>
  <c r="O455" i="9"/>
  <c r="N455" i="9"/>
  <c r="M455" i="9"/>
  <c r="L455" i="9"/>
  <c r="K455" i="9"/>
  <c r="J455" i="9"/>
  <c r="I455" i="9"/>
  <c r="H455" i="9"/>
  <c r="G455" i="9"/>
  <c r="F455" i="9"/>
  <c r="E455" i="9"/>
  <c r="D455" i="9"/>
  <c r="C455" i="9"/>
  <c r="B455" i="9"/>
  <c r="A455" i="9"/>
  <c r="W454" i="9"/>
  <c r="V454" i="9"/>
  <c r="U454" i="9"/>
  <c r="T454" i="9"/>
  <c r="S454" i="9"/>
  <c r="R454" i="9"/>
  <c r="Q454" i="9"/>
  <c r="P454" i="9"/>
  <c r="O454" i="9"/>
  <c r="N454" i="9"/>
  <c r="M454" i="9"/>
  <c r="L454" i="9"/>
  <c r="K454" i="9"/>
  <c r="J454" i="9"/>
  <c r="I454" i="9"/>
  <c r="H454" i="9"/>
  <c r="G454" i="9"/>
  <c r="F454" i="9"/>
  <c r="E454" i="9"/>
  <c r="D454" i="9"/>
  <c r="C454" i="9"/>
  <c r="B454" i="9"/>
  <c r="A454" i="9"/>
  <c r="W453" i="9"/>
  <c r="V453" i="9"/>
  <c r="U453" i="9"/>
  <c r="T453" i="9"/>
  <c r="S453" i="9"/>
  <c r="R453" i="9"/>
  <c r="Q453" i="9"/>
  <c r="P453" i="9"/>
  <c r="O453" i="9"/>
  <c r="N453" i="9"/>
  <c r="M453" i="9"/>
  <c r="L453" i="9"/>
  <c r="K453" i="9"/>
  <c r="J453" i="9"/>
  <c r="I453" i="9"/>
  <c r="H453" i="9"/>
  <c r="G453" i="9"/>
  <c r="F453" i="9"/>
  <c r="E453" i="9"/>
  <c r="D453" i="9"/>
  <c r="C453" i="9"/>
  <c r="B453" i="9"/>
  <c r="A453" i="9"/>
  <c r="W452" i="9"/>
  <c r="V452" i="9"/>
  <c r="U452" i="9"/>
  <c r="T452" i="9"/>
  <c r="S452" i="9"/>
  <c r="R452" i="9"/>
  <c r="Q452" i="9"/>
  <c r="P452" i="9"/>
  <c r="O452" i="9"/>
  <c r="N452" i="9"/>
  <c r="M452" i="9"/>
  <c r="L452" i="9"/>
  <c r="K452" i="9"/>
  <c r="J452" i="9"/>
  <c r="I452" i="9"/>
  <c r="H452" i="9"/>
  <c r="G452" i="9"/>
  <c r="F452" i="9"/>
  <c r="E452" i="9"/>
  <c r="D452" i="9"/>
  <c r="C452" i="9"/>
  <c r="B452" i="9"/>
  <c r="A452" i="9"/>
  <c r="W451" i="9"/>
  <c r="V451" i="9"/>
  <c r="U451" i="9"/>
  <c r="T451" i="9"/>
  <c r="S451" i="9"/>
  <c r="R451" i="9"/>
  <c r="Q451" i="9"/>
  <c r="P451" i="9"/>
  <c r="O451" i="9"/>
  <c r="N451" i="9"/>
  <c r="M451" i="9"/>
  <c r="L451" i="9"/>
  <c r="K451" i="9"/>
  <c r="J451" i="9"/>
  <c r="I451" i="9"/>
  <c r="H451" i="9"/>
  <c r="G451" i="9"/>
  <c r="F451" i="9"/>
  <c r="E451" i="9"/>
  <c r="D451" i="9"/>
  <c r="C451" i="9"/>
  <c r="B451" i="9"/>
  <c r="A451" i="9"/>
  <c r="W450" i="9"/>
  <c r="V450" i="9"/>
  <c r="U450" i="9"/>
  <c r="T450" i="9"/>
  <c r="S450" i="9"/>
  <c r="R450" i="9"/>
  <c r="Q450" i="9"/>
  <c r="P450" i="9"/>
  <c r="O450" i="9"/>
  <c r="N450" i="9"/>
  <c r="M450" i="9"/>
  <c r="L450" i="9"/>
  <c r="K450" i="9"/>
  <c r="J450" i="9"/>
  <c r="I450" i="9"/>
  <c r="H450" i="9"/>
  <c r="G450" i="9"/>
  <c r="F450" i="9"/>
  <c r="E450" i="9"/>
  <c r="D450" i="9"/>
  <c r="C450" i="9"/>
  <c r="B450" i="9"/>
  <c r="A450" i="9"/>
  <c r="W449" i="9"/>
  <c r="V449" i="9"/>
  <c r="U449" i="9"/>
  <c r="T449" i="9"/>
  <c r="S449" i="9"/>
  <c r="R449" i="9"/>
  <c r="Q449" i="9"/>
  <c r="P449" i="9"/>
  <c r="O449" i="9"/>
  <c r="N449" i="9"/>
  <c r="M449" i="9"/>
  <c r="L449" i="9"/>
  <c r="K449" i="9"/>
  <c r="J449" i="9"/>
  <c r="I449" i="9"/>
  <c r="H449" i="9"/>
  <c r="G449" i="9"/>
  <c r="F449" i="9"/>
  <c r="E449" i="9"/>
  <c r="D449" i="9"/>
  <c r="C449" i="9"/>
  <c r="B449" i="9"/>
  <c r="A449" i="9"/>
  <c r="W448" i="9"/>
  <c r="V448" i="9"/>
  <c r="U448" i="9"/>
  <c r="T448" i="9"/>
  <c r="S448" i="9"/>
  <c r="R448" i="9"/>
  <c r="Q448" i="9"/>
  <c r="P448" i="9"/>
  <c r="O448" i="9"/>
  <c r="N448" i="9"/>
  <c r="M448" i="9"/>
  <c r="L448" i="9"/>
  <c r="K448" i="9"/>
  <c r="J448" i="9"/>
  <c r="I448" i="9"/>
  <c r="H448" i="9"/>
  <c r="G448" i="9"/>
  <c r="F448" i="9"/>
  <c r="E448" i="9"/>
  <c r="D448" i="9"/>
  <c r="C448" i="9"/>
  <c r="B448" i="9"/>
  <c r="A448" i="9"/>
  <c r="W447" i="9"/>
  <c r="V447" i="9"/>
  <c r="U447" i="9"/>
  <c r="T447" i="9"/>
  <c r="S447" i="9"/>
  <c r="R447" i="9"/>
  <c r="Q447" i="9"/>
  <c r="P447" i="9"/>
  <c r="O447" i="9"/>
  <c r="N447" i="9"/>
  <c r="M447" i="9"/>
  <c r="L447" i="9"/>
  <c r="K447" i="9"/>
  <c r="J447" i="9"/>
  <c r="I447" i="9"/>
  <c r="H447" i="9"/>
  <c r="G447" i="9"/>
  <c r="F447" i="9"/>
  <c r="E447" i="9"/>
  <c r="D447" i="9"/>
  <c r="C447" i="9"/>
  <c r="B447" i="9"/>
  <c r="A447" i="9"/>
  <c r="W446" i="9"/>
  <c r="V446" i="9"/>
  <c r="U446" i="9"/>
  <c r="T446" i="9"/>
  <c r="S446" i="9"/>
  <c r="R446" i="9"/>
  <c r="Q446" i="9"/>
  <c r="P446" i="9"/>
  <c r="O446" i="9"/>
  <c r="N446" i="9"/>
  <c r="M446" i="9"/>
  <c r="L446" i="9"/>
  <c r="K446" i="9"/>
  <c r="J446" i="9"/>
  <c r="I446" i="9"/>
  <c r="H446" i="9"/>
  <c r="G446" i="9"/>
  <c r="F446" i="9"/>
  <c r="E446" i="9"/>
  <c r="D446" i="9"/>
  <c r="C446" i="9"/>
  <c r="B446" i="9"/>
  <c r="A446" i="9"/>
  <c r="W445" i="9"/>
  <c r="V445" i="9"/>
  <c r="U445" i="9"/>
  <c r="T445" i="9"/>
  <c r="S445" i="9"/>
  <c r="R445" i="9"/>
  <c r="Q445" i="9"/>
  <c r="P445" i="9"/>
  <c r="O445" i="9"/>
  <c r="N445" i="9"/>
  <c r="M445" i="9"/>
  <c r="L445" i="9"/>
  <c r="K445" i="9"/>
  <c r="J445" i="9"/>
  <c r="I445" i="9"/>
  <c r="H445" i="9"/>
  <c r="G445" i="9"/>
  <c r="F445" i="9"/>
  <c r="E445" i="9"/>
  <c r="D445" i="9"/>
  <c r="C445" i="9"/>
  <c r="B445" i="9"/>
  <c r="A445" i="9"/>
  <c r="W444" i="9"/>
  <c r="V444" i="9"/>
  <c r="U444" i="9"/>
  <c r="T444" i="9"/>
  <c r="S444" i="9"/>
  <c r="R444" i="9"/>
  <c r="Q444" i="9"/>
  <c r="P444" i="9"/>
  <c r="O444" i="9"/>
  <c r="N444" i="9"/>
  <c r="M444" i="9"/>
  <c r="L444" i="9"/>
  <c r="K444" i="9"/>
  <c r="J444" i="9"/>
  <c r="I444" i="9"/>
  <c r="H444" i="9"/>
  <c r="G444" i="9"/>
  <c r="F444" i="9"/>
  <c r="E444" i="9"/>
  <c r="D444" i="9"/>
  <c r="C444" i="9"/>
  <c r="B444" i="9"/>
  <c r="A444" i="9"/>
  <c r="W443" i="9"/>
  <c r="V443" i="9"/>
  <c r="U443" i="9"/>
  <c r="T443" i="9"/>
  <c r="S443" i="9"/>
  <c r="R443" i="9"/>
  <c r="Q443" i="9"/>
  <c r="P443" i="9"/>
  <c r="O443" i="9"/>
  <c r="N443" i="9"/>
  <c r="M443" i="9"/>
  <c r="L443" i="9"/>
  <c r="K443" i="9"/>
  <c r="J443" i="9"/>
  <c r="I443" i="9"/>
  <c r="H443" i="9"/>
  <c r="G443" i="9"/>
  <c r="F443" i="9"/>
  <c r="E443" i="9"/>
  <c r="D443" i="9"/>
  <c r="C443" i="9"/>
  <c r="B443" i="9"/>
  <c r="A443" i="9"/>
  <c r="W442" i="9"/>
  <c r="V442" i="9"/>
  <c r="U442" i="9"/>
  <c r="T442" i="9"/>
  <c r="S442" i="9"/>
  <c r="R442" i="9"/>
  <c r="Q442" i="9"/>
  <c r="P442" i="9"/>
  <c r="O442" i="9"/>
  <c r="N442" i="9"/>
  <c r="M442" i="9"/>
  <c r="L442" i="9"/>
  <c r="K442" i="9"/>
  <c r="J442" i="9"/>
  <c r="I442" i="9"/>
  <c r="H442" i="9"/>
  <c r="G442" i="9"/>
  <c r="F442" i="9"/>
  <c r="E442" i="9"/>
  <c r="D442" i="9"/>
  <c r="C442" i="9"/>
  <c r="B442" i="9"/>
  <c r="A442" i="9"/>
  <c r="W441" i="9"/>
  <c r="V441" i="9"/>
  <c r="U441" i="9"/>
  <c r="T441" i="9"/>
  <c r="S441" i="9"/>
  <c r="R441" i="9"/>
  <c r="Q441" i="9"/>
  <c r="P441" i="9"/>
  <c r="O441" i="9"/>
  <c r="N441" i="9"/>
  <c r="M441" i="9"/>
  <c r="L441" i="9"/>
  <c r="K441" i="9"/>
  <c r="J441" i="9"/>
  <c r="I441" i="9"/>
  <c r="H441" i="9"/>
  <c r="G441" i="9"/>
  <c r="F441" i="9"/>
  <c r="E441" i="9"/>
  <c r="D441" i="9"/>
  <c r="C441" i="9"/>
  <c r="B441" i="9"/>
  <c r="A441" i="9"/>
  <c r="W440" i="9"/>
  <c r="V440" i="9"/>
  <c r="U440" i="9"/>
  <c r="T440" i="9"/>
  <c r="S440" i="9"/>
  <c r="R440" i="9"/>
  <c r="Q440" i="9"/>
  <c r="P440" i="9"/>
  <c r="O440" i="9"/>
  <c r="N440" i="9"/>
  <c r="M440" i="9"/>
  <c r="L440" i="9"/>
  <c r="K440" i="9"/>
  <c r="J440" i="9"/>
  <c r="I440" i="9"/>
  <c r="H440" i="9"/>
  <c r="G440" i="9"/>
  <c r="F440" i="9"/>
  <c r="E440" i="9"/>
  <c r="D440" i="9"/>
  <c r="C440" i="9"/>
  <c r="B440" i="9"/>
  <c r="A440" i="9"/>
  <c r="W439" i="9"/>
  <c r="V439" i="9"/>
  <c r="U439" i="9"/>
  <c r="T439" i="9"/>
  <c r="S439" i="9"/>
  <c r="R439" i="9"/>
  <c r="Q439" i="9"/>
  <c r="P439" i="9"/>
  <c r="O439" i="9"/>
  <c r="N439" i="9"/>
  <c r="M439" i="9"/>
  <c r="L439" i="9"/>
  <c r="K439" i="9"/>
  <c r="J439" i="9"/>
  <c r="I439" i="9"/>
  <c r="H439" i="9"/>
  <c r="G439" i="9"/>
  <c r="F439" i="9"/>
  <c r="E439" i="9"/>
  <c r="D439" i="9"/>
  <c r="C439" i="9"/>
  <c r="B439" i="9"/>
  <c r="A439" i="9"/>
  <c r="W438" i="9"/>
  <c r="V438" i="9"/>
  <c r="U438" i="9"/>
  <c r="T438" i="9"/>
  <c r="S438" i="9"/>
  <c r="R438" i="9"/>
  <c r="Q438" i="9"/>
  <c r="P438" i="9"/>
  <c r="O438" i="9"/>
  <c r="N438" i="9"/>
  <c r="M438" i="9"/>
  <c r="L438" i="9"/>
  <c r="K438" i="9"/>
  <c r="J438" i="9"/>
  <c r="I438" i="9"/>
  <c r="H438" i="9"/>
  <c r="G438" i="9"/>
  <c r="F438" i="9"/>
  <c r="E438" i="9"/>
  <c r="D438" i="9"/>
  <c r="C438" i="9"/>
  <c r="B438" i="9"/>
  <c r="A438" i="9"/>
  <c r="W437" i="9"/>
  <c r="V437" i="9"/>
  <c r="U437" i="9"/>
  <c r="T437" i="9"/>
  <c r="S437" i="9"/>
  <c r="R437" i="9"/>
  <c r="Q437" i="9"/>
  <c r="P437" i="9"/>
  <c r="O437" i="9"/>
  <c r="N437" i="9"/>
  <c r="M437" i="9"/>
  <c r="L437" i="9"/>
  <c r="K437" i="9"/>
  <c r="J437" i="9"/>
  <c r="I437" i="9"/>
  <c r="H437" i="9"/>
  <c r="G437" i="9"/>
  <c r="F437" i="9"/>
  <c r="E437" i="9"/>
  <c r="D437" i="9"/>
  <c r="C437" i="9"/>
  <c r="B437" i="9"/>
  <c r="A437" i="9"/>
  <c r="W436" i="9"/>
  <c r="V436" i="9"/>
  <c r="U436" i="9"/>
  <c r="T436" i="9"/>
  <c r="S436" i="9"/>
  <c r="R436" i="9"/>
  <c r="Q436" i="9"/>
  <c r="P436" i="9"/>
  <c r="O436" i="9"/>
  <c r="N436" i="9"/>
  <c r="M436" i="9"/>
  <c r="L436" i="9"/>
  <c r="K436" i="9"/>
  <c r="J436" i="9"/>
  <c r="I436" i="9"/>
  <c r="H436" i="9"/>
  <c r="G436" i="9"/>
  <c r="F436" i="9"/>
  <c r="E436" i="9"/>
  <c r="D436" i="9"/>
  <c r="C436" i="9"/>
  <c r="B436" i="9"/>
  <c r="A436" i="9"/>
  <c r="W435" i="9"/>
  <c r="V435" i="9"/>
  <c r="U435" i="9"/>
  <c r="T435" i="9"/>
  <c r="S435" i="9"/>
  <c r="R435" i="9"/>
  <c r="Q435" i="9"/>
  <c r="P435" i="9"/>
  <c r="O435" i="9"/>
  <c r="N435" i="9"/>
  <c r="M435" i="9"/>
  <c r="L435" i="9"/>
  <c r="K435" i="9"/>
  <c r="J435" i="9"/>
  <c r="I435" i="9"/>
  <c r="H435" i="9"/>
  <c r="G435" i="9"/>
  <c r="F435" i="9"/>
  <c r="E435" i="9"/>
  <c r="D435" i="9"/>
  <c r="C435" i="9"/>
  <c r="B435" i="9"/>
  <c r="A435" i="9"/>
  <c r="W434" i="9"/>
  <c r="V434" i="9"/>
  <c r="U434" i="9"/>
  <c r="T434" i="9"/>
  <c r="S434" i="9"/>
  <c r="R434" i="9"/>
  <c r="Q434" i="9"/>
  <c r="P434" i="9"/>
  <c r="O434" i="9"/>
  <c r="N434" i="9"/>
  <c r="M434" i="9"/>
  <c r="L434" i="9"/>
  <c r="K434" i="9"/>
  <c r="J434" i="9"/>
  <c r="I434" i="9"/>
  <c r="H434" i="9"/>
  <c r="G434" i="9"/>
  <c r="F434" i="9"/>
  <c r="E434" i="9"/>
  <c r="D434" i="9"/>
  <c r="C434" i="9"/>
  <c r="B434" i="9"/>
  <c r="A434" i="9"/>
  <c r="W433" i="9"/>
  <c r="V433" i="9"/>
  <c r="U433" i="9"/>
  <c r="T433" i="9"/>
  <c r="S433" i="9"/>
  <c r="R433" i="9"/>
  <c r="Q433" i="9"/>
  <c r="P433" i="9"/>
  <c r="O433" i="9"/>
  <c r="N433" i="9"/>
  <c r="M433" i="9"/>
  <c r="L433" i="9"/>
  <c r="K433" i="9"/>
  <c r="J433" i="9"/>
  <c r="I433" i="9"/>
  <c r="H433" i="9"/>
  <c r="G433" i="9"/>
  <c r="F433" i="9"/>
  <c r="E433" i="9"/>
  <c r="D433" i="9"/>
  <c r="C433" i="9"/>
  <c r="B433" i="9"/>
  <c r="A433" i="9"/>
  <c r="W432" i="9"/>
  <c r="V432" i="9"/>
  <c r="U432" i="9"/>
  <c r="T432" i="9"/>
  <c r="S432" i="9"/>
  <c r="R432" i="9"/>
  <c r="Q432" i="9"/>
  <c r="P432" i="9"/>
  <c r="O432" i="9"/>
  <c r="N432" i="9"/>
  <c r="M432" i="9"/>
  <c r="L432" i="9"/>
  <c r="K432" i="9"/>
  <c r="J432" i="9"/>
  <c r="I432" i="9"/>
  <c r="H432" i="9"/>
  <c r="G432" i="9"/>
  <c r="F432" i="9"/>
  <c r="E432" i="9"/>
  <c r="D432" i="9"/>
  <c r="C432" i="9"/>
  <c r="B432" i="9"/>
  <c r="A432" i="9"/>
  <c r="W431" i="9"/>
  <c r="V431" i="9"/>
  <c r="U431" i="9"/>
  <c r="T431" i="9"/>
  <c r="S431" i="9"/>
  <c r="R431" i="9"/>
  <c r="Q431" i="9"/>
  <c r="P431" i="9"/>
  <c r="O431" i="9"/>
  <c r="N431" i="9"/>
  <c r="M431" i="9"/>
  <c r="L431" i="9"/>
  <c r="K431" i="9"/>
  <c r="J431" i="9"/>
  <c r="I431" i="9"/>
  <c r="H431" i="9"/>
  <c r="G431" i="9"/>
  <c r="F431" i="9"/>
  <c r="E431" i="9"/>
  <c r="D431" i="9"/>
  <c r="C431" i="9"/>
  <c r="B431" i="9"/>
  <c r="A431" i="9"/>
  <c r="W430" i="9"/>
  <c r="V430" i="9"/>
  <c r="U430" i="9"/>
  <c r="T430" i="9"/>
  <c r="S430" i="9"/>
  <c r="R430" i="9"/>
  <c r="Q430" i="9"/>
  <c r="P430" i="9"/>
  <c r="O430" i="9"/>
  <c r="N430" i="9"/>
  <c r="M430" i="9"/>
  <c r="L430" i="9"/>
  <c r="K430" i="9"/>
  <c r="J430" i="9"/>
  <c r="I430" i="9"/>
  <c r="H430" i="9"/>
  <c r="G430" i="9"/>
  <c r="F430" i="9"/>
  <c r="E430" i="9"/>
  <c r="D430" i="9"/>
  <c r="C430" i="9"/>
  <c r="B430" i="9"/>
  <c r="A430" i="9"/>
  <c r="W429" i="9"/>
  <c r="V429" i="9"/>
  <c r="U429" i="9"/>
  <c r="T429" i="9"/>
  <c r="S429" i="9"/>
  <c r="R429" i="9"/>
  <c r="Q429" i="9"/>
  <c r="P429" i="9"/>
  <c r="O429" i="9"/>
  <c r="N429" i="9"/>
  <c r="M429" i="9"/>
  <c r="L429" i="9"/>
  <c r="K429" i="9"/>
  <c r="J429" i="9"/>
  <c r="I429" i="9"/>
  <c r="H429" i="9"/>
  <c r="G429" i="9"/>
  <c r="F429" i="9"/>
  <c r="E429" i="9"/>
  <c r="D429" i="9"/>
  <c r="C429" i="9"/>
  <c r="B429" i="9"/>
  <c r="A429" i="9"/>
  <c r="W428" i="9"/>
  <c r="V428" i="9"/>
  <c r="U428" i="9"/>
  <c r="T428" i="9"/>
  <c r="S428" i="9"/>
  <c r="R428" i="9"/>
  <c r="Q428" i="9"/>
  <c r="P428" i="9"/>
  <c r="O428" i="9"/>
  <c r="N428" i="9"/>
  <c r="M428" i="9"/>
  <c r="L428" i="9"/>
  <c r="K428" i="9"/>
  <c r="J428" i="9"/>
  <c r="I428" i="9"/>
  <c r="H428" i="9"/>
  <c r="G428" i="9"/>
  <c r="F428" i="9"/>
  <c r="E428" i="9"/>
  <c r="D428" i="9"/>
  <c r="C428" i="9"/>
  <c r="B428" i="9"/>
  <c r="A428" i="9"/>
  <c r="W427" i="9"/>
  <c r="V427" i="9"/>
  <c r="U427" i="9"/>
  <c r="T427" i="9"/>
  <c r="S427" i="9"/>
  <c r="R427" i="9"/>
  <c r="Q427" i="9"/>
  <c r="P427" i="9"/>
  <c r="O427" i="9"/>
  <c r="N427" i="9"/>
  <c r="M427" i="9"/>
  <c r="L427" i="9"/>
  <c r="K427" i="9"/>
  <c r="J427" i="9"/>
  <c r="I427" i="9"/>
  <c r="H427" i="9"/>
  <c r="G427" i="9"/>
  <c r="F427" i="9"/>
  <c r="E427" i="9"/>
  <c r="D427" i="9"/>
  <c r="C427" i="9"/>
  <c r="B427" i="9"/>
  <c r="A427" i="9"/>
  <c r="W426" i="9"/>
  <c r="V426" i="9"/>
  <c r="U426" i="9"/>
  <c r="T426" i="9"/>
  <c r="S426" i="9"/>
  <c r="R426" i="9"/>
  <c r="Q426" i="9"/>
  <c r="P426" i="9"/>
  <c r="O426" i="9"/>
  <c r="N426" i="9"/>
  <c r="M426" i="9"/>
  <c r="L426" i="9"/>
  <c r="K426" i="9"/>
  <c r="J426" i="9"/>
  <c r="I426" i="9"/>
  <c r="H426" i="9"/>
  <c r="G426" i="9"/>
  <c r="F426" i="9"/>
  <c r="E426" i="9"/>
  <c r="D426" i="9"/>
  <c r="C426" i="9"/>
  <c r="B426" i="9"/>
  <c r="A426" i="9"/>
  <c r="W425" i="9"/>
  <c r="V425" i="9"/>
  <c r="U425" i="9"/>
  <c r="T425" i="9"/>
  <c r="S425" i="9"/>
  <c r="R425" i="9"/>
  <c r="Q425" i="9"/>
  <c r="P425" i="9"/>
  <c r="O425" i="9"/>
  <c r="N425" i="9"/>
  <c r="M425" i="9"/>
  <c r="L425" i="9"/>
  <c r="K425" i="9"/>
  <c r="J425" i="9"/>
  <c r="I425" i="9"/>
  <c r="H425" i="9"/>
  <c r="G425" i="9"/>
  <c r="F425" i="9"/>
  <c r="E425" i="9"/>
  <c r="D425" i="9"/>
  <c r="C425" i="9"/>
  <c r="B425" i="9"/>
  <c r="A425" i="9"/>
  <c r="W424" i="9"/>
  <c r="V424" i="9"/>
  <c r="U424" i="9"/>
  <c r="T424" i="9"/>
  <c r="S424" i="9"/>
  <c r="R424" i="9"/>
  <c r="Q424" i="9"/>
  <c r="P424" i="9"/>
  <c r="O424" i="9"/>
  <c r="N424" i="9"/>
  <c r="M424" i="9"/>
  <c r="L424" i="9"/>
  <c r="K424" i="9"/>
  <c r="J424" i="9"/>
  <c r="I424" i="9"/>
  <c r="H424" i="9"/>
  <c r="G424" i="9"/>
  <c r="F424" i="9"/>
  <c r="E424" i="9"/>
  <c r="D424" i="9"/>
  <c r="C424" i="9"/>
  <c r="B424" i="9"/>
  <c r="A424" i="9"/>
  <c r="W423" i="9"/>
  <c r="V423" i="9"/>
  <c r="U423" i="9"/>
  <c r="T423" i="9"/>
  <c r="S423" i="9"/>
  <c r="R423" i="9"/>
  <c r="Q423" i="9"/>
  <c r="P423" i="9"/>
  <c r="O423" i="9"/>
  <c r="N423" i="9"/>
  <c r="M423" i="9"/>
  <c r="L423" i="9"/>
  <c r="K423" i="9"/>
  <c r="J423" i="9"/>
  <c r="I423" i="9"/>
  <c r="H423" i="9"/>
  <c r="G423" i="9"/>
  <c r="F423" i="9"/>
  <c r="E423" i="9"/>
  <c r="D423" i="9"/>
  <c r="C423" i="9"/>
  <c r="B423" i="9"/>
  <c r="A423" i="9"/>
  <c r="W422" i="9"/>
  <c r="V422" i="9"/>
  <c r="U422" i="9"/>
  <c r="T422" i="9"/>
  <c r="S422" i="9"/>
  <c r="R422" i="9"/>
  <c r="Q422" i="9"/>
  <c r="P422" i="9"/>
  <c r="O422" i="9"/>
  <c r="N422" i="9"/>
  <c r="M422" i="9"/>
  <c r="L422" i="9"/>
  <c r="K422" i="9"/>
  <c r="J422" i="9"/>
  <c r="I422" i="9"/>
  <c r="H422" i="9"/>
  <c r="G422" i="9"/>
  <c r="F422" i="9"/>
  <c r="E422" i="9"/>
  <c r="D422" i="9"/>
  <c r="C422" i="9"/>
  <c r="B422" i="9"/>
  <c r="A422" i="9"/>
  <c r="W421" i="9"/>
  <c r="V421" i="9"/>
  <c r="U421" i="9"/>
  <c r="T421" i="9"/>
  <c r="S421" i="9"/>
  <c r="R421" i="9"/>
  <c r="Q421" i="9"/>
  <c r="P421" i="9"/>
  <c r="O421" i="9"/>
  <c r="N421" i="9"/>
  <c r="M421" i="9"/>
  <c r="L421" i="9"/>
  <c r="K421" i="9"/>
  <c r="J421" i="9"/>
  <c r="I421" i="9"/>
  <c r="H421" i="9"/>
  <c r="G421" i="9"/>
  <c r="F421" i="9"/>
  <c r="E421" i="9"/>
  <c r="D421" i="9"/>
  <c r="C421" i="9"/>
  <c r="B421" i="9"/>
  <c r="A421" i="9"/>
  <c r="W420" i="9"/>
  <c r="V420" i="9"/>
  <c r="U420" i="9"/>
  <c r="T420" i="9"/>
  <c r="S420" i="9"/>
  <c r="R420" i="9"/>
  <c r="Q420" i="9"/>
  <c r="P420" i="9"/>
  <c r="O420" i="9"/>
  <c r="N420" i="9"/>
  <c r="M420" i="9"/>
  <c r="L420" i="9"/>
  <c r="K420" i="9"/>
  <c r="J420" i="9"/>
  <c r="I420" i="9"/>
  <c r="H420" i="9"/>
  <c r="G420" i="9"/>
  <c r="F420" i="9"/>
  <c r="E420" i="9"/>
  <c r="D420" i="9"/>
  <c r="C420" i="9"/>
  <c r="B420" i="9"/>
  <c r="A420" i="9"/>
  <c r="W419" i="9"/>
  <c r="V419" i="9"/>
  <c r="U419" i="9"/>
  <c r="T419" i="9"/>
  <c r="S419" i="9"/>
  <c r="R419" i="9"/>
  <c r="Q419" i="9"/>
  <c r="P419" i="9"/>
  <c r="O419" i="9"/>
  <c r="N419" i="9"/>
  <c r="M419" i="9"/>
  <c r="L419" i="9"/>
  <c r="K419" i="9"/>
  <c r="J419" i="9"/>
  <c r="I419" i="9"/>
  <c r="H419" i="9"/>
  <c r="G419" i="9"/>
  <c r="F419" i="9"/>
  <c r="E419" i="9"/>
  <c r="D419" i="9"/>
  <c r="C419" i="9"/>
  <c r="B419" i="9"/>
  <c r="A419" i="9"/>
  <c r="W418" i="9"/>
  <c r="V418" i="9"/>
  <c r="U418" i="9"/>
  <c r="T418" i="9"/>
  <c r="S418" i="9"/>
  <c r="R418" i="9"/>
  <c r="Q418" i="9"/>
  <c r="P418" i="9"/>
  <c r="O418" i="9"/>
  <c r="N418" i="9"/>
  <c r="M418" i="9"/>
  <c r="L418" i="9"/>
  <c r="K418" i="9"/>
  <c r="J418" i="9"/>
  <c r="I418" i="9"/>
  <c r="H418" i="9"/>
  <c r="G418" i="9"/>
  <c r="F418" i="9"/>
  <c r="E418" i="9"/>
  <c r="D418" i="9"/>
  <c r="C418" i="9"/>
  <c r="B418" i="9"/>
  <c r="A418" i="9"/>
  <c r="W417" i="9"/>
  <c r="V417" i="9"/>
  <c r="U417" i="9"/>
  <c r="T417" i="9"/>
  <c r="S417" i="9"/>
  <c r="R417" i="9"/>
  <c r="Q417" i="9"/>
  <c r="P417" i="9"/>
  <c r="O417" i="9"/>
  <c r="N417" i="9"/>
  <c r="M417" i="9"/>
  <c r="L417" i="9"/>
  <c r="K417" i="9"/>
  <c r="J417" i="9"/>
  <c r="I417" i="9"/>
  <c r="H417" i="9"/>
  <c r="G417" i="9"/>
  <c r="F417" i="9"/>
  <c r="E417" i="9"/>
  <c r="D417" i="9"/>
  <c r="C417" i="9"/>
  <c r="B417" i="9"/>
  <c r="A417" i="9"/>
  <c r="W416" i="9"/>
  <c r="V416" i="9"/>
  <c r="U416" i="9"/>
  <c r="T416" i="9"/>
  <c r="S416" i="9"/>
  <c r="R416" i="9"/>
  <c r="Q416" i="9"/>
  <c r="P416" i="9"/>
  <c r="O416" i="9"/>
  <c r="N416" i="9"/>
  <c r="M416" i="9"/>
  <c r="L416" i="9"/>
  <c r="K416" i="9"/>
  <c r="J416" i="9"/>
  <c r="I416" i="9"/>
  <c r="H416" i="9"/>
  <c r="G416" i="9"/>
  <c r="F416" i="9"/>
  <c r="E416" i="9"/>
  <c r="D416" i="9"/>
  <c r="C416" i="9"/>
  <c r="B416" i="9"/>
  <c r="A416" i="9"/>
  <c r="W415" i="9"/>
  <c r="V415" i="9"/>
  <c r="U415" i="9"/>
  <c r="T415" i="9"/>
  <c r="S415" i="9"/>
  <c r="R415" i="9"/>
  <c r="Q415" i="9"/>
  <c r="P415" i="9"/>
  <c r="O415" i="9"/>
  <c r="N415" i="9"/>
  <c r="M415" i="9"/>
  <c r="L415" i="9"/>
  <c r="K415" i="9"/>
  <c r="J415" i="9"/>
  <c r="I415" i="9"/>
  <c r="H415" i="9"/>
  <c r="G415" i="9"/>
  <c r="F415" i="9"/>
  <c r="E415" i="9"/>
  <c r="D415" i="9"/>
  <c r="C415" i="9"/>
  <c r="B415" i="9"/>
  <c r="A415" i="9"/>
  <c r="W414" i="9"/>
  <c r="V414" i="9"/>
  <c r="U414" i="9"/>
  <c r="T414" i="9"/>
  <c r="S414" i="9"/>
  <c r="R414" i="9"/>
  <c r="Q414" i="9"/>
  <c r="P414" i="9"/>
  <c r="O414" i="9"/>
  <c r="N414" i="9"/>
  <c r="M414" i="9"/>
  <c r="L414" i="9"/>
  <c r="K414" i="9"/>
  <c r="J414" i="9"/>
  <c r="I414" i="9"/>
  <c r="H414" i="9"/>
  <c r="G414" i="9"/>
  <c r="F414" i="9"/>
  <c r="E414" i="9"/>
  <c r="D414" i="9"/>
  <c r="C414" i="9"/>
  <c r="B414" i="9"/>
  <c r="A414" i="9"/>
  <c r="W413" i="9"/>
  <c r="V413" i="9"/>
  <c r="U413" i="9"/>
  <c r="T413" i="9"/>
  <c r="S413" i="9"/>
  <c r="R413" i="9"/>
  <c r="Q413" i="9"/>
  <c r="P413" i="9"/>
  <c r="O413" i="9"/>
  <c r="N413" i="9"/>
  <c r="M413" i="9"/>
  <c r="L413" i="9"/>
  <c r="K413" i="9"/>
  <c r="J413" i="9"/>
  <c r="I413" i="9"/>
  <c r="H413" i="9"/>
  <c r="G413" i="9"/>
  <c r="F413" i="9"/>
  <c r="E413" i="9"/>
  <c r="D413" i="9"/>
  <c r="C413" i="9"/>
  <c r="B413" i="9"/>
  <c r="A413" i="9"/>
  <c r="W412" i="9"/>
  <c r="V412" i="9"/>
  <c r="U412" i="9"/>
  <c r="T412" i="9"/>
  <c r="S412" i="9"/>
  <c r="R412" i="9"/>
  <c r="Q412" i="9"/>
  <c r="P412" i="9"/>
  <c r="O412" i="9"/>
  <c r="N412" i="9"/>
  <c r="M412" i="9"/>
  <c r="L412" i="9"/>
  <c r="K412" i="9"/>
  <c r="J412" i="9"/>
  <c r="I412" i="9"/>
  <c r="H412" i="9"/>
  <c r="G412" i="9"/>
  <c r="F412" i="9"/>
  <c r="E412" i="9"/>
  <c r="D412" i="9"/>
  <c r="C412" i="9"/>
  <c r="B412" i="9"/>
  <c r="A412" i="9"/>
  <c r="W411" i="9"/>
  <c r="V411" i="9"/>
  <c r="U411" i="9"/>
  <c r="T411" i="9"/>
  <c r="S411" i="9"/>
  <c r="R411" i="9"/>
  <c r="Q411" i="9"/>
  <c r="P411" i="9"/>
  <c r="O411" i="9"/>
  <c r="N411" i="9"/>
  <c r="M411" i="9"/>
  <c r="L411" i="9"/>
  <c r="K411" i="9"/>
  <c r="J411" i="9"/>
  <c r="I411" i="9"/>
  <c r="H411" i="9"/>
  <c r="G411" i="9"/>
  <c r="F411" i="9"/>
  <c r="E411" i="9"/>
  <c r="D411" i="9"/>
  <c r="C411" i="9"/>
  <c r="B411" i="9"/>
  <c r="A411" i="9"/>
  <c r="W410" i="9"/>
  <c r="V410" i="9"/>
  <c r="U410" i="9"/>
  <c r="T410" i="9"/>
  <c r="S410" i="9"/>
  <c r="R410" i="9"/>
  <c r="Q410" i="9"/>
  <c r="P410" i="9"/>
  <c r="O410" i="9"/>
  <c r="N410" i="9"/>
  <c r="M410" i="9"/>
  <c r="L410" i="9"/>
  <c r="K410" i="9"/>
  <c r="J410" i="9"/>
  <c r="I410" i="9"/>
  <c r="H410" i="9"/>
  <c r="G410" i="9"/>
  <c r="F410" i="9"/>
  <c r="E410" i="9"/>
  <c r="D410" i="9"/>
  <c r="C410" i="9"/>
  <c r="B410" i="9"/>
  <c r="A410" i="9"/>
  <c r="W409" i="9"/>
  <c r="V409" i="9"/>
  <c r="U409" i="9"/>
  <c r="T409" i="9"/>
  <c r="S409" i="9"/>
  <c r="R409" i="9"/>
  <c r="Q409" i="9"/>
  <c r="P409" i="9"/>
  <c r="O409" i="9"/>
  <c r="N409" i="9"/>
  <c r="M409" i="9"/>
  <c r="L409" i="9"/>
  <c r="K409" i="9"/>
  <c r="J409" i="9"/>
  <c r="I409" i="9"/>
  <c r="H409" i="9"/>
  <c r="G409" i="9"/>
  <c r="F409" i="9"/>
  <c r="E409" i="9"/>
  <c r="D409" i="9"/>
  <c r="C409" i="9"/>
  <c r="B409" i="9"/>
  <c r="A409" i="9"/>
  <c r="W408" i="9"/>
  <c r="V408" i="9"/>
  <c r="U408" i="9"/>
  <c r="T408" i="9"/>
  <c r="S408" i="9"/>
  <c r="R408" i="9"/>
  <c r="Q408" i="9"/>
  <c r="P408" i="9"/>
  <c r="O408" i="9"/>
  <c r="N408" i="9"/>
  <c r="M408" i="9"/>
  <c r="L408" i="9"/>
  <c r="K408" i="9"/>
  <c r="J408" i="9"/>
  <c r="I408" i="9"/>
  <c r="H408" i="9"/>
  <c r="G408" i="9"/>
  <c r="F408" i="9"/>
  <c r="E408" i="9"/>
  <c r="D408" i="9"/>
  <c r="C408" i="9"/>
  <c r="B408" i="9"/>
  <c r="A408" i="9"/>
  <c r="W407" i="9"/>
  <c r="V407" i="9"/>
  <c r="U407" i="9"/>
  <c r="T407" i="9"/>
  <c r="S407" i="9"/>
  <c r="R407" i="9"/>
  <c r="Q407" i="9"/>
  <c r="P407" i="9"/>
  <c r="O407" i="9"/>
  <c r="N407" i="9"/>
  <c r="M407" i="9"/>
  <c r="L407" i="9"/>
  <c r="K407" i="9"/>
  <c r="J407" i="9"/>
  <c r="I407" i="9"/>
  <c r="H407" i="9"/>
  <c r="G407" i="9"/>
  <c r="F407" i="9"/>
  <c r="E407" i="9"/>
  <c r="D407" i="9"/>
  <c r="C407" i="9"/>
  <c r="B407" i="9"/>
  <c r="A407" i="9"/>
  <c r="W406" i="9"/>
  <c r="V406" i="9"/>
  <c r="U406" i="9"/>
  <c r="T406" i="9"/>
  <c r="S406" i="9"/>
  <c r="R406" i="9"/>
  <c r="Q406" i="9"/>
  <c r="P406" i="9"/>
  <c r="O406" i="9"/>
  <c r="N406" i="9"/>
  <c r="M406" i="9"/>
  <c r="L406" i="9"/>
  <c r="K406" i="9"/>
  <c r="J406" i="9"/>
  <c r="I406" i="9"/>
  <c r="H406" i="9"/>
  <c r="G406" i="9"/>
  <c r="F406" i="9"/>
  <c r="E406" i="9"/>
  <c r="D406" i="9"/>
  <c r="C406" i="9"/>
  <c r="B406" i="9"/>
  <c r="A406" i="9"/>
  <c r="W405" i="9"/>
  <c r="V405" i="9"/>
  <c r="U405" i="9"/>
  <c r="T405" i="9"/>
  <c r="S405" i="9"/>
  <c r="R405" i="9"/>
  <c r="Q405" i="9"/>
  <c r="P405" i="9"/>
  <c r="O405" i="9"/>
  <c r="N405" i="9"/>
  <c r="M405" i="9"/>
  <c r="L405" i="9"/>
  <c r="K405" i="9"/>
  <c r="J405" i="9"/>
  <c r="I405" i="9"/>
  <c r="H405" i="9"/>
  <c r="G405" i="9"/>
  <c r="F405" i="9"/>
  <c r="E405" i="9"/>
  <c r="D405" i="9"/>
  <c r="C405" i="9"/>
  <c r="B405" i="9"/>
  <c r="A405" i="9"/>
  <c r="W404" i="9"/>
  <c r="V404" i="9"/>
  <c r="U404" i="9"/>
  <c r="T404" i="9"/>
  <c r="S404" i="9"/>
  <c r="R404" i="9"/>
  <c r="Q404" i="9"/>
  <c r="P404" i="9"/>
  <c r="O404" i="9"/>
  <c r="N404" i="9"/>
  <c r="M404" i="9"/>
  <c r="L404" i="9"/>
  <c r="K404" i="9"/>
  <c r="J404" i="9"/>
  <c r="I404" i="9"/>
  <c r="H404" i="9"/>
  <c r="G404" i="9"/>
  <c r="F404" i="9"/>
  <c r="E404" i="9"/>
  <c r="D404" i="9"/>
  <c r="C404" i="9"/>
  <c r="B404" i="9"/>
  <c r="A404" i="9"/>
  <c r="W403" i="9"/>
  <c r="V403" i="9"/>
  <c r="U403" i="9"/>
  <c r="T403" i="9"/>
  <c r="S403" i="9"/>
  <c r="R403" i="9"/>
  <c r="Q403" i="9"/>
  <c r="P403" i="9"/>
  <c r="O403" i="9"/>
  <c r="N403" i="9"/>
  <c r="M403" i="9"/>
  <c r="L403" i="9"/>
  <c r="K403" i="9"/>
  <c r="J403" i="9"/>
  <c r="I403" i="9"/>
  <c r="H403" i="9"/>
  <c r="G403" i="9"/>
  <c r="F403" i="9"/>
  <c r="E403" i="9"/>
  <c r="D403" i="9"/>
  <c r="C403" i="9"/>
  <c r="B403" i="9"/>
  <c r="A403" i="9"/>
  <c r="W402" i="9"/>
  <c r="V402" i="9"/>
  <c r="U402" i="9"/>
  <c r="T402" i="9"/>
  <c r="S402" i="9"/>
  <c r="R402" i="9"/>
  <c r="Q402" i="9"/>
  <c r="P402" i="9"/>
  <c r="O402" i="9"/>
  <c r="N402" i="9"/>
  <c r="M402" i="9"/>
  <c r="L402" i="9"/>
  <c r="K402" i="9"/>
  <c r="J402" i="9"/>
  <c r="I402" i="9"/>
  <c r="H402" i="9"/>
  <c r="G402" i="9"/>
  <c r="F402" i="9"/>
  <c r="E402" i="9"/>
  <c r="D402" i="9"/>
  <c r="C402" i="9"/>
  <c r="B402" i="9"/>
  <c r="A402" i="9"/>
  <c r="W401" i="9"/>
  <c r="V401" i="9"/>
  <c r="U401" i="9"/>
  <c r="T401" i="9"/>
  <c r="S401" i="9"/>
  <c r="R401" i="9"/>
  <c r="Q401" i="9"/>
  <c r="P401" i="9"/>
  <c r="O401" i="9"/>
  <c r="N401" i="9"/>
  <c r="M401" i="9"/>
  <c r="L401" i="9"/>
  <c r="K401" i="9"/>
  <c r="J401" i="9"/>
  <c r="I401" i="9"/>
  <c r="H401" i="9"/>
  <c r="G401" i="9"/>
  <c r="F401" i="9"/>
  <c r="E401" i="9"/>
  <c r="D401" i="9"/>
  <c r="C401" i="9"/>
  <c r="B401" i="9"/>
  <c r="A401" i="9"/>
  <c r="W400" i="9"/>
  <c r="V400" i="9"/>
  <c r="U400" i="9"/>
  <c r="T400" i="9"/>
  <c r="S400" i="9"/>
  <c r="R400" i="9"/>
  <c r="Q400" i="9"/>
  <c r="P400" i="9"/>
  <c r="O400" i="9"/>
  <c r="N400" i="9"/>
  <c r="M400" i="9"/>
  <c r="L400" i="9"/>
  <c r="K400" i="9"/>
  <c r="J400" i="9"/>
  <c r="I400" i="9"/>
  <c r="H400" i="9"/>
  <c r="G400" i="9"/>
  <c r="F400" i="9"/>
  <c r="E400" i="9"/>
  <c r="D400" i="9"/>
  <c r="C400" i="9"/>
  <c r="B400" i="9"/>
  <c r="A400" i="9"/>
  <c r="W399" i="9"/>
  <c r="V399" i="9"/>
  <c r="U399" i="9"/>
  <c r="T399" i="9"/>
  <c r="S399" i="9"/>
  <c r="R399" i="9"/>
  <c r="Q399" i="9"/>
  <c r="P399" i="9"/>
  <c r="O399" i="9"/>
  <c r="N399" i="9"/>
  <c r="M399" i="9"/>
  <c r="L399" i="9"/>
  <c r="K399" i="9"/>
  <c r="J399" i="9"/>
  <c r="I399" i="9"/>
  <c r="H399" i="9"/>
  <c r="G399" i="9"/>
  <c r="F399" i="9"/>
  <c r="E399" i="9"/>
  <c r="D399" i="9"/>
  <c r="C399" i="9"/>
  <c r="B399" i="9"/>
  <c r="A399" i="9"/>
  <c r="W398" i="9"/>
  <c r="V398" i="9"/>
  <c r="U398" i="9"/>
  <c r="T398" i="9"/>
  <c r="S398" i="9"/>
  <c r="R398" i="9"/>
  <c r="Q398" i="9"/>
  <c r="P398" i="9"/>
  <c r="O398" i="9"/>
  <c r="N398" i="9"/>
  <c r="M398" i="9"/>
  <c r="L398" i="9"/>
  <c r="K398" i="9"/>
  <c r="J398" i="9"/>
  <c r="I398" i="9"/>
  <c r="H398" i="9"/>
  <c r="G398" i="9"/>
  <c r="F398" i="9"/>
  <c r="E398" i="9"/>
  <c r="D398" i="9"/>
  <c r="C398" i="9"/>
  <c r="B398" i="9"/>
  <c r="A398" i="9"/>
  <c r="W397" i="9"/>
  <c r="V397" i="9"/>
  <c r="U397" i="9"/>
  <c r="T397" i="9"/>
  <c r="S397" i="9"/>
  <c r="R397" i="9"/>
  <c r="Q397" i="9"/>
  <c r="P397" i="9"/>
  <c r="O397" i="9"/>
  <c r="N397" i="9"/>
  <c r="M397" i="9"/>
  <c r="L397" i="9"/>
  <c r="K397" i="9"/>
  <c r="J397" i="9"/>
  <c r="I397" i="9"/>
  <c r="H397" i="9"/>
  <c r="G397" i="9"/>
  <c r="F397" i="9"/>
  <c r="E397" i="9"/>
  <c r="D397" i="9"/>
  <c r="C397" i="9"/>
  <c r="B397" i="9"/>
  <c r="A397" i="9"/>
  <c r="W396" i="9"/>
  <c r="V396" i="9"/>
  <c r="U396" i="9"/>
  <c r="T396" i="9"/>
  <c r="S396" i="9"/>
  <c r="R396" i="9"/>
  <c r="Q396" i="9"/>
  <c r="P396" i="9"/>
  <c r="O396" i="9"/>
  <c r="N396" i="9"/>
  <c r="M396" i="9"/>
  <c r="L396" i="9"/>
  <c r="K396" i="9"/>
  <c r="J396" i="9"/>
  <c r="I396" i="9"/>
  <c r="H396" i="9"/>
  <c r="G396" i="9"/>
  <c r="F396" i="9"/>
  <c r="E396" i="9"/>
  <c r="D396" i="9"/>
  <c r="C396" i="9"/>
  <c r="B396" i="9"/>
  <c r="A396" i="9"/>
  <c r="W395" i="9"/>
  <c r="V395" i="9"/>
  <c r="U395" i="9"/>
  <c r="T395" i="9"/>
  <c r="S395" i="9"/>
  <c r="R395" i="9"/>
  <c r="Q395" i="9"/>
  <c r="P395" i="9"/>
  <c r="O395" i="9"/>
  <c r="N395" i="9"/>
  <c r="M395" i="9"/>
  <c r="L395" i="9"/>
  <c r="K395" i="9"/>
  <c r="J395" i="9"/>
  <c r="I395" i="9"/>
  <c r="H395" i="9"/>
  <c r="G395" i="9"/>
  <c r="F395" i="9"/>
  <c r="E395" i="9"/>
  <c r="D395" i="9"/>
  <c r="C395" i="9"/>
  <c r="B395" i="9"/>
  <c r="A395" i="9"/>
  <c r="W394" i="9"/>
  <c r="V394" i="9"/>
  <c r="U394" i="9"/>
  <c r="T394" i="9"/>
  <c r="S394" i="9"/>
  <c r="R394" i="9"/>
  <c r="Q394" i="9"/>
  <c r="P394" i="9"/>
  <c r="O394" i="9"/>
  <c r="N394" i="9"/>
  <c r="M394" i="9"/>
  <c r="L394" i="9"/>
  <c r="K394" i="9"/>
  <c r="J394" i="9"/>
  <c r="I394" i="9"/>
  <c r="H394" i="9"/>
  <c r="G394" i="9"/>
  <c r="F394" i="9"/>
  <c r="E394" i="9"/>
  <c r="D394" i="9"/>
  <c r="C394" i="9"/>
  <c r="B394" i="9"/>
  <c r="A394" i="9"/>
  <c r="W393" i="9"/>
  <c r="V393" i="9"/>
  <c r="U393" i="9"/>
  <c r="T393" i="9"/>
  <c r="S393" i="9"/>
  <c r="R393" i="9"/>
  <c r="Q393" i="9"/>
  <c r="P393" i="9"/>
  <c r="O393" i="9"/>
  <c r="N393" i="9"/>
  <c r="M393" i="9"/>
  <c r="L393" i="9"/>
  <c r="K393" i="9"/>
  <c r="J393" i="9"/>
  <c r="I393" i="9"/>
  <c r="H393" i="9"/>
  <c r="G393" i="9"/>
  <c r="F393" i="9"/>
  <c r="E393" i="9"/>
  <c r="D393" i="9"/>
  <c r="C393" i="9"/>
  <c r="B393" i="9"/>
  <c r="A393" i="9"/>
  <c r="W392" i="9"/>
  <c r="V392" i="9"/>
  <c r="U392" i="9"/>
  <c r="T392" i="9"/>
  <c r="S392" i="9"/>
  <c r="R392" i="9"/>
  <c r="Q392" i="9"/>
  <c r="P392" i="9"/>
  <c r="O392" i="9"/>
  <c r="N392" i="9"/>
  <c r="M392" i="9"/>
  <c r="L392" i="9"/>
  <c r="K392" i="9"/>
  <c r="J392" i="9"/>
  <c r="I392" i="9"/>
  <c r="H392" i="9"/>
  <c r="G392" i="9"/>
  <c r="F392" i="9"/>
  <c r="E392" i="9"/>
  <c r="D392" i="9"/>
  <c r="C392" i="9"/>
  <c r="B392" i="9"/>
  <c r="A392" i="9"/>
  <c r="W391" i="9"/>
  <c r="V391" i="9"/>
  <c r="U391" i="9"/>
  <c r="T391" i="9"/>
  <c r="S391" i="9"/>
  <c r="R391" i="9"/>
  <c r="Q391" i="9"/>
  <c r="P391" i="9"/>
  <c r="O391" i="9"/>
  <c r="N391" i="9"/>
  <c r="M391" i="9"/>
  <c r="L391" i="9"/>
  <c r="K391" i="9"/>
  <c r="J391" i="9"/>
  <c r="I391" i="9"/>
  <c r="H391" i="9"/>
  <c r="G391" i="9"/>
  <c r="F391" i="9"/>
  <c r="E391" i="9"/>
  <c r="D391" i="9"/>
  <c r="C391" i="9"/>
  <c r="B391" i="9"/>
  <c r="A391" i="9"/>
  <c r="W390" i="9"/>
  <c r="V390" i="9"/>
  <c r="U390" i="9"/>
  <c r="T390" i="9"/>
  <c r="S390" i="9"/>
  <c r="R390" i="9"/>
  <c r="Q390" i="9"/>
  <c r="P390" i="9"/>
  <c r="O390" i="9"/>
  <c r="N390" i="9"/>
  <c r="M390" i="9"/>
  <c r="L390" i="9"/>
  <c r="K390" i="9"/>
  <c r="J390" i="9"/>
  <c r="I390" i="9"/>
  <c r="H390" i="9"/>
  <c r="G390" i="9"/>
  <c r="F390" i="9"/>
  <c r="E390" i="9"/>
  <c r="D390" i="9"/>
  <c r="C390" i="9"/>
  <c r="B390" i="9"/>
  <c r="A390" i="9"/>
  <c r="W389" i="9"/>
  <c r="V389" i="9"/>
  <c r="U389" i="9"/>
  <c r="T389" i="9"/>
  <c r="S389" i="9"/>
  <c r="R389" i="9"/>
  <c r="Q389" i="9"/>
  <c r="P389" i="9"/>
  <c r="O389" i="9"/>
  <c r="N389" i="9"/>
  <c r="M389" i="9"/>
  <c r="L389" i="9"/>
  <c r="K389" i="9"/>
  <c r="J389" i="9"/>
  <c r="I389" i="9"/>
  <c r="H389" i="9"/>
  <c r="G389" i="9"/>
  <c r="F389" i="9"/>
  <c r="E389" i="9"/>
  <c r="D389" i="9"/>
  <c r="C389" i="9"/>
  <c r="B389" i="9"/>
  <c r="A389" i="9"/>
  <c r="W388" i="9"/>
  <c r="V388" i="9"/>
  <c r="U388" i="9"/>
  <c r="T388" i="9"/>
  <c r="S388" i="9"/>
  <c r="R388" i="9"/>
  <c r="Q388" i="9"/>
  <c r="P388" i="9"/>
  <c r="O388" i="9"/>
  <c r="N388" i="9"/>
  <c r="M388" i="9"/>
  <c r="L388" i="9"/>
  <c r="K388" i="9"/>
  <c r="J388" i="9"/>
  <c r="I388" i="9"/>
  <c r="H388" i="9"/>
  <c r="G388" i="9"/>
  <c r="F388" i="9"/>
  <c r="E388" i="9"/>
  <c r="D388" i="9"/>
  <c r="C388" i="9"/>
  <c r="B388" i="9"/>
  <c r="A388" i="9"/>
  <c r="W387" i="9"/>
  <c r="V387" i="9"/>
  <c r="U387" i="9"/>
  <c r="T387" i="9"/>
  <c r="S387" i="9"/>
  <c r="R387" i="9"/>
  <c r="Q387" i="9"/>
  <c r="P387" i="9"/>
  <c r="O387" i="9"/>
  <c r="N387" i="9"/>
  <c r="M387" i="9"/>
  <c r="L387" i="9"/>
  <c r="K387" i="9"/>
  <c r="J387" i="9"/>
  <c r="I387" i="9"/>
  <c r="H387" i="9"/>
  <c r="G387" i="9"/>
  <c r="F387" i="9"/>
  <c r="E387" i="9"/>
  <c r="D387" i="9"/>
  <c r="C387" i="9"/>
  <c r="B387" i="9"/>
  <c r="A387" i="9"/>
  <c r="W386" i="9"/>
  <c r="V386" i="9"/>
  <c r="U386" i="9"/>
  <c r="T386" i="9"/>
  <c r="S386" i="9"/>
  <c r="R386" i="9"/>
  <c r="Q386" i="9"/>
  <c r="P386" i="9"/>
  <c r="O386" i="9"/>
  <c r="N386" i="9"/>
  <c r="M386" i="9"/>
  <c r="L386" i="9"/>
  <c r="K386" i="9"/>
  <c r="J386" i="9"/>
  <c r="I386" i="9"/>
  <c r="H386" i="9"/>
  <c r="G386" i="9"/>
  <c r="F386" i="9"/>
  <c r="E386" i="9"/>
  <c r="D386" i="9"/>
  <c r="C386" i="9"/>
  <c r="B386" i="9"/>
  <c r="A386" i="9"/>
  <c r="W385" i="9"/>
  <c r="V385" i="9"/>
  <c r="U385" i="9"/>
  <c r="T385" i="9"/>
  <c r="S385" i="9"/>
  <c r="R385" i="9"/>
  <c r="Q385" i="9"/>
  <c r="P385" i="9"/>
  <c r="O385" i="9"/>
  <c r="N385" i="9"/>
  <c r="M385" i="9"/>
  <c r="L385" i="9"/>
  <c r="K385" i="9"/>
  <c r="J385" i="9"/>
  <c r="I385" i="9"/>
  <c r="H385" i="9"/>
  <c r="G385" i="9"/>
  <c r="F385" i="9"/>
  <c r="E385" i="9"/>
  <c r="D385" i="9"/>
  <c r="C385" i="9"/>
  <c r="B385" i="9"/>
  <c r="A385" i="9"/>
  <c r="W384" i="9"/>
  <c r="V384" i="9"/>
  <c r="U384" i="9"/>
  <c r="T384" i="9"/>
  <c r="S384" i="9"/>
  <c r="R384" i="9"/>
  <c r="Q384" i="9"/>
  <c r="P384" i="9"/>
  <c r="O384" i="9"/>
  <c r="N384" i="9"/>
  <c r="M384" i="9"/>
  <c r="L384" i="9"/>
  <c r="K384" i="9"/>
  <c r="J384" i="9"/>
  <c r="I384" i="9"/>
  <c r="H384" i="9"/>
  <c r="G384" i="9"/>
  <c r="F384" i="9"/>
  <c r="E384" i="9"/>
  <c r="D384" i="9"/>
  <c r="C384" i="9"/>
  <c r="B384" i="9"/>
  <c r="A384" i="9"/>
  <c r="W383" i="9"/>
  <c r="V383" i="9"/>
  <c r="U383" i="9"/>
  <c r="T383" i="9"/>
  <c r="S383" i="9"/>
  <c r="R383" i="9"/>
  <c r="Q383" i="9"/>
  <c r="P383" i="9"/>
  <c r="O383" i="9"/>
  <c r="N383" i="9"/>
  <c r="M383" i="9"/>
  <c r="L383" i="9"/>
  <c r="K383" i="9"/>
  <c r="J383" i="9"/>
  <c r="I383" i="9"/>
  <c r="H383" i="9"/>
  <c r="G383" i="9"/>
  <c r="F383" i="9"/>
  <c r="E383" i="9"/>
  <c r="D383" i="9"/>
  <c r="C383" i="9"/>
  <c r="B383" i="9"/>
  <c r="A383" i="9"/>
  <c r="W382" i="9"/>
  <c r="V382" i="9"/>
  <c r="U382" i="9"/>
  <c r="T382" i="9"/>
  <c r="S382" i="9"/>
  <c r="R382" i="9"/>
  <c r="Q382" i="9"/>
  <c r="P382" i="9"/>
  <c r="O382" i="9"/>
  <c r="N382" i="9"/>
  <c r="M382" i="9"/>
  <c r="L382" i="9"/>
  <c r="K382" i="9"/>
  <c r="J382" i="9"/>
  <c r="I382" i="9"/>
  <c r="H382" i="9"/>
  <c r="G382" i="9"/>
  <c r="F382" i="9"/>
  <c r="E382" i="9"/>
  <c r="D382" i="9"/>
  <c r="C382" i="9"/>
  <c r="B382" i="9"/>
  <c r="A382" i="9"/>
  <c r="W381" i="9"/>
  <c r="V381" i="9"/>
  <c r="U381" i="9"/>
  <c r="T381" i="9"/>
  <c r="S381" i="9"/>
  <c r="R381" i="9"/>
  <c r="Q381" i="9"/>
  <c r="P381" i="9"/>
  <c r="O381" i="9"/>
  <c r="N381" i="9"/>
  <c r="M381" i="9"/>
  <c r="L381" i="9"/>
  <c r="K381" i="9"/>
  <c r="J381" i="9"/>
  <c r="I381" i="9"/>
  <c r="H381" i="9"/>
  <c r="G381" i="9"/>
  <c r="F381" i="9"/>
  <c r="E381" i="9"/>
  <c r="D381" i="9"/>
  <c r="C381" i="9"/>
  <c r="B381" i="9"/>
  <c r="A381" i="9"/>
  <c r="W380" i="9"/>
  <c r="V380" i="9"/>
  <c r="U380" i="9"/>
  <c r="T380" i="9"/>
  <c r="S380" i="9"/>
  <c r="R380" i="9"/>
  <c r="Q380" i="9"/>
  <c r="P380" i="9"/>
  <c r="O380" i="9"/>
  <c r="N380" i="9"/>
  <c r="M380" i="9"/>
  <c r="L380" i="9"/>
  <c r="K380" i="9"/>
  <c r="J380" i="9"/>
  <c r="I380" i="9"/>
  <c r="H380" i="9"/>
  <c r="G380" i="9"/>
  <c r="F380" i="9"/>
  <c r="E380" i="9"/>
  <c r="D380" i="9"/>
  <c r="C380" i="9"/>
  <c r="B380" i="9"/>
  <c r="A380" i="9"/>
  <c r="W379" i="9"/>
  <c r="V379" i="9"/>
  <c r="U379" i="9"/>
  <c r="T379" i="9"/>
  <c r="S379" i="9"/>
  <c r="R379" i="9"/>
  <c r="Q379" i="9"/>
  <c r="P379" i="9"/>
  <c r="O379" i="9"/>
  <c r="N379" i="9"/>
  <c r="M379" i="9"/>
  <c r="L379" i="9"/>
  <c r="K379" i="9"/>
  <c r="J379" i="9"/>
  <c r="I379" i="9"/>
  <c r="H379" i="9"/>
  <c r="G379" i="9"/>
  <c r="F379" i="9"/>
  <c r="E379" i="9"/>
  <c r="D379" i="9"/>
  <c r="C379" i="9"/>
  <c r="B379" i="9"/>
  <c r="A379" i="9"/>
  <c r="W378" i="9"/>
  <c r="V378" i="9"/>
  <c r="U378" i="9"/>
  <c r="T378" i="9"/>
  <c r="S378" i="9"/>
  <c r="R378" i="9"/>
  <c r="Q378" i="9"/>
  <c r="P378" i="9"/>
  <c r="O378" i="9"/>
  <c r="N378" i="9"/>
  <c r="M378" i="9"/>
  <c r="L378" i="9"/>
  <c r="K378" i="9"/>
  <c r="J378" i="9"/>
  <c r="I378" i="9"/>
  <c r="H378" i="9"/>
  <c r="G378" i="9"/>
  <c r="F378" i="9"/>
  <c r="E378" i="9"/>
  <c r="D378" i="9"/>
  <c r="C378" i="9"/>
  <c r="B378" i="9"/>
  <c r="A378" i="9"/>
  <c r="W377" i="9"/>
  <c r="V377" i="9"/>
  <c r="U377" i="9"/>
  <c r="T377" i="9"/>
  <c r="S377" i="9"/>
  <c r="R377" i="9"/>
  <c r="Q377" i="9"/>
  <c r="P377" i="9"/>
  <c r="O377" i="9"/>
  <c r="N377" i="9"/>
  <c r="M377" i="9"/>
  <c r="L377" i="9"/>
  <c r="K377" i="9"/>
  <c r="J377" i="9"/>
  <c r="I377" i="9"/>
  <c r="H377" i="9"/>
  <c r="G377" i="9"/>
  <c r="F377" i="9"/>
  <c r="E377" i="9"/>
  <c r="D377" i="9"/>
  <c r="C377" i="9"/>
  <c r="B377" i="9"/>
  <c r="A377" i="9"/>
  <c r="W376" i="9"/>
  <c r="V376" i="9"/>
  <c r="U376" i="9"/>
  <c r="T376" i="9"/>
  <c r="S376" i="9"/>
  <c r="R376" i="9"/>
  <c r="Q376" i="9"/>
  <c r="P376" i="9"/>
  <c r="O376" i="9"/>
  <c r="N376" i="9"/>
  <c r="M376" i="9"/>
  <c r="L376" i="9"/>
  <c r="K376" i="9"/>
  <c r="J376" i="9"/>
  <c r="I376" i="9"/>
  <c r="H376" i="9"/>
  <c r="G376" i="9"/>
  <c r="F376" i="9"/>
  <c r="E376" i="9"/>
  <c r="D376" i="9"/>
  <c r="C376" i="9"/>
  <c r="B376" i="9"/>
  <c r="A376" i="9"/>
  <c r="W375" i="9"/>
  <c r="V375" i="9"/>
  <c r="U375" i="9"/>
  <c r="T375" i="9"/>
  <c r="S375" i="9"/>
  <c r="R375" i="9"/>
  <c r="Q375" i="9"/>
  <c r="P375" i="9"/>
  <c r="O375" i="9"/>
  <c r="N375" i="9"/>
  <c r="M375" i="9"/>
  <c r="L375" i="9"/>
  <c r="K375" i="9"/>
  <c r="J375" i="9"/>
  <c r="I375" i="9"/>
  <c r="H375" i="9"/>
  <c r="G375" i="9"/>
  <c r="F375" i="9"/>
  <c r="E375" i="9"/>
  <c r="D375" i="9"/>
  <c r="C375" i="9"/>
  <c r="B375" i="9"/>
  <c r="A375" i="9"/>
  <c r="W374" i="9"/>
  <c r="V374" i="9"/>
  <c r="U374" i="9"/>
  <c r="T374" i="9"/>
  <c r="S374" i="9"/>
  <c r="R374" i="9"/>
  <c r="Q374" i="9"/>
  <c r="P374" i="9"/>
  <c r="O374" i="9"/>
  <c r="N374" i="9"/>
  <c r="M374" i="9"/>
  <c r="L374" i="9"/>
  <c r="K374" i="9"/>
  <c r="J374" i="9"/>
  <c r="I374" i="9"/>
  <c r="H374" i="9"/>
  <c r="G374" i="9"/>
  <c r="F374" i="9"/>
  <c r="E374" i="9"/>
  <c r="D374" i="9"/>
  <c r="C374" i="9"/>
  <c r="B374" i="9"/>
  <c r="A374" i="9"/>
  <c r="W373" i="9"/>
  <c r="V373" i="9"/>
  <c r="U373" i="9"/>
  <c r="T373" i="9"/>
  <c r="S373" i="9"/>
  <c r="R373" i="9"/>
  <c r="Q373" i="9"/>
  <c r="P373" i="9"/>
  <c r="O373" i="9"/>
  <c r="N373" i="9"/>
  <c r="M373" i="9"/>
  <c r="L373" i="9"/>
  <c r="K373" i="9"/>
  <c r="J373" i="9"/>
  <c r="I373" i="9"/>
  <c r="H373" i="9"/>
  <c r="G373" i="9"/>
  <c r="F373" i="9"/>
  <c r="E373" i="9"/>
  <c r="D373" i="9"/>
  <c r="C373" i="9"/>
  <c r="B373" i="9"/>
  <c r="A373" i="9"/>
  <c r="W372" i="9"/>
  <c r="V372" i="9"/>
  <c r="U372" i="9"/>
  <c r="T372" i="9"/>
  <c r="S372" i="9"/>
  <c r="R372" i="9"/>
  <c r="Q372" i="9"/>
  <c r="P372" i="9"/>
  <c r="O372" i="9"/>
  <c r="N372" i="9"/>
  <c r="M372" i="9"/>
  <c r="L372" i="9"/>
  <c r="K372" i="9"/>
  <c r="J372" i="9"/>
  <c r="I372" i="9"/>
  <c r="H372" i="9"/>
  <c r="G372" i="9"/>
  <c r="F372" i="9"/>
  <c r="E372" i="9"/>
  <c r="D372" i="9"/>
  <c r="C372" i="9"/>
  <c r="B372" i="9"/>
  <c r="A372" i="9"/>
  <c r="W371" i="9"/>
  <c r="V371" i="9"/>
  <c r="U371" i="9"/>
  <c r="T371" i="9"/>
  <c r="S371" i="9"/>
  <c r="R371" i="9"/>
  <c r="Q371" i="9"/>
  <c r="P371" i="9"/>
  <c r="O371" i="9"/>
  <c r="N371" i="9"/>
  <c r="M371" i="9"/>
  <c r="L371" i="9"/>
  <c r="K371" i="9"/>
  <c r="J371" i="9"/>
  <c r="I371" i="9"/>
  <c r="H371" i="9"/>
  <c r="G371" i="9"/>
  <c r="F371" i="9"/>
  <c r="E371" i="9"/>
  <c r="D371" i="9"/>
  <c r="C371" i="9"/>
  <c r="B371" i="9"/>
  <c r="A371" i="9"/>
  <c r="W370" i="9"/>
  <c r="V370" i="9"/>
  <c r="U370" i="9"/>
  <c r="T370" i="9"/>
  <c r="S370" i="9"/>
  <c r="R370" i="9"/>
  <c r="Q370" i="9"/>
  <c r="P370" i="9"/>
  <c r="O370" i="9"/>
  <c r="N370" i="9"/>
  <c r="M370" i="9"/>
  <c r="L370" i="9"/>
  <c r="K370" i="9"/>
  <c r="J370" i="9"/>
  <c r="I370" i="9"/>
  <c r="H370" i="9"/>
  <c r="G370" i="9"/>
  <c r="F370" i="9"/>
  <c r="E370" i="9"/>
  <c r="D370" i="9"/>
  <c r="C370" i="9"/>
  <c r="B370" i="9"/>
  <c r="A370" i="9"/>
  <c r="W369" i="9"/>
  <c r="V369" i="9"/>
  <c r="U369" i="9"/>
  <c r="T369" i="9"/>
  <c r="S369" i="9"/>
  <c r="R369" i="9"/>
  <c r="Q369" i="9"/>
  <c r="P369" i="9"/>
  <c r="O369" i="9"/>
  <c r="N369" i="9"/>
  <c r="M369" i="9"/>
  <c r="L369" i="9"/>
  <c r="K369" i="9"/>
  <c r="J369" i="9"/>
  <c r="I369" i="9"/>
  <c r="H369" i="9"/>
  <c r="G369" i="9"/>
  <c r="F369" i="9"/>
  <c r="E369" i="9"/>
  <c r="D369" i="9"/>
  <c r="C369" i="9"/>
  <c r="B369" i="9"/>
  <c r="A369" i="9"/>
  <c r="W368" i="9"/>
  <c r="V368" i="9"/>
  <c r="U368" i="9"/>
  <c r="T368" i="9"/>
  <c r="S368" i="9"/>
  <c r="R368" i="9"/>
  <c r="Q368" i="9"/>
  <c r="P368" i="9"/>
  <c r="O368" i="9"/>
  <c r="N368" i="9"/>
  <c r="M368" i="9"/>
  <c r="L368" i="9"/>
  <c r="K368" i="9"/>
  <c r="J368" i="9"/>
  <c r="I368" i="9"/>
  <c r="H368" i="9"/>
  <c r="G368" i="9"/>
  <c r="F368" i="9"/>
  <c r="E368" i="9"/>
  <c r="D368" i="9"/>
  <c r="C368" i="9"/>
  <c r="B368" i="9"/>
  <c r="A368" i="9"/>
  <c r="W367" i="9"/>
  <c r="V367" i="9"/>
  <c r="U367" i="9"/>
  <c r="T367" i="9"/>
  <c r="S367" i="9"/>
  <c r="R367" i="9"/>
  <c r="Q367" i="9"/>
  <c r="P367" i="9"/>
  <c r="O367" i="9"/>
  <c r="N367" i="9"/>
  <c r="M367" i="9"/>
  <c r="L367" i="9"/>
  <c r="K367" i="9"/>
  <c r="J367" i="9"/>
  <c r="I367" i="9"/>
  <c r="H367" i="9"/>
  <c r="G367" i="9"/>
  <c r="F367" i="9"/>
  <c r="E367" i="9"/>
  <c r="D367" i="9"/>
  <c r="C367" i="9"/>
  <c r="B367" i="9"/>
  <c r="A367" i="9"/>
  <c r="W366" i="9"/>
  <c r="V366" i="9"/>
  <c r="U366" i="9"/>
  <c r="T366" i="9"/>
  <c r="S366" i="9"/>
  <c r="R366" i="9"/>
  <c r="Q366" i="9"/>
  <c r="P366" i="9"/>
  <c r="O366" i="9"/>
  <c r="N366" i="9"/>
  <c r="M366" i="9"/>
  <c r="L366" i="9"/>
  <c r="K366" i="9"/>
  <c r="J366" i="9"/>
  <c r="I366" i="9"/>
  <c r="H366" i="9"/>
  <c r="G366" i="9"/>
  <c r="F366" i="9"/>
  <c r="E366" i="9"/>
  <c r="D366" i="9"/>
  <c r="C366" i="9"/>
  <c r="B366" i="9"/>
  <c r="A366" i="9"/>
  <c r="W365" i="9"/>
  <c r="V365" i="9"/>
  <c r="U365" i="9"/>
  <c r="T365" i="9"/>
  <c r="S365" i="9"/>
  <c r="R365" i="9"/>
  <c r="Q365" i="9"/>
  <c r="P365" i="9"/>
  <c r="O365" i="9"/>
  <c r="N365" i="9"/>
  <c r="M365" i="9"/>
  <c r="L365" i="9"/>
  <c r="K365" i="9"/>
  <c r="J365" i="9"/>
  <c r="I365" i="9"/>
  <c r="H365" i="9"/>
  <c r="G365" i="9"/>
  <c r="F365" i="9"/>
  <c r="E365" i="9"/>
  <c r="D365" i="9"/>
  <c r="C365" i="9"/>
  <c r="B365" i="9"/>
  <c r="A365" i="9"/>
  <c r="W364" i="9"/>
  <c r="V364" i="9"/>
  <c r="U364" i="9"/>
  <c r="T364" i="9"/>
  <c r="S364" i="9"/>
  <c r="R364" i="9"/>
  <c r="Q364" i="9"/>
  <c r="P364" i="9"/>
  <c r="O364" i="9"/>
  <c r="N364" i="9"/>
  <c r="M364" i="9"/>
  <c r="L364" i="9"/>
  <c r="K364" i="9"/>
  <c r="J364" i="9"/>
  <c r="I364" i="9"/>
  <c r="H364" i="9"/>
  <c r="G364" i="9"/>
  <c r="F364" i="9"/>
  <c r="E364" i="9"/>
  <c r="D364" i="9"/>
  <c r="C364" i="9"/>
  <c r="B364" i="9"/>
  <c r="A364" i="9"/>
  <c r="W363" i="9"/>
  <c r="V363" i="9"/>
  <c r="U363" i="9"/>
  <c r="T363" i="9"/>
  <c r="S363" i="9"/>
  <c r="R363" i="9"/>
  <c r="Q363" i="9"/>
  <c r="P363" i="9"/>
  <c r="O363" i="9"/>
  <c r="N363" i="9"/>
  <c r="M363" i="9"/>
  <c r="L363" i="9"/>
  <c r="K363" i="9"/>
  <c r="J363" i="9"/>
  <c r="I363" i="9"/>
  <c r="H363" i="9"/>
  <c r="G363" i="9"/>
  <c r="F363" i="9"/>
  <c r="E363" i="9"/>
  <c r="D363" i="9"/>
  <c r="C363" i="9"/>
  <c r="B363" i="9"/>
  <c r="A363" i="9"/>
  <c r="W362" i="9"/>
  <c r="V362" i="9"/>
  <c r="U362" i="9"/>
  <c r="T362" i="9"/>
  <c r="S362" i="9"/>
  <c r="R362" i="9"/>
  <c r="Q362" i="9"/>
  <c r="P362" i="9"/>
  <c r="O362" i="9"/>
  <c r="N362" i="9"/>
  <c r="M362" i="9"/>
  <c r="L362" i="9"/>
  <c r="K362" i="9"/>
  <c r="J362" i="9"/>
  <c r="I362" i="9"/>
  <c r="H362" i="9"/>
  <c r="G362" i="9"/>
  <c r="F362" i="9"/>
  <c r="E362" i="9"/>
  <c r="D362" i="9"/>
  <c r="C362" i="9"/>
  <c r="B362" i="9"/>
  <c r="A362" i="9"/>
  <c r="W361" i="9"/>
  <c r="V361" i="9"/>
  <c r="U361" i="9"/>
  <c r="T361" i="9"/>
  <c r="S361" i="9"/>
  <c r="R361" i="9"/>
  <c r="Q361" i="9"/>
  <c r="P361" i="9"/>
  <c r="O361" i="9"/>
  <c r="N361" i="9"/>
  <c r="M361" i="9"/>
  <c r="L361" i="9"/>
  <c r="K361" i="9"/>
  <c r="J361" i="9"/>
  <c r="I361" i="9"/>
  <c r="H361" i="9"/>
  <c r="G361" i="9"/>
  <c r="F361" i="9"/>
  <c r="E361" i="9"/>
  <c r="D361" i="9"/>
  <c r="C361" i="9"/>
  <c r="B361" i="9"/>
  <c r="A361" i="9"/>
  <c r="W360" i="9"/>
  <c r="V360" i="9"/>
  <c r="U360" i="9"/>
  <c r="T360" i="9"/>
  <c r="S360" i="9"/>
  <c r="R360" i="9"/>
  <c r="Q360" i="9"/>
  <c r="P360" i="9"/>
  <c r="O360" i="9"/>
  <c r="N360" i="9"/>
  <c r="M360" i="9"/>
  <c r="L360" i="9"/>
  <c r="K360" i="9"/>
  <c r="J360" i="9"/>
  <c r="I360" i="9"/>
  <c r="H360" i="9"/>
  <c r="G360" i="9"/>
  <c r="F360" i="9"/>
  <c r="E360" i="9"/>
  <c r="D360" i="9"/>
  <c r="C360" i="9"/>
  <c r="B360" i="9"/>
  <c r="A360" i="9"/>
  <c r="W359" i="9"/>
  <c r="V359" i="9"/>
  <c r="U359" i="9"/>
  <c r="T359" i="9"/>
  <c r="S359" i="9"/>
  <c r="R359" i="9"/>
  <c r="Q359" i="9"/>
  <c r="P359" i="9"/>
  <c r="O359" i="9"/>
  <c r="N359" i="9"/>
  <c r="M359" i="9"/>
  <c r="L359" i="9"/>
  <c r="K359" i="9"/>
  <c r="J359" i="9"/>
  <c r="I359" i="9"/>
  <c r="H359" i="9"/>
  <c r="G359" i="9"/>
  <c r="F359" i="9"/>
  <c r="E359" i="9"/>
  <c r="D359" i="9"/>
  <c r="C359" i="9"/>
  <c r="B359" i="9"/>
  <c r="A359" i="9"/>
  <c r="W358" i="9"/>
  <c r="V358" i="9"/>
  <c r="U358" i="9"/>
  <c r="T358" i="9"/>
  <c r="S358" i="9"/>
  <c r="R358" i="9"/>
  <c r="Q358" i="9"/>
  <c r="P358" i="9"/>
  <c r="O358" i="9"/>
  <c r="N358" i="9"/>
  <c r="M358" i="9"/>
  <c r="L358" i="9"/>
  <c r="K358" i="9"/>
  <c r="J358" i="9"/>
  <c r="I358" i="9"/>
  <c r="H358" i="9"/>
  <c r="G358" i="9"/>
  <c r="F358" i="9"/>
  <c r="E358" i="9"/>
  <c r="D358" i="9"/>
  <c r="C358" i="9"/>
  <c r="B358" i="9"/>
  <c r="A358" i="9"/>
  <c r="W357" i="9"/>
  <c r="V357" i="9"/>
  <c r="U357" i="9"/>
  <c r="T357" i="9"/>
  <c r="S357" i="9"/>
  <c r="R357" i="9"/>
  <c r="Q357" i="9"/>
  <c r="P357" i="9"/>
  <c r="O357" i="9"/>
  <c r="N357" i="9"/>
  <c r="M357" i="9"/>
  <c r="L357" i="9"/>
  <c r="K357" i="9"/>
  <c r="J357" i="9"/>
  <c r="I357" i="9"/>
  <c r="H357" i="9"/>
  <c r="G357" i="9"/>
  <c r="F357" i="9"/>
  <c r="E357" i="9"/>
  <c r="D357" i="9"/>
  <c r="C357" i="9"/>
  <c r="B357" i="9"/>
  <c r="A357" i="9"/>
  <c r="W356" i="9"/>
  <c r="V356" i="9"/>
  <c r="U356" i="9"/>
  <c r="T356" i="9"/>
  <c r="S356" i="9"/>
  <c r="R356" i="9"/>
  <c r="Q356" i="9"/>
  <c r="P356" i="9"/>
  <c r="O356" i="9"/>
  <c r="N356" i="9"/>
  <c r="M356" i="9"/>
  <c r="L356" i="9"/>
  <c r="K356" i="9"/>
  <c r="J356" i="9"/>
  <c r="I356" i="9"/>
  <c r="H356" i="9"/>
  <c r="G356" i="9"/>
  <c r="F356" i="9"/>
  <c r="E356" i="9"/>
  <c r="D356" i="9"/>
  <c r="C356" i="9"/>
  <c r="B356" i="9"/>
  <c r="A356" i="9"/>
  <c r="W355" i="9"/>
  <c r="V355" i="9"/>
  <c r="U355" i="9"/>
  <c r="T355" i="9"/>
  <c r="S355" i="9"/>
  <c r="R355" i="9"/>
  <c r="Q355" i="9"/>
  <c r="P355" i="9"/>
  <c r="O355" i="9"/>
  <c r="N355" i="9"/>
  <c r="M355" i="9"/>
  <c r="L355" i="9"/>
  <c r="K355" i="9"/>
  <c r="J355" i="9"/>
  <c r="I355" i="9"/>
  <c r="H355" i="9"/>
  <c r="G355" i="9"/>
  <c r="F355" i="9"/>
  <c r="E355" i="9"/>
  <c r="D355" i="9"/>
  <c r="C355" i="9"/>
  <c r="B355" i="9"/>
  <c r="A355" i="9"/>
  <c r="W354" i="9"/>
  <c r="V354" i="9"/>
  <c r="U354" i="9"/>
  <c r="T354" i="9"/>
  <c r="S354" i="9"/>
  <c r="R354" i="9"/>
  <c r="Q354" i="9"/>
  <c r="P354" i="9"/>
  <c r="O354" i="9"/>
  <c r="N354" i="9"/>
  <c r="M354" i="9"/>
  <c r="L354" i="9"/>
  <c r="K354" i="9"/>
  <c r="J354" i="9"/>
  <c r="I354" i="9"/>
  <c r="H354" i="9"/>
  <c r="G354" i="9"/>
  <c r="F354" i="9"/>
  <c r="E354" i="9"/>
  <c r="D354" i="9"/>
  <c r="C354" i="9"/>
  <c r="B354" i="9"/>
  <c r="A354" i="9"/>
  <c r="W353" i="9"/>
  <c r="V353" i="9"/>
  <c r="U353" i="9"/>
  <c r="T353" i="9"/>
  <c r="S353" i="9"/>
  <c r="R353" i="9"/>
  <c r="Q353" i="9"/>
  <c r="P353" i="9"/>
  <c r="O353" i="9"/>
  <c r="N353" i="9"/>
  <c r="M353" i="9"/>
  <c r="L353" i="9"/>
  <c r="K353" i="9"/>
  <c r="J353" i="9"/>
  <c r="I353" i="9"/>
  <c r="H353" i="9"/>
  <c r="G353" i="9"/>
  <c r="F353" i="9"/>
  <c r="E353" i="9"/>
  <c r="D353" i="9"/>
  <c r="C353" i="9"/>
  <c r="B353" i="9"/>
  <c r="A353" i="9"/>
  <c r="W352" i="9"/>
  <c r="V352" i="9"/>
  <c r="U352" i="9"/>
  <c r="T352" i="9"/>
  <c r="S352" i="9"/>
  <c r="R352" i="9"/>
  <c r="Q352" i="9"/>
  <c r="P352" i="9"/>
  <c r="O352" i="9"/>
  <c r="N352" i="9"/>
  <c r="M352" i="9"/>
  <c r="L352" i="9"/>
  <c r="K352" i="9"/>
  <c r="J352" i="9"/>
  <c r="I352" i="9"/>
  <c r="H352" i="9"/>
  <c r="G352" i="9"/>
  <c r="F352" i="9"/>
  <c r="E352" i="9"/>
  <c r="D352" i="9"/>
  <c r="C352" i="9"/>
  <c r="B352" i="9"/>
  <c r="A352" i="9"/>
  <c r="W351" i="9"/>
  <c r="V351" i="9"/>
  <c r="U351" i="9"/>
  <c r="T351" i="9"/>
  <c r="S351" i="9"/>
  <c r="R351" i="9"/>
  <c r="Q351" i="9"/>
  <c r="P351" i="9"/>
  <c r="O351" i="9"/>
  <c r="N351" i="9"/>
  <c r="M351" i="9"/>
  <c r="L351" i="9"/>
  <c r="K351" i="9"/>
  <c r="J351" i="9"/>
  <c r="I351" i="9"/>
  <c r="H351" i="9"/>
  <c r="G351" i="9"/>
  <c r="F351" i="9"/>
  <c r="E351" i="9"/>
  <c r="D351" i="9"/>
  <c r="C351" i="9"/>
  <c r="B351" i="9"/>
  <c r="A351" i="9"/>
  <c r="W350" i="9"/>
  <c r="V350" i="9"/>
  <c r="U350" i="9"/>
  <c r="T350" i="9"/>
  <c r="S350" i="9"/>
  <c r="R350" i="9"/>
  <c r="Q350" i="9"/>
  <c r="P350" i="9"/>
  <c r="O350" i="9"/>
  <c r="N350" i="9"/>
  <c r="M350" i="9"/>
  <c r="L350" i="9"/>
  <c r="K350" i="9"/>
  <c r="J350" i="9"/>
  <c r="I350" i="9"/>
  <c r="H350" i="9"/>
  <c r="G350" i="9"/>
  <c r="F350" i="9"/>
  <c r="E350" i="9"/>
  <c r="D350" i="9"/>
  <c r="C350" i="9"/>
  <c r="B350" i="9"/>
  <c r="A350" i="9"/>
  <c r="W349" i="9"/>
  <c r="V349" i="9"/>
  <c r="U349" i="9"/>
  <c r="T349" i="9"/>
  <c r="S349" i="9"/>
  <c r="R349" i="9"/>
  <c r="Q349" i="9"/>
  <c r="P349" i="9"/>
  <c r="O349" i="9"/>
  <c r="N349" i="9"/>
  <c r="M349" i="9"/>
  <c r="L349" i="9"/>
  <c r="K349" i="9"/>
  <c r="J349" i="9"/>
  <c r="I349" i="9"/>
  <c r="H349" i="9"/>
  <c r="G349" i="9"/>
  <c r="F349" i="9"/>
  <c r="E349" i="9"/>
  <c r="D349" i="9"/>
  <c r="C349" i="9"/>
  <c r="B349" i="9"/>
  <c r="A349" i="9"/>
  <c r="W348" i="9"/>
  <c r="V348" i="9"/>
  <c r="U348" i="9"/>
  <c r="T348" i="9"/>
  <c r="S348" i="9"/>
  <c r="R348" i="9"/>
  <c r="Q348" i="9"/>
  <c r="P348" i="9"/>
  <c r="O348" i="9"/>
  <c r="N348" i="9"/>
  <c r="M348" i="9"/>
  <c r="L348" i="9"/>
  <c r="K348" i="9"/>
  <c r="J348" i="9"/>
  <c r="I348" i="9"/>
  <c r="H348" i="9"/>
  <c r="G348" i="9"/>
  <c r="F348" i="9"/>
  <c r="E348" i="9"/>
  <c r="D348" i="9"/>
  <c r="C348" i="9"/>
  <c r="B348" i="9"/>
  <c r="A348" i="9"/>
  <c r="W347" i="9"/>
  <c r="V347" i="9"/>
  <c r="U347" i="9"/>
  <c r="T347" i="9"/>
  <c r="S347" i="9"/>
  <c r="R347" i="9"/>
  <c r="Q347" i="9"/>
  <c r="P347" i="9"/>
  <c r="O347" i="9"/>
  <c r="N347" i="9"/>
  <c r="M347" i="9"/>
  <c r="L347" i="9"/>
  <c r="K347" i="9"/>
  <c r="J347" i="9"/>
  <c r="I347" i="9"/>
  <c r="H347" i="9"/>
  <c r="G347" i="9"/>
  <c r="F347" i="9"/>
  <c r="E347" i="9"/>
  <c r="D347" i="9"/>
  <c r="C347" i="9"/>
  <c r="B347" i="9"/>
  <c r="A347" i="9"/>
  <c r="W346" i="9"/>
  <c r="V346" i="9"/>
  <c r="U346" i="9"/>
  <c r="T346" i="9"/>
  <c r="S346" i="9"/>
  <c r="R346" i="9"/>
  <c r="Q346" i="9"/>
  <c r="P346" i="9"/>
  <c r="O346" i="9"/>
  <c r="N346" i="9"/>
  <c r="M346" i="9"/>
  <c r="L346" i="9"/>
  <c r="K346" i="9"/>
  <c r="J346" i="9"/>
  <c r="I346" i="9"/>
  <c r="H346" i="9"/>
  <c r="G346" i="9"/>
  <c r="F346" i="9"/>
  <c r="E346" i="9"/>
  <c r="D346" i="9"/>
  <c r="C346" i="9"/>
  <c r="B346" i="9"/>
  <c r="A346" i="9"/>
  <c r="W345" i="9"/>
  <c r="V345" i="9"/>
  <c r="U345" i="9"/>
  <c r="T345" i="9"/>
  <c r="S345" i="9"/>
  <c r="R345" i="9"/>
  <c r="Q345" i="9"/>
  <c r="P345" i="9"/>
  <c r="O345" i="9"/>
  <c r="N345" i="9"/>
  <c r="M345" i="9"/>
  <c r="L345" i="9"/>
  <c r="K345" i="9"/>
  <c r="J345" i="9"/>
  <c r="I345" i="9"/>
  <c r="H345" i="9"/>
  <c r="G345" i="9"/>
  <c r="F345" i="9"/>
  <c r="E345" i="9"/>
  <c r="D345" i="9"/>
  <c r="C345" i="9"/>
  <c r="B345" i="9"/>
  <c r="A345" i="9"/>
  <c r="W344" i="9"/>
  <c r="V344" i="9"/>
  <c r="U344" i="9"/>
  <c r="T344" i="9"/>
  <c r="S344" i="9"/>
  <c r="R344" i="9"/>
  <c r="Q344" i="9"/>
  <c r="P344" i="9"/>
  <c r="O344" i="9"/>
  <c r="N344" i="9"/>
  <c r="M344" i="9"/>
  <c r="L344" i="9"/>
  <c r="K344" i="9"/>
  <c r="J344" i="9"/>
  <c r="I344" i="9"/>
  <c r="H344" i="9"/>
  <c r="G344" i="9"/>
  <c r="F344" i="9"/>
  <c r="E344" i="9"/>
  <c r="D344" i="9"/>
  <c r="C344" i="9"/>
  <c r="B344" i="9"/>
  <c r="A344" i="9"/>
  <c r="W343" i="9"/>
  <c r="V343" i="9"/>
  <c r="U343" i="9"/>
  <c r="T343" i="9"/>
  <c r="S343" i="9"/>
  <c r="R343" i="9"/>
  <c r="Q343" i="9"/>
  <c r="P343" i="9"/>
  <c r="O343" i="9"/>
  <c r="N343" i="9"/>
  <c r="M343" i="9"/>
  <c r="L343" i="9"/>
  <c r="K343" i="9"/>
  <c r="J343" i="9"/>
  <c r="I343" i="9"/>
  <c r="H343" i="9"/>
  <c r="G343" i="9"/>
  <c r="F343" i="9"/>
  <c r="E343" i="9"/>
  <c r="D343" i="9"/>
  <c r="C343" i="9"/>
  <c r="B343" i="9"/>
  <c r="A343" i="9"/>
  <c r="W342" i="9"/>
  <c r="V342" i="9"/>
  <c r="U342" i="9"/>
  <c r="T342" i="9"/>
  <c r="S342" i="9"/>
  <c r="R342" i="9"/>
  <c r="Q342" i="9"/>
  <c r="P342" i="9"/>
  <c r="O342" i="9"/>
  <c r="N342" i="9"/>
  <c r="M342" i="9"/>
  <c r="L342" i="9"/>
  <c r="K342" i="9"/>
  <c r="J342" i="9"/>
  <c r="I342" i="9"/>
  <c r="H342" i="9"/>
  <c r="G342" i="9"/>
  <c r="F342" i="9"/>
  <c r="E342" i="9"/>
  <c r="D342" i="9"/>
  <c r="C342" i="9"/>
  <c r="B342" i="9"/>
  <c r="A342" i="9"/>
  <c r="W341" i="9"/>
  <c r="V341" i="9"/>
  <c r="U341" i="9"/>
  <c r="T341" i="9"/>
  <c r="S341" i="9"/>
  <c r="R341" i="9"/>
  <c r="Q341" i="9"/>
  <c r="P341" i="9"/>
  <c r="O341" i="9"/>
  <c r="N341" i="9"/>
  <c r="M341" i="9"/>
  <c r="L341" i="9"/>
  <c r="K341" i="9"/>
  <c r="J341" i="9"/>
  <c r="I341" i="9"/>
  <c r="H341" i="9"/>
  <c r="G341" i="9"/>
  <c r="F341" i="9"/>
  <c r="E341" i="9"/>
  <c r="D341" i="9"/>
  <c r="C341" i="9"/>
  <c r="B341" i="9"/>
  <c r="A341" i="9"/>
  <c r="W340" i="9"/>
  <c r="V340" i="9"/>
  <c r="U340" i="9"/>
  <c r="T340" i="9"/>
  <c r="S340" i="9"/>
  <c r="R340" i="9"/>
  <c r="Q340" i="9"/>
  <c r="P340" i="9"/>
  <c r="O340" i="9"/>
  <c r="N340" i="9"/>
  <c r="M340" i="9"/>
  <c r="L340" i="9"/>
  <c r="K340" i="9"/>
  <c r="J340" i="9"/>
  <c r="I340" i="9"/>
  <c r="H340" i="9"/>
  <c r="G340" i="9"/>
  <c r="F340" i="9"/>
  <c r="E340" i="9"/>
  <c r="D340" i="9"/>
  <c r="C340" i="9"/>
  <c r="B340" i="9"/>
  <c r="A340" i="9"/>
  <c r="W339" i="9"/>
  <c r="V339" i="9"/>
  <c r="U339" i="9"/>
  <c r="T339" i="9"/>
  <c r="S339" i="9"/>
  <c r="R339" i="9"/>
  <c r="Q339" i="9"/>
  <c r="P339" i="9"/>
  <c r="O339" i="9"/>
  <c r="N339" i="9"/>
  <c r="M339" i="9"/>
  <c r="L339" i="9"/>
  <c r="K339" i="9"/>
  <c r="J339" i="9"/>
  <c r="I339" i="9"/>
  <c r="H339" i="9"/>
  <c r="G339" i="9"/>
  <c r="F339" i="9"/>
  <c r="E339" i="9"/>
  <c r="D339" i="9"/>
  <c r="C339" i="9"/>
  <c r="B339" i="9"/>
  <c r="A339" i="9"/>
  <c r="W338" i="9"/>
  <c r="V338" i="9"/>
  <c r="U338" i="9"/>
  <c r="T338" i="9"/>
  <c r="S338" i="9"/>
  <c r="R338" i="9"/>
  <c r="Q338" i="9"/>
  <c r="P338" i="9"/>
  <c r="O338" i="9"/>
  <c r="N338" i="9"/>
  <c r="M338" i="9"/>
  <c r="L338" i="9"/>
  <c r="K338" i="9"/>
  <c r="J338" i="9"/>
  <c r="I338" i="9"/>
  <c r="H338" i="9"/>
  <c r="G338" i="9"/>
  <c r="F338" i="9"/>
  <c r="E338" i="9"/>
  <c r="D338" i="9"/>
  <c r="C338" i="9"/>
  <c r="B338" i="9"/>
  <c r="A338" i="9"/>
  <c r="W337" i="9"/>
  <c r="V337" i="9"/>
  <c r="U337" i="9"/>
  <c r="T337" i="9"/>
  <c r="S337" i="9"/>
  <c r="R337" i="9"/>
  <c r="Q337" i="9"/>
  <c r="P337" i="9"/>
  <c r="O337" i="9"/>
  <c r="N337" i="9"/>
  <c r="M337" i="9"/>
  <c r="L337" i="9"/>
  <c r="K337" i="9"/>
  <c r="J337" i="9"/>
  <c r="I337" i="9"/>
  <c r="H337" i="9"/>
  <c r="G337" i="9"/>
  <c r="F337" i="9"/>
  <c r="E337" i="9"/>
  <c r="D337" i="9"/>
  <c r="C337" i="9"/>
  <c r="B337" i="9"/>
  <c r="A337" i="9"/>
  <c r="W336" i="9"/>
  <c r="V336" i="9"/>
  <c r="U336" i="9"/>
  <c r="T336" i="9"/>
  <c r="S336" i="9"/>
  <c r="R336" i="9"/>
  <c r="Q336" i="9"/>
  <c r="P336" i="9"/>
  <c r="O336" i="9"/>
  <c r="N336" i="9"/>
  <c r="M336" i="9"/>
  <c r="L336" i="9"/>
  <c r="K336" i="9"/>
  <c r="J336" i="9"/>
  <c r="I336" i="9"/>
  <c r="H336" i="9"/>
  <c r="G336" i="9"/>
  <c r="F336" i="9"/>
  <c r="E336" i="9"/>
  <c r="D336" i="9"/>
  <c r="C336" i="9"/>
  <c r="B336" i="9"/>
  <c r="A336" i="9"/>
  <c r="W335" i="9"/>
  <c r="V335" i="9"/>
  <c r="U335" i="9"/>
  <c r="T335" i="9"/>
  <c r="S335" i="9"/>
  <c r="R335" i="9"/>
  <c r="Q335" i="9"/>
  <c r="P335" i="9"/>
  <c r="O335" i="9"/>
  <c r="N335" i="9"/>
  <c r="M335" i="9"/>
  <c r="L335" i="9"/>
  <c r="K335" i="9"/>
  <c r="J335" i="9"/>
  <c r="I335" i="9"/>
  <c r="H335" i="9"/>
  <c r="G335" i="9"/>
  <c r="F335" i="9"/>
  <c r="E335" i="9"/>
  <c r="D335" i="9"/>
  <c r="C335" i="9"/>
  <c r="B335" i="9"/>
  <c r="A335" i="9"/>
  <c r="W334" i="9"/>
  <c r="V334" i="9"/>
  <c r="U334" i="9"/>
  <c r="T334" i="9"/>
  <c r="S334" i="9"/>
  <c r="R334" i="9"/>
  <c r="Q334" i="9"/>
  <c r="P334" i="9"/>
  <c r="O334" i="9"/>
  <c r="N334" i="9"/>
  <c r="M334" i="9"/>
  <c r="L334" i="9"/>
  <c r="K334" i="9"/>
  <c r="J334" i="9"/>
  <c r="I334" i="9"/>
  <c r="H334" i="9"/>
  <c r="G334" i="9"/>
  <c r="F334" i="9"/>
  <c r="E334" i="9"/>
  <c r="D334" i="9"/>
  <c r="C334" i="9"/>
  <c r="B334" i="9"/>
  <c r="A334" i="9"/>
  <c r="W333" i="9"/>
  <c r="V333" i="9"/>
  <c r="U333" i="9"/>
  <c r="T333" i="9"/>
  <c r="S333" i="9"/>
  <c r="R333" i="9"/>
  <c r="Q333" i="9"/>
  <c r="P333" i="9"/>
  <c r="O333" i="9"/>
  <c r="N333" i="9"/>
  <c r="M333" i="9"/>
  <c r="L333" i="9"/>
  <c r="K333" i="9"/>
  <c r="J333" i="9"/>
  <c r="I333" i="9"/>
  <c r="H333" i="9"/>
  <c r="G333" i="9"/>
  <c r="F333" i="9"/>
  <c r="E333" i="9"/>
  <c r="D333" i="9"/>
  <c r="C333" i="9"/>
  <c r="B333" i="9"/>
  <c r="A333" i="9"/>
  <c r="W332" i="9"/>
  <c r="V332" i="9"/>
  <c r="U332" i="9"/>
  <c r="T332" i="9"/>
  <c r="S332" i="9"/>
  <c r="R332" i="9"/>
  <c r="Q332" i="9"/>
  <c r="P332" i="9"/>
  <c r="O332" i="9"/>
  <c r="N332" i="9"/>
  <c r="M332" i="9"/>
  <c r="L332" i="9"/>
  <c r="K332" i="9"/>
  <c r="J332" i="9"/>
  <c r="I332" i="9"/>
  <c r="H332" i="9"/>
  <c r="G332" i="9"/>
  <c r="F332" i="9"/>
  <c r="E332" i="9"/>
  <c r="D332" i="9"/>
  <c r="C332" i="9"/>
  <c r="B332" i="9"/>
  <c r="A332" i="9"/>
  <c r="W331" i="9"/>
  <c r="V331" i="9"/>
  <c r="U331" i="9"/>
  <c r="T331" i="9"/>
  <c r="S331" i="9"/>
  <c r="R331" i="9"/>
  <c r="Q331" i="9"/>
  <c r="P331" i="9"/>
  <c r="O331" i="9"/>
  <c r="N331" i="9"/>
  <c r="M331" i="9"/>
  <c r="L331" i="9"/>
  <c r="K331" i="9"/>
  <c r="J331" i="9"/>
  <c r="I331" i="9"/>
  <c r="H331" i="9"/>
  <c r="G331" i="9"/>
  <c r="F331" i="9"/>
  <c r="E331" i="9"/>
  <c r="D331" i="9"/>
  <c r="C331" i="9"/>
  <c r="B331" i="9"/>
  <c r="A331" i="9"/>
  <c r="W330" i="9"/>
  <c r="V330" i="9"/>
  <c r="U330" i="9"/>
  <c r="T330" i="9"/>
  <c r="S330" i="9"/>
  <c r="R330" i="9"/>
  <c r="Q330" i="9"/>
  <c r="P330" i="9"/>
  <c r="O330" i="9"/>
  <c r="N330" i="9"/>
  <c r="M330" i="9"/>
  <c r="L330" i="9"/>
  <c r="K330" i="9"/>
  <c r="J330" i="9"/>
  <c r="I330" i="9"/>
  <c r="H330" i="9"/>
  <c r="G330" i="9"/>
  <c r="F330" i="9"/>
  <c r="E330" i="9"/>
  <c r="D330" i="9"/>
  <c r="C330" i="9"/>
  <c r="B330" i="9"/>
  <c r="A330" i="9"/>
  <c r="W329" i="9"/>
  <c r="V329" i="9"/>
  <c r="U329" i="9"/>
  <c r="T329" i="9"/>
  <c r="S329" i="9"/>
  <c r="R329" i="9"/>
  <c r="Q329" i="9"/>
  <c r="P329" i="9"/>
  <c r="O329" i="9"/>
  <c r="N329" i="9"/>
  <c r="M329" i="9"/>
  <c r="L329" i="9"/>
  <c r="K329" i="9"/>
  <c r="J329" i="9"/>
  <c r="I329" i="9"/>
  <c r="H329" i="9"/>
  <c r="G329" i="9"/>
  <c r="F329" i="9"/>
  <c r="E329" i="9"/>
  <c r="D329" i="9"/>
  <c r="C329" i="9"/>
  <c r="B329" i="9"/>
  <c r="A329" i="9"/>
  <c r="W328" i="9"/>
  <c r="V328" i="9"/>
  <c r="U328" i="9"/>
  <c r="T328" i="9"/>
  <c r="S328" i="9"/>
  <c r="R328" i="9"/>
  <c r="Q328" i="9"/>
  <c r="P328" i="9"/>
  <c r="O328" i="9"/>
  <c r="N328" i="9"/>
  <c r="M328" i="9"/>
  <c r="L328" i="9"/>
  <c r="K328" i="9"/>
  <c r="J328" i="9"/>
  <c r="I328" i="9"/>
  <c r="H328" i="9"/>
  <c r="G328" i="9"/>
  <c r="F328" i="9"/>
  <c r="E328" i="9"/>
  <c r="D328" i="9"/>
  <c r="C328" i="9"/>
  <c r="B328" i="9"/>
  <c r="A328" i="9"/>
  <c r="W327" i="9"/>
  <c r="V327" i="9"/>
  <c r="U327" i="9"/>
  <c r="T327" i="9"/>
  <c r="S327" i="9"/>
  <c r="R327" i="9"/>
  <c r="Q327" i="9"/>
  <c r="P327" i="9"/>
  <c r="O327" i="9"/>
  <c r="N327" i="9"/>
  <c r="M327" i="9"/>
  <c r="L327" i="9"/>
  <c r="K327" i="9"/>
  <c r="J327" i="9"/>
  <c r="I327" i="9"/>
  <c r="H327" i="9"/>
  <c r="G327" i="9"/>
  <c r="F327" i="9"/>
  <c r="E327" i="9"/>
  <c r="D327" i="9"/>
  <c r="C327" i="9"/>
  <c r="B327" i="9"/>
  <c r="A327" i="9"/>
  <c r="W326" i="9"/>
  <c r="V326" i="9"/>
  <c r="U326" i="9"/>
  <c r="T326" i="9"/>
  <c r="S326" i="9"/>
  <c r="R326" i="9"/>
  <c r="Q326" i="9"/>
  <c r="P326" i="9"/>
  <c r="O326" i="9"/>
  <c r="N326" i="9"/>
  <c r="M326" i="9"/>
  <c r="L326" i="9"/>
  <c r="K326" i="9"/>
  <c r="J326" i="9"/>
  <c r="I326" i="9"/>
  <c r="H326" i="9"/>
  <c r="G326" i="9"/>
  <c r="F326" i="9"/>
  <c r="E326" i="9"/>
  <c r="D326" i="9"/>
  <c r="C326" i="9"/>
  <c r="B326" i="9"/>
  <c r="A326" i="9"/>
  <c r="W325" i="9"/>
  <c r="V325" i="9"/>
  <c r="U325" i="9"/>
  <c r="T325" i="9"/>
  <c r="S325" i="9"/>
  <c r="R325" i="9"/>
  <c r="Q325" i="9"/>
  <c r="P325" i="9"/>
  <c r="O325" i="9"/>
  <c r="N325" i="9"/>
  <c r="M325" i="9"/>
  <c r="L325" i="9"/>
  <c r="K325" i="9"/>
  <c r="J325" i="9"/>
  <c r="I325" i="9"/>
  <c r="H325" i="9"/>
  <c r="G325" i="9"/>
  <c r="F325" i="9"/>
  <c r="E325" i="9"/>
  <c r="D325" i="9"/>
  <c r="C325" i="9"/>
  <c r="B325" i="9"/>
  <c r="A325" i="9"/>
  <c r="W324" i="9"/>
  <c r="V324" i="9"/>
  <c r="U324" i="9"/>
  <c r="T324" i="9"/>
  <c r="S324" i="9"/>
  <c r="R324" i="9"/>
  <c r="Q324" i="9"/>
  <c r="P324" i="9"/>
  <c r="O324" i="9"/>
  <c r="N324" i="9"/>
  <c r="M324" i="9"/>
  <c r="L324" i="9"/>
  <c r="K324" i="9"/>
  <c r="J324" i="9"/>
  <c r="I324" i="9"/>
  <c r="H324" i="9"/>
  <c r="G324" i="9"/>
  <c r="F324" i="9"/>
  <c r="E324" i="9"/>
  <c r="D324" i="9"/>
  <c r="C324" i="9"/>
  <c r="B324" i="9"/>
  <c r="A324" i="9"/>
  <c r="W323" i="9"/>
  <c r="V323" i="9"/>
  <c r="U323" i="9"/>
  <c r="T323" i="9"/>
  <c r="S323" i="9"/>
  <c r="R323" i="9"/>
  <c r="Q323" i="9"/>
  <c r="P323" i="9"/>
  <c r="O323" i="9"/>
  <c r="N323" i="9"/>
  <c r="M323" i="9"/>
  <c r="L323" i="9"/>
  <c r="K323" i="9"/>
  <c r="J323" i="9"/>
  <c r="I323" i="9"/>
  <c r="H323" i="9"/>
  <c r="G323" i="9"/>
  <c r="F323" i="9"/>
  <c r="E323" i="9"/>
  <c r="D323" i="9"/>
  <c r="C323" i="9"/>
  <c r="B323" i="9"/>
  <c r="A323" i="9"/>
  <c r="W322" i="9"/>
  <c r="V322" i="9"/>
  <c r="U322" i="9"/>
  <c r="T322" i="9"/>
  <c r="S322" i="9"/>
  <c r="R322" i="9"/>
  <c r="Q322" i="9"/>
  <c r="P322" i="9"/>
  <c r="O322" i="9"/>
  <c r="N322" i="9"/>
  <c r="M322" i="9"/>
  <c r="L322" i="9"/>
  <c r="K322" i="9"/>
  <c r="J322" i="9"/>
  <c r="I322" i="9"/>
  <c r="H322" i="9"/>
  <c r="G322" i="9"/>
  <c r="F322" i="9"/>
  <c r="E322" i="9"/>
  <c r="D322" i="9"/>
  <c r="C322" i="9"/>
  <c r="B322" i="9"/>
  <c r="A322" i="9"/>
  <c r="W321" i="9"/>
  <c r="V321" i="9"/>
  <c r="U321" i="9"/>
  <c r="T321" i="9"/>
  <c r="S321" i="9"/>
  <c r="R321" i="9"/>
  <c r="Q321" i="9"/>
  <c r="P321" i="9"/>
  <c r="O321" i="9"/>
  <c r="N321" i="9"/>
  <c r="M321" i="9"/>
  <c r="L321" i="9"/>
  <c r="K321" i="9"/>
  <c r="J321" i="9"/>
  <c r="I321" i="9"/>
  <c r="H321" i="9"/>
  <c r="G321" i="9"/>
  <c r="F321" i="9"/>
  <c r="E321" i="9"/>
  <c r="D321" i="9"/>
  <c r="C321" i="9"/>
  <c r="B321" i="9"/>
  <c r="A321" i="9"/>
  <c r="W320" i="9"/>
  <c r="V320" i="9"/>
  <c r="U320" i="9"/>
  <c r="T320" i="9"/>
  <c r="S320" i="9"/>
  <c r="R320" i="9"/>
  <c r="Q320" i="9"/>
  <c r="P320" i="9"/>
  <c r="O320" i="9"/>
  <c r="N320" i="9"/>
  <c r="M320" i="9"/>
  <c r="L320" i="9"/>
  <c r="K320" i="9"/>
  <c r="J320" i="9"/>
  <c r="I320" i="9"/>
  <c r="H320" i="9"/>
  <c r="G320" i="9"/>
  <c r="F320" i="9"/>
  <c r="E320" i="9"/>
  <c r="D320" i="9"/>
  <c r="C320" i="9"/>
  <c r="B320" i="9"/>
  <c r="A320" i="9"/>
  <c r="W319" i="9"/>
  <c r="V319" i="9"/>
  <c r="U319" i="9"/>
  <c r="T319" i="9"/>
  <c r="S319" i="9"/>
  <c r="R319" i="9"/>
  <c r="Q319" i="9"/>
  <c r="P319" i="9"/>
  <c r="O319" i="9"/>
  <c r="N319" i="9"/>
  <c r="M319" i="9"/>
  <c r="L319" i="9"/>
  <c r="K319" i="9"/>
  <c r="J319" i="9"/>
  <c r="I319" i="9"/>
  <c r="H319" i="9"/>
  <c r="G319" i="9"/>
  <c r="F319" i="9"/>
  <c r="E319" i="9"/>
  <c r="D319" i="9"/>
  <c r="C319" i="9"/>
  <c r="B319" i="9"/>
  <c r="A319" i="9"/>
  <c r="W318" i="9"/>
  <c r="V318" i="9"/>
  <c r="U318" i="9"/>
  <c r="T318" i="9"/>
  <c r="S318" i="9"/>
  <c r="R318" i="9"/>
  <c r="Q318" i="9"/>
  <c r="P318" i="9"/>
  <c r="O318" i="9"/>
  <c r="N318" i="9"/>
  <c r="M318" i="9"/>
  <c r="L318" i="9"/>
  <c r="K318" i="9"/>
  <c r="J318" i="9"/>
  <c r="I318" i="9"/>
  <c r="H318" i="9"/>
  <c r="G318" i="9"/>
  <c r="F318" i="9"/>
  <c r="E318" i="9"/>
  <c r="D318" i="9"/>
  <c r="C318" i="9"/>
  <c r="B318" i="9"/>
  <c r="A318" i="9"/>
  <c r="W317" i="9"/>
  <c r="V317" i="9"/>
  <c r="U317" i="9"/>
  <c r="T317" i="9"/>
  <c r="S317" i="9"/>
  <c r="R317" i="9"/>
  <c r="Q317" i="9"/>
  <c r="P317" i="9"/>
  <c r="O317" i="9"/>
  <c r="N317" i="9"/>
  <c r="M317" i="9"/>
  <c r="L317" i="9"/>
  <c r="K317" i="9"/>
  <c r="J317" i="9"/>
  <c r="I317" i="9"/>
  <c r="H317" i="9"/>
  <c r="G317" i="9"/>
  <c r="F317" i="9"/>
  <c r="E317" i="9"/>
  <c r="D317" i="9"/>
  <c r="C317" i="9"/>
  <c r="B317" i="9"/>
  <c r="A317" i="9"/>
  <c r="W316" i="9"/>
  <c r="V316" i="9"/>
  <c r="U316" i="9"/>
  <c r="T316" i="9"/>
  <c r="S316" i="9"/>
  <c r="R316" i="9"/>
  <c r="Q316" i="9"/>
  <c r="P316" i="9"/>
  <c r="O316" i="9"/>
  <c r="N316" i="9"/>
  <c r="M316" i="9"/>
  <c r="L316" i="9"/>
  <c r="K316" i="9"/>
  <c r="J316" i="9"/>
  <c r="I316" i="9"/>
  <c r="H316" i="9"/>
  <c r="G316" i="9"/>
  <c r="F316" i="9"/>
  <c r="E316" i="9"/>
  <c r="D316" i="9"/>
  <c r="C316" i="9"/>
  <c r="B316" i="9"/>
  <c r="A316" i="9"/>
  <c r="W315" i="9"/>
  <c r="V315" i="9"/>
  <c r="U315" i="9"/>
  <c r="T315" i="9"/>
  <c r="S315" i="9"/>
  <c r="R315" i="9"/>
  <c r="Q315" i="9"/>
  <c r="P315" i="9"/>
  <c r="O315" i="9"/>
  <c r="N315" i="9"/>
  <c r="M315" i="9"/>
  <c r="L315" i="9"/>
  <c r="K315" i="9"/>
  <c r="J315" i="9"/>
  <c r="I315" i="9"/>
  <c r="H315" i="9"/>
  <c r="G315" i="9"/>
  <c r="F315" i="9"/>
  <c r="E315" i="9"/>
  <c r="D315" i="9"/>
  <c r="C315" i="9"/>
  <c r="B315" i="9"/>
  <c r="A315" i="9"/>
  <c r="W314" i="9"/>
  <c r="V314" i="9"/>
  <c r="U314" i="9"/>
  <c r="T314" i="9"/>
  <c r="S314" i="9"/>
  <c r="R314" i="9"/>
  <c r="Q314" i="9"/>
  <c r="P314" i="9"/>
  <c r="O314" i="9"/>
  <c r="N314" i="9"/>
  <c r="M314" i="9"/>
  <c r="L314" i="9"/>
  <c r="K314" i="9"/>
  <c r="J314" i="9"/>
  <c r="I314" i="9"/>
  <c r="H314" i="9"/>
  <c r="G314" i="9"/>
  <c r="F314" i="9"/>
  <c r="E314" i="9"/>
  <c r="D314" i="9"/>
  <c r="C314" i="9"/>
  <c r="B314" i="9"/>
  <c r="A314" i="9"/>
  <c r="W313" i="9"/>
  <c r="V313" i="9"/>
  <c r="U313" i="9"/>
  <c r="T313" i="9"/>
  <c r="S313" i="9"/>
  <c r="R313" i="9"/>
  <c r="Q313" i="9"/>
  <c r="P313" i="9"/>
  <c r="O313" i="9"/>
  <c r="N313" i="9"/>
  <c r="M313" i="9"/>
  <c r="L313" i="9"/>
  <c r="K313" i="9"/>
  <c r="J313" i="9"/>
  <c r="I313" i="9"/>
  <c r="H313" i="9"/>
  <c r="G313" i="9"/>
  <c r="F313" i="9"/>
  <c r="E313" i="9"/>
  <c r="D313" i="9"/>
  <c r="C313" i="9"/>
  <c r="B313" i="9"/>
  <c r="A313" i="9"/>
  <c r="W312" i="9"/>
  <c r="V312" i="9"/>
  <c r="U312" i="9"/>
  <c r="T312" i="9"/>
  <c r="S312" i="9"/>
  <c r="R312" i="9"/>
  <c r="Q312" i="9"/>
  <c r="P312" i="9"/>
  <c r="O312" i="9"/>
  <c r="N312" i="9"/>
  <c r="M312" i="9"/>
  <c r="L312" i="9"/>
  <c r="K312" i="9"/>
  <c r="J312" i="9"/>
  <c r="I312" i="9"/>
  <c r="H312" i="9"/>
  <c r="G312" i="9"/>
  <c r="F312" i="9"/>
  <c r="E312" i="9"/>
  <c r="D312" i="9"/>
  <c r="C312" i="9"/>
  <c r="B312" i="9"/>
  <c r="A312" i="9"/>
  <c r="W311" i="9"/>
  <c r="V311" i="9"/>
  <c r="U311" i="9"/>
  <c r="T311" i="9"/>
  <c r="S311" i="9"/>
  <c r="R311" i="9"/>
  <c r="Q311" i="9"/>
  <c r="P311" i="9"/>
  <c r="O311" i="9"/>
  <c r="N311" i="9"/>
  <c r="M311" i="9"/>
  <c r="L311" i="9"/>
  <c r="K311" i="9"/>
  <c r="J311" i="9"/>
  <c r="I311" i="9"/>
  <c r="H311" i="9"/>
  <c r="G311" i="9"/>
  <c r="F311" i="9"/>
  <c r="E311" i="9"/>
  <c r="D311" i="9"/>
  <c r="C311" i="9"/>
  <c r="B311" i="9"/>
  <c r="A311" i="9"/>
  <c r="W310" i="9"/>
  <c r="V310" i="9"/>
  <c r="U310" i="9"/>
  <c r="T310" i="9"/>
  <c r="S310" i="9"/>
  <c r="R310" i="9"/>
  <c r="Q310" i="9"/>
  <c r="P310" i="9"/>
  <c r="O310" i="9"/>
  <c r="N310" i="9"/>
  <c r="M310" i="9"/>
  <c r="L310" i="9"/>
  <c r="K310" i="9"/>
  <c r="J310" i="9"/>
  <c r="I310" i="9"/>
  <c r="H310" i="9"/>
  <c r="G310" i="9"/>
  <c r="F310" i="9"/>
  <c r="E310" i="9"/>
  <c r="D310" i="9"/>
  <c r="C310" i="9"/>
  <c r="B310" i="9"/>
  <c r="A310" i="9"/>
  <c r="W309" i="9"/>
  <c r="V309" i="9"/>
  <c r="U309" i="9"/>
  <c r="T309" i="9"/>
  <c r="S309" i="9"/>
  <c r="R309" i="9"/>
  <c r="Q309" i="9"/>
  <c r="P309" i="9"/>
  <c r="O309" i="9"/>
  <c r="N309" i="9"/>
  <c r="M309" i="9"/>
  <c r="L309" i="9"/>
  <c r="K309" i="9"/>
  <c r="J309" i="9"/>
  <c r="I309" i="9"/>
  <c r="H309" i="9"/>
  <c r="G309" i="9"/>
  <c r="F309" i="9"/>
  <c r="E309" i="9"/>
  <c r="D309" i="9"/>
  <c r="C309" i="9"/>
  <c r="B309" i="9"/>
  <c r="A309" i="9"/>
  <c r="W308" i="9"/>
  <c r="V308" i="9"/>
  <c r="U308" i="9"/>
  <c r="T308" i="9"/>
  <c r="S308" i="9"/>
  <c r="R308" i="9"/>
  <c r="Q308" i="9"/>
  <c r="P308" i="9"/>
  <c r="O308" i="9"/>
  <c r="N308" i="9"/>
  <c r="M308" i="9"/>
  <c r="L308" i="9"/>
  <c r="K308" i="9"/>
  <c r="J308" i="9"/>
  <c r="I308" i="9"/>
  <c r="H308" i="9"/>
  <c r="G308" i="9"/>
  <c r="F308" i="9"/>
  <c r="E308" i="9"/>
  <c r="D308" i="9"/>
  <c r="C308" i="9"/>
  <c r="B308" i="9"/>
  <c r="A308" i="9"/>
  <c r="W307" i="9"/>
  <c r="V307" i="9"/>
  <c r="U307" i="9"/>
  <c r="T307" i="9"/>
  <c r="S307" i="9"/>
  <c r="R307" i="9"/>
  <c r="Q307" i="9"/>
  <c r="P307" i="9"/>
  <c r="O307" i="9"/>
  <c r="N307" i="9"/>
  <c r="M307" i="9"/>
  <c r="L307" i="9"/>
  <c r="K307" i="9"/>
  <c r="J307" i="9"/>
  <c r="I307" i="9"/>
  <c r="H307" i="9"/>
  <c r="G307" i="9"/>
  <c r="F307" i="9"/>
  <c r="E307" i="9"/>
  <c r="D307" i="9"/>
  <c r="C307" i="9"/>
  <c r="B307" i="9"/>
  <c r="A307" i="9"/>
  <c r="W306" i="9"/>
  <c r="V306" i="9"/>
  <c r="U306" i="9"/>
  <c r="T306" i="9"/>
  <c r="S306" i="9"/>
  <c r="R306" i="9"/>
  <c r="Q306" i="9"/>
  <c r="P306" i="9"/>
  <c r="O306" i="9"/>
  <c r="N306" i="9"/>
  <c r="M306" i="9"/>
  <c r="L306" i="9"/>
  <c r="K306" i="9"/>
  <c r="J306" i="9"/>
  <c r="I306" i="9"/>
  <c r="H306" i="9"/>
  <c r="G306" i="9"/>
  <c r="F306" i="9"/>
  <c r="E306" i="9"/>
  <c r="D306" i="9"/>
  <c r="C306" i="9"/>
  <c r="B306" i="9"/>
  <c r="A306" i="9"/>
  <c r="W305" i="9"/>
  <c r="V305" i="9"/>
  <c r="U305" i="9"/>
  <c r="T305" i="9"/>
  <c r="S305" i="9"/>
  <c r="R305" i="9"/>
  <c r="Q305" i="9"/>
  <c r="P305" i="9"/>
  <c r="O305" i="9"/>
  <c r="N305" i="9"/>
  <c r="M305" i="9"/>
  <c r="L305" i="9"/>
  <c r="K305" i="9"/>
  <c r="J305" i="9"/>
  <c r="I305" i="9"/>
  <c r="H305" i="9"/>
  <c r="G305" i="9"/>
  <c r="F305" i="9"/>
  <c r="E305" i="9"/>
  <c r="D305" i="9"/>
  <c r="C305" i="9"/>
  <c r="B305" i="9"/>
  <c r="A305" i="9"/>
  <c r="W304" i="9"/>
  <c r="V304" i="9"/>
  <c r="U304" i="9"/>
  <c r="T304" i="9"/>
  <c r="S304" i="9"/>
  <c r="R304" i="9"/>
  <c r="Q304" i="9"/>
  <c r="P304" i="9"/>
  <c r="O304" i="9"/>
  <c r="N304" i="9"/>
  <c r="M304" i="9"/>
  <c r="L304" i="9"/>
  <c r="K304" i="9"/>
  <c r="J304" i="9"/>
  <c r="I304" i="9"/>
  <c r="H304" i="9"/>
  <c r="G304" i="9"/>
  <c r="F304" i="9"/>
  <c r="E304" i="9"/>
  <c r="D304" i="9"/>
  <c r="C304" i="9"/>
  <c r="B304" i="9"/>
  <c r="A304" i="9"/>
  <c r="W303" i="9"/>
  <c r="V303" i="9"/>
  <c r="U303" i="9"/>
  <c r="T303" i="9"/>
  <c r="S303" i="9"/>
  <c r="R303" i="9"/>
  <c r="Q303" i="9"/>
  <c r="P303" i="9"/>
  <c r="O303" i="9"/>
  <c r="N303" i="9"/>
  <c r="M303" i="9"/>
  <c r="L303" i="9"/>
  <c r="K303" i="9"/>
  <c r="J303" i="9"/>
  <c r="I303" i="9"/>
  <c r="H303" i="9"/>
  <c r="G303" i="9"/>
  <c r="F303" i="9"/>
  <c r="E303" i="9"/>
  <c r="D303" i="9"/>
  <c r="C303" i="9"/>
  <c r="B303" i="9"/>
  <c r="A303" i="9"/>
  <c r="W302" i="9"/>
  <c r="V302" i="9"/>
  <c r="U302" i="9"/>
  <c r="T302" i="9"/>
  <c r="S302" i="9"/>
  <c r="R302" i="9"/>
  <c r="Q302" i="9"/>
  <c r="P302" i="9"/>
  <c r="O302" i="9"/>
  <c r="N302" i="9"/>
  <c r="M302" i="9"/>
  <c r="L302" i="9"/>
  <c r="K302" i="9"/>
  <c r="J302" i="9"/>
  <c r="I302" i="9"/>
  <c r="H302" i="9"/>
  <c r="G302" i="9"/>
  <c r="F302" i="9"/>
  <c r="E302" i="9"/>
  <c r="D302" i="9"/>
  <c r="C302" i="9"/>
  <c r="B302" i="9"/>
  <c r="A302" i="9"/>
  <c r="W301" i="9"/>
  <c r="V301" i="9"/>
  <c r="U301" i="9"/>
  <c r="T301" i="9"/>
  <c r="S301" i="9"/>
  <c r="R301" i="9"/>
  <c r="Q301" i="9"/>
  <c r="P301" i="9"/>
  <c r="O301" i="9"/>
  <c r="N301" i="9"/>
  <c r="M301" i="9"/>
  <c r="L301" i="9"/>
  <c r="K301" i="9"/>
  <c r="J301" i="9"/>
  <c r="I301" i="9"/>
  <c r="H301" i="9"/>
  <c r="G301" i="9"/>
  <c r="F301" i="9"/>
  <c r="E301" i="9"/>
  <c r="D301" i="9"/>
  <c r="C301" i="9"/>
  <c r="B301" i="9"/>
  <c r="A301" i="9"/>
  <c r="W300" i="9"/>
  <c r="V300" i="9"/>
  <c r="U300" i="9"/>
  <c r="T300" i="9"/>
  <c r="S300" i="9"/>
  <c r="R300" i="9"/>
  <c r="Q300" i="9"/>
  <c r="P300" i="9"/>
  <c r="O300" i="9"/>
  <c r="N300" i="9"/>
  <c r="M300" i="9"/>
  <c r="L300" i="9"/>
  <c r="K300" i="9"/>
  <c r="J300" i="9"/>
  <c r="I300" i="9"/>
  <c r="H300" i="9"/>
  <c r="G300" i="9"/>
  <c r="F300" i="9"/>
  <c r="E300" i="9"/>
  <c r="D300" i="9"/>
  <c r="C300" i="9"/>
  <c r="B300" i="9"/>
  <c r="A300" i="9"/>
  <c r="W299" i="9"/>
  <c r="V299" i="9"/>
  <c r="U299" i="9"/>
  <c r="T299" i="9"/>
  <c r="S299" i="9"/>
  <c r="R299" i="9"/>
  <c r="Q299" i="9"/>
  <c r="P299" i="9"/>
  <c r="O299" i="9"/>
  <c r="N299" i="9"/>
  <c r="M299" i="9"/>
  <c r="L299" i="9"/>
  <c r="K299" i="9"/>
  <c r="J299" i="9"/>
  <c r="I299" i="9"/>
  <c r="H299" i="9"/>
  <c r="G299" i="9"/>
  <c r="F299" i="9"/>
  <c r="E299" i="9"/>
  <c r="D299" i="9"/>
  <c r="C299" i="9"/>
  <c r="B299" i="9"/>
  <c r="A299" i="9"/>
  <c r="W298" i="9"/>
  <c r="V298" i="9"/>
  <c r="U298" i="9"/>
  <c r="T298" i="9"/>
  <c r="S298" i="9"/>
  <c r="R298" i="9"/>
  <c r="Q298" i="9"/>
  <c r="P298" i="9"/>
  <c r="O298" i="9"/>
  <c r="N298" i="9"/>
  <c r="M298" i="9"/>
  <c r="L298" i="9"/>
  <c r="K298" i="9"/>
  <c r="J298" i="9"/>
  <c r="I298" i="9"/>
  <c r="H298" i="9"/>
  <c r="G298" i="9"/>
  <c r="F298" i="9"/>
  <c r="E298" i="9"/>
  <c r="D298" i="9"/>
  <c r="C298" i="9"/>
  <c r="B298" i="9"/>
  <c r="A298" i="9"/>
  <c r="W297" i="9"/>
  <c r="V297" i="9"/>
  <c r="U297" i="9"/>
  <c r="T297" i="9"/>
  <c r="S297" i="9"/>
  <c r="R297" i="9"/>
  <c r="Q297" i="9"/>
  <c r="P297" i="9"/>
  <c r="O297" i="9"/>
  <c r="N297" i="9"/>
  <c r="M297" i="9"/>
  <c r="L297" i="9"/>
  <c r="K297" i="9"/>
  <c r="J297" i="9"/>
  <c r="I297" i="9"/>
  <c r="H297" i="9"/>
  <c r="G297" i="9"/>
  <c r="F297" i="9"/>
  <c r="E297" i="9"/>
  <c r="D297" i="9"/>
  <c r="C297" i="9"/>
  <c r="B297" i="9"/>
  <c r="A297" i="9"/>
  <c r="W296" i="9"/>
  <c r="V296" i="9"/>
  <c r="U296" i="9"/>
  <c r="T296" i="9"/>
  <c r="S296" i="9"/>
  <c r="R296" i="9"/>
  <c r="Q296" i="9"/>
  <c r="P296" i="9"/>
  <c r="O296" i="9"/>
  <c r="N296" i="9"/>
  <c r="M296" i="9"/>
  <c r="L296" i="9"/>
  <c r="K296" i="9"/>
  <c r="J296" i="9"/>
  <c r="I296" i="9"/>
  <c r="H296" i="9"/>
  <c r="G296" i="9"/>
  <c r="F296" i="9"/>
  <c r="E296" i="9"/>
  <c r="D296" i="9"/>
  <c r="C296" i="9"/>
  <c r="B296" i="9"/>
  <c r="A296" i="9"/>
  <c r="W295" i="9"/>
  <c r="V295" i="9"/>
  <c r="U295" i="9"/>
  <c r="T295" i="9"/>
  <c r="S295" i="9"/>
  <c r="R295" i="9"/>
  <c r="Q295" i="9"/>
  <c r="P295" i="9"/>
  <c r="O295" i="9"/>
  <c r="N295" i="9"/>
  <c r="M295" i="9"/>
  <c r="L295" i="9"/>
  <c r="K295" i="9"/>
  <c r="J295" i="9"/>
  <c r="I295" i="9"/>
  <c r="H295" i="9"/>
  <c r="G295" i="9"/>
  <c r="F295" i="9"/>
  <c r="E295" i="9"/>
  <c r="D295" i="9"/>
  <c r="C295" i="9"/>
  <c r="B295" i="9"/>
  <c r="A295" i="9"/>
  <c r="W294" i="9"/>
  <c r="V294" i="9"/>
  <c r="U294" i="9"/>
  <c r="T294" i="9"/>
  <c r="S294" i="9"/>
  <c r="R294" i="9"/>
  <c r="Q294" i="9"/>
  <c r="P294" i="9"/>
  <c r="O294" i="9"/>
  <c r="N294" i="9"/>
  <c r="M294" i="9"/>
  <c r="L294" i="9"/>
  <c r="K294" i="9"/>
  <c r="J294" i="9"/>
  <c r="I294" i="9"/>
  <c r="H294" i="9"/>
  <c r="G294" i="9"/>
  <c r="F294" i="9"/>
  <c r="E294" i="9"/>
  <c r="D294" i="9"/>
  <c r="C294" i="9"/>
  <c r="B294" i="9"/>
  <c r="A294" i="9"/>
  <c r="W293" i="9"/>
  <c r="V293" i="9"/>
  <c r="U293" i="9"/>
  <c r="T293" i="9"/>
  <c r="S293" i="9"/>
  <c r="R293" i="9"/>
  <c r="Q293" i="9"/>
  <c r="P293" i="9"/>
  <c r="O293" i="9"/>
  <c r="N293" i="9"/>
  <c r="M293" i="9"/>
  <c r="L293" i="9"/>
  <c r="K293" i="9"/>
  <c r="J293" i="9"/>
  <c r="I293" i="9"/>
  <c r="H293" i="9"/>
  <c r="G293" i="9"/>
  <c r="F293" i="9"/>
  <c r="E293" i="9"/>
  <c r="D293" i="9"/>
  <c r="C293" i="9"/>
  <c r="B293" i="9"/>
  <c r="A293" i="9"/>
  <c r="W292" i="9"/>
  <c r="V292" i="9"/>
  <c r="U292" i="9"/>
  <c r="T292" i="9"/>
  <c r="S292" i="9"/>
  <c r="R292" i="9"/>
  <c r="Q292" i="9"/>
  <c r="P292" i="9"/>
  <c r="O292" i="9"/>
  <c r="N292" i="9"/>
  <c r="M292" i="9"/>
  <c r="L292" i="9"/>
  <c r="K292" i="9"/>
  <c r="J292" i="9"/>
  <c r="I292" i="9"/>
  <c r="H292" i="9"/>
  <c r="G292" i="9"/>
  <c r="F292" i="9"/>
  <c r="E292" i="9"/>
  <c r="D292" i="9"/>
  <c r="C292" i="9"/>
  <c r="B292" i="9"/>
  <c r="A292" i="9"/>
  <c r="W291" i="9"/>
  <c r="V291" i="9"/>
  <c r="U291" i="9"/>
  <c r="T291" i="9"/>
  <c r="S291" i="9"/>
  <c r="R291" i="9"/>
  <c r="Q291" i="9"/>
  <c r="P291" i="9"/>
  <c r="O291" i="9"/>
  <c r="N291" i="9"/>
  <c r="M291" i="9"/>
  <c r="L291" i="9"/>
  <c r="K291" i="9"/>
  <c r="J291" i="9"/>
  <c r="I291" i="9"/>
  <c r="H291" i="9"/>
  <c r="G291" i="9"/>
  <c r="F291" i="9"/>
  <c r="E291" i="9"/>
  <c r="D291" i="9"/>
  <c r="C291" i="9"/>
  <c r="B291" i="9"/>
  <c r="A291" i="9"/>
  <c r="W290" i="9"/>
  <c r="V290" i="9"/>
  <c r="U290" i="9"/>
  <c r="T290" i="9"/>
  <c r="S290" i="9"/>
  <c r="R290" i="9"/>
  <c r="Q290" i="9"/>
  <c r="P290" i="9"/>
  <c r="O290" i="9"/>
  <c r="N290" i="9"/>
  <c r="M290" i="9"/>
  <c r="L290" i="9"/>
  <c r="K290" i="9"/>
  <c r="J290" i="9"/>
  <c r="I290" i="9"/>
  <c r="H290" i="9"/>
  <c r="G290" i="9"/>
  <c r="F290" i="9"/>
  <c r="E290" i="9"/>
  <c r="D290" i="9"/>
  <c r="C290" i="9"/>
  <c r="B290" i="9"/>
  <c r="A290" i="9"/>
  <c r="W289" i="9"/>
  <c r="V289" i="9"/>
  <c r="U289" i="9"/>
  <c r="T289" i="9"/>
  <c r="S289" i="9"/>
  <c r="R289" i="9"/>
  <c r="Q289" i="9"/>
  <c r="P289" i="9"/>
  <c r="O289" i="9"/>
  <c r="N289" i="9"/>
  <c r="M289" i="9"/>
  <c r="L289" i="9"/>
  <c r="K289" i="9"/>
  <c r="J289" i="9"/>
  <c r="I289" i="9"/>
  <c r="H289" i="9"/>
  <c r="G289" i="9"/>
  <c r="F289" i="9"/>
  <c r="E289" i="9"/>
  <c r="D289" i="9"/>
  <c r="C289" i="9"/>
  <c r="B289" i="9"/>
  <c r="A289" i="9"/>
  <c r="W288" i="9"/>
  <c r="V288" i="9"/>
  <c r="U288" i="9"/>
  <c r="T288" i="9"/>
  <c r="S288" i="9"/>
  <c r="R288" i="9"/>
  <c r="Q288" i="9"/>
  <c r="P288" i="9"/>
  <c r="O288" i="9"/>
  <c r="N288" i="9"/>
  <c r="M288" i="9"/>
  <c r="L288" i="9"/>
  <c r="K288" i="9"/>
  <c r="J288" i="9"/>
  <c r="I288" i="9"/>
  <c r="H288" i="9"/>
  <c r="G288" i="9"/>
  <c r="F288" i="9"/>
  <c r="E288" i="9"/>
  <c r="D288" i="9"/>
  <c r="C288" i="9"/>
  <c r="B288" i="9"/>
  <c r="A288" i="9"/>
  <c r="W287" i="9"/>
  <c r="V287" i="9"/>
  <c r="U287" i="9"/>
  <c r="T287" i="9"/>
  <c r="S287" i="9"/>
  <c r="R287" i="9"/>
  <c r="Q287" i="9"/>
  <c r="P287" i="9"/>
  <c r="O287" i="9"/>
  <c r="N287" i="9"/>
  <c r="M287" i="9"/>
  <c r="L287" i="9"/>
  <c r="K287" i="9"/>
  <c r="J287" i="9"/>
  <c r="I287" i="9"/>
  <c r="H287" i="9"/>
  <c r="G287" i="9"/>
  <c r="F287" i="9"/>
  <c r="E287" i="9"/>
  <c r="D287" i="9"/>
  <c r="C287" i="9"/>
  <c r="B287" i="9"/>
  <c r="A287" i="9"/>
  <c r="W286" i="9"/>
  <c r="V286" i="9"/>
  <c r="U286" i="9"/>
  <c r="T286" i="9"/>
  <c r="S286" i="9"/>
  <c r="R286" i="9"/>
  <c r="Q286" i="9"/>
  <c r="P286" i="9"/>
  <c r="O286" i="9"/>
  <c r="N286" i="9"/>
  <c r="M286" i="9"/>
  <c r="L286" i="9"/>
  <c r="K286" i="9"/>
  <c r="J286" i="9"/>
  <c r="I286" i="9"/>
  <c r="H286" i="9"/>
  <c r="G286" i="9"/>
  <c r="F286" i="9"/>
  <c r="E286" i="9"/>
  <c r="D286" i="9"/>
  <c r="C286" i="9"/>
  <c r="B286" i="9"/>
  <c r="A286" i="9"/>
  <c r="W285" i="9"/>
  <c r="V285" i="9"/>
  <c r="U285" i="9"/>
  <c r="T285" i="9"/>
  <c r="S285" i="9"/>
  <c r="R285" i="9"/>
  <c r="Q285" i="9"/>
  <c r="P285" i="9"/>
  <c r="O285" i="9"/>
  <c r="N285" i="9"/>
  <c r="M285" i="9"/>
  <c r="L285" i="9"/>
  <c r="K285" i="9"/>
  <c r="J285" i="9"/>
  <c r="I285" i="9"/>
  <c r="H285" i="9"/>
  <c r="G285" i="9"/>
  <c r="F285" i="9"/>
  <c r="E285" i="9"/>
  <c r="D285" i="9"/>
  <c r="C285" i="9"/>
  <c r="B285" i="9"/>
  <c r="A285" i="9"/>
  <c r="W284" i="9"/>
  <c r="V284" i="9"/>
  <c r="U284" i="9"/>
  <c r="T284" i="9"/>
  <c r="S284" i="9"/>
  <c r="R284" i="9"/>
  <c r="Q284" i="9"/>
  <c r="P284" i="9"/>
  <c r="O284" i="9"/>
  <c r="N284" i="9"/>
  <c r="M284" i="9"/>
  <c r="L284" i="9"/>
  <c r="K284" i="9"/>
  <c r="J284" i="9"/>
  <c r="I284" i="9"/>
  <c r="H284" i="9"/>
  <c r="G284" i="9"/>
  <c r="F284" i="9"/>
  <c r="E284" i="9"/>
  <c r="D284" i="9"/>
  <c r="C284" i="9"/>
  <c r="B284" i="9"/>
  <c r="A284" i="9"/>
  <c r="W283" i="9"/>
  <c r="V283" i="9"/>
  <c r="U283" i="9"/>
  <c r="T283" i="9"/>
  <c r="S283" i="9"/>
  <c r="R283" i="9"/>
  <c r="Q283" i="9"/>
  <c r="P283" i="9"/>
  <c r="O283" i="9"/>
  <c r="N283" i="9"/>
  <c r="M283" i="9"/>
  <c r="L283" i="9"/>
  <c r="K283" i="9"/>
  <c r="J283" i="9"/>
  <c r="I283" i="9"/>
  <c r="H283" i="9"/>
  <c r="G283" i="9"/>
  <c r="F283" i="9"/>
  <c r="E283" i="9"/>
  <c r="D283" i="9"/>
  <c r="C283" i="9"/>
  <c r="B283" i="9"/>
  <c r="A283" i="9"/>
  <c r="W282" i="9"/>
  <c r="V282" i="9"/>
  <c r="U282" i="9"/>
  <c r="T282" i="9"/>
  <c r="S282" i="9"/>
  <c r="R282" i="9"/>
  <c r="Q282" i="9"/>
  <c r="P282" i="9"/>
  <c r="O282" i="9"/>
  <c r="N282" i="9"/>
  <c r="M282" i="9"/>
  <c r="L282" i="9"/>
  <c r="K282" i="9"/>
  <c r="J282" i="9"/>
  <c r="I282" i="9"/>
  <c r="H282" i="9"/>
  <c r="G282" i="9"/>
  <c r="F282" i="9"/>
  <c r="E282" i="9"/>
  <c r="D282" i="9"/>
  <c r="C282" i="9"/>
  <c r="B282" i="9"/>
  <c r="A282" i="9"/>
  <c r="W281" i="9"/>
  <c r="V281" i="9"/>
  <c r="U281" i="9"/>
  <c r="T281" i="9"/>
  <c r="S281" i="9"/>
  <c r="R281" i="9"/>
  <c r="Q281" i="9"/>
  <c r="P281" i="9"/>
  <c r="O281" i="9"/>
  <c r="N281" i="9"/>
  <c r="M281" i="9"/>
  <c r="L281" i="9"/>
  <c r="K281" i="9"/>
  <c r="J281" i="9"/>
  <c r="I281" i="9"/>
  <c r="H281" i="9"/>
  <c r="G281" i="9"/>
  <c r="F281" i="9"/>
  <c r="E281" i="9"/>
  <c r="D281" i="9"/>
  <c r="C281" i="9"/>
  <c r="B281" i="9"/>
  <c r="A281" i="9"/>
  <c r="W280" i="9"/>
  <c r="V280" i="9"/>
  <c r="U280" i="9"/>
  <c r="T280" i="9"/>
  <c r="S280" i="9"/>
  <c r="R280" i="9"/>
  <c r="Q280" i="9"/>
  <c r="P280" i="9"/>
  <c r="O280" i="9"/>
  <c r="N280" i="9"/>
  <c r="M280" i="9"/>
  <c r="L280" i="9"/>
  <c r="K280" i="9"/>
  <c r="J280" i="9"/>
  <c r="I280" i="9"/>
  <c r="H280" i="9"/>
  <c r="G280" i="9"/>
  <c r="F280" i="9"/>
  <c r="E280" i="9"/>
  <c r="D280" i="9"/>
  <c r="C280" i="9"/>
  <c r="B280" i="9"/>
  <c r="A280" i="9"/>
  <c r="W279" i="9"/>
  <c r="V279" i="9"/>
  <c r="U279" i="9"/>
  <c r="T279" i="9"/>
  <c r="S279" i="9"/>
  <c r="R279" i="9"/>
  <c r="Q279" i="9"/>
  <c r="P279" i="9"/>
  <c r="O279" i="9"/>
  <c r="N279" i="9"/>
  <c r="M279" i="9"/>
  <c r="L279" i="9"/>
  <c r="K279" i="9"/>
  <c r="J279" i="9"/>
  <c r="I279" i="9"/>
  <c r="H279" i="9"/>
  <c r="G279" i="9"/>
  <c r="F279" i="9"/>
  <c r="E279" i="9"/>
  <c r="D279" i="9"/>
  <c r="C279" i="9"/>
  <c r="B279" i="9"/>
  <c r="A279" i="9"/>
  <c r="W278" i="9"/>
  <c r="V278" i="9"/>
  <c r="U278" i="9"/>
  <c r="T278" i="9"/>
  <c r="S278" i="9"/>
  <c r="R278" i="9"/>
  <c r="Q278" i="9"/>
  <c r="P278" i="9"/>
  <c r="O278" i="9"/>
  <c r="N278" i="9"/>
  <c r="M278" i="9"/>
  <c r="L278" i="9"/>
  <c r="K278" i="9"/>
  <c r="J278" i="9"/>
  <c r="I278" i="9"/>
  <c r="H278" i="9"/>
  <c r="G278" i="9"/>
  <c r="F278" i="9"/>
  <c r="E278" i="9"/>
  <c r="D278" i="9"/>
  <c r="C278" i="9"/>
  <c r="B278" i="9"/>
  <c r="A278" i="9"/>
  <c r="W277" i="9"/>
  <c r="V277" i="9"/>
  <c r="U277" i="9"/>
  <c r="T277" i="9"/>
  <c r="S277" i="9"/>
  <c r="R277" i="9"/>
  <c r="Q277" i="9"/>
  <c r="P277" i="9"/>
  <c r="O277" i="9"/>
  <c r="N277" i="9"/>
  <c r="M277" i="9"/>
  <c r="L277" i="9"/>
  <c r="K277" i="9"/>
  <c r="J277" i="9"/>
  <c r="I277" i="9"/>
  <c r="H277" i="9"/>
  <c r="G277" i="9"/>
  <c r="F277" i="9"/>
  <c r="E277" i="9"/>
  <c r="D277" i="9"/>
  <c r="C277" i="9"/>
  <c r="B277" i="9"/>
  <c r="A277" i="9"/>
  <c r="W276" i="9"/>
  <c r="V276" i="9"/>
  <c r="U276" i="9"/>
  <c r="T276" i="9"/>
  <c r="S276" i="9"/>
  <c r="R276" i="9"/>
  <c r="Q276" i="9"/>
  <c r="P276" i="9"/>
  <c r="O276" i="9"/>
  <c r="N276" i="9"/>
  <c r="M276" i="9"/>
  <c r="L276" i="9"/>
  <c r="K276" i="9"/>
  <c r="J276" i="9"/>
  <c r="I276" i="9"/>
  <c r="H276" i="9"/>
  <c r="G276" i="9"/>
  <c r="F276" i="9"/>
  <c r="E276" i="9"/>
  <c r="D276" i="9"/>
  <c r="C276" i="9"/>
  <c r="B276" i="9"/>
  <c r="A276" i="9"/>
  <c r="W275" i="9"/>
  <c r="V275" i="9"/>
  <c r="U275" i="9"/>
  <c r="T275" i="9"/>
  <c r="S275" i="9"/>
  <c r="R275" i="9"/>
  <c r="Q275" i="9"/>
  <c r="P275" i="9"/>
  <c r="O275" i="9"/>
  <c r="N275" i="9"/>
  <c r="M275" i="9"/>
  <c r="L275" i="9"/>
  <c r="K275" i="9"/>
  <c r="J275" i="9"/>
  <c r="I275" i="9"/>
  <c r="H275" i="9"/>
  <c r="G275" i="9"/>
  <c r="F275" i="9"/>
  <c r="E275" i="9"/>
  <c r="D275" i="9"/>
  <c r="C275" i="9"/>
  <c r="B275" i="9"/>
  <c r="A275" i="9"/>
  <c r="W274" i="9"/>
  <c r="V274" i="9"/>
  <c r="U274" i="9"/>
  <c r="T274" i="9"/>
  <c r="S274" i="9"/>
  <c r="R274" i="9"/>
  <c r="Q274" i="9"/>
  <c r="P274" i="9"/>
  <c r="O274" i="9"/>
  <c r="N274" i="9"/>
  <c r="M274" i="9"/>
  <c r="L274" i="9"/>
  <c r="K274" i="9"/>
  <c r="J274" i="9"/>
  <c r="I274" i="9"/>
  <c r="H274" i="9"/>
  <c r="G274" i="9"/>
  <c r="F274" i="9"/>
  <c r="E274" i="9"/>
  <c r="D274" i="9"/>
  <c r="C274" i="9"/>
  <c r="B274" i="9"/>
  <c r="A274" i="9"/>
  <c r="W273" i="9"/>
  <c r="V273" i="9"/>
  <c r="U273" i="9"/>
  <c r="T273" i="9"/>
  <c r="S273" i="9"/>
  <c r="R273" i="9"/>
  <c r="Q273" i="9"/>
  <c r="P273" i="9"/>
  <c r="O273" i="9"/>
  <c r="N273" i="9"/>
  <c r="M273" i="9"/>
  <c r="L273" i="9"/>
  <c r="K273" i="9"/>
  <c r="J273" i="9"/>
  <c r="I273" i="9"/>
  <c r="H273" i="9"/>
  <c r="G273" i="9"/>
  <c r="F273" i="9"/>
  <c r="E273" i="9"/>
  <c r="D273" i="9"/>
  <c r="C273" i="9"/>
  <c r="B273" i="9"/>
  <c r="A273" i="9"/>
  <c r="W272" i="9"/>
  <c r="V272" i="9"/>
  <c r="U272" i="9"/>
  <c r="T272" i="9"/>
  <c r="S272" i="9"/>
  <c r="R272" i="9"/>
  <c r="Q272" i="9"/>
  <c r="P272" i="9"/>
  <c r="O272" i="9"/>
  <c r="N272" i="9"/>
  <c r="M272" i="9"/>
  <c r="L272" i="9"/>
  <c r="K272" i="9"/>
  <c r="J272" i="9"/>
  <c r="I272" i="9"/>
  <c r="H272" i="9"/>
  <c r="G272" i="9"/>
  <c r="F272" i="9"/>
  <c r="E272" i="9"/>
  <c r="D272" i="9"/>
  <c r="C272" i="9"/>
  <c r="B272" i="9"/>
  <c r="A272" i="9"/>
  <c r="W271" i="9"/>
  <c r="V271" i="9"/>
  <c r="U271" i="9"/>
  <c r="T271" i="9"/>
  <c r="S271" i="9"/>
  <c r="R271" i="9"/>
  <c r="Q271" i="9"/>
  <c r="P271" i="9"/>
  <c r="O271" i="9"/>
  <c r="N271" i="9"/>
  <c r="M271" i="9"/>
  <c r="L271" i="9"/>
  <c r="K271" i="9"/>
  <c r="J271" i="9"/>
  <c r="I271" i="9"/>
  <c r="H271" i="9"/>
  <c r="G271" i="9"/>
  <c r="F271" i="9"/>
  <c r="E271" i="9"/>
  <c r="D271" i="9"/>
  <c r="C271" i="9"/>
  <c r="B271" i="9"/>
  <c r="A271" i="9"/>
  <c r="W270" i="9"/>
  <c r="V270" i="9"/>
  <c r="U270" i="9"/>
  <c r="T270" i="9"/>
  <c r="S270" i="9"/>
  <c r="R270" i="9"/>
  <c r="Q270" i="9"/>
  <c r="P270" i="9"/>
  <c r="O270" i="9"/>
  <c r="N270" i="9"/>
  <c r="M270" i="9"/>
  <c r="L270" i="9"/>
  <c r="K270" i="9"/>
  <c r="J270" i="9"/>
  <c r="I270" i="9"/>
  <c r="H270" i="9"/>
  <c r="G270" i="9"/>
  <c r="F270" i="9"/>
  <c r="E270" i="9"/>
  <c r="D270" i="9"/>
  <c r="C270" i="9"/>
  <c r="B270" i="9"/>
  <c r="A270" i="9"/>
  <c r="W269" i="9"/>
  <c r="V269" i="9"/>
  <c r="U269" i="9"/>
  <c r="T269" i="9"/>
  <c r="S269" i="9"/>
  <c r="R269" i="9"/>
  <c r="Q269" i="9"/>
  <c r="P269" i="9"/>
  <c r="O269" i="9"/>
  <c r="N269" i="9"/>
  <c r="M269" i="9"/>
  <c r="L269" i="9"/>
  <c r="K269" i="9"/>
  <c r="J269" i="9"/>
  <c r="I269" i="9"/>
  <c r="H269" i="9"/>
  <c r="G269" i="9"/>
  <c r="F269" i="9"/>
  <c r="E269" i="9"/>
  <c r="D269" i="9"/>
  <c r="C269" i="9"/>
  <c r="B269" i="9"/>
  <c r="A269" i="9"/>
  <c r="W268" i="9"/>
  <c r="V268" i="9"/>
  <c r="U268" i="9"/>
  <c r="T268" i="9"/>
  <c r="S268" i="9"/>
  <c r="R268" i="9"/>
  <c r="Q268" i="9"/>
  <c r="P268" i="9"/>
  <c r="O268" i="9"/>
  <c r="N268" i="9"/>
  <c r="M268" i="9"/>
  <c r="L268" i="9"/>
  <c r="K268" i="9"/>
  <c r="J268" i="9"/>
  <c r="I268" i="9"/>
  <c r="H268" i="9"/>
  <c r="G268" i="9"/>
  <c r="F268" i="9"/>
  <c r="E268" i="9"/>
  <c r="D268" i="9"/>
  <c r="C268" i="9"/>
  <c r="B268" i="9"/>
  <c r="A268" i="9"/>
  <c r="W267" i="9"/>
  <c r="V267" i="9"/>
  <c r="U267" i="9"/>
  <c r="T267" i="9"/>
  <c r="S267" i="9"/>
  <c r="R267" i="9"/>
  <c r="Q267" i="9"/>
  <c r="P267" i="9"/>
  <c r="O267" i="9"/>
  <c r="N267" i="9"/>
  <c r="M267" i="9"/>
  <c r="L267" i="9"/>
  <c r="K267" i="9"/>
  <c r="J267" i="9"/>
  <c r="I267" i="9"/>
  <c r="H267" i="9"/>
  <c r="G267" i="9"/>
  <c r="F267" i="9"/>
  <c r="E267" i="9"/>
  <c r="D267" i="9"/>
  <c r="C267" i="9"/>
  <c r="B267" i="9"/>
  <c r="A267" i="9"/>
  <c r="W266" i="9"/>
  <c r="V266" i="9"/>
  <c r="U266" i="9"/>
  <c r="T266" i="9"/>
  <c r="S266" i="9"/>
  <c r="R266" i="9"/>
  <c r="Q266" i="9"/>
  <c r="P266" i="9"/>
  <c r="O266" i="9"/>
  <c r="N266" i="9"/>
  <c r="M266" i="9"/>
  <c r="L266" i="9"/>
  <c r="K266" i="9"/>
  <c r="J266" i="9"/>
  <c r="I266" i="9"/>
  <c r="H266" i="9"/>
  <c r="G266" i="9"/>
  <c r="F266" i="9"/>
  <c r="E266" i="9"/>
  <c r="D266" i="9"/>
  <c r="C266" i="9"/>
  <c r="B266" i="9"/>
  <c r="A266" i="9"/>
  <c r="W265" i="9"/>
  <c r="V265" i="9"/>
  <c r="U265" i="9"/>
  <c r="T265" i="9"/>
  <c r="S265" i="9"/>
  <c r="R265" i="9"/>
  <c r="Q265" i="9"/>
  <c r="P265" i="9"/>
  <c r="O265" i="9"/>
  <c r="N265" i="9"/>
  <c r="M265" i="9"/>
  <c r="L265" i="9"/>
  <c r="K265" i="9"/>
  <c r="J265" i="9"/>
  <c r="I265" i="9"/>
  <c r="H265" i="9"/>
  <c r="G265" i="9"/>
  <c r="F265" i="9"/>
  <c r="E265" i="9"/>
  <c r="D265" i="9"/>
  <c r="C265" i="9"/>
  <c r="B265" i="9"/>
  <c r="A265" i="9"/>
  <c r="W264" i="9"/>
  <c r="V264" i="9"/>
  <c r="U264" i="9"/>
  <c r="T264" i="9"/>
  <c r="S264" i="9"/>
  <c r="R264" i="9"/>
  <c r="Q264" i="9"/>
  <c r="P264" i="9"/>
  <c r="O264" i="9"/>
  <c r="N264" i="9"/>
  <c r="M264" i="9"/>
  <c r="L264" i="9"/>
  <c r="K264" i="9"/>
  <c r="J264" i="9"/>
  <c r="I264" i="9"/>
  <c r="H264" i="9"/>
  <c r="G264" i="9"/>
  <c r="F264" i="9"/>
  <c r="E264" i="9"/>
  <c r="D264" i="9"/>
  <c r="C264" i="9"/>
  <c r="B264" i="9"/>
  <c r="A264" i="9"/>
  <c r="W263" i="9"/>
  <c r="V263" i="9"/>
  <c r="U263" i="9"/>
  <c r="T263" i="9"/>
  <c r="S263" i="9"/>
  <c r="R263" i="9"/>
  <c r="Q263" i="9"/>
  <c r="P263" i="9"/>
  <c r="O263" i="9"/>
  <c r="N263" i="9"/>
  <c r="M263" i="9"/>
  <c r="L263" i="9"/>
  <c r="K263" i="9"/>
  <c r="J263" i="9"/>
  <c r="I263" i="9"/>
  <c r="H263" i="9"/>
  <c r="G263" i="9"/>
  <c r="F263" i="9"/>
  <c r="E263" i="9"/>
  <c r="D263" i="9"/>
  <c r="C263" i="9"/>
  <c r="B263" i="9"/>
  <c r="A263" i="9"/>
  <c r="W262" i="9"/>
  <c r="V262" i="9"/>
  <c r="U262" i="9"/>
  <c r="T262" i="9"/>
  <c r="S262" i="9"/>
  <c r="R262" i="9"/>
  <c r="Q262" i="9"/>
  <c r="P262" i="9"/>
  <c r="O262" i="9"/>
  <c r="N262" i="9"/>
  <c r="M262" i="9"/>
  <c r="L262" i="9"/>
  <c r="K262" i="9"/>
  <c r="J262" i="9"/>
  <c r="I262" i="9"/>
  <c r="H262" i="9"/>
  <c r="G262" i="9"/>
  <c r="F262" i="9"/>
  <c r="E262" i="9"/>
  <c r="D262" i="9"/>
  <c r="C262" i="9"/>
  <c r="B262" i="9"/>
  <c r="A262" i="9"/>
  <c r="W261" i="9"/>
  <c r="V261" i="9"/>
  <c r="U261" i="9"/>
  <c r="T261" i="9"/>
  <c r="S261" i="9"/>
  <c r="R261" i="9"/>
  <c r="Q261" i="9"/>
  <c r="P261" i="9"/>
  <c r="O261" i="9"/>
  <c r="N261" i="9"/>
  <c r="M261" i="9"/>
  <c r="L261" i="9"/>
  <c r="K261" i="9"/>
  <c r="J261" i="9"/>
  <c r="I261" i="9"/>
  <c r="H261" i="9"/>
  <c r="G261" i="9"/>
  <c r="F261" i="9"/>
  <c r="E261" i="9"/>
  <c r="D261" i="9"/>
  <c r="C261" i="9"/>
  <c r="B261" i="9"/>
  <c r="A261" i="9"/>
  <c r="W260" i="9"/>
  <c r="V260" i="9"/>
  <c r="U260" i="9"/>
  <c r="T260" i="9"/>
  <c r="S260" i="9"/>
  <c r="R260" i="9"/>
  <c r="Q260" i="9"/>
  <c r="P260" i="9"/>
  <c r="O260" i="9"/>
  <c r="N260" i="9"/>
  <c r="M260" i="9"/>
  <c r="L260" i="9"/>
  <c r="K260" i="9"/>
  <c r="J260" i="9"/>
  <c r="I260" i="9"/>
  <c r="H260" i="9"/>
  <c r="G260" i="9"/>
  <c r="F260" i="9"/>
  <c r="E260" i="9"/>
  <c r="D260" i="9"/>
  <c r="C260" i="9"/>
  <c r="B260" i="9"/>
  <c r="A260" i="9"/>
  <c r="W259" i="9"/>
  <c r="V259" i="9"/>
  <c r="U259" i="9"/>
  <c r="T259" i="9"/>
  <c r="S259" i="9"/>
  <c r="R259" i="9"/>
  <c r="Q259" i="9"/>
  <c r="P259" i="9"/>
  <c r="O259" i="9"/>
  <c r="N259" i="9"/>
  <c r="M259" i="9"/>
  <c r="L259" i="9"/>
  <c r="K259" i="9"/>
  <c r="J259" i="9"/>
  <c r="I259" i="9"/>
  <c r="H259" i="9"/>
  <c r="G259" i="9"/>
  <c r="F259" i="9"/>
  <c r="E259" i="9"/>
  <c r="D259" i="9"/>
  <c r="C259" i="9"/>
  <c r="B259" i="9"/>
  <c r="A259" i="9"/>
  <c r="W258" i="9"/>
  <c r="V258" i="9"/>
  <c r="U258" i="9"/>
  <c r="T258" i="9"/>
  <c r="S258" i="9"/>
  <c r="R258" i="9"/>
  <c r="Q258" i="9"/>
  <c r="P258" i="9"/>
  <c r="O258" i="9"/>
  <c r="N258" i="9"/>
  <c r="M258" i="9"/>
  <c r="L258" i="9"/>
  <c r="K258" i="9"/>
  <c r="J258" i="9"/>
  <c r="I258" i="9"/>
  <c r="H258" i="9"/>
  <c r="G258" i="9"/>
  <c r="F258" i="9"/>
  <c r="E258" i="9"/>
  <c r="D258" i="9"/>
  <c r="C258" i="9"/>
  <c r="B258" i="9"/>
  <c r="A258" i="9"/>
  <c r="W257" i="9"/>
  <c r="V257" i="9"/>
  <c r="U257" i="9"/>
  <c r="T257" i="9"/>
  <c r="S257" i="9"/>
  <c r="R257" i="9"/>
  <c r="Q257" i="9"/>
  <c r="P257" i="9"/>
  <c r="O257" i="9"/>
  <c r="N257" i="9"/>
  <c r="M257" i="9"/>
  <c r="L257" i="9"/>
  <c r="K257" i="9"/>
  <c r="J257" i="9"/>
  <c r="I257" i="9"/>
  <c r="H257" i="9"/>
  <c r="G257" i="9"/>
  <c r="F257" i="9"/>
  <c r="E257" i="9"/>
  <c r="D257" i="9"/>
  <c r="C257" i="9"/>
  <c r="B257" i="9"/>
  <c r="A257" i="9"/>
  <c r="W256" i="9"/>
  <c r="V256" i="9"/>
  <c r="U256" i="9"/>
  <c r="T256" i="9"/>
  <c r="S256" i="9"/>
  <c r="R256" i="9"/>
  <c r="Q256" i="9"/>
  <c r="P256" i="9"/>
  <c r="O256" i="9"/>
  <c r="N256" i="9"/>
  <c r="M256" i="9"/>
  <c r="L256" i="9"/>
  <c r="K256" i="9"/>
  <c r="J256" i="9"/>
  <c r="I256" i="9"/>
  <c r="H256" i="9"/>
  <c r="G256" i="9"/>
  <c r="F256" i="9"/>
  <c r="E256" i="9"/>
  <c r="D256" i="9"/>
  <c r="C256" i="9"/>
  <c r="B256" i="9"/>
  <c r="A256" i="9"/>
  <c r="W255" i="9"/>
  <c r="V255" i="9"/>
  <c r="U255" i="9"/>
  <c r="T255" i="9"/>
  <c r="S255" i="9"/>
  <c r="R255" i="9"/>
  <c r="Q255" i="9"/>
  <c r="P255" i="9"/>
  <c r="O255" i="9"/>
  <c r="N255" i="9"/>
  <c r="M255" i="9"/>
  <c r="L255" i="9"/>
  <c r="K255" i="9"/>
  <c r="J255" i="9"/>
  <c r="I255" i="9"/>
  <c r="H255" i="9"/>
  <c r="G255" i="9"/>
  <c r="F255" i="9"/>
  <c r="E255" i="9"/>
  <c r="D255" i="9"/>
  <c r="C255" i="9"/>
  <c r="B255" i="9"/>
  <c r="A255" i="9"/>
  <c r="W254" i="9"/>
  <c r="V254" i="9"/>
  <c r="U254" i="9"/>
  <c r="T254" i="9"/>
  <c r="S254" i="9"/>
  <c r="R254" i="9"/>
  <c r="Q254" i="9"/>
  <c r="P254" i="9"/>
  <c r="O254" i="9"/>
  <c r="N254" i="9"/>
  <c r="M254" i="9"/>
  <c r="L254" i="9"/>
  <c r="K254" i="9"/>
  <c r="J254" i="9"/>
  <c r="I254" i="9"/>
  <c r="H254" i="9"/>
  <c r="G254" i="9"/>
  <c r="F254" i="9"/>
  <c r="E254" i="9"/>
  <c r="D254" i="9"/>
  <c r="C254" i="9"/>
  <c r="B254" i="9"/>
  <c r="A254" i="9"/>
  <c r="W253" i="9"/>
  <c r="V253" i="9"/>
  <c r="U253" i="9"/>
  <c r="T253" i="9"/>
  <c r="S253" i="9"/>
  <c r="R253" i="9"/>
  <c r="Q253" i="9"/>
  <c r="P253" i="9"/>
  <c r="O253" i="9"/>
  <c r="N253" i="9"/>
  <c r="M253" i="9"/>
  <c r="L253" i="9"/>
  <c r="K253" i="9"/>
  <c r="J253" i="9"/>
  <c r="I253" i="9"/>
  <c r="H253" i="9"/>
  <c r="G253" i="9"/>
  <c r="F253" i="9"/>
  <c r="E253" i="9"/>
  <c r="D253" i="9"/>
  <c r="C253" i="9"/>
  <c r="B253" i="9"/>
  <c r="A253" i="9"/>
  <c r="W252" i="9"/>
  <c r="V252" i="9"/>
  <c r="U252" i="9"/>
  <c r="T252" i="9"/>
  <c r="S252" i="9"/>
  <c r="R252" i="9"/>
  <c r="Q252" i="9"/>
  <c r="P252" i="9"/>
  <c r="O252" i="9"/>
  <c r="N252" i="9"/>
  <c r="M252" i="9"/>
  <c r="L252" i="9"/>
  <c r="K252" i="9"/>
  <c r="J252" i="9"/>
  <c r="I252" i="9"/>
  <c r="H252" i="9"/>
  <c r="G252" i="9"/>
  <c r="F252" i="9"/>
  <c r="E252" i="9"/>
  <c r="D252" i="9"/>
  <c r="C252" i="9"/>
  <c r="B252" i="9"/>
  <c r="A252" i="9"/>
  <c r="W251" i="9"/>
  <c r="V251" i="9"/>
  <c r="U251" i="9"/>
  <c r="T251" i="9"/>
  <c r="S251" i="9"/>
  <c r="R251" i="9"/>
  <c r="Q251" i="9"/>
  <c r="P251" i="9"/>
  <c r="O251" i="9"/>
  <c r="N251" i="9"/>
  <c r="M251" i="9"/>
  <c r="L251" i="9"/>
  <c r="K251" i="9"/>
  <c r="J251" i="9"/>
  <c r="I251" i="9"/>
  <c r="H251" i="9"/>
  <c r="G251" i="9"/>
  <c r="F251" i="9"/>
  <c r="E251" i="9"/>
  <c r="D251" i="9"/>
  <c r="C251" i="9"/>
  <c r="B251" i="9"/>
  <c r="A251" i="9"/>
  <c r="W250" i="9"/>
  <c r="V250" i="9"/>
  <c r="U250" i="9"/>
  <c r="T250" i="9"/>
  <c r="S250" i="9"/>
  <c r="R250" i="9"/>
  <c r="Q250" i="9"/>
  <c r="P250" i="9"/>
  <c r="O250" i="9"/>
  <c r="N250" i="9"/>
  <c r="M250" i="9"/>
  <c r="L250" i="9"/>
  <c r="K250" i="9"/>
  <c r="J250" i="9"/>
  <c r="I250" i="9"/>
  <c r="H250" i="9"/>
  <c r="G250" i="9"/>
  <c r="F250" i="9"/>
  <c r="E250" i="9"/>
  <c r="D250" i="9"/>
  <c r="C250" i="9"/>
  <c r="B250" i="9"/>
  <c r="A250" i="9"/>
  <c r="W249" i="9"/>
  <c r="V249" i="9"/>
  <c r="U249" i="9"/>
  <c r="T249" i="9"/>
  <c r="S249" i="9"/>
  <c r="R249" i="9"/>
  <c r="Q249" i="9"/>
  <c r="P249" i="9"/>
  <c r="O249" i="9"/>
  <c r="N249" i="9"/>
  <c r="M249" i="9"/>
  <c r="L249" i="9"/>
  <c r="K249" i="9"/>
  <c r="J249" i="9"/>
  <c r="I249" i="9"/>
  <c r="H249" i="9"/>
  <c r="G249" i="9"/>
  <c r="F249" i="9"/>
  <c r="E249" i="9"/>
  <c r="D249" i="9"/>
  <c r="C249" i="9"/>
  <c r="B249" i="9"/>
  <c r="A249" i="9"/>
  <c r="W248" i="9"/>
  <c r="V248" i="9"/>
  <c r="U248" i="9"/>
  <c r="T248" i="9"/>
  <c r="S248" i="9"/>
  <c r="R248" i="9"/>
  <c r="Q248" i="9"/>
  <c r="P248" i="9"/>
  <c r="O248" i="9"/>
  <c r="N248" i="9"/>
  <c r="M248" i="9"/>
  <c r="L248" i="9"/>
  <c r="K248" i="9"/>
  <c r="J248" i="9"/>
  <c r="I248" i="9"/>
  <c r="H248" i="9"/>
  <c r="G248" i="9"/>
  <c r="F248" i="9"/>
  <c r="E248" i="9"/>
  <c r="D248" i="9"/>
  <c r="C248" i="9"/>
  <c r="B248" i="9"/>
  <c r="A248" i="9"/>
  <c r="W247" i="9"/>
  <c r="V247" i="9"/>
  <c r="U247" i="9"/>
  <c r="T247" i="9"/>
  <c r="S247" i="9"/>
  <c r="R247" i="9"/>
  <c r="Q247" i="9"/>
  <c r="P247" i="9"/>
  <c r="O247" i="9"/>
  <c r="N247" i="9"/>
  <c r="M247" i="9"/>
  <c r="L247" i="9"/>
  <c r="K247" i="9"/>
  <c r="J247" i="9"/>
  <c r="I247" i="9"/>
  <c r="H247" i="9"/>
  <c r="G247" i="9"/>
  <c r="F247" i="9"/>
  <c r="E247" i="9"/>
  <c r="D247" i="9"/>
  <c r="C247" i="9"/>
  <c r="B247" i="9"/>
  <c r="A247" i="9"/>
  <c r="W246" i="9"/>
  <c r="V246" i="9"/>
  <c r="U246" i="9"/>
  <c r="T246" i="9"/>
  <c r="S246" i="9"/>
  <c r="R246" i="9"/>
  <c r="Q246" i="9"/>
  <c r="P246" i="9"/>
  <c r="O246" i="9"/>
  <c r="N246" i="9"/>
  <c r="M246" i="9"/>
  <c r="L246" i="9"/>
  <c r="K246" i="9"/>
  <c r="J246" i="9"/>
  <c r="I246" i="9"/>
  <c r="H246" i="9"/>
  <c r="G246" i="9"/>
  <c r="F246" i="9"/>
  <c r="E246" i="9"/>
  <c r="D246" i="9"/>
  <c r="C246" i="9"/>
  <c r="B246" i="9"/>
  <c r="A246" i="9"/>
  <c r="W245" i="9"/>
  <c r="V245" i="9"/>
  <c r="U245" i="9"/>
  <c r="T245" i="9"/>
  <c r="S245" i="9"/>
  <c r="R245" i="9"/>
  <c r="Q245" i="9"/>
  <c r="P245" i="9"/>
  <c r="O245" i="9"/>
  <c r="N245" i="9"/>
  <c r="M245" i="9"/>
  <c r="L245" i="9"/>
  <c r="K245" i="9"/>
  <c r="J245" i="9"/>
  <c r="I245" i="9"/>
  <c r="H245" i="9"/>
  <c r="G245" i="9"/>
  <c r="F245" i="9"/>
  <c r="E245" i="9"/>
  <c r="D245" i="9"/>
  <c r="C245" i="9"/>
  <c r="B245" i="9"/>
  <c r="A245" i="9"/>
  <c r="W244" i="9"/>
  <c r="V244" i="9"/>
  <c r="U244" i="9"/>
  <c r="T244" i="9"/>
  <c r="S244" i="9"/>
  <c r="R244" i="9"/>
  <c r="Q244" i="9"/>
  <c r="P244" i="9"/>
  <c r="O244" i="9"/>
  <c r="N244" i="9"/>
  <c r="M244" i="9"/>
  <c r="L244" i="9"/>
  <c r="K244" i="9"/>
  <c r="J244" i="9"/>
  <c r="I244" i="9"/>
  <c r="H244" i="9"/>
  <c r="G244" i="9"/>
  <c r="F244" i="9"/>
  <c r="E244" i="9"/>
  <c r="D244" i="9"/>
  <c r="C244" i="9"/>
  <c r="B244" i="9"/>
  <c r="A244" i="9"/>
  <c r="W243" i="9"/>
  <c r="V243" i="9"/>
  <c r="U243" i="9"/>
  <c r="T243" i="9"/>
  <c r="S243" i="9"/>
  <c r="R243" i="9"/>
  <c r="Q243" i="9"/>
  <c r="P243" i="9"/>
  <c r="O243" i="9"/>
  <c r="N243" i="9"/>
  <c r="M243" i="9"/>
  <c r="L243" i="9"/>
  <c r="K243" i="9"/>
  <c r="J243" i="9"/>
  <c r="I243" i="9"/>
  <c r="H243" i="9"/>
  <c r="G243" i="9"/>
  <c r="F243" i="9"/>
  <c r="E243" i="9"/>
  <c r="D243" i="9"/>
  <c r="C243" i="9"/>
  <c r="B243" i="9"/>
  <c r="A243" i="9"/>
  <c r="W242" i="9"/>
  <c r="V242" i="9"/>
  <c r="U242" i="9"/>
  <c r="T242" i="9"/>
  <c r="S242" i="9"/>
  <c r="R242" i="9"/>
  <c r="Q242" i="9"/>
  <c r="P242" i="9"/>
  <c r="O242" i="9"/>
  <c r="N242" i="9"/>
  <c r="M242" i="9"/>
  <c r="L242" i="9"/>
  <c r="K242" i="9"/>
  <c r="J242" i="9"/>
  <c r="I242" i="9"/>
  <c r="H242" i="9"/>
  <c r="G242" i="9"/>
  <c r="F242" i="9"/>
  <c r="E242" i="9"/>
  <c r="D242" i="9"/>
  <c r="C242" i="9"/>
  <c r="B242" i="9"/>
  <c r="A242" i="9"/>
  <c r="W241" i="9"/>
  <c r="V241" i="9"/>
  <c r="U241" i="9"/>
  <c r="T241" i="9"/>
  <c r="S241" i="9"/>
  <c r="R241" i="9"/>
  <c r="Q241" i="9"/>
  <c r="P241" i="9"/>
  <c r="O241" i="9"/>
  <c r="N241" i="9"/>
  <c r="M241" i="9"/>
  <c r="L241" i="9"/>
  <c r="K241" i="9"/>
  <c r="J241" i="9"/>
  <c r="I241" i="9"/>
  <c r="H241" i="9"/>
  <c r="G241" i="9"/>
  <c r="F241" i="9"/>
  <c r="E241" i="9"/>
  <c r="D241" i="9"/>
  <c r="C241" i="9"/>
  <c r="B241" i="9"/>
  <c r="A241" i="9"/>
  <c r="W240" i="9"/>
  <c r="V240" i="9"/>
  <c r="U240" i="9"/>
  <c r="T240" i="9"/>
  <c r="S240" i="9"/>
  <c r="R240" i="9"/>
  <c r="Q240" i="9"/>
  <c r="P240" i="9"/>
  <c r="O240" i="9"/>
  <c r="N240" i="9"/>
  <c r="M240" i="9"/>
  <c r="L240" i="9"/>
  <c r="K240" i="9"/>
  <c r="J240" i="9"/>
  <c r="I240" i="9"/>
  <c r="H240" i="9"/>
  <c r="G240" i="9"/>
  <c r="F240" i="9"/>
  <c r="E240" i="9"/>
  <c r="D240" i="9"/>
  <c r="C240" i="9"/>
  <c r="B240" i="9"/>
  <c r="A240" i="9"/>
  <c r="W239" i="9"/>
  <c r="V239" i="9"/>
  <c r="U239" i="9"/>
  <c r="T239" i="9"/>
  <c r="S239" i="9"/>
  <c r="R239" i="9"/>
  <c r="Q239" i="9"/>
  <c r="P239" i="9"/>
  <c r="O239" i="9"/>
  <c r="N239" i="9"/>
  <c r="M239" i="9"/>
  <c r="L239" i="9"/>
  <c r="K239" i="9"/>
  <c r="J239" i="9"/>
  <c r="I239" i="9"/>
  <c r="H239" i="9"/>
  <c r="G239" i="9"/>
  <c r="F239" i="9"/>
  <c r="E239" i="9"/>
  <c r="D239" i="9"/>
  <c r="C239" i="9"/>
  <c r="B239" i="9"/>
  <c r="A239" i="9"/>
  <c r="W238" i="9"/>
  <c r="V238" i="9"/>
  <c r="U238" i="9"/>
  <c r="T238" i="9"/>
  <c r="S238" i="9"/>
  <c r="R238" i="9"/>
  <c r="Q238" i="9"/>
  <c r="P238" i="9"/>
  <c r="O238" i="9"/>
  <c r="N238" i="9"/>
  <c r="M238" i="9"/>
  <c r="L238" i="9"/>
  <c r="K238" i="9"/>
  <c r="J238" i="9"/>
  <c r="I238" i="9"/>
  <c r="H238" i="9"/>
  <c r="G238" i="9"/>
  <c r="F238" i="9"/>
  <c r="E238" i="9"/>
  <c r="D238" i="9"/>
  <c r="C238" i="9"/>
  <c r="B238" i="9"/>
  <c r="A238" i="9"/>
  <c r="W237" i="9"/>
  <c r="V237" i="9"/>
  <c r="U237" i="9"/>
  <c r="T237" i="9"/>
  <c r="S237" i="9"/>
  <c r="R237" i="9"/>
  <c r="Q237" i="9"/>
  <c r="P237" i="9"/>
  <c r="O237" i="9"/>
  <c r="N237" i="9"/>
  <c r="M237" i="9"/>
  <c r="L237" i="9"/>
  <c r="K237" i="9"/>
  <c r="J237" i="9"/>
  <c r="I237" i="9"/>
  <c r="H237" i="9"/>
  <c r="G237" i="9"/>
  <c r="F237" i="9"/>
  <c r="E237" i="9"/>
  <c r="D237" i="9"/>
  <c r="C237" i="9"/>
  <c r="B237" i="9"/>
  <c r="A237" i="9"/>
  <c r="W236" i="9"/>
  <c r="V236" i="9"/>
  <c r="U236" i="9"/>
  <c r="T236" i="9"/>
  <c r="S236" i="9"/>
  <c r="R236" i="9"/>
  <c r="Q236" i="9"/>
  <c r="P236" i="9"/>
  <c r="O236" i="9"/>
  <c r="N236" i="9"/>
  <c r="M236" i="9"/>
  <c r="L236" i="9"/>
  <c r="K236" i="9"/>
  <c r="J236" i="9"/>
  <c r="I236" i="9"/>
  <c r="H236" i="9"/>
  <c r="G236" i="9"/>
  <c r="F236" i="9"/>
  <c r="E236" i="9"/>
  <c r="D236" i="9"/>
  <c r="C236" i="9"/>
  <c r="B236" i="9"/>
  <c r="A236" i="9"/>
  <c r="W235" i="9"/>
  <c r="V235" i="9"/>
  <c r="U235" i="9"/>
  <c r="T235" i="9"/>
  <c r="S235" i="9"/>
  <c r="R235" i="9"/>
  <c r="Q235" i="9"/>
  <c r="P235" i="9"/>
  <c r="O235" i="9"/>
  <c r="N235" i="9"/>
  <c r="M235" i="9"/>
  <c r="L235" i="9"/>
  <c r="K235" i="9"/>
  <c r="J235" i="9"/>
  <c r="I235" i="9"/>
  <c r="H235" i="9"/>
  <c r="G235" i="9"/>
  <c r="F235" i="9"/>
  <c r="E235" i="9"/>
  <c r="D235" i="9"/>
  <c r="C235" i="9"/>
  <c r="B235" i="9"/>
  <c r="A235" i="9"/>
  <c r="W234" i="9"/>
  <c r="V234" i="9"/>
  <c r="U234" i="9"/>
  <c r="T234" i="9"/>
  <c r="S234" i="9"/>
  <c r="R234" i="9"/>
  <c r="Q234" i="9"/>
  <c r="P234" i="9"/>
  <c r="O234" i="9"/>
  <c r="N234" i="9"/>
  <c r="M234" i="9"/>
  <c r="L234" i="9"/>
  <c r="K234" i="9"/>
  <c r="J234" i="9"/>
  <c r="I234" i="9"/>
  <c r="H234" i="9"/>
  <c r="G234" i="9"/>
  <c r="F234" i="9"/>
  <c r="E234" i="9"/>
  <c r="D234" i="9"/>
  <c r="C234" i="9"/>
  <c r="B234" i="9"/>
  <c r="A234" i="9"/>
  <c r="W233" i="9"/>
  <c r="V233" i="9"/>
  <c r="U233" i="9"/>
  <c r="T233" i="9"/>
  <c r="S233" i="9"/>
  <c r="R233" i="9"/>
  <c r="Q233" i="9"/>
  <c r="P233" i="9"/>
  <c r="O233" i="9"/>
  <c r="N233" i="9"/>
  <c r="M233" i="9"/>
  <c r="L233" i="9"/>
  <c r="K233" i="9"/>
  <c r="J233" i="9"/>
  <c r="I233" i="9"/>
  <c r="H233" i="9"/>
  <c r="G233" i="9"/>
  <c r="F233" i="9"/>
  <c r="E233" i="9"/>
  <c r="D233" i="9"/>
  <c r="C233" i="9"/>
  <c r="B233" i="9"/>
  <c r="A233" i="9"/>
  <c r="W232" i="9"/>
  <c r="V232" i="9"/>
  <c r="U232" i="9"/>
  <c r="T232" i="9"/>
  <c r="S232" i="9"/>
  <c r="R232" i="9"/>
  <c r="Q232" i="9"/>
  <c r="P232" i="9"/>
  <c r="O232" i="9"/>
  <c r="N232" i="9"/>
  <c r="M232" i="9"/>
  <c r="L232" i="9"/>
  <c r="K232" i="9"/>
  <c r="J232" i="9"/>
  <c r="I232" i="9"/>
  <c r="H232" i="9"/>
  <c r="G232" i="9"/>
  <c r="F232" i="9"/>
  <c r="E232" i="9"/>
  <c r="D232" i="9"/>
  <c r="C232" i="9"/>
  <c r="B232" i="9"/>
  <c r="A232" i="9"/>
  <c r="W231" i="9"/>
  <c r="V231" i="9"/>
  <c r="U231" i="9"/>
  <c r="T231" i="9"/>
  <c r="S231" i="9"/>
  <c r="R231" i="9"/>
  <c r="Q231" i="9"/>
  <c r="P231" i="9"/>
  <c r="O231" i="9"/>
  <c r="N231" i="9"/>
  <c r="M231" i="9"/>
  <c r="L231" i="9"/>
  <c r="K231" i="9"/>
  <c r="J231" i="9"/>
  <c r="I231" i="9"/>
  <c r="H231" i="9"/>
  <c r="G231" i="9"/>
  <c r="F231" i="9"/>
  <c r="E231" i="9"/>
  <c r="D231" i="9"/>
  <c r="C231" i="9"/>
  <c r="B231" i="9"/>
  <c r="A231" i="9"/>
  <c r="W230" i="9"/>
  <c r="V230" i="9"/>
  <c r="U230" i="9"/>
  <c r="T230" i="9"/>
  <c r="S230" i="9"/>
  <c r="R230" i="9"/>
  <c r="Q230" i="9"/>
  <c r="P230" i="9"/>
  <c r="O230" i="9"/>
  <c r="N230" i="9"/>
  <c r="M230" i="9"/>
  <c r="L230" i="9"/>
  <c r="K230" i="9"/>
  <c r="J230" i="9"/>
  <c r="I230" i="9"/>
  <c r="H230" i="9"/>
  <c r="G230" i="9"/>
  <c r="F230" i="9"/>
  <c r="E230" i="9"/>
  <c r="D230" i="9"/>
  <c r="C230" i="9"/>
  <c r="B230" i="9"/>
  <c r="A230" i="9"/>
  <c r="W229" i="9"/>
  <c r="V229" i="9"/>
  <c r="U229" i="9"/>
  <c r="T229" i="9"/>
  <c r="S229" i="9"/>
  <c r="R229" i="9"/>
  <c r="Q229" i="9"/>
  <c r="P229" i="9"/>
  <c r="O229" i="9"/>
  <c r="N229" i="9"/>
  <c r="M229" i="9"/>
  <c r="L229" i="9"/>
  <c r="K229" i="9"/>
  <c r="J229" i="9"/>
  <c r="I229" i="9"/>
  <c r="H229" i="9"/>
  <c r="G229" i="9"/>
  <c r="F229" i="9"/>
  <c r="E229" i="9"/>
  <c r="D229" i="9"/>
  <c r="C229" i="9"/>
  <c r="B229" i="9"/>
  <c r="A229" i="9"/>
  <c r="W228" i="9"/>
  <c r="V228" i="9"/>
  <c r="U228" i="9"/>
  <c r="T228" i="9"/>
  <c r="S228" i="9"/>
  <c r="R228" i="9"/>
  <c r="Q228" i="9"/>
  <c r="P228" i="9"/>
  <c r="O228" i="9"/>
  <c r="N228" i="9"/>
  <c r="M228" i="9"/>
  <c r="L228" i="9"/>
  <c r="K228" i="9"/>
  <c r="J228" i="9"/>
  <c r="I228" i="9"/>
  <c r="H228" i="9"/>
  <c r="G228" i="9"/>
  <c r="F228" i="9"/>
  <c r="E228" i="9"/>
  <c r="D228" i="9"/>
  <c r="C228" i="9"/>
  <c r="B228" i="9"/>
  <c r="A228" i="9"/>
  <c r="W227" i="9"/>
  <c r="V227" i="9"/>
  <c r="U227" i="9"/>
  <c r="T227" i="9"/>
  <c r="S227" i="9"/>
  <c r="R227" i="9"/>
  <c r="Q227" i="9"/>
  <c r="P227" i="9"/>
  <c r="O227" i="9"/>
  <c r="N227" i="9"/>
  <c r="M227" i="9"/>
  <c r="L227" i="9"/>
  <c r="K227" i="9"/>
  <c r="J227" i="9"/>
  <c r="I227" i="9"/>
  <c r="H227" i="9"/>
  <c r="G227" i="9"/>
  <c r="F227" i="9"/>
  <c r="E227" i="9"/>
  <c r="D227" i="9"/>
  <c r="C227" i="9"/>
  <c r="B227" i="9"/>
  <c r="A227" i="9"/>
  <c r="W226" i="9"/>
  <c r="V226" i="9"/>
  <c r="U226" i="9"/>
  <c r="T226" i="9"/>
  <c r="S226" i="9"/>
  <c r="R226" i="9"/>
  <c r="Q226" i="9"/>
  <c r="P226" i="9"/>
  <c r="O226" i="9"/>
  <c r="N226" i="9"/>
  <c r="M226" i="9"/>
  <c r="L226" i="9"/>
  <c r="K226" i="9"/>
  <c r="J226" i="9"/>
  <c r="I226" i="9"/>
  <c r="H226" i="9"/>
  <c r="G226" i="9"/>
  <c r="F226" i="9"/>
  <c r="E226" i="9"/>
  <c r="D226" i="9"/>
  <c r="C226" i="9"/>
  <c r="B226" i="9"/>
  <c r="A226" i="9"/>
  <c r="W225" i="9"/>
  <c r="V225" i="9"/>
  <c r="U225" i="9"/>
  <c r="T225" i="9"/>
  <c r="S225" i="9"/>
  <c r="R225" i="9"/>
  <c r="Q225" i="9"/>
  <c r="P225" i="9"/>
  <c r="O225" i="9"/>
  <c r="N225" i="9"/>
  <c r="M225" i="9"/>
  <c r="L225" i="9"/>
  <c r="K225" i="9"/>
  <c r="J225" i="9"/>
  <c r="I225" i="9"/>
  <c r="H225" i="9"/>
  <c r="G225" i="9"/>
  <c r="F225" i="9"/>
  <c r="E225" i="9"/>
  <c r="D225" i="9"/>
  <c r="C225" i="9"/>
  <c r="B225" i="9"/>
  <c r="A225" i="9"/>
  <c r="W224" i="9"/>
  <c r="V224" i="9"/>
  <c r="U224" i="9"/>
  <c r="T224" i="9"/>
  <c r="S224" i="9"/>
  <c r="R224" i="9"/>
  <c r="Q224" i="9"/>
  <c r="P224" i="9"/>
  <c r="O224" i="9"/>
  <c r="N224" i="9"/>
  <c r="M224" i="9"/>
  <c r="L224" i="9"/>
  <c r="K224" i="9"/>
  <c r="J224" i="9"/>
  <c r="I224" i="9"/>
  <c r="H224" i="9"/>
  <c r="G224" i="9"/>
  <c r="F224" i="9"/>
  <c r="E224" i="9"/>
  <c r="D224" i="9"/>
  <c r="C224" i="9"/>
  <c r="B224" i="9"/>
  <c r="A224" i="9"/>
  <c r="W223" i="9"/>
  <c r="V223" i="9"/>
  <c r="U223" i="9"/>
  <c r="T223" i="9"/>
  <c r="S223" i="9"/>
  <c r="R223" i="9"/>
  <c r="Q223" i="9"/>
  <c r="P223" i="9"/>
  <c r="O223" i="9"/>
  <c r="N223" i="9"/>
  <c r="M223" i="9"/>
  <c r="L223" i="9"/>
  <c r="K223" i="9"/>
  <c r="J223" i="9"/>
  <c r="I223" i="9"/>
  <c r="H223" i="9"/>
  <c r="G223" i="9"/>
  <c r="F223" i="9"/>
  <c r="E223" i="9"/>
  <c r="D223" i="9"/>
  <c r="C223" i="9"/>
  <c r="B223" i="9"/>
  <c r="A223" i="9"/>
  <c r="W222" i="9"/>
  <c r="V222" i="9"/>
  <c r="U222" i="9"/>
  <c r="T222" i="9"/>
  <c r="S222" i="9"/>
  <c r="R222" i="9"/>
  <c r="Q222" i="9"/>
  <c r="P222" i="9"/>
  <c r="O222" i="9"/>
  <c r="N222" i="9"/>
  <c r="M222" i="9"/>
  <c r="L222" i="9"/>
  <c r="K222" i="9"/>
  <c r="J222" i="9"/>
  <c r="I222" i="9"/>
  <c r="H222" i="9"/>
  <c r="G222" i="9"/>
  <c r="F222" i="9"/>
  <c r="E222" i="9"/>
  <c r="D222" i="9"/>
  <c r="C222" i="9"/>
  <c r="B222" i="9"/>
  <c r="A222" i="9"/>
  <c r="W221" i="9"/>
  <c r="V221" i="9"/>
  <c r="U221" i="9"/>
  <c r="T221" i="9"/>
  <c r="S221" i="9"/>
  <c r="R221" i="9"/>
  <c r="Q221" i="9"/>
  <c r="P221" i="9"/>
  <c r="O221" i="9"/>
  <c r="N221" i="9"/>
  <c r="M221" i="9"/>
  <c r="L221" i="9"/>
  <c r="K221" i="9"/>
  <c r="J221" i="9"/>
  <c r="I221" i="9"/>
  <c r="H221" i="9"/>
  <c r="G221" i="9"/>
  <c r="F221" i="9"/>
  <c r="E221" i="9"/>
  <c r="D221" i="9"/>
  <c r="C221" i="9"/>
  <c r="B221" i="9"/>
  <c r="A221" i="9"/>
  <c r="W220" i="9"/>
  <c r="V220" i="9"/>
  <c r="U220" i="9"/>
  <c r="T220" i="9"/>
  <c r="S220" i="9"/>
  <c r="R220" i="9"/>
  <c r="Q220" i="9"/>
  <c r="P220" i="9"/>
  <c r="O220" i="9"/>
  <c r="N220" i="9"/>
  <c r="M220" i="9"/>
  <c r="L220" i="9"/>
  <c r="K220" i="9"/>
  <c r="J220" i="9"/>
  <c r="I220" i="9"/>
  <c r="H220" i="9"/>
  <c r="G220" i="9"/>
  <c r="F220" i="9"/>
  <c r="E220" i="9"/>
  <c r="D220" i="9"/>
  <c r="C220" i="9"/>
  <c r="B220" i="9"/>
  <c r="A220" i="9"/>
  <c r="W219" i="9"/>
  <c r="V219" i="9"/>
  <c r="U219" i="9"/>
  <c r="T219" i="9"/>
  <c r="S219" i="9"/>
  <c r="R219" i="9"/>
  <c r="Q219" i="9"/>
  <c r="P219" i="9"/>
  <c r="O219" i="9"/>
  <c r="N219" i="9"/>
  <c r="M219" i="9"/>
  <c r="L219" i="9"/>
  <c r="K219" i="9"/>
  <c r="J219" i="9"/>
  <c r="I219" i="9"/>
  <c r="H219" i="9"/>
  <c r="G219" i="9"/>
  <c r="F219" i="9"/>
  <c r="E219" i="9"/>
  <c r="D219" i="9"/>
  <c r="C219" i="9"/>
  <c r="B219" i="9"/>
  <c r="A219" i="9"/>
  <c r="W218" i="9"/>
  <c r="V218" i="9"/>
  <c r="U218" i="9"/>
  <c r="T218" i="9"/>
  <c r="S218" i="9"/>
  <c r="R218" i="9"/>
  <c r="Q218" i="9"/>
  <c r="P218" i="9"/>
  <c r="O218" i="9"/>
  <c r="N218" i="9"/>
  <c r="M218" i="9"/>
  <c r="L218" i="9"/>
  <c r="K218" i="9"/>
  <c r="J218" i="9"/>
  <c r="I218" i="9"/>
  <c r="H218" i="9"/>
  <c r="G218" i="9"/>
  <c r="F218" i="9"/>
  <c r="E218" i="9"/>
  <c r="D218" i="9"/>
  <c r="C218" i="9"/>
  <c r="B218" i="9"/>
  <c r="A218" i="9"/>
  <c r="W217" i="9"/>
  <c r="V217" i="9"/>
  <c r="U217" i="9"/>
  <c r="T217" i="9"/>
  <c r="S217" i="9"/>
  <c r="R217" i="9"/>
  <c r="Q217" i="9"/>
  <c r="P217" i="9"/>
  <c r="O217" i="9"/>
  <c r="N217" i="9"/>
  <c r="M217" i="9"/>
  <c r="L217" i="9"/>
  <c r="K217" i="9"/>
  <c r="J217" i="9"/>
  <c r="I217" i="9"/>
  <c r="H217" i="9"/>
  <c r="G217" i="9"/>
  <c r="F217" i="9"/>
  <c r="E217" i="9"/>
  <c r="D217" i="9"/>
  <c r="C217" i="9"/>
  <c r="B217" i="9"/>
  <c r="A217" i="9"/>
  <c r="W216" i="9"/>
  <c r="V216" i="9"/>
  <c r="U216" i="9"/>
  <c r="T216" i="9"/>
  <c r="S216" i="9"/>
  <c r="R216" i="9"/>
  <c r="Q216" i="9"/>
  <c r="P216" i="9"/>
  <c r="O216" i="9"/>
  <c r="N216" i="9"/>
  <c r="M216" i="9"/>
  <c r="L216" i="9"/>
  <c r="K216" i="9"/>
  <c r="J216" i="9"/>
  <c r="I216" i="9"/>
  <c r="H216" i="9"/>
  <c r="G216" i="9"/>
  <c r="F216" i="9"/>
  <c r="E216" i="9"/>
  <c r="D216" i="9"/>
  <c r="C216" i="9"/>
  <c r="B216" i="9"/>
  <c r="A216" i="9"/>
  <c r="W215" i="9"/>
  <c r="V215" i="9"/>
  <c r="U215" i="9"/>
  <c r="T215" i="9"/>
  <c r="S215" i="9"/>
  <c r="R215" i="9"/>
  <c r="Q215" i="9"/>
  <c r="P215" i="9"/>
  <c r="O215" i="9"/>
  <c r="N215" i="9"/>
  <c r="M215" i="9"/>
  <c r="L215" i="9"/>
  <c r="K215" i="9"/>
  <c r="J215" i="9"/>
  <c r="I215" i="9"/>
  <c r="H215" i="9"/>
  <c r="G215" i="9"/>
  <c r="F215" i="9"/>
  <c r="E215" i="9"/>
  <c r="D215" i="9"/>
  <c r="C215" i="9"/>
  <c r="B215" i="9"/>
  <c r="A215" i="9"/>
  <c r="W214" i="9"/>
  <c r="V214" i="9"/>
  <c r="U214" i="9"/>
  <c r="T214" i="9"/>
  <c r="S214" i="9"/>
  <c r="R214" i="9"/>
  <c r="Q214" i="9"/>
  <c r="P214" i="9"/>
  <c r="O214" i="9"/>
  <c r="N214" i="9"/>
  <c r="M214" i="9"/>
  <c r="L214" i="9"/>
  <c r="K214" i="9"/>
  <c r="J214" i="9"/>
  <c r="I214" i="9"/>
  <c r="H214" i="9"/>
  <c r="G214" i="9"/>
  <c r="F214" i="9"/>
  <c r="E214" i="9"/>
  <c r="D214" i="9"/>
  <c r="C214" i="9"/>
  <c r="B214" i="9"/>
  <c r="A214" i="9"/>
  <c r="W213" i="9"/>
  <c r="V213" i="9"/>
  <c r="U213" i="9"/>
  <c r="T213" i="9"/>
  <c r="S213" i="9"/>
  <c r="R213" i="9"/>
  <c r="Q213" i="9"/>
  <c r="P213" i="9"/>
  <c r="O213" i="9"/>
  <c r="N213" i="9"/>
  <c r="M213" i="9"/>
  <c r="L213" i="9"/>
  <c r="K213" i="9"/>
  <c r="J213" i="9"/>
  <c r="I213" i="9"/>
  <c r="H213" i="9"/>
  <c r="G213" i="9"/>
  <c r="F213" i="9"/>
  <c r="E213" i="9"/>
  <c r="D213" i="9"/>
  <c r="C213" i="9"/>
  <c r="B213" i="9"/>
  <c r="A213" i="9"/>
  <c r="W212" i="9"/>
  <c r="V212" i="9"/>
  <c r="U212" i="9"/>
  <c r="T212" i="9"/>
  <c r="S212" i="9"/>
  <c r="R212" i="9"/>
  <c r="Q212" i="9"/>
  <c r="P212" i="9"/>
  <c r="O212" i="9"/>
  <c r="N212" i="9"/>
  <c r="M212" i="9"/>
  <c r="L212" i="9"/>
  <c r="K212" i="9"/>
  <c r="J212" i="9"/>
  <c r="I212" i="9"/>
  <c r="H212" i="9"/>
  <c r="G212" i="9"/>
  <c r="F212" i="9"/>
  <c r="E212" i="9"/>
  <c r="D212" i="9"/>
  <c r="C212" i="9"/>
  <c r="B212" i="9"/>
  <c r="A212" i="9"/>
  <c r="W211" i="9"/>
  <c r="V211" i="9"/>
  <c r="U211" i="9"/>
  <c r="T211" i="9"/>
  <c r="S211" i="9"/>
  <c r="R211" i="9"/>
  <c r="Q211" i="9"/>
  <c r="P211" i="9"/>
  <c r="O211" i="9"/>
  <c r="N211" i="9"/>
  <c r="M211" i="9"/>
  <c r="L211" i="9"/>
  <c r="K211" i="9"/>
  <c r="J211" i="9"/>
  <c r="I211" i="9"/>
  <c r="H211" i="9"/>
  <c r="G211" i="9"/>
  <c r="F211" i="9"/>
  <c r="E211" i="9"/>
  <c r="D211" i="9"/>
  <c r="C211" i="9"/>
  <c r="B211" i="9"/>
  <c r="A211" i="9"/>
  <c r="W210" i="9"/>
  <c r="V210" i="9"/>
  <c r="U210" i="9"/>
  <c r="T210" i="9"/>
  <c r="S210" i="9"/>
  <c r="R210" i="9"/>
  <c r="Q210" i="9"/>
  <c r="P210" i="9"/>
  <c r="O210" i="9"/>
  <c r="N210" i="9"/>
  <c r="M210" i="9"/>
  <c r="L210" i="9"/>
  <c r="K210" i="9"/>
  <c r="J210" i="9"/>
  <c r="I210" i="9"/>
  <c r="H210" i="9"/>
  <c r="G210" i="9"/>
  <c r="F210" i="9"/>
  <c r="E210" i="9"/>
  <c r="D210" i="9"/>
  <c r="C210" i="9"/>
  <c r="B210" i="9"/>
  <c r="A210" i="9"/>
  <c r="W209" i="9"/>
  <c r="V209" i="9"/>
  <c r="U209" i="9"/>
  <c r="T209" i="9"/>
  <c r="S209" i="9"/>
  <c r="R209" i="9"/>
  <c r="Q209" i="9"/>
  <c r="P209" i="9"/>
  <c r="O209" i="9"/>
  <c r="N209" i="9"/>
  <c r="M209" i="9"/>
  <c r="L209" i="9"/>
  <c r="K209" i="9"/>
  <c r="J209" i="9"/>
  <c r="I209" i="9"/>
  <c r="H209" i="9"/>
  <c r="G209" i="9"/>
  <c r="F209" i="9"/>
  <c r="E209" i="9"/>
  <c r="D209" i="9"/>
  <c r="C209" i="9"/>
  <c r="B209" i="9"/>
  <c r="A209" i="9"/>
  <c r="W208" i="9"/>
  <c r="V208" i="9"/>
  <c r="U208" i="9"/>
  <c r="T208" i="9"/>
  <c r="S208" i="9"/>
  <c r="R208" i="9"/>
  <c r="Q208" i="9"/>
  <c r="P208" i="9"/>
  <c r="O208" i="9"/>
  <c r="N208" i="9"/>
  <c r="M208" i="9"/>
  <c r="L208" i="9"/>
  <c r="K208" i="9"/>
  <c r="J208" i="9"/>
  <c r="I208" i="9"/>
  <c r="H208" i="9"/>
  <c r="G208" i="9"/>
  <c r="F208" i="9"/>
  <c r="E208" i="9"/>
  <c r="D208" i="9"/>
  <c r="C208" i="9"/>
  <c r="B208" i="9"/>
  <c r="A208" i="9"/>
  <c r="W207" i="9"/>
  <c r="V207" i="9"/>
  <c r="U207" i="9"/>
  <c r="T207" i="9"/>
  <c r="S207" i="9"/>
  <c r="R207" i="9"/>
  <c r="Q207" i="9"/>
  <c r="P207" i="9"/>
  <c r="O207" i="9"/>
  <c r="N207" i="9"/>
  <c r="M207" i="9"/>
  <c r="L207" i="9"/>
  <c r="K207" i="9"/>
  <c r="J207" i="9"/>
  <c r="I207" i="9"/>
  <c r="H207" i="9"/>
  <c r="G207" i="9"/>
  <c r="F207" i="9"/>
  <c r="E207" i="9"/>
  <c r="D207" i="9"/>
  <c r="C207" i="9"/>
  <c r="B207" i="9"/>
  <c r="A207" i="9"/>
  <c r="W206" i="9"/>
  <c r="V206" i="9"/>
  <c r="U206" i="9"/>
  <c r="T206" i="9"/>
  <c r="S206" i="9"/>
  <c r="R206" i="9"/>
  <c r="Q206" i="9"/>
  <c r="P206" i="9"/>
  <c r="O206" i="9"/>
  <c r="N206" i="9"/>
  <c r="M206" i="9"/>
  <c r="L206" i="9"/>
  <c r="K206" i="9"/>
  <c r="J206" i="9"/>
  <c r="I206" i="9"/>
  <c r="H206" i="9"/>
  <c r="G206" i="9"/>
  <c r="F206" i="9"/>
  <c r="E206" i="9"/>
  <c r="D206" i="9"/>
  <c r="C206" i="9"/>
  <c r="B206" i="9"/>
  <c r="A206" i="9"/>
  <c r="W205" i="9"/>
  <c r="V205" i="9"/>
  <c r="U205" i="9"/>
  <c r="T205" i="9"/>
  <c r="S205" i="9"/>
  <c r="R205" i="9"/>
  <c r="Q205" i="9"/>
  <c r="P205" i="9"/>
  <c r="O205" i="9"/>
  <c r="N205" i="9"/>
  <c r="M205" i="9"/>
  <c r="L205" i="9"/>
  <c r="K205" i="9"/>
  <c r="J205" i="9"/>
  <c r="I205" i="9"/>
  <c r="H205" i="9"/>
  <c r="G205" i="9"/>
  <c r="F205" i="9"/>
  <c r="E205" i="9"/>
  <c r="D205" i="9"/>
  <c r="C205" i="9"/>
  <c r="B205" i="9"/>
  <c r="A205" i="9"/>
  <c r="W204" i="9"/>
  <c r="V204" i="9"/>
  <c r="U204" i="9"/>
  <c r="T204" i="9"/>
  <c r="S204" i="9"/>
  <c r="R204" i="9"/>
  <c r="Q204" i="9"/>
  <c r="P204" i="9"/>
  <c r="O204" i="9"/>
  <c r="N204" i="9"/>
  <c r="M204" i="9"/>
  <c r="L204" i="9"/>
  <c r="K204" i="9"/>
  <c r="J204" i="9"/>
  <c r="I204" i="9"/>
  <c r="H204" i="9"/>
  <c r="G204" i="9"/>
  <c r="F204" i="9"/>
  <c r="E204" i="9"/>
  <c r="D204" i="9"/>
  <c r="C204" i="9"/>
  <c r="B204" i="9"/>
  <c r="A204" i="9"/>
  <c r="W203" i="9"/>
  <c r="V203" i="9"/>
  <c r="U203" i="9"/>
  <c r="T203" i="9"/>
  <c r="S203" i="9"/>
  <c r="R203" i="9"/>
  <c r="Q203" i="9"/>
  <c r="P203" i="9"/>
  <c r="O203" i="9"/>
  <c r="N203" i="9"/>
  <c r="M203" i="9"/>
  <c r="L203" i="9"/>
  <c r="K203" i="9"/>
  <c r="J203" i="9"/>
  <c r="I203" i="9"/>
  <c r="H203" i="9"/>
  <c r="G203" i="9"/>
  <c r="F203" i="9"/>
  <c r="E203" i="9"/>
  <c r="D203" i="9"/>
  <c r="C203" i="9"/>
  <c r="B203" i="9"/>
  <c r="A203" i="9"/>
  <c r="W202" i="9"/>
  <c r="V202" i="9"/>
  <c r="U202" i="9"/>
  <c r="T202" i="9"/>
  <c r="S202" i="9"/>
  <c r="R202" i="9"/>
  <c r="Q202" i="9"/>
  <c r="P202" i="9"/>
  <c r="O202" i="9"/>
  <c r="N202" i="9"/>
  <c r="M202" i="9"/>
  <c r="L202" i="9"/>
  <c r="K202" i="9"/>
  <c r="J202" i="9"/>
  <c r="I202" i="9"/>
  <c r="H202" i="9"/>
  <c r="G202" i="9"/>
  <c r="F202" i="9"/>
  <c r="E202" i="9"/>
  <c r="D202" i="9"/>
  <c r="C202" i="9"/>
  <c r="B202" i="9"/>
  <c r="A202" i="9"/>
  <c r="W201" i="9"/>
  <c r="V201" i="9"/>
  <c r="U201" i="9"/>
  <c r="T201" i="9"/>
  <c r="S201" i="9"/>
  <c r="R201" i="9"/>
  <c r="Q201" i="9"/>
  <c r="P201" i="9"/>
  <c r="O201" i="9"/>
  <c r="N201" i="9"/>
  <c r="M201" i="9"/>
  <c r="L201" i="9"/>
  <c r="K201" i="9"/>
  <c r="J201" i="9"/>
  <c r="I201" i="9"/>
  <c r="H201" i="9"/>
  <c r="G201" i="9"/>
  <c r="F201" i="9"/>
  <c r="E201" i="9"/>
  <c r="D201" i="9"/>
  <c r="C201" i="9"/>
  <c r="B201" i="9"/>
  <c r="A201" i="9"/>
  <c r="W200" i="9"/>
  <c r="V200" i="9"/>
  <c r="U200" i="9"/>
  <c r="T200" i="9"/>
  <c r="S200" i="9"/>
  <c r="R200" i="9"/>
  <c r="Q200" i="9"/>
  <c r="P200" i="9"/>
  <c r="O200" i="9"/>
  <c r="N200" i="9"/>
  <c r="M200" i="9"/>
  <c r="L200" i="9"/>
  <c r="K200" i="9"/>
  <c r="J200" i="9"/>
  <c r="I200" i="9"/>
  <c r="H200" i="9"/>
  <c r="G200" i="9"/>
  <c r="F200" i="9"/>
  <c r="E200" i="9"/>
  <c r="D200" i="9"/>
  <c r="C200" i="9"/>
  <c r="B200" i="9"/>
  <c r="A200" i="9"/>
  <c r="W199" i="9"/>
  <c r="V199" i="9"/>
  <c r="U199" i="9"/>
  <c r="T199" i="9"/>
  <c r="S199" i="9"/>
  <c r="R199" i="9"/>
  <c r="Q199" i="9"/>
  <c r="P199" i="9"/>
  <c r="O199" i="9"/>
  <c r="N199" i="9"/>
  <c r="M199" i="9"/>
  <c r="L199" i="9"/>
  <c r="K199" i="9"/>
  <c r="J199" i="9"/>
  <c r="I199" i="9"/>
  <c r="H199" i="9"/>
  <c r="G199" i="9"/>
  <c r="F199" i="9"/>
  <c r="E199" i="9"/>
  <c r="D199" i="9"/>
  <c r="C199" i="9"/>
  <c r="B199" i="9"/>
  <c r="A199" i="9"/>
  <c r="W198" i="9"/>
  <c r="V198" i="9"/>
  <c r="U198" i="9"/>
  <c r="T198" i="9"/>
  <c r="S198" i="9"/>
  <c r="R198" i="9"/>
  <c r="Q198" i="9"/>
  <c r="P198" i="9"/>
  <c r="O198" i="9"/>
  <c r="N198" i="9"/>
  <c r="M198" i="9"/>
  <c r="L198" i="9"/>
  <c r="K198" i="9"/>
  <c r="J198" i="9"/>
  <c r="I198" i="9"/>
  <c r="H198" i="9"/>
  <c r="G198" i="9"/>
  <c r="F198" i="9"/>
  <c r="E198" i="9"/>
  <c r="D198" i="9"/>
  <c r="C198" i="9"/>
  <c r="B198" i="9"/>
  <c r="A198" i="9"/>
  <c r="W197" i="9"/>
  <c r="V197" i="9"/>
  <c r="U197" i="9"/>
  <c r="T197" i="9"/>
  <c r="S197" i="9"/>
  <c r="R197" i="9"/>
  <c r="Q197" i="9"/>
  <c r="P197" i="9"/>
  <c r="O197" i="9"/>
  <c r="N197" i="9"/>
  <c r="M197" i="9"/>
  <c r="L197" i="9"/>
  <c r="K197" i="9"/>
  <c r="J197" i="9"/>
  <c r="I197" i="9"/>
  <c r="H197" i="9"/>
  <c r="G197" i="9"/>
  <c r="F197" i="9"/>
  <c r="E197" i="9"/>
  <c r="D197" i="9"/>
  <c r="C197" i="9"/>
  <c r="B197" i="9"/>
  <c r="A197" i="9"/>
  <c r="W196" i="9"/>
  <c r="V196" i="9"/>
  <c r="U196" i="9"/>
  <c r="T196" i="9"/>
  <c r="S196" i="9"/>
  <c r="R196" i="9"/>
  <c r="Q196" i="9"/>
  <c r="P196" i="9"/>
  <c r="O196" i="9"/>
  <c r="N196" i="9"/>
  <c r="M196" i="9"/>
  <c r="L196" i="9"/>
  <c r="K196" i="9"/>
  <c r="J196" i="9"/>
  <c r="I196" i="9"/>
  <c r="H196" i="9"/>
  <c r="G196" i="9"/>
  <c r="F196" i="9"/>
  <c r="E196" i="9"/>
  <c r="D196" i="9"/>
  <c r="C196" i="9"/>
  <c r="B196" i="9"/>
  <c r="A196" i="9"/>
  <c r="W195" i="9"/>
  <c r="V195" i="9"/>
  <c r="U195" i="9"/>
  <c r="T195" i="9"/>
  <c r="S195" i="9"/>
  <c r="R195" i="9"/>
  <c r="Q195" i="9"/>
  <c r="P195" i="9"/>
  <c r="O195" i="9"/>
  <c r="N195" i="9"/>
  <c r="M195" i="9"/>
  <c r="L195" i="9"/>
  <c r="K195" i="9"/>
  <c r="J195" i="9"/>
  <c r="I195" i="9"/>
  <c r="H195" i="9"/>
  <c r="G195" i="9"/>
  <c r="F195" i="9"/>
  <c r="E195" i="9"/>
  <c r="D195" i="9"/>
  <c r="C195" i="9"/>
  <c r="B195" i="9"/>
  <c r="A195" i="9"/>
  <c r="W194" i="9"/>
  <c r="V194" i="9"/>
  <c r="U194" i="9"/>
  <c r="T194" i="9"/>
  <c r="S194" i="9"/>
  <c r="R194" i="9"/>
  <c r="Q194" i="9"/>
  <c r="P194" i="9"/>
  <c r="O194" i="9"/>
  <c r="N194" i="9"/>
  <c r="M194" i="9"/>
  <c r="L194" i="9"/>
  <c r="K194" i="9"/>
  <c r="J194" i="9"/>
  <c r="I194" i="9"/>
  <c r="H194" i="9"/>
  <c r="G194" i="9"/>
  <c r="F194" i="9"/>
  <c r="E194" i="9"/>
  <c r="D194" i="9"/>
  <c r="C194" i="9"/>
  <c r="B194" i="9"/>
  <c r="A194" i="9"/>
  <c r="W193" i="9"/>
  <c r="V193" i="9"/>
  <c r="U193" i="9"/>
  <c r="T193" i="9"/>
  <c r="S193" i="9"/>
  <c r="R193" i="9"/>
  <c r="Q193" i="9"/>
  <c r="P193" i="9"/>
  <c r="O193" i="9"/>
  <c r="N193" i="9"/>
  <c r="M193" i="9"/>
  <c r="L193" i="9"/>
  <c r="K193" i="9"/>
  <c r="J193" i="9"/>
  <c r="I193" i="9"/>
  <c r="H193" i="9"/>
  <c r="G193" i="9"/>
  <c r="F193" i="9"/>
  <c r="E193" i="9"/>
  <c r="D193" i="9"/>
  <c r="C193" i="9"/>
  <c r="B193" i="9"/>
  <c r="A193" i="9"/>
  <c r="W192" i="9"/>
  <c r="V192" i="9"/>
  <c r="U192" i="9"/>
  <c r="T192" i="9"/>
  <c r="S192" i="9"/>
  <c r="R192" i="9"/>
  <c r="Q192" i="9"/>
  <c r="P192" i="9"/>
  <c r="O192" i="9"/>
  <c r="N192" i="9"/>
  <c r="M192" i="9"/>
  <c r="L192" i="9"/>
  <c r="K192" i="9"/>
  <c r="J192" i="9"/>
  <c r="I192" i="9"/>
  <c r="H192" i="9"/>
  <c r="G192" i="9"/>
  <c r="F192" i="9"/>
  <c r="E192" i="9"/>
  <c r="D192" i="9"/>
  <c r="C192" i="9"/>
  <c r="B192" i="9"/>
  <c r="A192" i="9"/>
  <c r="W191" i="9"/>
  <c r="V191" i="9"/>
  <c r="U191" i="9"/>
  <c r="T191" i="9"/>
  <c r="S191" i="9"/>
  <c r="R191" i="9"/>
  <c r="Q191" i="9"/>
  <c r="P191" i="9"/>
  <c r="O191" i="9"/>
  <c r="N191" i="9"/>
  <c r="M191" i="9"/>
  <c r="L191" i="9"/>
  <c r="K191" i="9"/>
  <c r="J191" i="9"/>
  <c r="I191" i="9"/>
  <c r="H191" i="9"/>
  <c r="G191" i="9"/>
  <c r="F191" i="9"/>
  <c r="E191" i="9"/>
  <c r="D191" i="9"/>
  <c r="C191" i="9"/>
  <c r="B191" i="9"/>
  <c r="A191" i="9"/>
  <c r="W190" i="9"/>
  <c r="V190" i="9"/>
  <c r="U190" i="9"/>
  <c r="T190" i="9"/>
  <c r="S190" i="9"/>
  <c r="R190" i="9"/>
  <c r="Q190" i="9"/>
  <c r="P190" i="9"/>
  <c r="O190" i="9"/>
  <c r="N190" i="9"/>
  <c r="M190" i="9"/>
  <c r="L190" i="9"/>
  <c r="K190" i="9"/>
  <c r="J190" i="9"/>
  <c r="I190" i="9"/>
  <c r="H190" i="9"/>
  <c r="G190" i="9"/>
  <c r="F190" i="9"/>
  <c r="E190" i="9"/>
  <c r="D190" i="9"/>
  <c r="C190" i="9"/>
  <c r="B190" i="9"/>
  <c r="A190" i="9"/>
  <c r="W189" i="9"/>
  <c r="V189" i="9"/>
  <c r="U189" i="9"/>
  <c r="T189" i="9"/>
  <c r="S189" i="9"/>
  <c r="R189" i="9"/>
  <c r="Q189" i="9"/>
  <c r="P189" i="9"/>
  <c r="O189" i="9"/>
  <c r="N189" i="9"/>
  <c r="M189" i="9"/>
  <c r="L189" i="9"/>
  <c r="K189" i="9"/>
  <c r="J189" i="9"/>
  <c r="I189" i="9"/>
  <c r="H189" i="9"/>
  <c r="G189" i="9"/>
  <c r="F189" i="9"/>
  <c r="E189" i="9"/>
  <c r="D189" i="9"/>
  <c r="C189" i="9"/>
  <c r="B189" i="9"/>
  <c r="A189" i="9"/>
  <c r="W188" i="9"/>
  <c r="V188" i="9"/>
  <c r="U188" i="9"/>
  <c r="T188" i="9"/>
  <c r="S188" i="9"/>
  <c r="R188" i="9"/>
  <c r="Q188" i="9"/>
  <c r="P188" i="9"/>
  <c r="O188" i="9"/>
  <c r="N188" i="9"/>
  <c r="M188" i="9"/>
  <c r="L188" i="9"/>
  <c r="K188" i="9"/>
  <c r="J188" i="9"/>
  <c r="I188" i="9"/>
  <c r="H188" i="9"/>
  <c r="G188" i="9"/>
  <c r="F188" i="9"/>
  <c r="E188" i="9"/>
  <c r="D188" i="9"/>
  <c r="C188" i="9"/>
  <c r="B188" i="9"/>
  <c r="A188" i="9"/>
  <c r="W187" i="9"/>
  <c r="V187" i="9"/>
  <c r="U187" i="9"/>
  <c r="T187" i="9"/>
  <c r="S187" i="9"/>
  <c r="R187" i="9"/>
  <c r="Q187" i="9"/>
  <c r="P187" i="9"/>
  <c r="O187" i="9"/>
  <c r="N187" i="9"/>
  <c r="M187" i="9"/>
  <c r="L187" i="9"/>
  <c r="K187" i="9"/>
  <c r="J187" i="9"/>
  <c r="I187" i="9"/>
  <c r="H187" i="9"/>
  <c r="G187" i="9"/>
  <c r="F187" i="9"/>
  <c r="E187" i="9"/>
  <c r="D187" i="9"/>
  <c r="C187" i="9"/>
  <c r="B187" i="9"/>
  <c r="A187" i="9"/>
  <c r="W186" i="9"/>
  <c r="V186" i="9"/>
  <c r="U186" i="9"/>
  <c r="T186" i="9"/>
  <c r="S186" i="9"/>
  <c r="R186" i="9"/>
  <c r="Q186" i="9"/>
  <c r="P186" i="9"/>
  <c r="O186" i="9"/>
  <c r="N186" i="9"/>
  <c r="M186" i="9"/>
  <c r="L186" i="9"/>
  <c r="K186" i="9"/>
  <c r="J186" i="9"/>
  <c r="I186" i="9"/>
  <c r="H186" i="9"/>
  <c r="G186" i="9"/>
  <c r="F186" i="9"/>
  <c r="E186" i="9"/>
  <c r="D186" i="9"/>
  <c r="C186" i="9"/>
  <c r="B186" i="9"/>
  <c r="A186" i="9"/>
  <c r="W185" i="9"/>
  <c r="V185" i="9"/>
  <c r="U185" i="9"/>
  <c r="T185" i="9"/>
  <c r="S185" i="9"/>
  <c r="R185" i="9"/>
  <c r="Q185" i="9"/>
  <c r="P185" i="9"/>
  <c r="O185" i="9"/>
  <c r="N185" i="9"/>
  <c r="M185" i="9"/>
  <c r="L185" i="9"/>
  <c r="K185" i="9"/>
  <c r="J185" i="9"/>
  <c r="I185" i="9"/>
  <c r="H185" i="9"/>
  <c r="G185" i="9"/>
  <c r="F185" i="9"/>
  <c r="E185" i="9"/>
  <c r="D185" i="9"/>
  <c r="C185" i="9"/>
  <c r="B185" i="9"/>
  <c r="A185" i="9"/>
  <c r="W184" i="9"/>
  <c r="V184" i="9"/>
  <c r="U184" i="9"/>
  <c r="T184" i="9"/>
  <c r="S184" i="9"/>
  <c r="R184" i="9"/>
  <c r="Q184" i="9"/>
  <c r="P184" i="9"/>
  <c r="O184" i="9"/>
  <c r="N184" i="9"/>
  <c r="M184" i="9"/>
  <c r="L184" i="9"/>
  <c r="K184" i="9"/>
  <c r="J184" i="9"/>
  <c r="I184" i="9"/>
  <c r="H184" i="9"/>
  <c r="G184" i="9"/>
  <c r="F184" i="9"/>
  <c r="E184" i="9"/>
  <c r="D184" i="9"/>
  <c r="C184" i="9"/>
  <c r="B184" i="9"/>
  <c r="A184" i="9"/>
  <c r="W183" i="9"/>
  <c r="V183" i="9"/>
  <c r="U183" i="9"/>
  <c r="T183" i="9"/>
  <c r="S183" i="9"/>
  <c r="R183" i="9"/>
  <c r="Q183" i="9"/>
  <c r="P183" i="9"/>
  <c r="O183" i="9"/>
  <c r="N183" i="9"/>
  <c r="M183" i="9"/>
  <c r="L183" i="9"/>
  <c r="K183" i="9"/>
  <c r="J183" i="9"/>
  <c r="I183" i="9"/>
  <c r="H183" i="9"/>
  <c r="G183" i="9"/>
  <c r="F183" i="9"/>
  <c r="E183" i="9"/>
  <c r="D183" i="9"/>
  <c r="C183" i="9"/>
  <c r="B183" i="9"/>
  <c r="A183" i="9"/>
  <c r="W182" i="9"/>
  <c r="V182" i="9"/>
  <c r="U182" i="9"/>
  <c r="T182" i="9"/>
  <c r="S182" i="9"/>
  <c r="R182" i="9"/>
  <c r="Q182" i="9"/>
  <c r="P182" i="9"/>
  <c r="O182" i="9"/>
  <c r="N182" i="9"/>
  <c r="M182" i="9"/>
  <c r="L182" i="9"/>
  <c r="K182" i="9"/>
  <c r="J182" i="9"/>
  <c r="I182" i="9"/>
  <c r="H182" i="9"/>
  <c r="G182" i="9"/>
  <c r="F182" i="9"/>
  <c r="E182" i="9"/>
  <c r="D182" i="9"/>
  <c r="C182" i="9"/>
  <c r="B182" i="9"/>
  <c r="A182" i="9"/>
  <c r="W181" i="9"/>
  <c r="V181" i="9"/>
  <c r="U181" i="9"/>
  <c r="T181" i="9"/>
  <c r="S181" i="9"/>
  <c r="R181" i="9"/>
  <c r="Q181" i="9"/>
  <c r="P181" i="9"/>
  <c r="O181" i="9"/>
  <c r="N181" i="9"/>
  <c r="M181" i="9"/>
  <c r="L181" i="9"/>
  <c r="K181" i="9"/>
  <c r="J181" i="9"/>
  <c r="I181" i="9"/>
  <c r="H181" i="9"/>
  <c r="G181" i="9"/>
  <c r="F181" i="9"/>
  <c r="E181" i="9"/>
  <c r="D181" i="9"/>
  <c r="C181" i="9"/>
  <c r="B181" i="9"/>
  <c r="A181" i="9"/>
  <c r="W180" i="9"/>
  <c r="V180" i="9"/>
  <c r="U180" i="9"/>
  <c r="T180" i="9"/>
  <c r="S180" i="9"/>
  <c r="R180" i="9"/>
  <c r="Q180" i="9"/>
  <c r="P180" i="9"/>
  <c r="O180" i="9"/>
  <c r="N180" i="9"/>
  <c r="M180" i="9"/>
  <c r="L180" i="9"/>
  <c r="K180" i="9"/>
  <c r="J180" i="9"/>
  <c r="I180" i="9"/>
  <c r="H180" i="9"/>
  <c r="G180" i="9"/>
  <c r="F180" i="9"/>
  <c r="E180" i="9"/>
  <c r="D180" i="9"/>
  <c r="C180" i="9"/>
  <c r="B180" i="9"/>
  <c r="A180" i="9"/>
  <c r="W179" i="9"/>
  <c r="V179" i="9"/>
  <c r="U179" i="9"/>
  <c r="T179" i="9"/>
  <c r="S179" i="9"/>
  <c r="R179" i="9"/>
  <c r="Q179" i="9"/>
  <c r="P179" i="9"/>
  <c r="O179" i="9"/>
  <c r="N179" i="9"/>
  <c r="M179" i="9"/>
  <c r="L179" i="9"/>
  <c r="K179" i="9"/>
  <c r="J179" i="9"/>
  <c r="I179" i="9"/>
  <c r="H179" i="9"/>
  <c r="G179" i="9"/>
  <c r="F179" i="9"/>
  <c r="E179" i="9"/>
  <c r="D179" i="9"/>
  <c r="C179" i="9"/>
  <c r="B179" i="9"/>
  <c r="A179" i="9"/>
  <c r="W178" i="9"/>
  <c r="V178" i="9"/>
  <c r="U178" i="9"/>
  <c r="T178" i="9"/>
  <c r="S178" i="9"/>
  <c r="R178" i="9"/>
  <c r="Q178" i="9"/>
  <c r="P178" i="9"/>
  <c r="O178" i="9"/>
  <c r="N178" i="9"/>
  <c r="M178" i="9"/>
  <c r="L178" i="9"/>
  <c r="K178" i="9"/>
  <c r="J178" i="9"/>
  <c r="I178" i="9"/>
  <c r="H178" i="9"/>
  <c r="G178" i="9"/>
  <c r="F178" i="9"/>
  <c r="E178" i="9"/>
  <c r="D178" i="9"/>
  <c r="C178" i="9"/>
  <c r="B178" i="9"/>
  <c r="A178" i="9"/>
  <c r="W177" i="9"/>
  <c r="V177" i="9"/>
  <c r="U177" i="9"/>
  <c r="T177" i="9"/>
  <c r="S177" i="9"/>
  <c r="R177" i="9"/>
  <c r="Q177" i="9"/>
  <c r="P177" i="9"/>
  <c r="O177" i="9"/>
  <c r="N177" i="9"/>
  <c r="M177" i="9"/>
  <c r="L177" i="9"/>
  <c r="K177" i="9"/>
  <c r="J177" i="9"/>
  <c r="I177" i="9"/>
  <c r="H177" i="9"/>
  <c r="G177" i="9"/>
  <c r="F177" i="9"/>
  <c r="E177" i="9"/>
  <c r="D177" i="9"/>
  <c r="C177" i="9"/>
  <c r="B177" i="9"/>
  <c r="A177" i="9"/>
  <c r="W176" i="9"/>
  <c r="V176" i="9"/>
  <c r="U176" i="9"/>
  <c r="T176" i="9"/>
  <c r="S176" i="9"/>
  <c r="R176" i="9"/>
  <c r="Q176" i="9"/>
  <c r="P176" i="9"/>
  <c r="O176" i="9"/>
  <c r="N176" i="9"/>
  <c r="M176" i="9"/>
  <c r="L176" i="9"/>
  <c r="K176" i="9"/>
  <c r="J176" i="9"/>
  <c r="I176" i="9"/>
  <c r="H176" i="9"/>
  <c r="G176" i="9"/>
  <c r="F176" i="9"/>
  <c r="E176" i="9"/>
  <c r="D176" i="9"/>
  <c r="C176" i="9"/>
  <c r="B176" i="9"/>
  <c r="A176" i="9"/>
  <c r="W175" i="9"/>
  <c r="V175" i="9"/>
  <c r="U175" i="9"/>
  <c r="T175" i="9"/>
  <c r="S175" i="9"/>
  <c r="R175" i="9"/>
  <c r="Q175" i="9"/>
  <c r="P175" i="9"/>
  <c r="O175" i="9"/>
  <c r="N175" i="9"/>
  <c r="M175" i="9"/>
  <c r="L175" i="9"/>
  <c r="K175" i="9"/>
  <c r="J175" i="9"/>
  <c r="I175" i="9"/>
  <c r="H175" i="9"/>
  <c r="G175" i="9"/>
  <c r="F175" i="9"/>
  <c r="E175" i="9"/>
  <c r="D175" i="9"/>
  <c r="C175" i="9"/>
  <c r="B175" i="9"/>
  <c r="A175" i="9"/>
  <c r="W174" i="9"/>
  <c r="V174" i="9"/>
  <c r="U174" i="9"/>
  <c r="T174" i="9"/>
  <c r="S174" i="9"/>
  <c r="R174" i="9"/>
  <c r="Q174" i="9"/>
  <c r="P174" i="9"/>
  <c r="O174" i="9"/>
  <c r="N174" i="9"/>
  <c r="M174" i="9"/>
  <c r="L174" i="9"/>
  <c r="K174" i="9"/>
  <c r="J174" i="9"/>
  <c r="I174" i="9"/>
  <c r="H174" i="9"/>
  <c r="G174" i="9"/>
  <c r="F174" i="9"/>
  <c r="E174" i="9"/>
  <c r="D174" i="9"/>
  <c r="C174" i="9"/>
  <c r="B174" i="9"/>
  <c r="A174" i="9"/>
  <c r="W173" i="9"/>
  <c r="V173" i="9"/>
  <c r="U173" i="9"/>
  <c r="T173" i="9"/>
  <c r="S173" i="9"/>
  <c r="R173" i="9"/>
  <c r="Q173" i="9"/>
  <c r="P173" i="9"/>
  <c r="O173" i="9"/>
  <c r="N173" i="9"/>
  <c r="M173" i="9"/>
  <c r="L173" i="9"/>
  <c r="K173" i="9"/>
  <c r="J173" i="9"/>
  <c r="I173" i="9"/>
  <c r="H173" i="9"/>
  <c r="G173" i="9"/>
  <c r="F173" i="9"/>
  <c r="E173" i="9"/>
  <c r="D173" i="9"/>
  <c r="C173" i="9"/>
  <c r="B173" i="9"/>
  <c r="A173" i="9"/>
  <c r="W172" i="9"/>
  <c r="V172" i="9"/>
  <c r="U172" i="9"/>
  <c r="T172" i="9"/>
  <c r="S172" i="9"/>
  <c r="R172" i="9"/>
  <c r="Q172" i="9"/>
  <c r="P172" i="9"/>
  <c r="O172" i="9"/>
  <c r="N172" i="9"/>
  <c r="M172" i="9"/>
  <c r="L172" i="9"/>
  <c r="K172" i="9"/>
  <c r="J172" i="9"/>
  <c r="I172" i="9"/>
  <c r="H172" i="9"/>
  <c r="G172" i="9"/>
  <c r="F172" i="9"/>
  <c r="E172" i="9"/>
  <c r="D172" i="9"/>
  <c r="C172" i="9"/>
  <c r="B172" i="9"/>
  <c r="A172" i="9"/>
  <c r="W171" i="9"/>
  <c r="V171" i="9"/>
  <c r="U171" i="9"/>
  <c r="T171" i="9"/>
  <c r="S171" i="9"/>
  <c r="R171" i="9"/>
  <c r="Q171" i="9"/>
  <c r="P171" i="9"/>
  <c r="O171" i="9"/>
  <c r="N171" i="9"/>
  <c r="M171" i="9"/>
  <c r="L171" i="9"/>
  <c r="K171" i="9"/>
  <c r="J171" i="9"/>
  <c r="I171" i="9"/>
  <c r="H171" i="9"/>
  <c r="G171" i="9"/>
  <c r="F171" i="9"/>
  <c r="E171" i="9"/>
  <c r="D171" i="9"/>
  <c r="C171" i="9"/>
  <c r="B171" i="9"/>
  <c r="A171" i="9"/>
  <c r="W170" i="9"/>
  <c r="V170" i="9"/>
  <c r="U170" i="9"/>
  <c r="T170" i="9"/>
  <c r="S170" i="9"/>
  <c r="R170" i="9"/>
  <c r="Q170" i="9"/>
  <c r="P170" i="9"/>
  <c r="O170" i="9"/>
  <c r="N170" i="9"/>
  <c r="M170" i="9"/>
  <c r="L170" i="9"/>
  <c r="K170" i="9"/>
  <c r="J170" i="9"/>
  <c r="I170" i="9"/>
  <c r="H170" i="9"/>
  <c r="G170" i="9"/>
  <c r="F170" i="9"/>
  <c r="E170" i="9"/>
  <c r="D170" i="9"/>
  <c r="C170" i="9"/>
  <c r="B170" i="9"/>
  <c r="A170" i="9"/>
  <c r="W169" i="9"/>
  <c r="V169" i="9"/>
  <c r="U169" i="9"/>
  <c r="T169" i="9"/>
  <c r="S169" i="9"/>
  <c r="R169" i="9"/>
  <c r="Q169" i="9"/>
  <c r="P169" i="9"/>
  <c r="O169" i="9"/>
  <c r="N169" i="9"/>
  <c r="M169" i="9"/>
  <c r="L169" i="9"/>
  <c r="K169" i="9"/>
  <c r="J169" i="9"/>
  <c r="I169" i="9"/>
  <c r="H169" i="9"/>
  <c r="G169" i="9"/>
  <c r="F169" i="9"/>
  <c r="E169" i="9"/>
  <c r="D169" i="9"/>
  <c r="C169" i="9"/>
  <c r="B169" i="9"/>
  <c r="A169" i="9"/>
  <c r="W168" i="9"/>
  <c r="V168" i="9"/>
  <c r="U168" i="9"/>
  <c r="T168" i="9"/>
  <c r="S168" i="9"/>
  <c r="R168" i="9"/>
  <c r="Q168" i="9"/>
  <c r="P168" i="9"/>
  <c r="O168" i="9"/>
  <c r="N168" i="9"/>
  <c r="M168" i="9"/>
  <c r="L168" i="9"/>
  <c r="K168" i="9"/>
  <c r="J168" i="9"/>
  <c r="I168" i="9"/>
  <c r="H168" i="9"/>
  <c r="G168" i="9"/>
  <c r="F168" i="9"/>
  <c r="E168" i="9"/>
  <c r="D168" i="9"/>
  <c r="C168" i="9"/>
  <c r="B168" i="9"/>
  <c r="A168" i="9"/>
  <c r="W167" i="9"/>
  <c r="V167" i="9"/>
  <c r="U167" i="9"/>
  <c r="T167" i="9"/>
  <c r="S167" i="9"/>
  <c r="R167" i="9"/>
  <c r="Q167" i="9"/>
  <c r="P167" i="9"/>
  <c r="O167" i="9"/>
  <c r="N167" i="9"/>
  <c r="M167" i="9"/>
  <c r="L167" i="9"/>
  <c r="K167" i="9"/>
  <c r="J167" i="9"/>
  <c r="I167" i="9"/>
  <c r="H167" i="9"/>
  <c r="G167" i="9"/>
  <c r="F167" i="9"/>
  <c r="E167" i="9"/>
  <c r="D167" i="9"/>
  <c r="C167" i="9"/>
  <c r="B167" i="9"/>
  <c r="A167" i="9"/>
  <c r="W166" i="9"/>
  <c r="V166" i="9"/>
  <c r="U166" i="9"/>
  <c r="T166" i="9"/>
  <c r="S166" i="9"/>
  <c r="R166" i="9"/>
  <c r="Q166" i="9"/>
  <c r="P166" i="9"/>
  <c r="O166" i="9"/>
  <c r="N166" i="9"/>
  <c r="M166" i="9"/>
  <c r="L166" i="9"/>
  <c r="K166" i="9"/>
  <c r="J166" i="9"/>
  <c r="I166" i="9"/>
  <c r="H166" i="9"/>
  <c r="G166" i="9"/>
  <c r="F166" i="9"/>
  <c r="E166" i="9"/>
  <c r="D166" i="9"/>
  <c r="C166" i="9"/>
  <c r="B166" i="9"/>
  <c r="A166" i="9"/>
  <c r="W165" i="9"/>
  <c r="V165" i="9"/>
  <c r="U165" i="9"/>
  <c r="T165" i="9"/>
  <c r="S165" i="9"/>
  <c r="R165" i="9"/>
  <c r="Q165" i="9"/>
  <c r="P165" i="9"/>
  <c r="O165" i="9"/>
  <c r="N165" i="9"/>
  <c r="M165" i="9"/>
  <c r="L165" i="9"/>
  <c r="K165" i="9"/>
  <c r="J165" i="9"/>
  <c r="I165" i="9"/>
  <c r="H165" i="9"/>
  <c r="G165" i="9"/>
  <c r="F165" i="9"/>
  <c r="E165" i="9"/>
  <c r="D165" i="9"/>
  <c r="C165" i="9"/>
  <c r="B165" i="9"/>
  <c r="A165" i="9"/>
  <c r="W164" i="9"/>
  <c r="V164" i="9"/>
  <c r="U164" i="9"/>
  <c r="T164" i="9"/>
  <c r="S164" i="9"/>
  <c r="R164" i="9"/>
  <c r="Q164" i="9"/>
  <c r="P164" i="9"/>
  <c r="O164" i="9"/>
  <c r="N164" i="9"/>
  <c r="M164" i="9"/>
  <c r="L164" i="9"/>
  <c r="K164" i="9"/>
  <c r="J164" i="9"/>
  <c r="I164" i="9"/>
  <c r="H164" i="9"/>
  <c r="G164" i="9"/>
  <c r="F164" i="9"/>
  <c r="E164" i="9"/>
  <c r="D164" i="9"/>
  <c r="C164" i="9"/>
  <c r="B164" i="9"/>
  <c r="A164" i="9"/>
  <c r="W163" i="9"/>
  <c r="V163" i="9"/>
  <c r="U163" i="9"/>
  <c r="T163" i="9"/>
  <c r="S163" i="9"/>
  <c r="R163" i="9"/>
  <c r="Q163" i="9"/>
  <c r="P163" i="9"/>
  <c r="O163" i="9"/>
  <c r="N163" i="9"/>
  <c r="M163" i="9"/>
  <c r="L163" i="9"/>
  <c r="K163" i="9"/>
  <c r="J163" i="9"/>
  <c r="I163" i="9"/>
  <c r="H163" i="9"/>
  <c r="G163" i="9"/>
  <c r="F163" i="9"/>
  <c r="E163" i="9"/>
  <c r="D163" i="9"/>
  <c r="C163" i="9"/>
  <c r="B163" i="9"/>
  <c r="A163" i="9"/>
  <c r="W162" i="9"/>
  <c r="V162" i="9"/>
  <c r="U162" i="9"/>
  <c r="T162" i="9"/>
  <c r="S162" i="9"/>
  <c r="R162" i="9"/>
  <c r="Q162" i="9"/>
  <c r="P162" i="9"/>
  <c r="O162" i="9"/>
  <c r="N162" i="9"/>
  <c r="M162" i="9"/>
  <c r="L162" i="9"/>
  <c r="K162" i="9"/>
  <c r="J162" i="9"/>
  <c r="I162" i="9"/>
  <c r="H162" i="9"/>
  <c r="G162" i="9"/>
  <c r="F162" i="9"/>
  <c r="E162" i="9"/>
  <c r="D162" i="9"/>
  <c r="C162" i="9"/>
  <c r="B162" i="9"/>
  <c r="A162" i="9"/>
  <c r="W161" i="9"/>
  <c r="V161" i="9"/>
  <c r="U161" i="9"/>
  <c r="T161" i="9"/>
  <c r="S161" i="9"/>
  <c r="R161" i="9"/>
  <c r="Q161" i="9"/>
  <c r="P161" i="9"/>
  <c r="O161" i="9"/>
  <c r="N161" i="9"/>
  <c r="M161" i="9"/>
  <c r="L161" i="9"/>
  <c r="K161" i="9"/>
  <c r="J161" i="9"/>
  <c r="I161" i="9"/>
  <c r="H161" i="9"/>
  <c r="G161" i="9"/>
  <c r="F161" i="9"/>
  <c r="E161" i="9"/>
  <c r="D161" i="9"/>
  <c r="C161" i="9"/>
  <c r="B161" i="9"/>
  <c r="A161" i="9"/>
  <c r="W160" i="9"/>
  <c r="V160" i="9"/>
  <c r="U160" i="9"/>
  <c r="T160" i="9"/>
  <c r="S160" i="9"/>
  <c r="R160" i="9"/>
  <c r="Q160" i="9"/>
  <c r="P160" i="9"/>
  <c r="O160" i="9"/>
  <c r="N160" i="9"/>
  <c r="M160" i="9"/>
  <c r="L160" i="9"/>
  <c r="K160" i="9"/>
  <c r="J160" i="9"/>
  <c r="I160" i="9"/>
  <c r="H160" i="9"/>
  <c r="G160" i="9"/>
  <c r="F160" i="9"/>
  <c r="E160" i="9"/>
  <c r="D160" i="9"/>
  <c r="C160" i="9"/>
  <c r="B160" i="9"/>
  <c r="A160" i="9"/>
  <c r="W159" i="9"/>
  <c r="V159" i="9"/>
  <c r="U159" i="9"/>
  <c r="T159" i="9"/>
  <c r="S159" i="9"/>
  <c r="R159" i="9"/>
  <c r="Q159" i="9"/>
  <c r="P159" i="9"/>
  <c r="O159" i="9"/>
  <c r="N159" i="9"/>
  <c r="M159" i="9"/>
  <c r="L159" i="9"/>
  <c r="K159" i="9"/>
  <c r="J159" i="9"/>
  <c r="I159" i="9"/>
  <c r="H159" i="9"/>
  <c r="G159" i="9"/>
  <c r="F159" i="9"/>
  <c r="E159" i="9"/>
  <c r="D159" i="9"/>
  <c r="C159" i="9"/>
  <c r="B159" i="9"/>
  <c r="A159" i="9"/>
  <c r="W158" i="9"/>
  <c r="V158" i="9"/>
  <c r="U158" i="9"/>
  <c r="T158" i="9"/>
  <c r="S158" i="9"/>
  <c r="R158" i="9"/>
  <c r="Q158" i="9"/>
  <c r="P158" i="9"/>
  <c r="O158" i="9"/>
  <c r="N158" i="9"/>
  <c r="M158" i="9"/>
  <c r="L158" i="9"/>
  <c r="K158" i="9"/>
  <c r="J158" i="9"/>
  <c r="I158" i="9"/>
  <c r="H158" i="9"/>
  <c r="G158" i="9"/>
  <c r="F158" i="9"/>
  <c r="E158" i="9"/>
  <c r="D158" i="9"/>
  <c r="C158" i="9"/>
  <c r="B158" i="9"/>
  <c r="A158" i="9"/>
  <c r="W157" i="9"/>
  <c r="V157" i="9"/>
  <c r="U157" i="9"/>
  <c r="T157" i="9"/>
  <c r="S157" i="9"/>
  <c r="R157" i="9"/>
  <c r="Q157" i="9"/>
  <c r="P157" i="9"/>
  <c r="O157" i="9"/>
  <c r="N157" i="9"/>
  <c r="M157" i="9"/>
  <c r="L157" i="9"/>
  <c r="K157" i="9"/>
  <c r="J157" i="9"/>
  <c r="I157" i="9"/>
  <c r="H157" i="9"/>
  <c r="G157" i="9"/>
  <c r="F157" i="9"/>
  <c r="E157" i="9"/>
  <c r="D157" i="9"/>
  <c r="C157" i="9"/>
  <c r="B157" i="9"/>
  <c r="A157" i="9"/>
  <c r="W156" i="9"/>
  <c r="V156" i="9"/>
  <c r="U156" i="9"/>
  <c r="T156" i="9"/>
  <c r="S156" i="9"/>
  <c r="R156" i="9"/>
  <c r="Q156" i="9"/>
  <c r="P156" i="9"/>
  <c r="O156" i="9"/>
  <c r="N156" i="9"/>
  <c r="M156" i="9"/>
  <c r="L156" i="9"/>
  <c r="K156" i="9"/>
  <c r="J156" i="9"/>
  <c r="I156" i="9"/>
  <c r="H156" i="9"/>
  <c r="G156" i="9"/>
  <c r="F156" i="9"/>
  <c r="E156" i="9"/>
  <c r="D156" i="9"/>
  <c r="C156" i="9"/>
  <c r="B156" i="9"/>
  <c r="A156" i="9"/>
  <c r="W155" i="9"/>
  <c r="V155" i="9"/>
  <c r="U155" i="9"/>
  <c r="T155" i="9"/>
  <c r="S155" i="9"/>
  <c r="R155" i="9"/>
  <c r="Q155" i="9"/>
  <c r="P155" i="9"/>
  <c r="O155" i="9"/>
  <c r="N155" i="9"/>
  <c r="M155" i="9"/>
  <c r="L155" i="9"/>
  <c r="K155" i="9"/>
  <c r="J155" i="9"/>
  <c r="I155" i="9"/>
  <c r="H155" i="9"/>
  <c r="G155" i="9"/>
  <c r="F155" i="9"/>
  <c r="E155" i="9"/>
  <c r="D155" i="9"/>
  <c r="C155" i="9"/>
  <c r="B155" i="9"/>
  <c r="A155" i="9"/>
  <c r="W154" i="9"/>
  <c r="V154" i="9"/>
  <c r="U154" i="9"/>
  <c r="T154" i="9"/>
  <c r="S154" i="9"/>
  <c r="R154" i="9"/>
  <c r="Q154" i="9"/>
  <c r="P154" i="9"/>
  <c r="O154" i="9"/>
  <c r="N154" i="9"/>
  <c r="M154" i="9"/>
  <c r="L154" i="9"/>
  <c r="K154" i="9"/>
  <c r="J154" i="9"/>
  <c r="I154" i="9"/>
  <c r="H154" i="9"/>
  <c r="G154" i="9"/>
  <c r="F154" i="9"/>
  <c r="E154" i="9"/>
  <c r="D154" i="9"/>
  <c r="C154" i="9"/>
  <c r="B154" i="9"/>
  <c r="A154" i="9"/>
  <c r="W153" i="9"/>
  <c r="V153" i="9"/>
  <c r="U153" i="9"/>
  <c r="T153" i="9"/>
  <c r="S153" i="9"/>
  <c r="R153" i="9"/>
  <c r="Q153" i="9"/>
  <c r="P153" i="9"/>
  <c r="O153" i="9"/>
  <c r="N153" i="9"/>
  <c r="M153" i="9"/>
  <c r="L153" i="9"/>
  <c r="K153" i="9"/>
  <c r="J153" i="9"/>
  <c r="I153" i="9"/>
  <c r="H153" i="9"/>
  <c r="G153" i="9"/>
  <c r="F153" i="9"/>
  <c r="E153" i="9"/>
  <c r="D153" i="9"/>
  <c r="C153" i="9"/>
  <c r="B153" i="9"/>
  <c r="A153" i="9"/>
  <c r="W152" i="9"/>
  <c r="V152" i="9"/>
  <c r="U152" i="9"/>
  <c r="T152" i="9"/>
  <c r="S152" i="9"/>
  <c r="R152" i="9"/>
  <c r="Q152" i="9"/>
  <c r="P152" i="9"/>
  <c r="O152" i="9"/>
  <c r="N152" i="9"/>
  <c r="M152" i="9"/>
  <c r="L152" i="9"/>
  <c r="K152" i="9"/>
  <c r="J152" i="9"/>
  <c r="I152" i="9"/>
  <c r="H152" i="9"/>
  <c r="G152" i="9"/>
  <c r="F152" i="9"/>
  <c r="E152" i="9"/>
  <c r="D152" i="9"/>
  <c r="C152" i="9"/>
  <c r="B152" i="9"/>
  <c r="A152" i="9"/>
  <c r="W151" i="9"/>
  <c r="V151" i="9"/>
  <c r="U151" i="9"/>
  <c r="T151" i="9"/>
  <c r="S151" i="9"/>
  <c r="R151" i="9"/>
  <c r="Q151" i="9"/>
  <c r="P151" i="9"/>
  <c r="O151" i="9"/>
  <c r="N151" i="9"/>
  <c r="M151" i="9"/>
  <c r="L151" i="9"/>
  <c r="K151" i="9"/>
  <c r="J151" i="9"/>
  <c r="I151" i="9"/>
  <c r="H151" i="9"/>
  <c r="G151" i="9"/>
  <c r="F151" i="9"/>
  <c r="E151" i="9"/>
  <c r="D151" i="9"/>
  <c r="C151" i="9"/>
  <c r="B151" i="9"/>
  <c r="A151" i="9"/>
  <c r="W150" i="9"/>
  <c r="V150" i="9"/>
  <c r="U150" i="9"/>
  <c r="T150" i="9"/>
  <c r="S150" i="9"/>
  <c r="R150" i="9"/>
  <c r="Q150" i="9"/>
  <c r="P150" i="9"/>
  <c r="O150" i="9"/>
  <c r="N150" i="9"/>
  <c r="M150" i="9"/>
  <c r="L150" i="9"/>
  <c r="K150" i="9"/>
  <c r="J150" i="9"/>
  <c r="I150" i="9"/>
  <c r="H150" i="9"/>
  <c r="G150" i="9"/>
  <c r="F150" i="9"/>
  <c r="E150" i="9"/>
  <c r="D150" i="9"/>
  <c r="C150" i="9"/>
  <c r="B150" i="9"/>
  <c r="A150" i="9"/>
  <c r="W149" i="9"/>
  <c r="V149" i="9"/>
  <c r="U149" i="9"/>
  <c r="T149" i="9"/>
  <c r="S149" i="9"/>
  <c r="R149" i="9"/>
  <c r="Q149" i="9"/>
  <c r="P149" i="9"/>
  <c r="O149" i="9"/>
  <c r="N149" i="9"/>
  <c r="M149" i="9"/>
  <c r="L149" i="9"/>
  <c r="K149" i="9"/>
  <c r="J149" i="9"/>
  <c r="I149" i="9"/>
  <c r="H149" i="9"/>
  <c r="G149" i="9"/>
  <c r="F149" i="9"/>
  <c r="E149" i="9"/>
  <c r="D149" i="9"/>
  <c r="C149" i="9"/>
  <c r="B149" i="9"/>
  <c r="A149" i="9"/>
  <c r="W148" i="9"/>
  <c r="V148" i="9"/>
  <c r="U148" i="9"/>
  <c r="T148" i="9"/>
  <c r="S148" i="9"/>
  <c r="R148" i="9"/>
  <c r="Q148" i="9"/>
  <c r="P148" i="9"/>
  <c r="O148" i="9"/>
  <c r="N148" i="9"/>
  <c r="M148" i="9"/>
  <c r="L148" i="9"/>
  <c r="K148" i="9"/>
  <c r="J148" i="9"/>
  <c r="I148" i="9"/>
  <c r="H148" i="9"/>
  <c r="G148" i="9"/>
  <c r="F148" i="9"/>
  <c r="E148" i="9"/>
  <c r="D148" i="9"/>
  <c r="C148" i="9"/>
  <c r="B148" i="9"/>
  <c r="A148" i="9"/>
  <c r="W147" i="9"/>
  <c r="V147" i="9"/>
  <c r="U147" i="9"/>
  <c r="T147" i="9"/>
  <c r="S147" i="9"/>
  <c r="R147" i="9"/>
  <c r="Q147" i="9"/>
  <c r="P147" i="9"/>
  <c r="O147" i="9"/>
  <c r="N147" i="9"/>
  <c r="M147" i="9"/>
  <c r="L147" i="9"/>
  <c r="K147" i="9"/>
  <c r="J147" i="9"/>
  <c r="I147" i="9"/>
  <c r="H147" i="9"/>
  <c r="G147" i="9"/>
  <c r="F147" i="9"/>
  <c r="E147" i="9"/>
  <c r="D147" i="9"/>
  <c r="C147" i="9"/>
  <c r="B147" i="9"/>
  <c r="A147" i="9"/>
  <c r="W146" i="9"/>
  <c r="V146" i="9"/>
  <c r="U146" i="9"/>
  <c r="T146" i="9"/>
  <c r="S146" i="9"/>
  <c r="R146" i="9"/>
  <c r="Q146" i="9"/>
  <c r="P146" i="9"/>
  <c r="O146" i="9"/>
  <c r="N146" i="9"/>
  <c r="M146" i="9"/>
  <c r="L146" i="9"/>
  <c r="K146" i="9"/>
  <c r="J146" i="9"/>
  <c r="I146" i="9"/>
  <c r="H146" i="9"/>
  <c r="G146" i="9"/>
  <c r="F146" i="9"/>
  <c r="E146" i="9"/>
  <c r="D146" i="9"/>
  <c r="C146" i="9"/>
  <c r="B146" i="9"/>
  <c r="A146" i="9"/>
  <c r="W145" i="9"/>
  <c r="V145" i="9"/>
  <c r="U145" i="9"/>
  <c r="T145" i="9"/>
  <c r="S145" i="9"/>
  <c r="R145" i="9"/>
  <c r="Q145" i="9"/>
  <c r="P145" i="9"/>
  <c r="O145" i="9"/>
  <c r="N145" i="9"/>
  <c r="M145" i="9"/>
  <c r="L145" i="9"/>
  <c r="K145" i="9"/>
  <c r="J145" i="9"/>
  <c r="I145" i="9"/>
  <c r="H145" i="9"/>
  <c r="G145" i="9"/>
  <c r="F145" i="9"/>
  <c r="E145" i="9"/>
  <c r="D145" i="9"/>
  <c r="C145" i="9"/>
  <c r="B145" i="9"/>
  <c r="A145" i="9"/>
  <c r="W144" i="9"/>
  <c r="V144" i="9"/>
  <c r="U144" i="9"/>
  <c r="T144" i="9"/>
  <c r="S144" i="9"/>
  <c r="R144" i="9"/>
  <c r="Q144" i="9"/>
  <c r="P144" i="9"/>
  <c r="O144" i="9"/>
  <c r="N144" i="9"/>
  <c r="M144" i="9"/>
  <c r="L144" i="9"/>
  <c r="K144" i="9"/>
  <c r="J144" i="9"/>
  <c r="I144" i="9"/>
  <c r="H144" i="9"/>
  <c r="G144" i="9"/>
  <c r="F144" i="9"/>
  <c r="E144" i="9"/>
  <c r="D144" i="9"/>
  <c r="C144" i="9"/>
  <c r="B144" i="9"/>
  <c r="A144" i="9"/>
  <c r="W143" i="9"/>
  <c r="V143" i="9"/>
  <c r="U143" i="9"/>
  <c r="T143" i="9"/>
  <c r="S143" i="9"/>
  <c r="R143" i="9"/>
  <c r="Q143" i="9"/>
  <c r="P143" i="9"/>
  <c r="O143" i="9"/>
  <c r="N143" i="9"/>
  <c r="M143" i="9"/>
  <c r="L143" i="9"/>
  <c r="K143" i="9"/>
  <c r="J143" i="9"/>
  <c r="I143" i="9"/>
  <c r="H143" i="9"/>
  <c r="G143" i="9"/>
  <c r="F143" i="9"/>
  <c r="E143" i="9"/>
  <c r="D143" i="9"/>
  <c r="C143" i="9"/>
  <c r="B143" i="9"/>
  <c r="A143" i="9"/>
  <c r="W142" i="9"/>
  <c r="V142" i="9"/>
  <c r="U142" i="9"/>
  <c r="T142" i="9"/>
  <c r="S142" i="9"/>
  <c r="R142" i="9"/>
  <c r="Q142" i="9"/>
  <c r="P142" i="9"/>
  <c r="O142" i="9"/>
  <c r="N142" i="9"/>
  <c r="M142" i="9"/>
  <c r="L142" i="9"/>
  <c r="K142" i="9"/>
  <c r="J142" i="9"/>
  <c r="I142" i="9"/>
  <c r="H142" i="9"/>
  <c r="G142" i="9"/>
  <c r="F142" i="9"/>
  <c r="E142" i="9"/>
  <c r="D142" i="9"/>
  <c r="C142" i="9"/>
  <c r="B142" i="9"/>
  <c r="A142" i="9"/>
  <c r="W141" i="9"/>
  <c r="V141" i="9"/>
  <c r="U141" i="9"/>
  <c r="T141" i="9"/>
  <c r="S141" i="9"/>
  <c r="R141" i="9"/>
  <c r="Q141" i="9"/>
  <c r="P141" i="9"/>
  <c r="O141" i="9"/>
  <c r="N141" i="9"/>
  <c r="M141" i="9"/>
  <c r="L141" i="9"/>
  <c r="K141" i="9"/>
  <c r="J141" i="9"/>
  <c r="I141" i="9"/>
  <c r="H141" i="9"/>
  <c r="G141" i="9"/>
  <c r="F141" i="9"/>
  <c r="E141" i="9"/>
  <c r="D141" i="9"/>
  <c r="C141" i="9"/>
  <c r="B141" i="9"/>
  <c r="A141" i="9"/>
  <c r="W140" i="9"/>
  <c r="V140" i="9"/>
  <c r="U140" i="9"/>
  <c r="T140" i="9"/>
  <c r="S140" i="9"/>
  <c r="R140" i="9"/>
  <c r="Q140" i="9"/>
  <c r="P140" i="9"/>
  <c r="O140" i="9"/>
  <c r="N140" i="9"/>
  <c r="M140" i="9"/>
  <c r="L140" i="9"/>
  <c r="K140" i="9"/>
  <c r="J140" i="9"/>
  <c r="I140" i="9"/>
  <c r="H140" i="9"/>
  <c r="G140" i="9"/>
  <c r="F140" i="9"/>
  <c r="E140" i="9"/>
  <c r="D140" i="9"/>
  <c r="C140" i="9"/>
  <c r="B140" i="9"/>
  <c r="A140" i="9"/>
  <c r="W139" i="9"/>
  <c r="V139" i="9"/>
  <c r="U139" i="9"/>
  <c r="T139" i="9"/>
  <c r="S139" i="9"/>
  <c r="R139" i="9"/>
  <c r="Q139" i="9"/>
  <c r="P139" i="9"/>
  <c r="O139" i="9"/>
  <c r="N139" i="9"/>
  <c r="M139" i="9"/>
  <c r="L139" i="9"/>
  <c r="K139" i="9"/>
  <c r="J139" i="9"/>
  <c r="I139" i="9"/>
  <c r="H139" i="9"/>
  <c r="G139" i="9"/>
  <c r="F139" i="9"/>
  <c r="E139" i="9"/>
  <c r="D139" i="9"/>
  <c r="C139" i="9"/>
  <c r="B139" i="9"/>
  <c r="A139" i="9"/>
  <c r="W138" i="9"/>
  <c r="V138" i="9"/>
  <c r="U138" i="9"/>
  <c r="T138" i="9"/>
  <c r="S138" i="9"/>
  <c r="R138" i="9"/>
  <c r="Q138" i="9"/>
  <c r="P138" i="9"/>
  <c r="O138" i="9"/>
  <c r="N138" i="9"/>
  <c r="M138" i="9"/>
  <c r="L138" i="9"/>
  <c r="K138" i="9"/>
  <c r="J138" i="9"/>
  <c r="I138" i="9"/>
  <c r="H138" i="9"/>
  <c r="G138" i="9"/>
  <c r="F138" i="9"/>
  <c r="E138" i="9"/>
  <c r="D138" i="9"/>
  <c r="C138" i="9"/>
  <c r="B138" i="9"/>
  <c r="A138" i="9"/>
  <c r="W137" i="9"/>
  <c r="V137" i="9"/>
  <c r="U137" i="9"/>
  <c r="T137" i="9"/>
  <c r="S137" i="9"/>
  <c r="R137" i="9"/>
  <c r="Q137" i="9"/>
  <c r="P137" i="9"/>
  <c r="O137" i="9"/>
  <c r="N137" i="9"/>
  <c r="M137" i="9"/>
  <c r="L137" i="9"/>
  <c r="K137" i="9"/>
  <c r="J137" i="9"/>
  <c r="I137" i="9"/>
  <c r="H137" i="9"/>
  <c r="G137" i="9"/>
  <c r="F137" i="9"/>
  <c r="E137" i="9"/>
  <c r="D137" i="9"/>
  <c r="C137" i="9"/>
  <c r="B137" i="9"/>
  <c r="A137" i="9"/>
  <c r="W136" i="9"/>
  <c r="V136" i="9"/>
  <c r="U136" i="9"/>
  <c r="T136" i="9"/>
  <c r="S136" i="9"/>
  <c r="R136" i="9"/>
  <c r="Q136" i="9"/>
  <c r="P136" i="9"/>
  <c r="O136" i="9"/>
  <c r="N136" i="9"/>
  <c r="M136" i="9"/>
  <c r="L136" i="9"/>
  <c r="K136" i="9"/>
  <c r="J136" i="9"/>
  <c r="I136" i="9"/>
  <c r="H136" i="9"/>
  <c r="G136" i="9"/>
  <c r="F136" i="9"/>
  <c r="E136" i="9"/>
  <c r="D136" i="9"/>
  <c r="C136" i="9"/>
  <c r="B136" i="9"/>
  <c r="A136" i="9"/>
  <c r="W135" i="9"/>
  <c r="V135" i="9"/>
  <c r="U135" i="9"/>
  <c r="T135" i="9"/>
  <c r="S135" i="9"/>
  <c r="R135" i="9"/>
  <c r="Q135" i="9"/>
  <c r="P135" i="9"/>
  <c r="O135" i="9"/>
  <c r="N135" i="9"/>
  <c r="M135" i="9"/>
  <c r="L135" i="9"/>
  <c r="K135" i="9"/>
  <c r="J135" i="9"/>
  <c r="I135" i="9"/>
  <c r="H135" i="9"/>
  <c r="G135" i="9"/>
  <c r="F135" i="9"/>
  <c r="E135" i="9"/>
  <c r="D135" i="9"/>
  <c r="C135" i="9"/>
  <c r="B135" i="9"/>
  <c r="A135" i="9"/>
  <c r="W134" i="9"/>
  <c r="V134" i="9"/>
  <c r="U134" i="9"/>
  <c r="T134" i="9"/>
  <c r="S134" i="9"/>
  <c r="R134" i="9"/>
  <c r="Q134" i="9"/>
  <c r="P134" i="9"/>
  <c r="O134" i="9"/>
  <c r="N134" i="9"/>
  <c r="M134" i="9"/>
  <c r="L134" i="9"/>
  <c r="K134" i="9"/>
  <c r="J134" i="9"/>
  <c r="I134" i="9"/>
  <c r="H134" i="9"/>
  <c r="G134" i="9"/>
  <c r="F134" i="9"/>
  <c r="E134" i="9"/>
  <c r="D134" i="9"/>
  <c r="C134" i="9"/>
  <c r="B134" i="9"/>
  <c r="A134" i="9"/>
  <c r="W133" i="9"/>
  <c r="V133" i="9"/>
  <c r="U133" i="9"/>
  <c r="T133" i="9"/>
  <c r="S133" i="9"/>
  <c r="R133" i="9"/>
  <c r="Q133" i="9"/>
  <c r="P133" i="9"/>
  <c r="O133" i="9"/>
  <c r="N133" i="9"/>
  <c r="M133" i="9"/>
  <c r="L133" i="9"/>
  <c r="K133" i="9"/>
  <c r="J133" i="9"/>
  <c r="I133" i="9"/>
  <c r="H133" i="9"/>
  <c r="G133" i="9"/>
  <c r="F133" i="9"/>
  <c r="E133" i="9"/>
  <c r="D133" i="9"/>
  <c r="C133" i="9"/>
  <c r="B133" i="9"/>
  <c r="A133" i="9"/>
  <c r="W132" i="9"/>
  <c r="V132" i="9"/>
  <c r="U132" i="9"/>
  <c r="T132" i="9"/>
  <c r="S132" i="9"/>
  <c r="R132" i="9"/>
  <c r="Q132" i="9"/>
  <c r="P132" i="9"/>
  <c r="O132" i="9"/>
  <c r="N132" i="9"/>
  <c r="M132" i="9"/>
  <c r="L132" i="9"/>
  <c r="K132" i="9"/>
  <c r="J132" i="9"/>
  <c r="I132" i="9"/>
  <c r="H132" i="9"/>
  <c r="G132" i="9"/>
  <c r="F132" i="9"/>
  <c r="E132" i="9"/>
  <c r="D132" i="9"/>
  <c r="C132" i="9"/>
  <c r="B132" i="9"/>
  <c r="A132" i="9"/>
  <c r="W131" i="9"/>
  <c r="V131" i="9"/>
  <c r="U131" i="9"/>
  <c r="T131" i="9"/>
  <c r="S131" i="9"/>
  <c r="R131" i="9"/>
  <c r="Q131" i="9"/>
  <c r="P131" i="9"/>
  <c r="O131" i="9"/>
  <c r="N131" i="9"/>
  <c r="M131" i="9"/>
  <c r="L131" i="9"/>
  <c r="K131" i="9"/>
  <c r="J131" i="9"/>
  <c r="I131" i="9"/>
  <c r="H131" i="9"/>
  <c r="G131" i="9"/>
  <c r="F131" i="9"/>
  <c r="E131" i="9"/>
  <c r="D131" i="9"/>
  <c r="C131" i="9"/>
  <c r="B131" i="9"/>
  <c r="A131" i="9"/>
  <c r="W130" i="9"/>
  <c r="V130" i="9"/>
  <c r="U130" i="9"/>
  <c r="T130" i="9"/>
  <c r="S130" i="9"/>
  <c r="R130" i="9"/>
  <c r="Q130" i="9"/>
  <c r="P130" i="9"/>
  <c r="O130" i="9"/>
  <c r="N130" i="9"/>
  <c r="M130" i="9"/>
  <c r="L130" i="9"/>
  <c r="K130" i="9"/>
  <c r="J130" i="9"/>
  <c r="I130" i="9"/>
  <c r="H130" i="9"/>
  <c r="G130" i="9"/>
  <c r="F130" i="9"/>
  <c r="E130" i="9"/>
  <c r="D130" i="9"/>
  <c r="C130" i="9"/>
  <c r="B130" i="9"/>
  <c r="A130" i="9"/>
  <c r="W129" i="9"/>
  <c r="V129" i="9"/>
  <c r="U129" i="9"/>
  <c r="T129" i="9"/>
  <c r="S129" i="9"/>
  <c r="R129" i="9"/>
  <c r="Q129" i="9"/>
  <c r="P129" i="9"/>
  <c r="O129" i="9"/>
  <c r="N129" i="9"/>
  <c r="M129" i="9"/>
  <c r="L129" i="9"/>
  <c r="K129" i="9"/>
  <c r="J129" i="9"/>
  <c r="I129" i="9"/>
  <c r="H129" i="9"/>
  <c r="G129" i="9"/>
  <c r="F129" i="9"/>
  <c r="E129" i="9"/>
  <c r="D129" i="9"/>
  <c r="C129" i="9"/>
  <c r="B129" i="9"/>
  <c r="A129" i="9"/>
  <c r="W128" i="9"/>
  <c r="V128" i="9"/>
  <c r="U128" i="9"/>
  <c r="T128" i="9"/>
  <c r="S128" i="9"/>
  <c r="R128" i="9"/>
  <c r="Q128" i="9"/>
  <c r="P128" i="9"/>
  <c r="O128" i="9"/>
  <c r="N128" i="9"/>
  <c r="M128" i="9"/>
  <c r="L128" i="9"/>
  <c r="K128" i="9"/>
  <c r="J128" i="9"/>
  <c r="I128" i="9"/>
  <c r="H128" i="9"/>
  <c r="G128" i="9"/>
  <c r="F128" i="9"/>
  <c r="E128" i="9"/>
  <c r="D128" i="9"/>
  <c r="C128" i="9"/>
  <c r="B128" i="9"/>
  <c r="A128" i="9"/>
  <c r="W127" i="9"/>
  <c r="V127" i="9"/>
  <c r="U127" i="9"/>
  <c r="T127" i="9"/>
  <c r="S127" i="9"/>
  <c r="R127" i="9"/>
  <c r="Q127" i="9"/>
  <c r="P127" i="9"/>
  <c r="O127" i="9"/>
  <c r="N127" i="9"/>
  <c r="M127" i="9"/>
  <c r="L127" i="9"/>
  <c r="K127" i="9"/>
  <c r="J127" i="9"/>
  <c r="I127" i="9"/>
  <c r="H127" i="9"/>
  <c r="G127" i="9"/>
  <c r="F127" i="9"/>
  <c r="E127" i="9"/>
  <c r="D127" i="9"/>
  <c r="C127" i="9"/>
  <c r="B127" i="9"/>
  <c r="A127" i="9"/>
  <c r="W126" i="9"/>
  <c r="V126" i="9"/>
  <c r="U126" i="9"/>
  <c r="T126" i="9"/>
  <c r="S126" i="9"/>
  <c r="R126" i="9"/>
  <c r="Q126" i="9"/>
  <c r="P126" i="9"/>
  <c r="O126" i="9"/>
  <c r="N126" i="9"/>
  <c r="M126" i="9"/>
  <c r="L126" i="9"/>
  <c r="K126" i="9"/>
  <c r="J126" i="9"/>
  <c r="I126" i="9"/>
  <c r="H126" i="9"/>
  <c r="G126" i="9"/>
  <c r="F126" i="9"/>
  <c r="E126" i="9"/>
  <c r="D126" i="9"/>
  <c r="C126" i="9"/>
  <c r="B126" i="9"/>
  <c r="A126" i="9"/>
  <c r="W125" i="9"/>
  <c r="V125" i="9"/>
  <c r="U125" i="9"/>
  <c r="T125" i="9"/>
  <c r="S125" i="9"/>
  <c r="R125" i="9"/>
  <c r="Q125" i="9"/>
  <c r="P125" i="9"/>
  <c r="O125" i="9"/>
  <c r="N125" i="9"/>
  <c r="M125" i="9"/>
  <c r="L125" i="9"/>
  <c r="K125" i="9"/>
  <c r="J125" i="9"/>
  <c r="I125" i="9"/>
  <c r="H125" i="9"/>
  <c r="G125" i="9"/>
  <c r="F125" i="9"/>
  <c r="E125" i="9"/>
  <c r="D125" i="9"/>
  <c r="C125" i="9"/>
  <c r="B125" i="9"/>
  <c r="A125" i="9"/>
  <c r="W124" i="9"/>
  <c r="V124" i="9"/>
  <c r="U124" i="9"/>
  <c r="T124" i="9"/>
  <c r="S124" i="9"/>
  <c r="R124" i="9"/>
  <c r="Q124" i="9"/>
  <c r="P124" i="9"/>
  <c r="O124" i="9"/>
  <c r="N124" i="9"/>
  <c r="M124" i="9"/>
  <c r="L124" i="9"/>
  <c r="K124" i="9"/>
  <c r="J124" i="9"/>
  <c r="I124" i="9"/>
  <c r="H124" i="9"/>
  <c r="G124" i="9"/>
  <c r="F124" i="9"/>
  <c r="E124" i="9"/>
  <c r="D124" i="9"/>
  <c r="C124" i="9"/>
  <c r="B124" i="9"/>
  <c r="A124" i="9"/>
  <c r="W123" i="9"/>
  <c r="V123" i="9"/>
  <c r="U123" i="9"/>
  <c r="T123" i="9"/>
  <c r="S123" i="9"/>
  <c r="R123" i="9"/>
  <c r="Q123" i="9"/>
  <c r="P123" i="9"/>
  <c r="O123" i="9"/>
  <c r="N123" i="9"/>
  <c r="M123" i="9"/>
  <c r="L123" i="9"/>
  <c r="K123" i="9"/>
  <c r="J123" i="9"/>
  <c r="I123" i="9"/>
  <c r="H123" i="9"/>
  <c r="G123" i="9"/>
  <c r="F123" i="9"/>
  <c r="E123" i="9"/>
  <c r="D123" i="9"/>
  <c r="C123" i="9"/>
  <c r="B123" i="9"/>
  <c r="A123" i="9"/>
  <c r="W122" i="9"/>
  <c r="V122" i="9"/>
  <c r="U122" i="9"/>
  <c r="T122" i="9"/>
  <c r="S122" i="9"/>
  <c r="R122" i="9"/>
  <c r="Q122" i="9"/>
  <c r="P122" i="9"/>
  <c r="O122" i="9"/>
  <c r="N122" i="9"/>
  <c r="M122" i="9"/>
  <c r="L122" i="9"/>
  <c r="K122" i="9"/>
  <c r="J122" i="9"/>
  <c r="I122" i="9"/>
  <c r="H122" i="9"/>
  <c r="G122" i="9"/>
  <c r="F122" i="9"/>
  <c r="E122" i="9"/>
  <c r="D122" i="9"/>
  <c r="C122" i="9"/>
  <c r="B122" i="9"/>
  <c r="A122" i="9"/>
  <c r="W121" i="9"/>
  <c r="V121" i="9"/>
  <c r="U121" i="9"/>
  <c r="T121" i="9"/>
  <c r="S121" i="9"/>
  <c r="R121" i="9"/>
  <c r="Q121" i="9"/>
  <c r="P121" i="9"/>
  <c r="O121" i="9"/>
  <c r="N121" i="9"/>
  <c r="M121" i="9"/>
  <c r="L121" i="9"/>
  <c r="K121" i="9"/>
  <c r="J121" i="9"/>
  <c r="I121" i="9"/>
  <c r="H121" i="9"/>
  <c r="G121" i="9"/>
  <c r="F121" i="9"/>
  <c r="E121" i="9"/>
  <c r="D121" i="9"/>
  <c r="C121" i="9"/>
  <c r="B121" i="9"/>
  <c r="A121" i="9"/>
  <c r="W120" i="9"/>
  <c r="V120" i="9"/>
  <c r="U120" i="9"/>
  <c r="T120" i="9"/>
  <c r="S120" i="9"/>
  <c r="R120" i="9"/>
  <c r="Q120" i="9"/>
  <c r="P120" i="9"/>
  <c r="O120" i="9"/>
  <c r="N120" i="9"/>
  <c r="M120" i="9"/>
  <c r="L120" i="9"/>
  <c r="K120" i="9"/>
  <c r="J120" i="9"/>
  <c r="I120" i="9"/>
  <c r="H120" i="9"/>
  <c r="G120" i="9"/>
  <c r="F120" i="9"/>
  <c r="E120" i="9"/>
  <c r="D120" i="9"/>
  <c r="C120" i="9"/>
  <c r="B120" i="9"/>
  <c r="A120" i="9"/>
  <c r="W119" i="9"/>
  <c r="V119" i="9"/>
  <c r="U119" i="9"/>
  <c r="T119" i="9"/>
  <c r="S119" i="9"/>
  <c r="R119" i="9"/>
  <c r="Q119" i="9"/>
  <c r="P119" i="9"/>
  <c r="O119" i="9"/>
  <c r="N119" i="9"/>
  <c r="M119" i="9"/>
  <c r="L119" i="9"/>
  <c r="K119" i="9"/>
  <c r="J119" i="9"/>
  <c r="I119" i="9"/>
  <c r="H119" i="9"/>
  <c r="G119" i="9"/>
  <c r="F119" i="9"/>
  <c r="E119" i="9"/>
  <c r="D119" i="9"/>
  <c r="C119" i="9"/>
  <c r="B119" i="9"/>
  <c r="A119" i="9"/>
  <c r="W118" i="9"/>
  <c r="V118" i="9"/>
  <c r="U118" i="9"/>
  <c r="T118" i="9"/>
  <c r="S118" i="9"/>
  <c r="R118" i="9"/>
  <c r="Q118" i="9"/>
  <c r="P118" i="9"/>
  <c r="O118" i="9"/>
  <c r="N118" i="9"/>
  <c r="M118" i="9"/>
  <c r="L118" i="9"/>
  <c r="K118" i="9"/>
  <c r="J118" i="9"/>
  <c r="I118" i="9"/>
  <c r="H118" i="9"/>
  <c r="G118" i="9"/>
  <c r="F118" i="9"/>
  <c r="E118" i="9"/>
  <c r="D118" i="9"/>
  <c r="C118" i="9"/>
  <c r="B118" i="9"/>
  <c r="A118" i="9"/>
  <c r="W117" i="9"/>
  <c r="V117" i="9"/>
  <c r="U117" i="9"/>
  <c r="T117" i="9"/>
  <c r="S117" i="9"/>
  <c r="R117" i="9"/>
  <c r="Q117" i="9"/>
  <c r="P117" i="9"/>
  <c r="O117" i="9"/>
  <c r="N117" i="9"/>
  <c r="M117" i="9"/>
  <c r="L117" i="9"/>
  <c r="K117" i="9"/>
  <c r="J117" i="9"/>
  <c r="I117" i="9"/>
  <c r="H117" i="9"/>
  <c r="G117" i="9"/>
  <c r="F117" i="9"/>
  <c r="E117" i="9"/>
  <c r="D117" i="9"/>
  <c r="C117" i="9"/>
  <c r="B117" i="9"/>
  <c r="A117" i="9"/>
  <c r="W116" i="9"/>
  <c r="V116" i="9"/>
  <c r="U116" i="9"/>
  <c r="T116" i="9"/>
  <c r="S116" i="9"/>
  <c r="R116" i="9"/>
  <c r="Q116" i="9"/>
  <c r="P116" i="9"/>
  <c r="O116" i="9"/>
  <c r="N116" i="9"/>
  <c r="M116" i="9"/>
  <c r="L116" i="9"/>
  <c r="K116" i="9"/>
  <c r="J116" i="9"/>
  <c r="I116" i="9"/>
  <c r="H116" i="9"/>
  <c r="G116" i="9"/>
  <c r="F116" i="9"/>
  <c r="E116" i="9"/>
  <c r="D116" i="9"/>
  <c r="C116" i="9"/>
  <c r="B116" i="9"/>
  <c r="A116" i="9"/>
  <c r="W115" i="9"/>
  <c r="V115" i="9"/>
  <c r="U115" i="9"/>
  <c r="T115" i="9"/>
  <c r="S115" i="9"/>
  <c r="R115" i="9"/>
  <c r="Q115" i="9"/>
  <c r="P115" i="9"/>
  <c r="O115" i="9"/>
  <c r="N115" i="9"/>
  <c r="M115" i="9"/>
  <c r="L115" i="9"/>
  <c r="K115" i="9"/>
  <c r="J115" i="9"/>
  <c r="I115" i="9"/>
  <c r="H115" i="9"/>
  <c r="G115" i="9"/>
  <c r="F115" i="9"/>
  <c r="E115" i="9"/>
  <c r="D115" i="9"/>
  <c r="C115" i="9"/>
  <c r="B115" i="9"/>
  <c r="A115" i="9"/>
  <c r="W114" i="9"/>
  <c r="V114" i="9"/>
  <c r="U114" i="9"/>
  <c r="T114" i="9"/>
  <c r="S114" i="9"/>
  <c r="R114" i="9"/>
  <c r="Q114" i="9"/>
  <c r="P114" i="9"/>
  <c r="O114" i="9"/>
  <c r="N114" i="9"/>
  <c r="M114" i="9"/>
  <c r="L114" i="9"/>
  <c r="K114" i="9"/>
  <c r="J114" i="9"/>
  <c r="I114" i="9"/>
  <c r="H114" i="9"/>
  <c r="G114" i="9"/>
  <c r="F114" i="9"/>
  <c r="E114" i="9"/>
  <c r="D114" i="9"/>
  <c r="C114" i="9"/>
  <c r="B114" i="9"/>
  <c r="A114" i="9"/>
  <c r="W113" i="9"/>
  <c r="V113" i="9"/>
  <c r="U113" i="9"/>
  <c r="T113" i="9"/>
  <c r="S113" i="9"/>
  <c r="R113" i="9"/>
  <c r="Q113" i="9"/>
  <c r="P113" i="9"/>
  <c r="O113" i="9"/>
  <c r="N113" i="9"/>
  <c r="M113" i="9"/>
  <c r="L113" i="9"/>
  <c r="K113" i="9"/>
  <c r="J113" i="9"/>
  <c r="I113" i="9"/>
  <c r="H113" i="9"/>
  <c r="G113" i="9"/>
  <c r="F113" i="9"/>
  <c r="E113" i="9"/>
  <c r="D113" i="9"/>
  <c r="C113" i="9"/>
  <c r="B113" i="9"/>
  <c r="A113" i="9"/>
  <c r="W112" i="9"/>
  <c r="V112" i="9"/>
  <c r="U112" i="9"/>
  <c r="T112" i="9"/>
  <c r="S112" i="9"/>
  <c r="R112" i="9"/>
  <c r="Q112" i="9"/>
  <c r="P112" i="9"/>
  <c r="O112" i="9"/>
  <c r="N112" i="9"/>
  <c r="M112" i="9"/>
  <c r="L112" i="9"/>
  <c r="K112" i="9"/>
  <c r="J112" i="9"/>
  <c r="I112" i="9"/>
  <c r="H112" i="9"/>
  <c r="G112" i="9"/>
  <c r="F112" i="9"/>
  <c r="E112" i="9"/>
  <c r="D112" i="9"/>
  <c r="C112" i="9"/>
  <c r="B112" i="9"/>
  <c r="A112" i="9"/>
  <c r="W111" i="9"/>
  <c r="V111" i="9"/>
  <c r="U111" i="9"/>
  <c r="T111" i="9"/>
  <c r="S111" i="9"/>
  <c r="R111" i="9"/>
  <c r="Q111" i="9"/>
  <c r="P111" i="9"/>
  <c r="O111" i="9"/>
  <c r="N111" i="9"/>
  <c r="M111" i="9"/>
  <c r="L111" i="9"/>
  <c r="K111" i="9"/>
  <c r="J111" i="9"/>
  <c r="I111" i="9"/>
  <c r="H111" i="9"/>
  <c r="G111" i="9"/>
  <c r="F111" i="9"/>
  <c r="E111" i="9"/>
  <c r="D111" i="9"/>
  <c r="C111" i="9"/>
  <c r="B111" i="9"/>
  <c r="A111" i="9"/>
  <c r="W110" i="9"/>
  <c r="V110" i="9"/>
  <c r="U110" i="9"/>
  <c r="T110" i="9"/>
  <c r="S110" i="9"/>
  <c r="R110" i="9"/>
  <c r="Q110" i="9"/>
  <c r="P110" i="9"/>
  <c r="O110" i="9"/>
  <c r="N110" i="9"/>
  <c r="M110" i="9"/>
  <c r="L110" i="9"/>
  <c r="K110" i="9"/>
  <c r="J110" i="9"/>
  <c r="I110" i="9"/>
  <c r="H110" i="9"/>
  <c r="G110" i="9"/>
  <c r="F110" i="9"/>
  <c r="E110" i="9"/>
  <c r="D110" i="9"/>
  <c r="C110" i="9"/>
  <c r="B110" i="9"/>
  <c r="A110" i="9"/>
  <c r="W109" i="9"/>
  <c r="V109" i="9"/>
  <c r="U109" i="9"/>
  <c r="T109" i="9"/>
  <c r="S109" i="9"/>
  <c r="R109" i="9"/>
  <c r="Q109" i="9"/>
  <c r="P109" i="9"/>
  <c r="O109" i="9"/>
  <c r="N109" i="9"/>
  <c r="M109" i="9"/>
  <c r="L109" i="9"/>
  <c r="K109" i="9"/>
  <c r="J109" i="9"/>
  <c r="I109" i="9"/>
  <c r="H109" i="9"/>
  <c r="G109" i="9"/>
  <c r="F109" i="9"/>
  <c r="E109" i="9"/>
  <c r="D109" i="9"/>
  <c r="C109" i="9"/>
  <c r="B109" i="9"/>
  <c r="A109" i="9"/>
  <c r="W108" i="9"/>
  <c r="V108" i="9"/>
  <c r="U108" i="9"/>
  <c r="T108" i="9"/>
  <c r="S108" i="9"/>
  <c r="R108" i="9"/>
  <c r="Q108" i="9"/>
  <c r="P108" i="9"/>
  <c r="O108" i="9"/>
  <c r="N108" i="9"/>
  <c r="M108" i="9"/>
  <c r="L108" i="9"/>
  <c r="K108" i="9"/>
  <c r="J108" i="9"/>
  <c r="I108" i="9"/>
  <c r="H108" i="9"/>
  <c r="G108" i="9"/>
  <c r="F108" i="9"/>
  <c r="E108" i="9"/>
  <c r="D108" i="9"/>
  <c r="C108" i="9"/>
  <c r="B108" i="9"/>
  <c r="A108" i="9"/>
  <c r="W107" i="9"/>
  <c r="V107" i="9"/>
  <c r="U107" i="9"/>
  <c r="T107" i="9"/>
  <c r="S107" i="9"/>
  <c r="R107" i="9"/>
  <c r="Q107" i="9"/>
  <c r="P107" i="9"/>
  <c r="O107" i="9"/>
  <c r="N107" i="9"/>
  <c r="M107" i="9"/>
  <c r="L107" i="9"/>
  <c r="K107" i="9"/>
  <c r="J107" i="9"/>
  <c r="I107" i="9"/>
  <c r="H107" i="9"/>
  <c r="G107" i="9"/>
  <c r="F107" i="9"/>
  <c r="E107" i="9"/>
  <c r="D107" i="9"/>
  <c r="C107" i="9"/>
  <c r="B107" i="9"/>
  <c r="A107" i="9"/>
  <c r="W106" i="9"/>
  <c r="V106" i="9"/>
  <c r="U106" i="9"/>
  <c r="T106" i="9"/>
  <c r="S106" i="9"/>
  <c r="R106" i="9"/>
  <c r="Q106" i="9"/>
  <c r="P106" i="9"/>
  <c r="O106" i="9"/>
  <c r="N106" i="9"/>
  <c r="M106" i="9"/>
  <c r="L106" i="9"/>
  <c r="K106" i="9"/>
  <c r="J106" i="9"/>
  <c r="I106" i="9"/>
  <c r="H106" i="9"/>
  <c r="G106" i="9"/>
  <c r="F106" i="9"/>
  <c r="E106" i="9"/>
  <c r="D106" i="9"/>
  <c r="C106" i="9"/>
  <c r="B106" i="9"/>
  <c r="A106" i="9"/>
  <c r="W105" i="9"/>
  <c r="V105" i="9"/>
  <c r="U105" i="9"/>
  <c r="T105" i="9"/>
  <c r="S105" i="9"/>
  <c r="R105" i="9"/>
  <c r="Q105" i="9"/>
  <c r="P105" i="9"/>
  <c r="O105" i="9"/>
  <c r="N105" i="9"/>
  <c r="M105" i="9"/>
  <c r="L105" i="9"/>
  <c r="K105" i="9"/>
  <c r="J105" i="9"/>
  <c r="I105" i="9"/>
  <c r="H105" i="9"/>
  <c r="G105" i="9"/>
  <c r="F105" i="9"/>
  <c r="E105" i="9"/>
  <c r="D105" i="9"/>
  <c r="C105" i="9"/>
  <c r="B105" i="9"/>
  <c r="A105" i="9"/>
  <c r="W104" i="9"/>
  <c r="V104" i="9"/>
  <c r="U104" i="9"/>
  <c r="T104" i="9"/>
  <c r="S104" i="9"/>
  <c r="R104" i="9"/>
  <c r="Q104" i="9"/>
  <c r="P104" i="9"/>
  <c r="O104" i="9"/>
  <c r="N104" i="9"/>
  <c r="M104" i="9"/>
  <c r="L104" i="9"/>
  <c r="K104" i="9"/>
  <c r="J104" i="9"/>
  <c r="I104" i="9"/>
  <c r="H104" i="9"/>
  <c r="G104" i="9"/>
  <c r="F104" i="9"/>
  <c r="E104" i="9"/>
  <c r="D104" i="9"/>
  <c r="C104" i="9"/>
  <c r="B104" i="9"/>
  <c r="A104" i="9"/>
  <c r="W103" i="9"/>
  <c r="V103" i="9"/>
  <c r="U103" i="9"/>
  <c r="T103" i="9"/>
  <c r="S103" i="9"/>
  <c r="R103" i="9"/>
  <c r="Q103" i="9"/>
  <c r="P103" i="9"/>
  <c r="O103" i="9"/>
  <c r="N103" i="9"/>
  <c r="M103" i="9"/>
  <c r="L103" i="9"/>
  <c r="K103" i="9"/>
  <c r="J103" i="9"/>
  <c r="I103" i="9"/>
  <c r="H103" i="9"/>
  <c r="G103" i="9"/>
  <c r="F103" i="9"/>
  <c r="E103" i="9"/>
  <c r="D103" i="9"/>
  <c r="C103" i="9"/>
  <c r="B103" i="9"/>
  <c r="A103" i="9"/>
  <c r="W102" i="9"/>
  <c r="V102" i="9"/>
  <c r="U102" i="9"/>
  <c r="T102" i="9"/>
  <c r="S102" i="9"/>
  <c r="R102" i="9"/>
  <c r="Q102" i="9"/>
  <c r="P102" i="9"/>
  <c r="O102" i="9"/>
  <c r="N102" i="9"/>
  <c r="M102" i="9"/>
  <c r="L102" i="9"/>
  <c r="K102" i="9"/>
  <c r="J102" i="9"/>
  <c r="I102" i="9"/>
  <c r="H102" i="9"/>
  <c r="G102" i="9"/>
  <c r="F102" i="9"/>
  <c r="E102" i="9"/>
  <c r="D102" i="9"/>
  <c r="C102" i="9"/>
  <c r="B102" i="9"/>
  <c r="A102" i="9"/>
  <c r="W101" i="9"/>
  <c r="V101" i="9"/>
  <c r="U101" i="9"/>
  <c r="T101" i="9"/>
  <c r="S101" i="9"/>
  <c r="R101" i="9"/>
  <c r="Q101" i="9"/>
  <c r="P101" i="9"/>
  <c r="O101" i="9"/>
  <c r="N101" i="9"/>
  <c r="M101" i="9"/>
  <c r="L101" i="9"/>
  <c r="K101" i="9"/>
  <c r="J101" i="9"/>
  <c r="I101" i="9"/>
  <c r="H101" i="9"/>
  <c r="G101" i="9"/>
  <c r="F101" i="9"/>
  <c r="E101" i="9"/>
  <c r="D101" i="9"/>
  <c r="C101" i="9"/>
  <c r="B101" i="9"/>
  <c r="A101" i="9"/>
  <c r="W100" i="9"/>
  <c r="V100" i="9"/>
  <c r="U100" i="9"/>
  <c r="T100" i="9"/>
  <c r="S100" i="9"/>
  <c r="R100" i="9"/>
  <c r="Q100" i="9"/>
  <c r="P100" i="9"/>
  <c r="O100" i="9"/>
  <c r="N100" i="9"/>
  <c r="M100" i="9"/>
  <c r="L100" i="9"/>
  <c r="K100" i="9"/>
  <c r="J100" i="9"/>
  <c r="I100" i="9"/>
  <c r="H100" i="9"/>
  <c r="G100" i="9"/>
  <c r="F100" i="9"/>
  <c r="E100" i="9"/>
  <c r="D100" i="9"/>
  <c r="C100" i="9"/>
  <c r="B100" i="9"/>
  <c r="A100" i="9"/>
  <c r="W99" i="9"/>
  <c r="V99" i="9"/>
  <c r="U99" i="9"/>
  <c r="T99" i="9"/>
  <c r="S99" i="9"/>
  <c r="R99" i="9"/>
  <c r="Q99" i="9"/>
  <c r="P99" i="9"/>
  <c r="O99" i="9"/>
  <c r="N99" i="9"/>
  <c r="M99" i="9"/>
  <c r="L99" i="9"/>
  <c r="K99" i="9"/>
  <c r="J99" i="9"/>
  <c r="I99" i="9"/>
  <c r="H99" i="9"/>
  <c r="G99" i="9"/>
  <c r="F99" i="9"/>
  <c r="E99" i="9"/>
  <c r="D99" i="9"/>
  <c r="C99" i="9"/>
  <c r="B99" i="9"/>
  <c r="A99" i="9"/>
  <c r="W98" i="9"/>
  <c r="V98" i="9"/>
  <c r="U98" i="9"/>
  <c r="T98" i="9"/>
  <c r="S98" i="9"/>
  <c r="R98" i="9"/>
  <c r="Q98" i="9"/>
  <c r="P98" i="9"/>
  <c r="O98" i="9"/>
  <c r="N98" i="9"/>
  <c r="M98" i="9"/>
  <c r="L98" i="9"/>
  <c r="K98" i="9"/>
  <c r="J98" i="9"/>
  <c r="I98" i="9"/>
  <c r="H98" i="9"/>
  <c r="G98" i="9"/>
  <c r="F98" i="9"/>
  <c r="E98" i="9"/>
  <c r="D98" i="9"/>
  <c r="C98" i="9"/>
  <c r="B98" i="9"/>
  <c r="A98" i="9"/>
  <c r="W97" i="9"/>
  <c r="V97" i="9"/>
  <c r="U97" i="9"/>
  <c r="T97" i="9"/>
  <c r="S97" i="9"/>
  <c r="R97" i="9"/>
  <c r="Q97" i="9"/>
  <c r="P97" i="9"/>
  <c r="O97" i="9"/>
  <c r="N97" i="9"/>
  <c r="M97" i="9"/>
  <c r="L97" i="9"/>
  <c r="K97" i="9"/>
  <c r="J97" i="9"/>
  <c r="I97" i="9"/>
  <c r="H97" i="9"/>
  <c r="G97" i="9"/>
  <c r="F97" i="9"/>
  <c r="E97" i="9"/>
  <c r="D97" i="9"/>
  <c r="C97" i="9"/>
  <c r="B97" i="9"/>
  <c r="A97" i="9"/>
  <c r="W96" i="9"/>
  <c r="V96" i="9"/>
  <c r="U96" i="9"/>
  <c r="T96" i="9"/>
  <c r="S96" i="9"/>
  <c r="R96" i="9"/>
  <c r="Q96" i="9"/>
  <c r="P96" i="9"/>
  <c r="O96" i="9"/>
  <c r="N96" i="9"/>
  <c r="M96" i="9"/>
  <c r="L96" i="9"/>
  <c r="K96" i="9"/>
  <c r="J96" i="9"/>
  <c r="I96" i="9"/>
  <c r="H96" i="9"/>
  <c r="G96" i="9"/>
  <c r="F96" i="9"/>
  <c r="E96" i="9"/>
  <c r="D96" i="9"/>
  <c r="C96" i="9"/>
  <c r="B96" i="9"/>
  <c r="A96" i="9"/>
  <c r="W95" i="9"/>
  <c r="V95" i="9"/>
  <c r="U95" i="9"/>
  <c r="T95" i="9"/>
  <c r="S95" i="9"/>
  <c r="R95" i="9"/>
  <c r="Q95" i="9"/>
  <c r="P95" i="9"/>
  <c r="O95" i="9"/>
  <c r="N95" i="9"/>
  <c r="M95" i="9"/>
  <c r="L95" i="9"/>
  <c r="K95" i="9"/>
  <c r="J95" i="9"/>
  <c r="I95" i="9"/>
  <c r="H95" i="9"/>
  <c r="G95" i="9"/>
  <c r="F95" i="9"/>
  <c r="E95" i="9"/>
  <c r="D95" i="9"/>
  <c r="C95" i="9"/>
  <c r="B95" i="9"/>
  <c r="A95" i="9"/>
  <c r="W94" i="9"/>
  <c r="V94" i="9"/>
  <c r="U94" i="9"/>
  <c r="T94" i="9"/>
  <c r="S94" i="9"/>
  <c r="R94" i="9"/>
  <c r="Q94" i="9"/>
  <c r="P94" i="9"/>
  <c r="O94" i="9"/>
  <c r="N94" i="9"/>
  <c r="M94" i="9"/>
  <c r="L94" i="9"/>
  <c r="K94" i="9"/>
  <c r="J94" i="9"/>
  <c r="I94" i="9"/>
  <c r="H94" i="9"/>
  <c r="G94" i="9"/>
  <c r="F94" i="9"/>
  <c r="E94" i="9"/>
  <c r="D94" i="9"/>
  <c r="C94" i="9"/>
  <c r="B94" i="9"/>
  <c r="A94" i="9"/>
  <c r="W93" i="9"/>
  <c r="V93" i="9"/>
  <c r="U93" i="9"/>
  <c r="T93" i="9"/>
  <c r="S93" i="9"/>
  <c r="R93" i="9"/>
  <c r="Q93" i="9"/>
  <c r="P93" i="9"/>
  <c r="O93" i="9"/>
  <c r="N93" i="9"/>
  <c r="M93" i="9"/>
  <c r="L93" i="9"/>
  <c r="K93" i="9"/>
  <c r="J93" i="9"/>
  <c r="I93" i="9"/>
  <c r="H93" i="9"/>
  <c r="G93" i="9"/>
  <c r="F93" i="9"/>
  <c r="E93" i="9"/>
  <c r="D93" i="9"/>
  <c r="C93" i="9"/>
  <c r="B93" i="9"/>
  <c r="A93" i="9"/>
  <c r="W92" i="9"/>
  <c r="V92" i="9"/>
  <c r="U92" i="9"/>
  <c r="T92" i="9"/>
  <c r="S92" i="9"/>
  <c r="R92" i="9"/>
  <c r="Q92" i="9"/>
  <c r="P92" i="9"/>
  <c r="O92" i="9"/>
  <c r="N92" i="9"/>
  <c r="M92" i="9"/>
  <c r="L92" i="9"/>
  <c r="K92" i="9"/>
  <c r="J92" i="9"/>
  <c r="I92" i="9"/>
  <c r="H92" i="9"/>
  <c r="G92" i="9"/>
  <c r="F92" i="9"/>
  <c r="E92" i="9"/>
  <c r="D92" i="9"/>
  <c r="C92" i="9"/>
  <c r="B92" i="9"/>
  <c r="A92" i="9"/>
  <c r="W91" i="9"/>
  <c r="V91" i="9"/>
  <c r="U91" i="9"/>
  <c r="T91" i="9"/>
  <c r="S91" i="9"/>
  <c r="R91" i="9"/>
  <c r="Q91" i="9"/>
  <c r="P91" i="9"/>
  <c r="O91" i="9"/>
  <c r="N91" i="9"/>
  <c r="M91" i="9"/>
  <c r="L91" i="9"/>
  <c r="K91" i="9"/>
  <c r="J91" i="9"/>
  <c r="I91" i="9"/>
  <c r="H91" i="9"/>
  <c r="G91" i="9"/>
  <c r="F91" i="9"/>
  <c r="E91" i="9"/>
  <c r="D91" i="9"/>
  <c r="C91" i="9"/>
  <c r="B91" i="9"/>
  <c r="A91" i="9"/>
  <c r="W90" i="9"/>
  <c r="V90" i="9"/>
  <c r="U90" i="9"/>
  <c r="T90" i="9"/>
  <c r="S90" i="9"/>
  <c r="R90" i="9"/>
  <c r="Q90" i="9"/>
  <c r="P90" i="9"/>
  <c r="O90" i="9"/>
  <c r="N90" i="9"/>
  <c r="M90" i="9"/>
  <c r="L90" i="9"/>
  <c r="K90" i="9"/>
  <c r="J90" i="9"/>
  <c r="I90" i="9"/>
  <c r="H90" i="9"/>
  <c r="G90" i="9"/>
  <c r="F90" i="9"/>
  <c r="E90" i="9"/>
  <c r="D90" i="9"/>
  <c r="C90" i="9"/>
  <c r="B90" i="9"/>
  <c r="A90" i="9"/>
  <c r="W89" i="9"/>
  <c r="V89" i="9"/>
  <c r="U89" i="9"/>
  <c r="T89" i="9"/>
  <c r="S89" i="9"/>
  <c r="R89" i="9"/>
  <c r="Q89" i="9"/>
  <c r="P89" i="9"/>
  <c r="O89" i="9"/>
  <c r="N89" i="9"/>
  <c r="M89" i="9"/>
  <c r="L89" i="9"/>
  <c r="K89" i="9"/>
  <c r="J89" i="9"/>
  <c r="I89" i="9"/>
  <c r="H89" i="9"/>
  <c r="G89" i="9"/>
  <c r="F89" i="9"/>
  <c r="E89" i="9"/>
  <c r="D89" i="9"/>
  <c r="C89" i="9"/>
  <c r="B89" i="9"/>
  <c r="A89" i="9"/>
  <c r="W88" i="9"/>
  <c r="V88" i="9"/>
  <c r="U88" i="9"/>
  <c r="T88" i="9"/>
  <c r="S88" i="9"/>
  <c r="R88" i="9"/>
  <c r="Q88" i="9"/>
  <c r="P88" i="9"/>
  <c r="O88" i="9"/>
  <c r="N88" i="9"/>
  <c r="M88" i="9"/>
  <c r="L88" i="9"/>
  <c r="K88" i="9"/>
  <c r="J88" i="9"/>
  <c r="I88" i="9"/>
  <c r="H88" i="9"/>
  <c r="G88" i="9"/>
  <c r="F88" i="9"/>
  <c r="E88" i="9"/>
  <c r="D88" i="9"/>
  <c r="C88" i="9"/>
  <c r="B88" i="9"/>
  <c r="A88" i="9"/>
  <c r="W87" i="9"/>
  <c r="V87" i="9"/>
  <c r="U87" i="9"/>
  <c r="T87" i="9"/>
  <c r="S87" i="9"/>
  <c r="R87" i="9"/>
  <c r="Q87" i="9"/>
  <c r="P87" i="9"/>
  <c r="O87" i="9"/>
  <c r="N87" i="9"/>
  <c r="M87" i="9"/>
  <c r="L87" i="9"/>
  <c r="K87" i="9"/>
  <c r="J87" i="9"/>
  <c r="I87" i="9"/>
  <c r="H87" i="9"/>
  <c r="G87" i="9"/>
  <c r="F87" i="9"/>
  <c r="E87" i="9"/>
  <c r="D87" i="9"/>
  <c r="C87" i="9"/>
  <c r="B87" i="9"/>
  <c r="A87" i="9"/>
  <c r="W86" i="9"/>
  <c r="V86" i="9"/>
  <c r="U86" i="9"/>
  <c r="T86" i="9"/>
  <c r="S86" i="9"/>
  <c r="R86" i="9"/>
  <c r="Q86" i="9"/>
  <c r="P86" i="9"/>
  <c r="O86" i="9"/>
  <c r="N86" i="9"/>
  <c r="M86" i="9"/>
  <c r="L86" i="9"/>
  <c r="K86" i="9"/>
  <c r="J86" i="9"/>
  <c r="I86" i="9"/>
  <c r="H86" i="9"/>
  <c r="G86" i="9"/>
  <c r="F86" i="9"/>
  <c r="E86" i="9"/>
  <c r="D86" i="9"/>
  <c r="C86" i="9"/>
  <c r="B86" i="9"/>
  <c r="A86" i="9"/>
  <c r="W85" i="9"/>
  <c r="V85" i="9"/>
  <c r="U85" i="9"/>
  <c r="T85" i="9"/>
  <c r="S85" i="9"/>
  <c r="R85" i="9"/>
  <c r="Q85" i="9"/>
  <c r="P85" i="9"/>
  <c r="O85" i="9"/>
  <c r="N85" i="9"/>
  <c r="M85" i="9"/>
  <c r="L85" i="9"/>
  <c r="K85" i="9"/>
  <c r="J85" i="9"/>
  <c r="I85" i="9"/>
  <c r="H85" i="9"/>
  <c r="G85" i="9"/>
  <c r="F85" i="9"/>
  <c r="E85" i="9"/>
  <c r="D85" i="9"/>
  <c r="C85" i="9"/>
  <c r="B85" i="9"/>
  <c r="A85" i="9"/>
  <c r="W84" i="9"/>
  <c r="V84" i="9"/>
  <c r="U84" i="9"/>
  <c r="T84" i="9"/>
  <c r="S84" i="9"/>
  <c r="R84" i="9"/>
  <c r="Q84" i="9"/>
  <c r="P84" i="9"/>
  <c r="O84" i="9"/>
  <c r="N84" i="9"/>
  <c r="M84" i="9"/>
  <c r="L84" i="9"/>
  <c r="K84" i="9"/>
  <c r="J84" i="9"/>
  <c r="I84" i="9"/>
  <c r="H84" i="9"/>
  <c r="G84" i="9"/>
  <c r="F84" i="9"/>
  <c r="E84" i="9"/>
  <c r="D84" i="9"/>
  <c r="C84" i="9"/>
  <c r="B84" i="9"/>
  <c r="A84" i="9"/>
  <c r="W83" i="9"/>
  <c r="V83" i="9"/>
  <c r="U83" i="9"/>
  <c r="T83" i="9"/>
  <c r="S83" i="9"/>
  <c r="R83" i="9"/>
  <c r="Q83" i="9"/>
  <c r="P83" i="9"/>
  <c r="O83" i="9"/>
  <c r="N83" i="9"/>
  <c r="M83" i="9"/>
  <c r="L83" i="9"/>
  <c r="K83" i="9"/>
  <c r="J83" i="9"/>
  <c r="I83" i="9"/>
  <c r="H83" i="9"/>
  <c r="G83" i="9"/>
  <c r="F83" i="9"/>
  <c r="E83" i="9"/>
  <c r="D83" i="9"/>
  <c r="C83" i="9"/>
  <c r="B83" i="9"/>
  <c r="A83" i="9"/>
  <c r="W82" i="9"/>
  <c r="V82" i="9"/>
  <c r="U82" i="9"/>
  <c r="T82" i="9"/>
  <c r="S82" i="9"/>
  <c r="R82" i="9"/>
  <c r="Q82" i="9"/>
  <c r="P82" i="9"/>
  <c r="O82" i="9"/>
  <c r="N82" i="9"/>
  <c r="M82" i="9"/>
  <c r="L82" i="9"/>
  <c r="K82" i="9"/>
  <c r="J82" i="9"/>
  <c r="I82" i="9"/>
  <c r="H82" i="9"/>
  <c r="G82" i="9"/>
  <c r="F82" i="9"/>
  <c r="E82" i="9"/>
  <c r="D82" i="9"/>
  <c r="C82" i="9"/>
  <c r="B82" i="9"/>
  <c r="A82" i="9"/>
  <c r="W81" i="9"/>
  <c r="V81" i="9"/>
  <c r="U81" i="9"/>
  <c r="T81" i="9"/>
  <c r="S81" i="9"/>
  <c r="R81" i="9"/>
  <c r="Q81" i="9"/>
  <c r="P81" i="9"/>
  <c r="O81" i="9"/>
  <c r="N81" i="9"/>
  <c r="M81" i="9"/>
  <c r="L81" i="9"/>
  <c r="K81" i="9"/>
  <c r="J81" i="9"/>
  <c r="I81" i="9"/>
  <c r="H81" i="9"/>
  <c r="G81" i="9"/>
  <c r="F81" i="9"/>
  <c r="E81" i="9"/>
  <c r="D81" i="9"/>
  <c r="C81" i="9"/>
  <c r="B81" i="9"/>
  <c r="A81" i="9"/>
  <c r="W80" i="9"/>
  <c r="V80" i="9"/>
  <c r="U80" i="9"/>
  <c r="T80" i="9"/>
  <c r="S80" i="9"/>
  <c r="R80" i="9"/>
  <c r="Q80" i="9"/>
  <c r="P80" i="9"/>
  <c r="O80" i="9"/>
  <c r="N80" i="9"/>
  <c r="M80" i="9"/>
  <c r="L80" i="9"/>
  <c r="K80" i="9"/>
  <c r="J80" i="9"/>
  <c r="I80" i="9"/>
  <c r="H80" i="9"/>
  <c r="G80" i="9"/>
  <c r="F80" i="9"/>
  <c r="E80" i="9"/>
  <c r="D80" i="9"/>
  <c r="C80" i="9"/>
  <c r="B80" i="9"/>
  <c r="A80" i="9"/>
  <c r="W79" i="9"/>
  <c r="V79" i="9"/>
  <c r="U79" i="9"/>
  <c r="T79" i="9"/>
  <c r="S79" i="9"/>
  <c r="R79" i="9"/>
  <c r="Q79" i="9"/>
  <c r="P79" i="9"/>
  <c r="O79" i="9"/>
  <c r="N79" i="9"/>
  <c r="M79" i="9"/>
  <c r="L79" i="9"/>
  <c r="K79" i="9"/>
  <c r="J79" i="9"/>
  <c r="I79" i="9"/>
  <c r="H79" i="9"/>
  <c r="G79" i="9"/>
  <c r="F79" i="9"/>
  <c r="E79" i="9"/>
  <c r="D79" i="9"/>
  <c r="C79" i="9"/>
  <c r="B79" i="9"/>
  <c r="A79" i="9"/>
  <c r="W78" i="9"/>
  <c r="V78" i="9"/>
  <c r="U78" i="9"/>
  <c r="T78" i="9"/>
  <c r="S78" i="9"/>
  <c r="R78" i="9"/>
  <c r="Q78" i="9"/>
  <c r="P78" i="9"/>
  <c r="O78" i="9"/>
  <c r="N78" i="9"/>
  <c r="M78" i="9"/>
  <c r="L78" i="9"/>
  <c r="K78" i="9"/>
  <c r="J78" i="9"/>
  <c r="I78" i="9"/>
  <c r="H78" i="9"/>
  <c r="G78" i="9"/>
  <c r="F78" i="9"/>
  <c r="E78" i="9"/>
  <c r="D78" i="9"/>
  <c r="C78" i="9"/>
  <c r="B78" i="9"/>
  <c r="A78" i="9"/>
  <c r="W77" i="9"/>
  <c r="V77" i="9"/>
  <c r="U77" i="9"/>
  <c r="T77" i="9"/>
  <c r="S77" i="9"/>
  <c r="R77" i="9"/>
  <c r="Q77" i="9"/>
  <c r="P77" i="9"/>
  <c r="O77" i="9"/>
  <c r="N77" i="9"/>
  <c r="M77" i="9"/>
  <c r="L77" i="9"/>
  <c r="K77" i="9"/>
  <c r="J77" i="9"/>
  <c r="I77" i="9"/>
  <c r="H77" i="9"/>
  <c r="G77" i="9"/>
  <c r="F77" i="9"/>
  <c r="E77" i="9"/>
  <c r="D77" i="9"/>
  <c r="C77" i="9"/>
  <c r="B77" i="9"/>
  <c r="A77" i="9"/>
  <c r="W76" i="9"/>
  <c r="V76" i="9"/>
  <c r="U76" i="9"/>
  <c r="T76" i="9"/>
  <c r="S76" i="9"/>
  <c r="R76" i="9"/>
  <c r="Q76" i="9"/>
  <c r="P76" i="9"/>
  <c r="O76" i="9"/>
  <c r="N76" i="9"/>
  <c r="M76" i="9"/>
  <c r="L76" i="9"/>
  <c r="K76" i="9"/>
  <c r="J76" i="9"/>
  <c r="I76" i="9"/>
  <c r="H76" i="9"/>
  <c r="G76" i="9"/>
  <c r="F76" i="9"/>
  <c r="E76" i="9"/>
  <c r="D76" i="9"/>
  <c r="C76" i="9"/>
  <c r="B76" i="9"/>
  <c r="A76" i="9"/>
  <c r="W75" i="9"/>
  <c r="V75" i="9"/>
  <c r="U75" i="9"/>
  <c r="T75" i="9"/>
  <c r="S75" i="9"/>
  <c r="R75" i="9"/>
  <c r="Q75" i="9"/>
  <c r="P75" i="9"/>
  <c r="O75" i="9"/>
  <c r="N75" i="9"/>
  <c r="M75" i="9"/>
  <c r="L75" i="9"/>
  <c r="K75" i="9"/>
  <c r="J75" i="9"/>
  <c r="I75" i="9"/>
  <c r="H75" i="9"/>
  <c r="G75" i="9"/>
  <c r="F75" i="9"/>
  <c r="E75" i="9"/>
  <c r="D75" i="9"/>
  <c r="C75" i="9"/>
  <c r="B75" i="9"/>
  <c r="A75" i="9"/>
  <c r="W74" i="9"/>
  <c r="V74" i="9"/>
  <c r="U74" i="9"/>
  <c r="T74" i="9"/>
  <c r="S74" i="9"/>
  <c r="R74" i="9"/>
  <c r="Q74" i="9"/>
  <c r="P74" i="9"/>
  <c r="O74" i="9"/>
  <c r="N74" i="9"/>
  <c r="M74" i="9"/>
  <c r="L74" i="9"/>
  <c r="K74" i="9"/>
  <c r="J74" i="9"/>
  <c r="I74" i="9"/>
  <c r="H74" i="9"/>
  <c r="G74" i="9"/>
  <c r="F74" i="9"/>
  <c r="E74" i="9"/>
  <c r="D74" i="9"/>
  <c r="C74" i="9"/>
  <c r="B74" i="9"/>
  <c r="A74" i="9"/>
  <c r="W73" i="9"/>
  <c r="V73" i="9"/>
  <c r="U73" i="9"/>
  <c r="T73" i="9"/>
  <c r="S73" i="9"/>
  <c r="R73" i="9"/>
  <c r="Q73" i="9"/>
  <c r="P73" i="9"/>
  <c r="O73" i="9"/>
  <c r="N73" i="9"/>
  <c r="M73" i="9"/>
  <c r="L73" i="9"/>
  <c r="K73" i="9"/>
  <c r="J73" i="9"/>
  <c r="I73" i="9"/>
  <c r="H73" i="9"/>
  <c r="G73" i="9"/>
  <c r="F73" i="9"/>
  <c r="E73" i="9"/>
  <c r="D73" i="9"/>
  <c r="C73" i="9"/>
  <c r="B73" i="9"/>
  <c r="A73" i="9"/>
  <c r="W72" i="9"/>
  <c r="V72" i="9"/>
  <c r="U72" i="9"/>
  <c r="T72" i="9"/>
  <c r="S72" i="9"/>
  <c r="R72" i="9"/>
  <c r="Q72" i="9"/>
  <c r="P72" i="9"/>
  <c r="O72" i="9"/>
  <c r="N72" i="9"/>
  <c r="M72" i="9"/>
  <c r="L72" i="9"/>
  <c r="K72" i="9"/>
  <c r="J72" i="9"/>
  <c r="I72" i="9"/>
  <c r="H72" i="9"/>
  <c r="G72" i="9"/>
  <c r="F72" i="9"/>
  <c r="E72" i="9"/>
  <c r="D72" i="9"/>
  <c r="C72" i="9"/>
  <c r="B72" i="9"/>
  <c r="A72" i="9"/>
  <c r="W71" i="9"/>
  <c r="V71" i="9"/>
  <c r="U71" i="9"/>
  <c r="T71" i="9"/>
  <c r="S71" i="9"/>
  <c r="R71" i="9"/>
  <c r="Q71" i="9"/>
  <c r="P71" i="9"/>
  <c r="O71" i="9"/>
  <c r="N71" i="9"/>
  <c r="M71" i="9"/>
  <c r="L71" i="9"/>
  <c r="K71" i="9"/>
  <c r="J71" i="9"/>
  <c r="I71" i="9"/>
  <c r="H71" i="9"/>
  <c r="G71" i="9"/>
  <c r="F71" i="9"/>
  <c r="E71" i="9"/>
  <c r="D71" i="9"/>
  <c r="C71" i="9"/>
  <c r="B71" i="9"/>
  <c r="A71" i="9"/>
  <c r="W70" i="9"/>
  <c r="V70" i="9"/>
  <c r="U70" i="9"/>
  <c r="T70" i="9"/>
  <c r="S70" i="9"/>
  <c r="R70" i="9"/>
  <c r="Q70" i="9"/>
  <c r="P70" i="9"/>
  <c r="O70" i="9"/>
  <c r="N70" i="9"/>
  <c r="M70" i="9"/>
  <c r="L70" i="9"/>
  <c r="K70" i="9"/>
  <c r="J70" i="9"/>
  <c r="I70" i="9"/>
  <c r="H70" i="9"/>
  <c r="G70" i="9"/>
  <c r="F70" i="9"/>
  <c r="E70" i="9"/>
  <c r="D70" i="9"/>
  <c r="C70" i="9"/>
  <c r="B70" i="9"/>
  <c r="A70" i="9"/>
  <c r="W69" i="9"/>
  <c r="V69" i="9"/>
  <c r="U69" i="9"/>
  <c r="T69" i="9"/>
  <c r="S69" i="9"/>
  <c r="R69" i="9"/>
  <c r="Q69" i="9"/>
  <c r="P69" i="9"/>
  <c r="O69" i="9"/>
  <c r="N69" i="9"/>
  <c r="M69" i="9"/>
  <c r="L69" i="9"/>
  <c r="K69" i="9"/>
  <c r="J69" i="9"/>
  <c r="I69" i="9"/>
  <c r="H69" i="9"/>
  <c r="G69" i="9"/>
  <c r="F69" i="9"/>
  <c r="E69" i="9"/>
  <c r="D69" i="9"/>
  <c r="C69" i="9"/>
  <c r="B69" i="9"/>
  <c r="A69" i="9"/>
  <c r="W68" i="9"/>
  <c r="V68" i="9"/>
  <c r="U68" i="9"/>
  <c r="T68" i="9"/>
  <c r="S68" i="9"/>
  <c r="R68" i="9"/>
  <c r="Q68" i="9"/>
  <c r="P68" i="9"/>
  <c r="O68" i="9"/>
  <c r="N68" i="9"/>
  <c r="M68" i="9"/>
  <c r="L68" i="9"/>
  <c r="K68" i="9"/>
  <c r="J68" i="9"/>
  <c r="I68" i="9"/>
  <c r="H68" i="9"/>
  <c r="G68" i="9"/>
  <c r="F68" i="9"/>
  <c r="E68" i="9"/>
  <c r="D68" i="9"/>
  <c r="C68" i="9"/>
  <c r="B68" i="9"/>
  <c r="A68" i="9"/>
  <c r="W67" i="9"/>
  <c r="V67" i="9"/>
  <c r="U67" i="9"/>
  <c r="T67" i="9"/>
  <c r="S67" i="9"/>
  <c r="R67" i="9"/>
  <c r="Q67" i="9"/>
  <c r="P67" i="9"/>
  <c r="O67" i="9"/>
  <c r="N67" i="9"/>
  <c r="M67" i="9"/>
  <c r="L67" i="9"/>
  <c r="K67" i="9"/>
  <c r="J67" i="9"/>
  <c r="I67" i="9"/>
  <c r="H67" i="9"/>
  <c r="G67" i="9"/>
  <c r="F67" i="9"/>
  <c r="E67" i="9"/>
  <c r="D67" i="9"/>
  <c r="C67" i="9"/>
  <c r="B67" i="9"/>
  <c r="A67" i="9"/>
  <c r="W66" i="9"/>
  <c r="V66" i="9"/>
  <c r="U66" i="9"/>
  <c r="T66" i="9"/>
  <c r="S66" i="9"/>
  <c r="R66" i="9"/>
  <c r="Q66" i="9"/>
  <c r="P66" i="9"/>
  <c r="O66" i="9"/>
  <c r="N66" i="9"/>
  <c r="M66" i="9"/>
  <c r="L66" i="9"/>
  <c r="K66" i="9"/>
  <c r="J66" i="9"/>
  <c r="I66" i="9"/>
  <c r="H66" i="9"/>
  <c r="G66" i="9"/>
  <c r="F66" i="9"/>
  <c r="E66" i="9"/>
  <c r="D66" i="9"/>
  <c r="C66" i="9"/>
  <c r="B66" i="9"/>
  <c r="A66" i="9"/>
  <c r="W65" i="9"/>
  <c r="V65" i="9"/>
  <c r="U65" i="9"/>
  <c r="T65" i="9"/>
  <c r="S65" i="9"/>
  <c r="R65" i="9"/>
  <c r="Q65" i="9"/>
  <c r="P65" i="9"/>
  <c r="O65" i="9"/>
  <c r="N65" i="9"/>
  <c r="M65" i="9"/>
  <c r="L65" i="9"/>
  <c r="K65" i="9"/>
  <c r="J65" i="9"/>
  <c r="I65" i="9"/>
  <c r="H65" i="9"/>
  <c r="G65" i="9"/>
  <c r="F65" i="9"/>
  <c r="E65" i="9"/>
  <c r="D65" i="9"/>
  <c r="C65" i="9"/>
  <c r="B65" i="9"/>
  <c r="A65" i="9"/>
  <c r="W64" i="9"/>
  <c r="V64" i="9"/>
  <c r="U64" i="9"/>
  <c r="T64" i="9"/>
  <c r="S64" i="9"/>
  <c r="R64" i="9"/>
  <c r="Q64" i="9"/>
  <c r="P64" i="9"/>
  <c r="O64" i="9"/>
  <c r="N64" i="9"/>
  <c r="M64" i="9"/>
  <c r="L64" i="9"/>
  <c r="K64" i="9"/>
  <c r="J64" i="9"/>
  <c r="I64" i="9"/>
  <c r="H64" i="9"/>
  <c r="G64" i="9"/>
  <c r="F64" i="9"/>
  <c r="E64" i="9"/>
  <c r="D64" i="9"/>
  <c r="C64" i="9"/>
  <c r="B64" i="9"/>
  <c r="A64" i="9"/>
  <c r="W63" i="9"/>
  <c r="V63" i="9"/>
  <c r="U63" i="9"/>
  <c r="T63" i="9"/>
  <c r="S63" i="9"/>
  <c r="R63" i="9"/>
  <c r="Q63" i="9"/>
  <c r="P63" i="9"/>
  <c r="O63" i="9"/>
  <c r="N63" i="9"/>
  <c r="M63" i="9"/>
  <c r="L63" i="9"/>
  <c r="K63" i="9"/>
  <c r="J63" i="9"/>
  <c r="I63" i="9"/>
  <c r="H63" i="9"/>
  <c r="G63" i="9"/>
  <c r="F63" i="9"/>
  <c r="E63" i="9"/>
  <c r="D63" i="9"/>
  <c r="C63" i="9"/>
  <c r="B63" i="9"/>
  <c r="A63" i="9"/>
  <c r="W62" i="9"/>
  <c r="V62" i="9"/>
  <c r="U62" i="9"/>
  <c r="T62" i="9"/>
  <c r="S62" i="9"/>
  <c r="R62" i="9"/>
  <c r="Q62" i="9"/>
  <c r="P62" i="9"/>
  <c r="O62" i="9"/>
  <c r="N62" i="9"/>
  <c r="M62" i="9"/>
  <c r="L62" i="9"/>
  <c r="K62" i="9"/>
  <c r="J62" i="9"/>
  <c r="I62" i="9"/>
  <c r="H62" i="9"/>
  <c r="G62" i="9"/>
  <c r="F62" i="9"/>
  <c r="E62" i="9"/>
  <c r="D62" i="9"/>
  <c r="C62" i="9"/>
  <c r="B62" i="9"/>
  <c r="A62" i="9"/>
  <c r="W61" i="9"/>
  <c r="V61" i="9"/>
  <c r="U61" i="9"/>
  <c r="T61" i="9"/>
  <c r="S61" i="9"/>
  <c r="R61" i="9"/>
  <c r="Q61" i="9"/>
  <c r="P61" i="9"/>
  <c r="O61" i="9"/>
  <c r="N61" i="9"/>
  <c r="M61" i="9"/>
  <c r="L61" i="9"/>
  <c r="K61" i="9"/>
  <c r="J61" i="9"/>
  <c r="I61" i="9"/>
  <c r="H61" i="9"/>
  <c r="G61" i="9"/>
  <c r="F61" i="9"/>
  <c r="E61" i="9"/>
  <c r="D61" i="9"/>
  <c r="C61" i="9"/>
  <c r="B61" i="9"/>
  <c r="A61" i="9"/>
  <c r="W60" i="9"/>
  <c r="V60" i="9"/>
  <c r="U60" i="9"/>
  <c r="T60" i="9"/>
  <c r="S60" i="9"/>
  <c r="R60" i="9"/>
  <c r="Q60" i="9"/>
  <c r="P60" i="9"/>
  <c r="O60" i="9"/>
  <c r="N60" i="9"/>
  <c r="M60" i="9"/>
  <c r="L60" i="9"/>
  <c r="K60" i="9"/>
  <c r="J60" i="9"/>
  <c r="I60" i="9"/>
  <c r="H60" i="9"/>
  <c r="G60" i="9"/>
  <c r="F60" i="9"/>
  <c r="E60" i="9"/>
  <c r="D60" i="9"/>
  <c r="C60" i="9"/>
  <c r="B60" i="9"/>
  <c r="A60" i="9"/>
  <c r="W59" i="9"/>
  <c r="V59" i="9"/>
  <c r="U59" i="9"/>
  <c r="T59" i="9"/>
  <c r="S59" i="9"/>
  <c r="R59" i="9"/>
  <c r="Q59" i="9"/>
  <c r="P59" i="9"/>
  <c r="O59" i="9"/>
  <c r="N59" i="9"/>
  <c r="M59" i="9"/>
  <c r="L59" i="9"/>
  <c r="K59" i="9"/>
  <c r="J59" i="9"/>
  <c r="I59" i="9"/>
  <c r="H59" i="9"/>
  <c r="G59" i="9"/>
  <c r="F59" i="9"/>
  <c r="E59" i="9"/>
  <c r="D59" i="9"/>
  <c r="C59" i="9"/>
  <c r="B59" i="9"/>
  <c r="A59" i="9"/>
  <c r="W58" i="9"/>
  <c r="V58" i="9"/>
  <c r="U58" i="9"/>
  <c r="T58" i="9"/>
  <c r="S58" i="9"/>
  <c r="R58" i="9"/>
  <c r="Q58" i="9"/>
  <c r="P58" i="9"/>
  <c r="O58" i="9"/>
  <c r="N58" i="9"/>
  <c r="M58" i="9"/>
  <c r="L58" i="9"/>
  <c r="K58" i="9"/>
  <c r="J58" i="9"/>
  <c r="I58" i="9"/>
  <c r="H58" i="9"/>
  <c r="G58" i="9"/>
  <c r="F58" i="9"/>
  <c r="E58" i="9"/>
  <c r="D58" i="9"/>
  <c r="C58" i="9"/>
  <c r="B58" i="9"/>
  <c r="A58" i="9"/>
  <c r="W57" i="9"/>
  <c r="V57" i="9"/>
  <c r="U57" i="9"/>
  <c r="T57" i="9"/>
  <c r="S57" i="9"/>
  <c r="R57" i="9"/>
  <c r="Q57" i="9"/>
  <c r="P57" i="9"/>
  <c r="O57" i="9"/>
  <c r="N57" i="9"/>
  <c r="M57" i="9"/>
  <c r="L57" i="9"/>
  <c r="K57" i="9"/>
  <c r="J57" i="9"/>
  <c r="I57" i="9"/>
  <c r="H57" i="9"/>
  <c r="G57" i="9"/>
  <c r="F57" i="9"/>
  <c r="E57" i="9"/>
  <c r="D57" i="9"/>
  <c r="C57" i="9"/>
  <c r="B57" i="9"/>
  <c r="A57" i="9"/>
  <c r="W56" i="9"/>
  <c r="V56" i="9"/>
  <c r="U56" i="9"/>
  <c r="T56" i="9"/>
  <c r="S56" i="9"/>
  <c r="R56" i="9"/>
  <c r="Q56" i="9"/>
  <c r="P56" i="9"/>
  <c r="O56" i="9"/>
  <c r="N56" i="9"/>
  <c r="M56" i="9"/>
  <c r="L56" i="9"/>
  <c r="K56" i="9"/>
  <c r="J56" i="9"/>
  <c r="I56" i="9"/>
  <c r="H56" i="9"/>
  <c r="G56" i="9"/>
  <c r="F56" i="9"/>
  <c r="E56" i="9"/>
  <c r="D56" i="9"/>
  <c r="C56" i="9"/>
  <c r="B56" i="9"/>
  <c r="A56" i="9"/>
  <c r="W55" i="9"/>
  <c r="V55" i="9"/>
  <c r="U55" i="9"/>
  <c r="T55" i="9"/>
  <c r="S55" i="9"/>
  <c r="R55" i="9"/>
  <c r="Q55" i="9"/>
  <c r="P55" i="9"/>
  <c r="O55" i="9"/>
  <c r="N55" i="9"/>
  <c r="M55" i="9"/>
  <c r="L55" i="9"/>
  <c r="K55" i="9"/>
  <c r="J55" i="9"/>
  <c r="I55" i="9"/>
  <c r="H55" i="9"/>
  <c r="G55" i="9"/>
  <c r="F55" i="9"/>
  <c r="E55" i="9"/>
  <c r="D55" i="9"/>
  <c r="C55" i="9"/>
  <c r="B55" i="9"/>
  <c r="A55" i="9"/>
  <c r="W54" i="9"/>
  <c r="V54" i="9"/>
  <c r="U54" i="9"/>
  <c r="T54" i="9"/>
  <c r="S54" i="9"/>
  <c r="R54" i="9"/>
  <c r="Q54" i="9"/>
  <c r="P54" i="9"/>
  <c r="O54" i="9"/>
  <c r="N54" i="9"/>
  <c r="M54" i="9"/>
  <c r="L54" i="9"/>
  <c r="K54" i="9"/>
  <c r="J54" i="9"/>
  <c r="I54" i="9"/>
  <c r="H54" i="9"/>
  <c r="G54" i="9"/>
  <c r="F54" i="9"/>
  <c r="E54" i="9"/>
  <c r="D54" i="9"/>
  <c r="C54" i="9"/>
  <c r="B54" i="9"/>
  <c r="A54" i="9"/>
  <c r="W53" i="9"/>
  <c r="V53" i="9"/>
  <c r="U53" i="9"/>
  <c r="T53" i="9"/>
  <c r="S53" i="9"/>
  <c r="R53" i="9"/>
  <c r="Q53" i="9"/>
  <c r="P53" i="9"/>
  <c r="O53" i="9"/>
  <c r="N53" i="9"/>
  <c r="M53" i="9"/>
  <c r="L53" i="9"/>
  <c r="K53" i="9"/>
  <c r="J53" i="9"/>
  <c r="I53" i="9"/>
  <c r="H53" i="9"/>
  <c r="G53" i="9"/>
  <c r="F53" i="9"/>
  <c r="E53" i="9"/>
  <c r="D53" i="9"/>
  <c r="C53" i="9"/>
  <c r="B53" i="9"/>
  <c r="A53" i="9"/>
  <c r="W52" i="9"/>
  <c r="V52" i="9"/>
  <c r="U52" i="9"/>
  <c r="T52" i="9"/>
  <c r="S52" i="9"/>
  <c r="R52" i="9"/>
  <c r="Q52" i="9"/>
  <c r="P52" i="9"/>
  <c r="O52" i="9"/>
  <c r="N52" i="9"/>
  <c r="M52" i="9"/>
  <c r="L52" i="9"/>
  <c r="K52" i="9"/>
  <c r="J52" i="9"/>
  <c r="I52" i="9"/>
  <c r="H52" i="9"/>
  <c r="G52" i="9"/>
  <c r="F52" i="9"/>
  <c r="E52" i="9"/>
  <c r="D52" i="9"/>
  <c r="C52" i="9"/>
  <c r="B52" i="9"/>
  <c r="A52" i="9"/>
  <c r="W51" i="9"/>
  <c r="V51" i="9"/>
  <c r="U51" i="9"/>
  <c r="T51" i="9"/>
  <c r="S51" i="9"/>
  <c r="R51" i="9"/>
  <c r="Q51" i="9"/>
  <c r="P51" i="9"/>
  <c r="O51" i="9"/>
  <c r="N51" i="9"/>
  <c r="M51" i="9"/>
  <c r="L51" i="9"/>
  <c r="K51" i="9"/>
  <c r="J51" i="9"/>
  <c r="I51" i="9"/>
  <c r="H51" i="9"/>
  <c r="G51" i="9"/>
  <c r="F51" i="9"/>
  <c r="E51" i="9"/>
  <c r="D51" i="9"/>
  <c r="C51" i="9"/>
  <c r="B51" i="9"/>
  <c r="A51" i="9"/>
  <c r="W50" i="9"/>
  <c r="V50" i="9"/>
  <c r="U50" i="9"/>
  <c r="T50" i="9"/>
  <c r="S50" i="9"/>
  <c r="R50" i="9"/>
  <c r="Q50" i="9"/>
  <c r="P50" i="9"/>
  <c r="O50" i="9"/>
  <c r="N50" i="9"/>
  <c r="M50" i="9"/>
  <c r="L50" i="9"/>
  <c r="K50" i="9"/>
  <c r="J50" i="9"/>
  <c r="I50" i="9"/>
  <c r="H50" i="9"/>
  <c r="G50" i="9"/>
  <c r="F50" i="9"/>
  <c r="E50" i="9"/>
  <c r="D50" i="9"/>
  <c r="C50" i="9"/>
  <c r="B50" i="9"/>
  <c r="A50" i="9"/>
  <c r="W49" i="9"/>
  <c r="V49" i="9"/>
  <c r="U49" i="9"/>
  <c r="T49" i="9"/>
  <c r="S49" i="9"/>
  <c r="R49" i="9"/>
  <c r="Q49" i="9"/>
  <c r="P49" i="9"/>
  <c r="O49" i="9"/>
  <c r="N49" i="9"/>
  <c r="M49" i="9"/>
  <c r="L49" i="9"/>
  <c r="K49" i="9"/>
  <c r="J49" i="9"/>
  <c r="I49" i="9"/>
  <c r="H49" i="9"/>
  <c r="G49" i="9"/>
  <c r="F49" i="9"/>
  <c r="E49" i="9"/>
  <c r="D49" i="9"/>
  <c r="C49" i="9"/>
  <c r="B49" i="9"/>
  <c r="A49" i="9"/>
  <c r="W48" i="9"/>
  <c r="V48" i="9"/>
  <c r="U48" i="9"/>
  <c r="T48" i="9"/>
  <c r="S48" i="9"/>
  <c r="R48" i="9"/>
  <c r="Q48" i="9"/>
  <c r="P48" i="9"/>
  <c r="O48" i="9"/>
  <c r="N48" i="9"/>
  <c r="M48" i="9"/>
  <c r="L48" i="9"/>
  <c r="K48" i="9"/>
  <c r="J48" i="9"/>
  <c r="I48" i="9"/>
  <c r="H48" i="9"/>
  <c r="G48" i="9"/>
  <c r="F48" i="9"/>
  <c r="E48" i="9"/>
  <c r="D48" i="9"/>
  <c r="C48" i="9"/>
  <c r="B48" i="9"/>
  <c r="A48" i="9"/>
  <c r="W47" i="9"/>
  <c r="V47" i="9"/>
  <c r="U47" i="9"/>
  <c r="T47" i="9"/>
  <c r="S47" i="9"/>
  <c r="R47" i="9"/>
  <c r="Q47" i="9"/>
  <c r="P47" i="9"/>
  <c r="O47" i="9"/>
  <c r="N47" i="9"/>
  <c r="M47" i="9"/>
  <c r="L47" i="9"/>
  <c r="K47" i="9"/>
  <c r="J47" i="9"/>
  <c r="I47" i="9"/>
  <c r="H47" i="9"/>
  <c r="G47" i="9"/>
  <c r="F47" i="9"/>
  <c r="E47" i="9"/>
  <c r="D47" i="9"/>
  <c r="C47" i="9"/>
  <c r="B47" i="9"/>
  <c r="A47" i="9"/>
  <c r="W46" i="9"/>
  <c r="V46" i="9"/>
  <c r="U46" i="9"/>
  <c r="T46" i="9"/>
  <c r="S46" i="9"/>
  <c r="R46" i="9"/>
  <c r="Q46" i="9"/>
  <c r="P46" i="9"/>
  <c r="O46" i="9"/>
  <c r="N46" i="9"/>
  <c r="M46" i="9"/>
  <c r="L46" i="9"/>
  <c r="K46" i="9"/>
  <c r="J46" i="9"/>
  <c r="I46" i="9"/>
  <c r="H46" i="9"/>
  <c r="G46" i="9"/>
  <c r="F46" i="9"/>
  <c r="E46" i="9"/>
  <c r="D46" i="9"/>
  <c r="C46" i="9"/>
  <c r="B46" i="9"/>
  <c r="A46" i="9"/>
  <c r="W45" i="9"/>
  <c r="V45" i="9"/>
  <c r="U45" i="9"/>
  <c r="T45" i="9"/>
  <c r="S45" i="9"/>
  <c r="R45" i="9"/>
  <c r="Q45" i="9"/>
  <c r="P45" i="9"/>
  <c r="O45" i="9"/>
  <c r="N45" i="9"/>
  <c r="M45" i="9"/>
  <c r="L45" i="9"/>
  <c r="K45" i="9"/>
  <c r="J45" i="9"/>
  <c r="I45" i="9"/>
  <c r="H45" i="9"/>
  <c r="G45" i="9"/>
  <c r="F45" i="9"/>
  <c r="E45" i="9"/>
  <c r="D45" i="9"/>
  <c r="C45" i="9"/>
  <c r="B45" i="9"/>
  <c r="A45" i="9"/>
  <c r="W44" i="9"/>
  <c r="V44" i="9"/>
  <c r="U44" i="9"/>
  <c r="T44" i="9"/>
  <c r="S44" i="9"/>
  <c r="R44" i="9"/>
  <c r="Q44" i="9"/>
  <c r="P44" i="9"/>
  <c r="O44" i="9"/>
  <c r="N44" i="9"/>
  <c r="M44" i="9"/>
  <c r="L44" i="9"/>
  <c r="K44" i="9"/>
  <c r="J44" i="9"/>
  <c r="I44" i="9"/>
  <c r="H44" i="9"/>
  <c r="G44" i="9"/>
  <c r="F44" i="9"/>
  <c r="E44" i="9"/>
  <c r="D44" i="9"/>
  <c r="C44" i="9"/>
  <c r="B44" i="9"/>
  <c r="A44" i="9"/>
  <c r="W43" i="9"/>
  <c r="V43" i="9"/>
  <c r="U43" i="9"/>
  <c r="T43" i="9"/>
  <c r="S43" i="9"/>
  <c r="R43" i="9"/>
  <c r="Q43" i="9"/>
  <c r="P43" i="9"/>
  <c r="O43" i="9"/>
  <c r="N43" i="9"/>
  <c r="M43" i="9"/>
  <c r="L43" i="9"/>
  <c r="K43" i="9"/>
  <c r="J43" i="9"/>
  <c r="I43" i="9"/>
  <c r="H43" i="9"/>
  <c r="G43" i="9"/>
  <c r="F43" i="9"/>
  <c r="E43" i="9"/>
  <c r="D43" i="9"/>
  <c r="C43" i="9"/>
  <c r="B43" i="9"/>
  <c r="A43" i="9"/>
  <c r="W42" i="9"/>
  <c r="V42" i="9"/>
  <c r="U42" i="9"/>
  <c r="T42" i="9"/>
  <c r="S42" i="9"/>
  <c r="R42" i="9"/>
  <c r="Q42" i="9"/>
  <c r="P42" i="9"/>
  <c r="O42" i="9"/>
  <c r="N42" i="9"/>
  <c r="M42" i="9"/>
  <c r="L42" i="9"/>
  <c r="K42" i="9"/>
  <c r="J42" i="9"/>
  <c r="I42" i="9"/>
  <c r="H42" i="9"/>
  <c r="G42" i="9"/>
  <c r="F42" i="9"/>
  <c r="E42" i="9"/>
  <c r="D42" i="9"/>
  <c r="C42" i="9"/>
  <c r="B42" i="9"/>
  <c r="A42" i="9"/>
  <c r="W41" i="9"/>
  <c r="V41" i="9"/>
  <c r="U41" i="9"/>
  <c r="T41" i="9"/>
  <c r="S41" i="9"/>
  <c r="R41" i="9"/>
  <c r="Q41" i="9"/>
  <c r="P41" i="9"/>
  <c r="O41" i="9"/>
  <c r="N41" i="9"/>
  <c r="M41" i="9"/>
  <c r="L41" i="9"/>
  <c r="K41" i="9"/>
  <c r="J41" i="9"/>
  <c r="I41" i="9"/>
  <c r="H41" i="9"/>
  <c r="G41" i="9"/>
  <c r="F41" i="9"/>
  <c r="E41" i="9"/>
  <c r="D41" i="9"/>
  <c r="C41" i="9"/>
  <c r="B41" i="9"/>
  <c r="A41" i="9"/>
  <c r="W40" i="9"/>
  <c r="V40" i="9"/>
  <c r="U40" i="9"/>
  <c r="T40" i="9"/>
  <c r="S40" i="9"/>
  <c r="R40" i="9"/>
  <c r="Q40" i="9"/>
  <c r="P40" i="9"/>
  <c r="O40" i="9"/>
  <c r="N40" i="9"/>
  <c r="M40" i="9"/>
  <c r="L40" i="9"/>
  <c r="K40" i="9"/>
  <c r="J40" i="9"/>
  <c r="I40" i="9"/>
  <c r="H40" i="9"/>
  <c r="G40" i="9"/>
  <c r="F40" i="9"/>
  <c r="E40" i="9"/>
  <c r="D40" i="9"/>
  <c r="C40" i="9"/>
  <c r="B40" i="9"/>
  <c r="A40" i="9"/>
  <c r="W39" i="9"/>
  <c r="V39" i="9"/>
  <c r="U39" i="9"/>
  <c r="T39" i="9"/>
  <c r="S39" i="9"/>
  <c r="R39" i="9"/>
  <c r="Q39" i="9"/>
  <c r="P39" i="9"/>
  <c r="O39" i="9"/>
  <c r="N39" i="9"/>
  <c r="M39" i="9"/>
  <c r="L39" i="9"/>
  <c r="K39" i="9"/>
  <c r="J39" i="9"/>
  <c r="I39" i="9"/>
  <c r="H39" i="9"/>
  <c r="G39" i="9"/>
  <c r="F39" i="9"/>
  <c r="E39" i="9"/>
  <c r="D39" i="9"/>
  <c r="C39" i="9"/>
  <c r="B39" i="9"/>
  <c r="A39" i="9"/>
  <c r="W38" i="9"/>
  <c r="V38" i="9"/>
  <c r="U38" i="9"/>
  <c r="T38" i="9"/>
  <c r="S38" i="9"/>
  <c r="R38" i="9"/>
  <c r="Q38" i="9"/>
  <c r="P38" i="9"/>
  <c r="O38" i="9"/>
  <c r="N38" i="9"/>
  <c r="M38" i="9"/>
  <c r="L38" i="9"/>
  <c r="K38" i="9"/>
  <c r="J38" i="9"/>
  <c r="I38" i="9"/>
  <c r="H38" i="9"/>
  <c r="G38" i="9"/>
  <c r="F38" i="9"/>
  <c r="E38" i="9"/>
  <c r="D38" i="9"/>
  <c r="C38" i="9"/>
  <c r="B38" i="9"/>
  <c r="A38" i="9"/>
  <c r="W37" i="9"/>
  <c r="V37" i="9"/>
  <c r="U37" i="9"/>
  <c r="T37" i="9"/>
  <c r="S37" i="9"/>
  <c r="R37" i="9"/>
  <c r="Q37" i="9"/>
  <c r="P37" i="9"/>
  <c r="O37" i="9"/>
  <c r="N37" i="9"/>
  <c r="M37" i="9"/>
  <c r="L37" i="9"/>
  <c r="K37" i="9"/>
  <c r="J37" i="9"/>
  <c r="I37" i="9"/>
  <c r="H37" i="9"/>
  <c r="G37" i="9"/>
  <c r="F37" i="9"/>
  <c r="E37" i="9"/>
  <c r="D37" i="9"/>
  <c r="C37" i="9"/>
  <c r="B37" i="9"/>
  <c r="A37" i="9"/>
  <c r="W36" i="9"/>
  <c r="V36" i="9"/>
  <c r="U36" i="9"/>
  <c r="T36" i="9"/>
  <c r="S36" i="9"/>
  <c r="R36" i="9"/>
  <c r="Q36" i="9"/>
  <c r="P36" i="9"/>
  <c r="O36" i="9"/>
  <c r="N36" i="9"/>
  <c r="M36" i="9"/>
  <c r="L36" i="9"/>
  <c r="K36" i="9"/>
  <c r="J36" i="9"/>
  <c r="I36" i="9"/>
  <c r="H36" i="9"/>
  <c r="G36" i="9"/>
  <c r="F36" i="9"/>
  <c r="E36" i="9"/>
  <c r="D36" i="9"/>
  <c r="C36" i="9"/>
  <c r="B36" i="9"/>
  <c r="A36" i="9"/>
  <c r="W35" i="9"/>
  <c r="V35" i="9"/>
  <c r="U35" i="9"/>
  <c r="T35" i="9"/>
  <c r="S35" i="9"/>
  <c r="R35" i="9"/>
  <c r="Q35" i="9"/>
  <c r="P35" i="9"/>
  <c r="O35" i="9"/>
  <c r="N35" i="9"/>
  <c r="M35" i="9"/>
  <c r="L35" i="9"/>
  <c r="K35" i="9"/>
  <c r="J35" i="9"/>
  <c r="I35" i="9"/>
  <c r="H35" i="9"/>
  <c r="G35" i="9"/>
  <c r="F35" i="9"/>
  <c r="E35" i="9"/>
  <c r="D35" i="9"/>
  <c r="C35" i="9"/>
  <c r="B35" i="9"/>
  <c r="A35" i="9"/>
  <c r="W34" i="9"/>
  <c r="V34" i="9"/>
  <c r="U34" i="9"/>
  <c r="T34" i="9"/>
  <c r="S34" i="9"/>
  <c r="R34" i="9"/>
  <c r="Q34" i="9"/>
  <c r="P34" i="9"/>
  <c r="O34" i="9"/>
  <c r="N34" i="9"/>
  <c r="M34" i="9"/>
  <c r="L34" i="9"/>
  <c r="K34" i="9"/>
  <c r="J34" i="9"/>
  <c r="I34" i="9"/>
  <c r="H34" i="9"/>
  <c r="G34" i="9"/>
  <c r="F34" i="9"/>
  <c r="E34" i="9"/>
  <c r="D34" i="9"/>
  <c r="C34" i="9"/>
  <c r="B34" i="9"/>
  <c r="A34" i="9"/>
  <c r="W33" i="9"/>
  <c r="V33" i="9"/>
  <c r="U33" i="9"/>
  <c r="T33" i="9"/>
  <c r="S33" i="9"/>
  <c r="R33" i="9"/>
  <c r="Q33" i="9"/>
  <c r="P33" i="9"/>
  <c r="O33" i="9"/>
  <c r="N33" i="9"/>
  <c r="M33" i="9"/>
  <c r="L33" i="9"/>
  <c r="K33" i="9"/>
  <c r="J33" i="9"/>
  <c r="I33" i="9"/>
  <c r="H33" i="9"/>
  <c r="G33" i="9"/>
  <c r="F33" i="9"/>
  <c r="E33" i="9"/>
  <c r="D33" i="9"/>
  <c r="C33" i="9"/>
  <c r="B33" i="9"/>
  <c r="A33" i="9"/>
  <c r="W32" i="9"/>
  <c r="V32" i="9"/>
  <c r="U32" i="9"/>
  <c r="T32" i="9"/>
  <c r="S32" i="9"/>
  <c r="R32" i="9"/>
  <c r="Q32" i="9"/>
  <c r="P32" i="9"/>
  <c r="O32" i="9"/>
  <c r="N32" i="9"/>
  <c r="M32" i="9"/>
  <c r="L32" i="9"/>
  <c r="K32" i="9"/>
  <c r="J32" i="9"/>
  <c r="I32" i="9"/>
  <c r="H32" i="9"/>
  <c r="G32" i="9"/>
  <c r="F32" i="9"/>
  <c r="E32" i="9"/>
  <c r="D32" i="9"/>
  <c r="C32" i="9"/>
  <c r="B32" i="9"/>
  <c r="A32" i="9"/>
  <c r="W31" i="9"/>
  <c r="V31" i="9"/>
  <c r="U31" i="9"/>
  <c r="T31" i="9"/>
  <c r="S31" i="9"/>
  <c r="R31" i="9"/>
  <c r="Q31" i="9"/>
  <c r="P31" i="9"/>
  <c r="O31" i="9"/>
  <c r="N31" i="9"/>
  <c r="M31" i="9"/>
  <c r="L31" i="9"/>
  <c r="K31" i="9"/>
  <c r="J31" i="9"/>
  <c r="I31" i="9"/>
  <c r="H31" i="9"/>
  <c r="G31" i="9"/>
  <c r="F31" i="9"/>
  <c r="E31" i="9"/>
  <c r="D31" i="9"/>
  <c r="C31" i="9"/>
  <c r="B31" i="9"/>
  <c r="A31" i="9"/>
  <c r="W30" i="9"/>
  <c r="V30" i="9"/>
  <c r="U30" i="9"/>
  <c r="T30" i="9"/>
  <c r="S30" i="9"/>
  <c r="R30" i="9"/>
  <c r="Q30" i="9"/>
  <c r="P30" i="9"/>
  <c r="O30" i="9"/>
  <c r="N30" i="9"/>
  <c r="M30" i="9"/>
  <c r="L30" i="9"/>
  <c r="K30" i="9"/>
  <c r="J30" i="9"/>
  <c r="I30" i="9"/>
  <c r="H30" i="9"/>
  <c r="G30" i="9"/>
  <c r="F30" i="9"/>
  <c r="E30" i="9"/>
  <c r="D30" i="9"/>
  <c r="C30" i="9"/>
  <c r="B30" i="9"/>
  <c r="A30" i="9"/>
  <c r="W29" i="9"/>
  <c r="V29" i="9"/>
  <c r="U29" i="9"/>
  <c r="T29" i="9"/>
  <c r="S29" i="9"/>
  <c r="R29" i="9"/>
  <c r="Q29" i="9"/>
  <c r="P29" i="9"/>
  <c r="O29" i="9"/>
  <c r="N29" i="9"/>
  <c r="M29" i="9"/>
  <c r="L29" i="9"/>
  <c r="K29" i="9"/>
  <c r="J29" i="9"/>
  <c r="I29" i="9"/>
  <c r="H29" i="9"/>
  <c r="G29" i="9"/>
  <c r="F29" i="9"/>
  <c r="E29" i="9"/>
  <c r="D29" i="9"/>
  <c r="C29" i="9"/>
  <c r="B29" i="9"/>
  <c r="A29" i="9"/>
  <c r="W28" i="9"/>
  <c r="V28" i="9"/>
  <c r="U28" i="9"/>
  <c r="T28" i="9"/>
  <c r="S28" i="9"/>
  <c r="R28" i="9"/>
  <c r="Q28" i="9"/>
  <c r="P28" i="9"/>
  <c r="O28" i="9"/>
  <c r="N28" i="9"/>
  <c r="M28" i="9"/>
  <c r="L28" i="9"/>
  <c r="K28" i="9"/>
  <c r="J28" i="9"/>
  <c r="I28" i="9"/>
  <c r="H28" i="9"/>
  <c r="G28" i="9"/>
  <c r="F28" i="9"/>
  <c r="E28" i="9"/>
  <c r="D28" i="9"/>
  <c r="C28" i="9"/>
  <c r="B28" i="9"/>
  <c r="A28" i="9"/>
  <c r="W27" i="9"/>
  <c r="V27" i="9"/>
  <c r="U27" i="9"/>
  <c r="T27" i="9"/>
  <c r="S27" i="9"/>
  <c r="R27" i="9"/>
  <c r="Q27" i="9"/>
  <c r="P27" i="9"/>
  <c r="O27" i="9"/>
  <c r="N27" i="9"/>
  <c r="M27" i="9"/>
  <c r="L27" i="9"/>
  <c r="K27" i="9"/>
  <c r="J27" i="9"/>
  <c r="I27" i="9"/>
  <c r="H27" i="9"/>
  <c r="G27" i="9"/>
  <c r="F27" i="9"/>
  <c r="E27" i="9"/>
  <c r="D27" i="9"/>
  <c r="C27" i="9"/>
  <c r="B27" i="9"/>
  <c r="A27" i="9"/>
  <c r="W26" i="9"/>
  <c r="V26" i="9"/>
  <c r="U26" i="9"/>
  <c r="T26" i="9"/>
  <c r="S26" i="9"/>
  <c r="R26" i="9"/>
  <c r="Q26" i="9"/>
  <c r="P26" i="9"/>
  <c r="O26" i="9"/>
  <c r="N26" i="9"/>
  <c r="M26" i="9"/>
  <c r="L26" i="9"/>
  <c r="K26" i="9"/>
  <c r="J26" i="9"/>
  <c r="I26" i="9"/>
  <c r="H26" i="9"/>
  <c r="G26" i="9"/>
  <c r="F26" i="9"/>
  <c r="E26" i="9"/>
  <c r="D26" i="9"/>
  <c r="C26" i="9"/>
  <c r="B26" i="9"/>
  <c r="A26" i="9"/>
  <c r="W25" i="9"/>
  <c r="V25" i="9"/>
  <c r="U25" i="9"/>
  <c r="T25" i="9"/>
  <c r="S25" i="9"/>
  <c r="R25" i="9"/>
  <c r="Q25" i="9"/>
  <c r="P25" i="9"/>
  <c r="O25" i="9"/>
  <c r="N25" i="9"/>
  <c r="M25" i="9"/>
  <c r="L25" i="9"/>
  <c r="K25" i="9"/>
  <c r="J25" i="9"/>
  <c r="I25" i="9"/>
  <c r="H25" i="9"/>
  <c r="G25" i="9"/>
  <c r="F25" i="9"/>
  <c r="E25" i="9"/>
  <c r="D25" i="9"/>
  <c r="C25" i="9"/>
  <c r="B25" i="9"/>
  <c r="A25" i="9"/>
  <c r="W24" i="9"/>
  <c r="V24" i="9"/>
  <c r="U24" i="9"/>
  <c r="T24" i="9"/>
  <c r="S24" i="9"/>
  <c r="R24" i="9"/>
  <c r="Q24" i="9"/>
  <c r="P24" i="9"/>
  <c r="O24" i="9"/>
  <c r="N24" i="9"/>
  <c r="M24" i="9"/>
  <c r="L24" i="9"/>
  <c r="K24" i="9"/>
  <c r="J24" i="9"/>
  <c r="I24" i="9"/>
  <c r="H24" i="9"/>
  <c r="G24" i="9"/>
  <c r="F24" i="9"/>
  <c r="E24" i="9"/>
  <c r="D24" i="9"/>
  <c r="C24" i="9"/>
  <c r="B24" i="9"/>
  <c r="A24" i="9"/>
  <c r="W23" i="9"/>
  <c r="V23" i="9"/>
  <c r="U23" i="9"/>
  <c r="T23" i="9"/>
  <c r="S23" i="9"/>
  <c r="R23" i="9"/>
  <c r="Q23" i="9"/>
  <c r="P23" i="9"/>
  <c r="O23" i="9"/>
  <c r="N23" i="9"/>
  <c r="M23" i="9"/>
  <c r="L23" i="9"/>
  <c r="K23" i="9"/>
  <c r="J23" i="9"/>
  <c r="I23" i="9"/>
  <c r="H23" i="9"/>
  <c r="G23" i="9"/>
  <c r="F23" i="9"/>
  <c r="E23" i="9"/>
  <c r="D23" i="9"/>
  <c r="C23" i="9"/>
  <c r="B23" i="9"/>
  <c r="A23" i="9"/>
  <c r="W22" i="9"/>
  <c r="V22" i="9"/>
  <c r="U22" i="9"/>
  <c r="T22" i="9"/>
  <c r="S22" i="9"/>
  <c r="R22" i="9"/>
  <c r="Q22" i="9"/>
  <c r="P22" i="9"/>
  <c r="O22" i="9"/>
  <c r="N22" i="9"/>
  <c r="M22" i="9"/>
  <c r="L22" i="9"/>
  <c r="K22" i="9"/>
  <c r="J22" i="9"/>
  <c r="I22" i="9"/>
  <c r="H22" i="9"/>
  <c r="G22" i="9"/>
  <c r="F22" i="9"/>
  <c r="E22" i="9"/>
  <c r="D22" i="9"/>
  <c r="C22" i="9"/>
  <c r="B22" i="9"/>
  <c r="A22" i="9"/>
  <c r="W21" i="9"/>
  <c r="V21" i="9"/>
  <c r="U21" i="9"/>
  <c r="T21" i="9"/>
  <c r="S21" i="9"/>
  <c r="R21" i="9"/>
  <c r="Q21" i="9"/>
  <c r="P21" i="9"/>
  <c r="O21" i="9"/>
  <c r="N21" i="9"/>
  <c r="M21" i="9"/>
  <c r="L21" i="9"/>
  <c r="K21" i="9"/>
  <c r="J21" i="9"/>
  <c r="I21" i="9"/>
  <c r="H21" i="9"/>
  <c r="G21" i="9"/>
  <c r="F21" i="9"/>
  <c r="E21" i="9"/>
  <c r="D21" i="9"/>
  <c r="C21" i="9"/>
  <c r="B21" i="9"/>
  <c r="A21" i="9"/>
  <c r="W20" i="9"/>
  <c r="V20" i="9"/>
  <c r="U20" i="9"/>
  <c r="T20" i="9"/>
  <c r="S20" i="9"/>
  <c r="R20" i="9"/>
  <c r="Q20" i="9"/>
  <c r="P20" i="9"/>
  <c r="O20" i="9"/>
  <c r="N20" i="9"/>
  <c r="M20" i="9"/>
  <c r="L20" i="9"/>
  <c r="K20" i="9"/>
  <c r="J20" i="9"/>
  <c r="I20" i="9"/>
  <c r="H20" i="9"/>
  <c r="G20" i="9"/>
  <c r="F20" i="9"/>
  <c r="E20" i="9"/>
  <c r="D20" i="9"/>
  <c r="C20" i="9"/>
  <c r="B20" i="9"/>
  <c r="A20" i="9"/>
  <c r="W19" i="9"/>
  <c r="V19" i="9"/>
  <c r="U19" i="9"/>
  <c r="T19" i="9"/>
  <c r="S19" i="9"/>
  <c r="R19" i="9"/>
  <c r="Q19" i="9"/>
  <c r="P19" i="9"/>
  <c r="O19" i="9"/>
  <c r="N19" i="9"/>
  <c r="M19" i="9"/>
  <c r="L19" i="9"/>
  <c r="K19" i="9"/>
  <c r="J19" i="9"/>
  <c r="I19" i="9"/>
  <c r="H19" i="9"/>
  <c r="G19" i="9"/>
  <c r="F19" i="9"/>
  <c r="E19" i="9"/>
  <c r="D19" i="9"/>
  <c r="C19" i="9"/>
  <c r="B19" i="9"/>
  <c r="A19" i="9"/>
  <c r="W18" i="9"/>
  <c r="V18" i="9"/>
  <c r="U18" i="9"/>
  <c r="T18" i="9"/>
  <c r="S18" i="9"/>
  <c r="R18" i="9"/>
  <c r="Q18" i="9"/>
  <c r="P18" i="9"/>
  <c r="O18" i="9"/>
  <c r="N18" i="9"/>
  <c r="M18" i="9"/>
  <c r="L18" i="9"/>
  <c r="K18" i="9"/>
  <c r="J18" i="9"/>
  <c r="I18" i="9"/>
  <c r="H18" i="9"/>
  <c r="G18" i="9"/>
  <c r="F18" i="9"/>
  <c r="E18" i="9"/>
  <c r="D18" i="9"/>
  <c r="C18" i="9"/>
  <c r="B18" i="9"/>
  <c r="A18" i="9"/>
  <c r="W17" i="9"/>
  <c r="V17" i="9"/>
  <c r="U17" i="9"/>
  <c r="T17" i="9"/>
  <c r="S17" i="9"/>
  <c r="R17" i="9"/>
  <c r="Q17" i="9"/>
  <c r="P17" i="9"/>
  <c r="O17" i="9"/>
  <c r="N17" i="9"/>
  <c r="M17" i="9"/>
  <c r="L17" i="9"/>
  <c r="K17" i="9"/>
  <c r="J17" i="9"/>
  <c r="I17" i="9"/>
  <c r="H17" i="9"/>
  <c r="G17" i="9"/>
  <c r="F17" i="9"/>
  <c r="E17" i="9"/>
  <c r="D17" i="9"/>
  <c r="C17" i="9"/>
  <c r="B17" i="9"/>
  <c r="A17" i="9"/>
  <c r="W16" i="9"/>
  <c r="V16" i="9"/>
  <c r="U16" i="9"/>
  <c r="T16" i="9"/>
  <c r="S16" i="9"/>
  <c r="R16" i="9"/>
  <c r="Q16" i="9"/>
  <c r="P16" i="9"/>
  <c r="O16" i="9"/>
  <c r="N16" i="9"/>
  <c r="M16" i="9"/>
  <c r="L16" i="9"/>
  <c r="K16" i="9"/>
  <c r="J16" i="9"/>
  <c r="I16" i="9"/>
  <c r="H16" i="9"/>
  <c r="G16" i="9"/>
  <c r="F16" i="9"/>
  <c r="E16" i="9"/>
  <c r="D16" i="9"/>
  <c r="C16" i="9"/>
  <c r="B16" i="9"/>
  <c r="A16" i="9"/>
  <c r="W15" i="9"/>
  <c r="V15" i="9"/>
  <c r="U15" i="9"/>
  <c r="T15" i="9"/>
  <c r="S15" i="9"/>
  <c r="R15" i="9"/>
  <c r="Q15" i="9"/>
  <c r="P15" i="9"/>
  <c r="O15" i="9"/>
  <c r="N15" i="9"/>
  <c r="M15" i="9"/>
  <c r="L15" i="9"/>
  <c r="K15" i="9"/>
  <c r="J15" i="9"/>
  <c r="I15" i="9"/>
  <c r="H15" i="9"/>
  <c r="G15" i="9"/>
  <c r="F15" i="9"/>
  <c r="E15" i="9"/>
  <c r="D15" i="9"/>
  <c r="C15" i="9"/>
  <c r="B15" i="9"/>
  <c r="A15" i="9"/>
  <c r="W14" i="9"/>
  <c r="V14" i="9"/>
  <c r="U14" i="9"/>
  <c r="T14" i="9"/>
  <c r="S14" i="9"/>
  <c r="R14" i="9"/>
  <c r="Q14" i="9"/>
  <c r="P14" i="9"/>
  <c r="O14" i="9"/>
  <c r="N14" i="9"/>
  <c r="M14" i="9"/>
  <c r="L14" i="9"/>
  <c r="K14" i="9"/>
  <c r="J14" i="9"/>
  <c r="I14" i="9"/>
  <c r="H14" i="9"/>
  <c r="G14" i="9"/>
  <c r="F14" i="9"/>
  <c r="E14" i="9"/>
  <c r="D14" i="9"/>
  <c r="C14" i="9"/>
  <c r="B14" i="9"/>
  <c r="A14" i="9"/>
  <c r="W13" i="9"/>
  <c r="V13" i="9"/>
  <c r="U13" i="9"/>
  <c r="T13" i="9"/>
  <c r="S13" i="9"/>
  <c r="R13" i="9"/>
  <c r="Q13" i="9"/>
  <c r="P13" i="9"/>
  <c r="O13" i="9"/>
  <c r="N13" i="9"/>
  <c r="M13" i="9"/>
  <c r="L13" i="9"/>
  <c r="K13" i="9"/>
  <c r="J13" i="9"/>
  <c r="I13" i="9"/>
  <c r="H13" i="9"/>
  <c r="G13" i="9"/>
  <c r="F13" i="9"/>
  <c r="E13" i="9"/>
  <c r="D13" i="9"/>
  <c r="C13" i="9"/>
  <c r="B13" i="9"/>
  <c r="A13" i="9"/>
  <c r="W12" i="9"/>
  <c r="V12" i="9"/>
  <c r="U12" i="9"/>
  <c r="T12" i="9"/>
  <c r="S12" i="9"/>
  <c r="R12" i="9"/>
  <c r="Q12" i="9"/>
  <c r="P12" i="9"/>
  <c r="O12" i="9"/>
  <c r="N12" i="9"/>
  <c r="M12" i="9"/>
  <c r="L12" i="9"/>
  <c r="K12" i="9"/>
  <c r="J12" i="9"/>
  <c r="I12" i="9"/>
  <c r="H12" i="9"/>
  <c r="G12" i="9"/>
  <c r="F12" i="9"/>
  <c r="E12" i="9"/>
  <c r="D12" i="9"/>
  <c r="C12" i="9"/>
  <c r="B12" i="9"/>
  <c r="A12" i="9"/>
  <c r="W11" i="9"/>
  <c r="V11" i="9"/>
  <c r="U11" i="9"/>
  <c r="T11" i="9"/>
  <c r="S11" i="9"/>
  <c r="R11" i="9"/>
  <c r="Q11" i="9"/>
  <c r="P11" i="9"/>
  <c r="O11" i="9"/>
  <c r="N11" i="9"/>
  <c r="M11" i="9"/>
  <c r="L11" i="9"/>
  <c r="K11" i="9"/>
  <c r="J11" i="9"/>
  <c r="I11" i="9"/>
  <c r="H11" i="9"/>
  <c r="G11" i="9"/>
  <c r="F11" i="9"/>
  <c r="E11" i="9"/>
  <c r="D11" i="9"/>
  <c r="C11" i="9"/>
  <c r="B11" i="9"/>
  <c r="A11" i="9"/>
  <c r="W10" i="9"/>
  <c r="V10" i="9"/>
  <c r="U10" i="9"/>
  <c r="T10" i="9"/>
  <c r="S10" i="9"/>
  <c r="R10" i="9"/>
  <c r="Q10" i="9"/>
  <c r="P10" i="9"/>
  <c r="O10" i="9"/>
  <c r="N10" i="9"/>
  <c r="M10" i="9"/>
  <c r="L10" i="9"/>
  <c r="K10" i="9"/>
  <c r="J10" i="9"/>
  <c r="I10" i="9"/>
  <c r="H10" i="9"/>
  <c r="G10" i="9"/>
  <c r="F10" i="9"/>
  <c r="E10" i="9"/>
  <c r="D10" i="9"/>
  <c r="C10" i="9"/>
  <c r="B10" i="9"/>
  <c r="A10" i="9"/>
  <c r="W9" i="9"/>
  <c r="V9" i="9"/>
  <c r="U9" i="9"/>
  <c r="T9" i="9"/>
  <c r="S9" i="9"/>
  <c r="R9" i="9"/>
  <c r="Q9" i="9"/>
  <c r="P9" i="9"/>
  <c r="O9" i="9"/>
  <c r="N9" i="9"/>
  <c r="M9" i="9"/>
  <c r="L9" i="9"/>
  <c r="K9" i="9"/>
  <c r="J9" i="9"/>
  <c r="I9" i="9"/>
  <c r="H9" i="9"/>
  <c r="G9" i="9"/>
  <c r="F9" i="9"/>
  <c r="E9" i="9"/>
  <c r="D9" i="9"/>
  <c r="C9" i="9"/>
  <c r="B9" i="9"/>
  <c r="A9" i="9"/>
  <c r="W8" i="9"/>
  <c r="V8" i="9"/>
  <c r="U8" i="9"/>
  <c r="T8" i="9"/>
  <c r="S8" i="9"/>
  <c r="R8" i="9"/>
  <c r="Q8" i="9"/>
  <c r="P8" i="9"/>
  <c r="O8" i="9"/>
  <c r="N8" i="9"/>
  <c r="M8" i="9"/>
  <c r="L8" i="9"/>
  <c r="K8" i="9"/>
  <c r="J8" i="9"/>
  <c r="I8" i="9"/>
  <c r="H8" i="9"/>
  <c r="G8" i="9"/>
  <c r="F8" i="9"/>
  <c r="E8" i="9"/>
  <c r="D8" i="9"/>
  <c r="C8" i="9"/>
  <c r="B8" i="9"/>
  <c r="A8" i="9"/>
  <c r="W7" i="9"/>
  <c r="V7" i="9"/>
  <c r="U7" i="9"/>
  <c r="T7" i="9"/>
  <c r="S7" i="9"/>
  <c r="R7" i="9"/>
  <c r="Q7" i="9"/>
  <c r="P7" i="9"/>
  <c r="O7" i="9"/>
  <c r="N7" i="9"/>
  <c r="M7" i="9"/>
  <c r="L7" i="9"/>
  <c r="K7" i="9"/>
  <c r="J7" i="9"/>
  <c r="I7" i="9"/>
  <c r="H7" i="9"/>
  <c r="G7" i="9"/>
  <c r="F7" i="9"/>
  <c r="E7" i="9"/>
  <c r="D7" i="9"/>
  <c r="C7" i="9"/>
  <c r="B7" i="9"/>
  <c r="A7" i="9"/>
  <c r="W6" i="9"/>
  <c r="V6" i="9"/>
  <c r="U6" i="9"/>
  <c r="T6" i="9"/>
  <c r="S6" i="9"/>
  <c r="R6" i="9"/>
  <c r="Q6" i="9"/>
  <c r="P6" i="9"/>
  <c r="O6" i="9"/>
  <c r="N6" i="9"/>
  <c r="M6" i="9"/>
  <c r="L6" i="9"/>
  <c r="K6" i="9"/>
  <c r="J6" i="9"/>
  <c r="I6" i="9"/>
  <c r="H6" i="9"/>
  <c r="G6" i="9"/>
  <c r="F6" i="9"/>
  <c r="E6" i="9"/>
  <c r="D6" i="9"/>
  <c r="C6" i="9"/>
  <c r="B6" i="9"/>
  <c r="A6" i="9"/>
  <c r="W5" i="9"/>
  <c r="V5" i="9"/>
  <c r="U5" i="9"/>
  <c r="T5" i="9"/>
  <c r="S5" i="9"/>
  <c r="R5" i="9"/>
  <c r="Q5" i="9"/>
  <c r="P5" i="9"/>
  <c r="O5" i="9"/>
  <c r="N5" i="9"/>
  <c r="M5" i="9"/>
  <c r="L5" i="9"/>
  <c r="K5" i="9"/>
  <c r="J5" i="9"/>
  <c r="I5" i="9"/>
  <c r="H5" i="9"/>
  <c r="G5" i="9"/>
  <c r="F5" i="9"/>
  <c r="E5" i="9"/>
  <c r="D5" i="9"/>
  <c r="C5" i="9"/>
  <c r="B5" i="9"/>
  <c r="A5" i="9"/>
  <c r="W4" i="9"/>
  <c r="V4" i="9"/>
  <c r="U4" i="9"/>
  <c r="T4" i="9"/>
  <c r="S4" i="9"/>
  <c r="R4" i="9"/>
  <c r="Q4" i="9"/>
  <c r="P4" i="9"/>
  <c r="O4" i="9"/>
  <c r="N4" i="9"/>
  <c r="M4" i="9"/>
  <c r="L4" i="9"/>
  <c r="K4" i="9"/>
  <c r="J4" i="9"/>
  <c r="I4" i="9"/>
  <c r="H4" i="9"/>
  <c r="G4" i="9"/>
  <c r="F4" i="9"/>
  <c r="E4" i="9"/>
  <c r="D4" i="9"/>
  <c r="C4" i="9"/>
  <c r="B4" i="9"/>
  <c r="A4" i="9"/>
  <c r="W3" i="9"/>
  <c r="V3" i="9"/>
  <c r="U3" i="9"/>
  <c r="T3" i="9"/>
  <c r="S3" i="9"/>
  <c r="R3" i="9"/>
  <c r="Q3" i="9"/>
  <c r="P3" i="9"/>
  <c r="O3" i="9"/>
  <c r="N3" i="9"/>
  <c r="M3" i="9"/>
  <c r="L3" i="9"/>
  <c r="K3" i="9"/>
  <c r="J3" i="9"/>
  <c r="I3" i="9"/>
  <c r="H3" i="9"/>
  <c r="G3" i="9"/>
  <c r="F3" i="9"/>
  <c r="E3" i="9"/>
  <c r="D3" i="9"/>
  <c r="C3" i="9"/>
  <c r="B3" i="9"/>
  <c r="A3" i="9"/>
  <c r="W2" i="9"/>
  <c r="V2" i="9"/>
  <c r="U2" i="9"/>
  <c r="T2" i="9"/>
  <c r="S2" i="9"/>
  <c r="R2" i="9"/>
  <c r="Q2" i="9"/>
  <c r="P2" i="9"/>
  <c r="O2" i="9"/>
  <c r="N2" i="9"/>
  <c r="M2" i="9"/>
  <c r="L2" i="9"/>
  <c r="K2" i="9"/>
  <c r="J2" i="9"/>
  <c r="I2" i="9"/>
  <c r="H2" i="9"/>
  <c r="G2" i="9"/>
  <c r="F2" i="9"/>
  <c r="E2" i="9"/>
  <c r="D2" i="9"/>
  <c r="C2" i="9"/>
  <c r="B2" i="9"/>
  <c r="A2" i="9"/>
  <c r="W1" i="9"/>
  <c r="V1" i="9"/>
  <c r="U1" i="9"/>
  <c r="T1" i="9"/>
  <c r="S1" i="9"/>
  <c r="R1" i="9"/>
  <c r="Q1" i="9"/>
  <c r="P1" i="9"/>
  <c r="O1" i="9"/>
  <c r="N1" i="9"/>
  <c r="M1" i="9"/>
  <c r="L1" i="9"/>
  <c r="K1" i="9"/>
  <c r="J1" i="9"/>
  <c r="I1" i="9"/>
  <c r="H1" i="9"/>
  <c r="G1" i="9"/>
  <c r="F1" i="9"/>
  <c r="E1" i="9"/>
  <c r="D1" i="9"/>
  <c r="C1" i="9"/>
  <c r="B1" i="9"/>
  <c r="A1" i="9"/>
  <c r="W900" i="8"/>
  <c r="V900" i="8"/>
  <c r="U900" i="8"/>
  <c r="T900" i="8"/>
  <c r="S900" i="8"/>
  <c r="R900" i="8"/>
  <c r="Q900" i="8"/>
  <c r="P900" i="8"/>
  <c r="O900" i="8"/>
  <c r="N900" i="8"/>
  <c r="M900" i="8"/>
  <c r="L900" i="8"/>
  <c r="K900" i="8"/>
  <c r="J900" i="8"/>
  <c r="I900" i="8"/>
  <c r="H900" i="8"/>
  <c r="G900" i="8"/>
  <c r="F900" i="8"/>
  <c r="E900" i="8"/>
  <c r="D900" i="8"/>
  <c r="C900" i="8"/>
  <c r="B900" i="8"/>
  <c r="A900" i="8"/>
  <c r="W899" i="8"/>
  <c r="V899" i="8"/>
  <c r="U899" i="8"/>
  <c r="T899" i="8"/>
  <c r="S899" i="8"/>
  <c r="R899" i="8"/>
  <c r="Q899" i="8"/>
  <c r="P899" i="8"/>
  <c r="O899" i="8"/>
  <c r="N899" i="8"/>
  <c r="M899" i="8"/>
  <c r="L899" i="8"/>
  <c r="K899" i="8"/>
  <c r="J899" i="8"/>
  <c r="I899" i="8"/>
  <c r="H899" i="8"/>
  <c r="G899" i="8"/>
  <c r="F899" i="8"/>
  <c r="E899" i="8"/>
  <c r="D899" i="8"/>
  <c r="C899" i="8"/>
  <c r="B899" i="8"/>
  <c r="A899" i="8"/>
  <c r="W898" i="8"/>
  <c r="V898" i="8"/>
  <c r="U898" i="8"/>
  <c r="T898" i="8"/>
  <c r="S898" i="8"/>
  <c r="R898" i="8"/>
  <c r="Q898" i="8"/>
  <c r="P898" i="8"/>
  <c r="O898" i="8"/>
  <c r="N898" i="8"/>
  <c r="M898" i="8"/>
  <c r="L898" i="8"/>
  <c r="K898" i="8"/>
  <c r="J898" i="8"/>
  <c r="I898" i="8"/>
  <c r="H898" i="8"/>
  <c r="G898" i="8"/>
  <c r="F898" i="8"/>
  <c r="E898" i="8"/>
  <c r="D898" i="8"/>
  <c r="C898" i="8"/>
  <c r="B898" i="8"/>
  <c r="A898" i="8"/>
  <c r="W897" i="8"/>
  <c r="V897" i="8"/>
  <c r="U897" i="8"/>
  <c r="T897" i="8"/>
  <c r="S897" i="8"/>
  <c r="R897" i="8"/>
  <c r="Q897" i="8"/>
  <c r="P897" i="8"/>
  <c r="O897" i="8"/>
  <c r="N897" i="8"/>
  <c r="M897" i="8"/>
  <c r="L897" i="8"/>
  <c r="K897" i="8"/>
  <c r="J897" i="8"/>
  <c r="I897" i="8"/>
  <c r="H897" i="8"/>
  <c r="G897" i="8"/>
  <c r="F897" i="8"/>
  <c r="E897" i="8"/>
  <c r="D897" i="8"/>
  <c r="C897" i="8"/>
  <c r="B897" i="8"/>
  <c r="A897" i="8"/>
  <c r="W896" i="8"/>
  <c r="V896" i="8"/>
  <c r="U896" i="8"/>
  <c r="T896" i="8"/>
  <c r="S896" i="8"/>
  <c r="R896" i="8"/>
  <c r="Q896" i="8"/>
  <c r="P896" i="8"/>
  <c r="O896" i="8"/>
  <c r="N896" i="8"/>
  <c r="M896" i="8"/>
  <c r="L896" i="8"/>
  <c r="K896" i="8"/>
  <c r="J896" i="8"/>
  <c r="I896" i="8"/>
  <c r="H896" i="8"/>
  <c r="G896" i="8"/>
  <c r="F896" i="8"/>
  <c r="E896" i="8"/>
  <c r="D896" i="8"/>
  <c r="C896" i="8"/>
  <c r="B896" i="8"/>
  <c r="A896" i="8"/>
  <c r="W895" i="8"/>
  <c r="V895" i="8"/>
  <c r="U895" i="8"/>
  <c r="T895" i="8"/>
  <c r="S895" i="8"/>
  <c r="R895" i="8"/>
  <c r="Q895" i="8"/>
  <c r="P895" i="8"/>
  <c r="O895" i="8"/>
  <c r="N895" i="8"/>
  <c r="M895" i="8"/>
  <c r="L895" i="8"/>
  <c r="K895" i="8"/>
  <c r="J895" i="8"/>
  <c r="I895" i="8"/>
  <c r="H895" i="8"/>
  <c r="G895" i="8"/>
  <c r="F895" i="8"/>
  <c r="E895" i="8"/>
  <c r="D895" i="8"/>
  <c r="C895" i="8"/>
  <c r="B895" i="8"/>
  <c r="A895" i="8"/>
  <c r="W894" i="8"/>
  <c r="V894" i="8"/>
  <c r="U894" i="8"/>
  <c r="T894" i="8"/>
  <c r="S894" i="8"/>
  <c r="R894" i="8"/>
  <c r="Q894" i="8"/>
  <c r="P894" i="8"/>
  <c r="O894" i="8"/>
  <c r="N894" i="8"/>
  <c r="M894" i="8"/>
  <c r="L894" i="8"/>
  <c r="K894" i="8"/>
  <c r="J894" i="8"/>
  <c r="I894" i="8"/>
  <c r="H894" i="8"/>
  <c r="G894" i="8"/>
  <c r="F894" i="8"/>
  <c r="E894" i="8"/>
  <c r="D894" i="8"/>
  <c r="C894" i="8"/>
  <c r="B894" i="8"/>
  <c r="A894" i="8"/>
  <c r="W893" i="8"/>
  <c r="V893" i="8"/>
  <c r="U893" i="8"/>
  <c r="T893" i="8"/>
  <c r="S893" i="8"/>
  <c r="R893" i="8"/>
  <c r="Q893" i="8"/>
  <c r="P893" i="8"/>
  <c r="O893" i="8"/>
  <c r="N893" i="8"/>
  <c r="M893" i="8"/>
  <c r="L893" i="8"/>
  <c r="K893" i="8"/>
  <c r="J893" i="8"/>
  <c r="I893" i="8"/>
  <c r="H893" i="8"/>
  <c r="G893" i="8"/>
  <c r="F893" i="8"/>
  <c r="E893" i="8"/>
  <c r="D893" i="8"/>
  <c r="C893" i="8"/>
  <c r="B893" i="8"/>
  <c r="A893" i="8"/>
  <c r="W892" i="8"/>
  <c r="V892" i="8"/>
  <c r="U892" i="8"/>
  <c r="T892" i="8"/>
  <c r="S892" i="8"/>
  <c r="R892" i="8"/>
  <c r="Q892" i="8"/>
  <c r="P892" i="8"/>
  <c r="O892" i="8"/>
  <c r="N892" i="8"/>
  <c r="M892" i="8"/>
  <c r="L892" i="8"/>
  <c r="K892" i="8"/>
  <c r="J892" i="8"/>
  <c r="I892" i="8"/>
  <c r="H892" i="8"/>
  <c r="G892" i="8"/>
  <c r="F892" i="8"/>
  <c r="E892" i="8"/>
  <c r="D892" i="8"/>
  <c r="C892" i="8"/>
  <c r="B892" i="8"/>
  <c r="A892" i="8"/>
  <c r="W891" i="8"/>
  <c r="V891" i="8"/>
  <c r="U891" i="8"/>
  <c r="T891" i="8"/>
  <c r="S891" i="8"/>
  <c r="R891" i="8"/>
  <c r="Q891" i="8"/>
  <c r="P891" i="8"/>
  <c r="O891" i="8"/>
  <c r="N891" i="8"/>
  <c r="M891" i="8"/>
  <c r="L891" i="8"/>
  <c r="K891" i="8"/>
  <c r="J891" i="8"/>
  <c r="I891" i="8"/>
  <c r="H891" i="8"/>
  <c r="G891" i="8"/>
  <c r="F891" i="8"/>
  <c r="E891" i="8"/>
  <c r="D891" i="8"/>
  <c r="C891" i="8"/>
  <c r="B891" i="8"/>
  <c r="A891" i="8"/>
  <c r="W890" i="8"/>
  <c r="V890" i="8"/>
  <c r="U890" i="8"/>
  <c r="T890" i="8"/>
  <c r="S890" i="8"/>
  <c r="R890" i="8"/>
  <c r="Q890" i="8"/>
  <c r="P890" i="8"/>
  <c r="O890" i="8"/>
  <c r="N890" i="8"/>
  <c r="M890" i="8"/>
  <c r="L890" i="8"/>
  <c r="K890" i="8"/>
  <c r="J890" i="8"/>
  <c r="I890" i="8"/>
  <c r="H890" i="8"/>
  <c r="G890" i="8"/>
  <c r="F890" i="8"/>
  <c r="E890" i="8"/>
  <c r="D890" i="8"/>
  <c r="C890" i="8"/>
  <c r="B890" i="8"/>
  <c r="A890" i="8"/>
  <c r="W889" i="8"/>
  <c r="V889" i="8"/>
  <c r="U889" i="8"/>
  <c r="T889" i="8"/>
  <c r="S889" i="8"/>
  <c r="R889" i="8"/>
  <c r="Q889" i="8"/>
  <c r="P889" i="8"/>
  <c r="O889" i="8"/>
  <c r="N889" i="8"/>
  <c r="M889" i="8"/>
  <c r="L889" i="8"/>
  <c r="K889" i="8"/>
  <c r="J889" i="8"/>
  <c r="I889" i="8"/>
  <c r="H889" i="8"/>
  <c r="G889" i="8"/>
  <c r="F889" i="8"/>
  <c r="E889" i="8"/>
  <c r="D889" i="8"/>
  <c r="C889" i="8"/>
  <c r="B889" i="8"/>
  <c r="A889" i="8"/>
  <c r="W888" i="8"/>
  <c r="V888" i="8"/>
  <c r="U888" i="8"/>
  <c r="T888" i="8"/>
  <c r="S888" i="8"/>
  <c r="R888" i="8"/>
  <c r="Q888" i="8"/>
  <c r="P888" i="8"/>
  <c r="O888" i="8"/>
  <c r="N888" i="8"/>
  <c r="M888" i="8"/>
  <c r="L888" i="8"/>
  <c r="K888" i="8"/>
  <c r="J888" i="8"/>
  <c r="I888" i="8"/>
  <c r="H888" i="8"/>
  <c r="G888" i="8"/>
  <c r="F888" i="8"/>
  <c r="E888" i="8"/>
  <c r="D888" i="8"/>
  <c r="C888" i="8"/>
  <c r="B888" i="8"/>
  <c r="A888" i="8"/>
  <c r="W887" i="8"/>
  <c r="V887" i="8"/>
  <c r="U887" i="8"/>
  <c r="T887" i="8"/>
  <c r="S887" i="8"/>
  <c r="R887" i="8"/>
  <c r="Q887" i="8"/>
  <c r="P887" i="8"/>
  <c r="O887" i="8"/>
  <c r="N887" i="8"/>
  <c r="M887" i="8"/>
  <c r="L887" i="8"/>
  <c r="K887" i="8"/>
  <c r="J887" i="8"/>
  <c r="I887" i="8"/>
  <c r="H887" i="8"/>
  <c r="G887" i="8"/>
  <c r="F887" i="8"/>
  <c r="E887" i="8"/>
  <c r="D887" i="8"/>
  <c r="C887" i="8"/>
  <c r="B887" i="8"/>
  <c r="A887" i="8"/>
  <c r="W886" i="8"/>
  <c r="V886" i="8"/>
  <c r="U886" i="8"/>
  <c r="T886" i="8"/>
  <c r="S886" i="8"/>
  <c r="R886" i="8"/>
  <c r="Q886" i="8"/>
  <c r="P886" i="8"/>
  <c r="O886" i="8"/>
  <c r="N886" i="8"/>
  <c r="M886" i="8"/>
  <c r="L886" i="8"/>
  <c r="K886" i="8"/>
  <c r="J886" i="8"/>
  <c r="I886" i="8"/>
  <c r="H886" i="8"/>
  <c r="G886" i="8"/>
  <c r="F886" i="8"/>
  <c r="E886" i="8"/>
  <c r="D886" i="8"/>
  <c r="C886" i="8"/>
  <c r="B886" i="8"/>
  <c r="A886" i="8"/>
  <c r="W885" i="8"/>
  <c r="V885" i="8"/>
  <c r="U885" i="8"/>
  <c r="T885" i="8"/>
  <c r="S885" i="8"/>
  <c r="R885" i="8"/>
  <c r="Q885" i="8"/>
  <c r="P885" i="8"/>
  <c r="O885" i="8"/>
  <c r="N885" i="8"/>
  <c r="M885" i="8"/>
  <c r="L885" i="8"/>
  <c r="K885" i="8"/>
  <c r="J885" i="8"/>
  <c r="I885" i="8"/>
  <c r="H885" i="8"/>
  <c r="G885" i="8"/>
  <c r="F885" i="8"/>
  <c r="E885" i="8"/>
  <c r="D885" i="8"/>
  <c r="C885" i="8"/>
  <c r="B885" i="8"/>
  <c r="A885" i="8"/>
  <c r="W884" i="8"/>
  <c r="V884" i="8"/>
  <c r="U884" i="8"/>
  <c r="T884" i="8"/>
  <c r="S884" i="8"/>
  <c r="R884" i="8"/>
  <c r="Q884" i="8"/>
  <c r="P884" i="8"/>
  <c r="O884" i="8"/>
  <c r="N884" i="8"/>
  <c r="M884" i="8"/>
  <c r="L884" i="8"/>
  <c r="K884" i="8"/>
  <c r="J884" i="8"/>
  <c r="I884" i="8"/>
  <c r="H884" i="8"/>
  <c r="G884" i="8"/>
  <c r="F884" i="8"/>
  <c r="E884" i="8"/>
  <c r="D884" i="8"/>
  <c r="C884" i="8"/>
  <c r="B884" i="8"/>
  <c r="A884" i="8"/>
  <c r="W883" i="8"/>
  <c r="V883" i="8"/>
  <c r="U883" i="8"/>
  <c r="T883" i="8"/>
  <c r="S883" i="8"/>
  <c r="R883" i="8"/>
  <c r="Q883" i="8"/>
  <c r="P883" i="8"/>
  <c r="O883" i="8"/>
  <c r="N883" i="8"/>
  <c r="M883" i="8"/>
  <c r="L883" i="8"/>
  <c r="K883" i="8"/>
  <c r="J883" i="8"/>
  <c r="I883" i="8"/>
  <c r="H883" i="8"/>
  <c r="G883" i="8"/>
  <c r="F883" i="8"/>
  <c r="E883" i="8"/>
  <c r="D883" i="8"/>
  <c r="C883" i="8"/>
  <c r="B883" i="8"/>
  <c r="A883" i="8"/>
  <c r="W882" i="8"/>
  <c r="V882" i="8"/>
  <c r="U882" i="8"/>
  <c r="T882" i="8"/>
  <c r="S882" i="8"/>
  <c r="R882" i="8"/>
  <c r="Q882" i="8"/>
  <c r="P882" i="8"/>
  <c r="O882" i="8"/>
  <c r="N882" i="8"/>
  <c r="M882" i="8"/>
  <c r="L882" i="8"/>
  <c r="K882" i="8"/>
  <c r="J882" i="8"/>
  <c r="I882" i="8"/>
  <c r="H882" i="8"/>
  <c r="G882" i="8"/>
  <c r="F882" i="8"/>
  <c r="E882" i="8"/>
  <c r="D882" i="8"/>
  <c r="C882" i="8"/>
  <c r="B882" i="8"/>
  <c r="A882" i="8"/>
  <c r="W881" i="8"/>
  <c r="V881" i="8"/>
  <c r="U881" i="8"/>
  <c r="T881" i="8"/>
  <c r="S881" i="8"/>
  <c r="R881" i="8"/>
  <c r="Q881" i="8"/>
  <c r="P881" i="8"/>
  <c r="O881" i="8"/>
  <c r="N881" i="8"/>
  <c r="M881" i="8"/>
  <c r="L881" i="8"/>
  <c r="K881" i="8"/>
  <c r="J881" i="8"/>
  <c r="I881" i="8"/>
  <c r="H881" i="8"/>
  <c r="G881" i="8"/>
  <c r="F881" i="8"/>
  <c r="E881" i="8"/>
  <c r="D881" i="8"/>
  <c r="C881" i="8"/>
  <c r="B881" i="8"/>
  <c r="A881" i="8"/>
  <c r="W880" i="8"/>
  <c r="V880" i="8"/>
  <c r="U880" i="8"/>
  <c r="T880" i="8"/>
  <c r="S880" i="8"/>
  <c r="R880" i="8"/>
  <c r="Q880" i="8"/>
  <c r="P880" i="8"/>
  <c r="O880" i="8"/>
  <c r="N880" i="8"/>
  <c r="M880" i="8"/>
  <c r="L880" i="8"/>
  <c r="K880" i="8"/>
  <c r="J880" i="8"/>
  <c r="I880" i="8"/>
  <c r="H880" i="8"/>
  <c r="G880" i="8"/>
  <c r="F880" i="8"/>
  <c r="E880" i="8"/>
  <c r="D880" i="8"/>
  <c r="C880" i="8"/>
  <c r="B880" i="8"/>
  <c r="A880" i="8"/>
  <c r="W879" i="8"/>
  <c r="V879" i="8"/>
  <c r="U879" i="8"/>
  <c r="T879" i="8"/>
  <c r="S879" i="8"/>
  <c r="R879" i="8"/>
  <c r="Q879" i="8"/>
  <c r="P879" i="8"/>
  <c r="O879" i="8"/>
  <c r="N879" i="8"/>
  <c r="M879" i="8"/>
  <c r="L879" i="8"/>
  <c r="K879" i="8"/>
  <c r="J879" i="8"/>
  <c r="I879" i="8"/>
  <c r="H879" i="8"/>
  <c r="G879" i="8"/>
  <c r="F879" i="8"/>
  <c r="E879" i="8"/>
  <c r="D879" i="8"/>
  <c r="C879" i="8"/>
  <c r="B879" i="8"/>
  <c r="A879" i="8"/>
  <c r="W878" i="8"/>
  <c r="V878" i="8"/>
  <c r="U878" i="8"/>
  <c r="T878" i="8"/>
  <c r="S878" i="8"/>
  <c r="R878" i="8"/>
  <c r="Q878" i="8"/>
  <c r="P878" i="8"/>
  <c r="O878" i="8"/>
  <c r="N878" i="8"/>
  <c r="M878" i="8"/>
  <c r="L878" i="8"/>
  <c r="K878" i="8"/>
  <c r="J878" i="8"/>
  <c r="I878" i="8"/>
  <c r="H878" i="8"/>
  <c r="G878" i="8"/>
  <c r="F878" i="8"/>
  <c r="E878" i="8"/>
  <c r="D878" i="8"/>
  <c r="C878" i="8"/>
  <c r="B878" i="8"/>
  <c r="A878" i="8"/>
  <c r="W877" i="8"/>
  <c r="V877" i="8"/>
  <c r="U877" i="8"/>
  <c r="T877" i="8"/>
  <c r="S877" i="8"/>
  <c r="R877" i="8"/>
  <c r="Q877" i="8"/>
  <c r="P877" i="8"/>
  <c r="O877" i="8"/>
  <c r="N877" i="8"/>
  <c r="M877" i="8"/>
  <c r="L877" i="8"/>
  <c r="K877" i="8"/>
  <c r="J877" i="8"/>
  <c r="I877" i="8"/>
  <c r="H877" i="8"/>
  <c r="G877" i="8"/>
  <c r="F877" i="8"/>
  <c r="E877" i="8"/>
  <c r="D877" i="8"/>
  <c r="C877" i="8"/>
  <c r="B877" i="8"/>
  <c r="A877" i="8"/>
  <c r="W876" i="8"/>
  <c r="V876" i="8"/>
  <c r="U876" i="8"/>
  <c r="T876" i="8"/>
  <c r="S876" i="8"/>
  <c r="R876" i="8"/>
  <c r="Q876" i="8"/>
  <c r="P876" i="8"/>
  <c r="O876" i="8"/>
  <c r="N876" i="8"/>
  <c r="M876" i="8"/>
  <c r="L876" i="8"/>
  <c r="K876" i="8"/>
  <c r="J876" i="8"/>
  <c r="I876" i="8"/>
  <c r="H876" i="8"/>
  <c r="G876" i="8"/>
  <c r="F876" i="8"/>
  <c r="E876" i="8"/>
  <c r="D876" i="8"/>
  <c r="C876" i="8"/>
  <c r="B876" i="8"/>
  <c r="A876" i="8"/>
  <c r="W875" i="8"/>
  <c r="V875" i="8"/>
  <c r="U875" i="8"/>
  <c r="T875" i="8"/>
  <c r="S875" i="8"/>
  <c r="R875" i="8"/>
  <c r="Q875" i="8"/>
  <c r="P875" i="8"/>
  <c r="O875" i="8"/>
  <c r="N875" i="8"/>
  <c r="M875" i="8"/>
  <c r="L875" i="8"/>
  <c r="K875" i="8"/>
  <c r="J875" i="8"/>
  <c r="I875" i="8"/>
  <c r="H875" i="8"/>
  <c r="G875" i="8"/>
  <c r="F875" i="8"/>
  <c r="E875" i="8"/>
  <c r="D875" i="8"/>
  <c r="C875" i="8"/>
  <c r="B875" i="8"/>
  <c r="A875" i="8"/>
  <c r="W874" i="8"/>
  <c r="V874" i="8"/>
  <c r="U874" i="8"/>
  <c r="T874" i="8"/>
  <c r="S874" i="8"/>
  <c r="R874" i="8"/>
  <c r="Q874" i="8"/>
  <c r="P874" i="8"/>
  <c r="O874" i="8"/>
  <c r="N874" i="8"/>
  <c r="M874" i="8"/>
  <c r="L874" i="8"/>
  <c r="K874" i="8"/>
  <c r="J874" i="8"/>
  <c r="I874" i="8"/>
  <c r="H874" i="8"/>
  <c r="G874" i="8"/>
  <c r="F874" i="8"/>
  <c r="E874" i="8"/>
  <c r="D874" i="8"/>
  <c r="C874" i="8"/>
  <c r="B874" i="8"/>
  <c r="A874" i="8"/>
  <c r="W873" i="8"/>
  <c r="V873" i="8"/>
  <c r="U873" i="8"/>
  <c r="T873" i="8"/>
  <c r="S873" i="8"/>
  <c r="R873" i="8"/>
  <c r="Q873" i="8"/>
  <c r="P873" i="8"/>
  <c r="O873" i="8"/>
  <c r="N873" i="8"/>
  <c r="M873" i="8"/>
  <c r="L873" i="8"/>
  <c r="K873" i="8"/>
  <c r="J873" i="8"/>
  <c r="I873" i="8"/>
  <c r="H873" i="8"/>
  <c r="G873" i="8"/>
  <c r="F873" i="8"/>
  <c r="E873" i="8"/>
  <c r="D873" i="8"/>
  <c r="C873" i="8"/>
  <c r="B873" i="8"/>
  <c r="A873" i="8"/>
  <c r="W872" i="8"/>
  <c r="V872" i="8"/>
  <c r="U872" i="8"/>
  <c r="T872" i="8"/>
  <c r="S872" i="8"/>
  <c r="R872" i="8"/>
  <c r="Q872" i="8"/>
  <c r="P872" i="8"/>
  <c r="O872" i="8"/>
  <c r="N872" i="8"/>
  <c r="M872" i="8"/>
  <c r="L872" i="8"/>
  <c r="K872" i="8"/>
  <c r="J872" i="8"/>
  <c r="I872" i="8"/>
  <c r="H872" i="8"/>
  <c r="G872" i="8"/>
  <c r="F872" i="8"/>
  <c r="E872" i="8"/>
  <c r="D872" i="8"/>
  <c r="C872" i="8"/>
  <c r="B872" i="8"/>
  <c r="A872" i="8"/>
  <c r="W871" i="8"/>
  <c r="V871" i="8"/>
  <c r="U871" i="8"/>
  <c r="T871" i="8"/>
  <c r="S871" i="8"/>
  <c r="R871" i="8"/>
  <c r="Q871" i="8"/>
  <c r="P871" i="8"/>
  <c r="O871" i="8"/>
  <c r="N871" i="8"/>
  <c r="M871" i="8"/>
  <c r="L871" i="8"/>
  <c r="K871" i="8"/>
  <c r="J871" i="8"/>
  <c r="I871" i="8"/>
  <c r="H871" i="8"/>
  <c r="G871" i="8"/>
  <c r="F871" i="8"/>
  <c r="E871" i="8"/>
  <c r="D871" i="8"/>
  <c r="C871" i="8"/>
  <c r="B871" i="8"/>
  <c r="A871" i="8"/>
  <c r="W870" i="8"/>
  <c r="V870" i="8"/>
  <c r="U870" i="8"/>
  <c r="T870" i="8"/>
  <c r="S870" i="8"/>
  <c r="R870" i="8"/>
  <c r="Q870" i="8"/>
  <c r="P870" i="8"/>
  <c r="O870" i="8"/>
  <c r="N870" i="8"/>
  <c r="M870" i="8"/>
  <c r="L870" i="8"/>
  <c r="K870" i="8"/>
  <c r="J870" i="8"/>
  <c r="I870" i="8"/>
  <c r="H870" i="8"/>
  <c r="G870" i="8"/>
  <c r="F870" i="8"/>
  <c r="E870" i="8"/>
  <c r="D870" i="8"/>
  <c r="C870" i="8"/>
  <c r="B870" i="8"/>
  <c r="A870" i="8"/>
  <c r="W869" i="8"/>
  <c r="V869" i="8"/>
  <c r="U869" i="8"/>
  <c r="T869" i="8"/>
  <c r="S869" i="8"/>
  <c r="R869" i="8"/>
  <c r="Q869" i="8"/>
  <c r="P869" i="8"/>
  <c r="O869" i="8"/>
  <c r="N869" i="8"/>
  <c r="M869" i="8"/>
  <c r="L869" i="8"/>
  <c r="K869" i="8"/>
  <c r="J869" i="8"/>
  <c r="I869" i="8"/>
  <c r="H869" i="8"/>
  <c r="G869" i="8"/>
  <c r="F869" i="8"/>
  <c r="E869" i="8"/>
  <c r="D869" i="8"/>
  <c r="C869" i="8"/>
  <c r="B869" i="8"/>
  <c r="A869" i="8"/>
  <c r="W868" i="8"/>
  <c r="V868" i="8"/>
  <c r="U868" i="8"/>
  <c r="T868" i="8"/>
  <c r="S868" i="8"/>
  <c r="R868" i="8"/>
  <c r="Q868" i="8"/>
  <c r="P868" i="8"/>
  <c r="O868" i="8"/>
  <c r="N868" i="8"/>
  <c r="M868" i="8"/>
  <c r="L868" i="8"/>
  <c r="K868" i="8"/>
  <c r="J868" i="8"/>
  <c r="I868" i="8"/>
  <c r="H868" i="8"/>
  <c r="G868" i="8"/>
  <c r="F868" i="8"/>
  <c r="E868" i="8"/>
  <c r="D868" i="8"/>
  <c r="C868" i="8"/>
  <c r="B868" i="8"/>
  <c r="A868" i="8"/>
  <c r="W867" i="8"/>
  <c r="V867" i="8"/>
  <c r="U867" i="8"/>
  <c r="T867" i="8"/>
  <c r="S867" i="8"/>
  <c r="R867" i="8"/>
  <c r="Q867" i="8"/>
  <c r="P867" i="8"/>
  <c r="O867" i="8"/>
  <c r="N867" i="8"/>
  <c r="M867" i="8"/>
  <c r="L867" i="8"/>
  <c r="K867" i="8"/>
  <c r="J867" i="8"/>
  <c r="I867" i="8"/>
  <c r="H867" i="8"/>
  <c r="G867" i="8"/>
  <c r="F867" i="8"/>
  <c r="E867" i="8"/>
  <c r="D867" i="8"/>
  <c r="C867" i="8"/>
  <c r="B867" i="8"/>
  <c r="A867" i="8"/>
  <c r="W866" i="8"/>
  <c r="V866" i="8"/>
  <c r="U866" i="8"/>
  <c r="T866" i="8"/>
  <c r="S866" i="8"/>
  <c r="R866" i="8"/>
  <c r="Q866" i="8"/>
  <c r="P866" i="8"/>
  <c r="O866" i="8"/>
  <c r="N866" i="8"/>
  <c r="M866" i="8"/>
  <c r="L866" i="8"/>
  <c r="K866" i="8"/>
  <c r="J866" i="8"/>
  <c r="I866" i="8"/>
  <c r="H866" i="8"/>
  <c r="G866" i="8"/>
  <c r="F866" i="8"/>
  <c r="E866" i="8"/>
  <c r="D866" i="8"/>
  <c r="C866" i="8"/>
  <c r="B866" i="8"/>
  <c r="A866" i="8"/>
  <c r="W865" i="8"/>
  <c r="V865" i="8"/>
  <c r="U865" i="8"/>
  <c r="T865" i="8"/>
  <c r="S865" i="8"/>
  <c r="R865" i="8"/>
  <c r="Q865" i="8"/>
  <c r="P865" i="8"/>
  <c r="O865" i="8"/>
  <c r="N865" i="8"/>
  <c r="M865" i="8"/>
  <c r="L865" i="8"/>
  <c r="K865" i="8"/>
  <c r="J865" i="8"/>
  <c r="I865" i="8"/>
  <c r="H865" i="8"/>
  <c r="G865" i="8"/>
  <c r="F865" i="8"/>
  <c r="E865" i="8"/>
  <c r="D865" i="8"/>
  <c r="C865" i="8"/>
  <c r="B865" i="8"/>
  <c r="A865" i="8"/>
  <c r="W864" i="8"/>
  <c r="V864" i="8"/>
  <c r="U864" i="8"/>
  <c r="T864" i="8"/>
  <c r="S864" i="8"/>
  <c r="R864" i="8"/>
  <c r="Q864" i="8"/>
  <c r="P864" i="8"/>
  <c r="O864" i="8"/>
  <c r="N864" i="8"/>
  <c r="M864" i="8"/>
  <c r="L864" i="8"/>
  <c r="K864" i="8"/>
  <c r="J864" i="8"/>
  <c r="I864" i="8"/>
  <c r="H864" i="8"/>
  <c r="G864" i="8"/>
  <c r="F864" i="8"/>
  <c r="E864" i="8"/>
  <c r="D864" i="8"/>
  <c r="C864" i="8"/>
  <c r="B864" i="8"/>
  <c r="A864" i="8"/>
  <c r="W863" i="8"/>
  <c r="V863" i="8"/>
  <c r="U863" i="8"/>
  <c r="T863" i="8"/>
  <c r="S863" i="8"/>
  <c r="R863" i="8"/>
  <c r="Q863" i="8"/>
  <c r="P863" i="8"/>
  <c r="O863" i="8"/>
  <c r="N863" i="8"/>
  <c r="M863" i="8"/>
  <c r="L863" i="8"/>
  <c r="K863" i="8"/>
  <c r="J863" i="8"/>
  <c r="I863" i="8"/>
  <c r="H863" i="8"/>
  <c r="G863" i="8"/>
  <c r="F863" i="8"/>
  <c r="E863" i="8"/>
  <c r="D863" i="8"/>
  <c r="C863" i="8"/>
  <c r="B863" i="8"/>
  <c r="A863" i="8"/>
  <c r="W862" i="8"/>
  <c r="V862" i="8"/>
  <c r="U862" i="8"/>
  <c r="T862" i="8"/>
  <c r="S862" i="8"/>
  <c r="R862" i="8"/>
  <c r="Q862" i="8"/>
  <c r="P862" i="8"/>
  <c r="O862" i="8"/>
  <c r="N862" i="8"/>
  <c r="M862" i="8"/>
  <c r="L862" i="8"/>
  <c r="K862" i="8"/>
  <c r="J862" i="8"/>
  <c r="I862" i="8"/>
  <c r="H862" i="8"/>
  <c r="G862" i="8"/>
  <c r="F862" i="8"/>
  <c r="E862" i="8"/>
  <c r="D862" i="8"/>
  <c r="C862" i="8"/>
  <c r="B862" i="8"/>
  <c r="A862" i="8"/>
  <c r="W861" i="8"/>
  <c r="V861" i="8"/>
  <c r="U861" i="8"/>
  <c r="T861" i="8"/>
  <c r="S861" i="8"/>
  <c r="R861" i="8"/>
  <c r="Q861" i="8"/>
  <c r="P861" i="8"/>
  <c r="O861" i="8"/>
  <c r="N861" i="8"/>
  <c r="M861" i="8"/>
  <c r="L861" i="8"/>
  <c r="K861" i="8"/>
  <c r="J861" i="8"/>
  <c r="I861" i="8"/>
  <c r="H861" i="8"/>
  <c r="G861" i="8"/>
  <c r="F861" i="8"/>
  <c r="E861" i="8"/>
  <c r="D861" i="8"/>
  <c r="C861" i="8"/>
  <c r="B861" i="8"/>
  <c r="A861" i="8"/>
  <c r="W860" i="8"/>
  <c r="V860" i="8"/>
  <c r="U860" i="8"/>
  <c r="T860" i="8"/>
  <c r="S860" i="8"/>
  <c r="R860" i="8"/>
  <c r="Q860" i="8"/>
  <c r="P860" i="8"/>
  <c r="O860" i="8"/>
  <c r="N860" i="8"/>
  <c r="M860" i="8"/>
  <c r="L860" i="8"/>
  <c r="K860" i="8"/>
  <c r="J860" i="8"/>
  <c r="I860" i="8"/>
  <c r="H860" i="8"/>
  <c r="G860" i="8"/>
  <c r="F860" i="8"/>
  <c r="E860" i="8"/>
  <c r="D860" i="8"/>
  <c r="C860" i="8"/>
  <c r="B860" i="8"/>
  <c r="A860" i="8"/>
  <c r="W859" i="8"/>
  <c r="V859" i="8"/>
  <c r="U859" i="8"/>
  <c r="T859" i="8"/>
  <c r="S859" i="8"/>
  <c r="R859" i="8"/>
  <c r="Q859" i="8"/>
  <c r="P859" i="8"/>
  <c r="O859" i="8"/>
  <c r="N859" i="8"/>
  <c r="M859" i="8"/>
  <c r="L859" i="8"/>
  <c r="K859" i="8"/>
  <c r="J859" i="8"/>
  <c r="I859" i="8"/>
  <c r="H859" i="8"/>
  <c r="G859" i="8"/>
  <c r="F859" i="8"/>
  <c r="E859" i="8"/>
  <c r="D859" i="8"/>
  <c r="C859" i="8"/>
  <c r="B859" i="8"/>
  <c r="A859" i="8"/>
  <c r="W858" i="8"/>
  <c r="V858" i="8"/>
  <c r="U858" i="8"/>
  <c r="T858" i="8"/>
  <c r="S858" i="8"/>
  <c r="R858" i="8"/>
  <c r="Q858" i="8"/>
  <c r="P858" i="8"/>
  <c r="O858" i="8"/>
  <c r="N858" i="8"/>
  <c r="M858" i="8"/>
  <c r="L858" i="8"/>
  <c r="K858" i="8"/>
  <c r="J858" i="8"/>
  <c r="I858" i="8"/>
  <c r="H858" i="8"/>
  <c r="G858" i="8"/>
  <c r="F858" i="8"/>
  <c r="E858" i="8"/>
  <c r="D858" i="8"/>
  <c r="C858" i="8"/>
  <c r="B858" i="8"/>
  <c r="A858" i="8"/>
  <c r="W857" i="8"/>
  <c r="V857" i="8"/>
  <c r="U857" i="8"/>
  <c r="T857" i="8"/>
  <c r="S857" i="8"/>
  <c r="R857" i="8"/>
  <c r="Q857" i="8"/>
  <c r="P857" i="8"/>
  <c r="O857" i="8"/>
  <c r="N857" i="8"/>
  <c r="M857" i="8"/>
  <c r="L857" i="8"/>
  <c r="K857" i="8"/>
  <c r="J857" i="8"/>
  <c r="I857" i="8"/>
  <c r="H857" i="8"/>
  <c r="G857" i="8"/>
  <c r="F857" i="8"/>
  <c r="E857" i="8"/>
  <c r="D857" i="8"/>
  <c r="C857" i="8"/>
  <c r="B857" i="8"/>
  <c r="A857" i="8"/>
  <c r="W856" i="8"/>
  <c r="V856" i="8"/>
  <c r="U856" i="8"/>
  <c r="T856" i="8"/>
  <c r="S856" i="8"/>
  <c r="R856" i="8"/>
  <c r="Q856" i="8"/>
  <c r="P856" i="8"/>
  <c r="O856" i="8"/>
  <c r="N856" i="8"/>
  <c r="M856" i="8"/>
  <c r="L856" i="8"/>
  <c r="K856" i="8"/>
  <c r="J856" i="8"/>
  <c r="I856" i="8"/>
  <c r="H856" i="8"/>
  <c r="G856" i="8"/>
  <c r="F856" i="8"/>
  <c r="E856" i="8"/>
  <c r="D856" i="8"/>
  <c r="C856" i="8"/>
  <c r="B856" i="8"/>
  <c r="A856" i="8"/>
  <c r="W855" i="8"/>
  <c r="V855" i="8"/>
  <c r="U855" i="8"/>
  <c r="T855" i="8"/>
  <c r="S855" i="8"/>
  <c r="R855" i="8"/>
  <c r="Q855" i="8"/>
  <c r="P855" i="8"/>
  <c r="O855" i="8"/>
  <c r="N855" i="8"/>
  <c r="M855" i="8"/>
  <c r="L855" i="8"/>
  <c r="K855" i="8"/>
  <c r="J855" i="8"/>
  <c r="I855" i="8"/>
  <c r="H855" i="8"/>
  <c r="G855" i="8"/>
  <c r="F855" i="8"/>
  <c r="E855" i="8"/>
  <c r="D855" i="8"/>
  <c r="C855" i="8"/>
  <c r="B855" i="8"/>
  <c r="A855" i="8"/>
  <c r="W854" i="8"/>
  <c r="V854" i="8"/>
  <c r="U854" i="8"/>
  <c r="T854" i="8"/>
  <c r="S854" i="8"/>
  <c r="R854" i="8"/>
  <c r="Q854" i="8"/>
  <c r="P854" i="8"/>
  <c r="O854" i="8"/>
  <c r="N854" i="8"/>
  <c r="M854" i="8"/>
  <c r="L854" i="8"/>
  <c r="K854" i="8"/>
  <c r="J854" i="8"/>
  <c r="I854" i="8"/>
  <c r="H854" i="8"/>
  <c r="G854" i="8"/>
  <c r="F854" i="8"/>
  <c r="E854" i="8"/>
  <c r="D854" i="8"/>
  <c r="C854" i="8"/>
  <c r="B854" i="8"/>
  <c r="A854" i="8"/>
  <c r="W853" i="8"/>
  <c r="V853" i="8"/>
  <c r="U853" i="8"/>
  <c r="T853" i="8"/>
  <c r="S853" i="8"/>
  <c r="R853" i="8"/>
  <c r="Q853" i="8"/>
  <c r="P853" i="8"/>
  <c r="O853" i="8"/>
  <c r="N853" i="8"/>
  <c r="M853" i="8"/>
  <c r="L853" i="8"/>
  <c r="K853" i="8"/>
  <c r="J853" i="8"/>
  <c r="I853" i="8"/>
  <c r="H853" i="8"/>
  <c r="G853" i="8"/>
  <c r="F853" i="8"/>
  <c r="E853" i="8"/>
  <c r="D853" i="8"/>
  <c r="C853" i="8"/>
  <c r="B853" i="8"/>
  <c r="A853" i="8"/>
  <c r="W852" i="8"/>
  <c r="V852" i="8"/>
  <c r="U852" i="8"/>
  <c r="T852" i="8"/>
  <c r="S852" i="8"/>
  <c r="R852" i="8"/>
  <c r="Q852" i="8"/>
  <c r="P852" i="8"/>
  <c r="O852" i="8"/>
  <c r="N852" i="8"/>
  <c r="M852" i="8"/>
  <c r="L852" i="8"/>
  <c r="K852" i="8"/>
  <c r="J852" i="8"/>
  <c r="I852" i="8"/>
  <c r="H852" i="8"/>
  <c r="G852" i="8"/>
  <c r="F852" i="8"/>
  <c r="E852" i="8"/>
  <c r="D852" i="8"/>
  <c r="C852" i="8"/>
  <c r="B852" i="8"/>
  <c r="A852" i="8"/>
  <c r="W851" i="8"/>
  <c r="V851" i="8"/>
  <c r="U851" i="8"/>
  <c r="T851" i="8"/>
  <c r="S851" i="8"/>
  <c r="R851" i="8"/>
  <c r="Q851" i="8"/>
  <c r="P851" i="8"/>
  <c r="O851" i="8"/>
  <c r="N851" i="8"/>
  <c r="M851" i="8"/>
  <c r="L851" i="8"/>
  <c r="K851" i="8"/>
  <c r="J851" i="8"/>
  <c r="I851" i="8"/>
  <c r="H851" i="8"/>
  <c r="G851" i="8"/>
  <c r="F851" i="8"/>
  <c r="E851" i="8"/>
  <c r="D851" i="8"/>
  <c r="C851" i="8"/>
  <c r="B851" i="8"/>
  <c r="A851" i="8"/>
  <c r="W850" i="8"/>
  <c r="V850" i="8"/>
  <c r="U850" i="8"/>
  <c r="T850" i="8"/>
  <c r="S850" i="8"/>
  <c r="R850" i="8"/>
  <c r="Q850" i="8"/>
  <c r="P850" i="8"/>
  <c r="O850" i="8"/>
  <c r="N850" i="8"/>
  <c r="M850" i="8"/>
  <c r="L850" i="8"/>
  <c r="K850" i="8"/>
  <c r="J850" i="8"/>
  <c r="I850" i="8"/>
  <c r="H850" i="8"/>
  <c r="G850" i="8"/>
  <c r="F850" i="8"/>
  <c r="E850" i="8"/>
  <c r="D850" i="8"/>
  <c r="C850" i="8"/>
  <c r="B850" i="8"/>
  <c r="A850" i="8"/>
  <c r="W849" i="8"/>
  <c r="V849" i="8"/>
  <c r="U849" i="8"/>
  <c r="T849" i="8"/>
  <c r="S849" i="8"/>
  <c r="R849" i="8"/>
  <c r="Q849" i="8"/>
  <c r="P849" i="8"/>
  <c r="O849" i="8"/>
  <c r="N849" i="8"/>
  <c r="M849" i="8"/>
  <c r="L849" i="8"/>
  <c r="K849" i="8"/>
  <c r="J849" i="8"/>
  <c r="I849" i="8"/>
  <c r="H849" i="8"/>
  <c r="G849" i="8"/>
  <c r="F849" i="8"/>
  <c r="E849" i="8"/>
  <c r="D849" i="8"/>
  <c r="C849" i="8"/>
  <c r="B849" i="8"/>
  <c r="A849" i="8"/>
  <c r="W848" i="8"/>
  <c r="V848" i="8"/>
  <c r="U848" i="8"/>
  <c r="T848" i="8"/>
  <c r="S848" i="8"/>
  <c r="R848" i="8"/>
  <c r="Q848" i="8"/>
  <c r="P848" i="8"/>
  <c r="O848" i="8"/>
  <c r="N848" i="8"/>
  <c r="M848" i="8"/>
  <c r="L848" i="8"/>
  <c r="K848" i="8"/>
  <c r="J848" i="8"/>
  <c r="I848" i="8"/>
  <c r="H848" i="8"/>
  <c r="G848" i="8"/>
  <c r="F848" i="8"/>
  <c r="E848" i="8"/>
  <c r="D848" i="8"/>
  <c r="C848" i="8"/>
  <c r="B848" i="8"/>
  <c r="A848" i="8"/>
  <c r="W847" i="8"/>
  <c r="V847" i="8"/>
  <c r="U847" i="8"/>
  <c r="T847" i="8"/>
  <c r="S847" i="8"/>
  <c r="R847" i="8"/>
  <c r="Q847" i="8"/>
  <c r="P847" i="8"/>
  <c r="O847" i="8"/>
  <c r="N847" i="8"/>
  <c r="M847" i="8"/>
  <c r="L847" i="8"/>
  <c r="K847" i="8"/>
  <c r="J847" i="8"/>
  <c r="I847" i="8"/>
  <c r="H847" i="8"/>
  <c r="G847" i="8"/>
  <c r="F847" i="8"/>
  <c r="E847" i="8"/>
  <c r="D847" i="8"/>
  <c r="C847" i="8"/>
  <c r="B847" i="8"/>
  <c r="A847" i="8"/>
  <c r="W846" i="8"/>
  <c r="V846" i="8"/>
  <c r="U846" i="8"/>
  <c r="T846" i="8"/>
  <c r="S846" i="8"/>
  <c r="R846" i="8"/>
  <c r="Q846" i="8"/>
  <c r="P846" i="8"/>
  <c r="O846" i="8"/>
  <c r="N846" i="8"/>
  <c r="M846" i="8"/>
  <c r="L846" i="8"/>
  <c r="K846" i="8"/>
  <c r="J846" i="8"/>
  <c r="I846" i="8"/>
  <c r="H846" i="8"/>
  <c r="G846" i="8"/>
  <c r="F846" i="8"/>
  <c r="E846" i="8"/>
  <c r="D846" i="8"/>
  <c r="C846" i="8"/>
  <c r="B846" i="8"/>
  <c r="A846" i="8"/>
  <c r="W845" i="8"/>
  <c r="V845" i="8"/>
  <c r="U845" i="8"/>
  <c r="T845" i="8"/>
  <c r="S845" i="8"/>
  <c r="R845" i="8"/>
  <c r="Q845" i="8"/>
  <c r="P845" i="8"/>
  <c r="O845" i="8"/>
  <c r="N845" i="8"/>
  <c r="M845" i="8"/>
  <c r="L845" i="8"/>
  <c r="K845" i="8"/>
  <c r="J845" i="8"/>
  <c r="I845" i="8"/>
  <c r="H845" i="8"/>
  <c r="G845" i="8"/>
  <c r="F845" i="8"/>
  <c r="E845" i="8"/>
  <c r="D845" i="8"/>
  <c r="C845" i="8"/>
  <c r="B845" i="8"/>
  <c r="A845" i="8"/>
  <c r="W844" i="8"/>
  <c r="V844" i="8"/>
  <c r="U844" i="8"/>
  <c r="T844" i="8"/>
  <c r="S844" i="8"/>
  <c r="R844" i="8"/>
  <c r="Q844" i="8"/>
  <c r="P844" i="8"/>
  <c r="O844" i="8"/>
  <c r="N844" i="8"/>
  <c r="M844" i="8"/>
  <c r="L844" i="8"/>
  <c r="K844" i="8"/>
  <c r="J844" i="8"/>
  <c r="I844" i="8"/>
  <c r="H844" i="8"/>
  <c r="G844" i="8"/>
  <c r="F844" i="8"/>
  <c r="E844" i="8"/>
  <c r="D844" i="8"/>
  <c r="C844" i="8"/>
  <c r="B844" i="8"/>
  <c r="A844" i="8"/>
  <c r="W843" i="8"/>
  <c r="V843" i="8"/>
  <c r="U843" i="8"/>
  <c r="T843" i="8"/>
  <c r="S843" i="8"/>
  <c r="R843" i="8"/>
  <c r="Q843" i="8"/>
  <c r="P843" i="8"/>
  <c r="O843" i="8"/>
  <c r="N843" i="8"/>
  <c r="M843" i="8"/>
  <c r="L843" i="8"/>
  <c r="K843" i="8"/>
  <c r="J843" i="8"/>
  <c r="I843" i="8"/>
  <c r="H843" i="8"/>
  <c r="G843" i="8"/>
  <c r="F843" i="8"/>
  <c r="E843" i="8"/>
  <c r="D843" i="8"/>
  <c r="C843" i="8"/>
  <c r="B843" i="8"/>
  <c r="A843" i="8"/>
  <c r="W842" i="8"/>
  <c r="V842" i="8"/>
  <c r="U842" i="8"/>
  <c r="T842" i="8"/>
  <c r="S842" i="8"/>
  <c r="R842" i="8"/>
  <c r="Q842" i="8"/>
  <c r="P842" i="8"/>
  <c r="O842" i="8"/>
  <c r="N842" i="8"/>
  <c r="M842" i="8"/>
  <c r="L842" i="8"/>
  <c r="K842" i="8"/>
  <c r="J842" i="8"/>
  <c r="I842" i="8"/>
  <c r="H842" i="8"/>
  <c r="G842" i="8"/>
  <c r="F842" i="8"/>
  <c r="E842" i="8"/>
  <c r="D842" i="8"/>
  <c r="C842" i="8"/>
  <c r="B842" i="8"/>
  <c r="A842" i="8"/>
  <c r="W841" i="8"/>
  <c r="V841" i="8"/>
  <c r="U841" i="8"/>
  <c r="T841" i="8"/>
  <c r="S841" i="8"/>
  <c r="R841" i="8"/>
  <c r="Q841" i="8"/>
  <c r="P841" i="8"/>
  <c r="O841" i="8"/>
  <c r="N841" i="8"/>
  <c r="M841" i="8"/>
  <c r="L841" i="8"/>
  <c r="K841" i="8"/>
  <c r="J841" i="8"/>
  <c r="I841" i="8"/>
  <c r="H841" i="8"/>
  <c r="G841" i="8"/>
  <c r="F841" i="8"/>
  <c r="E841" i="8"/>
  <c r="D841" i="8"/>
  <c r="C841" i="8"/>
  <c r="B841" i="8"/>
  <c r="A841" i="8"/>
  <c r="W840" i="8"/>
  <c r="V840" i="8"/>
  <c r="U840" i="8"/>
  <c r="T840" i="8"/>
  <c r="S840" i="8"/>
  <c r="R840" i="8"/>
  <c r="Q840" i="8"/>
  <c r="P840" i="8"/>
  <c r="O840" i="8"/>
  <c r="N840" i="8"/>
  <c r="M840" i="8"/>
  <c r="L840" i="8"/>
  <c r="K840" i="8"/>
  <c r="J840" i="8"/>
  <c r="I840" i="8"/>
  <c r="H840" i="8"/>
  <c r="G840" i="8"/>
  <c r="F840" i="8"/>
  <c r="E840" i="8"/>
  <c r="D840" i="8"/>
  <c r="C840" i="8"/>
  <c r="B840" i="8"/>
  <c r="A840" i="8"/>
  <c r="W839" i="8"/>
  <c r="V839" i="8"/>
  <c r="U839" i="8"/>
  <c r="T839" i="8"/>
  <c r="S839" i="8"/>
  <c r="R839" i="8"/>
  <c r="Q839" i="8"/>
  <c r="P839" i="8"/>
  <c r="O839" i="8"/>
  <c r="N839" i="8"/>
  <c r="M839" i="8"/>
  <c r="L839" i="8"/>
  <c r="K839" i="8"/>
  <c r="J839" i="8"/>
  <c r="I839" i="8"/>
  <c r="H839" i="8"/>
  <c r="G839" i="8"/>
  <c r="F839" i="8"/>
  <c r="E839" i="8"/>
  <c r="D839" i="8"/>
  <c r="C839" i="8"/>
  <c r="B839" i="8"/>
  <c r="A839" i="8"/>
  <c r="W838" i="8"/>
  <c r="V838" i="8"/>
  <c r="U838" i="8"/>
  <c r="T838" i="8"/>
  <c r="S838" i="8"/>
  <c r="R838" i="8"/>
  <c r="Q838" i="8"/>
  <c r="P838" i="8"/>
  <c r="O838" i="8"/>
  <c r="N838" i="8"/>
  <c r="M838" i="8"/>
  <c r="L838" i="8"/>
  <c r="K838" i="8"/>
  <c r="J838" i="8"/>
  <c r="I838" i="8"/>
  <c r="H838" i="8"/>
  <c r="G838" i="8"/>
  <c r="F838" i="8"/>
  <c r="E838" i="8"/>
  <c r="D838" i="8"/>
  <c r="C838" i="8"/>
  <c r="B838" i="8"/>
  <c r="A838" i="8"/>
  <c r="W837" i="8"/>
  <c r="V837" i="8"/>
  <c r="U837" i="8"/>
  <c r="T837" i="8"/>
  <c r="S837" i="8"/>
  <c r="R837" i="8"/>
  <c r="Q837" i="8"/>
  <c r="P837" i="8"/>
  <c r="O837" i="8"/>
  <c r="N837" i="8"/>
  <c r="M837" i="8"/>
  <c r="L837" i="8"/>
  <c r="K837" i="8"/>
  <c r="J837" i="8"/>
  <c r="I837" i="8"/>
  <c r="H837" i="8"/>
  <c r="G837" i="8"/>
  <c r="F837" i="8"/>
  <c r="E837" i="8"/>
  <c r="D837" i="8"/>
  <c r="C837" i="8"/>
  <c r="B837" i="8"/>
  <c r="A837" i="8"/>
  <c r="W836" i="8"/>
  <c r="V836" i="8"/>
  <c r="U836" i="8"/>
  <c r="T836" i="8"/>
  <c r="S836" i="8"/>
  <c r="R836" i="8"/>
  <c r="Q836" i="8"/>
  <c r="P836" i="8"/>
  <c r="O836" i="8"/>
  <c r="N836" i="8"/>
  <c r="M836" i="8"/>
  <c r="L836" i="8"/>
  <c r="K836" i="8"/>
  <c r="J836" i="8"/>
  <c r="I836" i="8"/>
  <c r="H836" i="8"/>
  <c r="G836" i="8"/>
  <c r="F836" i="8"/>
  <c r="E836" i="8"/>
  <c r="D836" i="8"/>
  <c r="C836" i="8"/>
  <c r="B836" i="8"/>
  <c r="A836" i="8"/>
  <c r="W835" i="8"/>
  <c r="V835" i="8"/>
  <c r="U835" i="8"/>
  <c r="T835" i="8"/>
  <c r="S835" i="8"/>
  <c r="R835" i="8"/>
  <c r="Q835" i="8"/>
  <c r="P835" i="8"/>
  <c r="O835" i="8"/>
  <c r="N835" i="8"/>
  <c r="M835" i="8"/>
  <c r="L835" i="8"/>
  <c r="K835" i="8"/>
  <c r="J835" i="8"/>
  <c r="I835" i="8"/>
  <c r="H835" i="8"/>
  <c r="G835" i="8"/>
  <c r="F835" i="8"/>
  <c r="E835" i="8"/>
  <c r="D835" i="8"/>
  <c r="C835" i="8"/>
  <c r="B835" i="8"/>
  <c r="A835" i="8"/>
  <c r="W834" i="8"/>
  <c r="V834" i="8"/>
  <c r="U834" i="8"/>
  <c r="T834" i="8"/>
  <c r="S834" i="8"/>
  <c r="R834" i="8"/>
  <c r="Q834" i="8"/>
  <c r="P834" i="8"/>
  <c r="O834" i="8"/>
  <c r="N834" i="8"/>
  <c r="M834" i="8"/>
  <c r="L834" i="8"/>
  <c r="K834" i="8"/>
  <c r="J834" i="8"/>
  <c r="I834" i="8"/>
  <c r="H834" i="8"/>
  <c r="G834" i="8"/>
  <c r="F834" i="8"/>
  <c r="E834" i="8"/>
  <c r="D834" i="8"/>
  <c r="C834" i="8"/>
  <c r="B834" i="8"/>
  <c r="A834" i="8"/>
  <c r="W833" i="8"/>
  <c r="V833" i="8"/>
  <c r="U833" i="8"/>
  <c r="T833" i="8"/>
  <c r="S833" i="8"/>
  <c r="R833" i="8"/>
  <c r="Q833" i="8"/>
  <c r="P833" i="8"/>
  <c r="O833" i="8"/>
  <c r="N833" i="8"/>
  <c r="M833" i="8"/>
  <c r="L833" i="8"/>
  <c r="K833" i="8"/>
  <c r="J833" i="8"/>
  <c r="I833" i="8"/>
  <c r="H833" i="8"/>
  <c r="G833" i="8"/>
  <c r="F833" i="8"/>
  <c r="E833" i="8"/>
  <c r="D833" i="8"/>
  <c r="C833" i="8"/>
  <c r="B833" i="8"/>
  <c r="A833" i="8"/>
  <c r="W832" i="8"/>
  <c r="V832" i="8"/>
  <c r="U832" i="8"/>
  <c r="T832" i="8"/>
  <c r="S832" i="8"/>
  <c r="R832" i="8"/>
  <c r="Q832" i="8"/>
  <c r="P832" i="8"/>
  <c r="O832" i="8"/>
  <c r="N832" i="8"/>
  <c r="M832" i="8"/>
  <c r="L832" i="8"/>
  <c r="K832" i="8"/>
  <c r="J832" i="8"/>
  <c r="I832" i="8"/>
  <c r="H832" i="8"/>
  <c r="G832" i="8"/>
  <c r="F832" i="8"/>
  <c r="E832" i="8"/>
  <c r="D832" i="8"/>
  <c r="C832" i="8"/>
  <c r="B832" i="8"/>
  <c r="A832" i="8"/>
  <c r="W831" i="8"/>
  <c r="V831" i="8"/>
  <c r="U831" i="8"/>
  <c r="T831" i="8"/>
  <c r="S831" i="8"/>
  <c r="R831" i="8"/>
  <c r="Q831" i="8"/>
  <c r="P831" i="8"/>
  <c r="O831" i="8"/>
  <c r="N831" i="8"/>
  <c r="M831" i="8"/>
  <c r="L831" i="8"/>
  <c r="K831" i="8"/>
  <c r="J831" i="8"/>
  <c r="I831" i="8"/>
  <c r="H831" i="8"/>
  <c r="G831" i="8"/>
  <c r="F831" i="8"/>
  <c r="E831" i="8"/>
  <c r="D831" i="8"/>
  <c r="C831" i="8"/>
  <c r="B831" i="8"/>
  <c r="A831" i="8"/>
  <c r="W830" i="8"/>
  <c r="V830" i="8"/>
  <c r="U830" i="8"/>
  <c r="T830" i="8"/>
  <c r="S830" i="8"/>
  <c r="R830" i="8"/>
  <c r="Q830" i="8"/>
  <c r="P830" i="8"/>
  <c r="O830" i="8"/>
  <c r="N830" i="8"/>
  <c r="M830" i="8"/>
  <c r="L830" i="8"/>
  <c r="K830" i="8"/>
  <c r="J830" i="8"/>
  <c r="I830" i="8"/>
  <c r="H830" i="8"/>
  <c r="G830" i="8"/>
  <c r="F830" i="8"/>
  <c r="E830" i="8"/>
  <c r="D830" i="8"/>
  <c r="C830" i="8"/>
  <c r="B830" i="8"/>
  <c r="A830" i="8"/>
  <c r="W829" i="8"/>
  <c r="V829" i="8"/>
  <c r="U829" i="8"/>
  <c r="T829" i="8"/>
  <c r="S829" i="8"/>
  <c r="R829" i="8"/>
  <c r="Q829" i="8"/>
  <c r="P829" i="8"/>
  <c r="O829" i="8"/>
  <c r="N829" i="8"/>
  <c r="M829" i="8"/>
  <c r="L829" i="8"/>
  <c r="K829" i="8"/>
  <c r="J829" i="8"/>
  <c r="I829" i="8"/>
  <c r="H829" i="8"/>
  <c r="G829" i="8"/>
  <c r="F829" i="8"/>
  <c r="E829" i="8"/>
  <c r="D829" i="8"/>
  <c r="C829" i="8"/>
  <c r="B829" i="8"/>
  <c r="A829" i="8"/>
  <c r="W828" i="8"/>
  <c r="V828" i="8"/>
  <c r="U828" i="8"/>
  <c r="T828" i="8"/>
  <c r="S828" i="8"/>
  <c r="R828" i="8"/>
  <c r="Q828" i="8"/>
  <c r="P828" i="8"/>
  <c r="O828" i="8"/>
  <c r="N828" i="8"/>
  <c r="M828" i="8"/>
  <c r="L828" i="8"/>
  <c r="K828" i="8"/>
  <c r="J828" i="8"/>
  <c r="I828" i="8"/>
  <c r="H828" i="8"/>
  <c r="G828" i="8"/>
  <c r="F828" i="8"/>
  <c r="E828" i="8"/>
  <c r="D828" i="8"/>
  <c r="C828" i="8"/>
  <c r="B828" i="8"/>
  <c r="A828" i="8"/>
  <c r="W827" i="8"/>
  <c r="V827" i="8"/>
  <c r="U827" i="8"/>
  <c r="T827" i="8"/>
  <c r="S827" i="8"/>
  <c r="R827" i="8"/>
  <c r="Q827" i="8"/>
  <c r="P827" i="8"/>
  <c r="O827" i="8"/>
  <c r="N827" i="8"/>
  <c r="M827" i="8"/>
  <c r="L827" i="8"/>
  <c r="K827" i="8"/>
  <c r="J827" i="8"/>
  <c r="I827" i="8"/>
  <c r="H827" i="8"/>
  <c r="G827" i="8"/>
  <c r="F827" i="8"/>
  <c r="E827" i="8"/>
  <c r="D827" i="8"/>
  <c r="C827" i="8"/>
  <c r="B827" i="8"/>
  <c r="A827" i="8"/>
  <c r="W826" i="8"/>
  <c r="V826" i="8"/>
  <c r="U826" i="8"/>
  <c r="T826" i="8"/>
  <c r="S826" i="8"/>
  <c r="R826" i="8"/>
  <c r="Q826" i="8"/>
  <c r="P826" i="8"/>
  <c r="O826" i="8"/>
  <c r="N826" i="8"/>
  <c r="M826" i="8"/>
  <c r="L826" i="8"/>
  <c r="K826" i="8"/>
  <c r="J826" i="8"/>
  <c r="I826" i="8"/>
  <c r="H826" i="8"/>
  <c r="G826" i="8"/>
  <c r="F826" i="8"/>
  <c r="E826" i="8"/>
  <c r="D826" i="8"/>
  <c r="C826" i="8"/>
  <c r="B826" i="8"/>
  <c r="A826" i="8"/>
  <c r="W825" i="8"/>
  <c r="V825" i="8"/>
  <c r="U825" i="8"/>
  <c r="T825" i="8"/>
  <c r="S825" i="8"/>
  <c r="R825" i="8"/>
  <c r="Q825" i="8"/>
  <c r="P825" i="8"/>
  <c r="O825" i="8"/>
  <c r="N825" i="8"/>
  <c r="M825" i="8"/>
  <c r="L825" i="8"/>
  <c r="K825" i="8"/>
  <c r="J825" i="8"/>
  <c r="I825" i="8"/>
  <c r="H825" i="8"/>
  <c r="G825" i="8"/>
  <c r="F825" i="8"/>
  <c r="E825" i="8"/>
  <c r="D825" i="8"/>
  <c r="C825" i="8"/>
  <c r="B825" i="8"/>
  <c r="A825" i="8"/>
  <c r="W824" i="8"/>
  <c r="V824" i="8"/>
  <c r="U824" i="8"/>
  <c r="T824" i="8"/>
  <c r="S824" i="8"/>
  <c r="R824" i="8"/>
  <c r="Q824" i="8"/>
  <c r="P824" i="8"/>
  <c r="O824" i="8"/>
  <c r="N824" i="8"/>
  <c r="M824" i="8"/>
  <c r="L824" i="8"/>
  <c r="K824" i="8"/>
  <c r="J824" i="8"/>
  <c r="I824" i="8"/>
  <c r="H824" i="8"/>
  <c r="G824" i="8"/>
  <c r="F824" i="8"/>
  <c r="E824" i="8"/>
  <c r="D824" i="8"/>
  <c r="C824" i="8"/>
  <c r="B824" i="8"/>
  <c r="A824" i="8"/>
  <c r="W823" i="8"/>
  <c r="V823" i="8"/>
  <c r="U823" i="8"/>
  <c r="T823" i="8"/>
  <c r="S823" i="8"/>
  <c r="R823" i="8"/>
  <c r="Q823" i="8"/>
  <c r="P823" i="8"/>
  <c r="O823" i="8"/>
  <c r="N823" i="8"/>
  <c r="M823" i="8"/>
  <c r="L823" i="8"/>
  <c r="K823" i="8"/>
  <c r="J823" i="8"/>
  <c r="I823" i="8"/>
  <c r="H823" i="8"/>
  <c r="G823" i="8"/>
  <c r="F823" i="8"/>
  <c r="E823" i="8"/>
  <c r="D823" i="8"/>
  <c r="C823" i="8"/>
  <c r="B823" i="8"/>
  <c r="A823" i="8"/>
  <c r="W822" i="8"/>
  <c r="V822" i="8"/>
  <c r="U822" i="8"/>
  <c r="T822" i="8"/>
  <c r="S822" i="8"/>
  <c r="R822" i="8"/>
  <c r="Q822" i="8"/>
  <c r="P822" i="8"/>
  <c r="O822" i="8"/>
  <c r="N822" i="8"/>
  <c r="M822" i="8"/>
  <c r="L822" i="8"/>
  <c r="K822" i="8"/>
  <c r="J822" i="8"/>
  <c r="I822" i="8"/>
  <c r="H822" i="8"/>
  <c r="G822" i="8"/>
  <c r="F822" i="8"/>
  <c r="E822" i="8"/>
  <c r="D822" i="8"/>
  <c r="C822" i="8"/>
  <c r="B822" i="8"/>
  <c r="A822" i="8"/>
  <c r="W821" i="8"/>
  <c r="V821" i="8"/>
  <c r="U821" i="8"/>
  <c r="T821" i="8"/>
  <c r="S821" i="8"/>
  <c r="R821" i="8"/>
  <c r="Q821" i="8"/>
  <c r="P821" i="8"/>
  <c r="O821" i="8"/>
  <c r="N821" i="8"/>
  <c r="M821" i="8"/>
  <c r="L821" i="8"/>
  <c r="K821" i="8"/>
  <c r="J821" i="8"/>
  <c r="I821" i="8"/>
  <c r="H821" i="8"/>
  <c r="G821" i="8"/>
  <c r="F821" i="8"/>
  <c r="E821" i="8"/>
  <c r="D821" i="8"/>
  <c r="C821" i="8"/>
  <c r="B821" i="8"/>
  <c r="A821" i="8"/>
  <c r="W820" i="8"/>
  <c r="V820" i="8"/>
  <c r="U820" i="8"/>
  <c r="T820" i="8"/>
  <c r="S820" i="8"/>
  <c r="R820" i="8"/>
  <c r="Q820" i="8"/>
  <c r="P820" i="8"/>
  <c r="O820" i="8"/>
  <c r="N820" i="8"/>
  <c r="M820" i="8"/>
  <c r="L820" i="8"/>
  <c r="K820" i="8"/>
  <c r="J820" i="8"/>
  <c r="I820" i="8"/>
  <c r="H820" i="8"/>
  <c r="G820" i="8"/>
  <c r="F820" i="8"/>
  <c r="E820" i="8"/>
  <c r="D820" i="8"/>
  <c r="C820" i="8"/>
  <c r="B820" i="8"/>
  <c r="A820" i="8"/>
  <c r="W819" i="8"/>
  <c r="V819" i="8"/>
  <c r="U819" i="8"/>
  <c r="T819" i="8"/>
  <c r="S819" i="8"/>
  <c r="R819" i="8"/>
  <c r="Q819" i="8"/>
  <c r="P819" i="8"/>
  <c r="O819" i="8"/>
  <c r="N819" i="8"/>
  <c r="M819" i="8"/>
  <c r="L819" i="8"/>
  <c r="K819" i="8"/>
  <c r="J819" i="8"/>
  <c r="I819" i="8"/>
  <c r="H819" i="8"/>
  <c r="G819" i="8"/>
  <c r="F819" i="8"/>
  <c r="E819" i="8"/>
  <c r="D819" i="8"/>
  <c r="C819" i="8"/>
  <c r="B819" i="8"/>
  <c r="A819" i="8"/>
  <c r="W818" i="8"/>
  <c r="V818" i="8"/>
  <c r="U818" i="8"/>
  <c r="T818" i="8"/>
  <c r="S818" i="8"/>
  <c r="R818" i="8"/>
  <c r="Q818" i="8"/>
  <c r="P818" i="8"/>
  <c r="O818" i="8"/>
  <c r="N818" i="8"/>
  <c r="M818" i="8"/>
  <c r="L818" i="8"/>
  <c r="K818" i="8"/>
  <c r="J818" i="8"/>
  <c r="I818" i="8"/>
  <c r="H818" i="8"/>
  <c r="G818" i="8"/>
  <c r="F818" i="8"/>
  <c r="E818" i="8"/>
  <c r="D818" i="8"/>
  <c r="C818" i="8"/>
  <c r="B818" i="8"/>
  <c r="A818" i="8"/>
  <c r="W817" i="8"/>
  <c r="V817" i="8"/>
  <c r="U817" i="8"/>
  <c r="T817" i="8"/>
  <c r="S817" i="8"/>
  <c r="R817" i="8"/>
  <c r="Q817" i="8"/>
  <c r="P817" i="8"/>
  <c r="O817" i="8"/>
  <c r="N817" i="8"/>
  <c r="M817" i="8"/>
  <c r="L817" i="8"/>
  <c r="K817" i="8"/>
  <c r="J817" i="8"/>
  <c r="I817" i="8"/>
  <c r="H817" i="8"/>
  <c r="G817" i="8"/>
  <c r="F817" i="8"/>
  <c r="E817" i="8"/>
  <c r="D817" i="8"/>
  <c r="C817" i="8"/>
  <c r="B817" i="8"/>
  <c r="A817" i="8"/>
  <c r="W816" i="8"/>
  <c r="V816" i="8"/>
  <c r="U816" i="8"/>
  <c r="T816" i="8"/>
  <c r="S816" i="8"/>
  <c r="R816" i="8"/>
  <c r="Q816" i="8"/>
  <c r="P816" i="8"/>
  <c r="O816" i="8"/>
  <c r="N816" i="8"/>
  <c r="M816" i="8"/>
  <c r="L816" i="8"/>
  <c r="K816" i="8"/>
  <c r="J816" i="8"/>
  <c r="I816" i="8"/>
  <c r="H816" i="8"/>
  <c r="G816" i="8"/>
  <c r="F816" i="8"/>
  <c r="E816" i="8"/>
  <c r="D816" i="8"/>
  <c r="C816" i="8"/>
  <c r="B816" i="8"/>
  <c r="A816" i="8"/>
  <c r="W815" i="8"/>
  <c r="V815" i="8"/>
  <c r="U815" i="8"/>
  <c r="T815" i="8"/>
  <c r="S815" i="8"/>
  <c r="R815" i="8"/>
  <c r="Q815" i="8"/>
  <c r="P815" i="8"/>
  <c r="O815" i="8"/>
  <c r="N815" i="8"/>
  <c r="M815" i="8"/>
  <c r="L815" i="8"/>
  <c r="K815" i="8"/>
  <c r="J815" i="8"/>
  <c r="I815" i="8"/>
  <c r="H815" i="8"/>
  <c r="G815" i="8"/>
  <c r="F815" i="8"/>
  <c r="E815" i="8"/>
  <c r="D815" i="8"/>
  <c r="C815" i="8"/>
  <c r="B815" i="8"/>
  <c r="A815" i="8"/>
  <c r="W814" i="8"/>
  <c r="V814" i="8"/>
  <c r="U814" i="8"/>
  <c r="T814" i="8"/>
  <c r="S814" i="8"/>
  <c r="R814" i="8"/>
  <c r="Q814" i="8"/>
  <c r="P814" i="8"/>
  <c r="O814" i="8"/>
  <c r="N814" i="8"/>
  <c r="M814" i="8"/>
  <c r="L814" i="8"/>
  <c r="K814" i="8"/>
  <c r="J814" i="8"/>
  <c r="I814" i="8"/>
  <c r="H814" i="8"/>
  <c r="G814" i="8"/>
  <c r="F814" i="8"/>
  <c r="E814" i="8"/>
  <c r="D814" i="8"/>
  <c r="C814" i="8"/>
  <c r="B814" i="8"/>
  <c r="A814" i="8"/>
  <c r="W813" i="8"/>
  <c r="V813" i="8"/>
  <c r="U813" i="8"/>
  <c r="T813" i="8"/>
  <c r="S813" i="8"/>
  <c r="R813" i="8"/>
  <c r="Q813" i="8"/>
  <c r="P813" i="8"/>
  <c r="O813" i="8"/>
  <c r="N813" i="8"/>
  <c r="M813" i="8"/>
  <c r="L813" i="8"/>
  <c r="K813" i="8"/>
  <c r="J813" i="8"/>
  <c r="I813" i="8"/>
  <c r="H813" i="8"/>
  <c r="G813" i="8"/>
  <c r="F813" i="8"/>
  <c r="E813" i="8"/>
  <c r="D813" i="8"/>
  <c r="C813" i="8"/>
  <c r="B813" i="8"/>
  <c r="A813" i="8"/>
  <c r="W812" i="8"/>
  <c r="V812" i="8"/>
  <c r="U812" i="8"/>
  <c r="T812" i="8"/>
  <c r="S812" i="8"/>
  <c r="R812" i="8"/>
  <c r="Q812" i="8"/>
  <c r="P812" i="8"/>
  <c r="O812" i="8"/>
  <c r="N812" i="8"/>
  <c r="M812" i="8"/>
  <c r="L812" i="8"/>
  <c r="K812" i="8"/>
  <c r="J812" i="8"/>
  <c r="I812" i="8"/>
  <c r="H812" i="8"/>
  <c r="G812" i="8"/>
  <c r="F812" i="8"/>
  <c r="E812" i="8"/>
  <c r="D812" i="8"/>
  <c r="C812" i="8"/>
  <c r="B812" i="8"/>
  <c r="A812" i="8"/>
  <c r="W811" i="8"/>
  <c r="V811" i="8"/>
  <c r="U811" i="8"/>
  <c r="T811" i="8"/>
  <c r="S811" i="8"/>
  <c r="R811" i="8"/>
  <c r="Q811" i="8"/>
  <c r="P811" i="8"/>
  <c r="O811" i="8"/>
  <c r="N811" i="8"/>
  <c r="M811" i="8"/>
  <c r="L811" i="8"/>
  <c r="K811" i="8"/>
  <c r="J811" i="8"/>
  <c r="I811" i="8"/>
  <c r="H811" i="8"/>
  <c r="G811" i="8"/>
  <c r="F811" i="8"/>
  <c r="E811" i="8"/>
  <c r="D811" i="8"/>
  <c r="C811" i="8"/>
  <c r="B811" i="8"/>
  <c r="A811" i="8"/>
  <c r="W810" i="8"/>
  <c r="V810" i="8"/>
  <c r="U810" i="8"/>
  <c r="T810" i="8"/>
  <c r="S810" i="8"/>
  <c r="R810" i="8"/>
  <c r="Q810" i="8"/>
  <c r="P810" i="8"/>
  <c r="O810" i="8"/>
  <c r="N810" i="8"/>
  <c r="M810" i="8"/>
  <c r="L810" i="8"/>
  <c r="K810" i="8"/>
  <c r="J810" i="8"/>
  <c r="I810" i="8"/>
  <c r="H810" i="8"/>
  <c r="G810" i="8"/>
  <c r="F810" i="8"/>
  <c r="E810" i="8"/>
  <c r="D810" i="8"/>
  <c r="C810" i="8"/>
  <c r="B810" i="8"/>
  <c r="A810" i="8"/>
  <c r="W809" i="8"/>
  <c r="V809" i="8"/>
  <c r="U809" i="8"/>
  <c r="T809" i="8"/>
  <c r="S809" i="8"/>
  <c r="R809" i="8"/>
  <c r="Q809" i="8"/>
  <c r="P809" i="8"/>
  <c r="O809" i="8"/>
  <c r="N809" i="8"/>
  <c r="M809" i="8"/>
  <c r="L809" i="8"/>
  <c r="K809" i="8"/>
  <c r="J809" i="8"/>
  <c r="I809" i="8"/>
  <c r="H809" i="8"/>
  <c r="G809" i="8"/>
  <c r="F809" i="8"/>
  <c r="E809" i="8"/>
  <c r="D809" i="8"/>
  <c r="C809" i="8"/>
  <c r="B809" i="8"/>
  <c r="A809" i="8"/>
  <c r="W808" i="8"/>
  <c r="V808" i="8"/>
  <c r="U808" i="8"/>
  <c r="T808" i="8"/>
  <c r="S808" i="8"/>
  <c r="R808" i="8"/>
  <c r="Q808" i="8"/>
  <c r="P808" i="8"/>
  <c r="O808" i="8"/>
  <c r="N808" i="8"/>
  <c r="M808" i="8"/>
  <c r="L808" i="8"/>
  <c r="K808" i="8"/>
  <c r="J808" i="8"/>
  <c r="I808" i="8"/>
  <c r="H808" i="8"/>
  <c r="G808" i="8"/>
  <c r="F808" i="8"/>
  <c r="E808" i="8"/>
  <c r="D808" i="8"/>
  <c r="C808" i="8"/>
  <c r="B808" i="8"/>
  <c r="A808" i="8"/>
  <c r="W807" i="8"/>
  <c r="V807" i="8"/>
  <c r="U807" i="8"/>
  <c r="T807" i="8"/>
  <c r="S807" i="8"/>
  <c r="R807" i="8"/>
  <c r="Q807" i="8"/>
  <c r="P807" i="8"/>
  <c r="O807" i="8"/>
  <c r="N807" i="8"/>
  <c r="M807" i="8"/>
  <c r="L807" i="8"/>
  <c r="K807" i="8"/>
  <c r="J807" i="8"/>
  <c r="I807" i="8"/>
  <c r="H807" i="8"/>
  <c r="G807" i="8"/>
  <c r="F807" i="8"/>
  <c r="E807" i="8"/>
  <c r="D807" i="8"/>
  <c r="C807" i="8"/>
  <c r="B807" i="8"/>
  <c r="A807" i="8"/>
  <c r="W806" i="8"/>
  <c r="V806" i="8"/>
  <c r="U806" i="8"/>
  <c r="T806" i="8"/>
  <c r="S806" i="8"/>
  <c r="R806" i="8"/>
  <c r="Q806" i="8"/>
  <c r="P806" i="8"/>
  <c r="O806" i="8"/>
  <c r="N806" i="8"/>
  <c r="M806" i="8"/>
  <c r="L806" i="8"/>
  <c r="K806" i="8"/>
  <c r="J806" i="8"/>
  <c r="I806" i="8"/>
  <c r="H806" i="8"/>
  <c r="G806" i="8"/>
  <c r="F806" i="8"/>
  <c r="E806" i="8"/>
  <c r="D806" i="8"/>
  <c r="C806" i="8"/>
  <c r="B806" i="8"/>
  <c r="A806" i="8"/>
  <c r="W805" i="8"/>
  <c r="V805" i="8"/>
  <c r="U805" i="8"/>
  <c r="T805" i="8"/>
  <c r="S805" i="8"/>
  <c r="R805" i="8"/>
  <c r="Q805" i="8"/>
  <c r="P805" i="8"/>
  <c r="O805" i="8"/>
  <c r="N805" i="8"/>
  <c r="M805" i="8"/>
  <c r="L805" i="8"/>
  <c r="K805" i="8"/>
  <c r="J805" i="8"/>
  <c r="I805" i="8"/>
  <c r="H805" i="8"/>
  <c r="G805" i="8"/>
  <c r="F805" i="8"/>
  <c r="E805" i="8"/>
  <c r="D805" i="8"/>
  <c r="C805" i="8"/>
  <c r="B805" i="8"/>
  <c r="A805" i="8"/>
  <c r="W804" i="8"/>
  <c r="V804" i="8"/>
  <c r="U804" i="8"/>
  <c r="T804" i="8"/>
  <c r="S804" i="8"/>
  <c r="R804" i="8"/>
  <c r="Q804" i="8"/>
  <c r="P804" i="8"/>
  <c r="O804" i="8"/>
  <c r="N804" i="8"/>
  <c r="M804" i="8"/>
  <c r="L804" i="8"/>
  <c r="K804" i="8"/>
  <c r="J804" i="8"/>
  <c r="I804" i="8"/>
  <c r="H804" i="8"/>
  <c r="G804" i="8"/>
  <c r="F804" i="8"/>
  <c r="E804" i="8"/>
  <c r="D804" i="8"/>
  <c r="C804" i="8"/>
  <c r="B804" i="8"/>
  <c r="A804" i="8"/>
  <c r="W803" i="8"/>
  <c r="V803" i="8"/>
  <c r="U803" i="8"/>
  <c r="T803" i="8"/>
  <c r="S803" i="8"/>
  <c r="R803" i="8"/>
  <c r="Q803" i="8"/>
  <c r="P803" i="8"/>
  <c r="O803" i="8"/>
  <c r="N803" i="8"/>
  <c r="M803" i="8"/>
  <c r="L803" i="8"/>
  <c r="K803" i="8"/>
  <c r="J803" i="8"/>
  <c r="I803" i="8"/>
  <c r="H803" i="8"/>
  <c r="G803" i="8"/>
  <c r="F803" i="8"/>
  <c r="E803" i="8"/>
  <c r="D803" i="8"/>
  <c r="C803" i="8"/>
  <c r="B803" i="8"/>
  <c r="A803" i="8"/>
  <c r="W802" i="8"/>
  <c r="V802" i="8"/>
  <c r="U802" i="8"/>
  <c r="T802" i="8"/>
  <c r="S802" i="8"/>
  <c r="R802" i="8"/>
  <c r="Q802" i="8"/>
  <c r="P802" i="8"/>
  <c r="O802" i="8"/>
  <c r="N802" i="8"/>
  <c r="M802" i="8"/>
  <c r="L802" i="8"/>
  <c r="K802" i="8"/>
  <c r="J802" i="8"/>
  <c r="I802" i="8"/>
  <c r="H802" i="8"/>
  <c r="G802" i="8"/>
  <c r="F802" i="8"/>
  <c r="E802" i="8"/>
  <c r="D802" i="8"/>
  <c r="C802" i="8"/>
  <c r="B802" i="8"/>
  <c r="A802" i="8"/>
  <c r="W801" i="8"/>
  <c r="V801" i="8"/>
  <c r="U801" i="8"/>
  <c r="T801" i="8"/>
  <c r="S801" i="8"/>
  <c r="R801" i="8"/>
  <c r="Q801" i="8"/>
  <c r="P801" i="8"/>
  <c r="O801" i="8"/>
  <c r="N801" i="8"/>
  <c r="M801" i="8"/>
  <c r="L801" i="8"/>
  <c r="K801" i="8"/>
  <c r="J801" i="8"/>
  <c r="I801" i="8"/>
  <c r="H801" i="8"/>
  <c r="G801" i="8"/>
  <c r="F801" i="8"/>
  <c r="E801" i="8"/>
  <c r="D801" i="8"/>
  <c r="C801" i="8"/>
  <c r="B801" i="8"/>
  <c r="A801" i="8"/>
  <c r="W800" i="8"/>
  <c r="V800" i="8"/>
  <c r="U800" i="8"/>
  <c r="T800" i="8"/>
  <c r="S800" i="8"/>
  <c r="R800" i="8"/>
  <c r="Q800" i="8"/>
  <c r="P800" i="8"/>
  <c r="O800" i="8"/>
  <c r="N800" i="8"/>
  <c r="M800" i="8"/>
  <c r="L800" i="8"/>
  <c r="K800" i="8"/>
  <c r="J800" i="8"/>
  <c r="I800" i="8"/>
  <c r="H800" i="8"/>
  <c r="G800" i="8"/>
  <c r="F800" i="8"/>
  <c r="E800" i="8"/>
  <c r="D800" i="8"/>
  <c r="C800" i="8"/>
  <c r="B800" i="8"/>
  <c r="A800" i="8"/>
  <c r="W799" i="8"/>
  <c r="V799" i="8"/>
  <c r="U799" i="8"/>
  <c r="T799" i="8"/>
  <c r="S799" i="8"/>
  <c r="R799" i="8"/>
  <c r="Q799" i="8"/>
  <c r="P799" i="8"/>
  <c r="O799" i="8"/>
  <c r="N799" i="8"/>
  <c r="M799" i="8"/>
  <c r="L799" i="8"/>
  <c r="K799" i="8"/>
  <c r="J799" i="8"/>
  <c r="I799" i="8"/>
  <c r="H799" i="8"/>
  <c r="G799" i="8"/>
  <c r="F799" i="8"/>
  <c r="E799" i="8"/>
  <c r="D799" i="8"/>
  <c r="C799" i="8"/>
  <c r="B799" i="8"/>
  <c r="A799" i="8"/>
  <c r="W798" i="8"/>
  <c r="V798" i="8"/>
  <c r="U798" i="8"/>
  <c r="T798" i="8"/>
  <c r="S798" i="8"/>
  <c r="R798" i="8"/>
  <c r="Q798" i="8"/>
  <c r="P798" i="8"/>
  <c r="O798" i="8"/>
  <c r="N798" i="8"/>
  <c r="M798" i="8"/>
  <c r="L798" i="8"/>
  <c r="K798" i="8"/>
  <c r="J798" i="8"/>
  <c r="I798" i="8"/>
  <c r="H798" i="8"/>
  <c r="G798" i="8"/>
  <c r="F798" i="8"/>
  <c r="E798" i="8"/>
  <c r="D798" i="8"/>
  <c r="C798" i="8"/>
  <c r="B798" i="8"/>
  <c r="A798" i="8"/>
  <c r="W797" i="8"/>
  <c r="V797" i="8"/>
  <c r="U797" i="8"/>
  <c r="T797" i="8"/>
  <c r="S797" i="8"/>
  <c r="R797" i="8"/>
  <c r="Q797" i="8"/>
  <c r="P797" i="8"/>
  <c r="O797" i="8"/>
  <c r="N797" i="8"/>
  <c r="M797" i="8"/>
  <c r="L797" i="8"/>
  <c r="K797" i="8"/>
  <c r="J797" i="8"/>
  <c r="I797" i="8"/>
  <c r="H797" i="8"/>
  <c r="G797" i="8"/>
  <c r="F797" i="8"/>
  <c r="E797" i="8"/>
  <c r="D797" i="8"/>
  <c r="C797" i="8"/>
  <c r="B797" i="8"/>
  <c r="A797" i="8"/>
  <c r="W796" i="8"/>
  <c r="V796" i="8"/>
  <c r="U796" i="8"/>
  <c r="T796" i="8"/>
  <c r="S796" i="8"/>
  <c r="R796" i="8"/>
  <c r="Q796" i="8"/>
  <c r="P796" i="8"/>
  <c r="O796" i="8"/>
  <c r="N796" i="8"/>
  <c r="M796" i="8"/>
  <c r="L796" i="8"/>
  <c r="K796" i="8"/>
  <c r="J796" i="8"/>
  <c r="I796" i="8"/>
  <c r="H796" i="8"/>
  <c r="G796" i="8"/>
  <c r="F796" i="8"/>
  <c r="E796" i="8"/>
  <c r="D796" i="8"/>
  <c r="C796" i="8"/>
  <c r="B796" i="8"/>
  <c r="A796" i="8"/>
  <c r="W795" i="8"/>
  <c r="V795" i="8"/>
  <c r="U795" i="8"/>
  <c r="T795" i="8"/>
  <c r="S795" i="8"/>
  <c r="R795" i="8"/>
  <c r="Q795" i="8"/>
  <c r="P795" i="8"/>
  <c r="O795" i="8"/>
  <c r="N795" i="8"/>
  <c r="M795" i="8"/>
  <c r="L795" i="8"/>
  <c r="K795" i="8"/>
  <c r="J795" i="8"/>
  <c r="I795" i="8"/>
  <c r="H795" i="8"/>
  <c r="G795" i="8"/>
  <c r="F795" i="8"/>
  <c r="E795" i="8"/>
  <c r="D795" i="8"/>
  <c r="C795" i="8"/>
  <c r="B795" i="8"/>
  <c r="A795" i="8"/>
  <c r="W794" i="8"/>
  <c r="V794" i="8"/>
  <c r="U794" i="8"/>
  <c r="T794" i="8"/>
  <c r="S794" i="8"/>
  <c r="R794" i="8"/>
  <c r="Q794" i="8"/>
  <c r="P794" i="8"/>
  <c r="O794" i="8"/>
  <c r="N794" i="8"/>
  <c r="M794" i="8"/>
  <c r="L794" i="8"/>
  <c r="K794" i="8"/>
  <c r="J794" i="8"/>
  <c r="I794" i="8"/>
  <c r="H794" i="8"/>
  <c r="G794" i="8"/>
  <c r="F794" i="8"/>
  <c r="E794" i="8"/>
  <c r="D794" i="8"/>
  <c r="C794" i="8"/>
  <c r="B794" i="8"/>
  <c r="A794" i="8"/>
  <c r="W793" i="8"/>
  <c r="V793" i="8"/>
  <c r="U793" i="8"/>
  <c r="T793" i="8"/>
  <c r="S793" i="8"/>
  <c r="R793" i="8"/>
  <c r="Q793" i="8"/>
  <c r="P793" i="8"/>
  <c r="O793" i="8"/>
  <c r="N793" i="8"/>
  <c r="M793" i="8"/>
  <c r="L793" i="8"/>
  <c r="K793" i="8"/>
  <c r="J793" i="8"/>
  <c r="I793" i="8"/>
  <c r="H793" i="8"/>
  <c r="G793" i="8"/>
  <c r="F793" i="8"/>
  <c r="E793" i="8"/>
  <c r="D793" i="8"/>
  <c r="C793" i="8"/>
  <c r="B793" i="8"/>
  <c r="A793" i="8"/>
  <c r="W792" i="8"/>
  <c r="V792" i="8"/>
  <c r="U792" i="8"/>
  <c r="T792" i="8"/>
  <c r="S792" i="8"/>
  <c r="R792" i="8"/>
  <c r="Q792" i="8"/>
  <c r="P792" i="8"/>
  <c r="O792" i="8"/>
  <c r="N792" i="8"/>
  <c r="M792" i="8"/>
  <c r="L792" i="8"/>
  <c r="K792" i="8"/>
  <c r="J792" i="8"/>
  <c r="I792" i="8"/>
  <c r="H792" i="8"/>
  <c r="G792" i="8"/>
  <c r="F792" i="8"/>
  <c r="E792" i="8"/>
  <c r="D792" i="8"/>
  <c r="C792" i="8"/>
  <c r="B792" i="8"/>
  <c r="A792" i="8"/>
  <c r="W791" i="8"/>
  <c r="V791" i="8"/>
  <c r="U791" i="8"/>
  <c r="T791" i="8"/>
  <c r="S791" i="8"/>
  <c r="R791" i="8"/>
  <c r="Q791" i="8"/>
  <c r="P791" i="8"/>
  <c r="O791" i="8"/>
  <c r="N791" i="8"/>
  <c r="M791" i="8"/>
  <c r="L791" i="8"/>
  <c r="K791" i="8"/>
  <c r="J791" i="8"/>
  <c r="I791" i="8"/>
  <c r="H791" i="8"/>
  <c r="G791" i="8"/>
  <c r="F791" i="8"/>
  <c r="E791" i="8"/>
  <c r="D791" i="8"/>
  <c r="C791" i="8"/>
  <c r="B791" i="8"/>
  <c r="A791" i="8"/>
  <c r="W790" i="8"/>
  <c r="V790" i="8"/>
  <c r="U790" i="8"/>
  <c r="T790" i="8"/>
  <c r="S790" i="8"/>
  <c r="R790" i="8"/>
  <c r="Q790" i="8"/>
  <c r="P790" i="8"/>
  <c r="O790" i="8"/>
  <c r="N790" i="8"/>
  <c r="M790" i="8"/>
  <c r="L790" i="8"/>
  <c r="K790" i="8"/>
  <c r="J790" i="8"/>
  <c r="I790" i="8"/>
  <c r="H790" i="8"/>
  <c r="G790" i="8"/>
  <c r="F790" i="8"/>
  <c r="E790" i="8"/>
  <c r="D790" i="8"/>
  <c r="C790" i="8"/>
  <c r="B790" i="8"/>
  <c r="A790" i="8"/>
  <c r="W789" i="8"/>
  <c r="V789" i="8"/>
  <c r="U789" i="8"/>
  <c r="T789" i="8"/>
  <c r="S789" i="8"/>
  <c r="R789" i="8"/>
  <c r="Q789" i="8"/>
  <c r="P789" i="8"/>
  <c r="O789" i="8"/>
  <c r="N789" i="8"/>
  <c r="M789" i="8"/>
  <c r="L789" i="8"/>
  <c r="K789" i="8"/>
  <c r="J789" i="8"/>
  <c r="I789" i="8"/>
  <c r="H789" i="8"/>
  <c r="G789" i="8"/>
  <c r="F789" i="8"/>
  <c r="E789" i="8"/>
  <c r="D789" i="8"/>
  <c r="C789" i="8"/>
  <c r="B789" i="8"/>
  <c r="A789" i="8"/>
  <c r="W788" i="8"/>
  <c r="V788" i="8"/>
  <c r="U788" i="8"/>
  <c r="T788" i="8"/>
  <c r="S788" i="8"/>
  <c r="R788" i="8"/>
  <c r="Q788" i="8"/>
  <c r="P788" i="8"/>
  <c r="O788" i="8"/>
  <c r="N788" i="8"/>
  <c r="M788" i="8"/>
  <c r="L788" i="8"/>
  <c r="K788" i="8"/>
  <c r="J788" i="8"/>
  <c r="I788" i="8"/>
  <c r="H788" i="8"/>
  <c r="G788" i="8"/>
  <c r="F788" i="8"/>
  <c r="E788" i="8"/>
  <c r="D788" i="8"/>
  <c r="C788" i="8"/>
  <c r="B788" i="8"/>
  <c r="A788" i="8"/>
  <c r="W787" i="8"/>
  <c r="V787" i="8"/>
  <c r="U787" i="8"/>
  <c r="T787" i="8"/>
  <c r="S787" i="8"/>
  <c r="R787" i="8"/>
  <c r="Q787" i="8"/>
  <c r="P787" i="8"/>
  <c r="O787" i="8"/>
  <c r="N787" i="8"/>
  <c r="M787" i="8"/>
  <c r="L787" i="8"/>
  <c r="K787" i="8"/>
  <c r="J787" i="8"/>
  <c r="I787" i="8"/>
  <c r="H787" i="8"/>
  <c r="G787" i="8"/>
  <c r="F787" i="8"/>
  <c r="E787" i="8"/>
  <c r="D787" i="8"/>
  <c r="C787" i="8"/>
  <c r="B787" i="8"/>
  <c r="A787" i="8"/>
  <c r="W786" i="8"/>
  <c r="V786" i="8"/>
  <c r="U786" i="8"/>
  <c r="T786" i="8"/>
  <c r="S786" i="8"/>
  <c r="R786" i="8"/>
  <c r="Q786" i="8"/>
  <c r="P786" i="8"/>
  <c r="O786" i="8"/>
  <c r="N786" i="8"/>
  <c r="M786" i="8"/>
  <c r="L786" i="8"/>
  <c r="K786" i="8"/>
  <c r="J786" i="8"/>
  <c r="I786" i="8"/>
  <c r="H786" i="8"/>
  <c r="G786" i="8"/>
  <c r="F786" i="8"/>
  <c r="E786" i="8"/>
  <c r="D786" i="8"/>
  <c r="C786" i="8"/>
  <c r="B786" i="8"/>
  <c r="A786" i="8"/>
  <c r="W785" i="8"/>
  <c r="V785" i="8"/>
  <c r="U785" i="8"/>
  <c r="T785" i="8"/>
  <c r="S785" i="8"/>
  <c r="R785" i="8"/>
  <c r="Q785" i="8"/>
  <c r="P785" i="8"/>
  <c r="O785" i="8"/>
  <c r="N785" i="8"/>
  <c r="M785" i="8"/>
  <c r="L785" i="8"/>
  <c r="K785" i="8"/>
  <c r="J785" i="8"/>
  <c r="I785" i="8"/>
  <c r="H785" i="8"/>
  <c r="G785" i="8"/>
  <c r="F785" i="8"/>
  <c r="E785" i="8"/>
  <c r="D785" i="8"/>
  <c r="C785" i="8"/>
  <c r="B785" i="8"/>
  <c r="A785" i="8"/>
  <c r="W784" i="8"/>
  <c r="V784" i="8"/>
  <c r="U784" i="8"/>
  <c r="T784" i="8"/>
  <c r="S784" i="8"/>
  <c r="R784" i="8"/>
  <c r="Q784" i="8"/>
  <c r="P784" i="8"/>
  <c r="O784" i="8"/>
  <c r="N784" i="8"/>
  <c r="M784" i="8"/>
  <c r="L784" i="8"/>
  <c r="K784" i="8"/>
  <c r="J784" i="8"/>
  <c r="I784" i="8"/>
  <c r="H784" i="8"/>
  <c r="G784" i="8"/>
  <c r="F784" i="8"/>
  <c r="E784" i="8"/>
  <c r="D784" i="8"/>
  <c r="C784" i="8"/>
  <c r="B784" i="8"/>
  <c r="A784" i="8"/>
  <c r="W783" i="8"/>
  <c r="V783" i="8"/>
  <c r="U783" i="8"/>
  <c r="T783" i="8"/>
  <c r="S783" i="8"/>
  <c r="R783" i="8"/>
  <c r="Q783" i="8"/>
  <c r="P783" i="8"/>
  <c r="O783" i="8"/>
  <c r="N783" i="8"/>
  <c r="M783" i="8"/>
  <c r="L783" i="8"/>
  <c r="K783" i="8"/>
  <c r="J783" i="8"/>
  <c r="I783" i="8"/>
  <c r="H783" i="8"/>
  <c r="G783" i="8"/>
  <c r="F783" i="8"/>
  <c r="E783" i="8"/>
  <c r="D783" i="8"/>
  <c r="C783" i="8"/>
  <c r="B783" i="8"/>
  <c r="A783" i="8"/>
  <c r="W782" i="8"/>
  <c r="V782" i="8"/>
  <c r="U782" i="8"/>
  <c r="T782" i="8"/>
  <c r="S782" i="8"/>
  <c r="R782" i="8"/>
  <c r="Q782" i="8"/>
  <c r="P782" i="8"/>
  <c r="O782" i="8"/>
  <c r="N782" i="8"/>
  <c r="M782" i="8"/>
  <c r="L782" i="8"/>
  <c r="K782" i="8"/>
  <c r="J782" i="8"/>
  <c r="I782" i="8"/>
  <c r="H782" i="8"/>
  <c r="G782" i="8"/>
  <c r="F782" i="8"/>
  <c r="E782" i="8"/>
  <c r="D782" i="8"/>
  <c r="C782" i="8"/>
  <c r="B782" i="8"/>
  <c r="A782" i="8"/>
  <c r="W781" i="8"/>
  <c r="V781" i="8"/>
  <c r="U781" i="8"/>
  <c r="T781" i="8"/>
  <c r="S781" i="8"/>
  <c r="R781" i="8"/>
  <c r="Q781" i="8"/>
  <c r="P781" i="8"/>
  <c r="O781" i="8"/>
  <c r="N781" i="8"/>
  <c r="M781" i="8"/>
  <c r="L781" i="8"/>
  <c r="K781" i="8"/>
  <c r="J781" i="8"/>
  <c r="I781" i="8"/>
  <c r="H781" i="8"/>
  <c r="G781" i="8"/>
  <c r="F781" i="8"/>
  <c r="E781" i="8"/>
  <c r="D781" i="8"/>
  <c r="C781" i="8"/>
  <c r="B781" i="8"/>
  <c r="A781" i="8"/>
  <c r="W780" i="8"/>
  <c r="V780" i="8"/>
  <c r="U780" i="8"/>
  <c r="T780" i="8"/>
  <c r="S780" i="8"/>
  <c r="R780" i="8"/>
  <c r="Q780" i="8"/>
  <c r="P780" i="8"/>
  <c r="O780" i="8"/>
  <c r="N780" i="8"/>
  <c r="M780" i="8"/>
  <c r="L780" i="8"/>
  <c r="K780" i="8"/>
  <c r="J780" i="8"/>
  <c r="I780" i="8"/>
  <c r="H780" i="8"/>
  <c r="G780" i="8"/>
  <c r="F780" i="8"/>
  <c r="E780" i="8"/>
  <c r="D780" i="8"/>
  <c r="C780" i="8"/>
  <c r="B780" i="8"/>
  <c r="A780" i="8"/>
  <c r="W779" i="8"/>
  <c r="V779" i="8"/>
  <c r="U779" i="8"/>
  <c r="T779" i="8"/>
  <c r="S779" i="8"/>
  <c r="R779" i="8"/>
  <c r="Q779" i="8"/>
  <c r="P779" i="8"/>
  <c r="O779" i="8"/>
  <c r="N779" i="8"/>
  <c r="M779" i="8"/>
  <c r="L779" i="8"/>
  <c r="K779" i="8"/>
  <c r="J779" i="8"/>
  <c r="I779" i="8"/>
  <c r="H779" i="8"/>
  <c r="G779" i="8"/>
  <c r="F779" i="8"/>
  <c r="E779" i="8"/>
  <c r="D779" i="8"/>
  <c r="C779" i="8"/>
  <c r="B779" i="8"/>
  <c r="A779" i="8"/>
  <c r="W778" i="8"/>
  <c r="V778" i="8"/>
  <c r="U778" i="8"/>
  <c r="T778" i="8"/>
  <c r="S778" i="8"/>
  <c r="R778" i="8"/>
  <c r="Q778" i="8"/>
  <c r="P778" i="8"/>
  <c r="O778" i="8"/>
  <c r="N778" i="8"/>
  <c r="M778" i="8"/>
  <c r="L778" i="8"/>
  <c r="K778" i="8"/>
  <c r="J778" i="8"/>
  <c r="I778" i="8"/>
  <c r="H778" i="8"/>
  <c r="G778" i="8"/>
  <c r="F778" i="8"/>
  <c r="E778" i="8"/>
  <c r="D778" i="8"/>
  <c r="C778" i="8"/>
  <c r="B778" i="8"/>
  <c r="A778" i="8"/>
  <c r="W777" i="8"/>
  <c r="V777" i="8"/>
  <c r="U777" i="8"/>
  <c r="T777" i="8"/>
  <c r="S777" i="8"/>
  <c r="R777" i="8"/>
  <c r="Q777" i="8"/>
  <c r="P777" i="8"/>
  <c r="O777" i="8"/>
  <c r="N777" i="8"/>
  <c r="M777" i="8"/>
  <c r="L777" i="8"/>
  <c r="K777" i="8"/>
  <c r="J777" i="8"/>
  <c r="I777" i="8"/>
  <c r="H777" i="8"/>
  <c r="G777" i="8"/>
  <c r="F777" i="8"/>
  <c r="E777" i="8"/>
  <c r="D777" i="8"/>
  <c r="C777" i="8"/>
  <c r="B777" i="8"/>
  <c r="A777" i="8"/>
  <c r="W776" i="8"/>
  <c r="V776" i="8"/>
  <c r="U776" i="8"/>
  <c r="T776" i="8"/>
  <c r="S776" i="8"/>
  <c r="R776" i="8"/>
  <c r="Q776" i="8"/>
  <c r="P776" i="8"/>
  <c r="O776" i="8"/>
  <c r="N776" i="8"/>
  <c r="M776" i="8"/>
  <c r="L776" i="8"/>
  <c r="K776" i="8"/>
  <c r="J776" i="8"/>
  <c r="I776" i="8"/>
  <c r="H776" i="8"/>
  <c r="G776" i="8"/>
  <c r="F776" i="8"/>
  <c r="E776" i="8"/>
  <c r="D776" i="8"/>
  <c r="C776" i="8"/>
  <c r="B776" i="8"/>
  <c r="A776" i="8"/>
  <c r="W775" i="8"/>
  <c r="V775" i="8"/>
  <c r="U775" i="8"/>
  <c r="T775" i="8"/>
  <c r="S775" i="8"/>
  <c r="R775" i="8"/>
  <c r="Q775" i="8"/>
  <c r="P775" i="8"/>
  <c r="O775" i="8"/>
  <c r="N775" i="8"/>
  <c r="M775" i="8"/>
  <c r="L775" i="8"/>
  <c r="K775" i="8"/>
  <c r="J775" i="8"/>
  <c r="I775" i="8"/>
  <c r="H775" i="8"/>
  <c r="G775" i="8"/>
  <c r="F775" i="8"/>
  <c r="E775" i="8"/>
  <c r="D775" i="8"/>
  <c r="C775" i="8"/>
  <c r="B775" i="8"/>
  <c r="A775" i="8"/>
  <c r="W774" i="8"/>
  <c r="V774" i="8"/>
  <c r="U774" i="8"/>
  <c r="T774" i="8"/>
  <c r="S774" i="8"/>
  <c r="R774" i="8"/>
  <c r="Q774" i="8"/>
  <c r="P774" i="8"/>
  <c r="O774" i="8"/>
  <c r="N774" i="8"/>
  <c r="M774" i="8"/>
  <c r="L774" i="8"/>
  <c r="K774" i="8"/>
  <c r="J774" i="8"/>
  <c r="I774" i="8"/>
  <c r="H774" i="8"/>
  <c r="G774" i="8"/>
  <c r="F774" i="8"/>
  <c r="E774" i="8"/>
  <c r="D774" i="8"/>
  <c r="C774" i="8"/>
  <c r="B774" i="8"/>
  <c r="A774" i="8"/>
  <c r="W773" i="8"/>
  <c r="V773" i="8"/>
  <c r="U773" i="8"/>
  <c r="T773" i="8"/>
  <c r="S773" i="8"/>
  <c r="R773" i="8"/>
  <c r="Q773" i="8"/>
  <c r="P773" i="8"/>
  <c r="O773" i="8"/>
  <c r="N773" i="8"/>
  <c r="M773" i="8"/>
  <c r="L773" i="8"/>
  <c r="K773" i="8"/>
  <c r="J773" i="8"/>
  <c r="I773" i="8"/>
  <c r="H773" i="8"/>
  <c r="G773" i="8"/>
  <c r="F773" i="8"/>
  <c r="E773" i="8"/>
  <c r="D773" i="8"/>
  <c r="C773" i="8"/>
  <c r="B773" i="8"/>
  <c r="A773" i="8"/>
  <c r="W772" i="8"/>
  <c r="V772" i="8"/>
  <c r="U772" i="8"/>
  <c r="T772" i="8"/>
  <c r="S772" i="8"/>
  <c r="R772" i="8"/>
  <c r="Q772" i="8"/>
  <c r="P772" i="8"/>
  <c r="O772" i="8"/>
  <c r="N772" i="8"/>
  <c r="M772" i="8"/>
  <c r="L772" i="8"/>
  <c r="K772" i="8"/>
  <c r="J772" i="8"/>
  <c r="I772" i="8"/>
  <c r="H772" i="8"/>
  <c r="G772" i="8"/>
  <c r="F772" i="8"/>
  <c r="E772" i="8"/>
  <c r="D772" i="8"/>
  <c r="C772" i="8"/>
  <c r="B772" i="8"/>
  <c r="A772" i="8"/>
  <c r="W771" i="8"/>
  <c r="V771" i="8"/>
  <c r="U771" i="8"/>
  <c r="T771" i="8"/>
  <c r="S771" i="8"/>
  <c r="R771" i="8"/>
  <c r="Q771" i="8"/>
  <c r="P771" i="8"/>
  <c r="O771" i="8"/>
  <c r="N771" i="8"/>
  <c r="M771" i="8"/>
  <c r="L771" i="8"/>
  <c r="K771" i="8"/>
  <c r="J771" i="8"/>
  <c r="I771" i="8"/>
  <c r="H771" i="8"/>
  <c r="G771" i="8"/>
  <c r="F771" i="8"/>
  <c r="E771" i="8"/>
  <c r="D771" i="8"/>
  <c r="C771" i="8"/>
  <c r="B771" i="8"/>
  <c r="A771" i="8"/>
  <c r="W770" i="8"/>
  <c r="V770" i="8"/>
  <c r="U770" i="8"/>
  <c r="T770" i="8"/>
  <c r="S770" i="8"/>
  <c r="R770" i="8"/>
  <c r="Q770" i="8"/>
  <c r="P770" i="8"/>
  <c r="O770" i="8"/>
  <c r="N770" i="8"/>
  <c r="M770" i="8"/>
  <c r="L770" i="8"/>
  <c r="K770" i="8"/>
  <c r="J770" i="8"/>
  <c r="I770" i="8"/>
  <c r="H770" i="8"/>
  <c r="G770" i="8"/>
  <c r="F770" i="8"/>
  <c r="E770" i="8"/>
  <c r="D770" i="8"/>
  <c r="C770" i="8"/>
  <c r="B770" i="8"/>
  <c r="A770" i="8"/>
  <c r="W769" i="8"/>
  <c r="V769" i="8"/>
  <c r="U769" i="8"/>
  <c r="T769" i="8"/>
  <c r="S769" i="8"/>
  <c r="R769" i="8"/>
  <c r="Q769" i="8"/>
  <c r="P769" i="8"/>
  <c r="O769" i="8"/>
  <c r="N769" i="8"/>
  <c r="M769" i="8"/>
  <c r="L769" i="8"/>
  <c r="K769" i="8"/>
  <c r="J769" i="8"/>
  <c r="I769" i="8"/>
  <c r="H769" i="8"/>
  <c r="G769" i="8"/>
  <c r="F769" i="8"/>
  <c r="E769" i="8"/>
  <c r="D769" i="8"/>
  <c r="C769" i="8"/>
  <c r="B769" i="8"/>
  <c r="A769" i="8"/>
  <c r="W768" i="8"/>
  <c r="V768" i="8"/>
  <c r="U768" i="8"/>
  <c r="T768" i="8"/>
  <c r="S768" i="8"/>
  <c r="R768" i="8"/>
  <c r="Q768" i="8"/>
  <c r="P768" i="8"/>
  <c r="O768" i="8"/>
  <c r="N768" i="8"/>
  <c r="M768" i="8"/>
  <c r="L768" i="8"/>
  <c r="K768" i="8"/>
  <c r="J768" i="8"/>
  <c r="I768" i="8"/>
  <c r="H768" i="8"/>
  <c r="G768" i="8"/>
  <c r="F768" i="8"/>
  <c r="E768" i="8"/>
  <c r="D768" i="8"/>
  <c r="C768" i="8"/>
  <c r="B768" i="8"/>
  <c r="A768" i="8"/>
  <c r="W767" i="8"/>
  <c r="V767" i="8"/>
  <c r="U767" i="8"/>
  <c r="T767" i="8"/>
  <c r="S767" i="8"/>
  <c r="R767" i="8"/>
  <c r="Q767" i="8"/>
  <c r="P767" i="8"/>
  <c r="O767" i="8"/>
  <c r="N767" i="8"/>
  <c r="M767" i="8"/>
  <c r="L767" i="8"/>
  <c r="K767" i="8"/>
  <c r="J767" i="8"/>
  <c r="I767" i="8"/>
  <c r="H767" i="8"/>
  <c r="G767" i="8"/>
  <c r="F767" i="8"/>
  <c r="E767" i="8"/>
  <c r="D767" i="8"/>
  <c r="C767" i="8"/>
  <c r="B767" i="8"/>
  <c r="A767" i="8"/>
  <c r="W766" i="8"/>
  <c r="V766" i="8"/>
  <c r="U766" i="8"/>
  <c r="T766" i="8"/>
  <c r="S766" i="8"/>
  <c r="R766" i="8"/>
  <c r="Q766" i="8"/>
  <c r="P766" i="8"/>
  <c r="O766" i="8"/>
  <c r="N766" i="8"/>
  <c r="M766" i="8"/>
  <c r="L766" i="8"/>
  <c r="K766" i="8"/>
  <c r="J766" i="8"/>
  <c r="I766" i="8"/>
  <c r="H766" i="8"/>
  <c r="G766" i="8"/>
  <c r="F766" i="8"/>
  <c r="E766" i="8"/>
  <c r="D766" i="8"/>
  <c r="C766" i="8"/>
  <c r="B766" i="8"/>
  <c r="A766" i="8"/>
  <c r="W765" i="8"/>
  <c r="V765" i="8"/>
  <c r="U765" i="8"/>
  <c r="T765" i="8"/>
  <c r="S765" i="8"/>
  <c r="R765" i="8"/>
  <c r="Q765" i="8"/>
  <c r="P765" i="8"/>
  <c r="O765" i="8"/>
  <c r="N765" i="8"/>
  <c r="M765" i="8"/>
  <c r="L765" i="8"/>
  <c r="K765" i="8"/>
  <c r="J765" i="8"/>
  <c r="I765" i="8"/>
  <c r="H765" i="8"/>
  <c r="G765" i="8"/>
  <c r="F765" i="8"/>
  <c r="E765" i="8"/>
  <c r="D765" i="8"/>
  <c r="C765" i="8"/>
  <c r="B765" i="8"/>
  <c r="A765" i="8"/>
  <c r="W764" i="8"/>
  <c r="V764" i="8"/>
  <c r="U764" i="8"/>
  <c r="T764" i="8"/>
  <c r="S764" i="8"/>
  <c r="R764" i="8"/>
  <c r="Q764" i="8"/>
  <c r="P764" i="8"/>
  <c r="O764" i="8"/>
  <c r="N764" i="8"/>
  <c r="M764" i="8"/>
  <c r="L764" i="8"/>
  <c r="K764" i="8"/>
  <c r="J764" i="8"/>
  <c r="I764" i="8"/>
  <c r="H764" i="8"/>
  <c r="G764" i="8"/>
  <c r="F764" i="8"/>
  <c r="E764" i="8"/>
  <c r="D764" i="8"/>
  <c r="C764" i="8"/>
  <c r="B764" i="8"/>
  <c r="A764" i="8"/>
  <c r="W763" i="8"/>
  <c r="V763" i="8"/>
  <c r="U763" i="8"/>
  <c r="T763" i="8"/>
  <c r="S763" i="8"/>
  <c r="R763" i="8"/>
  <c r="Q763" i="8"/>
  <c r="P763" i="8"/>
  <c r="O763" i="8"/>
  <c r="N763" i="8"/>
  <c r="M763" i="8"/>
  <c r="L763" i="8"/>
  <c r="K763" i="8"/>
  <c r="J763" i="8"/>
  <c r="I763" i="8"/>
  <c r="H763" i="8"/>
  <c r="G763" i="8"/>
  <c r="F763" i="8"/>
  <c r="E763" i="8"/>
  <c r="D763" i="8"/>
  <c r="C763" i="8"/>
  <c r="B763" i="8"/>
  <c r="A763" i="8"/>
  <c r="W762" i="8"/>
  <c r="V762" i="8"/>
  <c r="U762" i="8"/>
  <c r="T762" i="8"/>
  <c r="S762" i="8"/>
  <c r="R762" i="8"/>
  <c r="Q762" i="8"/>
  <c r="P762" i="8"/>
  <c r="O762" i="8"/>
  <c r="N762" i="8"/>
  <c r="M762" i="8"/>
  <c r="L762" i="8"/>
  <c r="K762" i="8"/>
  <c r="J762" i="8"/>
  <c r="I762" i="8"/>
  <c r="H762" i="8"/>
  <c r="G762" i="8"/>
  <c r="F762" i="8"/>
  <c r="E762" i="8"/>
  <c r="D762" i="8"/>
  <c r="C762" i="8"/>
  <c r="B762" i="8"/>
  <c r="A762" i="8"/>
  <c r="W761" i="8"/>
  <c r="V761" i="8"/>
  <c r="U761" i="8"/>
  <c r="T761" i="8"/>
  <c r="S761" i="8"/>
  <c r="R761" i="8"/>
  <c r="Q761" i="8"/>
  <c r="P761" i="8"/>
  <c r="O761" i="8"/>
  <c r="N761" i="8"/>
  <c r="M761" i="8"/>
  <c r="L761" i="8"/>
  <c r="K761" i="8"/>
  <c r="J761" i="8"/>
  <c r="I761" i="8"/>
  <c r="H761" i="8"/>
  <c r="G761" i="8"/>
  <c r="F761" i="8"/>
  <c r="E761" i="8"/>
  <c r="D761" i="8"/>
  <c r="C761" i="8"/>
  <c r="B761" i="8"/>
  <c r="A761" i="8"/>
  <c r="W760" i="8"/>
  <c r="V760" i="8"/>
  <c r="U760" i="8"/>
  <c r="T760" i="8"/>
  <c r="S760" i="8"/>
  <c r="R760" i="8"/>
  <c r="Q760" i="8"/>
  <c r="P760" i="8"/>
  <c r="O760" i="8"/>
  <c r="N760" i="8"/>
  <c r="M760" i="8"/>
  <c r="L760" i="8"/>
  <c r="K760" i="8"/>
  <c r="J760" i="8"/>
  <c r="I760" i="8"/>
  <c r="H760" i="8"/>
  <c r="G760" i="8"/>
  <c r="F760" i="8"/>
  <c r="E760" i="8"/>
  <c r="D760" i="8"/>
  <c r="C760" i="8"/>
  <c r="B760" i="8"/>
  <c r="A760" i="8"/>
  <c r="W759" i="8"/>
  <c r="V759" i="8"/>
  <c r="U759" i="8"/>
  <c r="T759" i="8"/>
  <c r="S759" i="8"/>
  <c r="R759" i="8"/>
  <c r="Q759" i="8"/>
  <c r="P759" i="8"/>
  <c r="O759" i="8"/>
  <c r="N759" i="8"/>
  <c r="M759" i="8"/>
  <c r="L759" i="8"/>
  <c r="K759" i="8"/>
  <c r="J759" i="8"/>
  <c r="I759" i="8"/>
  <c r="H759" i="8"/>
  <c r="G759" i="8"/>
  <c r="F759" i="8"/>
  <c r="E759" i="8"/>
  <c r="D759" i="8"/>
  <c r="C759" i="8"/>
  <c r="B759" i="8"/>
  <c r="A759" i="8"/>
  <c r="W758" i="8"/>
  <c r="V758" i="8"/>
  <c r="U758" i="8"/>
  <c r="T758" i="8"/>
  <c r="S758" i="8"/>
  <c r="R758" i="8"/>
  <c r="Q758" i="8"/>
  <c r="P758" i="8"/>
  <c r="O758" i="8"/>
  <c r="N758" i="8"/>
  <c r="M758" i="8"/>
  <c r="L758" i="8"/>
  <c r="K758" i="8"/>
  <c r="J758" i="8"/>
  <c r="I758" i="8"/>
  <c r="H758" i="8"/>
  <c r="G758" i="8"/>
  <c r="F758" i="8"/>
  <c r="E758" i="8"/>
  <c r="D758" i="8"/>
  <c r="C758" i="8"/>
  <c r="B758" i="8"/>
  <c r="A758" i="8"/>
  <c r="W757" i="8"/>
  <c r="V757" i="8"/>
  <c r="U757" i="8"/>
  <c r="T757" i="8"/>
  <c r="S757" i="8"/>
  <c r="R757" i="8"/>
  <c r="Q757" i="8"/>
  <c r="P757" i="8"/>
  <c r="O757" i="8"/>
  <c r="N757" i="8"/>
  <c r="M757" i="8"/>
  <c r="L757" i="8"/>
  <c r="K757" i="8"/>
  <c r="J757" i="8"/>
  <c r="I757" i="8"/>
  <c r="H757" i="8"/>
  <c r="G757" i="8"/>
  <c r="F757" i="8"/>
  <c r="E757" i="8"/>
  <c r="D757" i="8"/>
  <c r="C757" i="8"/>
  <c r="B757" i="8"/>
  <c r="A757" i="8"/>
  <c r="W756" i="8"/>
  <c r="V756" i="8"/>
  <c r="U756" i="8"/>
  <c r="T756" i="8"/>
  <c r="S756" i="8"/>
  <c r="R756" i="8"/>
  <c r="Q756" i="8"/>
  <c r="P756" i="8"/>
  <c r="O756" i="8"/>
  <c r="N756" i="8"/>
  <c r="M756" i="8"/>
  <c r="L756" i="8"/>
  <c r="K756" i="8"/>
  <c r="J756" i="8"/>
  <c r="I756" i="8"/>
  <c r="H756" i="8"/>
  <c r="G756" i="8"/>
  <c r="F756" i="8"/>
  <c r="E756" i="8"/>
  <c r="D756" i="8"/>
  <c r="C756" i="8"/>
  <c r="B756" i="8"/>
  <c r="A756" i="8"/>
  <c r="W755" i="8"/>
  <c r="V755" i="8"/>
  <c r="U755" i="8"/>
  <c r="T755" i="8"/>
  <c r="S755" i="8"/>
  <c r="R755" i="8"/>
  <c r="Q755" i="8"/>
  <c r="P755" i="8"/>
  <c r="O755" i="8"/>
  <c r="N755" i="8"/>
  <c r="M755" i="8"/>
  <c r="L755" i="8"/>
  <c r="K755" i="8"/>
  <c r="J755" i="8"/>
  <c r="I755" i="8"/>
  <c r="H755" i="8"/>
  <c r="G755" i="8"/>
  <c r="F755" i="8"/>
  <c r="E755" i="8"/>
  <c r="D755" i="8"/>
  <c r="C755" i="8"/>
  <c r="B755" i="8"/>
  <c r="A755" i="8"/>
  <c r="W754" i="8"/>
  <c r="V754" i="8"/>
  <c r="U754" i="8"/>
  <c r="T754" i="8"/>
  <c r="S754" i="8"/>
  <c r="R754" i="8"/>
  <c r="Q754" i="8"/>
  <c r="P754" i="8"/>
  <c r="O754" i="8"/>
  <c r="N754" i="8"/>
  <c r="M754" i="8"/>
  <c r="L754" i="8"/>
  <c r="K754" i="8"/>
  <c r="J754" i="8"/>
  <c r="I754" i="8"/>
  <c r="H754" i="8"/>
  <c r="G754" i="8"/>
  <c r="F754" i="8"/>
  <c r="E754" i="8"/>
  <c r="D754" i="8"/>
  <c r="C754" i="8"/>
  <c r="B754" i="8"/>
  <c r="A754" i="8"/>
  <c r="W753" i="8"/>
  <c r="V753" i="8"/>
  <c r="U753" i="8"/>
  <c r="T753" i="8"/>
  <c r="S753" i="8"/>
  <c r="R753" i="8"/>
  <c r="Q753" i="8"/>
  <c r="P753" i="8"/>
  <c r="O753" i="8"/>
  <c r="N753" i="8"/>
  <c r="M753" i="8"/>
  <c r="L753" i="8"/>
  <c r="K753" i="8"/>
  <c r="J753" i="8"/>
  <c r="I753" i="8"/>
  <c r="H753" i="8"/>
  <c r="G753" i="8"/>
  <c r="F753" i="8"/>
  <c r="E753" i="8"/>
  <c r="D753" i="8"/>
  <c r="C753" i="8"/>
  <c r="B753" i="8"/>
  <c r="A753" i="8"/>
  <c r="W752" i="8"/>
  <c r="V752" i="8"/>
  <c r="U752" i="8"/>
  <c r="T752" i="8"/>
  <c r="S752" i="8"/>
  <c r="R752" i="8"/>
  <c r="Q752" i="8"/>
  <c r="P752" i="8"/>
  <c r="O752" i="8"/>
  <c r="N752" i="8"/>
  <c r="M752" i="8"/>
  <c r="L752" i="8"/>
  <c r="K752" i="8"/>
  <c r="J752" i="8"/>
  <c r="I752" i="8"/>
  <c r="H752" i="8"/>
  <c r="G752" i="8"/>
  <c r="F752" i="8"/>
  <c r="E752" i="8"/>
  <c r="D752" i="8"/>
  <c r="C752" i="8"/>
  <c r="B752" i="8"/>
  <c r="A752" i="8"/>
  <c r="W751" i="8"/>
  <c r="V751" i="8"/>
  <c r="U751" i="8"/>
  <c r="T751" i="8"/>
  <c r="S751" i="8"/>
  <c r="R751" i="8"/>
  <c r="Q751" i="8"/>
  <c r="P751" i="8"/>
  <c r="O751" i="8"/>
  <c r="N751" i="8"/>
  <c r="M751" i="8"/>
  <c r="L751" i="8"/>
  <c r="K751" i="8"/>
  <c r="J751" i="8"/>
  <c r="I751" i="8"/>
  <c r="H751" i="8"/>
  <c r="G751" i="8"/>
  <c r="F751" i="8"/>
  <c r="E751" i="8"/>
  <c r="D751" i="8"/>
  <c r="C751" i="8"/>
  <c r="B751" i="8"/>
  <c r="A751" i="8"/>
  <c r="W750" i="8"/>
  <c r="V750" i="8"/>
  <c r="U750" i="8"/>
  <c r="T750" i="8"/>
  <c r="S750" i="8"/>
  <c r="R750" i="8"/>
  <c r="Q750" i="8"/>
  <c r="P750" i="8"/>
  <c r="O750" i="8"/>
  <c r="N750" i="8"/>
  <c r="M750" i="8"/>
  <c r="L750" i="8"/>
  <c r="K750" i="8"/>
  <c r="J750" i="8"/>
  <c r="I750" i="8"/>
  <c r="H750" i="8"/>
  <c r="G750" i="8"/>
  <c r="F750" i="8"/>
  <c r="E750" i="8"/>
  <c r="D750" i="8"/>
  <c r="C750" i="8"/>
  <c r="B750" i="8"/>
  <c r="A750" i="8"/>
  <c r="W749" i="8"/>
  <c r="V749" i="8"/>
  <c r="U749" i="8"/>
  <c r="T749" i="8"/>
  <c r="S749" i="8"/>
  <c r="R749" i="8"/>
  <c r="Q749" i="8"/>
  <c r="P749" i="8"/>
  <c r="O749" i="8"/>
  <c r="N749" i="8"/>
  <c r="M749" i="8"/>
  <c r="L749" i="8"/>
  <c r="K749" i="8"/>
  <c r="J749" i="8"/>
  <c r="I749" i="8"/>
  <c r="H749" i="8"/>
  <c r="G749" i="8"/>
  <c r="F749" i="8"/>
  <c r="E749" i="8"/>
  <c r="D749" i="8"/>
  <c r="C749" i="8"/>
  <c r="B749" i="8"/>
  <c r="A749" i="8"/>
  <c r="W748" i="8"/>
  <c r="V748" i="8"/>
  <c r="U748" i="8"/>
  <c r="T748" i="8"/>
  <c r="S748" i="8"/>
  <c r="R748" i="8"/>
  <c r="Q748" i="8"/>
  <c r="P748" i="8"/>
  <c r="O748" i="8"/>
  <c r="N748" i="8"/>
  <c r="M748" i="8"/>
  <c r="L748" i="8"/>
  <c r="K748" i="8"/>
  <c r="J748" i="8"/>
  <c r="I748" i="8"/>
  <c r="H748" i="8"/>
  <c r="G748" i="8"/>
  <c r="F748" i="8"/>
  <c r="E748" i="8"/>
  <c r="D748" i="8"/>
  <c r="C748" i="8"/>
  <c r="B748" i="8"/>
  <c r="A748" i="8"/>
  <c r="W747" i="8"/>
  <c r="V747" i="8"/>
  <c r="U747" i="8"/>
  <c r="T747" i="8"/>
  <c r="S747" i="8"/>
  <c r="R747" i="8"/>
  <c r="Q747" i="8"/>
  <c r="P747" i="8"/>
  <c r="O747" i="8"/>
  <c r="N747" i="8"/>
  <c r="M747" i="8"/>
  <c r="L747" i="8"/>
  <c r="K747" i="8"/>
  <c r="J747" i="8"/>
  <c r="I747" i="8"/>
  <c r="H747" i="8"/>
  <c r="G747" i="8"/>
  <c r="F747" i="8"/>
  <c r="E747" i="8"/>
  <c r="D747" i="8"/>
  <c r="C747" i="8"/>
  <c r="B747" i="8"/>
  <c r="A747" i="8"/>
  <c r="W746" i="8"/>
  <c r="V746" i="8"/>
  <c r="U746" i="8"/>
  <c r="T746" i="8"/>
  <c r="S746" i="8"/>
  <c r="R746" i="8"/>
  <c r="Q746" i="8"/>
  <c r="P746" i="8"/>
  <c r="O746" i="8"/>
  <c r="N746" i="8"/>
  <c r="M746" i="8"/>
  <c r="L746" i="8"/>
  <c r="K746" i="8"/>
  <c r="J746" i="8"/>
  <c r="I746" i="8"/>
  <c r="H746" i="8"/>
  <c r="G746" i="8"/>
  <c r="F746" i="8"/>
  <c r="E746" i="8"/>
  <c r="D746" i="8"/>
  <c r="C746" i="8"/>
  <c r="B746" i="8"/>
  <c r="A746" i="8"/>
  <c r="W745" i="8"/>
  <c r="V745" i="8"/>
  <c r="U745" i="8"/>
  <c r="T745" i="8"/>
  <c r="S745" i="8"/>
  <c r="R745" i="8"/>
  <c r="Q745" i="8"/>
  <c r="P745" i="8"/>
  <c r="O745" i="8"/>
  <c r="N745" i="8"/>
  <c r="M745" i="8"/>
  <c r="L745" i="8"/>
  <c r="K745" i="8"/>
  <c r="J745" i="8"/>
  <c r="I745" i="8"/>
  <c r="H745" i="8"/>
  <c r="G745" i="8"/>
  <c r="F745" i="8"/>
  <c r="E745" i="8"/>
  <c r="D745" i="8"/>
  <c r="C745" i="8"/>
  <c r="B745" i="8"/>
  <c r="A745" i="8"/>
  <c r="W744" i="8"/>
  <c r="V744" i="8"/>
  <c r="U744" i="8"/>
  <c r="T744" i="8"/>
  <c r="S744" i="8"/>
  <c r="R744" i="8"/>
  <c r="Q744" i="8"/>
  <c r="P744" i="8"/>
  <c r="O744" i="8"/>
  <c r="N744" i="8"/>
  <c r="M744" i="8"/>
  <c r="L744" i="8"/>
  <c r="K744" i="8"/>
  <c r="J744" i="8"/>
  <c r="I744" i="8"/>
  <c r="H744" i="8"/>
  <c r="G744" i="8"/>
  <c r="F744" i="8"/>
  <c r="E744" i="8"/>
  <c r="D744" i="8"/>
  <c r="C744" i="8"/>
  <c r="B744" i="8"/>
  <c r="A744" i="8"/>
  <c r="W743" i="8"/>
  <c r="V743" i="8"/>
  <c r="U743" i="8"/>
  <c r="T743" i="8"/>
  <c r="S743" i="8"/>
  <c r="R743" i="8"/>
  <c r="Q743" i="8"/>
  <c r="P743" i="8"/>
  <c r="O743" i="8"/>
  <c r="N743" i="8"/>
  <c r="M743" i="8"/>
  <c r="L743" i="8"/>
  <c r="K743" i="8"/>
  <c r="J743" i="8"/>
  <c r="I743" i="8"/>
  <c r="H743" i="8"/>
  <c r="G743" i="8"/>
  <c r="F743" i="8"/>
  <c r="E743" i="8"/>
  <c r="D743" i="8"/>
  <c r="C743" i="8"/>
  <c r="B743" i="8"/>
  <c r="A743" i="8"/>
  <c r="W742" i="8"/>
  <c r="V742" i="8"/>
  <c r="U742" i="8"/>
  <c r="T742" i="8"/>
  <c r="S742" i="8"/>
  <c r="R742" i="8"/>
  <c r="Q742" i="8"/>
  <c r="P742" i="8"/>
  <c r="O742" i="8"/>
  <c r="N742" i="8"/>
  <c r="M742" i="8"/>
  <c r="L742" i="8"/>
  <c r="K742" i="8"/>
  <c r="J742" i="8"/>
  <c r="I742" i="8"/>
  <c r="H742" i="8"/>
  <c r="G742" i="8"/>
  <c r="F742" i="8"/>
  <c r="E742" i="8"/>
  <c r="D742" i="8"/>
  <c r="C742" i="8"/>
  <c r="B742" i="8"/>
  <c r="A742" i="8"/>
  <c r="W741" i="8"/>
  <c r="V741" i="8"/>
  <c r="U741" i="8"/>
  <c r="T741" i="8"/>
  <c r="S741" i="8"/>
  <c r="R741" i="8"/>
  <c r="Q741" i="8"/>
  <c r="P741" i="8"/>
  <c r="O741" i="8"/>
  <c r="N741" i="8"/>
  <c r="M741" i="8"/>
  <c r="L741" i="8"/>
  <c r="K741" i="8"/>
  <c r="J741" i="8"/>
  <c r="I741" i="8"/>
  <c r="H741" i="8"/>
  <c r="G741" i="8"/>
  <c r="F741" i="8"/>
  <c r="E741" i="8"/>
  <c r="D741" i="8"/>
  <c r="C741" i="8"/>
  <c r="B741" i="8"/>
  <c r="A741" i="8"/>
  <c r="W740" i="8"/>
  <c r="V740" i="8"/>
  <c r="U740" i="8"/>
  <c r="T740" i="8"/>
  <c r="S740" i="8"/>
  <c r="R740" i="8"/>
  <c r="Q740" i="8"/>
  <c r="P740" i="8"/>
  <c r="O740" i="8"/>
  <c r="N740" i="8"/>
  <c r="M740" i="8"/>
  <c r="L740" i="8"/>
  <c r="K740" i="8"/>
  <c r="J740" i="8"/>
  <c r="I740" i="8"/>
  <c r="H740" i="8"/>
  <c r="G740" i="8"/>
  <c r="F740" i="8"/>
  <c r="E740" i="8"/>
  <c r="D740" i="8"/>
  <c r="C740" i="8"/>
  <c r="B740" i="8"/>
  <c r="A740" i="8"/>
  <c r="W739" i="8"/>
  <c r="V739" i="8"/>
  <c r="U739" i="8"/>
  <c r="T739" i="8"/>
  <c r="S739" i="8"/>
  <c r="R739" i="8"/>
  <c r="Q739" i="8"/>
  <c r="P739" i="8"/>
  <c r="O739" i="8"/>
  <c r="N739" i="8"/>
  <c r="M739" i="8"/>
  <c r="L739" i="8"/>
  <c r="K739" i="8"/>
  <c r="J739" i="8"/>
  <c r="I739" i="8"/>
  <c r="H739" i="8"/>
  <c r="G739" i="8"/>
  <c r="F739" i="8"/>
  <c r="E739" i="8"/>
  <c r="D739" i="8"/>
  <c r="C739" i="8"/>
  <c r="B739" i="8"/>
  <c r="A739" i="8"/>
  <c r="W738" i="8"/>
  <c r="V738" i="8"/>
  <c r="U738" i="8"/>
  <c r="T738" i="8"/>
  <c r="S738" i="8"/>
  <c r="R738" i="8"/>
  <c r="Q738" i="8"/>
  <c r="P738" i="8"/>
  <c r="O738" i="8"/>
  <c r="N738" i="8"/>
  <c r="M738" i="8"/>
  <c r="L738" i="8"/>
  <c r="K738" i="8"/>
  <c r="J738" i="8"/>
  <c r="I738" i="8"/>
  <c r="H738" i="8"/>
  <c r="G738" i="8"/>
  <c r="F738" i="8"/>
  <c r="E738" i="8"/>
  <c r="D738" i="8"/>
  <c r="C738" i="8"/>
  <c r="B738" i="8"/>
  <c r="A738" i="8"/>
  <c r="W737" i="8"/>
  <c r="V737" i="8"/>
  <c r="U737" i="8"/>
  <c r="T737" i="8"/>
  <c r="S737" i="8"/>
  <c r="R737" i="8"/>
  <c r="Q737" i="8"/>
  <c r="P737" i="8"/>
  <c r="O737" i="8"/>
  <c r="N737" i="8"/>
  <c r="M737" i="8"/>
  <c r="L737" i="8"/>
  <c r="K737" i="8"/>
  <c r="J737" i="8"/>
  <c r="I737" i="8"/>
  <c r="H737" i="8"/>
  <c r="G737" i="8"/>
  <c r="F737" i="8"/>
  <c r="E737" i="8"/>
  <c r="D737" i="8"/>
  <c r="C737" i="8"/>
  <c r="B737" i="8"/>
  <c r="A737" i="8"/>
  <c r="W736" i="8"/>
  <c r="V736" i="8"/>
  <c r="U736" i="8"/>
  <c r="T736" i="8"/>
  <c r="S736" i="8"/>
  <c r="R736" i="8"/>
  <c r="Q736" i="8"/>
  <c r="P736" i="8"/>
  <c r="O736" i="8"/>
  <c r="N736" i="8"/>
  <c r="M736" i="8"/>
  <c r="L736" i="8"/>
  <c r="K736" i="8"/>
  <c r="J736" i="8"/>
  <c r="I736" i="8"/>
  <c r="H736" i="8"/>
  <c r="G736" i="8"/>
  <c r="F736" i="8"/>
  <c r="E736" i="8"/>
  <c r="D736" i="8"/>
  <c r="C736" i="8"/>
  <c r="B736" i="8"/>
  <c r="A736" i="8"/>
  <c r="W735" i="8"/>
  <c r="V735" i="8"/>
  <c r="U735" i="8"/>
  <c r="T735" i="8"/>
  <c r="S735" i="8"/>
  <c r="R735" i="8"/>
  <c r="Q735" i="8"/>
  <c r="P735" i="8"/>
  <c r="O735" i="8"/>
  <c r="N735" i="8"/>
  <c r="M735" i="8"/>
  <c r="L735" i="8"/>
  <c r="K735" i="8"/>
  <c r="J735" i="8"/>
  <c r="I735" i="8"/>
  <c r="H735" i="8"/>
  <c r="G735" i="8"/>
  <c r="F735" i="8"/>
  <c r="E735" i="8"/>
  <c r="D735" i="8"/>
  <c r="C735" i="8"/>
  <c r="B735" i="8"/>
  <c r="A735" i="8"/>
  <c r="W734" i="8"/>
  <c r="V734" i="8"/>
  <c r="U734" i="8"/>
  <c r="T734" i="8"/>
  <c r="S734" i="8"/>
  <c r="R734" i="8"/>
  <c r="Q734" i="8"/>
  <c r="P734" i="8"/>
  <c r="O734" i="8"/>
  <c r="N734" i="8"/>
  <c r="M734" i="8"/>
  <c r="L734" i="8"/>
  <c r="K734" i="8"/>
  <c r="J734" i="8"/>
  <c r="I734" i="8"/>
  <c r="H734" i="8"/>
  <c r="G734" i="8"/>
  <c r="F734" i="8"/>
  <c r="E734" i="8"/>
  <c r="D734" i="8"/>
  <c r="C734" i="8"/>
  <c r="B734" i="8"/>
  <c r="A734" i="8"/>
  <c r="W733" i="8"/>
  <c r="V733" i="8"/>
  <c r="U733" i="8"/>
  <c r="T733" i="8"/>
  <c r="S733" i="8"/>
  <c r="R733" i="8"/>
  <c r="Q733" i="8"/>
  <c r="P733" i="8"/>
  <c r="O733" i="8"/>
  <c r="N733" i="8"/>
  <c r="M733" i="8"/>
  <c r="L733" i="8"/>
  <c r="K733" i="8"/>
  <c r="J733" i="8"/>
  <c r="I733" i="8"/>
  <c r="H733" i="8"/>
  <c r="G733" i="8"/>
  <c r="F733" i="8"/>
  <c r="E733" i="8"/>
  <c r="D733" i="8"/>
  <c r="C733" i="8"/>
  <c r="B733" i="8"/>
  <c r="A733" i="8"/>
  <c r="W732" i="8"/>
  <c r="V732" i="8"/>
  <c r="U732" i="8"/>
  <c r="T732" i="8"/>
  <c r="S732" i="8"/>
  <c r="R732" i="8"/>
  <c r="Q732" i="8"/>
  <c r="P732" i="8"/>
  <c r="O732" i="8"/>
  <c r="N732" i="8"/>
  <c r="M732" i="8"/>
  <c r="L732" i="8"/>
  <c r="K732" i="8"/>
  <c r="J732" i="8"/>
  <c r="I732" i="8"/>
  <c r="H732" i="8"/>
  <c r="G732" i="8"/>
  <c r="F732" i="8"/>
  <c r="E732" i="8"/>
  <c r="D732" i="8"/>
  <c r="C732" i="8"/>
  <c r="B732" i="8"/>
  <c r="A732" i="8"/>
  <c r="W731" i="8"/>
  <c r="V731" i="8"/>
  <c r="U731" i="8"/>
  <c r="T731" i="8"/>
  <c r="S731" i="8"/>
  <c r="R731" i="8"/>
  <c r="Q731" i="8"/>
  <c r="P731" i="8"/>
  <c r="O731" i="8"/>
  <c r="N731" i="8"/>
  <c r="M731" i="8"/>
  <c r="L731" i="8"/>
  <c r="K731" i="8"/>
  <c r="J731" i="8"/>
  <c r="I731" i="8"/>
  <c r="H731" i="8"/>
  <c r="G731" i="8"/>
  <c r="F731" i="8"/>
  <c r="E731" i="8"/>
  <c r="D731" i="8"/>
  <c r="C731" i="8"/>
  <c r="B731" i="8"/>
  <c r="A731" i="8"/>
  <c r="W730" i="8"/>
  <c r="V730" i="8"/>
  <c r="U730" i="8"/>
  <c r="T730" i="8"/>
  <c r="S730" i="8"/>
  <c r="R730" i="8"/>
  <c r="Q730" i="8"/>
  <c r="P730" i="8"/>
  <c r="O730" i="8"/>
  <c r="N730" i="8"/>
  <c r="M730" i="8"/>
  <c r="L730" i="8"/>
  <c r="K730" i="8"/>
  <c r="J730" i="8"/>
  <c r="I730" i="8"/>
  <c r="H730" i="8"/>
  <c r="G730" i="8"/>
  <c r="F730" i="8"/>
  <c r="E730" i="8"/>
  <c r="D730" i="8"/>
  <c r="C730" i="8"/>
  <c r="B730" i="8"/>
  <c r="A730" i="8"/>
  <c r="W729" i="8"/>
  <c r="V729" i="8"/>
  <c r="U729" i="8"/>
  <c r="T729" i="8"/>
  <c r="S729" i="8"/>
  <c r="R729" i="8"/>
  <c r="Q729" i="8"/>
  <c r="P729" i="8"/>
  <c r="O729" i="8"/>
  <c r="N729" i="8"/>
  <c r="M729" i="8"/>
  <c r="L729" i="8"/>
  <c r="K729" i="8"/>
  <c r="J729" i="8"/>
  <c r="I729" i="8"/>
  <c r="H729" i="8"/>
  <c r="G729" i="8"/>
  <c r="F729" i="8"/>
  <c r="E729" i="8"/>
  <c r="D729" i="8"/>
  <c r="C729" i="8"/>
  <c r="B729" i="8"/>
  <c r="A729" i="8"/>
  <c r="W728" i="8"/>
  <c r="V728" i="8"/>
  <c r="U728" i="8"/>
  <c r="T728" i="8"/>
  <c r="S728" i="8"/>
  <c r="R728" i="8"/>
  <c r="Q728" i="8"/>
  <c r="P728" i="8"/>
  <c r="O728" i="8"/>
  <c r="N728" i="8"/>
  <c r="M728" i="8"/>
  <c r="L728" i="8"/>
  <c r="K728" i="8"/>
  <c r="J728" i="8"/>
  <c r="I728" i="8"/>
  <c r="H728" i="8"/>
  <c r="G728" i="8"/>
  <c r="F728" i="8"/>
  <c r="E728" i="8"/>
  <c r="D728" i="8"/>
  <c r="C728" i="8"/>
  <c r="B728" i="8"/>
  <c r="A728" i="8"/>
  <c r="W727" i="8"/>
  <c r="V727" i="8"/>
  <c r="U727" i="8"/>
  <c r="T727" i="8"/>
  <c r="S727" i="8"/>
  <c r="R727" i="8"/>
  <c r="Q727" i="8"/>
  <c r="P727" i="8"/>
  <c r="O727" i="8"/>
  <c r="N727" i="8"/>
  <c r="M727" i="8"/>
  <c r="L727" i="8"/>
  <c r="K727" i="8"/>
  <c r="J727" i="8"/>
  <c r="I727" i="8"/>
  <c r="H727" i="8"/>
  <c r="G727" i="8"/>
  <c r="F727" i="8"/>
  <c r="E727" i="8"/>
  <c r="D727" i="8"/>
  <c r="C727" i="8"/>
  <c r="B727" i="8"/>
  <c r="A727" i="8"/>
  <c r="W726" i="8"/>
  <c r="V726" i="8"/>
  <c r="U726" i="8"/>
  <c r="T726" i="8"/>
  <c r="S726" i="8"/>
  <c r="R726" i="8"/>
  <c r="Q726" i="8"/>
  <c r="P726" i="8"/>
  <c r="O726" i="8"/>
  <c r="N726" i="8"/>
  <c r="M726" i="8"/>
  <c r="L726" i="8"/>
  <c r="K726" i="8"/>
  <c r="J726" i="8"/>
  <c r="I726" i="8"/>
  <c r="H726" i="8"/>
  <c r="G726" i="8"/>
  <c r="F726" i="8"/>
  <c r="E726" i="8"/>
  <c r="D726" i="8"/>
  <c r="C726" i="8"/>
  <c r="B726" i="8"/>
  <c r="A726" i="8"/>
  <c r="W725" i="8"/>
  <c r="V725" i="8"/>
  <c r="U725" i="8"/>
  <c r="T725" i="8"/>
  <c r="S725" i="8"/>
  <c r="R725" i="8"/>
  <c r="Q725" i="8"/>
  <c r="P725" i="8"/>
  <c r="O725" i="8"/>
  <c r="N725" i="8"/>
  <c r="M725" i="8"/>
  <c r="L725" i="8"/>
  <c r="K725" i="8"/>
  <c r="J725" i="8"/>
  <c r="I725" i="8"/>
  <c r="H725" i="8"/>
  <c r="G725" i="8"/>
  <c r="F725" i="8"/>
  <c r="E725" i="8"/>
  <c r="D725" i="8"/>
  <c r="C725" i="8"/>
  <c r="B725" i="8"/>
  <c r="A725" i="8"/>
  <c r="W724" i="8"/>
  <c r="V724" i="8"/>
  <c r="U724" i="8"/>
  <c r="T724" i="8"/>
  <c r="S724" i="8"/>
  <c r="R724" i="8"/>
  <c r="Q724" i="8"/>
  <c r="P724" i="8"/>
  <c r="O724" i="8"/>
  <c r="N724" i="8"/>
  <c r="M724" i="8"/>
  <c r="L724" i="8"/>
  <c r="K724" i="8"/>
  <c r="J724" i="8"/>
  <c r="I724" i="8"/>
  <c r="H724" i="8"/>
  <c r="G724" i="8"/>
  <c r="F724" i="8"/>
  <c r="E724" i="8"/>
  <c r="D724" i="8"/>
  <c r="C724" i="8"/>
  <c r="B724" i="8"/>
  <c r="A724" i="8"/>
  <c r="W723" i="8"/>
  <c r="V723" i="8"/>
  <c r="U723" i="8"/>
  <c r="T723" i="8"/>
  <c r="S723" i="8"/>
  <c r="R723" i="8"/>
  <c r="Q723" i="8"/>
  <c r="P723" i="8"/>
  <c r="O723" i="8"/>
  <c r="N723" i="8"/>
  <c r="M723" i="8"/>
  <c r="L723" i="8"/>
  <c r="K723" i="8"/>
  <c r="J723" i="8"/>
  <c r="I723" i="8"/>
  <c r="H723" i="8"/>
  <c r="G723" i="8"/>
  <c r="F723" i="8"/>
  <c r="E723" i="8"/>
  <c r="D723" i="8"/>
  <c r="C723" i="8"/>
  <c r="B723" i="8"/>
  <c r="A723" i="8"/>
  <c r="W722" i="8"/>
  <c r="V722" i="8"/>
  <c r="U722" i="8"/>
  <c r="T722" i="8"/>
  <c r="S722" i="8"/>
  <c r="R722" i="8"/>
  <c r="Q722" i="8"/>
  <c r="P722" i="8"/>
  <c r="O722" i="8"/>
  <c r="N722" i="8"/>
  <c r="M722" i="8"/>
  <c r="L722" i="8"/>
  <c r="K722" i="8"/>
  <c r="J722" i="8"/>
  <c r="I722" i="8"/>
  <c r="H722" i="8"/>
  <c r="G722" i="8"/>
  <c r="F722" i="8"/>
  <c r="E722" i="8"/>
  <c r="D722" i="8"/>
  <c r="C722" i="8"/>
  <c r="B722" i="8"/>
  <c r="A722" i="8"/>
  <c r="W721" i="8"/>
  <c r="V721" i="8"/>
  <c r="U721" i="8"/>
  <c r="T721" i="8"/>
  <c r="S721" i="8"/>
  <c r="R721" i="8"/>
  <c r="Q721" i="8"/>
  <c r="P721" i="8"/>
  <c r="O721" i="8"/>
  <c r="N721" i="8"/>
  <c r="M721" i="8"/>
  <c r="L721" i="8"/>
  <c r="K721" i="8"/>
  <c r="J721" i="8"/>
  <c r="I721" i="8"/>
  <c r="H721" i="8"/>
  <c r="G721" i="8"/>
  <c r="F721" i="8"/>
  <c r="E721" i="8"/>
  <c r="D721" i="8"/>
  <c r="C721" i="8"/>
  <c r="B721" i="8"/>
  <c r="A721" i="8"/>
  <c r="W720" i="8"/>
  <c r="V720" i="8"/>
  <c r="U720" i="8"/>
  <c r="T720" i="8"/>
  <c r="S720" i="8"/>
  <c r="R720" i="8"/>
  <c r="Q720" i="8"/>
  <c r="P720" i="8"/>
  <c r="O720" i="8"/>
  <c r="N720" i="8"/>
  <c r="M720" i="8"/>
  <c r="L720" i="8"/>
  <c r="K720" i="8"/>
  <c r="J720" i="8"/>
  <c r="I720" i="8"/>
  <c r="H720" i="8"/>
  <c r="G720" i="8"/>
  <c r="F720" i="8"/>
  <c r="E720" i="8"/>
  <c r="D720" i="8"/>
  <c r="C720" i="8"/>
  <c r="B720" i="8"/>
  <c r="A720" i="8"/>
  <c r="W719" i="8"/>
  <c r="V719" i="8"/>
  <c r="U719" i="8"/>
  <c r="T719" i="8"/>
  <c r="S719" i="8"/>
  <c r="R719" i="8"/>
  <c r="Q719" i="8"/>
  <c r="P719" i="8"/>
  <c r="O719" i="8"/>
  <c r="N719" i="8"/>
  <c r="M719" i="8"/>
  <c r="L719" i="8"/>
  <c r="K719" i="8"/>
  <c r="J719" i="8"/>
  <c r="I719" i="8"/>
  <c r="H719" i="8"/>
  <c r="G719" i="8"/>
  <c r="F719" i="8"/>
  <c r="E719" i="8"/>
  <c r="D719" i="8"/>
  <c r="C719" i="8"/>
  <c r="B719" i="8"/>
  <c r="A719" i="8"/>
  <c r="W718" i="8"/>
  <c r="V718" i="8"/>
  <c r="U718" i="8"/>
  <c r="T718" i="8"/>
  <c r="S718" i="8"/>
  <c r="R718" i="8"/>
  <c r="Q718" i="8"/>
  <c r="P718" i="8"/>
  <c r="O718" i="8"/>
  <c r="N718" i="8"/>
  <c r="M718" i="8"/>
  <c r="L718" i="8"/>
  <c r="K718" i="8"/>
  <c r="J718" i="8"/>
  <c r="I718" i="8"/>
  <c r="H718" i="8"/>
  <c r="G718" i="8"/>
  <c r="F718" i="8"/>
  <c r="E718" i="8"/>
  <c r="D718" i="8"/>
  <c r="C718" i="8"/>
  <c r="B718" i="8"/>
  <c r="A718" i="8"/>
  <c r="W717" i="8"/>
  <c r="V717" i="8"/>
  <c r="U717" i="8"/>
  <c r="T717" i="8"/>
  <c r="S717" i="8"/>
  <c r="R717" i="8"/>
  <c r="Q717" i="8"/>
  <c r="P717" i="8"/>
  <c r="O717" i="8"/>
  <c r="N717" i="8"/>
  <c r="M717" i="8"/>
  <c r="L717" i="8"/>
  <c r="K717" i="8"/>
  <c r="J717" i="8"/>
  <c r="I717" i="8"/>
  <c r="H717" i="8"/>
  <c r="G717" i="8"/>
  <c r="F717" i="8"/>
  <c r="E717" i="8"/>
  <c r="D717" i="8"/>
  <c r="C717" i="8"/>
  <c r="B717" i="8"/>
  <c r="A717" i="8"/>
  <c r="W716" i="8"/>
  <c r="V716" i="8"/>
  <c r="U716" i="8"/>
  <c r="T716" i="8"/>
  <c r="S716" i="8"/>
  <c r="R716" i="8"/>
  <c r="Q716" i="8"/>
  <c r="P716" i="8"/>
  <c r="O716" i="8"/>
  <c r="N716" i="8"/>
  <c r="M716" i="8"/>
  <c r="L716" i="8"/>
  <c r="K716" i="8"/>
  <c r="J716" i="8"/>
  <c r="I716" i="8"/>
  <c r="H716" i="8"/>
  <c r="G716" i="8"/>
  <c r="F716" i="8"/>
  <c r="E716" i="8"/>
  <c r="D716" i="8"/>
  <c r="C716" i="8"/>
  <c r="B716" i="8"/>
  <c r="A716" i="8"/>
  <c r="W715" i="8"/>
  <c r="V715" i="8"/>
  <c r="U715" i="8"/>
  <c r="T715" i="8"/>
  <c r="S715" i="8"/>
  <c r="R715" i="8"/>
  <c r="Q715" i="8"/>
  <c r="P715" i="8"/>
  <c r="O715" i="8"/>
  <c r="N715" i="8"/>
  <c r="M715" i="8"/>
  <c r="L715" i="8"/>
  <c r="K715" i="8"/>
  <c r="J715" i="8"/>
  <c r="I715" i="8"/>
  <c r="H715" i="8"/>
  <c r="G715" i="8"/>
  <c r="F715" i="8"/>
  <c r="E715" i="8"/>
  <c r="D715" i="8"/>
  <c r="C715" i="8"/>
  <c r="B715" i="8"/>
  <c r="A715" i="8"/>
  <c r="W714" i="8"/>
  <c r="V714" i="8"/>
  <c r="U714" i="8"/>
  <c r="T714" i="8"/>
  <c r="S714" i="8"/>
  <c r="R714" i="8"/>
  <c r="Q714" i="8"/>
  <c r="P714" i="8"/>
  <c r="O714" i="8"/>
  <c r="N714" i="8"/>
  <c r="M714" i="8"/>
  <c r="L714" i="8"/>
  <c r="K714" i="8"/>
  <c r="J714" i="8"/>
  <c r="I714" i="8"/>
  <c r="H714" i="8"/>
  <c r="G714" i="8"/>
  <c r="F714" i="8"/>
  <c r="E714" i="8"/>
  <c r="D714" i="8"/>
  <c r="C714" i="8"/>
  <c r="B714" i="8"/>
  <c r="A714" i="8"/>
  <c r="W713" i="8"/>
  <c r="V713" i="8"/>
  <c r="U713" i="8"/>
  <c r="T713" i="8"/>
  <c r="S713" i="8"/>
  <c r="R713" i="8"/>
  <c r="Q713" i="8"/>
  <c r="P713" i="8"/>
  <c r="O713" i="8"/>
  <c r="N713" i="8"/>
  <c r="M713" i="8"/>
  <c r="L713" i="8"/>
  <c r="K713" i="8"/>
  <c r="J713" i="8"/>
  <c r="I713" i="8"/>
  <c r="H713" i="8"/>
  <c r="G713" i="8"/>
  <c r="F713" i="8"/>
  <c r="E713" i="8"/>
  <c r="D713" i="8"/>
  <c r="C713" i="8"/>
  <c r="B713" i="8"/>
  <c r="A713" i="8"/>
  <c r="W712" i="8"/>
  <c r="V712" i="8"/>
  <c r="U712" i="8"/>
  <c r="T712" i="8"/>
  <c r="S712" i="8"/>
  <c r="R712" i="8"/>
  <c r="Q712" i="8"/>
  <c r="P712" i="8"/>
  <c r="O712" i="8"/>
  <c r="N712" i="8"/>
  <c r="M712" i="8"/>
  <c r="L712" i="8"/>
  <c r="K712" i="8"/>
  <c r="J712" i="8"/>
  <c r="I712" i="8"/>
  <c r="H712" i="8"/>
  <c r="G712" i="8"/>
  <c r="F712" i="8"/>
  <c r="E712" i="8"/>
  <c r="D712" i="8"/>
  <c r="C712" i="8"/>
  <c r="B712" i="8"/>
  <c r="A712" i="8"/>
  <c r="W711" i="8"/>
  <c r="V711" i="8"/>
  <c r="U711" i="8"/>
  <c r="T711" i="8"/>
  <c r="S711" i="8"/>
  <c r="R711" i="8"/>
  <c r="Q711" i="8"/>
  <c r="P711" i="8"/>
  <c r="O711" i="8"/>
  <c r="N711" i="8"/>
  <c r="M711" i="8"/>
  <c r="L711" i="8"/>
  <c r="K711" i="8"/>
  <c r="J711" i="8"/>
  <c r="I711" i="8"/>
  <c r="H711" i="8"/>
  <c r="G711" i="8"/>
  <c r="F711" i="8"/>
  <c r="E711" i="8"/>
  <c r="D711" i="8"/>
  <c r="C711" i="8"/>
  <c r="B711" i="8"/>
  <c r="A711" i="8"/>
  <c r="W710" i="8"/>
  <c r="V710" i="8"/>
  <c r="U710" i="8"/>
  <c r="T710" i="8"/>
  <c r="S710" i="8"/>
  <c r="R710" i="8"/>
  <c r="Q710" i="8"/>
  <c r="P710" i="8"/>
  <c r="O710" i="8"/>
  <c r="N710" i="8"/>
  <c r="M710" i="8"/>
  <c r="L710" i="8"/>
  <c r="K710" i="8"/>
  <c r="J710" i="8"/>
  <c r="I710" i="8"/>
  <c r="H710" i="8"/>
  <c r="G710" i="8"/>
  <c r="F710" i="8"/>
  <c r="E710" i="8"/>
  <c r="D710" i="8"/>
  <c r="C710" i="8"/>
  <c r="B710" i="8"/>
  <c r="A710" i="8"/>
  <c r="W709" i="8"/>
  <c r="V709" i="8"/>
  <c r="U709" i="8"/>
  <c r="T709" i="8"/>
  <c r="S709" i="8"/>
  <c r="R709" i="8"/>
  <c r="Q709" i="8"/>
  <c r="P709" i="8"/>
  <c r="O709" i="8"/>
  <c r="N709" i="8"/>
  <c r="M709" i="8"/>
  <c r="L709" i="8"/>
  <c r="K709" i="8"/>
  <c r="J709" i="8"/>
  <c r="I709" i="8"/>
  <c r="H709" i="8"/>
  <c r="G709" i="8"/>
  <c r="F709" i="8"/>
  <c r="E709" i="8"/>
  <c r="D709" i="8"/>
  <c r="C709" i="8"/>
  <c r="B709" i="8"/>
  <c r="A709" i="8"/>
  <c r="W708" i="8"/>
  <c r="V708" i="8"/>
  <c r="U708" i="8"/>
  <c r="T708" i="8"/>
  <c r="S708" i="8"/>
  <c r="R708" i="8"/>
  <c r="Q708" i="8"/>
  <c r="P708" i="8"/>
  <c r="O708" i="8"/>
  <c r="N708" i="8"/>
  <c r="M708" i="8"/>
  <c r="L708" i="8"/>
  <c r="K708" i="8"/>
  <c r="J708" i="8"/>
  <c r="I708" i="8"/>
  <c r="H708" i="8"/>
  <c r="G708" i="8"/>
  <c r="F708" i="8"/>
  <c r="E708" i="8"/>
  <c r="D708" i="8"/>
  <c r="C708" i="8"/>
  <c r="B708" i="8"/>
  <c r="A708" i="8"/>
  <c r="W707" i="8"/>
  <c r="V707" i="8"/>
  <c r="U707" i="8"/>
  <c r="T707" i="8"/>
  <c r="S707" i="8"/>
  <c r="R707" i="8"/>
  <c r="Q707" i="8"/>
  <c r="P707" i="8"/>
  <c r="O707" i="8"/>
  <c r="N707" i="8"/>
  <c r="M707" i="8"/>
  <c r="L707" i="8"/>
  <c r="K707" i="8"/>
  <c r="J707" i="8"/>
  <c r="I707" i="8"/>
  <c r="H707" i="8"/>
  <c r="G707" i="8"/>
  <c r="F707" i="8"/>
  <c r="E707" i="8"/>
  <c r="D707" i="8"/>
  <c r="C707" i="8"/>
  <c r="B707" i="8"/>
  <c r="A707" i="8"/>
  <c r="W706" i="8"/>
  <c r="V706" i="8"/>
  <c r="U706" i="8"/>
  <c r="T706" i="8"/>
  <c r="S706" i="8"/>
  <c r="R706" i="8"/>
  <c r="Q706" i="8"/>
  <c r="P706" i="8"/>
  <c r="O706" i="8"/>
  <c r="N706" i="8"/>
  <c r="M706" i="8"/>
  <c r="L706" i="8"/>
  <c r="K706" i="8"/>
  <c r="J706" i="8"/>
  <c r="I706" i="8"/>
  <c r="H706" i="8"/>
  <c r="G706" i="8"/>
  <c r="F706" i="8"/>
  <c r="E706" i="8"/>
  <c r="D706" i="8"/>
  <c r="C706" i="8"/>
  <c r="B706" i="8"/>
  <c r="A706" i="8"/>
  <c r="W705" i="8"/>
  <c r="V705" i="8"/>
  <c r="U705" i="8"/>
  <c r="T705" i="8"/>
  <c r="S705" i="8"/>
  <c r="R705" i="8"/>
  <c r="Q705" i="8"/>
  <c r="P705" i="8"/>
  <c r="O705" i="8"/>
  <c r="N705" i="8"/>
  <c r="M705" i="8"/>
  <c r="L705" i="8"/>
  <c r="K705" i="8"/>
  <c r="J705" i="8"/>
  <c r="I705" i="8"/>
  <c r="H705" i="8"/>
  <c r="G705" i="8"/>
  <c r="F705" i="8"/>
  <c r="E705" i="8"/>
  <c r="D705" i="8"/>
  <c r="C705" i="8"/>
  <c r="B705" i="8"/>
  <c r="A705" i="8"/>
  <c r="W704" i="8"/>
  <c r="V704" i="8"/>
  <c r="U704" i="8"/>
  <c r="T704" i="8"/>
  <c r="S704" i="8"/>
  <c r="R704" i="8"/>
  <c r="Q704" i="8"/>
  <c r="P704" i="8"/>
  <c r="O704" i="8"/>
  <c r="N704" i="8"/>
  <c r="M704" i="8"/>
  <c r="L704" i="8"/>
  <c r="K704" i="8"/>
  <c r="J704" i="8"/>
  <c r="I704" i="8"/>
  <c r="H704" i="8"/>
  <c r="G704" i="8"/>
  <c r="F704" i="8"/>
  <c r="E704" i="8"/>
  <c r="D704" i="8"/>
  <c r="C704" i="8"/>
  <c r="B704" i="8"/>
  <c r="A704" i="8"/>
  <c r="W703" i="8"/>
  <c r="V703" i="8"/>
  <c r="U703" i="8"/>
  <c r="T703" i="8"/>
  <c r="S703" i="8"/>
  <c r="R703" i="8"/>
  <c r="Q703" i="8"/>
  <c r="P703" i="8"/>
  <c r="O703" i="8"/>
  <c r="N703" i="8"/>
  <c r="M703" i="8"/>
  <c r="L703" i="8"/>
  <c r="K703" i="8"/>
  <c r="J703" i="8"/>
  <c r="I703" i="8"/>
  <c r="H703" i="8"/>
  <c r="G703" i="8"/>
  <c r="F703" i="8"/>
  <c r="E703" i="8"/>
  <c r="D703" i="8"/>
  <c r="C703" i="8"/>
  <c r="B703" i="8"/>
  <c r="A703" i="8"/>
  <c r="W702" i="8"/>
  <c r="V702" i="8"/>
  <c r="U702" i="8"/>
  <c r="T702" i="8"/>
  <c r="S702" i="8"/>
  <c r="R702" i="8"/>
  <c r="Q702" i="8"/>
  <c r="P702" i="8"/>
  <c r="O702" i="8"/>
  <c r="N702" i="8"/>
  <c r="M702" i="8"/>
  <c r="L702" i="8"/>
  <c r="K702" i="8"/>
  <c r="J702" i="8"/>
  <c r="I702" i="8"/>
  <c r="H702" i="8"/>
  <c r="G702" i="8"/>
  <c r="F702" i="8"/>
  <c r="E702" i="8"/>
  <c r="D702" i="8"/>
  <c r="C702" i="8"/>
  <c r="B702" i="8"/>
  <c r="A702" i="8"/>
  <c r="W701" i="8"/>
  <c r="V701" i="8"/>
  <c r="U701" i="8"/>
  <c r="T701" i="8"/>
  <c r="S701" i="8"/>
  <c r="R701" i="8"/>
  <c r="Q701" i="8"/>
  <c r="P701" i="8"/>
  <c r="O701" i="8"/>
  <c r="N701" i="8"/>
  <c r="M701" i="8"/>
  <c r="L701" i="8"/>
  <c r="K701" i="8"/>
  <c r="J701" i="8"/>
  <c r="I701" i="8"/>
  <c r="H701" i="8"/>
  <c r="G701" i="8"/>
  <c r="F701" i="8"/>
  <c r="E701" i="8"/>
  <c r="D701" i="8"/>
  <c r="C701" i="8"/>
  <c r="B701" i="8"/>
  <c r="A701" i="8"/>
  <c r="W700" i="8"/>
  <c r="V700" i="8"/>
  <c r="U700" i="8"/>
  <c r="T700" i="8"/>
  <c r="S700" i="8"/>
  <c r="R700" i="8"/>
  <c r="Q700" i="8"/>
  <c r="P700" i="8"/>
  <c r="O700" i="8"/>
  <c r="N700" i="8"/>
  <c r="M700" i="8"/>
  <c r="L700" i="8"/>
  <c r="K700" i="8"/>
  <c r="J700" i="8"/>
  <c r="I700" i="8"/>
  <c r="H700" i="8"/>
  <c r="G700" i="8"/>
  <c r="F700" i="8"/>
  <c r="E700" i="8"/>
  <c r="D700" i="8"/>
  <c r="C700" i="8"/>
  <c r="B700" i="8"/>
  <c r="A700" i="8"/>
  <c r="W699" i="8"/>
  <c r="V699" i="8"/>
  <c r="U699" i="8"/>
  <c r="T699" i="8"/>
  <c r="S699" i="8"/>
  <c r="R699" i="8"/>
  <c r="Q699" i="8"/>
  <c r="P699" i="8"/>
  <c r="O699" i="8"/>
  <c r="N699" i="8"/>
  <c r="M699" i="8"/>
  <c r="L699" i="8"/>
  <c r="K699" i="8"/>
  <c r="J699" i="8"/>
  <c r="I699" i="8"/>
  <c r="H699" i="8"/>
  <c r="G699" i="8"/>
  <c r="F699" i="8"/>
  <c r="E699" i="8"/>
  <c r="D699" i="8"/>
  <c r="C699" i="8"/>
  <c r="B699" i="8"/>
  <c r="A699" i="8"/>
  <c r="W698" i="8"/>
  <c r="V698" i="8"/>
  <c r="U698" i="8"/>
  <c r="T698" i="8"/>
  <c r="S698" i="8"/>
  <c r="R698" i="8"/>
  <c r="Q698" i="8"/>
  <c r="P698" i="8"/>
  <c r="O698" i="8"/>
  <c r="N698" i="8"/>
  <c r="M698" i="8"/>
  <c r="L698" i="8"/>
  <c r="K698" i="8"/>
  <c r="J698" i="8"/>
  <c r="I698" i="8"/>
  <c r="H698" i="8"/>
  <c r="G698" i="8"/>
  <c r="F698" i="8"/>
  <c r="E698" i="8"/>
  <c r="D698" i="8"/>
  <c r="C698" i="8"/>
  <c r="B698" i="8"/>
  <c r="A698" i="8"/>
  <c r="W697" i="8"/>
  <c r="V697" i="8"/>
  <c r="U697" i="8"/>
  <c r="T697" i="8"/>
  <c r="S697" i="8"/>
  <c r="R697" i="8"/>
  <c r="Q697" i="8"/>
  <c r="P697" i="8"/>
  <c r="O697" i="8"/>
  <c r="N697" i="8"/>
  <c r="M697" i="8"/>
  <c r="L697" i="8"/>
  <c r="K697" i="8"/>
  <c r="J697" i="8"/>
  <c r="I697" i="8"/>
  <c r="H697" i="8"/>
  <c r="G697" i="8"/>
  <c r="F697" i="8"/>
  <c r="E697" i="8"/>
  <c r="D697" i="8"/>
  <c r="C697" i="8"/>
  <c r="B697" i="8"/>
  <c r="A697" i="8"/>
  <c r="W696" i="8"/>
  <c r="V696" i="8"/>
  <c r="U696" i="8"/>
  <c r="T696" i="8"/>
  <c r="S696" i="8"/>
  <c r="R696" i="8"/>
  <c r="Q696" i="8"/>
  <c r="P696" i="8"/>
  <c r="O696" i="8"/>
  <c r="N696" i="8"/>
  <c r="M696" i="8"/>
  <c r="L696" i="8"/>
  <c r="K696" i="8"/>
  <c r="J696" i="8"/>
  <c r="I696" i="8"/>
  <c r="H696" i="8"/>
  <c r="G696" i="8"/>
  <c r="F696" i="8"/>
  <c r="E696" i="8"/>
  <c r="D696" i="8"/>
  <c r="C696" i="8"/>
  <c r="B696" i="8"/>
  <c r="A696" i="8"/>
  <c r="W695" i="8"/>
  <c r="V695" i="8"/>
  <c r="U695" i="8"/>
  <c r="T695" i="8"/>
  <c r="S695" i="8"/>
  <c r="R695" i="8"/>
  <c r="Q695" i="8"/>
  <c r="P695" i="8"/>
  <c r="O695" i="8"/>
  <c r="N695" i="8"/>
  <c r="M695" i="8"/>
  <c r="L695" i="8"/>
  <c r="K695" i="8"/>
  <c r="J695" i="8"/>
  <c r="I695" i="8"/>
  <c r="H695" i="8"/>
  <c r="G695" i="8"/>
  <c r="F695" i="8"/>
  <c r="E695" i="8"/>
  <c r="D695" i="8"/>
  <c r="C695" i="8"/>
  <c r="B695" i="8"/>
  <c r="A695" i="8"/>
  <c r="W694" i="8"/>
  <c r="V694" i="8"/>
  <c r="U694" i="8"/>
  <c r="T694" i="8"/>
  <c r="S694" i="8"/>
  <c r="R694" i="8"/>
  <c r="Q694" i="8"/>
  <c r="P694" i="8"/>
  <c r="O694" i="8"/>
  <c r="N694" i="8"/>
  <c r="M694" i="8"/>
  <c r="L694" i="8"/>
  <c r="K694" i="8"/>
  <c r="J694" i="8"/>
  <c r="I694" i="8"/>
  <c r="H694" i="8"/>
  <c r="G694" i="8"/>
  <c r="F694" i="8"/>
  <c r="E694" i="8"/>
  <c r="D694" i="8"/>
  <c r="C694" i="8"/>
  <c r="B694" i="8"/>
  <c r="A694" i="8"/>
  <c r="W693" i="8"/>
  <c r="V693" i="8"/>
  <c r="U693" i="8"/>
  <c r="T693" i="8"/>
  <c r="S693" i="8"/>
  <c r="R693" i="8"/>
  <c r="Q693" i="8"/>
  <c r="P693" i="8"/>
  <c r="O693" i="8"/>
  <c r="N693" i="8"/>
  <c r="M693" i="8"/>
  <c r="L693" i="8"/>
  <c r="K693" i="8"/>
  <c r="J693" i="8"/>
  <c r="I693" i="8"/>
  <c r="H693" i="8"/>
  <c r="G693" i="8"/>
  <c r="F693" i="8"/>
  <c r="E693" i="8"/>
  <c r="D693" i="8"/>
  <c r="C693" i="8"/>
  <c r="B693" i="8"/>
  <c r="A693" i="8"/>
  <c r="W692" i="8"/>
  <c r="V692" i="8"/>
  <c r="U692" i="8"/>
  <c r="T692" i="8"/>
  <c r="S692" i="8"/>
  <c r="R692" i="8"/>
  <c r="Q692" i="8"/>
  <c r="P692" i="8"/>
  <c r="O692" i="8"/>
  <c r="N692" i="8"/>
  <c r="M692" i="8"/>
  <c r="L692" i="8"/>
  <c r="K692" i="8"/>
  <c r="J692" i="8"/>
  <c r="I692" i="8"/>
  <c r="H692" i="8"/>
  <c r="G692" i="8"/>
  <c r="F692" i="8"/>
  <c r="E692" i="8"/>
  <c r="D692" i="8"/>
  <c r="C692" i="8"/>
  <c r="B692" i="8"/>
  <c r="A692" i="8"/>
  <c r="W691" i="8"/>
  <c r="V691" i="8"/>
  <c r="U691" i="8"/>
  <c r="T691" i="8"/>
  <c r="S691" i="8"/>
  <c r="R691" i="8"/>
  <c r="Q691" i="8"/>
  <c r="P691" i="8"/>
  <c r="O691" i="8"/>
  <c r="N691" i="8"/>
  <c r="M691" i="8"/>
  <c r="L691" i="8"/>
  <c r="K691" i="8"/>
  <c r="J691" i="8"/>
  <c r="I691" i="8"/>
  <c r="H691" i="8"/>
  <c r="G691" i="8"/>
  <c r="F691" i="8"/>
  <c r="E691" i="8"/>
  <c r="D691" i="8"/>
  <c r="C691" i="8"/>
  <c r="B691" i="8"/>
  <c r="A691" i="8"/>
  <c r="W690" i="8"/>
  <c r="V690" i="8"/>
  <c r="U690" i="8"/>
  <c r="T690" i="8"/>
  <c r="S690" i="8"/>
  <c r="R690" i="8"/>
  <c r="Q690" i="8"/>
  <c r="P690" i="8"/>
  <c r="O690" i="8"/>
  <c r="N690" i="8"/>
  <c r="M690" i="8"/>
  <c r="L690" i="8"/>
  <c r="K690" i="8"/>
  <c r="J690" i="8"/>
  <c r="I690" i="8"/>
  <c r="H690" i="8"/>
  <c r="G690" i="8"/>
  <c r="F690" i="8"/>
  <c r="E690" i="8"/>
  <c r="D690" i="8"/>
  <c r="C690" i="8"/>
  <c r="B690" i="8"/>
  <c r="A690" i="8"/>
  <c r="W689" i="8"/>
  <c r="V689" i="8"/>
  <c r="U689" i="8"/>
  <c r="T689" i="8"/>
  <c r="S689" i="8"/>
  <c r="R689" i="8"/>
  <c r="Q689" i="8"/>
  <c r="P689" i="8"/>
  <c r="O689" i="8"/>
  <c r="N689" i="8"/>
  <c r="M689" i="8"/>
  <c r="L689" i="8"/>
  <c r="K689" i="8"/>
  <c r="J689" i="8"/>
  <c r="I689" i="8"/>
  <c r="H689" i="8"/>
  <c r="G689" i="8"/>
  <c r="F689" i="8"/>
  <c r="E689" i="8"/>
  <c r="D689" i="8"/>
  <c r="C689" i="8"/>
  <c r="B689" i="8"/>
  <c r="A689" i="8"/>
  <c r="W688" i="8"/>
  <c r="V688" i="8"/>
  <c r="U688" i="8"/>
  <c r="T688" i="8"/>
  <c r="S688" i="8"/>
  <c r="R688" i="8"/>
  <c r="Q688" i="8"/>
  <c r="P688" i="8"/>
  <c r="O688" i="8"/>
  <c r="N688" i="8"/>
  <c r="M688" i="8"/>
  <c r="L688" i="8"/>
  <c r="K688" i="8"/>
  <c r="J688" i="8"/>
  <c r="I688" i="8"/>
  <c r="H688" i="8"/>
  <c r="G688" i="8"/>
  <c r="F688" i="8"/>
  <c r="E688" i="8"/>
  <c r="D688" i="8"/>
  <c r="C688" i="8"/>
  <c r="B688" i="8"/>
  <c r="A688" i="8"/>
  <c r="W687" i="8"/>
  <c r="V687" i="8"/>
  <c r="U687" i="8"/>
  <c r="T687" i="8"/>
  <c r="S687" i="8"/>
  <c r="R687" i="8"/>
  <c r="Q687" i="8"/>
  <c r="P687" i="8"/>
  <c r="O687" i="8"/>
  <c r="N687" i="8"/>
  <c r="M687" i="8"/>
  <c r="L687" i="8"/>
  <c r="K687" i="8"/>
  <c r="J687" i="8"/>
  <c r="I687" i="8"/>
  <c r="H687" i="8"/>
  <c r="G687" i="8"/>
  <c r="F687" i="8"/>
  <c r="E687" i="8"/>
  <c r="D687" i="8"/>
  <c r="C687" i="8"/>
  <c r="B687" i="8"/>
  <c r="A687" i="8"/>
  <c r="W686" i="8"/>
  <c r="V686" i="8"/>
  <c r="U686" i="8"/>
  <c r="T686" i="8"/>
  <c r="S686" i="8"/>
  <c r="R686" i="8"/>
  <c r="Q686" i="8"/>
  <c r="P686" i="8"/>
  <c r="O686" i="8"/>
  <c r="N686" i="8"/>
  <c r="M686" i="8"/>
  <c r="L686" i="8"/>
  <c r="K686" i="8"/>
  <c r="J686" i="8"/>
  <c r="I686" i="8"/>
  <c r="H686" i="8"/>
  <c r="G686" i="8"/>
  <c r="F686" i="8"/>
  <c r="E686" i="8"/>
  <c r="D686" i="8"/>
  <c r="C686" i="8"/>
  <c r="B686" i="8"/>
  <c r="A686" i="8"/>
  <c r="W685" i="8"/>
  <c r="V685" i="8"/>
  <c r="U685" i="8"/>
  <c r="T685" i="8"/>
  <c r="S685" i="8"/>
  <c r="R685" i="8"/>
  <c r="Q685" i="8"/>
  <c r="P685" i="8"/>
  <c r="O685" i="8"/>
  <c r="N685" i="8"/>
  <c r="M685" i="8"/>
  <c r="L685" i="8"/>
  <c r="K685" i="8"/>
  <c r="J685" i="8"/>
  <c r="I685" i="8"/>
  <c r="H685" i="8"/>
  <c r="G685" i="8"/>
  <c r="F685" i="8"/>
  <c r="E685" i="8"/>
  <c r="D685" i="8"/>
  <c r="C685" i="8"/>
  <c r="B685" i="8"/>
  <c r="A685" i="8"/>
  <c r="W684" i="8"/>
  <c r="V684" i="8"/>
  <c r="U684" i="8"/>
  <c r="T684" i="8"/>
  <c r="S684" i="8"/>
  <c r="R684" i="8"/>
  <c r="Q684" i="8"/>
  <c r="P684" i="8"/>
  <c r="O684" i="8"/>
  <c r="N684" i="8"/>
  <c r="M684" i="8"/>
  <c r="L684" i="8"/>
  <c r="K684" i="8"/>
  <c r="J684" i="8"/>
  <c r="I684" i="8"/>
  <c r="H684" i="8"/>
  <c r="G684" i="8"/>
  <c r="F684" i="8"/>
  <c r="E684" i="8"/>
  <c r="D684" i="8"/>
  <c r="C684" i="8"/>
  <c r="B684" i="8"/>
  <c r="A684" i="8"/>
  <c r="W683" i="8"/>
  <c r="V683" i="8"/>
  <c r="U683" i="8"/>
  <c r="T683" i="8"/>
  <c r="S683" i="8"/>
  <c r="R683" i="8"/>
  <c r="Q683" i="8"/>
  <c r="P683" i="8"/>
  <c r="O683" i="8"/>
  <c r="N683" i="8"/>
  <c r="M683" i="8"/>
  <c r="L683" i="8"/>
  <c r="K683" i="8"/>
  <c r="J683" i="8"/>
  <c r="I683" i="8"/>
  <c r="H683" i="8"/>
  <c r="G683" i="8"/>
  <c r="F683" i="8"/>
  <c r="E683" i="8"/>
  <c r="D683" i="8"/>
  <c r="C683" i="8"/>
  <c r="B683" i="8"/>
  <c r="A683" i="8"/>
  <c r="W682" i="8"/>
  <c r="V682" i="8"/>
  <c r="U682" i="8"/>
  <c r="T682" i="8"/>
  <c r="S682" i="8"/>
  <c r="R682" i="8"/>
  <c r="Q682" i="8"/>
  <c r="P682" i="8"/>
  <c r="O682" i="8"/>
  <c r="N682" i="8"/>
  <c r="M682" i="8"/>
  <c r="L682" i="8"/>
  <c r="K682" i="8"/>
  <c r="J682" i="8"/>
  <c r="I682" i="8"/>
  <c r="H682" i="8"/>
  <c r="G682" i="8"/>
  <c r="F682" i="8"/>
  <c r="E682" i="8"/>
  <c r="D682" i="8"/>
  <c r="C682" i="8"/>
  <c r="B682" i="8"/>
  <c r="A682" i="8"/>
  <c r="W681" i="8"/>
  <c r="V681" i="8"/>
  <c r="U681" i="8"/>
  <c r="T681" i="8"/>
  <c r="S681" i="8"/>
  <c r="R681" i="8"/>
  <c r="Q681" i="8"/>
  <c r="P681" i="8"/>
  <c r="O681" i="8"/>
  <c r="N681" i="8"/>
  <c r="M681" i="8"/>
  <c r="L681" i="8"/>
  <c r="K681" i="8"/>
  <c r="J681" i="8"/>
  <c r="I681" i="8"/>
  <c r="H681" i="8"/>
  <c r="G681" i="8"/>
  <c r="F681" i="8"/>
  <c r="E681" i="8"/>
  <c r="D681" i="8"/>
  <c r="C681" i="8"/>
  <c r="B681" i="8"/>
  <c r="A681" i="8"/>
  <c r="W680" i="8"/>
  <c r="V680" i="8"/>
  <c r="U680" i="8"/>
  <c r="T680" i="8"/>
  <c r="S680" i="8"/>
  <c r="R680" i="8"/>
  <c r="Q680" i="8"/>
  <c r="P680" i="8"/>
  <c r="O680" i="8"/>
  <c r="N680" i="8"/>
  <c r="M680" i="8"/>
  <c r="L680" i="8"/>
  <c r="K680" i="8"/>
  <c r="J680" i="8"/>
  <c r="I680" i="8"/>
  <c r="H680" i="8"/>
  <c r="G680" i="8"/>
  <c r="F680" i="8"/>
  <c r="E680" i="8"/>
  <c r="D680" i="8"/>
  <c r="C680" i="8"/>
  <c r="B680" i="8"/>
  <c r="A680" i="8"/>
  <c r="W679" i="8"/>
  <c r="V679" i="8"/>
  <c r="U679" i="8"/>
  <c r="T679" i="8"/>
  <c r="S679" i="8"/>
  <c r="R679" i="8"/>
  <c r="Q679" i="8"/>
  <c r="P679" i="8"/>
  <c r="O679" i="8"/>
  <c r="N679" i="8"/>
  <c r="M679" i="8"/>
  <c r="L679" i="8"/>
  <c r="K679" i="8"/>
  <c r="J679" i="8"/>
  <c r="I679" i="8"/>
  <c r="H679" i="8"/>
  <c r="G679" i="8"/>
  <c r="F679" i="8"/>
  <c r="E679" i="8"/>
  <c r="D679" i="8"/>
  <c r="C679" i="8"/>
  <c r="B679" i="8"/>
  <c r="A679" i="8"/>
  <c r="W678" i="8"/>
  <c r="V678" i="8"/>
  <c r="U678" i="8"/>
  <c r="T678" i="8"/>
  <c r="S678" i="8"/>
  <c r="R678" i="8"/>
  <c r="Q678" i="8"/>
  <c r="P678" i="8"/>
  <c r="O678" i="8"/>
  <c r="N678" i="8"/>
  <c r="M678" i="8"/>
  <c r="L678" i="8"/>
  <c r="K678" i="8"/>
  <c r="J678" i="8"/>
  <c r="I678" i="8"/>
  <c r="H678" i="8"/>
  <c r="G678" i="8"/>
  <c r="F678" i="8"/>
  <c r="E678" i="8"/>
  <c r="D678" i="8"/>
  <c r="C678" i="8"/>
  <c r="B678" i="8"/>
  <c r="A678" i="8"/>
  <c r="W677" i="8"/>
  <c r="V677" i="8"/>
  <c r="U677" i="8"/>
  <c r="T677" i="8"/>
  <c r="S677" i="8"/>
  <c r="R677" i="8"/>
  <c r="Q677" i="8"/>
  <c r="P677" i="8"/>
  <c r="O677" i="8"/>
  <c r="N677" i="8"/>
  <c r="M677" i="8"/>
  <c r="L677" i="8"/>
  <c r="K677" i="8"/>
  <c r="J677" i="8"/>
  <c r="I677" i="8"/>
  <c r="H677" i="8"/>
  <c r="G677" i="8"/>
  <c r="F677" i="8"/>
  <c r="E677" i="8"/>
  <c r="D677" i="8"/>
  <c r="C677" i="8"/>
  <c r="B677" i="8"/>
  <c r="A677" i="8"/>
  <c r="W676" i="8"/>
  <c r="V676" i="8"/>
  <c r="U676" i="8"/>
  <c r="T676" i="8"/>
  <c r="S676" i="8"/>
  <c r="R676" i="8"/>
  <c r="Q676" i="8"/>
  <c r="P676" i="8"/>
  <c r="O676" i="8"/>
  <c r="N676" i="8"/>
  <c r="M676" i="8"/>
  <c r="L676" i="8"/>
  <c r="K676" i="8"/>
  <c r="J676" i="8"/>
  <c r="I676" i="8"/>
  <c r="H676" i="8"/>
  <c r="G676" i="8"/>
  <c r="F676" i="8"/>
  <c r="E676" i="8"/>
  <c r="D676" i="8"/>
  <c r="C676" i="8"/>
  <c r="B676" i="8"/>
  <c r="A676" i="8"/>
  <c r="W675" i="8"/>
  <c r="V675" i="8"/>
  <c r="U675" i="8"/>
  <c r="T675" i="8"/>
  <c r="S675" i="8"/>
  <c r="R675" i="8"/>
  <c r="Q675" i="8"/>
  <c r="P675" i="8"/>
  <c r="O675" i="8"/>
  <c r="N675" i="8"/>
  <c r="M675" i="8"/>
  <c r="L675" i="8"/>
  <c r="K675" i="8"/>
  <c r="J675" i="8"/>
  <c r="I675" i="8"/>
  <c r="H675" i="8"/>
  <c r="G675" i="8"/>
  <c r="F675" i="8"/>
  <c r="E675" i="8"/>
  <c r="D675" i="8"/>
  <c r="C675" i="8"/>
  <c r="B675" i="8"/>
  <c r="A675" i="8"/>
  <c r="W674" i="8"/>
  <c r="V674" i="8"/>
  <c r="U674" i="8"/>
  <c r="T674" i="8"/>
  <c r="S674" i="8"/>
  <c r="R674" i="8"/>
  <c r="Q674" i="8"/>
  <c r="P674" i="8"/>
  <c r="O674" i="8"/>
  <c r="N674" i="8"/>
  <c r="M674" i="8"/>
  <c r="L674" i="8"/>
  <c r="K674" i="8"/>
  <c r="J674" i="8"/>
  <c r="I674" i="8"/>
  <c r="H674" i="8"/>
  <c r="G674" i="8"/>
  <c r="F674" i="8"/>
  <c r="E674" i="8"/>
  <c r="D674" i="8"/>
  <c r="C674" i="8"/>
  <c r="B674" i="8"/>
  <c r="A674" i="8"/>
  <c r="W673" i="8"/>
  <c r="V673" i="8"/>
  <c r="U673" i="8"/>
  <c r="T673" i="8"/>
  <c r="S673" i="8"/>
  <c r="R673" i="8"/>
  <c r="Q673" i="8"/>
  <c r="P673" i="8"/>
  <c r="O673" i="8"/>
  <c r="N673" i="8"/>
  <c r="M673" i="8"/>
  <c r="L673" i="8"/>
  <c r="K673" i="8"/>
  <c r="J673" i="8"/>
  <c r="I673" i="8"/>
  <c r="H673" i="8"/>
  <c r="G673" i="8"/>
  <c r="F673" i="8"/>
  <c r="E673" i="8"/>
  <c r="D673" i="8"/>
  <c r="C673" i="8"/>
  <c r="B673" i="8"/>
  <c r="A673" i="8"/>
  <c r="W672" i="8"/>
  <c r="V672" i="8"/>
  <c r="U672" i="8"/>
  <c r="T672" i="8"/>
  <c r="S672" i="8"/>
  <c r="R672" i="8"/>
  <c r="Q672" i="8"/>
  <c r="P672" i="8"/>
  <c r="O672" i="8"/>
  <c r="N672" i="8"/>
  <c r="M672" i="8"/>
  <c r="L672" i="8"/>
  <c r="K672" i="8"/>
  <c r="J672" i="8"/>
  <c r="I672" i="8"/>
  <c r="H672" i="8"/>
  <c r="G672" i="8"/>
  <c r="F672" i="8"/>
  <c r="E672" i="8"/>
  <c r="D672" i="8"/>
  <c r="C672" i="8"/>
  <c r="B672" i="8"/>
  <c r="A672" i="8"/>
  <c r="W671" i="8"/>
  <c r="V671" i="8"/>
  <c r="U671" i="8"/>
  <c r="T671" i="8"/>
  <c r="S671" i="8"/>
  <c r="R671" i="8"/>
  <c r="Q671" i="8"/>
  <c r="P671" i="8"/>
  <c r="O671" i="8"/>
  <c r="N671" i="8"/>
  <c r="M671" i="8"/>
  <c r="L671" i="8"/>
  <c r="K671" i="8"/>
  <c r="J671" i="8"/>
  <c r="I671" i="8"/>
  <c r="H671" i="8"/>
  <c r="G671" i="8"/>
  <c r="F671" i="8"/>
  <c r="E671" i="8"/>
  <c r="D671" i="8"/>
  <c r="C671" i="8"/>
  <c r="B671" i="8"/>
  <c r="A671" i="8"/>
  <c r="W670" i="8"/>
  <c r="V670" i="8"/>
  <c r="U670" i="8"/>
  <c r="T670" i="8"/>
  <c r="S670" i="8"/>
  <c r="R670" i="8"/>
  <c r="Q670" i="8"/>
  <c r="P670" i="8"/>
  <c r="O670" i="8"/>
  <c r="N670" i="8"/>
  <c r="M670" i="8"/>
  <c r="L670" i="8"/>
  <c r="K670" i="8"/>
  <c r="J670" i="8"/>
  <c r="I670" i="8"/>
  <c r="H670" i="8"/>
  <c r="G670" i="8"/>
  <c r="F670" i="8"/>
  <c r="E670" i="8"/>
  <c r="D670" i="8"/>
  <c r="C670" i="8"/>
  <c r="B670" i="8"/>
  <c r="A670" i="8"/>
  <c r="W669" i="8"/>
  <c r="V669" i="8"/>
  <c r="U669" i="8"/>
  <c r="T669" i="8"/>
  <c r="S669" i="8"/>
  <c r="R669" i="8"/>
  <c r="Q669" i="8"/>
  <c r="P669" i="8"/>
  <c r="O669" i="8"/>
  <c r="N669" i="8"/>
  <c r="M669" i="8"/>
  <c r="L669" i="8"/>
  <c r="K669" i="8"/>
  <c r="J669" i="8"/>
  <c r="I669" i="8"/>
  <c r="H669" i="8"/>
  <c r="G669" i="8"/>
  <c r="F669" i="8"/>
  <c r="E669" i="8"/>
  <c r="D669" i="8"/>
  <c r="C669" i="8"/>
  <c r="B669" i="8"/>
  <c r="A669" i="8"/>
  <c r="W668" i="8"/>
  <c r="V668" i="8"/>
  <c r="U668" i="8"/>
  <c r="T668" i="8"/>
  <c r="S668" i="8"/>
  <c r="R668" i="8"/>
  <c r="Q668" i="8"/>
  <c r="P668" i="8"/>
  <c r="O668" i="8"/>
  <c r="N668" i="8"/>
  <c r="M668" i="8"/>
  <c r="L668" i="8"/>
  <c r="K668" i="8"/>
  <c r="J668" i="8"/>
  <c r="I668" i="8"/>
  <c r="H668" i="8"/>
  <c r="G668" i="8"/>
  <c r="F668" i="8"/>
  <c r="E668" i="8"/>
  <c r="D668" i="8"/>
  <c r="C668" i="8"/>
  <c r="B668" i="8"/>
  <c r="A668" i="8"/>
  <c r="W667" i="8"/>
  <c r="V667" i="8"/>
  <c r="U667" i="8"/>
  <c r="T667" i="8"/>
  <c r="S667" i="8"/>
  <c r="R667" i="8"/>
  <c r="Q667" i="8"/>
  <c r="P667" i="8"/>
  <c r="O667" i="8"/>
  <c r="N667" i="8"/>
  <c r="M667" i="8"/>
  <c r="L667" i="8"/>
  <c r="K667" i="8"/>
  <c r="J667" i="8"/>
  <c r="I667" i="8"/>
  <c r="H667" i="8"/>
  <c r="G667" i="8"/>
  <c r="F667" i="8"/>
  <c r="E667" i="8"/>
  <c r="D667" i="8"/>
  <c r="C667" i="8"/>
  <c r="B667" i="8"/>
  <c r="A667" i="8"/>
  <c r="W666" i="8"/>
  <c r="V666" i="8"/>
  <c r="U666" i="8"/>
  <c r="T666" i="8"/>
  <c r="S666" i="8"/>
  <c r="R666" i="8"/>
  <c r="Q666" i="8"/>
  <c r="P666" i="8"/>
  <c r="O666" i="8"/>
  <c r="N666" i="8"/>
  <c r="M666" i="8"/>
  <c r="L666" i="8"/>
  <c r="K666" i="8"/>
  <c r="J666" i="8"/>
  <c r="I666" i="8"/>
  <c r="H666" i="8"/>
  <c r="G666" i="8"/>
  <c r="F666" i="8"/>
  <c r="E666" i="8"/>
  <c r="D666" i="8"/>
  <c r="C666" i="8"/>
  <c r="B666" i="8"/>
  <c r="A666" i="8"/>
  <c r="W665" i="8"/>
  <c r="V665" i="8"/>
  <c r="U665" i="8"/>
  <c r="T665" i="8"/>
  <c r="S665" i="8"/>
  <c r="R665" i="8"/>
  <c r="Q665" i="8"/>
  <c r="P665" i="8"/>
  <c r="O665" i="8"/>
  <c r="N665" i="8"/>
  <c r="M665" i="8"/>
  <c r="L665" i="8"/>
  <c r="K665" i="8"/>
  <c r="J665" i="8"/>
  <c r="I665" i="8"/>
  <c r="H665" i="8"/>
  <c r="G665" i="8"/>
  <c r="F665" i="8"/>
  <c r="E665" i="8"/>
  <c r="D665" i="8"/>
  <c r="C665" i="8"/>
  <c r="B665" i="8"/>
  <c r="A665" i="8"/>
  <c r="W664" i="8"/>
  <c r="V664" i="8"/>
  <c r="U664" i="8"/>
  <c r="T664" i="8"/>
  <c r="S664" i="8"/>
  <c r="R664" i="8"/>
  <c r="Q664" i="8"/>
  <c r="P664" i="8"/>
  <c r="O664" i="8"/>
  <c r="N664" i="8"/>
  <c r="M664" i="8"/>
  <c r="L664" i="8"/>
  <c r="K664" i="8"/>
  <c r="J664" i="8"/>
  <c r="I664" i="8"/>
  <c r="H664" i="8"/>
  <c r="G664" i="8"/>
  <c r="F664" i="8"/>
  <c r="E664" i="8"/>
  <c r="D664" i="8"/>
  <c r="C664" i="8"/>
  <c r="B664" i="8"/>
  <c r="A664" i="8"/>
  <c r="W663" i="8"/>
  <c r="V663" i="8"/>
  <c r="U663" i="8"/>
  <c r="T663" i="8"/>
  <c r="S663" i="8"/>
  <c r="R663" i="8"/>
  <c r="Q663" i="8"/>
  <c r="P663" i="8"/>
  <c r="O663" i="8"/>
  <c r="N663" i="8"/>
  <c r="M663" i="8"/>
  <c r="L663" i="8"/>
  <c r="K663" i="8"/>
  <c r="J663" i="8"/>
  <c r="I663" i="8"/>
  <c r="H663" i="8"/>
  <c r="G663" i="8"/>
  <c r="F663" i="8"/>
  <c r="E663" i="8"/>
  <c r="D663" i="8"/>
  <c r="C663" i="8"/>
  <c r="B663" i="8"/>
  <c r="A663" i="8"/>
  <c r="W662" i="8"/>
  <c r="V662" i="8"/>
  <c r="U662" i="8"/>
  <c r="T662" i="8"/>
  <c r="S662" i="8"/>
  <c r="R662" i="8"/>
  <c r="Q662" i="8"/>
  <c r="P662" i="8"/>
  <c r="O662" i="8"/>
  <c r="N662" i="8"/>
  <c r="M662" i="8"/>
  <c r="L662" i="8"/>
  <c r="K662" i="8"/>
  <c r="J662" i="8"/>
  <c r="I662" i="8"/>
  <c r="H662" i="8"/>
  <c r="G662" i="8"/>
  <c r="F662" i="8"/>
  <c r="E662" i="8"/>
  <c r="D662" i="8"/>
  <c r="C662" i="8"/>
  <c r="B662" i="8"/>
  <c r="A662" i="8"/>
  <c r="W661" i="8"/>
  <c r="V661" i="8"/>
  <c r="U661" i="8"/>
  <c r="T661" i="8"/>
  <c r="S661" i="8"/>
  <c r="R661" i="8"/>
  <c r="Q661" i="8"/>
  <c r="P661" i="8"/>
  <c r="O661" i="8"/>
  <c r="N661" i="8"/>
  <c r="M661" i="8"/>
  <c r="L661" i="8"/>
  <c r="K661" i="8"/>
  <c r="J661" i="8"/>
  <c r="I661" i="8"/>
  <c r="H661" i="8"/>
  <c r="G661" i="8"/>
  <c r="F661" i="8"/>
  <c r="E661" i="8"/>
  <c r="D661" i="8"/>
  <c r="C661" i="8"/>
  <c r="B661" i="8"/>
  <c r="A661" i="8"/>
  <c r="W660" i="8"/>
  <c r="V660" i="8"/>
  <c r="U660" i="8"/>
  <c r="T660" i="8"/>
  <c r="S660" i="8"/>
  <c r="R660" i="8"/>
  <c r="Q660" i="8"/>
  <c r="P660" i="8"/>
  <c r="O660" i="8"/>
  <c r="N660" i="8"/>
  <c r="M660" i="8"/>
  <c r="L660" i="8"/>
  <c r="K660" i="8"/>
  <c r="J660" i="8"/>
  <c r="I660" i="8"/>
  <c r="H660" i="8"/>
  <c r="G660" i="8"/>
  <c r="F660" i="8"/>
  <c r="E660" i="8"/>
  <c r="D660" i="8"/>
  <c r="C660" i="8"/>
  <c r="B660" i="8"/>
  <c r="A660" i="8"/>
  <c r="W659" i="8"/>
  <c r="V659" i="8"/>
  <c r="U659" i="8"/>
  <c r="T659" i="8"/>
  <c r="S659" i="8"/>
  <c r="R659" i="8"/>
  <c r="Q659" i="8"/>
  <c r="P659" i="8"/>
  <c r="O659" i="8"/>
  <c r="N659" i="8"/>
  <c r="M659" i="8"/>
  <c r="L659" i="8"/>
  <c r="K659" i="8"/>
  <c r="J659" i="8"/>
  <c r="I659" i="8"/>
  <c r="H659" i="8"/>
  <c r="G659" i="8"/>
  <c r="F659" i="8"/>
  <c r="E659" i="8"/>
  <c r="D659" i="8"/>
  <c r="C659" i="8"/>
  <c r="B659" i="8"/>
  <c r="A659" i="8"/>
  <c r="W658" i="8"/>
  <c r="V658" i="8"/>
  <c r="U658" i="8"/>
  <c r="T658" i="8"/>
  <c r="S658" i="8"/>
  <c r="R658" i="8"/>
  <c r="Q658" i="8"/>
  <c r="P658" i="8"/>
  <c r="O658" i="8"/>
  <c r="N658" i="8"/>
  <c r="M658" i="8"/>
  <c r="L658" i="8"/>
  <c r="K658" i="8"/>
  <c r="J658" i="8"/>
  <c r="I658" i="8"/>
  <c r="H658" i="8"/>
  <c r="G658" i="8"/>
  <c r="F658" i="8"/>
  <c r="E658" i="8"/>
  <c r="D658" i="8"/>
  <c r="C658" i="8"/>
  <c r="B658" i="8"/>
  <c r="A658" i="8"/>
  <c r="W657" i="8"/>
  <c r="V657" i="8"/>
  <c r="U657" i="8"/>
  <c r="T657" i="8"/>
  <c r="S657" i="8"/>
  <c r="R657" i="8"/>
  <c r="Q657" i="8"/>
  <c r="P657" i="8"/>
  <c r="O657" i="8"/>
  <c r="N657" i="8"/>
  <c r="M657" i="8"/>
  <c r="L657" i="8"/>
  <c r="K657" i="8"/>
  <c r="J657" i="8"/>
  <c r="I657" i="8"/>
  <c r="H657" i="8"/>
  <c r="G657" i="8"/>
  <c r="F657" i="8"/>
  <c r="E657" i="8"/>
  <c r="D657" i="8"/>
  <c r="C657" i="8"/>
  <c r="B657" i="8"/>
  <c r="A657" i="8"/>
  <c r="W656" i="8"/>
  <c r="V656" i="8"/>
  <c r="U656" i="8"/>
  <c r="T656" i="8"/>
  <c r="S656" i="8"/>
  <c r="R656" i="8"/>
  <c r="Q656" i="8"/>
  <c r="P656" i="8"/>
  <c r="O656" i="8"/>
  <c r="N656" i="8"/>
  <c r="M656" i="8"/>
  <c r="L656" i="8"/>
  <c r="K656" i="8"/>
  <c r="J656" i="8"/>
  <c r="I656" i="8"/>
  <c r="H656" i="8"/>
  <c r="G656" i="8"/>
  <c r="F656" i="8"/>
  <c r="E656" i="8"/>
  <c r="D656" i="8"/>
  <c r="C656" i="8"/>
  <c r="B656" i="8"/>
  <c r="A656" i="8"/>
  <c r="W655" i="8"/>
  <c r="V655" i="8"/>
  <c r="U655" i="8"/>
  <c r="T655" i="8"/>
  <c r="S655" i="8"/>
  <c r="R655" i="8"/>
  <c r="Q655" i="8"/>
  <c r="P655" i="8"/>
  <c r="O655" i="8"/>
  <c r="N655" i="8"/>
  <c r="M655" i="8"/>
  <c r="L655" i="8"/>
  <c r="K655" i="8"/>
  <c r="J655" i="8"/>
  <c r="I655" i="8"/>
  <c r="H655" i="8"/>
  <c r="G655" i="8"/>
  <c r="F655" i="8"/>
  <c r="E655" i="8"/>
  <c r="D655" i="8"/>
  <c r="C655" i="8"/>
  <c r="B655" i="8"/>
  <c r="A655" i="8"/>
  <c r="W654" i="8"/>
  <c r="V654" i="8"/>
  <c r="U654" i="8"/>
  <c r="T654" i="8"/>
  <c r="S654" i="8"/>
  <c r="R654" i="8"/>
  <c r="Q654" i="8"/>
  <c r="P654" i="8"/>
  <c r="O654" i="8"/>
  <c r="N654" i="8"/>
  <c r="M654" i="8"/>
  <c r="L654" i="8"/>
  <c r="K654" i="8"/>
  <c r="J654" i="8"/>
  <c r="I654" i="8"/>
  <c r="H654" i="8"/>
  <c r="G654" i="8"/>
  <c r="F654" i="8"/>
  <c r="E654" i="8"/>
  <c r="D654" i="8"/>
  <c r="C654" i="8"/>
  <c r="B654" i="8"/>
  <c r="A654" i="8"/>
  <c r="W653" i="8"/>
  <c r="V653" i="8"/>
  <c r="U653" i="8"/>
  <c r="T653" i="8"/>
  <c r="S653" i="8"/>
  <c r="R653" i="8"/>
  <c r="Q653" i="8"/>
  <c r="P653" i="8"/>
  <c r="O653" i="8"/>
  <c r="N653" i="8"/>
  <c r="M653" i="8"/>
  <c r="L653" i="8"/>
  <c r="K653" i="8"/>
  <c r="J653" i="8"/>
  <c r="I653" i="8"/>
  <c r="H653" i="8"/>
  <c r="G653" i="8"/>
  <c r="F653" i="8"/>
  <c r="E653" i="8"/>
  <c r="D653" i="8"/>
  <c r="C653" i="8"/>
  <c r="B653" i="8"/>
  <c r="A653" i="8"/>
  <c r="W652" i="8"/>
  <c r="V652" i="8"/>
  <c r="U652" i="8"/>
  <c r="T652" i="8"/>
  <c r="S652" i="8"/>
  <c r="R652" i="8"/>
  <c r="Q652" i="8"/>
  <c r="P652" i="8"/>
  <c r="O652" i="8"/>
  <c r="N652" i="8"/>
  <c r="M652" i="8"/>
  <c r="L652" i="8"/>
  <c r="K652" i="8"/>
  <c r="J652" i="8"/>
  <c r="I652" i="8"/>
  <c r="H652" i="8"/>
  <c r="G652" i="8"/>
  <c r="F652" i="8"/>
  <c r="E652" i="8"/>
  <c r="D652" i="8"/>
  <c r="C652" i="8"/>
  <c r="B652" i="8"/>
  <c r="A652" i="8"/>
  <c r="W651" i="8"/>
  <c r="V651" i="8"/>
  <c r="U651" i="8"/>
  <c r="T651" i="8"/>
  <c r="S651" i="8"/>
  <c r="R651" i="8"/>
  <c r="Q651" i="8"/>
  <c r="P651" i="8"/>
  <c r="O651" i="8"/>
  <c r="N651" i="8"/>
  <c r="M651" i="8"/>
  <c r="L651" i="8"/>
  <c r="K651" i="8"/>
  <c r="J651" i="8"/>
  <c r="I651" i="8"/>
  <c r="H651" i="8"/>
  <c r="G651" i="8"/>
  <c r="F651" i="8"/>
  <c r="E651" i="8"/>
  <c r="D651" i="8"/>
  <c r="C651" i="8"/>
  <c r="B651" i="8"/>
  <c r="A651" i="8"/>
  <c r="W650" i="8"/>
  <c r="V650" i="8"/>
  <c r="U650" i="8"/>
  <c r="T650" i="8"/>
  <c r="S650" i="8"/>
  <c r="R650" i="8"/>
  <c r="Q650" i="8"/>
  <c r="P650" i="8"/>
  <c r="O650" i="8"/>
  <c r="N650" i="8"/>
  <c r="M650" i="8"/>
  <c r="L650" i="8"/>
  <c r="K650" i="8"/>
  <c r="J650" i="8"/>
  <c r="I650" i="8"/>
  <c r="H650" i="8"/>
  <c r="G650" i="8"/>
  <c r="F650" i="8"/>
  <c r="E650" i="8"/>
  <c r="D650" i="8"/>
  <c r="C650" i="8"/>
  <c r="B650" i="8"/>
  <c r="A650" i="8"/>
  <c r="W649" i="8"/>
  <c r="V649" i="8"/>
  <c r="U649" i="8"/>
  <c r="T649" i="8"/>
  <c r="S649" i="8"/>
  <c r="R649" i="8"/>
  <c r="Q649" i="8"/>
  <c r="P649" i="8"/>
  <c r="O649" i="8"/>
  <c r="N649" i="8"/>
  <c r="M649" i="8"/>
  <c r="L649" i="8"/>
  <c r="K649" i="8"/>
  <c r="J649" i="8"/>
  <c r="I649" i="8"/>
  <c r="H649" i="8"/>
  <c r="G649" i="8"/>
  <c r="F649" i="8"/>
  <c r="E649" i="8"/>
  <c r="D649" i="8"/>
  <c r="C649" i="8"/>
  <c r="B649" i="8"/>
  <c r="A649" i="8"/>
  <c r="W648" i="8"/>
  <c r="V648" i="8"/>
  <c r="U648" i="8"/>
  <c r="T648" i="8"/>
  <c r="S648" i="8"/>
  <c r="R648" i="8"/>
  <c r="Q648" i="8"/>
  <c r="P648" i="8"/>
  <c r="O648" i="8"/>
  <c r="N648" i="8"/>
  <c r="M648" i="8"/>
  <c r="L648" i="8"/>
  <c r="K648" i="8"/>
  <c r="J648" i="8"/>
  <c r="I648" i="8"/>
  <c r="H648" i="8"/>
  <c r="G648" i="8"/>
  <c r="F648" i="8"/>
  <c r="E648" i="8"/>
  <c r="D648" i="8"/>
  <c r="C648" i="8"/>
  <c r="B648" i="8"/>
  <c r="A648" i="8"/>
  <c r="W647" i="8"/>
  <c r="V647" i="8"/>
  <c r="U647" i="8"/>
  <c r="T647" i="8"/>
  <c r="S647" i="8"/>
  <c r="R647" i="8"/>
  <c r="Q647" i="8"/>
  <c r="P647" i="8"/>
  <c r="O647" i="8"/>
  <c r="N647" i="8"/>
  <c r="M647" i="8"/>
  <c r="L647" i="8"/>
  <c r="K647" i="8"/>
  <c r="J647" i="8"/>
  <c r="I647" i="8"/>
  <c r="H647" i="8"/>
  <c r="G647" i="8"/>
  <c r="F647" i="8"/>
  <c r="E647" i="8"/>
  <c r="D647" i="8"/>
  <c r="C647" i="8"/>
  <c r="B647" i="8"/>
  <c r="A647" i="8"/>
  <c r="W646" i="8"/>
  <c r="V646" i="8"/>
  <c r="U646" i="8"/>
  <c r="T646" i="8"/>
  <c r="S646" i="8"/>
  <c r="R646" i="8"/>
  <c r="Q646" i="8"/>
  <c r="P646" i="8"/>
  <c r="O646" i="8"/>
  <c r="N646" i="8"/>
  <c r="M646" i="8"/>
  <c r="L646" i="8"/>
  <c r="K646" i="8"/>
  <c r="J646" i="8"/>
  <c r="I646" i="8"/>
  <c r="H646" i="8"/>
  <c r="G646" i="8"/>
  <c r="F646" i="8"/>
  <c r="E646" i="8"/>
  <c r="D646" i="8"/>
  <c r="C646" i="8"/>
  <c r="B646" i="8"/>
  <c r="A646" i="8"/>
  <c r="W645" i="8"/>
  <c r="V645" i="8"/>
  <c r="U645" i="8"/>
  <c r="T645" i="8"/>
  <c r="S645" i="8"/>
  <c r="R645" i="8"/>
  <c r="Q645" i="8"/>
  <c r="P645" i="8"/>
  <c r="O645" i="8"/>
  <c r="N645" i="8"/>
  <c r="M645" i="8"/>
  <c r="L645" i="8"/>
  <c r="K645" i="8"/>
  <c r="J645" i="8"/>
  <c r="I645" i="8"/>
  <c r="H645" i="8"/>
  <c r="G645" i="8"/>
  <c r="F645" i="8"/>
  <c r="E645" i="8"/>
  <c r="D645" i="8"/>
  <c r="C645" i="8"/>
  <c r="B645" i="8"/>
  <c r="A645" i="8"/>
  <c r="W644" i="8"/>
  <c r="V644" i="8"/>
  <c r="U644" i="8"/>
  <c r="T644" i="8"/>
  <c r="S644" i="8"/>
  <c r="R644" i="8"/>
  <c r="Q644" i="8"/>
  <c r="P644" i="8"/>
  <c r="O644" i="8"/>
  <c r="N644" i="8"/>
  <c r="M644" i="8"/>
  <c r="L644" i="8"/>
  <c r="K644" i="8"/>
  <c r="J644" i="8"/>
  <c r="I644" i="8"/>
  <c r="H644" i="8"/>
  <c r="G644" i="8"/>
  <c r="F644" i="8"/>
  <c r="E644" i="8"/>
  <c r="D644" i="8"/>
  <c r="C644" i="8"/>
  <c r="B644" i="8"/>
  <c r="A644" i="8"/>
  <c r="W643" i="8"/>
  <c r="V643" i="8"/>
  <c r="U643" i="8"/>
  <c r="T643" i="8"/>
  <c r="S643" i="8"/>
  <c r="R643" i="8"/>
  <c r="Q643" i="8"/>
  <c r="P643" i="8"/>
  <c r="O643" i="8"/>
  <c r="N643" i="8"/>
  <c r="M643" i="8"/>
  <c r="L643" i="8"/>
  <c r="K643" i="8"/>
  <c r="J643" i="8"/>
  <c r="I643" i="8"/>
  <c r="H643" i="8"/>
  <c r="G643" i="8"/>
  <c r="F643" i="8"/>
  <c r="E643" i="8"/>
  <c r="D643" i="8"/>
  <c r="C643" i="8"/>
  <c r="B643" i="8"/>
  <c r="A643" i="8"/>
  <c r="W642" i="8"/>
  <c r="V642" i="8"/>
  <c r="U642" i="8"/>
  <c r="T642" i="8"/>
  <c r="S642" i="8"/>
  <c r="R642" i="8"/>
  <c r="Q642" i="8"/>
  <c r="P642" i="8"/>
  <c r="O642" i="8"/>
  <c r="N642" i="8"/>
  <c r="M642" i="8"/>
  <c r="L642" i="8"/>
  <c r="K642" i="8"/>
  <c r="J642" i="8"/>
  <c r="I642" i="8"/>
  <c r="H642" i="8"/>
  <c r="G642" i="8"/>
  <c r="F642" i="8"/>
  <c r="E642" i="8"/>
  <c r="D642" i="8"/>
  <c r="C642" i="8"/>
  <c r="B642" i="8"/>
  <c r="A642" i="8"/>
  <c r="W641" i="8"/>
  <c r="V641" i="8"/>
  <c r="U641" i="8"/>
  <c r="T641" i="8"/>
  <c r="S641" i="8"/>
  <c r="R641" i="8"/>
  <c r="Q641" i="8"/>
  <c r="P641" i="8"/>
  <c r="O641" i="8"/>
  <c r="N641" i="8"/>
  <c r="M641" i="8"/>
  <c r="L641" i="8"/>
  <c r="K641" i="8"/>
  <c r="J641" i="8"/>
  <c r="I641" i="8"/>
  <c r="H641" i="8"/>
  <c r="G641" i="8"/>
  <c r="F641" i="8"/>
  <c r="E641" i="8"/>
  <c r="D641" i="8"/>
  <c r="C641" i="8"/>
  <c r="B641" i="8"/>
  <c r="A641" i="8"/>
  <c r="W640" i="8"/>
  <c r="V640" i="8"/>
  <c r="U640" i="8"/>
  <c r="T640" i="8"/>
  <c r="S640" i="8"/>
  <c r="R640" i="8"/>
  <c r="Q640" i="8"/>
  <c r="P640" i="8"/>
  <c r="O640" i="8"/>
  <c r="N640" i="8"/>
  <c r="M640" i="8"/>
  <c r="L640" i="8"/>
  <c r="K640" i="8"/>
  <c r="J640" i="8"/>
  <c r="I640" i="8"/>
  <c r="H640" i="8"/>
  <c r="G640" i="8"/>
  <c r="F640" i="8"/>
  <c r="E640" i="8"/>
  <c r="D640" i="8"/>
  <c r="C640" i="8"/>
  <c r="B640" i="8"/>
  <c r="A640" i="8"/>
  <c r="W639" i="8"/>
  <c r="V639" i="8"/>
  <c r="U639" i="8"/>
  <c r="T639" i="8"/>
  <c r="S639" i="8"/>
  <c r="R639" i="8"/>
  <c r="Q639" i="8"/>
  <c r="P639" i="8"/>
  <c r="O639" i="8"/>
  <c r="N639" i="8"/>
  <c r="M639" i="8"/>
  <c r="L639" i="8"/>
  <c r="K639" i="8"/>
  <c r="J639" i="8"/>
  <c r="I639" i="8"/>
  <c r="H639" i="8"/>
  <c r="G639" i="8"/>
  <c r="F639" i="8"/>
  <c r="E639" i="8"/>
  <c r="D639" i="8"/>
  <c r="C639" i="8"/>
  <c r="B639" i="8"/>
  <c r="A639" i="8"/>
  <c r="W638" i="8"/>
  <c r="V638" i="8"/>
  <c r="U638" i="8"/>
  <c r="T638" i="8"/>
  <c r="S638" i="8"/>
  <c r="R638" i="8"/>
  <c r="Q638" i="8"/>
  <c r="P638" i="8"/>
  <c r="O638" i="8"/>
  <c r="N638" i="8"/>
  <c r="M638" i="8"/>
  <c r="L638" i="8"/>
  <c r="K638" i="8"/>
  <c r="J638" i="8"/>
  <c r="I638" i="8"/>
  <c r="H638" i="8"/>
  <c r="G638" i="8"/>
  <c r="F638" i="8"/>
  <c r="E638" i="8"/>
  <c r="D638" i="8"/>
  <c r="C638" i="8"/>
  <c r="B638" i="8"/>
  <c r="A638" i="8"/>
  <c r="W637" i="8"/>
  <c r="V637" i="8"/>
  <c r="U637" i="8"/>
  <c r="T637" i="8"/>
  <c r="S637" i="8"/>
  <c r="R637" i="8"/>
  <c r="Q637" i="8"/>
  <c r="P637" i="8"/>
  <c r="O637" i="8"/>
  <c r="N637" i="8"/>
  <c r="M637" i="8"/>
  <c r="L637" i="8"/>
  <c r="K637" i="8"/>
  <c r="J637" i="8"/>
  <c r="I637" i="8"/>
  <c r="H637" i="8"/>
  <c r="G637" i="8"/>
  <c r="F637" i="8"/>
  <c r="E637" i="8"/>
  <c r="D637" i="8"/>
  <c r="C637" i="8"/>
  <c r="B637" i="8"/>
  <c r="A637" i="8"/>
  <c r="W636" i="8"/>
  <c r="V636" i="8"/>
  <c r="U636" i="8"/>
  <c r="T636" i="8"/>
  <c r="S636" i="8"/>
  <c r="R636" i="8"/>
  <c r="Q636" i="8"/>
  <c r="P636" i="8"/>
  <c r="O636" i="8"/>
  <c r="N636" i="8"/>
  <c r="M636" i="8"/>
  <c r="L636" i="8"/>
  <c r="K636" i="8"/>
  <c r="J636" i="8"/>
  <c r="I636" i="8"/>
  <c r="H636" i="8"/>
  <c r="G636" i="8"/>
  <c r="F636" i="8"/>
  <c r="E636" i="8"/>
  <c r="D636" i="8"/>
  <c r="C636" i="8"/>
  <c r="B636" i="8"/>
  <c r="A636" i="8"/>
  <c r="W635" i="8"/>
  <c r="V635" i="8"/>
  <c r="U635" i="8"/>
  <c r="T635" i="8"/>
  <c r="S635" i="8"/>
  <c r="R635" i="8"/>
  <c r="Q635" i="8"/>
  <c r="P635" i="8"/>
  <c r="O635" i="8"/>
  <c r="N635" i="8"/>
  <c r="M635" i="8"/>
  <c r="L635" i="8"/>
  <c r="K635" i="8"/>
  <c r="J635" i="8"/>
  <c r="I635" i="8"/>
  <c r="H635" i="8"/>
  <c r="G635" i="8"/>
  <c r="F635" i="8"/>
  <c r="E635" i="8"/>
  <c r="D635" i="8"/>
  <c r="C635" i="8"/>
  <c r="B635" i="8"/>
  <c r="A635" i="8"/>
  <c r="W634" i="8"/>
  <c r="V634" i="8"/>
  <c r="U634" i="8"/>
  <c r="T634" i="8"/>
  <c r="S634" i="8"/>
  <c r="R634" i="8"/>
  <c r="Q634" i="8"/>
  <c r="P634" i="8"/>
  <c r="O634" i="8"/>
  <c r="N634" i="8"/>
  <c r="M634" i="8"/>
  <c r="L634" i="8"/>
  <c r="K634" i="8"/>
  <c r="J634" i="8"/>
  <c r="I634" i="8"/>
  <c r="H634" i="8"/>
  <c r="G634" i="8"/>
  <c r="F634" i="8"/>
  <c r="E634" i="8"/>
  <c r="D634" i="8"/>
  <c r="C634" i="8"/>
  <c r="B634" i="8"/>
  <c r="A634" i="8"/>
  <c r="W633" i="8"/>
  <c r="V633" i="8"/>
  <c r="U633" i="8"/>
  <c r="T633" i="8"/>
  <c r="S633" i="8"/>
  <c r="R633" i="8"/>
  <c r="Q633" i="8"/>
  <c r="P633" i="8"/>
  <c r="O633" i="8"/>
  <c r="N633" i="8"/>
  <c r="M633" i="8"/>
  <c r="L633" i="8"/>
  <c r="K633" i="8"/>
  <c r="J633" i="8"/>
  <c r="I633" i="8"/>
  <c r="H633" i="8"/>
  <c r="G633" i="8"/>
  <c r="F633" i="8"/>
  <c r="E633" i="8"/>
  <c r="D633" i="8"/>
  <c r="C633" i="8"/>
  <c r="B633" i="8"/>
  <c r="A633" i="8"/>
  <c r="W632" i="8"/>
  <c r="V632" i="8"/>
  <c r="U632" i="8"/>
  <c r="T632" i="8"/>
  <c r="S632" i="8"/>
  <c r="R632" i="8"/>
  <c r="Q632" i="8"/>
  <c r="P632" i="8"/>
  <c r="O632" i="8"/>
  <c r="N632" i="8"/>
  <c r="M632" i="8"/>
  <c r="L632" i="8"/>
  <c r="K632" i="8"/>
  <c r="J632" i="8"/>
  <c r="I632" i="8"/>
  <c r="H632" i="8"/>
  <c r="G632" i="8"/>
  <c r="F632" i="8"/>
  <c r="E632" i="8"/>
  <c r="D632" i="8"/>
  <c r="C632" i="8"/>
  <c r="B632" i="8"/>
  <c r="A632" i="8"/>
  <c r="W631" i="8"/>
  <c r="V631" i="8"/>
  <c r="U631" i="8"/>
  <c r="T631" i="8"/>
  <c r="S631" i="8"/>
  <c r="R631" i="8"/>
  <c r="Q631" i="8"/>
  <c r="P631" i="8"/>
  <c r="O631" i="8"/>
  <c r="N631" i="8"/>
  <c r="M631" i="8"/>
  <c r="L631" i="8"/>
  <c r="K631" i="8"/>
  <c r="J631" i="8"/>
  <c r="I631" i="8"/>
  <c r="H631" i="8"/>
  <c r="G631" i="8"/>
  <c r="F631" i="8"/>
  <c r="E631" i="8"/>
  <c r="D631" i="8"/>
  <c r="C631" i="8"/>
  <c r="B631" i="8"/>
  <c r="A631" i="8"/>
  <c r="W630" i="8"/>
  <c r="V630" i="8"/>
  <c r="U630" i="8"/>
  <c r="T630" i="8"/>
  <c r="S630" i="8"/>
  <c r="R630" i="8"/>
  <c r="Q630" i="8"/>
  <c r="P630" i="8"/>
  <c r="O630" i="8"/>
  <c r="N630" i="8"/>
  <c r="M630" i="8"/>
  <c r="L630" i="8"/>
  <c r="K630" i="8"/>
  <c r="J630" i="8"/>
  <c r="I630" i="8"/>
  <c r="H630" i="8"/>
  <c r="G630" i="8"/>
  <c r="F630" i="8"/>
  <c r="E630" i="8"/>
  <c r="D630" i="8"/>
  <c r="C630" i="8"/>
  <c r="B630" i="8"/>
  <c r="A630" i="8"/>
  <c r="W629" i="8"/>
  <c r="V629" i="8"/>
  <c r="U629" i="8"/>
  <c r="T629" i="8"/>
  <c r="S629" i="8"/>
  <c r="R629" i="8"/>
  <c r="Q629" i="8"/>
  <c r="P629" i="8"/>
  <c r="O629" i="8"/>
  <c r="N629" i="8"/>
  <c r="M629" i="8"/>
  <c r="L629" i="8"/>
  <c r="K629" i="8"/>
  <c r="J629" i="8"/>
  <c r="I629" i="8"/>
  <c r="H629" i="8"/>
  <c r="G629" i="8"/>
  <c r="F629" i="8"/>
  <c r="E629" i="8"/>
  <c r="D629" i="8"/>
  <c r="C629" i="8"/>
  <c r="B629" i="8"/>
  <c r="A629" i="8"/>
  <c r="W628" i="8"/>
  <c r="V628" i="8"/>
  <c r="U628" i="8"/>
  <c r="T628" i="8"/>
  <c r="S628" i="8"/>
  <c r="R628" i="8"/>
  <c r="Q628" i="8"/>
  <c r="P628" i="8"/>
  <c r="O628" i="8"/>
  <c r="N628" i="8"/>
  <c r="M628" i="8"/>
  <c r="L628" i="8"/>
  <c r="K628" i="8"/>
  <c r="J628" i="8"/>
  <c r="I628" i="8"/>
  <c r="H628" i="8"/>
  <c r="G628" i="8"/>
  <c r="F628" i="8"/>
  <c r="E628" i="8"/>
  <c r="D628" i="8"/>
  <c r="C628" i="8"/>
  <c r="B628" i="8"/>
  <c r="A628" i="8"/>
  <c r="W627" i="8"/>
  <c r="V627" i="8"/>
  <c r="U627" i="8"/>
  <c r="T627" i="8"/>
  <c r="S627" i="8"/>
  <c r="R627" i="8"/>
  <c r="Q627" i="8"/>
  <c r="P627" i="8"/>
  <c r="O627" i="8"/>
  <c r="N627" i="8"/>
  <c r="M627" i="8"/>
  <c r="L627" i="8"/>
  <c r="K627" i="8"/>
  <c r="J627" i="8"/>
  <c r="I627" i="8"/>
  <c r="H627" i="8"/>
  <c r="G627" i="8"/>
  <c r="F627" i="8"/>
  <c r="E627" i="8"/>
  <c r="D627" i="8"/>
  <c r="C627" i="8"/>
  <c r="B627" i="8"/>
  <c r="A627" i="8"/>
  <c r="W626" i="8"/>
  <c r="V626" i="8"/>
  <c r="U626" i="8"/>
  <c r="T626" i="8"/>
  <c r="S626" i="8"/>
  <c r="R626" i="8"/>
  <c r="Q626" i="8"/>
  <c r="P626" i="8"/>
  <c r="O626" i="8"/>
  <c r="N626" i="8"/>
  <c r="M626" i="8"/>
  <c r="L626" i="8"/>
  <c r="K626" i="8"/>
  <c r="J626" i="8"/>
  <c r="I626" i="8"/>
  <c r="H626" i="8"/>
  <c r="G626" i="8"/>
  <c r="F626" i="8"/>
  <c r="E626" i="8"/>
  <c r="D626" i="8"/>
  <c r="C626" i="8"/>
  <c r="B626" i="8"/>
  <c r="A626" i="8"/>
  <c r="W625" i="8"/>
  <c r="V625" i="8"/>
  <c r="U625" i="8"/>
  <c r="T625" i="8"/>
  <c r="S625" i="8"/>
  <c r="R625" i="8"/>
  <c r="Q625" i="8"/>
  <c r="P625" i="8"/>
  <c r="O625" i="8"/>
  <c r="N625" i="8"/>
  <c r="M625" i="8"/>
  <c r="L625" i="8"/>
  <c r="K625" i="8"/>
  <c r="J625" i="8"/>
  <c r="I625" i="8"/>
  <c r="H625" i="8"/>
  <c r="G625" i="8"/>
  <c r="F625" i="8"/>
  <c r="E625" i="8"/>
  <c r="D625" i="8"/>
  <c r="C625" i="8"/>
  <c r="B625" i="8"/>
  <c r="A625" i="8"/>
  <c r="W624" i="8"/>
  <c r="V624" i="8"/>
  <c r="U624" i="8"/>
  <c r="T624" i="8"/>
  <c r="S624" i="8"/>
  <c r="R624" i="8"/>
  <c r="Q624" i="8"/>
  <c r="P624" i="8"/>
  <c r="O624" i="8"/>
  <c r="N624" i="8"/>
  <c r="M624" i="8"/>
  <c r="L624" i="8"/>
  <c r="K624" i="8"/>
  <c r="J624" i="8"/>
  <c r="I624" i="8"/>
  <c r="H624" i="8"/>
  <c r="G624" i="8"/>
  <c r="F624" i="8"/>
  <c r="E624" i="8"/>
  <c r="D624" i="8"/>
  <c r="C624" i="8"/>
  <c r="B624" i="8"/>
  <c r="A624" i="8"/>
  <c r="W623" i="8"/>
  <c r="V623" i="8"/>
  <c r="U623" i="8"/>
  <c r="T623" i="8"/>
  <c r="S623" i="8"/>
  <c r="R623" i="8"/>
  <c r="Q623" i="8"/>
  <c r="P623" i="8"/>
  <c r="O623" i="8"/>
  <c r="N623" i="8"/>
  <c r="M623" i="8"/>
  <c r="L623" i="8"/>
  <c r="K623" i="8"/>
  <c r="J623" i="8"/>
  <c r="I623" i="8"/>
  <c r="H623" i="8"/>
  <c r="G623" i="8"/>
  <c r="F623" i="8"/>
  <c r="E623" i="8"/>
  <c r="D623" i="8"/>
  <c r="C623" i="8"/>
  <c r="B623" i="8"/>
  <c r="A623" i="8"/>
  <c r="W622" i="8"/>
  <c r="V622" i="8"/>
  <c r="U622" i="8"/>
  <c r="T622" i="8"/>
  <c r="S622" i="8"/>
  <c r="R622" i="8"/>
  <c r="Q622" i="8"/>
  <c r="P622" i="8"/>
  <c r="O622" i="8"/>
  <c r="N622" i="8"/>
  <c r="M622" i="8"/>
  <c r="L622" i="8"/>
  <c r="K622" i="8"/>
  <c r="J622" i="8"/>
  <c r="I622" i="8"/>
  <c r="H622" i="8"/>
  <c r="G622" i="8"/>
  <c r="F622" i="8"/>
  <c r="E622" i="8"/>
  <c r="D622" i="8"/>
  <c r="C622" i="8"/>
  <c r="B622" i="8"/>
  <c r="A622" i="8"/>
  <c r="W621" i="8"/>
  <c r="V621" i="8"/>
  <c r="U621" i="8"/>
  <c r="T621" i="8"/>
  <c r="S621" i="8"/>
  <c r="R621" i="8"/>
  <c r="Q621" i="8"/>
  <c r="P621" i="8"/>
  <c r="O621" i="8"/>
  <c r="N621" i="8"/>
  <c r="M621" i="8"/>
  <c r="L621" i="8"/>
  <c r="K621" i="8"/>
  <c r="J621" i="8"/>
  <c r="I621" i="8"/>
  <c r="H621" i="8"/>
  <c r="G621" i="8"/>
  <c r="F621" i="8"/>
  <c r="E621" i="8"/>
  <c r="D621" i="8"/>
  <c r="C621" i="8"/>
  <c r="B621" i="8"/>
  <c r="A621" i="8"/>
  <c r="W620" i="8"/>
  <c r="V620" i="8"/>
  <c r="U620" i="8"/>
  <c r="T620" i="8"/>
  <c r="S620" i="8"/>
  <c r="R620" i="8"/>
  <c r="Q620" i="8"/>
  <c r="P620" i="8"/>
  <c r="O620" i="8"/>
  <c r="N620" i="8"/>
  <c r="M620" i="8"/>
  <c r="L620" i="8"/>
  <c r="K620" i="8"/>
  <c r="J620" i="8"/>
  <c r="I620" i="8"/>
  <c r="H620" i="8"/>
  <c r="G620" i="8"/>
  <c r="F620" i="8"/>
  <c r="E620" i="8"/>
  <c r="D620" i="8"/>
  <c r="C620" i="8"/>
  <c r="B620" i="8"/>
  <c r="A620" i="8"/>
  <c r="W619" i="8"/>
  <c r="V619" i="8"/>
  <c r="U619" i="8"/>
  <c r="T619" i="8"/>
  <c r="S619" i="8"/>
  <c r="R619" i="8"/>
  <c r="Q619" i="8"/>
  <c r="P619" i="8"/>
  <c r="O619" i="8"/>
  <c r="N619" i="8"/>
  <c r="M619" i="8"/>
  <c r="L619" i="8"/>
  <c r="K619" i="8"/>
  <c r="J619" i="8"/>
  <c r="I619" i="8"/>
  <c r="H619" i="8"/>
  <c r="G619" i="8"/>
  <c r="F619" i="8"/>
  <c r="E619" i="8"/>
  <c r="D619" i="8"/>
  <c r="C619" i="8"/>
  <c r="B619" i="8"/>
  <c r="A619" i="8"/>
  <c r="W618" i="8"/>
  <c r="V618" i="8"/>
  <c r="U618" i="8"/>
  <c r="T618" i="8"/>
  <c r="S618" i="8"/>
  <c r="R618" i="8"/>
  <c r="Q618" i="8"/>
  <c r="P618" i="8"/>
  <c r="O618" i="8"/>
  <c r="N618" i="8"/>
  <c r="M618" i="8"/>
  <c r="L618" i="8"/>
  <c r="K618" i="8"/>
  <c r="J618" i="8"/>
  <c r="I618" i="8"/>
  <c r="H618" i="8"/>
  <c r="G618" i="8"/>
  <c r="F618" i="8"/>
  <c r="E618" i="8"/>
  <c r="D618" i="8"/>
  <c r="C618" i="8"/>
  <c r="B618" i="8"/>
  <c r="A618" i="8"/>
  <c r="W617" i="8"/>
  <c r="V617" i="8"/>
  <c r="U617" i="8"/>
  <c r="T617" i="8"/>
  <c r="S617" i="8"/>
  <c r="R617" i="8"/>
  <c r="Q617" i="8"/>
  <c r="P617" i="8"/>
  <c r="O617" i="8"/>
  <c r="N617" i="8"/>
  <c r="M617" i="8"/>
  <c r="L617" i="8"/>
  <c r="K617" i="8"/>
  <c r="J617" i="8"/>
  <c r="I617" i="8"/>
  <c r="H617" i="8"/>
  <c r="G617" i="8"/>
  <c r="F617" i="8"/>
  <c r="E617" i="8"/>
  <c r="D617" i="8"/>
  <c r="C617" i="8"/>
  <c r="B617" i="8"/>
  <c r="A617" i="8"/>
  <c r="W616" i="8"/>
  <c r="V616" i="8"/>
  <c r="U616" i="8"/>
  <c r="T616" i="8"/>
  <c r="S616" i="8"/>
  <c r="R616" i="8"/>
  <c r="Q616" i="8"/>
  <c r="P616" i="8"/>
  <c r="O616" i="8"/>
  <c r="N616" i="8"/>
  <c r="M616" i="8"/>
  <c r="L616" i="8"/>
  <c r="K616" i="8"/>
  <c r="J616" i="8"/>
  <c r="I616" i="8"/>
  <c r="H616" i="8"/>
  <c r="G616" i="8"/>
  <c r="F616" i="8"/>
  <c r="E616" i="8"/>
  <c r="D616" i="8"/>
  <c r="C616" i="8"/>
  <c r="B616" i="8"/>
  <c r="A616" i="8"/>
  <c r="W615" i="8"/>
  <c r="V615" i="8"/>
  <c r="U615" i="8"/>
  <c r="T615" i="8"/>
  <c r="S615" i="8"/>
  <c r="R615" i="8"/>
  <c r="Q615" i="8"/>
  <c r="P615" i="8"/>
  <c r="O615" i="8"/>
  <c r="N615" i="8"/>
  <c r="M615" i="8"/>
  <c r="L615" i="8"/>
  <c r="K615" i="8"/>
  <c r="J615" i="8"/>
  <c r="I615" i="8"/>
  <c r="H615" i="8"/>
  <c r="G615" i="8"/>
  <c r="F615" i="8"/>
  <c r="E615" i="8"/>
  <c r="D615" i="8"/>
  <c r="C615" i="8"/>
  <c r="B615" i="8"/>
  <c r="A615" i="8"/>
  <c r="W614" i="8"/>
  <c r="V614" i="8"/>
  <c r="U614" i="8"/>
  <c r="T614" i="8"/>
  <c r="S614" i="8"/>
  <c r="R614" i="8"/>
  <c r="Q614" i="8"/>
  <c r="P614" i="8"/>
  <c r="O614" i="8"/>
  <c r="N614" i="8"/>
  <c r="M614" i="8"/>
  <c r="L614" i="8"/>
  <c r="K614" i="8"/>
  <c r="J614" i="8"/>
  <c r="I614" i="8"/>
  <c r="H614" i="8"/>
  <c r="G614" i="8"/>
  <c r="F614" i="8"/>
  <c r="E614" i="8"/>
  <c r="D614" i="8"/>
  <c r="C614" i="8"/>
  <c r="B614" i="8"/>
  <c r="A614" i="8"/>
  <c r="W613" i="8"/>
  <c r="V613" i="8"/>
  <c r="U613" i="8"/>
  <c r="T613" i="8"/>
  <c r="S613" i="8"/>
  <c r="R613" i="8"/>
  <c r="Q613" i="8"/>
  <c r="P613" i="8"/>
  <c r="O613" i="8"/>
  <c r="N613" i="8"/>
  <c r="M613" i="8"/>
  <c r="L613" i="8"/>
  <c r="K613" i="8"/>
  <c r="J613" i="8"/>
  <c r="I613" i="8"/>
  <c r="H613" i="8"/>
  <c r="G613" i="8"/>
  <c r="F613" i="8"/>
  <c r="E613" i="8"/>
  <c r="D613" i="8"/>
  <c r="C613" i="8"/>
  <c r="B613" i="8"/>
  <c r="A613" i="8"/>
  <c r="W612" i="8"/>
  <c r="V612" i="8"/>
  <c r="U612" i="8"/>
  <c r="T612" i="8"/>
  <c r="S612" i="8"/>
  <c r="R612" i="8"/>
  <c r="Q612" i="8"/>
  <c r="P612" i="8"/>
  <c r="O612" i="8"/>
  <c r="N612" i="8"/>
  <c r="M612" i="8"/>
  <c r="L612" i="8"/>
  <c r="K612" i="8"/>
  <c r="J612" i="8"/>
  <c r="I612" i="8"/>
  <c r="H612" i="8"/>
  <c r="G612" i="8"/>
  <c r="F612" i="8"/>
  <c r="E612" i="8"/>
  <c r="D612" i="8"/>
  <c r="C612" i="8"/>
  <c r="B612" i="8"/>
  <c r="A612" i="8"/>
  <c r="W611" i="8"/>
  <c r="V611" i="8"/>
  <c r="U611" i="8"/>
  <c r="T611" i="8"/>
  <c r="S611" i="8"/>
  <c r="R611" i="8"/>
  <c r="Q611" i="8"/>
  <c r="P611" i="8"/>
  <c r="O611" i="8"/>
  <c r="N611" i="8"/>
  <c r="M611" i="8"/>
  <c r="L611" i="8"/>
  <c r="K611" i="8"/>
  <c r="J611" i="8"/>
  <c r="I611" i="8"/>
  <c r="H611" i="8"/>
  <c r="G611" i="8"/>
  <c r="F611" i="8"/>
  <c r="E611" i="8"/>
  <c r="D611" i="8"/>
  <c r="C611" i="8"/>
  <c r="B611" i="8"/>
  <c r="A611" i="8"/>
  <c r="W610" i="8"/>
  <c r="V610" i="8"/>
  <c r="U610" i="8"/>
  <c r="T610" i="8"/>
  <c r="S610" i="8"/>
  <c r="R610" i="8"/>
  <c r="Q610" i="8"/>
  <c r="P610" i="8"/>
  <c r="O610" i="8"/>
  <c r="N610" i="8"/>
  <c r="M610" i="8"/>
  <c r="L610" i="8"/>
  <c r="K610" i="8"/>
  <c r="J610" i="8"/>
  <c r="I610" i="8"/>
  <c r="H610" i="8"/>
  <c r="G610" i="8"/>
  <c r="F610" i="8"/>
  <c r="E610" i="8"/>
  <c r="D610" i="8"/>
  <c r="C610" i="8"/>
  <c r="B610" i="8"/>
  <c r="A610" i="8"/>
  <c r="W609" i="8"/>
  <c r="V609" i="8"/>
  <c r="U609" i="8"/>
  <c r="T609" i="8"/>
  <c r="S609" i="8"/>
  <c r="R609" i="8"/>
  <c r="Q609" i="8"/>
  <c r="P609" i="8"/>
  <c r="O609" i="8"/>
  <c r="N609" i="8"/>
  <c r="M609" i="8"/>
  <c r="L609" i="8"/>
  <c r="K609" i="8"/>
  <c r="J609" i="8"/>
  <c r="I609" i="8"/>
  <c r="H609" i="8"/>
  <c r="G609" i="8"/>
  <c r="F609" i="8"/>
  <c r="E609" i="8"/>
  <c r="D609" i="8"/>
  <c r="C609" i="8"/>
  <c r="B609" i="8"/>
  <c r="A609" i="8"/>
  <c r="W608" i="8"/>
  <c r="V608" i="8"/>
  <c r="U608" i="8"/>
  <c r="T608" i="8"/>
  <c r="S608" i="8"/>
  <c r="R608" i="8"/>
  <c r="Q608" i="8"/>
  <c r="P608" i="8"/>
  <c r="O608" i="8"/>
  <c r="N608" i="8"/>
  <c r="M608" i="8"/>
  <c r="L608" i="8"/>
  <c r="K608" i="8"/>
  <c r="J608" i="8"/>
  <c r="I608" i="8"/>
  <c r="H608" i="8"/>
  <c r="G608" i="8"/>
  <c r="F608" i="8"/>
  <c r="E608" i="8"/>
  <c r="D608" i="8"/>
  <c r="C608" i="8"/>
  <c r="B608" i="8"/>
  <c r="A608" i="8"/>
  <c r="W607" i="8"/>
  <c r="V607" i="8"/>
  <c r="U607" i="8"/>
  <c r="T607" i="8"/>
  <c r="S607" i="8"/>
  <c r="R607" i="8"/>
  <c r="Q607" i="8"/>
  <c r="P607" i="8"/>
  <c r="O607" i="8"/>
  <c r="N607" i="8"/>
  <c r="M607" i="8"/>
  <c r="L607" i="8"/>
  <c r="K607" i="8"/>
  <c r="J607" i="8"/>
  <c r="I607" i="8"/>
  <c r="H607" i="8"/>
  <c r="G607" i="8"/>
  <c r="F607" i="8"/>
  <c r="E607" i="8"/>
  <c r="D607" i="8"/>
  <c r="C607" i="8"/>
  <c r="B607" i="8"/>
  <c r="A607" i="8"/>
  <c r="W606" i="8"/>
  <c r="V606" i="8"/>
  <c r="U606" i="8"/>
  <c r="T606" i="8"/>
  <c r="S606" i="8"/>
  <c r="R606" i="8"/>
  <c r="Q606" i="8"/>
  <c r="P606" i="8"/>
  <c r="O606" i="8"/>
  <c r="N606" i="8"/>
  <c r="M606" i="8"/>
  <c r="L606" i="8"/>
  <c r="K606" i="8"/>
  <c r="J606" i="8"/>
  <c r="I606" i="8"/>
  <c r="H606" i="8"/>
  <c r="G606" i="8"/>
  <c r="F606" i="8"/>
  <c r="E606" i="8"/>
  <c r="D606" i="8"/>
  <c r="C606" i="8"/>
  <c r="B606" i="8"/>
  <c r="A606" i="8"/>
  <c r="W605" i="8"/>
  <c r="V605" i="8"/>
  <c r="U605" i="8"/>
  <c r="T605" i="8"/>
  <c r="S605" i="8"/>
  <c r="R605" i="8"/>
  <c r="Q605" i="8"/>
  <c r="P605" i="8"/>
  <c r="O605" i="8"/>
  <c r="N605" i="8"/>
  <c r="M605" i="8"/>
  <c r="L605" i="8"/>
  <c r="K605" i="8"/>
  <c r="J605" i="8"/>
  <c r="I605" i="8"/>
  <c r="H605" i="8"/>
  <c r="G605" i="8"/>
  <c r="F605" i="8"/>
  <c r="E605" i="8"/>
  <c r="D605" i="8"/>
  <c r="C605" i="8"/>
  <c r="B605" i="8"/>
  <c r="A605" i="8"/>
  <c r="W604" i="8"/>
  <c r="V604" i="8"/>
  <c r="U604" i="8"/>
  <c r="T604" i="8"/>
  <c r="S604" i="8"/>
  <c r="R604" i="8"/>
  <c r="Q604" i="8"/>
  <c r="P604" i="8"/>
  <c r="O604" i="8"/>
  <c r="N604" i="8"/>
  <c r="M604" i="8"/>
  <c r="L604" i="8"/>
  <c r="K604" i="8"/>
  <c r="J604" i="8"/>
  <c r="I604" i="8"/>
  <c r="H604" i="8"/>
  <c r="G604" i="8"/>
  <c r="F604" i="8"/>
  <c r="E604" i="8"/>
  <c r="D604" i="8"/>
  <c r="C604" i="8"/>
  <c r="B604" i="8"/>
  <c r="A604" i="8"/>
  <c r="W603" i="8"/>
  <c r="V603" i="8"/>
  <c r="U603" i="8"/>
  <c r="T603" i="8"/>
  <c r="S603" i="8"/>
  <c r="R603" i="8"/>
  <c r="Q603" i="8"/>
  <c r="P603" i="8"/>
  <c r="O603" i="8"/>
  <c r="N603" i="8"/>
  <c r="M603" i="8"/>
  <c r="L603" i="8"/>
  <c r="K603" i="8"/>
  <c r="J603" i="8"/>
  <c r="I603" i="8"/>
  <c r="H603" i="8"/>
  <c r="G603" i="8"/>
  <c r="F603" i="8"/>
  <c r="E603" i="8"/>
  <c r="D603" i="8"/>
  <c r="C603" i="8"/>
  <c r="B603" i="8"/>
  <c r="A603" i="8"/>
  <c r="W602" i="8"/>
  <c r="V602" i="8"/>
  <c r="U602" i="8"/>
  <c r="T602" i="8"/>
  <c r="S602" i="8"/>
  <c r="R602" i="8"/>
  <c r="Q602" i="8"/>
  <c r="P602" i="8"/>
  <c r="O602" i="8"/>
  <c r="N602" i="8"/>
  <c r="M602" i="8"/>
  <c r="L602" i="8"/>
  <c r="K602" i="8"/>
  <c r="J602" i="8"/>
  <c r="I602" i="8"/>
  <c r="H602" i="8"/>
  <c r="G602" i="8"/>
  <c r="F602" i="8"/>
  <c r="E602" i="8"/>
  <c r="D602" i="8"/>
  <c r="C602" i="8"/>
  <c r="B602" i="8"/>
  <c r="A602" i="8"/>
  <c r="W601" i="8"/>
  <c r="V601" i="8"/>
  <c r="U601" i="8"/>
  <c r="T601" i="8"/>
  <c r="S601" i="8"/>
  <c r="R601" i="8"/>
  <c r="Q601" i="8"/>
  <c r="P601" i="8"/>
  <c r="O601" i="8"/>
  <c r="N601" i="8"/>
  <c r="M601" i="8"/>
  <c r="L601" i="8"/>
  <c r="K601" i="8"/>
  <c r="J601" i="8"/>
  <c r="I601" i="8"/>
  <c r="H601" i="8"/>
  <c r="G601" i="8"/>
  <c r="F601" i="8"/>
  <c r="E601" i="8"/>
  <c r="D601" i="8"/>
  <c r="C601" i="8"/>
  <c r="B601" i="8"/>
  <c r="A601" i="8"/>
  <c r="W600" i="8"/>
  <c r="V600" i="8"/>
  <c r="U600" i="8"/>
  <c r="T600" i="8"/>
  <c r="S600" i="8"/>
  <c r="R600" i="8"/>
  <c r="Q600" i="8"/>
  <c r="P600" i="8"/>
  <c r="O600" i="8"/>
  <c r="N600" i="8"/>
  <c r="M600" i="8"/>
  <c r="L600" i="8"/>
  <c r="K600" i="8"/>
  <c r="J600" i="8"/>
  <c r="I600" i="8"/>
  <c r="H600" i="8"/>
  <c r="G600" i="8"/>
  <c r="F600" i="8"/>
  <c r="E600" i="8"/>
  <c r="D600" i="8"/>
  <c r="C600" i="8"/>
  <c r="B600" i="8"/>
  <c r="A600" i="8"/>
  <c r="W599" i="8"/>
  <c r="V599" i="8"/>
  <c r="U599" i="8"/>
  <c r="T599" i="8"/>
  <c r="S599" i="8"/>
  <c r="R599" i="8"/>
  <c r="Q599" i="8"/>
  <c r="P599" i="8"/>
  <c r="O599" i="8"/>
  <c r="N599" i="8"/>
  <c r="M599" i="8"/>
  <c r="L599" i="8"/>
  <c r="K599" i="8"/>
  <c r="J599" i="8"/>
  <c r="I599" i="8"/>
  <c r="H599" i="8"/>
  <c r="G599" i="8"/>
  <c r="F599" i="8"/>
  <c r="E599" i="8"/>
  <c r="D599" i="8"/>
  <c r="C599" i="8"/>
  <c r="B599" i="8"/>
  <c r="A599" i="8"/>
  <c r="W598" i="8"/>
  <c r="V598" i="8"/>
  <c r="U598" i="8"/>
  <c r="T598" i="8"/>
  <c r="S598" i="8"/>
  <c r="R598" i="8"/>
  <c r="Q598" i="8"/>
  <c r="P598" i="8"/>
  <c r="O598" i="8"/>
  <c r="N598" i="8"/>
  <c r="M598" i="8"/>
  <c r="L598" i="8"/>
  <c r="K598" i="8"/>
  <c r="J598" i="8"/>
  <c r="I598" i="8"/>
  <c r="H598" i="8"/>
  <c r="G598" i="8"/>
  <c r="F598" i="8"/>
  <c r="E598" i="8"/>
  <c r="D598" i="8"/>
  <c r="C598" i="8"/>
  <c r="B598" i="8"/>
  <c r="A598" i="8"/>
  <c r="W597" i="8"/>
  <c r="V597" i="8"/>
  <c r="U597" i="8"/>
  <c r="T597" i="8"/>
  <c r="S597" i="8"/>
  <c r="R597" i="8"/>
  <c r="Q597" i="8"/>
  <c r="P597" i="8"/>
  <c r="O597" i="8"/>
  <c r="N597" i="8"/>
  <c r="M597" i="8"/>
  <c r="L597" i="8"/>
  <c r="K597" i="8"/>
  <c r="J597" i="8"/>
  <c r="I597" i="8"/>
  <c r="H597" i="8"/>
  <c r="G597" i="8"/>
  <c r="F597" i="8"/>
  <c r="E597" i="8"/>
  <c r="D597" i="8"/>
  <c r="C597" i="8"/>
  <c r="B597" i="8"/>
  <c r="A597" i="8"/>
  <c r="W596" i="8"/>
  <c r="V596" i="8"/>
  <c r="U596" i="8"/>
  <c r="T596" i="8"/>
  <c r="S596" i="8"/>
  <c r="R596" i="8"/>
  <c r="Q596" i="8"/>
  <c r="P596" i="8"/>
  <c r="O596" i="8"/>
  <c r="N596" i="8"/>
  <c r="M596" i="8"/>
  <c r="L596" i="8"/>
  <c r="K596" i="8"/>
  <c r="J596" i="8"/>
  <c r="I596" i="8"/>
  <c r="H596" i="8"/>
  <c r="G596" i="8"/>
  <c r="F596" i="8"/>
  <c r="E596" i="8"/>
  <c r="D596" i="8"/>
  <c r="C596" i="8"/>
  <c r="B596" i="8"/>
  <c r="A596" i="8"/>
  <c r="W595" i="8"/>
  <c r="V595" i="8"/>
  <c r="U595" i="8"/>
  <c r="T595" i="8"/>
  <c r="S595" i="8"/>
  <c r="R595" i="8"/>
  <c r="Q595" i="8"/>
  <c r="P595" i="8"/>
  <c r="O595" i="8"/>
  <c r="N595" i="8"/>
  <c r="M595" i="8"/>
  <c r="L595" i="8"/>
  <c r="K595" i="8"/>
  <c r="J595" i="8"/>
  <c r="I595" i="8"/>
  <c r="H595" i="8"/>
  <c r="G595" i="8"/>
  <c r="F595" i="8"/>
  <c r="E595" i="8"/>
  <c r="D595" i="8"/>
  <c r="C595" i="8"/>
  <c r="B595" i="8"/>
  <c r="A595" i="8"/>
  <c r="W594" i="8"/>
  <c r="V594" i="8"/>
  <c r="U594" i="8"/>
  <c r="T594" i="8"/>
  <c r="S594" i="8"/>
  <c r="R594" i="8"/>
  <c r="Q594" i="8"/>
  <c r="P594" i="8"/>
  <c r="O594" i="8"/>
  <c r="N594" i="8"/>
  <c r="M594" i="8"/>
  <c r="L594" i="8"/>
  <c r="K594" i="8"/>
  <c r="J594" i="8"/>
  <c r="I594" i="8"/>
  <c r="H594" i="8"/>
  <c r="G594" i="8"/>
  <c r="F594" i="8"/>
  <c r="E594" i="8"/>
  <c r="D594" i="8"/>
  <c r="C594" i="8"/>
  <c r="B594" i="8"/>
  <c r="A594" i="8"/>
  <c r="W593" i="8"/>
  <c r="V593" i="8"/>
  <c r="U593" i="8"/>
  <c r="T593" i="8"/>
  <c r="S593" i="8"/>
  <c r="R593" i="8"/>
  <c r="Q593" i="8"/>
  <c r="P593" i="8"/>
  <c r="O593" i="8"/>
  <c r="N593" i="8"/>
  <c r="M593" i="8"/>
  <c r="L593" i="8"/>
  <c r="K593" i="8"/>
  <c r="J593" i="8"/>
  <c r="I593" i="8"/>
  <c r="H593" i="8"/>
  <c r="G593" i="8"/>
  <c r="F593" i="8"/>
  <c r="E593" i="8"/>
  <c r="D593" i="8"/>
  <c r="C593" i="8"/>
  <c r="B593" i="8"/>
  <c r="A593" i="8"/>
  <c r="W592" i="8"/>
  <c r="V592" i="8"/>
  <c r="U592" i="8"/>
  <c r="T592" i="8"/>
  <c r="S592" i="8"/>
  <c r="R592" i="8"/>
  <c r="Q592" i="8"/>
  <c r="P592" i="8"/>
  <c r="O592" i="8"/>
  <c r="N592" i="8"/>
  <c r="M592" i="8"/>
  <c r="L592" i="8"/>
  <c r="K592" i="8"/>
  <c r="J592" i="8"/>
  <c r="I592" i="8"/>
  <c r="H592" i="8"/>
  <c r="G592" i="8"/>
  <c r="F592" i="8"/>
  <c r="E592" i="8"/>
  <c r="D592" i="8"/>
  <c r="C592" i="8"/>
  <c r="B592" i="8"/>
  <c r="A592" i="8"/>
  <c r="W591" i="8"/>
  <c r="V591" i="8"/>
  <c r="U591" i="8"/>
  <c r="T591" i="8"/>
  <c r="S591" i="8"/>
  <c r="R591" i="8"/>
  <c r="Q591" i="8"/>
  <c r="P591" i="8"/>
  <c r="O591" i="8"/>
  <c r="N591" i="8"/>
  <c r="M591" i="8"/>
  <c r="L591" i="8"/>
  <c r="K591" i="8"/>
  <c r="J591" i="8"/>
  <c r="I591" i="8"/>
  <c r="H591" i="8"/>
  <c r="G591" i="8"/>
  <c r="F591" i="8"/>
  <c r="E591" i="8"/>
  <c r="D591" i="8"/>
  <c r="C591" i="8"/>
  <c r="B591" i="8"/>
  <c r="A591" i="8"/>
  <c r="W590" i="8"/>
  <c r="V590" i="8"/>
  <c r="U590" i="8"/>
  <c r="T590" i="8"/>
  <c r="S590" i="8"/>
  <c r="R590" i="8"/>
  <c r="Q590" i="8"/>
  <c r="P590" i="8"/>
  <c r="O590" i="8"/>
  <c r="N590" i="8"/>
  <c r="M590" i="8"/>
  <c r="L590" i="8"/>
  <c r="K590" i="8"/>
  <c r="J590" i="8"/>
  <c r="I590" i="8"/>
  <c r="H590" i="8"/>
  <c r="G590" i="8"/>
  <c r="F590" i="8"/>
  <c r="E590" i="8"/>
  <c r="D590" i="8"/>
  <c r="C590" i="8"/>
  <c r="B590" i="8"/>
  <c r="A590" i="8"/>
  <c r="W589" i="8"/>
  <c r="V589" i="8"/>
  <c r="U589" i="8"/>
  <c r="T589" i="8"/>
  <c r="S589" i="8"/>
  <c r="R589" i="8"/>
  <c r="Q589" i="8"/>
  <c r="P589" i="8"/>
  <c r="O589" i="8"/>
  <c r="N589" i="8"/>
  <c r="M589" i="8"/>
  <c r="L589" i="8"/>
  <c r="K589" i="8"/>
  <c r="J589" i="8"/>
  <c r="I589" i="8"/>
  <c r="H589" i="8"/>
  <c r="G589" i="8"/>
  <c r="F589" i="8"/>
  <c r="E589" i="8"/>
  <c r="D589" i="8"/>
  <c r="C589" i="8"/>
  <c r="B589" i="8"/>
  <c r="A589" i="8"/>
  <c r="W588" i="8"/>
  <c r="V588" i="8"/>
  <c r="U588" i="8"/>
  <c r="T588" i="8"/>
  <c r="S588" i="8"/>
  <c r="R588" i="8"/>
  <c r="Q588" i="8"/>
  <c r="P588" i="8"/>
  <c r="O588" i="8"/>
  <c r="N588" i="8"/>
  <c r="M588" i="8"/>
  <c r="L588" i="8"/>
  <c r="K588" i="8"/>
  <c r="J588" i="8"/>
  <c r="I588" i="8"/>
  <c r="H588" i="8"/>
  <c r="G588" i="8"/>
  <c r="F588" i="8"/>
  <c r="E588" i="8"/>
  <c r="D588" i="8"/>
  <c r="C588" i="8"/>
  <c r="B588" i="8"/>
  <c r="A588" i="8"/>
  <c r="W587" i="8"/>
  <c r="V587" i="8"/>
  <c r="U587" i="8"/>
  <c r="T587" i="8"/>
  <c r="S587" i="8"/>
  <c r="R587" i="8"/>
  <c r="Q587" i="8"/>
  <c r="P587" i="8"/>
  <c r="O587" i="8"/>
  <c r="N587" i="8"/>
  <c r="M587" i="8"/>
  <c r="L587" i="8"/>
  <c r="K587" i="8"/>
  <c r="J587" i="8"/>
  <c r="I587" i="8"/>
  <c r="H587" i="8"/>
  <c r="G587" i="8"/>
  <c r="F587" i="8"/>
  <c r="E587" i="8"/>
  <c r="D587" i="8"/>
  <c r="C587" i="8"/>
  <c r="B587" i="8"/>
  <c r="A587" i="8"/>
  <c r="W586" i="8"/>
  <c r="V586" i="8"/>
  <c r="U586" i="8"/>
  <c r="T586" i="8"/>
  <c r="S586" i="8"/>
  <c r="R586" i="8"/>
  <c r="Q586" i="8"/>
  <c r="P586" i="8"/>
  <c r="O586" i="8"/>
  <c r="N586" i="8"/>
  <c r="M586" i="8"/>
  <c r="L586" i="8"/>
  <c r="K586" i="8"/>
  <c r="J586" i="8"/>
  <c r="I586" i="8"/>
  <c r="H586" i="8"/>
  <c r="G586" i="8"/>
  <c r="F586" i="8"/>
  <c r="E586" i="8"/>
  <c r="D586" i="8"/>
  <c r="C586" i="8"/>
  <c r="B586" i="8"/>
  <c r="A586" i="8"/>
  <c r="W585" i="8"/>
  <c r="V585" i="8"/>
  <c r="U585" i="8"/>
  <c r="T585" i="8"/>
  <c r="S585" i="8"/>
  <c r="R585" i="8"/>
  <c r="Q585" i="8"/>
  <c r="P585" i="8"/>
  <c r="O585" i="8"/>
  <c r="N585" i="8"/>
  <c r="M585" i="8"/>
  <c r="L585" i="8"/>
  <c r="K585" i="8"/>
  <c r="J585" i="8"/>
  <c r="I585" i="8"/>
  <c r="H585" i="8"/>
  <c r="G585" i="8"/>
  <c r="F585" i="8"/>
  <c r="E585" i="8"/>
  <c r="D585" i="8"/>
  <c r="C585" i="8"/>
  <c r="B585" i="8"/>
  <c r="A585" i="8"/>
  <c r="W584" i="8"/>
  <c r="V584" i="8"/>
  <c r="U584" i="8"/>
  <c r="T584" i="8"/>
  <c r="S584" i="8"/>
  <c r="R584" i="8"/>
  <c r="Q584" i="8"/>
  <c r="P584" i="8"/>
  <c r="O584" i="8"/>
  <c r="N584" i="8"/>
  <c r="M584" i="8"/>
  <c r="L584" i="8"/>
  <c r="K584" i="8"/>
  <c r="J584" i="8"/>
  <c r="I584" i="8"/>
  <c r="H584" i="8"/>
  <c r="G584" i="8"/>
  <c r="F584" i="8"/>
  <c r="E584" i="8"/>
  <c r="D584" i="8"/>
  <c r="C584" i="8"/>
  <c r="B584" i="8"/>
  <c r="A584" i="8"/>
  <c r="W583" i="8"/>
  <c r="V583" i="8"/>
  <c r="U583" i="8"/>
  <c r="T583" i="8"/>
  <c r="S583" i="8"/>
  <c r="R583" i="8"/>
  <c r="Q583" i="8"/>
  <c r="P583" i="8"/>
  <c r="O583" i="8"/>
  <c r="N583" i="8"/>
  <c r="M583" i="8"/>
  <c r="L583" i="8"/>
  <c r="K583" i="8"/>
  <c r="J583" i="8"/>
  <c r="I583" i="8"/>
  <c r="H583" i="8"/>
  <c r="G583" i="8"/>
  <c r="F583" i="8"/>
  <c r="E583" i="8"/>
  <c r="D583" i="8"/>
  <c r="C583" i="8"/>
  <c r="B583" i="8"/>
  <c r="A583" i="8"/>
  <c r="W582" i="8"/>
  <c r="V582" i="8"/>
  <c r="U582" i="8"/>
  <c r="T582" i="8"/>
  <c r="S582" i="8"/>
  <c r="R582" i="8"/>
  <c r="Q582" i="8"/>
  <c r="P582" i="8"/>
  <c r="O582" i="8"/>
  <c r="N582" i="8"/>
  <c r="M582" i="8"/>
  <c r="L582" i="8"/>
  <c r="K582" i="8"/>
  <c r="J582" i="8"/>
  <c r="I582" i="8"/>
  <c r="H582" i="8"/>
  <c r="G582" i="8"/>
  <c r="F582" i="8"/>
  <c r="E582" i="8"/>
  <c r="D582" i="8"/>
  <c r="C582" i="8"/>
  <c r="B582" i="8"/>
  <c r="A582" i="8"/>
  <c r="W581" i="8"/>
  <c r="V581" i="8"/>
  <c r="U581" i="8"/>
  <c r="T581" i="8"/>
  <c r="S581" i="8"/>
  <c r="R581" i="8"/>
  <c r="Q581" i="8"/>
  <c r="P581" i="8"/>
  <c r="O581" i="8"/>
  <c r="N581" i="8"/>
  <c r="M581" i="8"/>
  <c r="L581" i="8"/>
  <c r="K581" i="8"/>
  <c r="J581" i="8"/>
  <c r="I581" i="8"/>
  <c r="H581" i="8"/>
  <c r="G581" i="8"/>
  <c r="F581" i="8"/>
  <c r="E581" i="8"/>
  <c r="D581" i="8"/>
  <c r="C581" i="8"/>
  <c r="B581" i="8"/>
  <c r="A581" i="8"/>
  <c r="W580" i="8"/>
  <c r="V580" i="8"/>
  <c r="U580" i="8"/>
  <c r="T580" i="8"/>
  <c r="S580" i="8"/>
  <c r="R580" i="8"/>
  <c r="Q580" i="8"/>
  <c r="P580" i="8"/>
  <c r="O580" i="8"/>
  <c r="N580" i="8"/>
  <c r="M580" i="8"/>
  <c r="L580" i="8"/>
  <c r="K580" i="8"/>
  <c r="J580" i="8"/>
  <c r="I580" i="8"/>
  <c r="H580" i="8"/>
  <c r="G580" i="8"/>
  <c r="F580" i="8"/>
  <c r="E580" i="8"/>
  <c r="D580" i="8"/>
  <c r="C580" i="8"/>
  <c r="B580" i="8"/>
  <c r="A580" i="8"/>
  <c r="W579" i="8"/>
  <c r="V579" i="8"/>
  <c r="U579" i="8"/>
  <c r="T579" i="8"/>
  <c r="S579" i="8"/>
  <c r="R579" i="8"/>
  <c r="Q579" i="8"/>
  <c r="P579" i="8"/>
  <c r="O579" i="8"/>
  <c r="N579" i="8"/>
  <c r="M579" i="8"/>
  <c r="L579" i="8"/>
  <c r="K579" i="8"/>
  <c r="J579" i="8"/>
  <c r="I579" i="8"/>
  <c r="H579" i="8"/>
  <c r="G579" i="8"/>
  <c r="F579" i="8"/>
  <c r="E579" i="8"/>
  <c r="D579" i="8"/>
  <c r="C579" i="8"/>
  <c r="B579" i="8"/>
  <c r="A579" i="8"/>
  <c r="W578" i="8"/>
  <c r="V578" i="8"/>
  <c r="U578" i="8"/>
  <c r="T578" i="8"/>
  <c r="S578" i="8"/>
  <c r="R578" i="8"/>
  <c r="Q578" i="8"/>
  <c r="P578" i="8"/>
  <c r="O578" i="8"/>
  <c r="N578" i="8"/>
  <c r="M578" i="8"/>
  <c r="L578" i="8"/>
  <c r="K578" i="8"/>
  <c r="J578" i="8"/>
  <c r="I578" i="8"/>
  <c r="H578" i="8"/>
  <c r="G578" i="8"/>
  <c r="F578" i="8"/>
  <c r="E578" i="8"/>
  <c r="D578" i="8"/>
  <c r="C578" i="8"/>
  <c r="B578" i="8"/>
  <c r="A578" i="8"/>
  <c r="W577" i="8"/>
  <c r="V577" i="8"/>
  <c r="U577" i="8"/>
  <c r="T577" i="8"/>
  <c r="S577" i="8"/>
  <c r="R577" i="8"/>
  <c r="Q577" i="8"/>
  <c r="P577" i="8"/>
  <c r="O577" i="8"/>
  <c r="N577" i="8"/>
  <c r="M577" i="8"/>
  <c r="L577" i="8"/>
  <c r="K577" i="8"/>
  <c r="J577" i="8"/>
  <c r="I577" i="8"/>
  <c r="H577" i="8"/>
  <c r="G577" i="8"/>
  <c r="F577" i="8"/>
  <c r="E577" i="8"/>
  <c r="D577" i="8"/>
  <c r="C577" i="8"/>
  <c r="B577" i="8"/>
  <c r="A577" i="8"/>
  <c r="W576" i="8"/>
  <c r="V576" i="8"/>
  <c r="U576" i="8"/>
  <c r="T576" i="8"/>
  <c r="S576" i="8"/>
  <c r="R576" i="8"/>
  <c r="Q576" i="8"/>
  <c r="P576" i="8"/>
  <c r="O576" i="8"/>
  <c r="N576" i="8"/>
  <c r="M576" i="8"/>
  <c r="L576" i="8"/>
  <c r="K576" i="8"/>
  <c r="J576" i="8"/>
  <c r="I576" i="8"/>
  <c r="H576" i="8"/>
  <c r="G576" i="8"/>
  <c r="F576" i="8"/>
  <c r="E576" i="8"/>
  <c r="D576" i="8"/>
  <c r="C576" i="8"/>
  <c r="B576" i="8"/>
  <c r="A576" i="8"/>
  <c r="W575" i="8"/>
  <c r="V575" i="8"/>
  <c r="U575" i="8"/>
  <c r="T575" i="8"/>
  <c r="S575" i="8"/>
  <c r="R575" i="8"/>
  <c r="Q575" i="8"/>
  <c r="P575" i="8"/>
  <c r="O575" i="8"/>
  <c r="N575" i="8"/>
  <c r="M575" i="8"/>
  <c r="L575" i="8"/>
  <c r="K575" i="8"/>
  <c r="J575" i="8"/>
  <c r="I575" i="8"/>
  <c r="H575" i="8"/>
  <c r="G575" i="8"/>
  <c r="F575" i="8"/>
  <c r="E575" i="8"/>
  <c r="D575" i="8"/>
  <c r="C575" i="8"/>
  <c r="B575" i="8"/>
  <c r="A575" i="8"/>
  <c r="W574" i="8"/>
  <c r="V574" i="8"/>
  <c r="U574" i="8"/>
  <c r="T574" i="8"/>
  <c r="S574" i="8"/>
  <c r="R574" i="8"/>
  <c r="Q574" i="8"/>
  <c r="P574" i="8"/>
  <c r="O574" i="8"/>
  <c r="N574" i="8"/>
  <c r="M574" i="8"/>
  <c r="L574" i="8"/>
  <c r="K574" i="8"/>
  <c r="J574" i="8"/>
  <c r="I574" i="8"/>
  <c r="H574" i="8"/>
  <c r="G574" i="8"/>
  <c r="F574" i="8"/>
  <c r="E574" i="8"/>
  <c r="D574" i="8"/>
  <c r="C574" i="8"/>
  <c r="B574" i="8"/>
  <c r="A574" i="8"/>
  <c r="W573" i="8"/>
  <c r="V573" i="8"/>
  <c r="U573" i="8"/>
  <c r="T573" i="8"/>
  <c r="S573" i="8"/>
  <c r="R573" i="8"/>
  <c r="Q573" i="8"/>
  <c r="P573" i="8"/>
  <c r="O573" i="8"/>
  <c r="N573" i="8"/>
  <c r="M573" i="8"/>
  <c r="L573" i="8"/>
  <c r="K573" i="8"/>
  <c r="J573" i="8"/>
  <c r="I573" i="8"/>
  <c r="H573" i="8"/>
  <c r="G573" i="8"/>
  <c r="F573" i="8"/>
  <c r="E573" i="8"/>
  <c r="D573" i="8"/>
  <c r="C573" i="8"/>
  <c r="B573" i="8"/>
  <c r="A573" i="8"/>
  <c r="W572" i="8"/>
  <c r="V572" i="8"/>
  <c r="U572" i="8"/>
  <c r="T572" i="8"/>
  <c r="S572" i="8"/>
  <c r="R572" i="8"/>
  <c r="Q572" i="8"/>
  <c r="P572" i="8"/>
  <c r="O572" i="8"/>
  <c r="N572" i="8"/>
  <c r="M572" i="8"/>
  <c r="L572" i="8"/>
  <c r="K572" i="8"/>
  <c r="J572" i="8"/>
  <c r="I572" i="8"/>
  <c r="H572" i="8"/>
  <c r="G572" i="8"/>
  <c r="F572" i="8"/>
  <c r="E572" i="8"/>
  <c r="D572" i="8"/>
  <c r="C572" i="8"/>
  <c r="B572" i="8"/>
  <c r="A572" i="8"/>
  <c r="W571" i="8"/>
  <c r="V571" i="8"/>
  <c r="U571" i="8"/>
  <c r="T571" i="8"/>
  <c r="S571" i="8"/>
  <c r="R571" i="8"/>
  <c r="Q571" i="8"/>
  <c r="P571" i="8"/>
  <c r="O571" i="8"/>
  <c r="N571" i="8"/>
  <c r="M571" i="8"/>
  <c r="L571" i="8"/>
  <c r="K571" i="8"/>
  <c r="J571" i="8"/>
  <c r="I571" i="8"/>
  <c r="H571" i="8"/>
  <c r="G571" i="8"/>
  <c r="F571" i="8"/>
  <c r="E571" i="8"/>
  <c r="D571" i="8"/>
  <c r="C571" i="8"/>
  <c r="B571" i="8"/>
  <c r="A571" i="8"/>
  <c r="W570" i="8"/>
  <c r="V570" i="8"/>
  <c r="U570" i="8"/>
  <c r="T570" i="8"/>
  <c r="S570" i="8"/>
  <c r="R570" i="8"/>
  <c r="Q570" i="8"/>
  <c r="P570" i="8"/>
  <c r="O570" i="8"/>
  <c r="N570" i="8"/>
  <c r="M570" i="8"/>
  <c r="L570" i="8"/>
  <c r="K570" i="8"/>
  <c r="J570" i="8"/>
  <c r="I570" i="8"/>
  <c r="H570" i="8"/>
  <c r="G570" i="8"/>
  <c r="F570" i="8"/>
  <c r="E570" i="8"/>
  <c r="D570" i="8"/>
  <c r="C570" i="8"/>
  <c r="B570" i="8"/>
  <c r="A570" i="8"/>
  <c r="W569" i="8"/>
  <c r="V569" i="8"/>
  <c r="U569" i="8"/>
  <c r="T569" i="8"/>
  <c r="S569" i="8"/>
  <c r="R569" i="8"/>
  <c r="Q569" i="8"/>
  <c r="P569" i="8"/>
  <c r="O569" i="8"/>
  <c r="N569" i="8"/>
  <c r="M569" i="8"/>
  <c r="L569" i="8"/>
  <c r="K569" i="8"/>
  <c r="J569" i="8"/>
  <c r="I569" i="8"/>
  <c r="H569" i="8"/>
  <c r="G569" i="8"/>
  <c r="F569" i="8"/>
  <c r="E569" i="8"/>
  <c r="D569" i="8"/>
  <c r="C569" i="8"/>
  <c r="B569" i="8"/>
  <c r="A569" i="8"/>
  <c r="W568" i="8"/>
  <c r="V568" i="8"/>
  <c r="U568" i="8"/>
  <c r="T568" i="8"/>
  <c r="S568" i="8"/>
  <c r="R568" i="8"/>
  <c r="Q568" i="8"/>
  <c r="P568" i="8"/>
  <c r="O568" i="8"/>
  <c r="N568" i="8"/>
  <c r="M568" i="8"/>
  <c r="L568" i="8"/>
  <c r="K568" i="8"/>
  <c r="J568" i="8"/>
  <c r="I568" i="8"/>
  <c r="H568" i="8"/>
  <c r="G568" i="8"/>
  <c r="F568" i="8"/>
  <c r="E568" i="8"/>
  <c r="D568" i="8"/>
  <c r="C568" i="8"/>
  <c r="B568" i="8"/>
  <c r="A568" i="8"/>
  <c r="W567" i="8"/>
  <c r="V567" i="8"/>
  <c r="U567" i="8"/>
  <c r="T567" i="8"/>
  <c r="S567" i="8"/>
  <c r="R567" i="8"/>
  <c r="Q567" i="8"/>
  <c r="P567" i="8"/>
  <c r="O567" i="8"/>
  <c r="N567" i="8"/>
  <c r="M567" i="8"/>
  <c r="L567" i="8"/>
  <c r="K567" i="8"/>
  <c r="J567" i="8"/>
  <c r="I567" i="8"/>
  <c r="H567" i="8"/>
  <c r="G567" i="8"/>
  <c r="F567" i="8"/>
  <c r="E567" i="8"/>
  <c r="D567" i="8"/>
  <c r="C567" i="8"/>
  <c r="B567" i="8"/>
  <c r="A567" i="8"/>
  <c r="W566" i="8"/>
  <c r="V566" i="8"/>
  <c r="U566" i="8"/>
  <c r="T566" i="8"/>
  <c r="S566" i="8"/>
  <c r="R566" i="8"/>
  <c r="Q566" i="8"/>
  <c r="P566" i="8"/>
  <c r="O566" i="8"/>
  <c r="N566" i="8"/>
  <c r="M566" i="8"/>
  <c r="L566" i="8"/>
  <c r="K566" i="8"/>
  <c r="J566" i="8"/>
  <c r="I566" i="8"/>
  <c r="H566" i="8"/>
  <c r="G566" i="8"/>
  <c r="F566" i="8"/>
  <c r="E566" i="8"/>
  <c r="D566" i="8"/>
  <c r="C566" i="8"/>
  <c r="B566" i="8"/>
  <c r="A566" i="8"/>
  <c r="W565" i="8"/>
  <c r="V565" i="8"/>
  <c r="U565" i="8"/>
  <c r="T565" i="8"/>
  <c r="S565" i="8"/>
  <c r="R565" i="8"/>
  <c r="Q565" i="8"/>
  <c r="P565" i="8"/>
  <c r="O565" i="8"/>
  <c r="N565" i="8"/>
  <c r="M565" i="8"/>
  <c r="L565" i="8"/>
  <c r="K565" i="8"/>
  <c r="J565" i="8"/>
  <c r="I565" i="8"/>
  <c r="H565" i="8"/>
  <c r="G565" i="8"/>
  <c r="F565" i="8"/>
  <c r="E565" i="8"/>
  <c r="D565" i="8"/>
  <c r="C565" i="8"/>
  <c r="B565" i="8"/>
  <c r="A565" i="8"/>
  <c r="W564" i="8"/>
  <c r="V564" i="8"/>
  <c r="U564" i="8"/>
  <c r="T564" i="8"/>
  <c r="S564" i="8"/>
  <c r="R564" i="8"/>
  <c r="Q564" i="8"/>
  <c r="P564" i="8"/>
  <c r="O564" i="8"/>
  <c r="N564" i="8"/>
  <c r="M564" i="8"/>
  <c r="L564" i="8"/>
  <c r="K564" i="8"/>
  <c r="J564" i="8"/>
  <c r="I564" i="8"/>
  <c r="H564" i="8"/>
  <c r="G564" i="8"/>
  <c r="F564" i="8"/>
  <c r="E564" i="8"/>
  <c r="D564" i="8"/>
  <c r="C564" i="8"/>
  <c r="B564" i="8"/>
  <c r="A564" i="8"/>
  <c r="W563" i="8"/>
  <c r="V563" i="8"/>
  <c r="U563" i="8"/>
  <c r="T563" i="8"/>
  <c r="S563" i="8"/>
  <c r="R563" i="8"/>
  <c r="Q563" i="8"/>
  <c r="P563" i="8"/>
  <c r="O563" i="8"/>
  <c r="N563" i="8"/>
  <c r="M563" i="8"/>
  <c r="L563" i="8"/>
  <c r="K563" i="8"/>
  <c r="J563" i="8"/>
  <c r="I563" i="8"/>
  <c r="H563" i="8"/>
  <c r="G563" i="8"/>
  <c r="F563" i="8"/>
  <c r="E563" i="8"/>
  <c r="D563" i="8"/>
  <c r="C563" i="8"/>
  <c r="B563" i="8"/>
  <c r="A563" i="8"/>
  <c r="W562" i="8"/>
  <c r="V562" i="8"/>
  <c r="U562" i="8"/>
  <c r="T562" i="8"/>
  <c r="S562" i="8"/>
  <c r="R562" i="8"/>
  <c r="Q562" i="8"/>
  <c r="P562" i="8"/>
  <c r="O562" i="8"/>
  <c r="N562" i="8"/>
  <c r="M562" i="8"/>
  <c r="L562" i="8"/>
  <c r="K562" i="8"/>
  <c r="J562" i="8"/>
  <c r="I562" i="8"/>
  <c r="H562" i="8"/>
  <c r="G562" i="8"/>
  <c r="F562" i="8"/>
  <c r="E562" i="8"/>
  <c r="D562" i="8"/>
  <c r="C562" i="8"/>
  <c r="B562" i="8"/>
  <c r="A562" i="8"/>
  <c r="W561" i="8"/>
  <c r="V561" i="8"/>
  <c r="U561" i="8"/>
  <c r="T561" i="8"/>
  <c r="S561" i="8"/>
  <c r="R561" i="8"/>
  <c r="Q561" i="8"/>
  <c r="P561" i="8"/>
  <c r="O561" i="8"/>
  <c r="N561" i="8"/>
  <c r="M561" i="8"/>
  <c r="L561" i="8"/>
  <c r="K561" i="8"/>
  <c r="J561" i="8"/>
  <c r="I561" i="8"/>
  <c r="H561" i="8"/>
  <c r="G561" i="8"/>
  <c r="F561" i="8"/>
  <c r="E561" i="8"/>
  <c r="D561" i="8"/>
  <c r="C561" i="8"/>
  <c r="B561" i="8"/>
  <c r="A561" i="8"/>
  <c r="W560" i="8"/>
  <c r="V560" i="8"/>
  <c r="U560" i="8"/>
  <c r="T560" i="8"/>
  <c r="S560" i="8"/>
  <c r="R560" i="8"/>
  <c r="Q560" i="8"/>
  <c r="P560" i="8"/>
  <c r="O560" i="8"/>
  <c r="N560" i="8"/>
  <c r="M560" i="8"/>
  <c r="L560" i="8"/>
  <c r="K560" i="8"/>
  <c r="J560" i="8"/>
  <c r="I560" i="8"/>
  <c r="H560" i="8"/>
  <c r="G560" i="8"/>
  <c r="F560" i="8"/>
  <c r="E560" i="8"/>
  <c r="D560" i="8"/>
  <c r="C560" i="8"/>
  <c r="B560" i="8"/>
  <c r="A560" i="8"/>
  <c r="W559" i="8"/>
  <c r="V559" i="8"/>
  <c r="U559" i="8"/>
  <c r="T559" i="8"/>
  <c r="S559" i="8"/>
  <c r="R559" i="8"/>
  <c r="Q559" i="8"/>
  <c r="P559" i="8"/>
  <c r="O559" i="8"/>
  <c r="N559" i="8"/>
  <c r="M559" i="8"/>
  <c r="L559" i="8"/>
  <c r="K559" i="8"/>
  <c r="J559" i="8"/>
  <c r="I559" i="8"/>
  <c r="H559" i="8"/>
  <c r="G559" i="8"/>
  <c r="F559" i="8"/>
  <c r="E559" i="8"/>
  <c r="D559" i="8"/>
  <c r="C559" i="8"/>
  <c r="B559" i="8"/>
  <c r="A559" i="8"/>
  <c r="W558" i="8"/>
  <c r="V558" i="8"/>
  <c r="U558" i="8"/>
  <c r="T558" i="8"/>
  <c r="S558" i="8"/>
  <c r="R558" i="8"/>
  <c r="Q558" i="8"/>
  <c r="P558" i="8"/>
  <c r="O558" i="8"/>
  <c r="N558" i="8"/>
  <c r="M558" i="8"/>
  <c r="L558" i="8"/>
  <c r="K558" i="8"/>
  <c r="J558" i="8"/>
  <c r="I558" i="8"/>
  <c r="H558" i="8"/>
  <c r="G558" i="8"/>
  <c r="F558" i="8"/>
  <c r="E558" i="8"/>
  <c r="D558" i="8"/>
  <c r="C558" i="8"/>
  <c r="B558" i="8"/>
  <c r="A558" i="8"/>
  <c r="W557" i="8"/>
  <c r="V557" i="8"/>
  <c r="U557" i="8"/>
  <c r="T557" i="8"/>
  <c r="S557" i="8"/>
  <c r="R557" i="8"/>
  <c r="Q557" i="8"/>
  <c r="P557" i="8"/>
  <c r="O557" i="8"/>
  <c r="N557" i="8"/>
  <c r="M557" i="8"/>
  <c r="L557" i="8"/>
  <c r="K557" i="8"/>
  <c r="J557" i="8"/>
  <c r="I557" i="8"/>
  <c r="H557" i="8"/>
  <c r="G557" i="8"/>
  <c r="F557" i="8"/>
  <c r="E557" i="8"/>
  <c r="D557" i="8"/>
  <c r="C557" i="8"/>
  <c r="B557" i="8"/>
  <c r="A557" i="8"/>
  <c r="W556" i="8"/>
  <c r="V556" i="8"/>
  <c r="U556" i="8"/>
  <c r="T556" i="8"/>
  <c r="S556" i="8"/>
  <c r="R556" i="8"/>
  <c r="Q556" i="8"/>
  <c r="P556" i="8"/>
  <c r="O556" i="8"/>
  <c r="N556" i="8"/>
  <c r="M556" i="8"/>
  <c r="L556" i="8"/>
  <c r="K556" i="8"/>
  <c r="J556" i="8"/>
  <c r="I556" i="8"/>
  <c r="H556" i="8"/>
  <c r="G556" i="8"/>
  <c r="F556" i="8"/>
  <c r="E556" i="8"/>
  <c r="D556" i="8"/>
  <c r="C556" i="8"/>
  <c r="B556" i="8"/>
  <c r="A556" i="8"/>
  <c r="W555" i="8"/>
  <c r="V555" i="8"/>
  <c r="U555" i="8"/>
  <c r="T555" i="8"/>
  <c r="S555" i="8"/>
  <c r="R555" i="8"/>
  <c r="Q555" i="8"/>
  <c r="P555" i="8"/>
  <c r="O555" i="8"/>
  <c r="N555" i="8"/>
  <c r="M555" i="8"/>
  <c r="L555" i="8"/>
  <c r="K555" i="8"/>
  <c r="J555" i="8"/>
  <c r="I555" i="8"/>
  <c r="H555" i="8"/>
  <c r="G555" i="8"/>
  <c r="F555" i="8"/>
  <c r="E555" i="8"/>
  <c r="D555" i="8"/>
  <c r="C555" i="8"/>
  <c r="B555" i="8"/>
  <c r="A555" i="8"/>
  <c r="W554" i="8"/>
  <c r="V554" i="8"/>
  <c r="U554" i="8"/>
  <c r="T554" i="8"/>
  <c r="S554" i="8"/>
  <c r="R554" i="8"/>
  <c r="Q554" i="8"/>
  <c r="P554" i="8"/>
  <c r="O554" i="8"/>
  <c r="N554" i="8"/>
  <c r="M554" i="8"/>
  <c r="L554" i="8"/>
  <c r="K554" i="8"/>
  <c r="J554" i="8"/>
  <c r="I554" i="8"/>
  <c r="H554" i="8"/>
  <c r="G554" i="8"/>
  <c r="F554" i="8"/>
  <c r="E554" i="8"/>
  <c r="D554" i="8"/>
  <c r="C554" i="8"/>
  <c r="B554" i="8"/>
  <c r="A554" i="8"/>
  <c r="W553" i="8"/>
  <c r="V553" i="8"/>
  <c r="U553" i="8"/>
  <c r="T553" i="8"/>
  <c r="S553" i="8"/>
  <c r="R553" i="8"/>
  <c r="Q553" i="8"/>
  <c r="P553" i="8"/>
  <c r="O553" i="8"/>
  <c r="N553" i="8"/>
  <c r="M553" i="8"/>
  <c r="L553" i="8"/>
  <c r="K553" i="8"/>
  <c r="J553" i="8"/>
  <c r="I553" i="8"/>
  <c r="H553" i="8"/>
  <c r="G553" i="8"/>
  <c r="F553" i="8"/>
  <c r="E553" i="8"/>
  <c r="D553" i="8"/>
  <c r="C553" i="8"/>
  <c r="B553" i="8"/>
  <c r="A553" i="8"/>
  <c r="W552" i="8"/>
  <c r="V552" i="8"/>
  <c r="U552" i="8"/>
  <c r="T552" i="8"/>
  <c r="S552" i="8"/>
  <c r="R552" i="8"/>
  <c r="Q552" i="8"/>
  <c r="P552" i="8"/>
  <c r="O552" i="8"/>
  <c r="N552" i="8"/>
  <c r="M552" i="8"/>
  <c r="L552" i="8"/>
  <c r="K552" i="8"/>
  <c r="J552" i="8"/>
  <c r="I552" i="8"/>
  <c r="H552" i="8"/>
  <c r="G552" i="8"/>
  <c r="F552" i="8"/>
  <c r="E552" i="8"/>
  <c r="D552" i="8"/>
  <c r="C552" i="8"/>
  <c r="B552" i="8"/>
  <c r="A552" i="8"/>
  <c r="W551" i="8"/>
  <c r="V551" i="8"/>
  <c r="U551" i="8"/>
  <c r="T551" i="8"/>
  <c r="S551" i="8"/>
  <c r="R551" i="8"/>
  <c r="Q551" i="8"/>
  <c r="P551" i="8"/>
  <c r="O551" i="8"/>
  <c r="N551" i="8"/>
  <c r="M551" i="8"/>
  <c r="L551" i="8"/>
  <c r="K551" i="8"/>
  <c r="J551" i="8"/>
  <c r="I551" i="8"/>
  <c r="H551" i="8"/>
  <c r="G551" i="8"/>
  <c r="F551" i="8"/>
  <c r="E551" i="8"/>
  <c r="D551" i="8"/>
  <c r="C551" i="8"/>
  <c r="B551" i="8"/>
  <c r="A551" i="8"/>
  <c r="W550" i="8"/>
  <c r="V550" i="8"/>
  <c r="U550" i="8"/>
  <c r="T550" i="8"/>
  <c r="S550" i="8"/>
  <c r="R550" i="8"/>
  <c r="Q550" i="8"/>
  <c r="P550" i="8"/>
  <c r="O550" i="8"/>
  <c r="N550" i="8"/>
  <c r="M550" i="8"/>
  <c r="L550" i="8"/>
  <c r="K550" i="8"/>
  <c r="J550" i="8"/>
  <c r="I550" i="8"/>
  <c r="H550" i="8"/>
  <c r="G550" i="8"/>
  <c r="F550" i="8"/>
  <c r="E550" i="8"/>
  <c r="D550" i="8"/>
  <c r="C550" i="8"/>
  <c r="B550" i="8"/>
  <c r="A550" i="8"/>
  <c r="W549" i="8"/>
  <c r="V549" i="8"/>
  <c r="U549" i="8"/>
  <c r="T549" i="8"/>
  <c r="S549" i="8"/>
  <c r="R549" i="8"/>
  <c r="Q549" i="8"/>
  <c r="P549" i="8"/>
  <c r="O549" i="8"/>
  <c r="N549" i="8"/>
  <c r="M549" i="8"/>
  <c r="L549" i="8"/>
  <c r="K549" i="8"/>
  <c r="J549" i="8"/>
  <c r="I549" i="8"/>
  <c r="H549" i="8"/>
  <c r="G549" i="8"/>
  <c r="F549" i="8"/>
  <c r="E549" i="8"/>
  <c r="D549" i="8"/>
  <c r="C549" i="8"/>
  <c r="B549" i="8"/>
  <c r="A549" i="8"/>
  <c r="W548" i="8"/>
  <c r="V548" i="8"/>
  <c r="U548" i="8"/>
  <c r="T548" i="8"/>
  <c r="S548" i="8"/>
  <c r="R548" i="8"/>
  <c r="Q548" i="8"/>
  <c r="P548" i="8"/>
  <c r="O548" i="8"/>
  <c r="N548" i="8"/>
  <c r="M548" i="8"/>
  <c r="L548" i="8"/>
  <c r="K548" i="8"/>
  <c r="J548" i="8"/>
  <c r="I548" i="8"/>
  <c r="H548" i="8"/>
  <c r="G548" i="8"/>
  <c r="F548" i="8"/>
  <c r="E548" i="8"/>
  <c r="D548" i="8"/>
  <c r="C548" i="8"/>
  <c r="B548" i="8"/>
  <c r="A548" i="8"/>
  <c r="W547" i="8"/>
  <c r="V547" i="8"/>
  <c r="U547" i="8"/>
  <c r="T547" i="8"/>
  <c r="S547" i="8"/>
  <c r="R547" i="8"/>
  <c r="Q547" i="8"/>
  <c r="P547" i="8"/>
  <c r="O547" i="8"/>
  <c r="N547" i="8"/>
  <c r="M547" i="8"/>
  <c r="L547" i="8"/>
  <c r="K547" i="8"/>
  <c r="J547" i="8"/>
  <c r="I547" i="8"/>
  <c r="H547" i="8"/>
  <c r="G547" i="8"/>
  <c r="F547" i="8"/>
  <c r="E547" i="8"/>
  <c r="D547" i="8"/>
  <c r="C547" i="8"/>
  <c r="B547" i="8"/>
  <c r="A547" i="8"/>
  <c r="W546" i="8"/>
  <c r="V546" i="8"/>
  <c r="U546" i="8"/>
  <c r="T546" i="8"/>
  <c r="S546" i="8"/>
  <c r="R546" i="8"/>
  <c r="Q546" i="8"/>
  <c r="P546" i="8"/>
  <c r="O546" i="8"/>
  <c r="N546" i="8"/>
  <c r="M546" i="8"/>
  <c r="L546" i="8"/>
  <c r="K546" i="8"/>
  <c r="J546" i="8"/>
  <c r="I546" i="8"/>
  <c r="H546" i="8"/>
  <c r="G546" i="8"/>
  <c r="F546" i="8"/>
  <c r="E546" i="8"/>
  <c r="D546" i="8"/>
  <c r="C546" i="8"/>
  <c r="B546" i="8"/>
  <c r="A546" i="8"/>
  <c r="W545" i="8"/>
  <c r="V545" i="8"/>
  <c r="U545" i="8"/>
  <c r="T545" i="8"/>
  <c r="S545" i="8"/>
  <c r="R545" i="8"/>
  <c r="Q545" i="8"/>
  <c r="P545" i="8"/>
  <c r="O545" i="8"/>
  <c r="N545" i="8"/>
  <c r="M545" i="8"/>
  <c r="L545" i="8"/>
  <c r="K545" i="8"/>
  <c r="J545" i="8"/>
  <c r="I545" i="8"/>
  <c r="H545" i="8"/>
  <c r="G545" i="8"/>
  <c r="F545" i="8"/>
  <c r="E545" i="8"/>
  <c r="D545" i="8"/>
  <c r="C545" i="8"/>
  <c r="B545" i="8"/>
  <c r="A545" i="8"/>
  <c r="W544" i="8"/>
  <c r="V544" i="8"/>
  <c r="U544" i="8"/>
  <c r="T544" i="8"/>
  <c r="S544" i="8"/>
  <c r="R544" i="8"/>
  <c r="Q544" i="8"/>
  <c r="P544" i="8"/>
  <c r="O544" i="8"/>
  <c r="N544" i="8"/>
  <c r="M544" i="8"/>
  <c r="L544" i="8"/>
  <c r="K544" i="8"/>
  <c r="J544" i="8"/>
  <c r="I544" i="8"/>
  <c r="H544" i="8"/>
  <c r="G544" i="8"/>
  <c r="F544" i="8"/>
  <c r="E544" i="8"/>
  <c r="D544" i="8"/>
  <c r="C544" i="8"/>
  <c r="B544" i="8"/>
  <c r="A544" i="8"/>
  <c r="W543" i="8"/>
  <c r="V543" i="8"/>
  <c r="U543" i="8"/>
  <c r="T543" i="8"/>
  <c r="S543" i="8"/>
  <c r="R543" i="8"/>
  <c r="Q543" i="8"/>
  <c r="P543" i="8"/>
  <c r="O543" i="8"/>
  <c r="N543" i="8"/>
  <c r="M543" i="8"/>
  <c r="L543" i="8"/>
  <c r="K543" i="8"/>
  <c r="J543" i="8"/>
  <c r="I543" i="8"/>
  <c r="H543" i="8"/>
  <c r="G543" i="8"/>
  <c r="F543" i="8"/>
  <c r="E543" i="8"/>
  <c r="D543" i="8"/>
  <c r="C543" i="8"/>
  <c r="B543" i="8"/>
  <c r="A543" i="8"/>
  <c r="W542" i="8"/>
  <c r="V542" i="8"/>
  <c r="U542" i="8"/>
  <c r="T542" i="8"/>
  <c r="S542" i="8"/>
  <c r="R542" i="8"/>
  <c r="Q542" i="8"/>
  <c r="P542" i="8"/>
  <c r="O542" i="8"/>
  <c r="N542" i="8"/>
  <c r="M542" i="8"/>
  <c r="L542" i="8"/>
  <c r="K542" i="8"/>
  <c r="J542" i="8"/>
  <c r="I542" i="8"/>
  <c r="H542" i="8"/>
  <c r="G542" i="8"/>
  <c r="F542" i="8"/>
  <c r="E542" i="8"/>
  <c r="D542" i="8"/>
  <c r="C542" i="8"/>
  <c r="B542" i="8"/>
  <c r="A542" i="8"/>
  <c r="W541" i="8"/>
  <c r="V541" i="8"/>
  <c r="U541" i="8"/>
  <c r="T541" i="8"/>
  <c r="S541" i="8"/>
  <c r="R541" i="8"/>
  <c r="Q541" i="8"/>
  <c r="P541" i="8"/>
  <c r="O541" i="8"/>
  <c r="N541" i="8"/>
  <c r="M541" i="8"/>
  <c r="L541" i="8"/>
  <c r="K541" i="8"/>
  <c r="J541" i="8"/>
  <c r="I541" i="8"/>
  <c r="H541" i="8"/>
  <c r="G541" i="8"/>
  <c r="F541" i="8"/>
  <c r="E541" i="8"/>
  <c r="D541" i="8"/>
  <c r="C541" i="8"/>
  <c r="B541" i="8"/>
  <c r="A541" i="8"/>
  <c r="W540" i="8"/>
  <c r="V540" i="8"/>
  <c r="U540" i="8"/>
  <c r="T540" i="8"/>
  <c r="S540" i="8"/>
  <c r="R540" i="8"/>
  <c r="Q540" i="8"/>
  <c r="P540" i="8"/>
  <c r="O540" i="8"/>
  <c r="N540" i="8"/>
  <c r="M540" i="8"/>
  <c r="L540" i="8"/>
  <c r="K540" i="8"/>
  <c r="J540" i="8"/>
  <c r="I540" i="8"/>
  <c r="H540" i="8"/>
  <c r="G540" i="8"/>
  <c r="F540" i="8"/>
  <c r="E540" i="8"/>
  <c r="D540" i="8"/>
  <c r="C540" i="8"/>
  <c r="B540" i="8"/>
  <c r="A540" i="8"/>
  <c r="W539" i="8"/>
  <c r="V539" i="8"/>
  <c r="U539" i="8"/>
  <c r="T539" i="8"/>
  <c r="S539" i="8"/>
  <c r="R539" i="8"/>
  <c r="Q539" i="8"/>
  <c r="P539" i="8"/>
  <c r="O539" i="8"/>
  <c r="N539" i="8"/>
  <c r="M539" i="8"/>
  <c r="L539" i="8"/>
  <c r="K539" i="8"/>
  <c r="J539" i="8"/>
  <c r="I539" i="8"/>
  <c r="H539" i="8"/>
  <c r="G539" i="8"/>
  <c r="F539" i="8"/>
  <c r="E539" i="8"/>
  <c r="D539" i="8"/>
  <c r="C539" i="8"/>
  <c r="B539" i="8"/>
  <c r="A539" i="8"/>
  <c r="W538" i="8"/>
  <c r="V538" i="8"/>
  <c r="U538" i="8"/>
  <c r="T538" i="8"/>
  <c r="S538" i="8"/>
  <c r="R538" i="8"/>
  <c r="Q538" i="8"/>
  <c r="P538" i="8"/>
  <c r="O538" i="8"/>
  <c r="N538" i="8"/>
  <c r="M538" i="8"/>
  <c r="L538" i="8"/>
  <c r="K538" i="8"/>
  <c r="J538" i="8"/>
  <c r="I538" i="8"/>
  <c r="H538" i="8"/>
  <c r="G538" i="8"/>
  <c r="F538" i="8"/>
  <c r="E538" i="8"/>
  <c r="D538" i="8"/>
  <c r="C538" i="8"/>
  <c r="B538" i="8"/>
  <c r="A538" i="8"/>
  <c r="W537" i="8"/>
  <c r="V537" i="8"/>
  <c r="U537" i="8"/>
  <c r="T537" i="8"/>
  <c r="S537" i="8"/>
  <c r="R537" i="8"/>
  <c r="Q537" i="8"/>
  <c r="P537" i="8"/>
  <c r="O537" i="8"/>
  <c r="N537" i="8"/>
  <c r="M537" i="8"/>
  <c r="L537" i="8"/>
  <c r="K537" i="8"/>
  <c r="J537" i="8"/>
  <c r="I537" i="8"/>
  <c r="H537" i="8"/>
  <c r="G537" i="8"/>
  <c r="F537" i="8"/>
  <c r="E537" i="8"/>
  <c r="D537" i="8"/>
  <c r="C537" i="8"/>
  <c r="B537" i="8"/>
  <c r="A537" i="8"/>
  <c r="W536" i="8"/>
  <c r="V536" i="8"/>
  <c r="U536" i="8"/>
  <c r="T536" i="8"/>
  <c r="S536" i="8"/>
  <c r="R536" i="8"/>
  <c r="Q536" i="8"/>
  <c r="P536" i="8"/>
  <c r="O536" i="8"/>
  <c r="N536" i="8"/>
  <c r="M536" i="8"/>
  <c r="L536" i="8"/>
  <c r="K536" i="8"/>
  <c r="J536" i="8"/>
  <c r="I536" i="8"/>
  <c r="H536" i="8"/>
  <c r="G536" i="8"/>
  <c r="F536" i="8"/>
  <c r="E536" i="8"/>
  <c r="D536" i="8"/>
  <c r="C536" i="8"/>
  <c r="B536" i="8"/>
  <c r="A536" i="8"/>
  <c r="W535" i="8"/>
  <c r="V535" i="8"/>
  <c r="U535" i="8"/>
  <c r="T535" i="8"/>
  <c r="S535" i="8"/>
  <c r="R535" i="8"/>
  <c r="Q535" i="8"/>
  <c r="P535" i="8"/>
  <c r="O535" i="8"/>
  <c r="N535" i="8"/>
  <c r="M535" i="8"/>
  <c r="L535" i="8"/>
  <c r="K535" i="8"/>
  <c r="J535" i="8"/>
  <c r="I535" i="8"/>
  <c r="H535" i="8"/>
  <c r="G535" i="8"/>
  <c r="F535" i="8"/>
  <c r="E535" i="8"/>
  <c r="D535" i="8"/>
  <c r="C535" i="8"/>
  <c r="B535" i="8"/>
  <c r="A535" i="8"/>
  <c r="W534" i="8"/>
  <c r="V534" i="8"/>
  <c r="U534" i="8"/>
  <c r="T534" i="8"/>
  <c r="S534" i="8"/>
  <c r="R534" i="8"/>
  <c r="Q534" i="8"/>
  <c r="P534" i="8"/>
  <c r="O534" i="8"/>
  <c r="N534" i="8"/>
  <c r="M534" i="8"/>
  <c r="L534" i="8"/>
  <c r="K534" i="8"/>
  <c r="J534" i="8"/>
  <c r="I534" i="8"/>
  <c r="H534" i="8"/>
  <c r="G534" i="8"/>
  <c r="F534" i="8"/>
  <c r="E534" i="8"/>
  <c r="D534" i="8"/>
  <c r="C534" i="8"/>
  <c r="B534" i="8"/>
  <c r="A534" i="8"/>
  <c r="W533" i="8"/>
  <c r="V533" i="8"/>
  <c r="U533" i="8"/>
  <c r="T533" i="8"/>
  <c r="S533" i="8"/>
  <c r="R533" i="8"/>
  <c r="Q533" i="8"/>
  <c r="P533" i="8"/>
  <c r="O533" i="8"/>
  <c r="N533" i="8"/>
  <c r="M533" i="8"/>
  <c r="L533" i="8"/>
  <c r="K533" i="8"/>
  <c r="J533" i="8"/>
  <c r="I533" i="8"/>
  <c r="H533" i="8"/>
  <c r="G533" i="8"/>
  <c r="F533" i="8"/>
  <c r="E533" i="8"/>
  <c r="D533" i="8"/>
  <c r="C533" i="8"/>
  <c r="B533" i="8"/>
  <c r="A533" i="8"/>
  <c r="W532" i="8"/>
  <c r="V532" i="8"/>
  <c r="U532" i="8"/>
  <c r="T532" i="8"/>
  <c r="S532" i="8"/>
  <c r="R532" i="8"/>
  <c r="Q532" i="8"/>
  <c r="P532" i="8"/>
  <c r="O532" i="8"/>
  <c r="N532" i="8"/>
  <c r="M532" i="8"/>
  <c r="L532" i="8"/>
  <c r="K532" i="8"/>
  <c r="J532" i="8"/>
  <c r="I532" i="8"/>
  <c r="H532" i="8"/>
  <c r="G532" i="8"/>
  <c r="F532" i="8"/>
  <c r="E532" i="8"/>
  <c r="D532" i="8"/>
  <c r="C532" i="8"/>
  <c r="B532" i="8"/>
  <c r="A532" i="8"/>
  <c r="W531" i="8"/>
  <c r="V531" i="8"/>
  <c r="U531" i="8"/>
  <c r="T531" i="8"/>
  <c r="S531" i="8"/>
  <c r="R531" i="8"/>
  <c r="Q531" i="8"/>
  <c r="P531" i="8"/>
  <c r="O531" i="8"/>
  <c r="N531" i="8"/>
  <c r="M531" i="8"/>
  <c r="L531" i="8"/>
  <c r="K531" i="8"/>
  <c r="J531" i="8"/>
  <c r="I531" i="8"/>
  <c r="H531" i="8"/>
  <c r="G531" i="8"/>
  <c r="F531" i="8"/>
  <c r="E531" i="8"/>
  <c r="D531" i="8"/>
  <c r="C531" i="8"/>
  <c r="B531" i="8"/>
  <c r="A531" i="8"/>
  <c r="W530" i="8"/>
  <c r="V530" i="8"/>
  <c r="U530" i="8"/>
  <c r="T530" i="8"/>
  <c r="S530" i="8"/>
  <c r="R530" i="8"/>
  <c r="Q530" i="8"/>
  <c r="P530" i="8"/>
  <c r="O530" i="8"/>
  <c r="N530" i="8"/>
  <c r="M530" i="8"/>
  <c r="L530" i="8"/>
  <c r="K530" i="8"/>
  <c r="J530" i="8"/>
  <c r="I530" i="8"/>
  <c r="H530" i="8"/>
  <c r="G530" i="8"/>
  <c r="F530" i="8"/>
  <c r="E530" i="8"/>
  <c r="D530" i="8"/>
  <c r="C530" i="8"/>
  <c r="B530" i="8"/>
  <c r="A530" i="8"/>
  <c r="W529" i="8"/>
  <c r="V529" i="8"/>
  <c r="U529" i="8"/>
  <c r="T529" i="8"/>
  <c r="S529" i="8"/>
  <c r="R529" i="8"/>
  <c r="Q529" i="8"/>
  <c r="P529" i="8"/>
  <c r="O529" i="8"/>
  <c r="N529" i="8"/>
  <c r="M529" i="8"/>
  <c r="L529" i="8"/>
  <c r="K529" i="8"/>
  <c r="J529" i="8"/>
  <c r="I529" i="8"/>
  <c r="H529" i="8"/>
  <c r="G529" i="8"/>
  <c r="F529" i="8"/>
  <c r="E529" i="8"/>
  <c r="D529" i="8"/>
  <c r="C529" i="8"/>
  <c r="B529" i="8"/>
  <c r="A529" i="8"/>
  <c r="W528" i="8"/>
  <c r="V528" i="8"/>
  <c r="U528" i="8"/>
  <c r="T528" i="8"/>
  <c r="S528" i="8"/>
  <c r="R528" i="8"/>
  <c r="Q528" i="8"/>
  <c r="P528" i="8"/>
  <c r="O528" i="8"/>
  <c r="N528" i="8"/>
  <c r="M528" i="8"/>
  <c r="L528" i="8"/>
  <c r="K528" i="8"/>
  <c r="J528" i="8"/>
  <c r="I528" i="8"/>
  <c r="H528" i="8"/>
  <c r="G528" i="8"/>
  <c r="F528" i="8"/>
  <c r="E528" i="8"/>
  <c r="D528" i="8"/>
  <c r="C528" i="8"/>
  <c r="B528" i="8"/>
  <c r="A528" i="8"/>
  <c r="W527" i="8"/>
  <c r="V527" i="8"/>
  <c r="U527" i="8"/>
  <c r="T527" i="8"/>
  <c r="S527" i="8"/>
  <c r="R527" i="8"/>
  <c r="Q527" i="8"/>
  <c r="P527" i="8"/>
  <c r="O527" i="8"/>
  <c r="N527" i="8"/>
  <c r="M527" i="8"/>
  <c r="L527" i="8"/>
  <c r="K527" i="8"/>
  <c r="J527" i="8"/>
  <c r="I527" i="8"/>
  <c r="H527" i="8"/>
  <c r="G527" i="8"/>
  <c r="F527" i="8"/>
  <c r="E527" i="8"/>
  <c r="D527" i="8"/>
  <c r="C527" i="8"/>
  <c r="B527" i="8"/>
  <c r="A527" i="8"/>
  <c r="W526" i="8"/>
  <c r="V526" i="8"/>
  <c r="U526" i="8"/>
  <c r="T526" i="8"/>
  <c r="S526" i="8"/>
  <c r="R526" i="8"/>
  <c r="Q526" i="8"/>
  <c r="P526" i="8"/>
  <c r="O526" i="8"/>
  <c r="N526" i="8"/>
  <c r="M526" i="8"/>
  <c r="L526" i="8"/>
  <c r="K526" i="8"/>
  <c r="J526" i="8"/>
  <c r="I526" i="8"/>
  <c r="H526" i="8"/>
  <c r="G526" i="8"/>
  <c r="F526" i="8"/>
  <c r="E526" i="8"/>
  <c r="D526" i="8"/>
  <c r="C526" i="8"/>
  <c r="B526" i="8"/>
  <c r="A526" i="8"/>
  <c r="W525" i="8"/>
  <c r="V525" i="8"/>
  <c r="U525" i="8"/>
  <c r="T525" i="8"/>
  <c r="S525" i="8"/>
  <c r="R525" i="8"/>
  <c r="Q525" i="8"/>
  <c r="P525" i="8"/>
  <c r="O525" i="8"/>
  <c r="N525" i="8"/>
  <c r="M525" i="8"/>
  <c r="L525" i="8"/>
  <c r="K525" i="8"/>
  <c r="J525" i="8"/>
  <c r="I525" i="8"/>
  <c r="H525" i="8"/>
  <c r="G525" i="8"/>
  <c r="F525" i="8"/>
  <c r="E525" i="8"/>
  <c r="D525" i="8"/>
  <c r="C525" i="8"/>
  <c r="B525" i="8"/>
  <c r="A525" i="8"/>
  <c r="W524" i="8"/>
  <c r="V524" i="8"/>
  <c r="U524" i="8"/>
  <c r="T524" i="8"/>
  <c r="S524" i="8"/>
  <c r="R524" i="8"/>
  <c r="Q524" i="8"/>
  <c r="P524" i="8"/>
  <c r="O524" i="8"/>
  <c r="N524" i="8"/>
  <c r="M524" i="8"/>
  <c r="L524" i="8"/>
  <c r="K524" i="8"/>
  <c r="J524" i="8"/>
  <c r="I524" i="8"/>
  <c r="H524" i="8"/>
  <c r="G524" i="8"/>
  <c r="F524" i="8"/>
  <c r="E524" i="8"/>
  <c r="D524" i="8"/>
  <c r="C524" i="8"/>
  <c r="B524" i="8"/>
  <c r="A524" i="8"/>
  <c r="W523" i="8"/>
  <c r="V523" i="8"/>
  <c r="U523" i="8"/>
  <c r="T523" i="8"/>
  <c r="S523" i="8"/>
  <c r="R523" i="8"/>
  <c r="Q523" i="8"/>
  <c r="P523" i="8"/>
  <c r="O523" i="8"/>
  <c r="N523" i="8"/>
  <c r="M523" i="8"/>
  <c r="L523" i="8"/>
  <c r="K523" i="8"/>
  <c r="J523" i="8"/>
  <c r="I523" i="8"/>
  <c r="H523" i="8"/>
  <c r="G523" i="8"/>
  <c r="F523" i="8"/>
  <c r="E523" i="8"/>
  <c r="D523" i="8"/>
  <c r="C523" i="8"/>
  <c r="B523" i="8"/>
  <c r="A523" i="8"/>
  <c r="W522" i="8"/>
  <c r="V522" i="8"/>
  <c r="U522" i="8"/>
  <c r="T522" i="8"/>
  <c r="S522" i="8"/>
  <c r="R522" i="8"/>
  <c r="Q522" i="8"/>
  <c r="P522" i="8"/>
  <c r="O522" i="8"/>
  <c r="N522" i="8"/>
  <c r="M522" i="8"/>
  <c r="L522" i="8"/>
  <c r="K522" i="8"/>
  <c r="J522" i="8"/>
  <c r="I522" i="8"/>
  <c r="H522" i="8"/>
  <c r="G522" i="8"/>
  <c r="F522" i="8"/>
  <c r="E522" i="8"/>
  <c r="D522" i="8"/>
  <c r="C522" i="8"/>
  <c r="B522" i="8"/>
  <c r="A522" i="8"/>
  <c r="W521" i="8"/>
  <c r="V521" i="8"/>
  <c r="U521" i="8"/>
  <c r="T521" i="8"/>
  <c r="S521" i="8"/>
  <c r="R521" i="8"/>
  <c r="Q521" i="8"/>
  <c r="P521" i="8"/>
  <c r="O521" i="8"/>
  <c r="N521" i="8"/>
  <c r="M521" i="8"/>
  <c r="L521" i="8"/>
  <c r="K521" i="8"/>
  <c r="J521" i="8"/>
  <c r="I521" i="8"/>
  <c r="H521" i="8"/>
  <c r="G521" i="8"/>
  <c r="F521" i="8"/>
  <c r="E521" i="8"/>
  <c r="D521" i="8"/>
  <c r="C521" i="8"/>
  <c r="B521" i="8"/>
  <c r="A521" i="8"/>
  <c r="W520" i="8"/>
  <c r="V520" i="8"/>
  <c r="U520" i="8"/>
  <c r="T520" i="8"/>
  <c r="S520" i="8"/>
  <c r="R520" i="8"/>
  <c r="Q520" i="8"/>
  <c r="P520" i="8"/>
  <c r="O520" i="8"/>
  <c r="N520" i="8"/>
  <c r="M520" i="8"/>
  <c r="L520" i="8"/>
  <c r="K520" i="8"/>
  <c r="J520" i="8"/>
  <c r="I520" i="8"/>
  <c r="H520" i="8"/>
  <c r="G520" i="8"/>
  <c r="F520" i="8"/>
  <c r="E520" i="8"/>
  <c r="D520" i="8"/>
  <c r="C520" i="8"/>
  <c r="B520" i="8"/>
  <c r="A520" i="8"/>
  <c r="W519" i="8"/>
  <c r="V519" i="8"/>
  <c r="U519" i="8"/>
  <c r="T519" i="8"/>
  <c r="S519" i="8"/>
  <c r="R519" i="8"/>
  <c r="Q519" i="8"/>
  <c r="P519" i="8"/>
  <c r="O519" i="8"/>
  <c r="N519" i="8"/>
  <c r="M519" i="8"/>
  <c r="L519" i="8"/>
  <c r="K519" i="8"/>
  <c r="J519" i="8"/>
  <c r="I519" i="8"/>
  <c r="H519" i="8"/>
  <c r="G519" i="8"/>
  <c r="F519" i="8"/>
  <c r="E519" i="8"/>
  <c r="D519" i="8"/>
  <c r="C519" i="8"/>
  <c r="B519" i="8"/>
  <c r="A519" i="8"/>
  <c r="W518" i="8"/>
  <c r="V518" i="8"/>
  <c r="U518" i="8"/>
  <c r="T518" i="8"/>
  <c r="S518" i="8"/>
  <c r="R518" i="8"/>
  <c r="Q518" i="8"/>
  <c r="P518" i="8"/>
  <c r="O518" i="8"/>
  <c r="N518" i="8"/>
  <c r="M518" i="8"/>
  <c r="L518" i="8"/>
  <c r="K518" i="8"/>
  <c r="J518" i="8"/>
  <c r="I518" i="8"/>
  <c r="H518" i="8"/>
  <c r="G518" i="8"/>
  <c r="F518" i="8"/>
  <c r="E518" i="8"/>
  <c r="D518" i="8"/>
  <c r="C518" i="8"/>
  <c r="B518" i="8"/>
  <c r="A518" i="8"/>
  <c r="W517" i="8"/>
  <c r="V517" i="8"/>
  <c r="U517" i="8"/>
  <c r="T517" i="8"/>
  <c r="S517" i="8"/>
  <c r="R517" i="8"/>
  <c r="Q517" i="8"/>
  <c r="P517" i="8"/>
  <c r="O517" i="8"/>
  <c r="N517" i="8"/>
  <c r="M517" i="8"/>
  <c r="L517" i="8"/>
  <c r="K517" i="8"/>
  <c r="J517" i="8"/>
  <c r="I517" i="8"/>
  <c r="H517" i="8"/>
  <c r="G517" i="8"/>
  <c r="F517" i="8"/>
  <c r="E517" i="8"/>
  <c r="D517" i="8"/>
  <c r="C517" i="8"/>
  <c r="B517" i="8"/>
  <c r="A517" i="8"/>
  <c r="W516" i="8"/>
  <c r="V516" i="8"/>
  <c r="U516" i="8"/>
  <c r="T516" i="8"/>
  <c r="S516" i="8"/>
  <c r="R516" i="8"/>
  <c r="Q516" i="8"/>
  <c r="P516" i="8"/>
  <c r="O516" i="8"/>
  <c r="N516" i="8"/>
  <c r="M516" i="8"/>
  <c r="L516" i="8"/>
  <c r="K516" i="8"/>
  <c r="J516" i="8"/>
  <c r="I516" i="8"/>
  <c r="H516" i="8"/>
  <c r="G516" i="8"/>
  <c r="F516" i="8"/>
  <c r="E516" i="8"/>
  <c r="D516" i="8"/>
  <c r="C516" i="8"/>
  <c r="B516" i="8"/>
  <c r="A516" i="8"/>
  <c r="W515" i="8"/>
  <c r="V515" i="8"/>
  <c r="U515" i="8"/>
  <c r="T515" i="8"/>
  <c r="S515" i="8"/>
  <c r="R515" i="8"/>
  <c r="Q515" i="8"/>
  <c r="P515" i="8"/>
  <c r="O515" i="8"/>
  <c r="N515" i="8"/>
  <c r="M515" i="8"/>
  <c r="L515" i="8"/>
  <c r="K515" i="8"/>
  <c r="J515" i="8"/>
  <c r="I515" i="8"/>
  <c r="H515" i="8"/>
  <c r="G515" i="8"/>
  <c r="F515" i="8"/>
  <c r="E515" i="8"/>
  <c r="D515" i="8"/>
  <c r="C515" i="8"/>
  <c r="B515" i="8"/>
  <c r="A515" i="8"/>
  <c r="W514" i="8"/>
  <c r="V514" i="8"/>
  <c r="U514" i="8"/>
  <c r="T514" i="8"/>
  <c r="S514" i="8"/>
  <c r="R514" i="8"/>
  <c r="Q514" i="8"/>
  <c r="P514" i="8"/>
  <c r="O514" i="8"/>
  <c r="N514" i="8"/>
  <c r="M514" i="8"/>
  <c r="L514" i="8"/>
  <c r="K514" i="8"/>
  <c r="J514" i="8"/>
  <c r="I514" i="8"/>
  <c r="H514" i="8"/>
  <c r="G514" i="8"/>
  <c r="F514" i="8"/>
  <c r="E514" i="8"/>
  <c r="D514" i="8"/>
  <c r="C514" i="8"/>
  <c r="B514" i="8"/>
  <c r="A514" i="8"/>
  <c r="W513" i="8"/>
  <c r="V513" i="8"/>
  <c r="U513" i="8"/>
  <c r="T513" i="8"/>
  <c r="S513" i="8"/>
  <c r="R513" i="8"/>
  <c r="Q513" i="8"/>
  <c r="P513" i="8"/>
  <c r="O513" i="8"/>
  <c r="N513" i="8"/>
  <c r="M513" i="8"/>
  <c r="L513" i="8"/>
  <c r="K513" i="8"/>
  <c r="J513" i="8"/>
  <c r="I513" i="8"/>
  <c r="H513" i="8"/>
  <c r="G513" i="8"/>
  <c r="F513" i="8"/>
  <c r="E513" i="8"/>
  <c r="D513" i="8"/>
  <c r="C513" i="8"/>
  <c r="B513" i="8"/>
  <c r="A513" i="8"/>
  <c r="W512" i="8"/>
  <c r="V512" i="8"/>
  <c r="U512" i="8"/>
  <c r="T512" i="8"/>
  <c r="S512" i="8"/>
  <c r="R512" i="8"/>
  <c r="Q512" i="8"/>
  <c r="P512" i="8"/>
  <c r="O512" i="8"/>
  <c r="N512" i="8"/>
  <c r="M512" i="8"/>
  <c r="L512" i="8"/>
  <c r="K512" i="8"/>
  <c r="J512" i="8"/>
  <c r="I512" i="8"/>
  <c r="H512" i="8"/>
  <c r="G512" i="8"/>
  <c r="F512" i="8"/>
  <c r="E512" i="8"/>
  <c r="D512" i="8"/>
  <c r="C512" i="8"/>
  <c r="B512" i="8"/>
  <c r="A512" i="8"/>
  <c r="W511" i="8"/>
  <c r="V511" i="8"/>
  <c r="U511" i="8"/>
  <c r="T511" i="8"/>
  <c r="S511" i="8"/>
  <c r="R511" i="8"/>
  <c r="Q511" i="8"/>
  <c r="P511" i="8"/>
  <c r="O511" i="8"/>
  <c r="N511" i="8"/>
  <c r="M511" i="8"/>
  <c r="L511" i="8"/>
  <c r="K511" i="8"/>
  <c r="J511" i="8"/>
  <c r="I511" i="8"/>
  <c r="H511" i="8"/>
  <c r="G511" i="8"/>
  <c r="F511" i="8"/>
  <c r="E511" i="8"/>
  <c r="D511" i="8"/>
  <c r="C511" i="8"/>
  <c r="B511" i="8"/>
  <c r="A511" i="8"/>
  <c r="W510" i="8"/>
  <c r="V510" i="8"/>
  <c r="U510" i="8"/>
  <c r="T510" i="8"/>
  <c r="S510" i="8"/>
  <c r="R510" i="8"/>
  <c r="Q510" i="8"/>
  <c r="P510" i="8"/>
  <c r="O510" i="8"/>
  <c r="N510" i="8"/>
  <c r="M510" i="8"/>
  <c r="L510" i="8"/>
  <c r="K510" i="8"/>
  <c r="J510" i="8"/>
  <c r="I510" i="8"/>
  <c r="H510" i="8"/>
  <c r="G510" i="8"/>
  <c r="F510" i="8"/>
  <c r="E510" i="8"/>
  <c r="D510" i="8"/>
  <c r="C510" i="8"/>
  <c r="B510" i="8"/>
  <c r="A510" i="8"/>
  <c r="W509" i="8"/>
  <c r="V509" i="8"/>
  <c r="U509" i="8"/>
  <c r="T509" i="8"/>
  <c r="S509" i="8"/>
  <c r="R509" i="8"/>
  <c r="Q509" i="8"/>
  <c r="P509" i="8"/>
  <c r="O509" i="8"/>
  <c r="N509" i="8"/>
  <c r="M509" i="8"/>
  <c r="L509" i="8"/>
  <c r="K509" i="8"/>
  <c r="J509" i="8"/>
  <c r="I509" i="8"/>
  <c r="H509" i="8"/>
  <c r="G509" i="8"/>
  <c r="F509" i="8"/>
  <c r="E509" i="8"/>
  <c r="D509" i="8"/>
  <c r="C509" i="8"/>
  <c r="B509" i="8"/>
  <c r="A509" i="8"/>
  <c r="W508" i="8"/>
  <c r="V508" i="8"/>
  <c r="U508" i="8"/>
  <c r="T508" i="8"/>
  <c r="S508" i="8"/>
  <c r="R508" i="8"/>
  <c r="Q508" i="8"/>
  <c r="P508" i="8"/>
  <c r="O508" i="8"/>
  <c r="N508" i="8"/>
  <c r="M508" i="8"/>
  <c r="L508" i="8"/>
  <c r="K508" i="8"/>
  <c r="J508" i="8"/>
  <c r="I508" i="8"/>
  <c r="H508" i="8"/>
  <c r="G508" i="8"/>
  <c r="F508" i="8"/>
  <c r="E508" i="8"/>
  <c r="D508" i="8"/>
  <c r="C508" i="8"/>
  <c r="B508" i="8"/>
  <c r="A508" i="8"/>
  <c r="W507" i="8"/>
  <c r="V507" i="8"/>
  <c r="U507" i="8"/>
  <c r="T507" i="8"/>
  <c r="S507" i="8"/>
  <c r="R507" i="8"/>
  <c r="Q507" i="8"/>
  <c r="P507" i="8"/>
  <c r="O507" i="8"/>
  <c r="N507" i="8"/>
  <c r="M507" i="8"/>
  <c r="L507" i="8"/>
  <c r="K507" i="8"/>
  <c r="J507" i="8"/>
  <c r="I507" i="8"/>
  <c r="H507" i="8"/>
  <c r="G507" i="8"/>
  <c r="F507" i="8"/>
  <c r="E507" i="8"/>
  <c r="D507" i="8"/>
  <c r="C507" i="8"/>
  <c r="B507" i="8"/>
  <c r="A507" i="8"/>
  <c r="W506" i="8"/>
  <c r="V506" i="8"/>
  <c r="U506" i="8"/>
  <c r="T506" i="8"/>
  <c r="S506" i="8"/>
  <c r="R506" i="8"/>
  <c r="Q506" i="8"/>
  <c r="P506" i="8"/>
  <c r="O506" i="8"/>
  <c r="N506" i="8"/>
  <c r="M506" i="8"/>
  <c r="L506" i="8"/>
  <c r="K506" i="8"/>
  <c r="J506" i="8"/>
  <c r="I506" i="8"/>
  <c r="H506" i="8"/>
  <c r="G506" i="8"/>
  <c r="F506" i="8"/>
  <c r="E506" i="8"/>
  <c r="D506" i="8"/>
  <c r="C506" i="8"/>
  <c r="B506" i="8"/>
  <c r="A506" i="8"/>
  <c r="W505" i="8"/>
  <c r="V505" i="8"/>
  <c r="U505" i="8"/>
  <c r="T505" i="8"/>
  <c r="S505" i="8"/>
  <c r="R505" i="8"/>
  <c r="Q505" i="8"/>
  <c r="P505" i="8"/>
  <c r="O505" i="8"/>
  <c r="N505" i="8"/>
  <c r="M505" i="8"/>
  <c r="L505" i="8"/>
  <c r="K505" i="8"/>
  <c r="J505" i="8"/>
  <c r="I505" i="8"/>
  <c r="H505" i="8"/>
  <c r="G505" i="8"/>
  <c r="F505" i="8"/>
  <c r="E505" i="8"/>
  <c r="D505" i="8"/>
  <c r="C505" i="8"/>
  <c r="B505" i="8"/>
  <c r="A505" i="8"/>
  <c r="W504" i="8"/>
  <c r="V504" i="8"/>
  <c r="U504" i="8"/>
  <c r="T504" i="8"/>
  <c r="S504" i="8"/>
  <c r="R504" i="8"/>
  <c r="Q504" i="8"/>
  <c r="P504" i="8"/>
  <c r="O504" i="8"/>
  <c r="N504" i="8"/>
  <c r="M504" i="8"/>
  <c r="L504" i="8"/>
  <c r="K504" i="8"/>
  <c r="J504" i="8"/>
  <c r="I504" i="8"/>
  <c r="H504" i="8"/>
  <c r="G504" i="8"/>
  <c r="F504" i="8"/>
  <c r="E504" i="8"/>
  <c r="D504" i="8"/>
  <c r="C504" i="8"/>
  <c r="B504" i="8"/>
  <c r="A504" i="8"/>
  <c r="W503" i="8"/>
  <c r="V503" i="8"/>
  <c r="U503" i="8"/>
  <c r="T503" i="8"/>
  <c r="S503" i="8"/>
  <c r="R503" i="8"/>
  <c r="Q503" i="8"/>
  <c r="P503" i="8"/>
  <c r="O503" i="8"/>
  <c r="N503" i="8"/>
  <c r="M503" i="8"/>
  <c r="L503" i="8"/>
  <c r="K503" i="8"/>
  <c r="J503" i="8"/>
  <c r="I503" i="8"/>
  <c r="H503" i="8"/>
  <c r="G503" i="8"/>
  <c r="F503" i="8"/>
  <c r="E503" i="8"/>
  <c r="D503" i="8"/>
  <c r="C503" i="8"/>
  <c r="B503" i="8"/>
  <c r="A503" i="8"/>
  <c r="W502" i="8"/>
  <c r="V502" i="8"/>
  <c r="U502" i="8"/>
  <c r="T502" i="8"/>
  <c r="S502" i="8"/>
  <c r="R502" i="8"/>
  <c r="Q502" i="8"/>
  <c r="P502" i="8"/>
  <c r="O502" i="8"/>
  <c r="N502" i="8"/>
  <c r="M502" i="8"/>
  <c r="L502" i="8"/>
  <c r="K502" i="8"/>
  <c r="J502" i="8"/>
  <c r="I502" i="8"/>
  <c r="H502" i="8"/>
  <c r="G502" i="8"/>
  <c r="F502" i="8"/>
  <c r="E502" i="8"/>
  <c r="D502" i="8"/>
  <c r="C502" i="8"/>
  <c r="B502" i="8"/>
  <c r="A502" i="8"/>
  <c r="W501" i="8"/>
  <c r="V501" i="8"/>
  <c r="U501" i="8"/>
  <c r="T501" i="8"/>
  <c r="S501" i="8"/>
  <c r="R501" i="8"/>
  <c r="Q501" i="8"/>
  <c r="P501" i="8"/>
  <c r="O501" i="8"/>
  <c r="N501" i="8"/>
  <c r="M501" i="8"/>
  <c r="L501" i="8"/>
  <c r="K501" i="8"/>
  <c r="J501" i="8"/>
  <c r="I501" i="8"/>
  <c r="H501" i="8"/>
  <c r="G501" i="8"/>
  <c r="F501" i="8"/>
  <c r="E501" i="8"/>
  <c r="D501" i="8"/>
  <c r="C501" i="8"/>
  <c r="B501" i="8"/>
  <c r="A501" i="8"/>
  <c r="W500" i="8"/>
  <c r="V500" i="8"/>
  <c r="U500" i="8"/>
  <c r="T500" i="8"/>
  <c r="S500" i="8"/>
  <c r="R500" i="8"/>
  <c r="Q500" i="8"/>
  <c r="P500" i="8"/>
  <c r="O500" i="8"/>
  <c r="N500" i="8"/>
  <c r="M500" i="8"/>
  <c r="L500" i="8"/>
  <c r="K500" i="8"/>
  <c r="J500" i="8"/>
  <c r="I500" i="8"/>
  <c r="H500" i="8"/>
  <c r="G500" i="8"/>
  <c r="F500" i="8"/>
  <c r="E500" i="8"/>
  <c r="D500" i="8"/>
  <c r="C500" i="8"/>
  <c r="B500" i="8"/>
  <c r="A500" i="8"/>
  <c r="W499" i="8"/>
  <c r="V499" i="8"/>
  <c r="U499" i="8"/>
  <c r="T499" i="8"/>
  <c r="S499" i="8"/>
  <c r="R499" i="8"/>
  <c r="Q499" i="8"/>
  <c r="P499" i="8"/>
  <c r="O499" i="8"/>
  <c r="N499" i="8"/>
  <c r="M499" i="8"/>
  <c r="L499" i="8"/>
  <c r="K499" i="8"/>
  <c r="J499" i="8"/>
  <c r="I499" i="8"/>
  <c r="H499" i="8"/>
  <c r="G499" i="8"/>
  <c r="F499" i="8"/>
  <c r="E499" i="8"/>
  <c r="D499" i="8"/>
  <c r="C499" i="8"/>
  <c r="B499" i="8"/>
  <c r="A499" i="8"/>
  <c r="W498" i="8"/>
  <c r="V498" i="8"/>
  <c r="U498" i="8"/>
  <c r="T498" i="8"/>
  <c r="S498" i="8"/>
  <c r="R498" i="8"/>
  <c r="Q498" i="8"/>
  <c r="P498" i="8"/>
  <c r="O498" i="8"/>
  <c r="N498" i="8"/>
  <c r="M498" i="8"/>
  <c r="L498" i="8"/>
  <c r="K498" i="8"/>
  <c r="J498" i="8"/>
  <c r="I498" i="8"/>
  <c r="H498" i="8"/>
  <c r="G498" i="8"/>
  <c r="F498" i="8"/>
  <c r="E498" i="8"/>
  <c r="D498" i="8"/>
  <c r="C498" i="8"/>
  <c r="B498" i="8"/>
  <c r="A498" i="8"/>
  <c r="W497" i="8"/>
  <c r="V497" i="8"/>
  <c r="U497" i="8"/>
  <c r="T497" i="8"/>
  <c r="S497" i="8"/>
  <c r="R497" i="8"/>
  <c r="Q497" i="8"/>
  <c r="P497" i="8"/>
  <c r="O497" i="8"/>
  <c r="N497" i="8"/>
  <c r="M497" i="8"/>
  <c r="L497" i="8"/>
  <c r="K497" i="8"/>
  <c r="J497" i="8"/>
  <c r="I497" i="8"/>
  <c r="H497" i="8"/>
  <c r="G497" i="8"/>
  <c r="F497" i="8"/>
  <c r="E497" i="8"/>
  <c r="D497" i="8"/>
  <c r="C497" i="8"/>
  <c r="B497" i="8"/>
  <c r="A497" i="8"/>
  <c r="W496" i="8"/>
  <c r="V496" i="8"/>
  <c r="U496" i="8"/>
  <c r="T496" i="8"/>
  <c r="S496" i="8"/>
  <c r="R496" i="8"/>
  <c r="Q496" i="8"/>
  <c r="P496" i="8"/>
  <c r="O496" i="8"/>
  <c r="N496" i="8"/>
  <c r="M496" i="8"/>
  <c r="L496" i="8"/>
  <c r="K496" i="8"/>
  <c r="J496" i="8"/>
  <c r="I496" i="8"/>
  <c r="H496" i="8"/>
  <c r="G496" i="8"/>
  <c r="F496" i="8"/>
  <c r="E496" i="8"/>
  <c r="D496" i="8"/>
  <c r="C496" i="8"/>
  <c r="B496" i="8"/>
  <c r="A496" i="8"/>
  <c r="W495" i="8"/>
  <c r="V495" i="8"/>
  <c r="U495" i="8"/>
  <c r="T495" i="8"/>
  <c r="S495" i="8"/>
  <c r="R495" i="8"/>
  <c r="Q495" i="8"/>
  <c r="P495" i="8"/>
  <c r="O495" i="8"/>
  <c r="N495" i="8"/>
  <c r="M495" i="8"/>
  <c r="L495" i="8"/>
  <c r="K495" i="8"/>
  <c r="J495" i="8"/>
  <c r="I495" i="8"/>
  <c r="H495" i="8"/>
  <c r="G495" i="8"/>
  <c r="F495" i="8"/>
  <c r="E495" i="8"/>
  <c r="D495" i="8"/>
  <c r="C495" i="8"/>
  <c r="B495" i="8"/>
  <c r="A495" i="8"/>
  <c r="W494" i="8"/>
  <c r="V494" i="8"/>
  <c r="U494" i="8"/>
  <c r="T494" i="8"/>
  <c r="S494" i="8"/>
  <c r="R494" i="8"/>
  <c r="Q494" i="8"/>
  <c r="P494" i="8"/>
  <c r="O494" i="8"/>
  <c r="N494" i="8"/>
  <c r="M494" i="8"/>
  <c r="L494" i="8"/>
  <c r="K494" i="8"/>
  <c r="J494" i="8"/>
  <c r="I494" i="8"/>
  <c r="H494" i="8"/>
  <c r="G494" i="8"/>
  <c r="F494" i="8"/>
  <c r="E494" i="8"/>
  <c r="D494" i="8"/>
  <c r="C494" i="8"/>
  <c r="B494" i="8"/>
  <c r="A494" i="8"/>
  <c r="W493" i="8"/>
  <c r="V493" i="8"/>
  <c r="U493" i="8"/>
  <c r="T493" i="8"/>
  <c r="S493" i="8"/>
  <c r="R493" i="8"/>
  <c r="Q493" i="8"/>
  <c r="P493" i="8"/>
  <c r="O493" i="8"/>
  <c r="N493" i="8"/>
  <c r="M493" i="8"/>
  <c r="L493" i="8"/>
  <c r="K493" i="8"/>
  <c r="J493" i="8"/>
  <c r="I493" i="8"/>
  <c r="H493" i="8"/>
  <c r="G493" i="8"/>
  <c r="F493" i="8"/>
  <c r="E493" i="8"/>
  <c r="D493" i="8"/>
  <c r="C493" i="8"/>
  <c r="B493" i="8"/>
  <c r="A493" i="8"/>
  <c r="W492" i="8"/>
  <c r="V492" i="8"/>
  <c r="U492" i="8"/>
  <c r="T492" i="8"/>
  <c r="S492" i="8"/>
  <c r="R492" i="8"/>
  <c r="Q492" i="8"/>
  <c r="P492" i="8"/>
  <c r="O492" i="8"/>
  <c r="N492" i="8"/>
  <c r="M492" i="8"/>
  <c r="L492" i="8"/>
  <c r="K492" i="8"/>
  <c r="J492" i="8"/>
  <c r="I492" i="8"/>
  <c r="H492" i="8"/>
  <c r="G492" i="8"/>
  <c r="F492" i="8"/>
  <c r="E492" i="8"/>
  <c r="D492" i="8"/>
  <c r="C492" i="8"/>
  <c r="B492" i="8"/>
  <c r="A492" i="8"/>
  <c r="W491" i="8"/>
  <c r="V491" i="8"/>
  <c r="U491" i="8"/>
  <c r="T491" i="8"/>
  <c r="S491" i="8"/>
  <c r="R491" i="8"/>
  <c r="Q491" i="8"/>
  <c r="P491" i="8"/>
  <c r="O491" i="8"/>
  <c r="N491" i="8"/>
  <c r="M491" i="8"/>
  <c r="L491" i="8"/>
  <c r="K491" i="8"/>
  <c r="J491" i="8"/>
  <c r="I491" i="8"/>
  <c r="H491" i="8"/>
  <c r="G491" i="8"/>
  <c r="F491" i="8"/>
  <c r="E491" i="8"/>
  <c r="D491" i="8"/>
  <c r="C491" i="8"/>
  <c r="B491" i="8"/>
  <c r="A491" i="8"/>
  <c r="W490" i="8"/>
  <c r="V490" i="8"/>
  <c r="U490" i="8"/>
  <c r="T490" i="8"/>
  <c r="S490" i="8"/>
  <c r="R490" i="8"/>
  <c r="Q490" i="8"/>
  <c r="P490" i="8"/>
  <c r="O490" i="8"/>
  <c r="N490" i="8"/>
  <c r="M490" i="8"/>
  <c r="L490" i="8"/>
  <c r="K490" i="8"/>
  <c r="J490" i="8"/>
  <c r="I490" i="8"/>
  <c r="H490" i="8"/>
  <c r="G490" i="8"/>
  <c r="F490" i="8"/>
  <c r="E490" i="8"/>
  <c r="D490" i="8"/>
  <c r="C490" i="8"/>
  <c r="B490" i="8"/>
  <c r="A490" i="8"/>
  <c r="W489" i="8"/>
  <c r="V489" i="8"/>
  <c r="U489" i="8"/>
  <c r="T489" i="8"/>
  <c r="S489" i="8"/>
  <c r="R489" i="8"/>
  <c r="Q489" i="8"/>
  <c r="P489" i="8"/>
  <c r="O489" i="8"/>
  <c r="N489" i="8"/>
  <c r="M489" i="8"/>
  <c r="L489" i="8"/>
  <c r="K489" i="8"/>
  <c r="J489" i="8"/>
  <c r="I489" i="8"/>
  <c r="H489" i="8"/>
  <c r="G489" i="8"/>
  <c r="F489" i="8"/>
  <c r="E489" i="8"/>
  <c r="D489" i="8"/>
  <c r="C489" i="8"/>
  <c r="B489" i="8"/>
  <c r="A489" i="8"/>
  <c r="W488" i="8"/>
  <c r="V488" i="8"/>
  <c r="U488" i="8"/>
  <c r="T488" i="8"/>
  <c r="S488" i="8"/>
  <c r="R488" i="8"/>
  <c r="Q488" i="8"/>
  <c r="P488" i="8"/>
  <c r="O488" i="8"/>
  <c r="N488" i="8"/>
  <c r="M488" i="8"/>
  <c r="L488" i="8"/>
  <c r="K488" i="8"/>
  <c r="J488" i="8"/>
  <c r="I488" i="8"/>
  <c r="H488" i="8"/>
  <c r="G488" i="8"/>
  <c r="F488" i="8"/>
  <c r="E488" i="8"/>
  <c r="D488" i="8"/>
  <c r="C488" i="8"/>
  <c r="B488" i="8"/>
  <c r="A488" i="8"/>
  <c r="W487" i="8"/>
  <c r="V487" i="8"/>
  <c r="U487" i="8"/>
  <c r="T487" i="8"/>
  <c r="S487" i="8"/>
  <c r="R487" i="8"/>
  <c r="Q487" i="8"/>
  <c r="P487" i="8"/>
  <c r="O487" i="8"/>
  <c r="N487" i="8"/>
  <c r="M487" i="8"/>
  <c r="L487" i="8"/>
  <c r="K487" i="8"/>
  <c r="J487" i="8"/>
  <c r="I487" i="8"/>
  <c r="H487" i="8"/>
  <c r="G487" i="8"/>
  <c r="F487" i="8"/>
  <c r="E487" i="8"/>
  <c r="D487" i="8"/>
  <c r="C487" i="8"/>
  <c r="B487" i="8"/>
  <c r="A487" i="8"/>
  <c r="W486" i="8"/>
  <c r="V486" i="8"/>
  <c r="U486" i="8"/>
  <c r="T486" i="8"/>
  <c r="S486" i="8"/>
  <c r="R486" i="8"/>
  <c r="Q486" i="8"/>
  <c r="P486" i="8"/>
  <c r="O486" i="8"/>
  <c r="N486" i="8"/>
  <c r="M486" i="8"/>
  <c r="L486" i="8"/>
  <c r="K486" i="8"/>
  <c r="J486" i="8"/>
  <c r="I486" i="8"/>
  <c r="H486" i="8"/>
  <c r="G486" i="8"/>
  <c r="F486" i="8"/>
  <c r="E486" i="8"/>
  <c r="D486" i="8"/>
  <c r="C486" i="8"/>
  <c r="B486" i="8"/>
  <c r="A486" i="8"/>
  <c r="W485" i="8"/>
  <c r="V485" i="8"/>
  <c r="U485" i="8"/>
  <c r="T485" i="8"/>
  <c r="S485" i="8"/>
  <c r="R485" i="8"/>
  <c r="Q485" i="8"/>
  <c r="P485" i="8"/>
  <c r="O485" i="8"/>
  <c r="N485" i="8"/>
  <c r="M485" i="8"/>
  <c r="L485" i="8"/>
  <c r="K485" i="8"/>
  <c r="J485" i="8"/>
  <c r="I485" i="8"/>
  <c r="H485" i="8"/>
  <c r="G485" i="8"/>
  <c r="F485" i="8"/>
  <c r="E485" i="8"/>
  <c r="D485" i="8"/>
  <c r="C485" i="8"/>
  <c r="B485" i="8"/>
  <c r="A485" i="8"/>
  <c r="W484" i="8"/>
  <c r="V484" i="8"/>
  <c r="U484" i="8"/>
  <c r="T484" i="8"/>
  <c r="S484" i="8"/>
  <c r="R484" i="8"/>
  <c r="Q484" i="8"/>
  <c r="P484" i="8"/>
  <c r="O484" i="8"/>
  <c r="N484" i="8"/>
  <c r="M484" i="8"/>
  <c r="L484" i="8"/>
  <c r="K484" i="8"/>
  <c r="J484" i="8"/>
  <c r="I484" i="8"/>
  <c r="H484" i="8"/>
  <c r="G484" i="8"/>
  <c r="F484" i="8"/>
  <c r="E484" i="8"/>
  <c r="D484" i="8"/>
  <c r="C484" i="8"/>
  <c r="B484" i="8"/>
  <c r="A484" i="8"/>
  <c r="W483" i="8"/>
  <c r="V483" i="8"/>
  <c r="U483" i="8"/>
  <c r="T483" i="8"/>
  <c r="S483" i="8"/>
  <c r="R483" i="8"/>
  <c r="Q483" i="8"/>
  <c r="P483" i="8"/>
  <c r="O483" i="8"/>
  <c r="N483" i="8"/>
  <c r="M483" i="8"/>
  <c r="L483" i="8"/>
  <c r="K483" i="8"/>
  <c r="J483" i="8"/>
  <c r="I483" i="8"/>
  <c r="H483" i="8"/>
  <c r="G483" i="8"/>
  <c r="F483" i="8"/>
  <c r="E483" i="8"/>
  <c r="D483" i="8"/>
  <c r="C483" i="8"/>
  <c r="B483" i="8"/>
  <c r="A483" i="8"/>
  <c r="W482" i="8"/>
  <c r="V482" i="8"/>
  <c r="U482" i="8"/>
  <c r="T482" i="8"/>
  <c r="S482" i="8"/>
  <c r="R482" i="8"/>
  <c r="Q482" i="8"/>
  <c r="P482" i="8"/>
  <c r="O482" i="8"/>
  <c r="N482" i="8"/>
  <c r="M482" i="8"/>
  <c r="L482" i="8"/>
  <c r="K482" i="8"/>
  <c r="J482" i="8"/>
  <c r="I482" i="8"/>
  <c r="H482" i="8"/>
  <c r="G482" i="8"/>
  <c r="F482" i="8"/>
  <c r="E482" i="8"/>
  <c r="D482" i="8"/>
  <c r="C482" i="8"/>
  <c r="B482" i="8"/>
  <c r="A482" i="8"/>
  <c r="W481" i="8"/>
  <c r="V481" i="8"/>
  <c r="U481" i="8"/>
  <c r="T481" i="8"/>
  <c r="S481" i="8"/>
  <c r="R481" i="8"/>
  <c r="Q481" i="8"/>
  <c r="P481" i="8"/>
  <c r="O481" i="8"/>
  <c r="N481" i="8"/>
  <c r="M481" i="8"/>
  <c r="L481" i="8"/>
  <c r="K481" i="8"/>
  <c r="J481" i="8"/>
  <c r="I481" i="8"/>
  <c r="H481" i="8"/>
  <c r="G481" i="8"/>
  <c r="F481" i="8"/>
  <c r="E481" i="8"/>
  <c r="D481" i="8"/>
  <c r="C481" i="8"/>
  <c r="B481" i="8"/>
  <c r="A481" i="8"/>
  <c r="W480" i="8"/>
  <c r="V480" i="8"/>
  <c r="U480" i="8"/>
  <c r="T480" i="8"/>
  <c r="S480" i="8"/>
  <c r="R480" i="8"/>
  <c r="Q480" i="8"/>
  <c r="P480" i="8"/>
  <c r="O480" i="8"/>
  <c r="N480" i="8"/>
  <c r="M480" i="8"/>
  <c r="L480" i="8"/>
  <c r="K480" i="8"/>
  <c r="J480" i="8"/>
  <c r="I480" i="8"/>
  <c r="H480" i="8"/>
  <c r="G480" i="8"/>
  <c r="F480" i="8"/>
  <c r="E480" i="8"/>
  <c r="D480" i="8"/>
  <c r="C480" i="8"/>
  <c r="B480" i="8"/>
  <c r="A480" i="8"/>
  <c r="W479" i="8"/>
  <c r="V479" i="8"/>
  <c r="U479" i="8"/>
  <c r="T479" i="8"/>
  <c r="S479" i="8"/>
  <c r="R479" i="8"/>
  <c r="Q479" i="8"/>
  <c r="P479" i="8"/>
  <c r="O479" i="8"/>
  <c r="N479" i="8"/>
  <c r="M479" i="8"/>
  <c r="L479" i="8"/>
  <c r="K479" i="8"/>
  <c r="J479" i="8"/>
  <c r="I479" i="8"/>
  <c r="H479" i="8"/>
  <c r="G479" i="8"/>
  <c r="F479" i="8"/>
  <c r="E479" i="8"/>
  <c r="D479" i="8"/>
  <c r="C479" i="8"/>
  <c r="B479" i="8"/>
  <c r="A479" i="8"/>
  <c r="W478" i="8"/>
  <c r="V478" i="8"/>
  <c r="U478" i="8"/>
  <c r="T478" i="8"/>
  <c r="S478" i="8"/>
  <c r="R478" i="8"/>
  <c r="Q478" i="8"/>
  <c r="P478" i="8"/>
  <c r="O478" i="8"/>
  <c r="N478" i="8"/>
  <c r="M478" i="8"/>
  <c r="L478" i="8"/>
  <c r="K478" i="8"/>
  <c r="J478" i="8"/>
  <c r="I478" i="8"/>
  <c r="H478" i="8"/>
  <c r="G478" i="8"/>
  <c r="F478" i="8"/>
  <c r="E478" i="8"/>
  <c r="D478" i="8"/>
  <c r="C478" i="8"/>
  <c r="B478" i="8"/>
  <c r="A478" i="8"/>
  <c r="W477" i="8"/>
  <c r="V477" i="8"/>
  <c r="U477" i="8"/>
  <c r="T477" i="8"/>
  <c r="S477" i="8"/>
  <c r="R477" i="8"/>
  <c r="Q477" i="8"/>
  <c r="P477" i="8"/>
  <c r="O477" i="8"/>
  <c r="N477" i="8"/>
  <c r="M477" i="8"/>
  <c r="L477" i="8"/>
  <c r="K477" i="8"/>
  <c r="J477" i="8"/>
  <c r="I477" i="8"/>
  <c r="H477" i="8"/>
  <c r="G477" i="8"/>
  <c r="F477" i="8"/>
  <c r="E477" i="8"/>
  <c r="D477" i="8"/>
  <c r="C477" i="8"/>
  <c r="B477" i="8"/>
  <c r="A477" i="8"/>
  <c r="W476" i="8"/>
  <c r="V476" i="8"/>
  <c r="U476" i="8"/>
  <c r="T476" i="8"/>
  <c r="S476" i="8"/>
  <c r="R476" i="8"/>
  <c r="Q476" i="8"/>
  <c r="P476" i="8"/>
  <c r="O476" i="8"/>
  <c r="N476" i="8"/>
  <c r="M476" i="8"/>
  <c r="L476" i="8"/>
  <c r="K476" i="8"/>
  <c r="J476" i="8"/>
  <c r="I476" i="8"/>
  <c r="H476" i="8"/>
  <c r="G476" i="8"/>
  <c r="F476" i="8"/>
  <c r="E476" i="8"/>
  <c r="D476" i="8"/>
  <c r="C476" i="8"/>
  <c r="B476" i="8"/>
  <c r="A476" i="8"/>
  <c r="W475" i="8"/>
  <c r="V475" i="8"/>
  <c r="U475" i="8"/>
  <c r="T475" i="8"/>
  <c r="S475" i="8"/>
  <c r="R475" i="8"/>
  <c r="Q475" i="8"/>
  <c r="P475" i="8"/>
  <c r="O475" i="8"/>
  <c r="N475" i="8"/>
  <c r="M475" i="8"/>
  <c r="L475" i="8"/>
  <c r="K475" i="8"/>
  <c r="J475" i="8"/>
  <c r="I475" i="8"/>
  <c r="H475" i="8"/>
  <c r="G475" i="8"/>
  <c r="F475" i="8"/>
  <c r="E475" i="8"/>
  <c r="D475" i="8"/>
  <c r="C475" i="8"/>
  <c r="B475" i="8"/>
  <c r="A475" i="8"/>
  <c r="W474" i="8"/>
  <c r="V474" i="8"/>
  <c r="U474" i="8"/>
  <c r="T474" i="8"/>
  <c r="S474" i="8"/>
  <c r="R474" i="8"/>
  <c r="Q474" i="8"/>
  <c r="P474" i="8"/>
  <c r="O474" i="8"/>
  <c r="N474" i="8"/>
  <c r="M474" i="8"/>
  <c r="L474" i="8"/>
  <c r="K474" i="8"/>
  <c r="J474" i="8"/>
  <c r="I474" i="8"/>
  <c r="H474" i="8"/>
  <c r="G474" i="8"/>
  <c r="F474" i="8"/>
  <c r="E474" i="8"/>
  <c r="D474" i="8"/>
  <c r="C474" i="8"/>
  <c r="B474" i="8"/>
  <c r="A474" i="8"/>
  <c r="W473" i="8"/>
  <c r="V473" i="8"/>
  <c r="U473" i="8"/>
  <c r="T473" i="8"/>
  <c r="S473" i="8"/>
  <c r="R473" i="8"/>
  <c r="Q473" i="8"/>
  <c r="P473" i="8"/>
  <c r="O473" i="8"/>
  <c r="N473" i="8"/>
  <c r="M473" i="8"/>
  <c r="L473" i="8"/>
  <c r="K473" i="8"/>
  <c r="J473" i="8"/>
  <c r="I473" i="8"/>
  <c r="H473" i="8"/>
  <c r="G473" i="8"/>
  <c r="F473" i="8"/>
  <c r="E473" i="8"/>
  <c r="D473" i="8"/>
  <c r="C473" i="8"/>
  <c r="B473" i="8"/>
  <c r="A473" i="8"/>
  <c r="W472" i="8"/>
  <c r="V472" i="8"/>
  <c r="U472" i="8"/>
  <c r="T472" i="8"/>
  <c r="S472" i="8"/>
  <c r="R472" i="8"/>
  <c r="Q472" i="8"/>
  <c r="P472" i="8"/>
  <c r="O472" i="8"/>
  <c r="N472" i="8"/>
  <c r="M472" i="8"/>
  <c r="L472" i="8"/>
  <c r="K472" i="8"/>
  <c r="J472" i="8"/>
  <c r="I472" i="8"/>
  <c r="H472" i="8"/>
  <c r="G472" i="8"/>
  <c r="F472" i="8"/>
  <c r="E472" i="8"/>
  <c r="D472" i="8"/>
  <c r="C472" i="8"/>
  <c r="B472" i="8"/>
  <c r="A472" i="8"/>
  <c r="W471" i="8"/>
  <c r="V471" i="8"/>
  <c r="U471" i="8"/>
  <c r="T471" i="8"/>
  <c r="S471" i="8"/>
  <c r="R471" i="8"/>
  <c r="Q471" i="8"/>
  <c r="P471" i="8"/>
  <c r="O471" i="8"/>
  <c r="N471" i="8"/>
  <c r="M471" i="8"/>
  <c r="L471" i="8"/>
  <c r="K471" i="8"/>
  <c r="J471" i="8"/>
  <c r="I471" i="8"/>
  <c r="H471" i="8"/>
  <c r="G471" i="8"/>
  <c r="F471" i="8"/>
  <c r="E471" i="8"/>
  <c r="D471" i="8"/>
  <c r="C471" i="8"/>
  <c r="B471" i="8"/>
  <c r="A471" i="8"/>
  <c r="W470" i="8"/>
  <c r="V470" i="8"/>
  <c r="U470" i="8"/>
  <c r="T470" i="8"/>
  <c r="S470" i="8"/>
  <c r="R470" i="8"/>
  <c r="Q470" i="8"/>
  <c r="P470" i="8"/>
  <c r="O470" i="8"/>
  <c r="N470" i="8"/>
  <c r="M470" i="8"/>
  <c r="L470" i="8"/>
  <c r="K470" i="8"/>
  <c r="J470" i="8"/>
  <c r="I470" i="8"/>
  <c r="H470" i="8"/>
  <c r="G470" i="8"/>
  <c r="F470" i="8"/>
  <c r="E470" i="8"/>
  <c r="D470" i="8"/>
  <c r="C470" i="8"/>
  <c r="B470" i="8"/>
  <c r="A470" i="8"/>
  <c r="W469" i="8"/>
  <c r="V469" i="8"/>
  <c r="U469" i="8"/>
  <c r="T469" i="8"/>
  <c r="S469" i="8"/>
  <c r="R469" i="8"/>
  <c r="Q469" i="8"/>
  <c r="P469" i="8"/>
  <c r="O469" i="8"/>
  <c r="N469" i="8"/>
  <c r="M469" i="8"/>
  <c r="L469" i="8"/>
  <c r="K469" i="8"/>
  <c r="J469" i="8"/>
  <c r="I469" i="8"/>
  <c r="H469" i="8"/>
  <c r="G469" i="8"/>
  <c r="F469" i="8"/>
  <c r="E469" i="8"/>
  <c r="D469" i="8"/>
  <c r="C469" i="8"/>
  <c r="B469" i="8"/>
  <c r="A469" i="8"/>
  <c r="W468" i="8"/>
  <c r="V468" i="8"/>
  <c r="U468" i="8"/>
  <c r="T468" i="8"/>
  <c r="S468" i="8"/>
  <c r="R468" i="8"/>
  <c r="Q468" i="8"/>
  <c r="P468" i="8"/>
  <c r="O468" i="8"/>
  <c r="N468" i="8"/>
  <c r="M468" i="8"/>
  <c r="L468" i="8"/>
  <c r="K468" i="8"/>
  <c r="J468" i="8"/>
  <c r="I468" i="8"/>
  <c r="H468" i="8"/>
  <c r="G468" i="8"/>
  <c r="F468" i="8"/>
  <c r="E468" i="8"/>
  <c r="D468" i="8"/>
  <c r="C468" i="8"/>
  <c r="B468" i="8"/>
  <c r="A468" i="8"/>
  <c r="W467" i="8"/>
  <c r="V467" i="8"/>
  <c r="U467" i="8"/>
  <c r="T467" i="8"/>
  <c r="S467" i="8"/>
  <c r="R467" i="8"/>
  <c r="Q467" i="8"/>
  <c r="P467" i="8"/>
  <c r="O467" i="8"/>
  <c r="N467" i="8"/>
  <c r="M467" i="8"/>
  <c r="L467" i="8"/>
  <c r="K467" i="8"/>
  <c r="J467" i="8"/>
  <c r="I467" i="8"/>
  <c r="H467" i="8"/>
  <c r="G467" i="8"/>
  <c r="F467" i="8"/>
  <c r="E467" i="8"/>
  <c r="D467" i="8"/>
  <c r="C467" i="8"/>
  <c r="B467" i="8"/>
  <c r="A467" i="8"/>
  <c r="W466" i="8"/>
  <c r="V466" i="8"/>
  <c r="U466" i="8"/>
  <c r="T466" i="8"/>
  <c r="S466" i="8"/>
  <c r="R466" i="8"/>
  <c r="Q466" i="8"/>
  <c r="P466" i="8"/>
  <c r="O466" i="8"/>
  <c r="N466" i="8"/>
  <c r="M466" i="8"/>
  <c r="L466" i="8"/>
  <c r="K466" i="8"/>
  <c r="J466" i="8"/>
  <c r="I466" i="8"/>
  <c r="H466" i="8"/>
  <c r="G466" i="8"/>
  <c r="F466" i="8"/>
  <c r="E466" i="8"/>
  <c r="D466" i="8"/>
  <c r="C466" i="8"/>
  <c r="B466" i="8"/>
  <c r="A466" i="8"/>
  <c r="W465" i="8"/>
  <c r="V465" i="8"/>
  <c r="U465" i="8"/>
  <c r="T465" i="8"/>
  <c r="S465" i="8"/>
  <c r="R465" i="8"/>
  <c r="Q465" i="8"/>
  <c r="P465" i="8"/>
  <c r="O465" i="8"/>
  <c r="N465" i="8"/>
  <c r="M465" i="8"/>
  <c r="L465" i="8"/>
  <c r="K465" i="8"/>
  <c r="J465" i="8"/>
  <c r="I465" i="8"/>
  <c r="H465" i="8"/>
  <c r="G465" i="8"/>
  <c r="F465" i="8"/>
  <c r="E465" i="8"/>
  <c r="D465" i="8"/>
  <c r="C465" i="8"/>
  <c r="B465" i="8"/>
  <c r="A465" i="8"/>
  <c r="W464" i="8"/>
  <c r="V464" i="8"/>
  <c r="U464" i="8"/>
  <c r="T464" i="8"/>
  <c r="S464" i="8"/>
  <c r="R464" i="8"/>
  <c r="Q464" i="8"/>
  <c r="P464" i="8"/>
  <c r="O464" i="8"/>
  <c r="N464" i="8"/>
  <c r="M464" i="8"/>
  <c r="L464" i="8"/>
  <c r="K464" i="8"/>
  <c r="J464" i="8"/>
  <c r="I464" i="8"/>
  <c r="H464" i="8"/>
  <c r="G464" i="8"/>
  <c r="F464" i="8"/>
  <c r="E464" i="8"/>
  <c r="D464" i="8"/>
  <c r="C464" i="8"/>
  <c r="B464" i="8"/>
  <c r="A464" i="8"/>
  <c r="W463" i="8"/>
  <c r="V463" i="8"/>
  <c r="U463" i="8"/>
  <c r="T463" i="8"/>
  <c r="S463" i="8"/>
  <c r="R463" i="8"/>
  <c r="Q463" i="8"/>
  <c r="P463" i="8"/>
  <c r="O463" i="8"/>
  <c r="N463" i="8"/>
  <c r="M463" i="8"/>
  <c r="L463" i="8"/>
  <c r="K463" i="8"/>
  <c r="J463" i="8"/>
  <c r="I463" i="8"/>
  <c r="H463" i="8"/>
  <c r="G463" i="8"/>
  <c r="F463" i="8"/>
  <c r="E463" i="8"/>
  <c r="D463" i="8"/>
  <c r="C463" i="8"/>
  <c r="B463" i="8"/>
  <c r="A463" i="8"/>
  <c r="W462" i="8"/>
  <c r="V462" i="8"/>
  <c r="U462" i="8"/>
  <c r="T462" i="8"/>
  <c r="S462" i="8"/>
  <c r="R462" i="8"/>
  <c r="Q462" i="8"/>
  <c r="P462" i="8"/>
  <c r="O462" i="8"/>
  <c r="N462" i="8"/>
  <c r="M462" i="8"/>
  <c r="L462" i="8"/>
  <c r="K462" i="8"/>
  <c r="J462" i="8"/>
  <c r="I462" i="8"/>
  <c r="H462" i="8"/>
  <c r="G462" i="8"/>
  <c r="F462" i="8"/>
  <c r="E462" i="8"/>
  <c r="D462" i="8"/>
  <c r="C462" i="8"/>
  <c r="B462" i="8"/>
  <c r="A462" i="8"/>
  <c r="W461" i="8"/>
  <c r="V461" i="8"/>
  <c r="U461" i="8"/>
  <c r="T461" i="8"/>
  <c r="S461" i="8"/>
  <c r="R461" i="8"/>
  <c r="Q461" i="8"/>
  <c r="P461" i="8"/>
  <c r="O461" i="8"/>
  <c r="N461" i="8"/>
  <c r="M461" i="8"/>
  <c r="L461" i="8"/>
  <c r="K461" i="8"/>
  <c r="J461" i="8"/>
  <c r="I461" i="8"/>
  <c r="H461" i="8"/>
  <c r="G461" i="8"/>
  <c r="F461" i="8"/>
  <c r="E461" i="8"/>
  <c r="D461" i="8"/>
  <c r="C461" i="8"/>
  <c r="B461" i="8"/>
  <c r="A461" i="8"/>
  <c r="W460" i="8"/>
  <c r="V460" i="8"/>
  <c r="U460" i="8"/>
  <c r="T460" i="8"/>
  <c r="S460" i="8"/>
  <c r="R460" i="8"/>
  <c r="Q460" i="8"/>
  <c r="P460" i="8"/>
  <c r="O460" i="8"/>
  <c r="N460" i="8"/>
  <c r="M460" i="8"/>
  <c r="L460" i="8"/>
  <c r="K460" i="8"/>
  <c r="J460" i="8"/>
  <c r="I460" i="8"/>
  <c r="H460" i="8"/>
  <c r="G460" i="8"/>
  <c r="F460" i="8"/>
  <c r="E460" i="8"/>
  <c r="D460" i="8"/>
  <c r="C460" i="8"/>
  <c r="B460" i="8"/>
  <c r="A460" i="8"/>
  <c r="W459" i="8"/>
  <c r="V459" i="8"/>
  <c r="U459" i="8"/>
  <c r="T459" i="8"/>
  <c r="S459" i="8"/>
  <c r="R459" i="8"/>
  <c r="Q459" i="8"/>
  <c r="P459" i="8"/>
  <c r="O459" i="8"/>
  <c r="N459" i="8"/>
  <c r="M459" i="8"/>
  <c r="L459" i="8"/>
  <c r="K459" i="8"/>
  <c r="J459" i="8"/>
  <c r="I459" i="8"/>
  <c r="H459" i="8"/>
  <c r="G459" i="8"/>
  <c r="F459" i="8"/>
  <c r="E459" i="8"/>
  <c r="D459" i="8"/>
  <c r="C459" i="8"/>
  <c r="B459" i="8"/>
  <c r="A459" i="8"/>
  <c r="W458" i="8"/>
  <c r="V458" i="8"/>
  <c r="U458" i="8"/>
  <c r="T458" i="8"/>
  <c r="S458" i="8"/>
  <c r="R458" i="8"/>
  <c r="Q458" i="8"/>
  <c r="P458" i="8"/>
  <c r="O458" i="8"/>
  <c r="N458" i="8"/>
  <c r="M458" i="8"/>
  <c r="L458" i="8"/>
  <c r="K458" i="8"/>
  <c r="J458" i="8"/>
  <c r="I458" i="8"/>
  <c r="H458" i="8"/>
  <c r="G458" i="8"/>
  <c r="F458" i="8"/>
  <c r="E458" i="8"/>
  <c r="D458" i="8"/>
  <c r="C458" i="8"/>
  <c r="B458" i="8"/>
  <c r="A458" i="8"/>
  <c r="W457" i="8"/>
  <c r="V457" i="8"/>
  <c r="U457" i="8"/>
  <c r="T457" i="8"/>
  <c r="S457" i="8"/>
  <c r="R457" i="8"/>
  <c r="Q457" i="8"/>
  <c r="P457" i="8"/>
  <c r="O457" i="8"/>
  <c r="N457" i="8"/>
  <c r="M457" i="8"/>
  <c r="L457" i="8"/>
  <c r="K457" i="8"/>
  <c r="J457" i="8"/>
  <c r="I457" i="8"/>
  <c r="H457" i="8"/>
  <c r="G457" i="8"/>
  <c r="F457" i="8"/>
  <c r="E457" i="8"/>
  <c r="D457" i="8"/>
  <c r="C457" i="8"/>
  <c r="B457" i="8"/>
  <c r="A457" i="8"/>
  <c r="W456" i="8"/>
  <c r="V456" i="8"/>
  <c r="U456" i="8"/>
  <c r="T456" i="8"/>
  <c r="S456" i="8"/>
  <c r="R456" i="8"/>
  <c r="Q456" i="8"/>
  <c r="P456" i="8"/>
  <c r="O456" i="8"/>
  <c r="N456" i="8"/>
  <c r="M456" i="8"/>
  <c r="L456" i="8"/>
  <c r="K456" i="8"/>
  <c r="J456" i="8"/>
  <c r="I456" i="8"/>
  <c r="H456" i="8"/>
  <c r="G456" i="8"/>
  <c r="F456" i="8"/>
  <c r="E456" i="8"/>
  <c r="D456" i="8"/>
  <c r="C456" i="8"/>
  <c r="B456" i="8"/>
  <c r="A456" i="8"/>
  <c r="W455" i="8"/>
  <c r="V455" i="8"/>
  <c r="U455" i="8"/>
  <c r="T455" i="8"/>
  <c r="S455" i="8"/>
  <c r="R455" i="8"/>
  <c r="Q455" i="8"/>
  <c r="P455" i="8"/>
  <c r="O455" i="8"/>
  <c r="N455" i="8"/>
  <c r="M455" i="8"/>
  <c r="L455" i="8"/>
  <c r="K455" i="8"/>
  <c r="J455" i="8"/>
  <c r="I455" i="8"/>
  <c r="H455" i="8"/>
  <c r="G455" i="8"/>
  <c r="F455" i="8"/>
  <c r="E455" i="8"/>
  <c r="D455" i="8"/>
  <c r="C455" i="8"/>
  <c r="B455" i="8"/>
  <c r="A455" i="8"/>
  <c r="W454" i="8"/>
  <c r="V454" i="8"/>
  <c r="U454" i="8"/>
  <c r="T454" i="8"/>
  <c r="S454" i="8"/>
  <c r="R454" i="8"/>
  <c r="Q454" i="8"/>
  <c r="P454" i="8"/>
  <c r="O454" i="8"/>
  <c r="N454" i="8"/>
  <c r="M454" i="8"/>
  <c r="L454" i="8"/>
  <c r="K454" i="8"/>
  <c r="J454" i="8"/>
  <c r="I454" i="8"/>
  <c r="H454" i="8"/>
  <c r="G454" i="8"/>
  <c r="F454" i="8"/>
  <c r="E454" i="8"/>
  <c r="D454" i="8"/>
  <c r="C454" i="8"/>
  <c r="B454" i="8"/>
  <c r="A454" i="8"/>
  <c r="W453" i="8"/>
  <c r="V453" i="8"/>
  <c r="U453" i="8"/>
  <c r="T453" i="8"/>
  <c r="S453" i="8"/>
  <c r="R453" i="8"/>
  <c r="Q453" i="8"/>
  <c r="P453" i="8"/>
  <c r="O453" i="8"/>
  <c r="N453" i="8"/>
  <c r="M453" i="8"/>
  <c r="L453" i="8"/>
  <c r="K453" i="8"/>
  <c r="J453" i="8"/>
  <c r="I453" i="8"/>
  <c r="H453" i="8"/>
  <c r="G453" i="8"/>
  <c r="F453" i="8"/>
  <c r="E453" i="8"/>
  <c r="D453" i="8"/>
  <c r="C453" i="8"/>
  <c r="B453" i="8"/>
  <c r="A453" i="8"/>
  <c r="W452" i="8"/>
  <c r="V452" i="8"/>
  <c r="U452" i="8"/>
  <c r="T452" i="8"/>
  <c r="S452" i="8"/>
  <c r="R452" i="8"/>
  <c r="Q452" i="8"/>
  <c r="P452" i="8"/>
  <c r="O452" i="8"/>
  <c r="N452" i="8"/>
  <c r="M452" i="8"/>
  <c r="L452" i="8"/>
  <c r="K452" i="8"/>
  <c r="J452" i="8"/>
  <c r="I452" i="8"/>
  <c r="H452" i="8"/>
  <c r="G452" i="8"/>
  <c r="F452" i="8"/>
  <c r="E452" i="8"/>
  <c r="D452" i="8"/>
  <c r="C452" i="8"/>
  <c r="B452" i="8"/>
  <c r="A452" i="8"/>
  <c r="W451" i="8"/>
  <c r="V451" i="8"/>
  <c r="U451" i="8"/>
  <c r="T451" i="8"/>
  <c r="S451" i="8"/>
  <c r="R451" i="8"/>
  <c r="Q451" i="8"/>
  <c r="P451" i="8"/>
  <c r="O451" i="8"/>
  <c r="N451" i="8"/>
  <c r="M451" i="8"/>
  <c r="L451" i="8"/>
  <c r="K451" i="8"/>
  <c r="J451" i="8"/>
  <c r="I451" i="8"/>
  <c r="H451" i="8"/>
  <c r="G451" i="8"/>
  <c r="F451" i="8"/>
  <c r="E451" i="8"/>
  <c r="D451" i="8"/>
  <c r="C451" i="8"/>
  <c r="B451" i="8"/>
  <c r="A451" i="8"/>
  <c r="W450" i="8"/>
  <c r="V450" i="8"/>
  <c r="U450" i="8"/>
  <c r="T450" i="8"/>
  <c r="S450" i="8"/>
  <c r="R450" i="8"/>
  <c r="Q450" i="8"/>
  <c r="P450" i="8"/>
  <c r="O450" i="8"/>
  <c r="N450" i="8"/>
  <c r="M450" i="8"/>
  <c r="L450" i="8"/>
  <c r="K450" i="8"/>
  <c r="J450" i="8"/>
  <c r="I450" i="8"/>
  <c r="H450" i="8"/>
  <c r="G450" i="8"/>
  <c r="F450" i="8"/>
  <c r="E450" i="8"/>
  <c r="D450" i="8"/>
  <c r="C450" i="8"/>
  <c r="B450" i="8"/>
  <c r="A450" i="8"/>
  <c r="W449" i="8"/>
  <c r="V449" i="8"/>
  <c r="U449" i="8"/>
  <c r="T449" i="8"/>
  <c r="S449" i="8"/>
  <c r="R449" i="8"/>
  <c r="Q449" i="8"/>
  <c r="P449" i="8"/>
  <c r="O449" i="8"/>
  <c r="N449" i="8"/>
  <c r="M449" i="8"/>
  <c r="L449" i="8"/>
  <c r="K449" i="8"/>
  <c r="J449" i="8"/>
  <c r="I449" i="8"/>
  <c r="H449" i="8"/>
  <c r="G449" i="8"/>
  <c r="F449" i="8"/>
  <c r="E449" i="8"/>
  <c r="D449" i="8"/>
  <c r="C449" i="8"/>
  <c r="B449" i="8"/>
  <c r="A449" i="8"/>
  <c r="W448" i="8"/>
  <c r="V448" i="8"/>
  <c r="U448" i="8"/>
  <c r="T448" i="8"/>
  <c r="S448" i="8"/>
  <c r="R448" i="8"/>
  <c r="Q448" i="8"/>
  <c r="P448" i="8"/>
  <c r="O448" i="8"/>
  <c r="N448" i="8"/>
  <c r="M448" i="8"/>
  <c r="L448" i="8"/>
  <c r="K448" i="8"/>
  <c r="J448" i="8"/>
  <c r="I448" i="8"/>
  <c r="H448" i="8"/>
  <c r="G448" i="8"/>
  <c r="F448" i="8"/>
  <c r="E448" i="8"/>
  <c r="D448" i="8"/>
  <c r="C448" i="8"/>
  <c r="B448" i="8"/>
  <c r="A448" i="8"/>
  <c r="W447" i="8"/>
  <c r="V447" i="8"/>
  <c r="U447" i="8"/>
  <c r="T447" i="8"/>
  <c r="S447" i="8"/>
  <c r="R447" i="8"/>
  <c r="Q447" i="8"/>
  <c r="P447" i="8"/>
  <c r="O447" i="8"/>
  <c r="N447" i="8"/>
  <c r="M447" i="8"/>
  <c r="L447" i="8"/>
  <c r="K447" i="8"/>
  <c r="J447" i="8"/>
  <c r="I447" i="8"/>
  <c r="H447" i="8"/>
  <c r="G447" i="8"/>
  <c r="F447" i="8"/>
  <c r="E447" i="8"/>
  <c r="D447" i="8"/>
  <c r="C447" i="8"/>
  <c r="B447" i="8"/>
  <c r="A447" i="8"/>
  <c r="W446" i="8"/>
  <c r="V446" i="8"/>
  <c r="U446" i="8"/>
  <c r="T446" i="8"/>
  <c r="S446" i="8"/>
  <c r="R446" i="8"/>
  <c r="Q446" i="8"/>
  <c r="P446" i="8"/>
  <c r="O446" i="8"/>
  <c r="N446" i="8"/>
  <c r="M446" i="8"/>
  <c r="L446" i="8"/>
  <c r="K446" i="8"/>
  <c r="J446" i="8"/>
  <c r="I446" i="8"/>
  <c r="H446" i="8"/>
  <c r="G446" i="8"/>
  <c r="F446" i="8"/>
  <c r="E446" i="8"/>
  <c r="D446" i="8"/>
  <c r="C446" i="8"/>
  <c r="B446" i="8"/>
  <c r="A446" i="8"/>
  <c r="W445" i="8"/>
  <c r="V445" i="8"/>
  <c r="U445" i="8"/>
  <c r="T445" i="8"/>
  <c r="S445" i="8"/>
  <c r="R445" i="8"/>
  <c r="Q445" i="8"/>
  <c r="P445" i="8"/>
  <c r="O445" i="8"/>
  <c r="N445" i="8"/>
  <c r="M445" i="8"/>
  <c r="L445" i="8"/>
  <c r="K445" i="8"/>
  <c r="J445" i="8"/>
  <c r="I445" i="8"/>
  <c r="H445" i="8"/>
  <c r="G445" i="8"/>
  <c r="F445" i="8"/>
  <c r="E445" i="8"/>
  <c r="D445" i="8"/>
  <c r="C445" i="8"/>
  <c r="B445" i="8"/>
  <c r="A445" i="8"/>
  <c r="W444" i="8"/>
  <c r="V444" i="8"/>
  <c r="U444" i="8"/>
  <c r="T444" i="8"/>
  <c r="S444" i="8"/>
  <c r="R444" i="8"/>
  <c r="Q444" i="8"/>
  <c r="P444" i="8"/>
  <c r="O444" i="8"/>
  <c r="N444" i="8"/>
  <c r="M444" i="8"/>
  <c r="L444" i="8"/>
  <c r="K444" i="8"/>
  <c r="J444" i="8"/>
  <c r="I444" i="8"/>
  <c r="H444" i="8"/>
  <c r="G444" i="8"/>
  <c r="F444" i="8"/>
  <c r="E444" i="8"/>
  <c r="D444" i="8"/>
  <c r="C444" i="8"/>
  <c r="B444" i="8"/>
  <c r="A444" i="8"/>
  <c r="W443" i="8"/>
  <c r="V443" i="8"/>
  <c r="U443" i="8"/>
  <c r="T443" i="8"/>
  <c r="S443" i="8"/>
  <c r="R443" i="8"/>
  <c r="Q443" i="8"/>
  <c r="P443" i="8"/>
  <c r="O443" i="8"/>
  <c r="N443" i="8"/>
  <c r="M443" i="8"/>
  <c r="L443" i="8"/>
  <c r="K443" i="8"/>
  <c r="J443" i="8"/>
  <c r="I443" i="8"/>
  <c r="H443" i="8"/>
  <c r="G443" i="8"/>
  <c r="F443" i="8"/>
  <c r="E443" i="8"/>
  <c r="D443" i="8"/>
  <c r="C443" i="8"/>
  <c r="B443" i="8"/>
  <c r="A443" i="8"/>
  <c r="W442" i="8"/>
  <c r="V442" i="8"/>
  <c r="U442" i="8"/>
  <c r="T442" i="8"/>
  <c r="S442" i="8"/>
  <c r="R442" i="8"/>
  <c r="Q442" i="8"/>
  <c r="P442" i="8"/>
  <c r="O442" i="8"/>
  <c r="N442" i="8"/>
  <c r="M442" i="8"/>
  <c r="L442" i="8"/>
  <c r="K442" i="8"/>
  <c r="J442" i="8"/>
  <c r="I442" i="8"/>
  <c r="H442" i="8"/>
  <c r="G442" i="8"/>
  <c r="F442" i="8"/>
  <c r="E442" i="8"/>
  <c r="D442" i="8"/>
  <c r="C442" i="8"/>
  <c r="B442" i="8"/>
  <c r="A442" i="8"/>
  <c r="W441" i="8"/>
  <c r="V441" i="8"/>
  <c r="U441" i="8"/>
  <c r="T441" i="8"/>
  <c r="S441" i="8"/>
  <c r="R441" i="8"/>
  <c r="Q441" i="8"/>
  <c r="P441" i="8"/>
  <c r="O441" i="8"/>
  <c r="N441" i="8"/>
  <c r="M441" i="8"/>
  <c r="L441" i="8"/>
  <c r="K441" i="8"/>
  <c r="J441" i="8"/>
  <c r="I441" i="8"/>
  <c r="H441" i="8"/>
  <c r="G441" i="8"/>
  <c r="F441" i="8"/>
  <c r="E441" i="8"/>
  <c r="D441" i="8"/>
  <c r="C441" i="8"/>
  <c r="B441" i="8"/>
  <c r="A441" i="8"/>
  <c r="W440" i="8"/>
  <c r="V440" i="8"/>
  <c r="U440" i="8"/>
  <c r="T440" i="8"/>
  <c r="S440" i="8"/>
  <c r="R440" i="8"/>
  <c r="Q440" i="8"/>
  <c r="P440" i="8"/>
  <c r="O440" i="8"/>
  <c r="N440" i="8"/>
  <c r="M440" i="8"/>
  <c r="L440" i="8"/>
  <c r="K440" i="8"/>
  <c r="J440" i="8"/>
  <c r="I440" i="8"/>
  <c r="H440" i="8"/>
  <c r="G440" i="8"/>
  <c r="F440" i="8"/>
  <c r="E440" i="8"/>
  <c r="D440" i="8"/>
  <c r="C440" i="8"/>
  <c r="B440" i="8"/>
  <c r="A440" i="8"/>
  <c r="W439" i="8"/>
  <c r="V439" i="8"/>
  <c r="U439" i="8"/>
  <c r="T439" i="8"/>
  <c r="S439" i="8"/>
  <c r="R439" i="8"/>
  <c r="Q439" i="8"/>
  <c r="P439" i="8"/>
  <c r="O439" i="8"/>
  <c r="N439" i="8"/>
  <c r="M439" i="8"/>
  <c r="L439" i="8"/>
  <c r="K439" i="8"/>
  <c r="J439" i="8"/>
  <c r="I439" i="8"/>
  <c r="H439" i="8"/>
  <c r="G439" i="8"/>
  <c r="F439" i="8"/>
  <c r="E439" i="8"/>
  <c r="D439" i="8"/>
  <c r="C439" i="8"/>
  <c r="B439" i="8"/>
  <c r="A439" i="8"/>
  <c r="W438" i="8"/>
  <c r="V438" i="8"/>
  <c r="U438" i="8"/>
  <c r="T438" i="8"/>
  <c r="S438" i="8"/>
  <c r="R438" i="8"/>
  <c r="Q438" i="8"/>
  <c r="P438" i="8"/>
  <c r="O438" i="8"/>
  <c r="N438" i="8"/>
  <c r="M438" i="8"/>
  <c r="L438" i="8"/>
  <c r="K438" i="8"/>
  <c r="J438" i="8"/>
  <c r="I438" i="8"/>
  <c r="H438" i="8"/>
  <c r="G438" i="8"/>
  <c r="F438" i="8"/>
  <c r="E438" i="8"/>
  <c r="D438" i="8"/>
  <c r="C438" i="8"/>
  <c r="B438" i="8"/>
  <c r="A438" i="8"/>
  <c r="W437" i="8"/>
  <c r="V437" i="8"/>
  <c r="U437" i="8"/>
  <c r="T437" i="8"/>
  <c r="S437" i="8"/>
  <c r="R437" i="8"/>
  <c r="Q437" i="8"/>
  <c r="P437" i="8"/>
  <c r="O437" i="8"/>
  <c r="N437" i="8"/>
  <c r="M437" i="8"/>
  <c r="L437" i="8"/>
  <c r="K437" i="8"/>
  <c r="J437" i="8"/>
  <c r="I437" i="8"/>
  <c r="H437" i="8"/>
  <c r="G437" i="8"/>
  <c r="F437" i="8"/>
  <c r="E437" i="8"/>
  <c r="D437" i="8"/>
  <c r="C437" i="8"/>
  <c r="B437" i="8"/>
  <c r="A437" i="8"/>
  <c r="W436" i="8"/>
  <c r="V436" i="8"/>
  <c r="U436" i="8"/>
  <c r="T436" i="8"/>
  <c r="S436" i="8"/>
  <c r="R436" i="8"/>
  <c r="Q436" i="8"/>
  <c r="P436" i="8"/>
  <c r="O436" i="8"/>
  <c r="N436" i="8"/>
  <c r="M436" i="8"/>
  <c r="L436" i="8"/>
  <c r="K436" i="8"/>
  <c r="J436" i="8"/>
  <c r="I436" i="8"/>
  <c r="H436" i="8"/>
  <c r="G436" i="8"/>
  <c r="F436" i="8"/>
  <c r="E436" i="8"/>
  <c r="D436" i="8"/>
  <c r="C436" i="8"/>
  <c r="B436" i="8"/>
  <c r="A436" i="8"/>
  <c r="W435" i="8"/>
  <c r="V435" i="8"/>
  <c r="U435" i="8"/>
  <c r="T435" i="8"/>
  <c r="S435" i="8"/>
  <c r="R435" i="8"/>
  <c r="Q435" i="8"/>
  <c r="P435" i="8"/>
  <c r="O435" i="8"/>
  <c r="N435" i="8"/>
  <c r="M435" i="8"/>
  <c r="L435" i="8"/>
  <c r="K435" i="8"/>
  <c r="J435" i="8"/>
  <c r="I435" i="8"/>
  <c r="H435" i="8"/>
  <c r="G435" i="8"/>
  <c r="F435" i="8"/>
  <c r="E435" i="8"/>
  <c r="D435" i="8"/>
  <c r="C435" i="8"/>
  <c r="B435" i="8"/>
  <c r="A435" i="8"/>
  <c r="W434" i="8"/>
  <c r="V434" i="8"/>
  <c r="U434" i="8"/>
  <c r="T434" i="8"/>
  <c r="S434" i="8"/>
  <c r="R434" i="8"/>
  <c r="Q434" i="8"/>
  <c r="P434" i="8"/>
  <c r="O434" i="8"/>
  <c r="N434" i="8"/>
  <c r="M434" i="8"/>
  <c r="L434" i="8"/>
  <c r="K434" i="8"/>
  <c r="J434" i="8"/>
  <c r="I434" i="8"/>
  <c r="H434" i="8"/>
  <c r="G434" i="8"/>
  <c r="F434" i="8"/>
  <c r="E434" i="8"/>
  <c r="D434" i="8"/>
  <c r="C434" i="8"/>
  <c r="B434" i="8"/>
  <c r="A434" i="8"/>
  <c r="W433" i="8"/>
  <c r="V433" i="8"/>
  <c r="U433" i="8"/>
  <c r="T433" i="8"/>
  <c r="S433" i="8"/>
  <c r="R433" i="8"/>
  <c r="Q433" i="8"/>
  <c r="P433" i="8"/>
  <c r="O433" i="8"/>
  <c r="N433" i="8"/>
  <c r="M433" i="8"/>
  <c r="L433" i="8"/>
  <c r="K433" i="8"/>
  <c r="J433" i="8"/>
  <c r="I433" i="8"/>
  <c r="H433" i="8"/>
  <c r="G433" i="8"/>
  <c r="F433" i="8"/>
  <c r="E433" i="8"/>
  <c r="D433" i="8"/>
  <c r="C433" i="8"/>
  <c r="B433" i="8"/>
  <c r="A433" i="8"/>
  <c r="W432" i="8"/>
  <c r="V432" i="8"/>
  <c r="U432" i="8"/>
  <c r="T432" i="8"/>
  <c r="S432" i="8"/>
  <c r="R432" i="8"/>
  <c r="Q432" i="8"/>
  <c r="P432" i="8"/>
  <c r="O432" i="8"/>
  <c r="N432" i="8"/>
  <c r="M432" i="8"/>
  <c r="L432" i="8"/>
  <c r="K432" i="8"/>
  <c r="J432" i="8"/>
  <c r="I432" i="8"/>
  <c r="H432" i="8"/>
  <c r="G432" i="8"/>
  <c r="F432" i="8"/>
  <c r="E432" i="8"/>
  <c r="D432" i="8"/>
  <c r="C432" i="8"/>
  <c r="B432" i="8"/>
  <c r="A432" i="8"/>
  <c r="W431" i="8"/>
  <c r="V431" i="8"/>
  <c r="U431" i="8"/>
  <c r="T431" i="8"/>
  <c r="S431" i="8"/>
  <c r="R431" i="8"/>
  <c r="Q431" i="8"/>
  <c r="P431" i="8"/>
  <c r="O431" i="8"/>
  <c r="N431" i="8"/>
  <c r="M431" i="8"/>
  <c r="L431" i="8"/>
  <c r="K431" i="8"/>
  <c r="J431" i="8"/>
  <c r="I431" i="8"/>
  <c r="H431" i="8"/>
  <c r="G431" i="8"/>
  <c r="F431" i="8"/>
  <c r="E431" i="8"/>
  <c r="D431" i="8"/>
  <c r="C431" i="8"/>
  <c r="B431" i="8"/>
  <c r="A431" i="8"/>
  <c r="W430" i="8"/>
  <c r="V430" i="8"/>
  <c r="U430" i="8"/>
  <c r="T430" i="8"/>
  <c r="S430" i="8"/>
  <c r="R430" i="8"/>
  <c r="Q430" i="8"/>
  <c r="P430" i="8"/>
  <c r="O430" i="8"/>
  <c r="N430" i="8"/>
  <c r="M430" i="8"/>
  <c r="L430" i="8"/>
  <c r="K430" i="8"/>
  <c r="J430" i="8"/>
  <c r="I430" i="8"/>
  <c r="H430" i="8"/>
  <c r="G430" i="8"/>
  <c r="F430" i="8"/>
  <c r="E430" i="8"/>
  <c r="D430" i="8"/>
  <c r="C430" i="8"/>
  <c r="B430" i="8"/>
  <c r="A430" i="8"/>
  <c r="W429" i="8"/>
  <c r="V429" i="8"/>
  <c r="U429" i="8"/>
  <c r="T429" i="8"/>
  <c r="S429" i="8"/>
  <c r="R429" i="8"/>
  <c r="Q429" i="8"/>
  <c r="P429" i="8"/>
  <c r="O429" i="8"/>
  <c r="N429" i="8"/>
  <c r="M429" i="8"/>
  <c r="L429" i="8"/>
  <c r="K429" i="8"/>
  <c r="J429" i="8"/>
  <c r="I429" i="8"/>
  <c r="H429" i="8"/>
  <c r="G429" i="8"/>
  <c r="F429" i="8"/>
  <c r="E429" i="8"/>
  <c r="D429" i="8"/>
  <c r="C429" i="8"/>
  <c r="B429" i="8"/>
  <c r="A429" i="8"/>
  <c r="W428" i="8"/>
  <c r="V428" i="8"/>
  <c r="U428" i="8"/>
  <c r="T428" i="8"/>
  <c r="S428" i="8"/>
  <c r="R428" i="8"/>
  <c r="Q428" i="8"/>
  <c r="P428" i="8"/>
  <c r="O428" i="8"/>
  <c r="N428" i="8"/>
  <c r="M428" i="8"/>
  <c r="L428" i="8"/>
  <c r="K428" i="8"/>
  <c r="J428" i="8"/>
  <c r="I428" i="8"/>
  <c r="H428" i="8"/>
  <c r="G428" i="8"/>
  <c r="F428" i="8"/>
  <c r="E428" i="8"/>
  <c r="D428" i="8"/>
  <c r="C428" i="8"/>
  <c r="B428" i="8"/>
  <c r="A428" i="8"/>
  <c r="W427" i="8"/>
  <c r="V427" i="8"/>
  <c r="U427" i="8"/>
  <c r="T427" i="8"/>
  <c r="S427" i="8"/>
  <c r="R427" i="8"/>
  <c r="Q427" i="8"/>
  <c r="P427" i="8"/>
  <c r="O427" i="8"/>
  <c r="N427" i="8"/>
  <c r="M427" i="8"/>
  <c r="L427" i="8"/>
  <c r="K427" i="8"/>
  <c r="J427" i="8"/>
  <c r="I427" i="8"/>
  <c r="H427" i="8"/>
  <c r="G427" i="8"/>
  <c r="F427" i="8"/>
  <c r="E427" i="8"/>
  <c r="D427" i="8"/>
  <c r="C427" i="8"/>
  <c r="B427" i="8"/>
  <c r="A427" i="8"/>
  <c r="W426" i="8"/>
  <c r="V426" i="8"/>
  <c r="U426" i="8"/>
  <c r="T426" i="8"/>
  <c r="S426" i="8"/>
  <c r="R426" i="8"/>
  <c r="Q426" i="8"/>
  <c r="P426" i="8"/>
  <c r="O426" i="8"/>
  <c r="N426" i="8"/>
  <c r="M426" i="8"/>
  <c r="L426" i="8"/>
  <c r="K426" i="8"/>
  <c r="J426" i="8"/>
  <c r="I426" i="8"/>
  <c r="H426" i="8"/>
  <c r="G426" i="8"/>
  <c r="F426" i="8"/>
  <c r="E426" i="8"/>
  <c r="D426" i="8"/>
  <c r="C426" i="8"/>
  <c r="B426" i="8"/>
  <c r="A426" i="8"/>
  <c r="W425" i="8"/>
  <c r="V425" i="8"/>
  <c r="U425" i="8"/>
  <c r="T425" i="8"/>
  <c r="S425" i="8"/>
  <c r="R425" i="8"/>
  <c r="Q425" i="8"/>
  <c r="P425" i="8"/>
  <c r="O425" i="8"/>
  <c r="N425" i="8"/>
  <c r="M425" i="8"/>
  <c r="L425" i="8"/>
  <c r="K425" i="8"/>
  <c r="J425" i="8"/>
  <c r="I425" i="8"/>
  <c r="H425" i="8"/>
  <c r="G425" i="8"/>
  <c r="F425" i="8"/>
  <c r="E425" i="8"/>
  <c r="D425" i="8"/>
  <c r="C425" i="8"/>
  <c r="B425" i="8"/>
  <c r="A425" i="8"/>
  <c r="W424" i="8"/>
  <c r="V424" i="8"/>
  <c r="U424" i="8"/>
  <c r="T424" i="8"/>
  <c r="S424" i="8"/>
  <c r="R424" i="8"/>
  <c r="Q424" i="8"/>
  <c r="P424" i="8"/>
  <c r="O424" i="8"/>
  <c r="N424" i="8"/>
  <c r="M424" i="8"/>
  <c r="L424" i="8"/>
  <c r="K424" i="8"/>
  <c r="J424" i="8"/>
  <c r="I424" i="8"/>
  <c r="H424" i="8"/>
  <c r="G424" i="8"/>
  <c r="F424" i="8"/>
  <c r="E424" i="8"/>
  <c r="D424" i="8"/>
  <c r="C424" i="8"/>
  <c r="B424" i="8"/>
  <c r="A424" i="8"/>
  <c r="W423" i="8"/>
  <c r="V423" i="8"/>
  <c r="U423" i="8"/>
  <c r="T423" i="8"/>
  <c r="S423" i="8"/>
  <c r="R423" i="8"/>
  <c r="Q423" i="8"/>
  <c r="P423" i="8"/>
  <c r="O423" i="8"/>
  <c r="N423" i="8"/>
  <c r="M423" i="8"/>
  <c r="L423" i="8"/>
  <c r="K423" i="8"/>
  <c r="J423" i="8"/>
  <c r="I423" i="8"/>
  <c r="H423" i="8"/>
  <c r="G423" i="8"/>
  <c r="F423" i="8"/>
  <c r="E423" i="8"/>
  <c r="D423" i="8"/>
  <c r="C423" i="8"/>
  <c r="B423" i="8"/>
  <c r="A423" i="8"/>
  <c r="W422" i="8"/>
  <c r="V422" i="8"/>
  <c r="U422" i="8"/>
  <c r="T422" i="8"/>
  <c r="S422" i="8"/>
  <c r="R422" i="8"/>
  <c r="Q422" i="8"/>
  <c r="P422" i="8"/>
  <c r="O422" i="8"/>
  <c r="N422" i="8"/>
  <c r="M422" i="8"/>
  <c r="L422" i="8"/>
  <c r="K422" i="8"/>
  <c r="J422" i="8"/>
  <c r="I422" i="8"/>
  <c r="H422" i="8"/>
  <c r="G422" i="8"/>
  <c r="F422" i="8"/>
  <c r="E422" i="8"/>
  <c r="D422" i="8"/>
  <c r="C422" i="8"/>
  <c r="B422" i="8"/>
  <c r="A422" i="8"/>
  <c r="W421" i="8"/>
  <c r="V421" i="8"/>
  <c r="U421" i="8"/>
  <c r="T421" i="8"/>
  <c r="S421" i="8"/>
  <c r="R421" i="8"/>
  <c r="Q421" i="8"/>
  <c r="P421" i="8"/>
  <c r="O421" i="8"/>
  <c r="N421" i="8"/>
  <c r="M421" i="8"/>
  <c r="L421" i="8"/>
  <c r="K421" i="8"/>
  <c r="J421" i="8"/>
  <c r="I421" i="8"/>
  <c r="H421" i="8"/>
  <c r="G421" i="8"/>
  <c r="F421" i="8"/>
  <c r="E421" i="8"/>
  <c r="D421" i="8"/>
  <c r="C421" i="8"/>
  <c r="B421" i="8"/>
  <c r="A421" i="8"/>
  <c r="W420" i="8"/>
  <c r="V420" i="8"/>
  <c r="U420" i="8"/>
  <c r="T420" i="8"/>
  <c r="S420" i="8"/>
  <c r="R420" i="8"/>
  <c r="Q420" i="8"/>
  <c r="P420" i="8"/>
  <c r="O420" i="8"/>
  <c r="N420" i="8"/>
  <c r="M420" i="8"/>
  <c r="L420" i="8"/>
  <c r="K420" i="8"/>
  <c r="J420" i="8"/>
  <c r="I420" i="8"/>
  <c r="H420" i="8"/>
  <c r="G420" i="8"/>
  <c r="F420" i="8"/>
  <c r="E420" i="8"/>
  <c r="D420" i="8"/>
  <c r="C420" i="8"/>
  <c r="B420" i="8"/>
  <c r="A420" i="8"/>
  <c r="W419" i="8"/>
  <c r="V419" i="8"/>
  <c r="U419" i="8"/>
  <c r="T419" i="8"/>
  <c r="S419" i="8"/>
  <c r="R419" i="8"/>
  <c r="Q419" i="8"/>
  <c r="P419" i="8"/>
  <c r="O419" i="8"/>
  <c r="N419" i="8"/>
  <c r="M419" i="8"/>
  <c r="L419" i="8"/>
  <c r="K419" i="8"/>
  <c r="J419" i="8"/>
  <c r="I419" i="8"/>
  <c r="H419" i="8"/>
  <c r="G419" i="8"/>
  <c r="F419" i="8"/>
  <c r="E419" i="8"/>
  <c r="D419" i="8"/>
  <c r="C419" i="8"/>
  <c r="B419" i="8"/>
  <c r="A419" i="8"/>
  <c r="W418" i="8"/>
  <c r="V418" i="8"/>
  <c r="U418" i="8"/>
  <c r="T418" i="8"/>
  <c r="S418" i="8"/>
  <c r="R418" i="8"/>
  <c r="Q418" i="8"/>
  <c r="P418" i="8"/>
  <c r="O418" i="8"/>
  <c r="N418" i="8"/>
  <c r="M418" i="8"/>
  <c r="L418" i="8"/>
  <c r="K418" i="8"/>
  <c r="J418" i="8"/>
  <c r="I418" i="8"/>
  <c r="H418" i="8"/>
  <c r="G418" i="8"/>
  <c r="F418" i="8"/>
  <c r="E418" i="8"/>
  <c r="D418" i="8"/>
  <c r="C418" i="8"/>
  <c r="B418" i="8"/>
  <c r="A418" i="8"/>
  <c r="W417" i="8"/>
  <c r="V417" i="8"/>
  <c r="U417" i="8"/>
  <c r="T417" i="8"/>
  <c r="S417" i="8"/>
  <c r="R417" i="8"/>
  <c r="Q417" i="8"/>
  <c r="P417" i="8"/>
  <c r="O417" i="8"/>
  <c r="N417" i="8"/>
  <c r="M417" i="8"/>
  <c r="L417" i="8"/>
  <c r="K417" i="8"/>
  <c r="J417" i="8"/>
  <c r="I417" i="8"/>
  <c r="H417" i="8"/>
  <c r="G417" i="8"/>
  <c r="F417" i="8"/>
  <c r="E417" i="8"/>
  <c r="D417" i="8"/>
  <c r="C417" i="8"/>
  <c r="B417" i="8"/>
  <c r="A417" i="8"/>
  <c r="W416" i="8"/>
  <c r="V416" i="8"/>
  <c r="U416" i="8"/>
  <c r="T416" i="8"/>
  <c r="S416" i="8"/>
  <c r="R416" i="8"/>
  <c r="Q416" i="8"/>
  <c r="P416" i="8"/>
  <c r="O416" i="8"/>
  <c r="N416" i="8"/>
  <c r="M416" i="8"/>
  <c r="L416" i="8"/>
  <c r="K416" i="8"/>
  <c r="J416" i="8"/>
  <c r="I416" i="8"/>
  <c r="H416" i="8"/>
  <c r="G416" i="8"/>
  <c r="F416" i="8"/>
  <c r="E416" i="8"/>
  <c r="D416" i="8"/>
  <c r="C416" i="8"/>
  <c r="B416" i="8"/>
  <c r="A416" i="8"/>
  <c r="W415" i="8"/>
  <c r="V415" i="8"/>
  <c r="U415" i="8"/>
  <c r="T415" i="8"/>
  <c r="S415" i="8"/>
  <c r="R415" i="8"/>
  <c r="Q415" i="8"/>
  <c r="P415" i="8"/>
  <c r="O415" i="8"/>
  <c r="N415" i="8"/>
  <c r="M415" i="8"/>
  <c r="L415" i="8"/>
  <c r="K415" i="8"/>
  <c r="J415" i="8"/>
  <c r="I415" i="8"/>
  <c r="H415" i="8"/>
  <c r="G415" i="8"/>
  <c r="F415" i="8"/>
  <c r="E415" i="8"/>
  <c r="D415" i="8"/>
  <c r="C415" i="8"/>
  <c r="B415" i="8"/>
  <c r="A415" i="8"/>
  <c r="W414" i="8"/>
  <c r="V414" i="8"/>
  <c r="U414" i="8"/>
  <c r="T414" i="8"/>
  <c r="S414" i="8"/>
  <c r="R414" i="8"/>
  <c r="Q414" i="8"/>
  <c r="P414" i="8"/>
  <c r="O414" i="8"/>
  <c r="N414" i="8"/>
  <c r="M414" i="8"/>
  <c r="L414" i="8"/>
  <c r="K414" i="8"/>
  <c r="J414" i="8"/>
  <c r="I414" i="8"/>
  <c r="H414" i="8"/>
  <c r="G414" i="8"/>
  <c r="F414" i="8"/>
  <c r="E414" i="8"/>
  <c r="D414" i="8"/>
  <c r="C414" i="8"/>
  <c r="B414" i="8"/>
  <c r="A414" i="8"/>
  <c r="W413" i="8"/>
  <c r="V413" i="8"/>
  <c r="U413" i="8"/>
  <c r="T413" i="8"/>
  <c r="S413" i="8"/>
  <c r="R413" i="8"/>
  <c r="Q413" i="8"/>
  <c r="P413" i="8"/>
  <c r="O413" i="8"/>
  <c r="N413" i="8"/>
  <c r="M413" i="8"/>
  <c r="L413" i="8"/>
  <c r="K413" i="8"/>
  <c r="J413" i="8"/>
  <c r="I413" i="8"/>
  <c r="H413" i="8"/>
  <c r="G413" i="8"/>
  <c r="F413" i="8"/>
  <c r="E413" i="8"/>
  <c r="D413" i="8"/>
  <c r="C413" i="8"/>
  <c r="B413" i="8"/>
  <c r="A413" i="8"/>
  <c r="W412" i="8"/>
  <c r="V412" i="8"/>
  <c r="U412" i="8"/>
  <c r="T412" i="8"/>
  <c r="S412" i="8"/>
  <c r="R412" i="8"/>
  <c r="Q412" i="8"/>
  <c r="P412" i="8"/>
  <c r="O412" i="8"/>
  <c r="N412" i="8"/>
  <c r="M412" i="8"/>
  <c r="L412" i="8"/>
  <c r="K412" i="8"/>
  <c r="J412" i="8"/>
  <c r="I412" i="8"/>
  <c r="H412" i="8"/>
  <c r="G412" i="8"/>
  <c r="F412" i="8"/>
  <c r="E412" i="8"/>
  <c r="D412" i="8"/>
  <c r="C412" i="8"/>
  <c r="B412" i="8"/>
  <c r="A412" i="8"/>
  <c r="W411" i="8"/>
  <c r="V411" i="8"/>
  <c r="U411" i="8"/>
  <c r="T411" i="8"/>
  <c r="S411" i="8"/>
  <c r="R411" i="8"/>
  <c r="Q411" i="8"/>
  <c r="P411" i="8"/>
  <c r="O411" i="8"/>
  <c r="N411" i="8"/>
  <c r="M411" i="8"/>
  <c r="L411" i="8"/>
  <c r="K411" i="8"/>
  <c r="J411" i="8"/>
  <c r="I411" i="8"/>
  <c r="H411" i="8"/>
  <c r="G411" i="8"/>
  <c r="F411" i="8"/>
  <c r="E411" i="8"/>
  <c r="D411" i="8"/>
  <c r="C411" i="8"/>
  <c r="B411" i="8"/>
  <c r="A411" i="8"/>
  <c r="W410" i="8"/>
  <c r="V410" i="8"/>
  <c r="U410" i="8"/>
  <c r="T410" i="8"/>
  <c r="S410" i="8"/>
  <c r="R410" i="8"/>
  <c r="Q410" i="8"/>
  <c r="P410" i="8"/>
  <c r="O410" i="8"/>
  <c r="N410" i="8"/>
  <c r="M410" i="8"/>
  <c r="L410" i="8"/>
  <c r="K410" i="8"/>
  <c r="J410" i="8"/>
  <c r="I410" i="8"/>
  <c r="H410" i="8"/>
  <c r="G410" i="8"/>
  <c r="F410" i="8"/>
  <c r="E410" i="8"/>
  <c r="D410" i="8"/>
  <c r="C410" i="8"/>
  <c r="B410" i="8"/>
  <c r="A410" i="8"/>
  <c r="W409" i="8"/>
  <c r="V409" i="8"/>
  <c r="U409" i="8"/>
  <c r="T409" i="8"/>
  <c r="S409" i="8"/>
  <c r="R409" i="8"/>
  <c r="Q409" i="8"/>
  <c r="P409" i="8"/>
  <c r="O409" i="8"/>
  <c r="N409" i="8"/>
  <c r="M409" i="8"/>
  <c r="L409" i="8"/>
  <c r="K409" i="8"/>
  <c r="J409" i="8"/>
  <c r="I409" i="8"/>
  <c r="H409" i="8"/>
  <c r="G409" i="8"/>
  <c r="F409" i="8"/>
  <c r="E409" i="8"/>
  <c r="D409" i="8"/>
  <c r="C409" i="8"/>
  <c r="B409" i="8"/>
  <c r="A409" i="8"/>
  <c r="W408" i="8"/>
  <c r="V408" i="8"/>
  <c r="U408" i="8"/>
  <c r="T408" i="8"/>
  <c r="S408" i="8"/>
  <c r="R408" i="8"/>
  <c r="Q408" i="8"/>
  <c r="P408" i="8"/>
  <c r="O408" i="8"/>
  <c r="N408" i="8"/>
  <c r="M408" i="8"/>
  <c r="L408" i="8"/>
  <c r="K408" i="8"/>
  <c r="J408" i="8"/>
  <c r="I408" i="8"/>
  <c r="H408" i="8"/>
  <c r="G408" i="8"/>
  <c r="F408" i="8"/>
  <c r="E408" i="8"/>
  <c r="D408" i="8"/>
  <c r="C408" i="8"/>
  <c r="B408" i="8"/>
  <c r="A408" i="8"/>
  <c r="W407" i="8"/>
  <c r="V407" i="8"/>
  <c r="U407" i="8"/>
  <c r="T407" i="8"/>
  <c r="S407" i="8"/>
  <c r="R407" i="8"/>
  <c r="Q407" i="8"/>
  <c r="P407" i="8"/>
  <c r="O407" i="8"/>
  <c r="N407" i="8"/>
  <c r="M407" i="8"/>
  <c r="L407" i="8"/>
  <c r="K407" i="8"/>
  <c r="J407" i="8"/>
  <c r="I407" i="8"/>
  <c r="H407" i="8"/>
  <c r="G407" i="8"/>
  <c r="F407" i="8"/>
  <c r="E407" i="8"/>
  <c r="D407" i="8"/>
  <c r="C407" i="8"/>
  <c r="B407" i="8"/>
  <c r="A407" i="8"/>
  <c r="W406" i="8"/>
  <c r="V406" i="8"/>
  <c r="U406" i="8"/>
  <c r="T406" i="8"/>
  <c r="S406" i="8"/>
  <c r="R406" i="8"/>
  <c r="Q406" i="8"/>
  <c r="P406" i="8"/>
  <c r="O406" i="8"/>
  <c r="N406" i="8"/>
  <c r="M406" i="8"/>
  <c r="L406" i="8"/>
  <c r="K406" i="8"/>
  <c r="J406" i="8"/>
  <c r="I406" i="8"/>
  <c r="H406" i="8"/>
  <c r="G406" i="8"/>
  <c r="F406" i="8"/>
  <c r="E406" i="8"/>
  <c r="D406" i="8"/>
  <c r="C406" i="8"/>
  <c r="B406" i="8"/>
  <c r="A406" i="8"/>
  <c r="W405" i="8"/>
  <c r="V405" i="8"/>
  <c r="U405" i="8"/>
  <c r="T405" i="8"/>
  <c r="S405" i="8"/>
  <c r="R405" i="8"/>
  <c r="Q405" i="8"/>
  <c r="P405" i="8"/>
  <c r="O405" i="8"/>
  <c r="N405" i="8"/>
  <c r="M405" i="8"/>
  <c r="L405" i="8"/>
  <c r="K405" i="8"/>
  <c r="J405" i="8"/>
  <c r="I405" i="8"/>
  <c r="H405" i="8"/>
  <c r="G405" i="8"/>
  <c r="F405" i="8"/>
  <c r="E405" i="8"/>
  <c r="D405" i="8"/>
  <c r="C405" i="8"/>
  <c r="B405" i="8"/>
  <c r="A405" i="8"/>
  <c r="W404" i="8"/>
  <c r="V404" i="8"/>
  <c r="U404" i="8"/>
  <c r="T404" i="8"/>
  <c r="S404" i="8"/>
  <c r="R404" i="8"/>
  <c r="Q404" i="8"/>
  <c r="P404" i="8"/>
  <c r="O404" i="8"/>
  <c r="N404" i="8"/>
  <c r="M404" i="8"/>
  <c r="L404" i="8"/>
  <c r="K404" i="8"/>
  <c r="J404" i="8"/>
  <c r="I404" i="8"/>
  <c r="H404" i="8"/>
  <c r="G404" i="8"/>
  <c r="F404" i="8"/>
  <c r="E404" i="8"/>
  <c r="D404" i="8"/>
  <c r="C404" i="8"/>
  <c r="B404" i="8"/>
  <c r="A404" i="8"/>
  <c r="W403" i="8"/>
  <c r="V403" i="8"/>
  <c r="U403" i="8"/>
  <c r="T403" i="8"/>
  <c r="S403" i="8"/>
  <c r="R403" i="8"/>
  <c r="Q403" i="8"/>
  <c r="P403" i="8"/>
  <c r="O403" i="8"/>
  <c r="N403" i="8"/>
  <c r="M403" i="8"/>
  <c r="L403" i="8"/>
  <c r="K403" i="8"/>
  <c r="J403" i="8"/>
  <c r="I403" i="8"/>
  <c r="H403" i="8"/>
  <c r="G403" i="8"/>
  <c r="F403" i="8"/>
  <c r="E403" i="8"/>
  <c r="D403" i="8"/>
  <c r="C403" i="8"/>
  <c r="B403" i="8"/>
  <c r="A403" i="8"/>
  <c r="W402" i="8"/>
  <c r="V402" i="8"/>
  <c r="U402" i="8"/>
  <c r="T402" i="8"/>
  <c r="S402" i="8"/>
  <c r="R402" i="8"/>
  <c r="Q402" i="8"/>
  <c r="P402" i="8"/>
  <c r="O402" i="8"/>
  <c r="N402" i="8"/>
  <c r="M402" i="8"/>
  <c r="L402" i="8"/>
  <c r="K402" i="8"/>
  <c r="J402" i="8"/>
  <c r="I402" i="8"/>
  <c r="H402" i="8"/>
  <c r="G402" i="8"/>
  <c r="F402" i="8"/>
  <c r="E402" i="8"/>
  <c r="D402" i="8"/>
  <c r="C402" i="8"/>
  <c r="B402" i="8"/>
  <c r="A402" i="8"/>
  <c r="W401" i="8"/>
  <c r="V401" i="8"/>
  <c r="U401" i="8"/>
  <c r="T401" i="8"/>
  <c r="S401" i="8"/>
  <c r="R401" i="8"/>
  <c r="Q401" i="8"/>
  <c r="P401" i="8"/>
  <c r="O401" i="8"/>
  <c r="N401" i="8"/>
  <c r="M401" i="8"/>
  <c r="L401" i="8"/>
  <c r="K401" i="8"/>
  <c r="J401" i="8"/>
  <c r="I401" i="8"/>
  <c r="H401" i="8"/>
  <c r="G401" i="8"/>
  <c r="F401" i="8"/>
  <c r="E401" i="8"/>
  <c r="D401" i="8"/>
  <c r="C401" i="8"/>
  <c r="B401" i="8"/>
  <c r="A401" i="8"/>
  <c r="W400" i="8"/>
  <c r="V400" i="8"/>
  <c r="U400" i="8"/>
  <c r="T400" i="8"/>
  <c r="S400" i="8"/>
  <c r="R400" i="8"/>
  <c r="Q400" i="8"/>
  <c r="P400" i="8"/>
  <c r="O400" i="8"/>
  <c r="N400" i="8"/>
  <c r="M400" i="8"/>
  <c r="L400" i="8"/>
  <c r="K400" i="8"/>
  <c r="J400" i="8"/>
  <c r="I400" i="8"/>
  <c r="H400" i="8"/>
  <c r="G400" i="8"/>
  <c r="F400" i="8"/>
  <c r="E400" i="8"/>
  <c r="D400" i="8"/>
  <c r="C400" i="8"/>
  <c r="B400" i="8"/>
  <c r="A400" i="8"/>
  <c r="W399" i="8"/>
  <c r="V399" i="8"/>
  <c r="U399" i="8"/>
  <c r="T399" i="8"/>
  <c r="S399" i="8"/>
  <c r="R399" i="8"/>
  <c r="Q399" i="8"/>
  <c r="P399" i="8"/>
  <c r="O399" i="8"/>
  <c r="N399" i="8"/>
  <c r="M399" i="8"/>
  <c r="L399" i="8"/>
  <c r="K399" i="8"/>
  <c r="J399" i="8"/>
  <c r="I399" i="8"/>
  <c r="H399" i="8"/>
  <c r="G399" i="8"/>
  <c r="F399" i="8"/>
  <c r="E399" i="8"/>
  <c r="D399" i="8"/>
  <c r="C399" i="8"/>
  <c r="B399" i="8"/>
  <c r="A399" i="8"/>
  <c r="W398" i="8"/>
  <c r="V398" i="8"/>
  <c r="U398" i="8"/>
  <c r="T398" i="8"/>
  <c r="S398" i="8"/>
  <c r="R398" i="8"/>
  <c r="Q398" i="8"/>
  <c r="P398" i="8"/>
  <c r="O398" i="8"/>
  <c r="N398" i="8"/>
  <c r="M398" i="8"/>
  <c r="L398" i="8"/>
  <c r="K398" i="8"/>
  <c r="J398" i="8"/>
  <c r="I398" i="8"/>
  <c r="H398" i="8"/>
  <c r="G398" i="8"/>
  <c r="F398" i="8"/>
  <c r="E398" i="8"/>
  <c r="D398" i="8"/>
  <c r="C398" i="8"/>
  <c r="B398" i="8"/>
  <c r="A398" i="8"/>
  <c r="W397" i="8"/>
  <c r="V397" i="8"/>
  <c r="U397" i="8"/>
  <c r="T397" i="8"/>
  <c r="S397" i="8"/>
  <c r="R397" i="8"/>
  <c r="Q397" i="8"/>
  <c r="P397" i="8"/>
  <c r="O397" i="8"/>
  <c r="N397" i="8"/>
  <c r="M397" i="8"/>
  <c r="L397" i="8"/>
  <c r="K397" i="8"/>
  <c r="J397" i="8"/>
  <c r="I397" i="8"/>
  <c r="H397" i="8"/>
  <c r="G397" i="8"/>
  <c r="F397" i="8"/>
  <c r="E397" i="8"/>
  <c r="D397" i="8"/>
  <c r="C397" i="8"/>
  <c r="B397" i="8"/>
  <c r="A397" i="8"/>
  <c r="W396" i="8"/>
  <c r="V396" i="8"/>
  <c r="U396" i="8"/>
  <c r="T396" i="8"/>
  <c r="S396" i="8"/>
  <c r="R396" i="8"/>
  <c r="Q396" i="8"/>
  <c r="P396" i="8"/>
  <c r="O396" i="8"/>
  <c r="N396" i="8"/>
  <c r="M396" i="8"/>
  <c r="L396" i="8"/>
  <c r="K396" i="8"/>
  <c r="J396" i="8"/>
  <c r="I396" i="8"/>
  <c r="H396" i="8"/>
  <c r="G396" i="8"/>
  <c r="F396" i="8"/>
  <c r="E396" i="8"/>
  <c r="D396" i="8"/>
  <c r="C396" i="8"/>
  <c r="B396" i="8"/>
  <c r="A396" i="8"/>
  <c r="W395" i="8"/>
  <c r="V395" i="8"/>
  <c r="U395" i="8"/>
  <c r="T395" i="8"/>
  <c r="S395" i="8"/>
  <c r="R395" i="8"/>
  <c r="Q395" i="8"/>
  <c r="P395" i="8"/>
  <c r="O395" i="8"/>
  <c r="N395" i="8"/>
  <c r="M395" i="8"/>
  <c r="L395" i="8"/>
  <c r="K395" i="8"/>
  <c r="J395" i="8"/>
  <c r="I395" i="8"/>
  <c r="H395" i="8"/>
  <c r="G395" i="8"/>
  <c r="F395" i="8"/>
  <c r="E395" i="8"/>
  <c r="D395" i="8"/>
  <c r="C395" i="8"/>
  <c r="B395" i="8"/>
  <c r="A395" i="8"/>
  <c r="W394" i="8"/>
  <c r="V394" i="8"/>
  <c r="U394" i="8"/>
  <c r="T394" i="8"/>
  <c r="S394" i="8"/>
  <c r="R394" i="8"/>
  <c r="Q394" i="8"/>
  <c r="P394" i="8"/>
  <c r="O394" i="8"/>
  <c r="N394" i="8"/>
  <c r="M394" i="8"/>
  <c r="L394" i="8"/>
  <c r="K394" i="8"/>
  <c r="J394" i="8"/>
  <c r="I394" i="8"/>
  <c r="H394" i="8"/>
  <c r="G394" i="8"/>
  <c r="F394" i="8"/>
  <c r="E394" i="8"/>
  <c r="D394" i="8"/>
  <c r="C394" i="8"/>
  <c r="B394" i="8"/>
  <c r="A394" i="8"/>
  <c r="W393" i="8"/>
  <c r="V393" i="8"/>
  <c r="U393" i="8"/>
  <c r="T393" i="8"/>
  <c r="S393" i="8"/>
  <c r="R393" i="8"/>
  <c r="Q393" i="8"/>
  <c r="P393" i="8"/>
  <c r="O393" i="8"/>
  <c r="N393" i="8"/>
  <c r="M393" i="8"/>
  <c r="L393" i="8"/>
  <c r="K393" i="8"/>
  <c r="J393" i="8"/>
  <c r="I393" i="8"/>
  <c r="H393" i="8"/>
  <c r="G393" i="8"/>
  <c r="F393" i="8"/>
  <c r="E393" i="8"/>
  <c r="D393" i="8"/>
  <c r="C393" i="8"/>
  <c r="B393" i="8"/>
  <c r="A393" i="8"/>
  <c r="W392" i="8"/>
  <c r="V392" i="8"/>
  <c r="U392" i="8"/>
  <c r="T392" i="8"/>
  <c r="S392" i="8"/>
  <c r="R392" i="8"/>
  <c r="Q392" i="8"/>
  <c r="P392" i="8"/>
  <c r="O392" i="8"/>
  <c r="N392" i="8"/>
  <c r="M392" i="8"/>
  <c r="L392" i="8"/>
  <c r="K392" i="8"/>
  <c r="J392" i="8"/>
  <c r="I392" i="8"/>
  <c r="H392" i="8"/>
  <c r="G392" i="8"/>
  <c r="F392" i="8"/>
  <c r="E392" i="8"/>
  <c r="D392" i="8"/>
  <c r="C392" i="8"/>
  <c r="B392" i="8"/>
  <c r="A392" i="8"/>
  <c r="W391" i="8"/>
  <c r="V391" i="8"/>
  <c r="U391" i="8"/>
  <c r="T391" i="8"/>
  <c r="S391" i="8"/>
  <c r="R391" i="8"/>
  <c r="Q391" i="8"/>
  <c r="P391" i="8"/>
  <c r="O391" i="8"/>
  <c r="N391" i="8"/>
  <c r="M391" i="8"/>
  <c r="L391" i="8"/>
  <c r="K391" i="8"/>
  <c r="J391" i="8"/>
  <c r="I391" i="8"/>
  <c r="H391" i="8"/>
  <c r="G391" i="8"/>
  <c r="F391" i="8"/>
  <c r="E391" i="8"/>
  <c r="D391" i="8"/>
  <c r="C391" i="8"/>
  <c r="B391" i="8"/>
  <c r="A391" i="8"/>
  <c r="W390" i="8"/>
  <c r="V390" i="8"/>
  <c r="U390" i="8"/>
  <c r="T390" i="8"/>
  <c r="S390" i="8"/>
  <c r="R390" i="8"/>
  <c r="Q390" i="8"/>
  <c r="P390" i="8"/>
  <c r="O390" i="8"/>
  <c r="N390" i="8"/>
  <c r="M390" i="8"/>
  <c r="L390" i="8"/>
  <c r="K390" i="8"/>
  <c r="J390" i="8"/>
  <c r="I390" i="8"/>
  <c r="H390" i="8"/>
  <c r="G390" i="8"/>
  <c r="F390" i="8"/>
  <c r="E390" i="8"/>
  <c r="D390" i="8"/>
  <c r="C390" i="8"/>
  <c r="B390" i="8"/>
  <c r="A390" i="8"/>
  <c r="W389" i="8"/>
  <c r="V389" i="8"/>
  <c r="U389" i="8"/>
  <c r="T389" i="8"/>
  <c r="S389" i="8"/>
  <c r="R389" i="8"/>
  <c r="Q389" i="8"/>
  <c r="P389" i="8"/>
  <c r="O389" i="8"/>
  <c r="N389" i="8"/>
  <c r="M389" i="8"/>
  <c r="L389" i="8"/>
  <c r="K389" i="8"/>
  <c r="J389" i="8"/>
  <c r="I389" i="8"/>
  <c r="H389" i="8"/>
  <c r="G389" i="8"/>
  <c r="F389" i="8"/>
  <c r="E389" i="8"/>
  <c r="D389" i="8"/>
  <c r="C389" i="8"/>
  <c r="B389" i="8"/>
  <c r="A389" i="8"/>
  <c r="W388" i="8"/>
  <c r="V388" i="8"/>
  <c r="U388" i="8"/>
  <c r="T388" i="8"/>
  <c r="S388" i="8"/>
  <c r="R388" i="8"/>
  <c r="Q388" i="8"/>
  <c r="P388" i="8"/>
  <c r="O388" i="8"/>
  <c r="N388" i="8"/>
  <c r="M388" i="8"/>
  <c r="L388" i="8"/>
  <c r="K388" i="8"/>
  <c r="J388" i="8"/>
  <c r="I388" i="8"/>
  <c r="H388" i="8"/>
  <c r="G388" i="8"/>
  <c r="F388" i="8"/>
  <c r="E388" i="8"/>
  <c r="D388" i="8"/>
  <c r="C388" i="8"/>
  <c r="B388" i="8"/>
  <c r="A388" i="8"/>
  <c r="W387" i="8"/>
  <c r="V387" i="8"/>
  <c r="U387" i="8"/>
  <c r="T387" i="8"/>
  <c r="S387" i="8"/>
  <c r="R387" i="8"/>
  <c r="Q387" i="8"/>
  <c r="P387" i="8"/>
  <c r="O387" i="8"/>
  <c r="N387" i="8"/>
  <c r="M387" i="8"/>
  <c r="L387" i="8"/>
  <c r="K387" i="8"/>
  <c r="J387" i="8"/>
  <c r="I387" i="8"/>
  <c r="H387" i="8"/>
  <c r="G387" i="8"/>
  <c r="F387" i="8"/>
  <c r="E387" i="8"/>
  <c r="D387" i="8"/>
  <c r="C387" i="8"/>
  <c r="B387" i="8"/>
  <c r="A387" i="8"/>
  <c r="W386" i="8"/>
  <c r="V386" i="8"/>
  <c r="U386" i="8"/>
  <c r="T386" i="8"/>
  <c r="S386" i="8"/>
  <c r="R386" i="8"/>
  <c r="Q386" i="8"/>
  <c r="P386" i="8"/>
  <c r="O386" i="8"/>
  <c r="N386" i="8"/>
  <c r="M386" i="8"/>
  <c r="L386" i="8"/>
  <c r="K386" i="8"/>
  <c r="J386" i="8"/>
  <c r="I386" i="8"/>
  <c r="H386" i="8"/>
  <c r="G386" i="8"/>
  <c r="F386" i="8"/>
  <c r="E386" i="8"/>
  <c r="D386" i="8"/>
  <c r="C386" i="8"/>
  <c r="B386" i="8"/>
  <c r="A386" i="8"/>
  <c r="W385" i="8"/>
  <c r="V385" i="8"/>
  <c r="U385" i="8"/>
  <c r="T385" i="8"/>
  <c r="S385" i="8"/>
  <c r="R385" i="8"/>
  <c r="Q385" i="8"/>
  <c r="P385" i="8"/>
  <c r="O385" i="8"/>
  <c r="N385" i="8"/>
  <c r="M385" i="8"/>
  <c r="L385" i="8"/>
  <c r="K385" i="8"/>
  <c r="J385" i="8"/>
  <c r="I385" i="8"/>
  <c r="H385" i="8"/>
  <c r="G385" i="8"/>
  <c r="F385" i="8"/>
  <c r="E385" i="8"/>
  <c r="D385" i="8"/>
  <c r="C385" i="8"/>
  <c r="B385" i="8"/>
  <c r="A385" i="8"/>
  <c r="W384" i="8"/>
  <c r="V384" i="8"/>
  <c r="U384" i="8"/>
  <c r="T384" i="8"/>
  <c r="S384" i="8"/>
  <c r="R384" i="8"/>
  <c r="Q384" i="8"/>
  <c r="P384" i="8"/>
  <c r="O384" i="8"/>
  <c r="N384" i="8"/>
  <c r="M384" i="8"/>
  <c r="L384" i="8"/>
  <c r="K384" i="8"/>
  <c r="J384" i="8"/>
  <c r="I384" i="8"/>
  <c r="H384" i="8"/>
  <c r="G384" i="8"/>
  <c r="F384" i="8"/>
  <c r="E384" i="8"/>
  <c r="D384" i="8"/>
  <c r="C384" i="8"/>
  <c r="B384" i="8"/>
  <c r="A384" i="8"/>
  <c r="W383" i="8"/>
  <c r="V383" i="8"/>
  <c r="U383" i="8"/>
  <c r="T383" i="8"/>
  <c r="S383" i="8"/>
  <c r="R383" i="8"/>
  <c r="Q383" i="8"/>
  <c r="P383" i="8"/>
  <c r="O383" i="8"/>
  <c r="N383" i="8"/>
  <c r="M383" i="8"/>
  <c r="L383" i="8"/>
  <c r="K383" i="8"/>
  <c r="J383" i="8"/>
  <c r="I383" i="8"/>
  <c r="H383" i="8"/>
  <c r="G383" i="8"/>
  <c r="F383" i="8"/>
  <c r="E383" i="8"/>
  <c r="D383" i="8"/>
  <c r="C383" i="8"/>
  <c r="B383" i="8"/>
  <c r="A383" i="8"/>
  <c r="W382" i="8"/>
  <c r="V382" i="8"/>
  <c r="U382" i="8"/>
  <c r="T382" i="8"/>
  <c r="S382" i="8"/>
  <c r="R382" i="8"/>
  <c r="Q382" i="8"/>
  <c r="P382" i="8"/>
  <c r="O382" i="8"/>
  <c r="N382" i="8"/>
  <c r="M382" i="8"/>
  <c r="L382" i="8"/>
  <c r="K382" i="8"/>
  <c r="J382" i="8"/>
  <c r="I382" i="8"/>
  <c r="H382" i="8"/>
  <c r="G382" i="8"/>
  <c r="F382" i="8"/>
  <c r="E382" i="8"/>
  <c r="D382" i="8"/>
  <c r="C382" i="8"/>
  <c r="B382" i="8"/>
  <c r="A382" i="8"/>
  <c r="W381" i="8"/>
  <c r="V381" i="8"/>
  <c r="U381" i="8"/>
  <c r="T381" i="8"/>
  <c r="S381" i="8"/>
  <c r="R381" i="8"/>
  <c r="Q381" i="8"/>
  <c r="P381" i="8"/>
  <c r="O381" i="8"/>
  <c r="N381" i="8"/>
  <c r="M381" i="8"/>
  <c r="L381" i="8"/>
  <c r="K381" i="8"/>
  <c r="J381" i="8"/>
  <c r="I381" i="8"/>
  <c r="H381" i="8"/>
  <c r="G381" i="8"/>
  <c r="F381" i="8"/>
  <c r="E381" i="8"/>
  <c r="D381" i="8"/>
  <c r="C381" i="8"/>
  <c r="B381" i="8"/>
  <c r="A381" i="8"/>
  <c r="W380" i="8"/>
  <c r="V380" i="8"/>
  <c r="U380" i="8"/>
  <c r="T380" i="8"/>
  <c r="S380" i="8"/>
  <c r="R380" i="8"/>
  <c r="Q380" i="8"/>
  <c r="P380" i="8"/>
  <c r="O380" i="8"/>
  <c r="N380" i="8"/>
  <c r="M380" i="8"/>
  <c r="L380" i="8"/>
  <c r="K380" i="8"/>
  <c r="J380" i="8"/>
  <c r="I380" i="8"/>
  <c r="H380" i="8"/>
  <c r="G380" i="8"/>
  <c r="F380" i="8"/>
  <c r="E380" i="8"/>
  <c r="D380" i="8"/>
  <c r="C380" i="8"/>
  <c r="B380" i="8"/>
  <c r="A380" i="8"/>
  <c r="W379" i="8"/>
  <c r="V379" i="8"/>
  <c r="U379" i="8"/>
  <c r="T379" i="8"/>
  <c r="S379" i="8"/>
  <c r="R379" i="8"/>
  <c r="Q379" i="8"/>
  <c r="P379" i="8"/>
  <c r="O379" i="8"/>
  <c r="N379" i="8"/>
  <c r="M379" i="8"/>
  <c r="L379" i="8"/>
  <c r="K379" i="8"/>
  <c r="J379" i="8"/>
  <c r="I379" i="8"/>
  <c r="H379" i="8"/>
  <c r="G379" i="8"/>
  <c r="F379" i="8"/>
  <c r="E379" i="8"/>
  <c r="D379" i="8"/>
  <c r="C379" i="8"/>
  <c r="B379" i="8"/>
  <c r="A379" i="8"/>
  <c r="W378" i="8"/>
  <c r="V378" i="8"/>
  <c r="U378" i="8"/>
  <c r="T378" i="8"/>
  <c r="S378" i="8"/>
  <c r="R378" i="8"/>
  <c r="Q378" i="8"/>
  <c r="P378" i="8"/>
  <c r="O378" i="8"/>
  <c r="N378" i="8"/>
  <c r="M378" i="8"/>
  <c r="L378" i="8"/>
  <c r="K378" i="8"/>
  <c r="J378" i="8"/>
  <c r="I378" i="8"/>
  <c r="H378" i="8"/>
  <c r="G378" i="8"/>
  <c r="F378" i="8"/>
  <c r="E378" i="8"/>
  <c r="D378" i="8"/>
  <c r="C378" i="8"/>
  <c r="B378" i="8"/>
  <c r="A378" i="8"/>
  <c r="W377" i="8"/>
  <c r="V377" i="8"/>
  <c r="U377" i="8"/>
  <c r="T377" i="8"/>
  <c r="S377" i="8"/>
  <c r="R377" i="8"/>
  <c r="Q377" i="8"/>
  <c r="P377" i="8"/>
  <c r="O377" i="8"/>
  <c r="N377" i="8"/>
  <c r="M377" i="8"/>
  <c r="L377" i="8"/>
  <c r="K377" i="8"/>
  <c r="J377" i="8"/>
  <c r="I377" i="8"/>
  <c r="H377" i="8"/>
  <c r="G377" i="8"/>
  <c r="F377" i="8"/>
  <c r="E377" i="8"/>
  <c r="D377" i="8"/>
  <c r="C377" i="8"/>
  <c r="B377" i="8"/>
  <c r="A377" i="8"/>
  <c r="W376" i="8"/>
  <c r="V376" i="8"/>
  <c r="U376" i="8"/>
  <c r="T376" i="8"/>
  <c r="S376" i="8"/>
  <c r="R376" i="8"/>
  <c r="Q376" i="8"/>
  <c r="P376" i="8"/>
  <c r="O376" i="8"/>
  <c r="N376" i="8"/>
  <c r="M376" i="8"/>
  <c r="L376" i="8"/>
  <c r="K376" i="8"/>
  <c r="J376" i="8"/>
  <c r="I376" i="8"/>
  <c r="H376" i="8"/>
  <c r="G376" i="8"/>
  <c r="F376" i="8"/>
  <c r="E376" i="8"/>
  <c r="D376" i="8"/>
  <c r="C376" i="8"/>
  <c r="B376" i="8"/>
  <c r="A376" i="8"/>
  <c r="W375" i="8"/>
  <c r="V375" i="8"/>
  <c r="U375" i="8"/>
  <c r="T375" i="8"/>
  <c r="S375" i="8"/>
  <c r="R375" i="8"/>
  <c r="Q375" i="8"/>
  <c r="P375" i="8"/>
  <c r="O375" i="8"/>
  <c r="N375" i="8"/>
  <c r="M375" i="8"/>
  <c r="L375" i="8"/>
  <c r="K375" i="8"/>
  <c r="J375" i="8"/>
  <c r="I375" i="8"/>
  <c r="H375" i="8"/>
  <c r="G375" i="8"/>
  <c r="F375" i="8"/>
  <c r="E375" i="8"/>
  <c r="D375" i="8"/>
  <c r="C375" i="8"/>
  <c r="B375" i="8"/>
  <c r="A375" i="8"/>
  <c r="W374" i="8"/>
  <c r="V374" i="8"/>
  <c r="U374" i="8"/>
  <c r="T374" i="8"/>
  <c r="S374" i="8"/>
  <c r="R374" i="8"/>
  <c r="Q374" i="8"/>
  <c r="P374" i="8"/>
  <c r="O374" i="8"/>
  <c r="N374" i="8"/>
  <c r="M374" i="8"/>
  <c r="L374" i="8"/>
  <c r="K374" i="8"/>
  <c r="J374" i="8"/>
  <c r="I374" i="8"/>
  <c r="H374" i="8"/>
  <c r="G374" i="8"/>
  <c r="F374" i="8"/>
  <c r="E374" i="8"/>
  <c r="D374" i="8"/>
  <c r="C374" i="8"/>
  <c r="B374" i="8"/>
  <c r="A374" i="8"/>
  <c r="W373" i="8"/>
  <c r="V373" i="8"/>
  <c r="U373" i="8"/>
  <c r="T373" i="8"/>
  <c r="S373" i="8"/>
  <c r="R373" i="8"/>
  <c r="Q373" i="8"/>
  <c r="P373" i="8"/>
  <c r="O373" i="8"/>
  <c r="N373" i="8"/>
  <c r="M373" i="8"/>
  <c r="L373" i="8"/>
  <c r="K373" i="8"/>
  <c r="J373" i="8"/>
  <c r="I373" i="8"/>
  <c r="H373" i="8"/>
  <c r="G373" i="8"/>
  <c r="F373" i="8"/>
  <c r="E373" i="8"/>
  <c r="D373" i="8"/>
  <c r="C373" i="8"/>
  <c r="B373" i="8"/>
  <c r="A373" i="8"/>
  <c r="W372" i="8"/>
  <c r="V372" i="8"/>
  <c r="U372" i="8"/>
  <c r="T372" i="8"/>
  <c r="S372" i="8"/>
  <c r="R372" i="8"/>
  <c r="Q372" i="8"/>
  <c r="P372" i="8"/>
  <c r="O372" i="8"/>
  <c r="N372" i="8"/>
  <c r="M372" i="8"/>
  <c r="L372" i="8"/>
  <c r="K372" i="8"/>
  <c r="J372" i="8"/>
  <c r="I372" i="8"/>
  <c r="H372" i="8"/>
  <c r="G372" i="8"/>
  <c r="F372" i="8"/>
  <c r="E372" i="8"/>
  <c r="D372" i="8"/>
  <c r="C372" i="8"/>
  <c r="B372" i="8"/>
  <c r="A372" i="8"/>
  <c r="W371" i="8"/>
  <c r="V371" i="8"/>
  <c r="U371" i="8"/>
  <c r="T371" i="8"/>
  <c r="S371" i="8"/>
  <c r="R371" i="8"/>
  <c r="Q371" i="8"/>
  <c r="P371" i="8"/>
  <c r="O371" i="8"/>
  <c r="N371" i="8"/>
  <c r="M371" i="8"/>
  <c r="L371" i="8"/>
  <c r="K371" i="8"/>
  <c r="J371" i="8"/>
  <c r="I371" i="8"/>
  <c r="H371" i="8"/>
  <c r="G371" i="8"/>
  <c r="F371" i="8"/>
  <c r="E371" i="8"/>
  <c r="D371" i="8"/>
  <c r="C371" i="8"/>
  <c r="B371" i="8"/>
  <c r="A371" i="8"/>
  <c r="W370" i="8"/>
  <c r="V370" i="8"/>
  <c r="U370" i="8"/>
  <c r="T370" i="8"/>
  <c r="S370" i="8"/>
  <c r="R370" i="8"/>
  <c r="Q370" i="8"/>
  <c r="P370" i="8"/>
  <c r="O370" i="8"/>
  <c r="N370" i="8"/>
  <c r="M370" i="8"/>
  <c r="L370" i="8"/>
  <c r="K370" i="8"/>
  <c r="J370" i="8"/>
  <c r="I370" i="8"/>
  <c r="H370" i="8"/>
  <c r="G370" i="8"/>
  <c r="F370" i="8"/>
  <c r="E370" i="8"/>
  <c r="D370" i="8"/>
  <c r="C370" i="8"/>
  <c r="B370" i="8"/>
  <c r="A370" i="8"/>
  <c r="W369" i="8"/>
  <c r="V369" i="8"/>
  <c r="U369" i="8"/>
  <c r="T369" i="8"/>
  <c r="S369" i="8"/>
  <c r="R369" i="8"/>
  <c r="Q369" i="8"/>
  <c r="P369" i="8"/>
  <c r="O369" i="8"/>
  <c r="N369" i="8"/>
  <c r="M369" i="8"/>
  <c r="L369" i="8"/>
  <c r="K369" i="8"/>
  <c r="J369" i="8"/>
  <c r="I369" i="8"/>
  <c r="H369" i="8"/>
  <c r="G369" i="8"/>
  <c r="F369" i="8"/>
  <c r="E369" i="8"/>
  <c r="D369" i="8"/>
  <c r="C369" i="8"/>
  <c r="B369" i="8"/>
  <c r="A369" i="8"/>
  <c r="W368" i="8"/>
  <c r="V368" i="8"/>
  <c r="U368" i="8"/>
  <c r="T368" i="8"/>
  <c r="S368" i="8"/>
  <c r="R368" i="8"/>
  <c r="Q368" i="8"/>
  <c r="P368" i="8"/>
  <c r="O368" i="8"/>
  <c r="N368" i="8"/>
  <c r="M368" i="8"/>
  <c r="L368" i="8"/>
  <c r="K368" i="8"/>
  <c r="J368" i="8"/>
  <c r="I368" i="8"/>
  <c r="H368" i="8"/>
  <c r="G368" i="8"/>
  <c r="F368" i="8"/>
  <c r="E368" i="8"/>
  <c r="D368" i="8"/>
  <c r="C368" i="8"/>
  <c r="B368" i="8"/>
  <c r="A368" i="8"/>
  <c r="W367" i="8"/>
  <c r="V367" i="8"/>
  <c r="U367" i="8"/>
  <c r="T367" i="8"/>
  <c r="S367" i="8"/>
  <c r="R367" i="8"/>
  <c r="Q367" i="8"/>
  <c r="P367" i="8"/>
  <c r="O367" i="8"/>
  <c r="N367" i="8"/>
  <c r="M367" i="8"/>
  <c r="L367" i="8"/>
  <c r="K367" i="8"/>
  <c r="J367" i="8"/>
  <c r="I367" i="8"/>
  <c r="H367" i="8"/>
  <c r="G367" i="8"/>
  <c r="F367" i="8"/>
  <c r="E367" i="8"/>
  <c r="D367" i="8"/>
  <c r="C367" i="8"/>
  <c r="B367" i="8"/>
  <c r="A367" i="8"/>
  <c r="W366" i="8"/>
  <c r="V366" i="8"/>
  <c r="U366" i="8"/>
  <c r="T366" i="8"/>
  <c r="S366" i="8"/>
  <c r="R366" i="8"/>
  <c r="Q366" i="8"/>
  <c r="P366" i="8"/>
  <c r="O366" i="8"/>
  <c r="N366" i="8"/>
  <c r="M366" i="8"/>
  <c r="L366" i="8"/>
  <c r="K366" i="8"/>
  <c r="J366" i="8"/>
  <c r="I366" i="8"/>
  <c r="H366" i="8"/>
  <c r="G366" i="8"/>
  <c r="F366" i="8"/>
  <c r="E366" i="8"/>
  <c r="D366" i="8"/>
  <c r="C366" i="8"/>
  <c r="B366" i="8"/>
  <c r="A366" i="8"/>
  <c r="W365" i="8"/>
  <c r="V365" i="8"/>
  <c r="U365" i="8"/>
  <c r="T365" i="8"/>
  <c r="S365" i="8"/>
  <c r="R365" i="8"/>
  <c r="Q365" i="8"/>
  <c r="P365" i="8"/>
  <c r="O365" i="8"/>
  <c r="N365" i="8"/>
  <c r="M365" i="8"/>
  <c r="L365" i="8"/>
  <c r="K365" i="8"/>
  <c r="J365" i="8"/>
  <c r="I365" i="8"/>
  <c r="H365" i="8"/>
  <c r="G365" i="8"/>
  <c r="F365" i="8"/>
  <c r="E365" i="8"/>
  <c r="D365" i="8"/>
  <c r="C365" i="8"/>
  <c r="B365" i="8"/>
  <c r="A365" i="8"/>
  <c r="W364" i="8"/>
  <c r="V364" i="8"/>
  <c r="U364" i="8"/>
  <c r="T364" i="8"/>
  <c r="S364" i="8"/>
  <c r="R364" i="8"/>
  <c r="Q364" i="8"/>
  <c r="P364" i="8"/>
  <c r="O364" i="8"/>
  <c r="N364" i="8"/>
  <c r="M364" i="8"/>
  <c r="L364" i="8"/>
  <c r="K364" i="8"/>
  <c r="J364" i="8"/>
  <c r="I364" i="8"/>
  <c r="H364" i="8"/>
  <c r="G364" i="8"/>
  <c r="F364" i="8"/>
  <c r="E364" i="8"/>
  <c r="D364" i="8"/>
  <c r="C364" i="8"/>
  <c r="B364" i="8"/>
  <c r="A364" i="8"/>
  <c r="W363" i="8"/>
  <c r="V363" i="8"/>
  <c r="U363" i="8"/>
  <c r="T363" i="8"/>
  <c r="S363" i="8"/>
  <c r="R363" i="8"/>
  <c r="Q363" i="8"/>
  <c r="P363" i="8"/>
  <c r="O363" i="8"/>
  <c r="N363" i="8"/>
  <c r="M363" i="8"/>
  <c r="L363" i="8"/>
  <c r="K363" i="8"/>
  <c r="J363" i="8"/>
  <c r="I363" i="8"/>
  <c r="H363" i="8"/>
  <c r="G363" i="8"/>
  <c r="F363" i="8"/>
  <c r="E363" i="8"/>
  <c r="D363" i="8"/>
  <c r="C363" i="8"/>
  <c r="B363" i="8"/>
  <c r="A363" i="8"/>
  <c r="W362" i="8"/>
  <c r="V362" i="8"/>
  <c r="U362" i="8"/>
  <c r="T362" i="8"/>
  <c r="S362" i="8"/>
  <c r="R362" i="8"/>
  <c r="Q362" i="8"/>
  <c r="P362" i="8"/>
  <c r="O362" i="8"/>
  <c r="N362" i="8"/>
  <c r="M362" i="8"/>
  <c r="L362" i="8"/>
  <c r="K362" i="8"/>
  <c r="J362" i="8"/>
  <c r="I362" i="8"/>
  <c r="H362" i="8"/>
  <c r="G362" i="8"/>
  <c r="F362" i="8"/>
  <c r="E362" i="8"/>
  <c r="D362" i="8"/>
  <c r="C362" i="8"/>
  <c r="B362" i="8"/>
  <c r="A362" i="8"/>
  <c r="W361" i="8"/>
  <c r="V361" i="8"/>
  <c r="U361" i="8"/>
  <c r="T361" i="8"/>
  <c r="S361" i="8"/>
  <c r="R361" i="8"/>
  <c r="Q361" i="8"/>
  <c r="P361" i="8"/>
  <c r="O361" i="8"/>
  <c r="N361" i="8"/>
  <c r="M361" i="8"/>
  <c r="L361" i="8"/>
  <c r="K361" i="8"/>
  <c r="J361" i="8"/>
  <c r="I361" i="8"/>
  <c r="H361" i="8"/>
  <c r="G361" i="8"/>
  <c r="F361" i="8"/>
  <c r="E361" i="8"/>
  <c r="D361" i="8"/>
  <c r="C361" i="8"/>
  <c r="B361" i="8"/>
  <c r="A361" i="8"/>
  <c r="W360" i="8"/>
  <c r="V360" i="8"/>
  <c r="U360" i="8"/>
  <c r="T360" i="8"/>
  <c r="S360" i="8"/>
  <c r="R360" i="8"/>
  <c r="Q360" i="8"/>
  <c r="P360" i="8"/>
  <c r="O360" i="8"/>
  <c r="N360" i="8"/>
  <c r="M360" i="8"/>
  <c r="L360" i="8"/>
  <c r="K360" i="8"/>
  <c r="J360" i="8"/>
  <c r="I360" i="8"/>
  <c r="H360" i="8"/>
  <c r="G360" i="8"/>
  <c r="F360" i="8"/>
  <c r="E360" i="8"/>
  <c r="D360" i="8"/>
  <c r="C360" i="8"/>
  <c r="B360" i="8"/>
  <c r="A360" i="8"/>
  <c r="W359" i="8"/>
  <c r="V359" i="8"/>
  <c r="U359" i="8"/>
  <c r="T359" i="8"/>
  <c r="S359" i="8"/>
  <c r="R359" i="8"/>
  <c r="Q359" i="8"/>
  <c r="P359" i="8"/>
  <c r="O359" i="8"/>
  <c r="N359" i="8"/>
  <c r="M359" i="8"/>
  <c r="L359" i="8"/>
  <c r="K359" i="8"/>
  <c r="J359" i="8"/>
  <c r="I359" i="8"/>
  <c r="H359" i="8"/>
  <c r="G359" i="8"/>
  <c r="F359" i="8"/>
  <c r="E359" i="8"/>
  <c r="D359" i="8"/>
  <c r="C359" i="8"/>
  <c r="B359" i="8"/>
  <c r="A359" i="8"/>
  <c r="W358" i="8"/>
  <c r="V358" i="8"/>
  <c r="U358" i="8"/>
  <c r="T358" i="8"/>
  <c r="S358" i="8"/>
  <c r="R358" i="8"/>
  <c r="Q358" i="8"/>
  <c r="P358" i="8"/>
  <c r="O358" i="8"/>
  <c r="N358" i="8"/>
  <c r="M358" i="8"/>
  <c r="L358" i="8"/>
  <c r="K358" i="8"/>
  <c r="J358" i="8"/>
  <c r="I358" i="8"/>
  <c r="H358" i="8"/>
  <c r="G358" i="8"/>
  <c r="F358" i="8"/>
  <c r="E358" i="8"/>
  <c r="D358" i="8"/>
  <c r="C358" i="8"/>
  <c r="B358" i="8"/>
  <c r="A358" i="8"/>
  <c r="W357" i="8"/>
  <c r="V357" i="8"/>
  <c r="U357" i="8"/>
  <c r="T357" i="8"/>
  <c r="S357" i="8"/>
  <c r="R357" i="8"/>
  <c r="Q357" i="8"/>
  <c r="P357" i="8"/>
  <c r="O357" i="8"/>
  <c r="N357" i="8"/>
  <c r="M357" i="8"/>
  <c r="L357" i="8"/>
  <c r="K357" i="8"/>
  <c r="J357" i="8"/>
  <c r="I357" i="8"/>
  <c r="H357" i="8"/>
  <c r="G357" i="8"/>
  <c r="F357" i="8"/>
  <c r="E357" i="8"/>
  <c r="D357" i="8"/>
  <c r="C357" i="8"/>
  <c r="B357" i="8"/>
  <c r="A357" i="8"/>
  <c r="W356" i="8"/>
  <c r="V356" i="8"/>
  <c r="U356" i="8"/>
  <c r="T356" i="8"/>
  <c r="S356" i="8"/>
  <c r="R356" i="8"/>
  <c r="Q356" i="8"/>
  <c r="P356" i="8"/>
  <c r="O356" i="8"/>
  <c r="N356" i="8"/>
  <c r="M356" i="8"/>
  <c r="L356" i="8"/>
  <c r="K356" i="8"/>
  <c r="J356" i="8"/>
  <c r="I356" i="8"/>
  <c r="H356" i="8"/>
  <c r="G356" i="8"/>
  <c r="F356" i="8"/>
  <c r="E356" i="8"/>
  <c r="D356" i="8"/>
  <c r="C356" i="8"/>
  <c r="B356" i="8"/>
  <c r="A356" i="8"/>
  <c r="W355" i="8"/>
  <c r="V355" i="8"/>
  <c r="U355" i="8"/>
  <c r="T355" i="8"/>
  <c r="S355" i="8"/>
  <c r="R355" i="8"/>
  <c r="Q355" i="8"/>
  <c r="P355" i="8"/>
  <c r="O355" i="8"/>
  <c r="N355" i="8"/>
  <c r="M355" i="8"/>
  <c r="L355" i="8"/>
  <c r="K355" i="8"/>
  <c r="J355" i="8"/>
  <c r="I355" i="8"/>
  <c r="H355" i="8"/>
  <c r="G355" i="8"/>
  <c r="F355" i="8"/>
  <c r="E355" i="8"/>
  <c r="D355" i="8"/>
  <c r="C355" i="8"/>
  <c r="B355" i="8"/>
  <c r="A355" i="8"/>
  <c r="W354" i="8"/>
  <c r="V354" i="8"/>
  <c r="U354" i="8"/>
  <c r="T354" i="8"/>
  <c r="S354" i="8"/>
  <c r="R354" i="8"/>
  <c r="Q354" i="8"/>
  <c r="P354" i="8"/>
  <c r="O354" i="8"/>
  <c r="N354" i="8"/>
  <c r="M354" i="8"/>
  <c r="L354" i="8"/>
  <c r="K354" i="8"/>
  <c r="J354" i="8"/>
  <c r="I354" i="8"/>
  <c r="H354" i="8"/>
  <c r="G354" i="8"/>
  <c r="F354" i="8"/>
  <c r="E354" i="8"/>
  <c r="D354" i="8"/>
  <c r="C354" i="8"/>
  <c r="B354" i="8"/>
  <c r="A354" i="8"/>
  <c r="W353" i="8"/>
  <c r="V353" i="8"/>
  <c r="U353" i="8"/>
  <c r="T353" i="8"/>
  <c r="S353" i="8"/>
  <c r="R353" i="8"/>
  <c r="Q353" i="8"/>
  <c r="P353" i="8"/>
  <c r="O353" i="8"/>
  <c r="N353" i="8"/>
  <c r="M353" i="8"/>
  <c r="L353" i="8"/>
  <c r="K353" i="8"/>
  <c r="J353" i="8"/>
  <c r="I353" i="8"/>
  <c r="H353" i="8"/>
  <c r="G353" i="8"/>
  <c r="F353" i="8"/>
  <c r="E353" i="8"/>
  <c r="D353" i="8"/>
  <c r="C353" i="8"/>
  <c r="B353" i="8"/>
  <c r="A353" i="8"/>
  <c r="W352" i="8"/>
  <c r="V352" i="8"/>
  <c r="U352" i="8"/>
  <c r="T352" i="8"/>
  <c r="S352" i="8"/>
  <c r="R352" i="8"/>
  <c r="Q352" i="8"/>
  <c r="P352" i="8"/>
  <c r="O352" i="8"/>
  <c r="N352" i="8"/>
  <c r="M352" i="8"/>
  <c r="L352" i="8"/>
  <c r="K352" i="8"/>
  <c r="J352" i="8"/>
  <c r="I352" i="8"/>
  <c r="H352" i="8"/>
  <c r="G352" i="8"/>
  <c r="F352" i="8"/>
  <c r="E352" i="8"/>
  <c r="D352" i="8"/>
  <c r="C352" i="8"/>
  <c r="B352" i="8"/>
  <c r="A352" i="8"/>
  <c r="W351" i="8"/>
  <c r="V351" i="8"/>
  <c r="U351" i="8"/>
  <c r="T351" i="8"/>
  <c r="S351" i="8"/>
  <c r="R351" i="8"/>
  <c r="Q351" i="8"/>
  <c r="P351" i="8"/>
  <c r="O351" i="8"/>
  <c r="N351" i="8"/>
  <c r="M351" i="8"/>
  <c r="L351" i="8"/>
  <c r="K351" i="8"/>
  <c r="J351" i="8"/>
  <c r="I351" i="8"/>
  <c r="H351" i="8"/>
  <c r="G351" i="8"/>
  <c r="F351" i="8"/>
  <c r="E351" i="8"/>
  <c r="D351" i="8"/>
  <c r="C351" i="8"/>
  <c r="B351" i="8"/>
  <c r="A351" i="8"/>
  <c r="W350" i="8"/>
  <c r="V350" i="8"/>
  <c r="U350" i="8"/>
  <c r="T350" i="8"/>
  <c r="S350" i="8"/>
  <c r="R350" i="8"/>
  <c r="Q350" i="8"/>
  <c r="P350" i="8"/>
  <c r="O350" i="8"/>
  <c r="N350" i="8"/>
  <c r="M350" i="8"/>
  <c r="L350" i="8"/>
  <c r="K350" i="8"/>
  <c r="J350" i="8"/>
  <c r="I350" i="8"/>
  <c r="H350" i="8"/>
  <c r="G350" i="8"/>
  <c r="F350" i="8"/>
  <c r="E350" i="8"/>
  <c r="D350" i="8"/>
  <c r="C350" i="8"/>
  <c r="B350" i="8"/>
  <c r="A350" i="8"/>
  <c r="W349" i="8"/>
  <c r="V349" i="8"/>
  <c r="U349" i="8"/>
  <c r="T349" i="8"/>
  <c r="S349" i="8"/>
  <c r="R349" i="8"/>
  <c r="Q349" i="8"/>
  <c r="P349" i="8"/>
  <c r="O349" i="8"/>
  <c r="N349" i="8"/>
  <c r="M349" i="8"/>
  <c r="L349" i="8"/>
  <c r="K349" i="8"/>
  <c r="J349" i="8"/>
  <c r="I349" i="8"/>
  <c r="H349" i="8"/>
  <c r="G349" i="8"/>
  <c r="F349" i="8"/>
  <c r="E349" i="8"/>
  <c r="D349" i="8"/>
  <c r="C349" i="8"/>
  <c r="B349" i="8"/>
  <c r="A349" i="8"/>
  <c r="W348" i="8"/>
  <c r="V348" i="8"/>
  <c r="U348" i="8"/>
  <c r="T348" i="8"/>
  <c r="S348" i="8"/>
  <c r="R348" i="8"/>
  <c r="Q348" i="8"/>
  <c r="P348" i="8"/>
  <c r="O348" i="8"/>
  <c r="N348" i="8"/>
  <c r="M348" i="8"/>
  <c r="L348" i="8"/>
  <c r="K348" i="8"/>
  <c r="J348" i="8"/>
  <c r="I348" i="8"/>
  <c r="H348" i="8"/>
  <c r="G348" i="8"/>
  <c r="F348" i="8"/>
  <c r="E348" i="8"/>
  <c r="D348" i="8"/>
  <c r="C348" i="8"/>
  <c r="B348" i="8"/>
  <c r="A348" i="8"/>
  <c r="W347" i="8"/>
  <c r="V347" i="8"/>
  <c r="U347" i="8"/>
  <c r="T347" i="8"/>
  <c r="S347" i="8"/>
  <c r="R347" i="8"/>
  <c r="Q347" i="8"/>
  <c r="P347" i="8"/>
  <c r="O347" i="8"/>
  <c r="N347" i="8"/>
  <c r="M347" i="8"/>
  <c r="L347" i="8"/>
  <c r="K347" i="8"/>
  <c r="J347" i="8"/>
  <c r="I347" i="8"/>
  <c r="H347" i="8"/>
  <c r="G347" i="8"/>
  <c r="F347" i="8"/>
  <c r="E347" i="8"/>
  <c r="D347" i="8"/>
  <c r="C347" i="8"/>
  <c r="B347" i="8"/>
  <c r="A347" i="8"/>
  <c r="W346" i="8"/>
  <c r="V346" i="8"/>
  <c r="U346" i="8"/>
  <c r="T346" i="8"/>
  <c r="S346" i="8"/>
  <c r="R346" i="8"/>
  <c r="Q346" i="8"/>
  <c r="P346" i="8"/>
  <c r="O346" i="8"/>
  <c r="N346" i="8"/>
  <c r="M346" i="8"/>
  <c r="L346" i="8"/>
  <c r="K346" i="8"/>
  <c r="J346" i="8"/>
  <c r="I346" i="8"/>
  <c r="H346" i="8"/>
  <c r="G346" i="8"/>
  <c r="F346" i="8"/>
  <c r="E346" i="8"/>
  <c r="D346" i="8"/>
  <c r="C346" i="8"/>
  <c r="B346" i="8"/>
  <c r="A346" i="8"/>
  <c r="W345" i="8"/>
  <c r="V345" i="8"/>
  <c r="U345" i="8"/>
  <c r="T345" i="8"/>
  <c r="S345" i="8"/>
  <c r="R345" i="8"/>
  <c r="Q345" i="8"/>
  <c r="P345" i="8"/>
  <c r="O345" i="8"/>
  <c r="N345" i="8"/>
  <c r="M345" i="8"/>
  <c r="L345" i="8"/>
  <c r="K345" i="8"/>
  <c r="J345" i="8"/>
  <c r="I345" i="8"/>
  <c r="H345" i="8"/>
  <c r="G345" i="8"/>
  <c r="F345" i="8"/>
  <c r="E345" i="8"/>
  <c r="D345" i="8"/>
  <c r="C345" i="8"/>
  <c r="B345" i="8"/>
  <c r="A345" i="8"/>
  <c r="W344" i="8"/>
  <c r="V344" i="8"/>
  <c r="U344" i="8"/>
  <c r="T344" i="8"/>
  <c r="S344" i="8"/>
  <c r="R344" i="8"/>
  <c r="Q344" i="8"/>
  <c r="P344" i="8"/>
  <c r="O344" i="8"/>
  <c r="N344" i="8"/>
  <c r="M344" i="8"/>
  <c r="L344" i="8"/>
  <c r="K344" i="8"/>
  <c r="J344" i="8"/>
  <c r="I344" i="8"/>
  <c r="H344" i="8"/>
  <c r="G344" i="8"/>
  <c r="F344" i="8"/>
  <c r="E344" i="8"/>
  <c r="D344" i="8"/>
  <c r="C344" i="8"/>
  <c r="B344" i="8"/>
  <c r="A344" i="8"/>
  <c r="W343" i="8"/>
  <c r="V343" i="8"/>
  <c r="U343" i="8"/>
  <c r="T343" i="8"/>
  <c r="S343" i="8"/>
  <c r="R343" i="8"/>
  <c r="Q343" i="8"/>
  <c r="P343" i="8"/>
  <c r="O343" i="8"/>
  <c r="N343" i="8"/>
  <c r="M343" i="8"/>
  <c r="L343" i="8"/>
  <c r="K343" i="8"/>
  <c r="J343" i="8"/>
  <c r="I343" i="8"/>
  <c r="H343" i="8"/>
  <c r="G343" i="8"/>
  <c r="F343" i="8"/>
  <c r="E343" i="8"/>
  <c r="D343" i="8"/>
  <c r="C343" i="8"/>
  <c r="B343" i="8"/>
  <c r="A343" i="8"/>
  <c r="W342" i="8"/>
  <c r="V342" i="8"/>
  <c r="U342" i="8"/>
  <c r="T342" i="8"/>
  <c r="S342" i="8"/>
  <c r="R342" i="8"/>
  <c r="Q342" i="8"/>
  <c r="P342" i="8"/>
  <c r="O342" i="8"/>
  <c r="N342" i="8"/>
  <c r="M342" i="8"/>
  <c r="L342" i="8"/>
  <c r="K342" i="8"/>
  <c r="J342" i="8"/>
  <c r="I342" i="8"/>
  <c r="H342" i="8"/>
  <c r="G342" i="8"/>
  <c r="F342" i="8"/>
  <c r="E342" i="8"/>
  <c r="D342" i="8"/>
  <c r="C342" i="8"/>
  <c r="B342" i="8"/>
  <c r="A342" i="8"/>
  <c r="W341" i="8"/>
  <c r="V341" i="8"/>
  <c r="U341" i="8"/>
  <c r="T341" i="8"/>
  <c r="S341" i="8"/>
  <c r="R341" i="8"/>
  <c r="Q341" i="8"/>
  <c r="P341" i="8"/>
  <c r="O341" i="8"/>
  <c r="N341" i="8"/>
  <c r="M341" i="8"/>
  <c r="L341" i="8"/>
  <c r="K341" i="8"/>
  <c r="J341" i="8"/>
  <c r="I341" i="8"/>
  <c r="H341" i="8"/>
  <c r="G341" i="8"/>
  <c r="F341" i="8"/>
  <c r="E341" i="8"/>
  <c r="D341" i="8"/>
  <c r="C341" i="8"/>
  <c r="B341" i="8"/>
  <c r="A341" i="8"/>
  <c r="W340" i="8"/>
  <c r="V340" i="8"/>
  <c r="U340" i="8"/>
  <c r="T340" i="8"/>
  <c r="S340" i="8"/>
  <c r="R340" i="8"/>
  <c r="Q340" i="8"/>
  <c r="P340" i="8"/>
  <c r="O340" i="8"/>
  <c r="N340" i="8"/>
  <c r="M340" i="8"/>
  <c r="L340" i="8"/>
  <c r="K340" i="8"/>
  <c r="J340" i="8"/>
  <c r="I340" i="8"/>
  <c r="H340" i="8"/>
  <c r="G340" i="8"/>
  <c r="F340" i="8"/>
  <c r="E340" i="8"/>
  <c r="D340" i="8"/>
  <c r="C340" i="8"/>
  <c r="B340" i="8"/>
  <c r="A340" i="8"/>
  <c r="W339" i="8"/>
  <c r="V339" i="8"/>
  <c r="U339" i="8"/>
  <c r="T339" i="8"/>
  <c r="S339" i="8"/>
  <c r="R339" i="8"/>
  <c r="Q339" i="8"/>
  <c r="P339" i="8"/>
  <c r="O339" i="8"/>
  <c r="N339" i="8"/>
  <c r="M339" i="8"/>
  <c r="L339" i="8"/>
  <c r="K339" i="8"/>
  <c r="J339" i="8"/>
  <c r="I339" i="8"/>
  <c r="H339" i="8"/>
  <c r="G339" i="8"/>
  <c r="F339" i="8"/>
  <c r="E339" i="8"/>
  <c r="D339" i="8"/>
  <c r="C339" i="8"/>
  <c r="B339" i="8"/>
  <c r="A339" i="8"/>
  <c r="W338" i="8"/>
  <c r="V338" i="8"/>
  <c r="U338" i="8"/>
  <c r="T338" i="8"/>
  <c r="S338" i="8"/>
  <c r="R338" i="8"/>
  <c r="Q338" i="8"/>
  <c r="P338" i="8"/>
  <c r="O338" i="8"/>
  <c r="N338" i="8"/>
  <c r="M338" i="8"/>
  <c r="L338" i="8"/>
  <c r="K338" i="8"/>
  <c r="J338" i="8"/>
  <c r="I338" i="8"/>
  <c r="H338" i="8"/>
  <c r="G338" i="8"/>
  <c r="F338" i="8"/>
  <c r="E338" i="8"/>
  <c r="D338" i="8"/>
  <c r="C338" i="8"/>
  <c r="B338" i="8"/>
  <c r="A338" i="8"/>
  <c r="W337" i="8"/>
  <c r="V337" i="8"/>
  <c r="U337" i="8"/>
  <c r="T337" i="8"/>
  <c r="S337" i="8"/>
  <c r="R337" i="8"/>
  <c r="Q337" i="8"/>
  <c r="P337" i="8"/>
  <c r="O337" i="8"/>
  <c r="N337" i="8"/>
  <c r="M337" i="8"/>
  <c r="L337" i="8"/>
  <c r="K337" i="8"/>
  <c r="J337" i="8"/>
  <c r="I337" i="8"/>
  <c r="H337" i="8"/>
  <c r="G337" i="8"/>
  <c r="F337" i="8"/>
  <c r="E337" i="8"/>
  <c r="D337" i="8"/>
  <c r="C337" i="8"/>
  <c r="B337" i="8"/>
  <c r="A337" i="8"/>
  <c r="W336" i="8"/>
  <c r="V336" i="8"/>
  <c r="U336" i="8"/>
  <c r="T336" i="8"/>
  <c r="S336" i="8"/>
  <c r="R336" i="8"/>
  <c r="Q336" i="8"/>
  <c r="P336" i="8"/>
  <c r="O336" i="8"/>
  <c r="N336" i="8"/>
  <c r="M336" i="8"/>
  <c r="L336" i="8"/>
  <c r="K336" i="8"/>
  <c r="J336" i="8"/>
  <c r="I336" i="8"/>
  <c r="H336" i="8"/>
  <c r="G336" i="8"/>
  <c r="F336" i="8"/>
  <c r="E336" i="8"/>
  <c r="D336" i="8"/>
  <c r="C336" i="8"/>
  <c r="B336" i="8"/>
  <c r="A336" i="8"/>
  <c r="W335" i="8"/>
  <c r="V335" i="8"/>
  <c r="U335" i="8"/>
  <c r="T335" i="8"/>
  <c r="S335" i="8"/>
  <c r="R335" i="8"/>
  <c r="Q335" i="8"/>
  <c r="P335" i="8"/>
  <c r="O335" i="8"/>
  <c r="N335" i="8"/>
  <c r="M335" i="8"/>
  <c r="L335" i="8"/>
  <c r="K335" i="8"/>
  <c r="J335" i="8"/>
  <c r="I335" i="8"/>
  <c r="H335" i="8"/>
  <c r="G335" i="8"/>
  <c r="F335" i="8"/>
  <c r="E335" i="8"/>
  <c r="D335" i="8"/>
  <c r="C335" i="8"/>
  <c r="B335" i="8"/>
  <c r="A335" i="8"/>
  <c r="W334" i="8"/>
  <c r="V334" i="8"/>
  <c r="U334" i="8"/>
  <c r="T334" i="8"/>
  <c r="S334" i="8"/>
  <c r="R334" i="8"/>
  <c r="Q334" i="8"/>
  <c r="P334" i="8"/>
  <c r="O334" i="8"/>
  <c r="N334" i="8"/>
  <c r="M334" i="8"/>
  <c r="L334" i="8"/>
  <c r="K334" i="8"/>
  <c r="J334" i="8"/>
  <c r="I334" i="8"/>
  <c r="H334" i="8"/>
  <c r="G334" i="8"/>
  <c r="F334" i="8"/>
  <c r="E334" i="8"/>
  <c r="D334" i="8"/>
  <c r="C334" i="8"/>
  <c r="B334" i="8"/>
  <c r="A334" i="8"/>
  <c r="W333" i="8"/>
  <c r="V333" i="8"/>
  <c r="U333" i="8"/>
  <c r="T333" i="8"/>
  <c r="S333" i="8"/>
  <c r="R333" i="8"/>
  <c r="Q333" i="8"/>
  <c r="P333" i="8"/>
  <c r="O333" i="8"/>
  <c r="N333" i="8"/>
  <c r="M333" i="8"/>
  <c r="L333" i="8"/>
  <c r="K333" i="8"/>
  <c r="J333" i="8"/>
  <c r="I333" i="8"/>
  <c r="H333" i="8"/>
  <c r="G333" i="8"/>
  <c r="F333" i="8"/>
  <c r="E333" i="8"/>
  <c r="D333" i="8"/>
  <c r="C333" i="8"/>
  <c r="B333" i="8"/>
  <c r="A333" i="8"/>
  <c r="W332" i="8"/>
  <c r="V332" i="8"/>
  <c r="U332" i="8"/>
  <c r="T332" i="8"/>
  <c r="S332" i="8"/>
  <c r="R332" i="8"/>
  <c r="Q332" i="8"/>
  <c r="P332" i="8"/>
  <c r="O332" i="8"/>
  <c r="N332" i="8"/>
  <c r="M332" i="8"/>
  <c r="L332" i="8"/>
  <c r="K332" i="8"/>
  <c r="J332" i="8"/>
  <c r="I332" i="8"/>
  <c r="H332" i="8"/>
  <c r="G332" i="8"/>
  <c r="F332" i="8"/>
  <c r="E332" i="8"/>
  <c r="D332" i="8"/>
  <c r="C332" i="8"/>
  <c r="B332" i="8"/>
  <c r="A332" i="8"/>
  <c r="W331" i="8"/>
  <c r="V331" i="8"/>
  <c r="U331" i="8"/>
  <c r="T331" i="8"/>
  <c r="S331" i="8"/>
  <c r="R331" i="8"/>
  <c r="Q331" i="8"/>
  <c r="P331" i="8"/>
  <c r="O331" i="8"/>
  <c r="N331" i="8"/>
  <c r="M331" i="8"/>
  <c r="L331" i="8"/>
  <c r="K331" i="8"/>
  <c r="J331" i="8"/>
  <c r="I331" i="8"/>
  <c r="H331" i="8"/>
  <c r="G331" i="8"/>
  <c r="F331" i="8"/>
  <c r="E331" i="8"/>
  <c r="D331" i="8"/>
  <c r="C331" i="8"/>
  <c r="B331" i="8"/>
  <c r="A331" i="8"/>
  <c r="W330" i="8"/>
  <c r="V330" i="8"/>
  <c r="U330" i="8"/>
  <c r="T330" i="8"/>
  <c r="S330" i="8"/>
  <c r="R330" i="8"/>
  <c r="Q330" i="8"/>
  <c r="P330" i="8"/>
  <c r="O330" i="8"/>
  <c r="N330" i="8"/>
  <c r="M330" i="8"/>
  <c r="L330" i="8"/>
  <c r="K330" i="8"/>
  <c r="J330" i="8"/>
  <c r="I330" i="8"/>
  <c r="H330" i="8"/>
  <c r="G330" i="8"/>
  <c r="F330" i="8"/>
  <c r="E330" i="8"/>
  <c r="D330" i="8"/>
  <c r="C330" i="8"/>
  <c r="B330" i="8"/>
  <c r="A330" i="8"/>
  <c r="W329" i="8"/>
  <c r="V329" i="8"/>
  <c r="U329" i="8"/>
  <c r="T329" i="8"/>
  <c r="S329" i="8"/>
  <c r="R329" i="8"/>
  <c r="Q329" i="8"/>
  <c r="P329" i="8"/>
  <c r="O329" i="8"/>
  <c r="N329" i="8"/>
  <c r="M329" i="8"/>
  <c r="L329" i="8"/>
  <c r="K329" i="8"/>
  <c r="J329" i="8"/>
  <c r="I329" i="8"/>
  <c r="H329" i="8"/>
  <c r="G329" i="8"/>
  <c r="F329" i="8"/>
  <c r="E329" i="8"/>
  <c r="D329" i="8"/>
  <c r="C329" i="8"/>
  <c r="B329" i="8"/>
  <c r="A329" i="8"/>
  <c r="W328" i="8"/>
  <c r="V328" i="8"/>
  <c r="U328" i="8"/>
  <c r="T328" i="8"/>
  <c r="S328" i="8"/>
  <c r="R328" i="8"/>
  <c r="Q328" i="8"/>
  <c r="P328" i="8"/>
  <c r="O328" i="8"/>
  <c r="N328" i="8"/>
  <c r="M328" i="8"/>
  <c r="L328" i="8"/>
  <c r="K328" i="8"/>
  <c r="J328" i="8"/>
  <c r="I328" i="8"/>
  <c r="H328" i="8"/>
  <c r="G328" i="8"/>
  <c r="F328" i="8"/>
  <c r="E328" i="8"/>
  <c r="D328" i="8"/>
  <c r="C328" i="8"/>
  <c r="B328" i="8"/>
  <c r="A328" i="8"/>
  <c r="W327" i="8"/>
  <c r="V327" i="8"/>
  <c r="U327" i="8"/>
  <c r="T327" i="8"/>
  <c r="S327" i="8"/>
  <c r="R327" i="8"/>
  <c r="Q327" i="8"/>
  <c r="P327" i="8"/>
  <c r="O327" i="8"/>
  <c r="N327" i="8"/>
  <c r="M327" i="8"/>
  <c r="L327" i="8"/>
  <c r="K327" i="8"/>
  <c r="J327" i="8"/>
  <c r="I327" i="8"/>
  <c r="H327" i="8"/>
  <c r="G327" i="8"/>
  <c r="F327" i="8"/>
  <c r="E327" i="8"/>
  <c r="D327" i="8"/>
  <c r="C327" i="8"/>
  <c r="B327" i="8"/>
  <c r="A327" i="8"/>
  <c r="W326" i="8"/>
  <c r="V326" i="8"/>
  <c r="U326" i="8"/>
  <c r="T326" i="8"/>
  <c r="S326" i="8"/>
  <c r="R326" i="8"/>
  <c r="Q326" i="8"/>
  <c r="P326" i="8"/>
  <c r="O326" i="8"/>
  <c r="N326" i="8"/>
  <c r="M326" i="8"/>
  <c r="L326" i="8"/>
  <c r="K326" i="8"/>
  <c r="J326" i="8"/>
  <c r="I326" i="8"/>
  <c r="H326" i="8"/>
  <c r="G326" i="8"/>
  <c r="F326" i="8"/>
  <c r="E326" i="8"/>
  <c r="D326" i="8"/>
  <c r="C326" i="8"/>
  <c r="B326" i="8"/>
  <c r="A326" i="8"/>
  <c r="W325" i="8"/>
  <c r="V325" i="8"/>
  <c r="U325" i="8"/>
  <c r="T325" i="8"/>
  <c r="S325" i="8"/>
  <c r="R325" i="8"/>
  <c r="Q325" i="8"/>
  <c r="P325" i="8"/>
  <c r="O325" i="8"/>
  <c r="N325" i="8"/>
  <c r="M325" i="8"/>
  <c r="L325" i="8"/>
  <c r="K325" i="8"/>
  <c r="J325" i="8"/>
  <c r="I325" i="8"/>
  <c r="H325" i="8"/>
  <c r="G325" i="8"/>
  <c r="F325" i="8"/>
  <c r="E325" i="8"/>
  <c r="D325" i="8"/>
  <c r="C325" i="8"/>
  <c r="B325" i="8"/>
  <c r="A325" i="8"/>
  <c r="W324" i="8"/>
  <c r="V324" i="8"/>
  <c r="U324" i="8"/>
  <c r="T324" i="8"/>
  <c r="S324" i="8"/>
  <c r="R324" i="8"/>
  <c r="Q324" i="8"/>
  <c r="P324" i="8"/>
  <c r="O324" i="8"/>
  <c r="N324" i="8"/>
  <c r="M324" i="8"/>
  <c r="L324" i="8"/>
  <c r="K324" i="8"/>
  <c r="J324" i="8"/>
  <c r="I324" i="8"/>
  <c r="H324" i="8"/>
  <c r="G324" i="8"/>
  <c r="F324" i="8"/>
  <c r="E324" i="8"/>
  <c r="D324" i="8"/>
  <c r="C324" i="8"/>
  <c r="B324" i="8"/>
  <c r="A324" i="8"/>
  <c r="W323" i="8"/>
  <c r="V323" i="8"/>
  <c r="U323" i="8"/>
  <c r="T323" i="8"/>
  <c r="S323" i="8"/>
  <c r="R323" i="8"/>
  <c r="Q323" i="8"/>
  <c r="P323" i="8"/>
  <c r="O323" i="8"/>
  <c r="N323" i="8"/>
  <c r="M323" i="8"/>
  <c r="L323" i="8"/>
  <c r="K323" i="8"/>
  <c r="J323" i="8"/>
  <c r="I323" i="8"/>
  <c r="H323" i="8"/>
  <c r="G323" i="8"/>
  <c r="F323" i="8"/>
  <c r="E323" i="8"/>
  <c r="D323" i="8"/>
  <c r="C323" i="8"/>
  <c r="B323" i="8"/>
  <c r="A323" i="8"/>
  <c r="W322" i="8"/>
  <c r="V322" i="8"/>
  <c r="U322" i="8"/>
  <c r="T322" i="8"/>
  <c r="S322" i="8"/>
  <c r="R322" i="8"/>
  <c r="Q322" i="8"/>
  <c r="P322" i="8"/>
  <c r="O322" i="8"/>
  <c r="N322" i="8"/>
  <c r="M322" i="8"/>
  <c r="L322" i="8"/>
  <c r="K322" i="8"/>
  <c r="J322" i="8"/>
  <c r="I322" i="8"/>
  <c r="H322" i="8"/>
  <c r="G322" i="8"/>
  <c r="F322" i="8"/>
  <c r="E322" i="8"/>
  <c r="D322" i="8"/>
  <c r="C322" i="8"/>
  <c r="B322" i="8"/>
  <c r="A322" i="8"/>
  <c r="W321" i="8"/>
  <c r="V321" i="8"/>
  <c r="U321" i="8"/>
  <c r="T321" i="8"/>
  <c r="S321" i="8"/>
  <c r="R321" i="8"/>
  <c r="Q321" i="8"/>
  <c r="P321" i="8"/>
  <c r="O321" i="8"/>
  <c r="N321" i="8"/>
  <c r="M321" i="8"/>
  <c r="L321" i="8"/>
  <c r="K321" i="8"/>
  <c r="J321" i="8"/>
  <c r="I321" i="8"/>
  <c r="H321" i="8"/>
  <c r="G321" i="8"/>
  <c r="F321" i="8"/>
  <c r="E321" i="8"/>
  <c r="D321" i="8"/>
  <c r="C321" i="8"/>
  <c r="B321" i="8"/>
  <c r="A321" i="8"/>
  <c r="W320" i="8"/>
  <c r="V320" i="8"/>
  <c r="U320" i="8"/>
  <c r="T320" i="8"/>
  <c r="S320" i="8"/>
  <c r="R320" i="8"/>
  <c r="Q320" i="8"/>
  <c r="P320" i="8"/>
  <c r="O320" i="8"/>
  <c r="N320" i="8"/>
  <c r="M320" i="8"/>
  <c r="L320" i="8"/>
  <c r="K320" i="8"/>
  <c r="J320" i="8"/>
  <c r="I320" i="8"/>
  <c r="H320" i="8"/>
  <c r="G320" i="8"/>
  <c r="F320" i="8"/>
  <c r="E320" i="8"/>
  <c r="D320" i="8"/>
  <c r="C320" i="8"/>
  <c r="B320" i="8"/>
  <c r="A320" i="8"/>
  <c r="W319" i="8"/>
  <c r="V319" i="8"/>
  <c r="U319" i="8"/>
  <c r="T319" i="8"/>
  <c r="S319" i="8"/>
  <c r="R319" i="8"/>
  <c r="Q319" i="8"/>
  <c r="P319" i="8"/>
  <c r="O319" i="8"/>
  <c r="N319" i="8"/>
  <c r="M319" i="8"/>
  <c r="L319" i="8"/>
  <c r="K319" i="8"/>
  <c r="J319" i="8"/>
  <c r="I319" i="8"/>
  <c r="H319" i="8"/>
  <c r="G319" i="8"/>
  <c r="F319" i="8"/>
  <c r="E319" i="8"/>
  <c r="D319" i="8"/>
  <c r="C319" i="8"/>
  <c r="B319" i="8"/>
  <c r="A319" i="8"/>
  <c r="W318" i="8"/>
  <c r="V318" i="8"/>
  <c r="U318" i="8"/>
  <c r="T318" i="8"/>
  <c r="S318" i="8"/>
  <c r="R318" i="8"/>
  <c r="Q318" i="8"/>
  <c r="P318" i="8"/>
  <c r="O318" i="8"/>
  <c r="N318" i="8"/>
  <c r="M318" i="8"/>
  <c r="L318" i="8"/>
  <c r="K318" i="8"/>
  <c r="J318" i="8"/>
  <c r="I318" i="8"/>
  <c r="H318" i="8"/>
  <c r="G318" i="8"/>
  <c r="F318" i="8"/>
  <c r="E318" i="8"/>
  <c r="D318" i="8"/>
  <c r="C318" i="8"/>
  <c r="B318" i="8"/>
  <c r="A318" i="8"/>
  <c r="W317" i="8"/>
  <c r="V317" i="8"/>
  <c r="U317" i="8"/>
  <c r="T317" i="8"/>
  <c r="S317" i="8"/>
  <c r="R317" i="8"/>
  <c r="Q317" i="8"/>
  <c r="P317" i="8"/>
  <c r="O317" i="8"/>
  <c r="N317" i="8"/>
  <c r="M317" i="8"/>
  <c r="L317" i="8"/>
  <c r="K317" i="8"/>
  <c r="J317" i="8"/>
  <c r="I317" i="8"/>
  <c r="H317" i="8"/>
  <c r="G317" i="8"/>
  <c r="F317" i="8"/>
  <c r="E317" i="8"/>
  <c r="D317" i="8"/>
  <c r="C317" i="8"/>
  <c r="B317" i="8"/>
  <c r="A317" i="8"/>
  <c r="W316" i="8"/>
  <c r="V316" i="8"/>
  <c r="U316" i="8"/>
  <c r="T316" i="8"/>
  <c r="S316" i="8"/>
  <c r="R316" i="8"/>
  <c r="Q316" i="8"/>
  <c r="P316" i="8"/>
  <c r="O316" i="8"/>
  <c r="N316" i="8"/>
  <c r="M316" i="8"/>
  <c r="L316" i="8"/>
  <c r="K316" i="8"/>
  <c r="J316" i="8"/>
  <c r="I316" i="8"/>
  <c r="H316" i="8"/>
  <c r="G316" i="8"/>
  <c r="F316" i="8"/>
  <c r="E316" i="8"/>
  <c r="D316" i="8"/>
  <c r="C316" i="8"/>
  <c r="B316" i="8"/>
  <c r="A316" i="8"/>
  <c r="W315" i="8"/>
  <c r="V315" i="8"/>
  <c r="U315" i="8"/>
  <c r="T315" i="8"/>
  <c r="S315" i="8"/>
  <c r="R315" i="8"/>
  <c r="Q315" i="8"/>
  <c r="P315" i="8"/>
  <c r="O315" i="8"/>
  <c r="N315" i="8"/>
  <c r="M315" i="8"/>
  <c r="L315" i="8"/>
  <c r="K315" i="8"/>
  <c r="J315" i="8"/>
  <c r="I315" i="8"/>
  <c r="H315" i="8"/>
  <c r="G315" i="8"/>
  <c r="F315" i="8"/>
  <c r="E315" i="8"/>
  <c r="D315" i="8"/>
  <c r="C315" i="8"/>
  <c r="B315" i="8"/>
  <c r="A315" i="8"/>
  <c r="W314" i="8"/>
  <c r="V314" i="8"/>
  <c r="U314" i="8"/>
  <c r="T314" i="8"/>
  <c r="S314" i="8"/>
  <c r="R314" i="8"/>
  <c r="Q314" i="8"/>
  <c r="P314" i="8"/>
  <c r="O314" i="8"/>
  <c r="N314" i="8"/>
  <c r="M314" i="8"/>
  <c r="L314" i="8"/>
  <c r="K314" i="8"/>
  <c r="J314" i="8"/>
  <c r="I314" i="8"/>
  <c r="H314" i="8"/>
  <c r="G314" i="8"/>
  <c r="F314" i="8"/>
  <c r="E314" i="8"/>
  <c r="D314" i="8"/>
  <c r="C314" i="8"/>
  <c r="B314" i="8"/>
  <c r="A314" i="8"/>
  <c r="W313" i="8"/>
  <c r="V313" i="8"/>
  <c r="U313" i="8"/>
  <c r="T313" i="8"/>
  <c r="S313" i="8"/>
  <c r="R313" i="8"/>
  <c r="Q313" i="8"/>
  <c r="P313" i="8"/>
  <c r="O313" i="8"/>
  <c r="N313" i="8"/>
  <c r="M313" i="8"/>
  <c r="L313" i="8"/>
  <c r="K313" i="8"/>
  <c r="J313" i="8"/>
  <c r="I313" i="8"/>
  <c r="H313" i="8"/>
  <c r="G313" i="8"/>
  <c r="F313" i="8"/>
  <c r="E313" i="8"/>
  <c r="D313" i="8"/>
  <c r="C313" i="8"/>
  <c r="B313" i="8"/>
  <c r="A313" i="8"/>
  <c r="W312" i="8"/>
  <c r="V312" i="8"/>
  <c r="U312" i="8"/>
  <c r="T312" i="8"/>
  <c r="S312" i="8"/>
  <c r="R312" i="8"/>
  <c r="Q312" i="8"/>
  <c r="P312" i="8"/>
  <c r="O312" i="8"/>
  <c r="N312" i="8"/>
  <c r="M312" i="8"/>
  <c r="L312" i="8"/>
  <c r="K312" i="8"/>
  <c r="J312" i="8"/>
  <c r="I312" i="8"/>
  <c r="H312" i="8"/>
  <c r="G312" i="8"/>
  <c r="F312" i="8"/>
  <c r="E312" i="8"/>
  <c r="D312" i="8"/>
  <c r="C312" i="8"/>
  <c r="B312" i="8"/>
  <c r="A312" i="8"/>
  <c r="W311" i="8"/>
  <c r="V311" i="8"/>
  <c r="U311" i="8"/>
  <c r="T311" i="8"/>
  <c r="S311" i="8"/>
  <c r="R311" i="8"/>
  <c r="Q311" i="8"/>
  <c r="P311" i="8"/>
  <c r="O311" i="8"/>
  <c r="N311" i="8"/>
  <c r="M311" i="8"/>
  <c r="L311" i="8"/>
  <c r="K311" i="8"/>
  <c r="J311" i="8"/>
  <c r="I311" i="8"/>
  <c r="H311" i="8"/>
  <c r="G311" i="8"/>
  <c r="F311" i="8"/>
  <c r="E311" i="8"/>
  <c r="D311" i="8"/>
  <c r="C311" i="8"/>
  <c r="B311" i="8"/>
  <c r="A311" i="8"/>
  <c r="W310" i="8"/>
  <c r="V310" i="8"/>
  <c r="U310" i="8"/>
  <c r="T310" i="8"/>
  <c r="S310" i="8"/>
  <c r="R310" i="8"/>
  <c r="Q310" i="8"/>
  <c r="P310" i="8"/>
  <c r="O310" i="8"/>
  <c r="N310" i="8"/>
  <c r="M310" i="8"/>
  <c r="L310" i="8"/>
  <c r="K310" i="8"/>
  <c r="J310" i="8"/>
  <c r="I310" i="8"/>
  <c r="H310" i="8"/>
  <c r="G310" i="8"/>
  <c r="F310" i="8"/>
  <c r="E310" i="8"/>
  <c r="D310" i="8"/>
  <c r="C310" i="8"/>
  <c r="B310" i="8"/>
  <c r="A310" i="8"/>
  <c r="W309" i="8"/>
  <c r="V309" i="8"/>
  <c r="U309" i="8"/>
  <c r="T309" i="8"/>
  <c r="S309" i="8"/>
  <c r="R309" i="8"/>
  <c r="Q309" i="8"/>
  <c r="P309" i="8"/>
  <c r="O309" i="8"/>
  <c r="N309" i="8"/>
  <c r="M309" i="8"/>
  <c r="L309" i="8"/>
  <c r="K309" i="8"/>
  <c r="J309" i="8"/>
  <c r="I309" i="8"/>
  <c r="H309" i="8"/>
  <c r="G309" i="8"/>
  <c r="F309" i="8"/>
  <c r="E309" i="8"/>
  <c r="D309" i="8"/>
  <c r="C309" i="8"/>
  <c r="B309" i="8"/>
  <c r="A309" i="8"/>
  <c r="W308" i="8"/>
  <c r="V308" i="8"/>
  <c r="U308" i="8"/>
  <c r="T308" i="8"/>
  <c r="S308" i="8"/>
  <c r="R308" i="8"/>
  <c r="Q308" i="8"/>
  <c r="P308" i="8"/>
  <c r="O308" i="8"/>
  <c r="N308" i="8"/>
  <c r="M308" i="8"/>
  <c r="L308" i="8"/>
  <c r="K308" i="8"/>
  <c r="J308" i="8"/>
  <c r="I308" i="8"/>
  <c r="H308" i="8"/>
  <c r="G308" i="8"/>
  <c r="F308" i="8"/>
  <c r="E308" i="8"/>
  <c r="D308" i="8"/>
  <c r="C308" i="8"/>
  <c r="B308" i="8"/>
  <c r="A308" i="8"/>
  <c r="W307" i="8"/>
  <c r="V307" i="8"/>
  <c r="U307" i="8"/>
  <c r="T307" i="8"/>
  <c r="S307" i="8"/>
  <c r="R307" i="8"/>
  <c r="Q307" i="8"/>
  <c r="P307" i="8"/>
  <c r="O307" i="8"/>
  <c r="N307" i="8"/>
  <c r="M307" i="8"/>
  <c r="L307" i="8"/>
  <c r="K307" i="8"/>
  <c r="J307" i="8"/>
  <c r="I307" i="8"/>
  <c r="H307" i="8"/>
  <c r="G307" i="8"/>
  <c r="F307" i="8"/>
  <c r="E307" i="8"/>
  <c r="D307" i="8"/>
  <c r="C307" i="8"/>
  <c r="B307" i="8"/>
  <c r="A307" i="8"/>
  <c r="W306" i="8"/>
  <c r="V306" i="8"/>
  <c r="U306" i="8"/>
  <c r="T306" i="8"/>
  <c r="S306" i="8"/>
  <c r="R306" i="8"/>
  <c r="Q306" i="8"/>
  <c r="P306" i="8"/>
  <c r="O306" i="8"/>
  <c r="N306" i="8"/>
  <c r="M306" i="8"/>
  <c r="L306" i="8"/>
  <c r="K306" i="8"/>
  <c r="J306" i="8"/>
  <c r="I306" i="8"/>
  <c r="H306" i="8"/>
  <c r="G306" i="8"/>
  <c r="F306" i="8"/>
  <c r="E306" i="8"/>
  <c r="D306" i="8"/>
  <c r="C306" i="8"/>
  <c r="B306" i="8"/>
  <c r="A306" i="8"/>
  <c r="W305" i="8"/>
  <c r="V305" i="8"/>
  <c r="U305" i="8"/>
  <c r="T305" i="8"/>
  <c r="S305" i="8"/>
  <c r="R305" i="8"/>
  <c r="Q305" i="8"/>
  <c r="P305" i="8"/>
  <c r="O305" i="8"/>
  <c r="N305" i="8"/>
  <c r="M305" i="8"/>
  <c r="L305" i="8"/>
  <c r="K305" i="8"/>
  <c r="J305" i="8"/>
  <c r="I305" i="8"/>
  <c r="H305" i="8"/>
  <c r="G305" i="8"/>
  <c r="F305" i="8"/>
  <c r="E305" i="8"/>
  <c r="D305" i="8"/>
  <c r="C305" i="8"/>
  <c r="B305" i="8"/>
  <c r="A305" i="8"/>
  <c r="W304" i="8"/>
  <c r="V304" i="8"/>
  <c r="U304" i="8"/>
  <c r="T304" i="8"/>
  <c r="S304" i="8"/>
  <c r="R304" i="8"/>
  <c r="Q304" i="8"/>
  <c r="P304" i="8"/>
  <c r="O304" i="8"/>
  <c r="N304" i="8"/>
  <c r="M304" i="8"/>
  <c r="L304" i="8"/>
  <c r="K304" i="8"/>
  <c r="J304" i="8"/>
  <c r="I304" i="8"/>
  <c r="H304" i="8"/>
  <c r="G304" i="8"/>
  <c r="F304" i="8"/>
  <c r="E304" i="8"/>
  <c r="D304" i="8"/>
  <c r="C304" i="8"/>
  <c r="B304" i="8"/>
  <c r="A304" i="8"/>
  <c r="W303" i="8"/>
  <c r="V303" i="8"/>
  <c r="U303" i="8"/>
  <c r="T303" i="8"/>
  <c r="S303" i="8"/>
  <c r="R303" i="8"/>
  <c r="Q303" i="8"/>
  <c r="P303" i="8"/>
  <c r="O303" i="8"/>
  <c r="N303" i="8"/>
  <c r="M303" i="8"/>
  <c r="L303" i="8"/>
  <c r="K303" i="8"/>
  <c r="J303" i="8"/>
  <c r="I303" i="8"/>
  <c r="H303" i="8"/>
  <c r="G303" i="8"/>
  <c r="F303" i="8"/>
  <c r="E303" i="8"/>
  <c r="D303" i="8"/>
  <c r="C303" i="8"/>
  <c r="B303" i="8"/>
  <c r="A303" i="8"/>
  <c r="W302" i="8"/>
  <c r="V302" i="8"/>
  <c r="U302" i="8"/>
  <c r="T302" i="8"/>
  <c r="S302" i="8"/>
  <c r="R302" i="8"/>
  <c r="Q302" i="8"/>
  <c r="P302" i="8"/>
  <c r="O302" i="8"/>
  <c r="N302" i="8"/>
  <c r="M302" i="8"/>
  <c r="L302" i="8"/>
  <c r="K302" i="8"/>
  <c r="J302" i="8"/>
  <c r="I302" i="8"/>
  <c r="H302" i="8"/>
  <c r="G302" i="8"/>
  <c r="F302" i="8"/>
  <c r="E302" i="8"/>
  <c r="D302" i="8"/>
  <c r="C302" i="8"/>
  <c r="B302" i="8"/>
  <c r="A302" i="8"/>
  <c r="W301" i="8"/>
  <c r="V301" i="8"/>
  <c r="U301" i="8"/>
  <c r="T301" i="8"/>
  <c r="S301" i="8"/>
  <c r="R301" i="8"/>
  <c r="Q301" i="8"/>
  <c r="P301" i="8"/>
  <c r="O301" i="8"/>
  <c r="N301" i="8"/>
  <c r="M301" i="8"/>
  <c r="L301" i="8"/>
  <c r="K301" i="8"/>
  <c r="J301" i="8"/>
  <c r="I301" i="8"/>
  <c r="H301" i="8"/>
  <c r="G301" i="8"/>
  <c r="F301" i="8"/>
  <c r="E301" i="8"/>
  <c r="D301" i="8"/>
  <c r="C301" i="8"/>
  <c r="B301" i="8"/>
  <c r="A301" i="8"/>
  <c r="W300" i="8"/>
  <c r="V300" i="8"/>
  <c r="U300" i="8"/>
  <c r="T300" i="8"/>
  <c r="S300" i="8"/>
  <c r="R300" i="8"/>
  <c r="Q300" i="8"/>
  <c r="P300" i="8"/>
  <c r="O300" i="8"/>
  <c r="N300" i="8"/>
  <c r="M300" i="8"/>
  <c r="L300" i="8"/>
  <c r="K300" i="8"/>
  <c r="J300" i="8"/>
  <c r="I300" i="8"/>
  <c r="H300" i="8"/>
  <c r="G300" i="8"/>
  <c r="F300" i="8"/>
  <c r="E300" i="8"/>
  <c r="D300" i="8"/>
  <c r="C300" i="8"/>
  <c r="B300" i="8"/>
  <c r="A300" i="8"/>
  <c r="W299" i="8"/>
  <c r="V299" i="8"/>
  <c r="U299" i="8"/>
  <c r="T299" i="8"/>
  <c r="S299" i="8"/>
  <c r="R299" i="8"/>
  <c r="Q299" i="8"/>
  <c r="P299" i="8"/>
  <c r="O299" i="8"/>
  <c r="N299" i="8"/>
  <c r="M299" i="8"/>
  <c r="L299" i="8"/>
  <c r="K299" i="8"/>
  <c r="J299" i="8"/>
  <c r="I299" i="8"/>
  <c r="H299" i="8"/>
  <c r="G299" i="8"/>
  <c r="F299" i="8"/>
  <c r="E299" i="8"/>
  <c r="D299" i="8"/>
  <c r="C299" i="8"/>
  <c r="B299" i="8"/>
  <c r="A299" i="8"/>
  <c r="W298" i="8"/>
  <c r="V298" i="8"/>
  <c r="U298" i="8"/>
  <c r="T298" i="8"/>
  <c r="S298" i="8"/>
  <c r="R298" i="8"/>
  <c r="Q298" i="8"/>
  <c r="P298" i="8"/>
  <c r="O298" i="8"/>
  <c r="N298" i="8"/>
  <c r="M298" i="8"/>
  <c r="L298" i="8"/>
  <c r="K298" i="8"/>
  <c r="J298" i="8"/>
  <c r="I298" i="8"/>
  <c r="H298" i="8"/>
  <c r="G298" i="8"/>
  <c r="F298" i="8"/>
  <c r="E298" i="8"/>
  <c r="D298" i="8"/>
  <c r="C298" i="8"/>
  <c r="B298" i="8"/>
  <c r="A298" i="8"/>
  <c r="W297" i="8"/>
  <c r="V297" i="8"/>
  <c r="U297" i="8"/>
  <c r="T297" i="8"/>
  <c r="S297" i="8"/>
  <c r="R297" i="8"/>
  <c r="Q297" i="8"/>
  <c r="P297" i="8"/>
  <c r="O297" i="8"/>
  <c r="N297" i="8"/>
  <c r="M297" i="8"/>
  <c r="L297" i="8"/>
  <c r="K297" i="8"/>
  <c r="J297" i="8"/>
  <c r="I297" i="8"/>
  <c r="H297" i="8"/>
  <c r="G297" i="8"/>
  <c r="F297" i="8"/>
  <c r="E297" i="8"/>
  <c r="D297" i="8"/>
  <c r="C297" i="8"/>
  <c r="B297" i="8"/>
  <c r="A297" i="8"/>
  <c r="W296" i="8"/>
  <c r="V296" i="8"/>
  <c r="U296" i="8"/>
  <c r="T296" i="8"/>
  <c r="S296" i="8"/>
  <c r="R296" i="8"/>
  <c r="Q296" i="8"/>
  <c r="P296" i="8"/>
  <c r="O296" i="8"/>
  <c r="N296" i="8"/>
  <c r="M296" i="8"/>
  <c r="L296" i="8"/>
  <c r="K296" i="8"/>
  <c r="J296" i="8"/>
  <c r="I296" i="8"/>
  <c r="H296" i="8"/>
  <c r="G296" i="8"/>
  <c r="F296" i="8"/>
  <c r="E296" i="8"/>
  <c r="D296" i="8"/>
  <c r="C296" i="8"/>
  <c r="B296" i="8"/>
  <c r="A296" i="8"/>
  <c r="W295" i="8"/>
  <c r="V295" i="8"/>
  <c r="U295" i="8"/>
  <c r="T295" i="8"/>
  <c r="S295" i="8"/>
  <c r="R295" i="8"/>
  <c r="Q295" i="8"/>
  <c r="P295" i="8"/>
  <c r="O295" i="8"/>
  <c r="N295" i="8"/>
  <c r="M295" i="8"/>
  <c r="L295" i="8"/>
  <c r="K295" i="8"/>
  <c r="J295" i="8"/>
  <c r="I295" i="8"/>
  <c r="H295" i="8"/>
  <c r="G295" i="8"/>
  <c r="F295" i="8"/>
  <c r="E295" i="8"/>
  <c r="D295" i="8"/>
  <c r="C295" i="8"/>
  <c r="B295" i="8"/>
  <c r="A295" i="8"/>
  <c r="W294" i="8"/>
  <c r="V294" i="8"/>
  <c r="U294" i="8"/>
  <c r="T294" i="8"/>
  <c r="S294" i="8"/>
  <c r="R294" i="8"/>
  <c r="Q294" i="8"/>
  <c r="P294" i="8"/>
  <c r="O294" i="8"/>
  <c r="N294" i="8"/>
  <c r="M294" i="8"/>
  <c r="L294" i="8"/>
  <c r="K294" i="8"/>
  <c r="J294" i="8"/>
  <c r="I294" i="8"/>
  <c r="H294" i="8"/>
  <c r="G294" i="8"/>
  <c r="F294" i="8"/>
  <c r="E294" i="8"/>
  <c r="D294" i="8"/>
  <c r="C294" i="8"/>
  <c r="B294" i="8"/>
  <c r="A294" i="8"/>
  <c r="W293" i="8"/>
  <c r="V293" i="8"/>
  <c r="U293" i="8"/>
  <c r="T293" i="8"/>
  <c r="S293" i="8"/>
  <c r="R293" i="8"/>
  <c r="Q293" i="8"/>
  <c r="P293" i="8"/>
  <c r="O293" i="8"/>
  <c r="N293" i="8"/>
  <c r="M293" i="8"/>
  <c r="L293" i="8"/>
  <c r="K293" i="8"/>
  <c r="J293" i="8"/>
  <c r="I293" i="8"/>
  <c r="H293" i="8"/>
  <c r="G293" i="8"/>
  <c r="F293" i="8"/>
  <c r="E293" i="8"/>
  <c r="D293" i="8"/>
  <c r="C293" i="8"/>
  <c r="B293" i="8"/>
  <c r="A293" i="8"/>
  <c r="W292" i="8"/>
  <c r="V292" i="8"/>
  <c r="U292" i="8"/>
  <c r="T292" i="8"/>
  <c r="S292" i="8"/>
  <c r="R292" i="8"/>
  <c r="Q292" i="8"/>
  <c r="P292" i="8"/>
  <c r="O292" i="8"/>
  <c r="N292" i="8"/>
  <c r="M292" i="8"/>
  <c r="L292" i="8"/>
  <c r="K292" i="8"/>
  <c r="J292" i="8"/>
  <c r="I292" i="8"/>
  <c r="H292" i="8"/>
  <c r="G292" i="8"/>
  <c r="F292" i="8"/>
  <c r="E292" i="8"/>
  <c r="D292" i="8"/>
  <c r="C292" i="8"/>
  <c r="B292" i="8"/>
  <c r="A292" i="8"/>
  <c r="W291" i="8"/>
  <c r="V291" i="8"/>
  <c r="U291" i="8"/>
  <c r="T291" i="8"/>
  <c r="S291" i="8"/>
  <c r="R291" i="8"/>
  <c r="Q291" i="8"/>
  <c r="P291" i="8"/>
  <c r="O291" i="8"/>
  <c r="N291" i="8"/>
  <c r="M291" i="8"/>
  <c r="L291" i="8"/>
  <c r="K291" i="8"/>
  <c r="J291" i="8"/>
  <c r="I291" i="8"/>
  <c r="H291" i="8"/>
  <c r="G291" i="8"/>
  <c r="F291" i="8"/>
  <c r="E291" i="8"/>
  <c r="D291" i="8"/>
  <c r="C291" i="8"/>
  <c r="B291" i="8"/>
  <c r="A291" i="8"/>
  <c r="W290" i="8"/>
  <c r="V290" i="8"/>
  <c r="U290" i="8"/>
  <c r="T290" i="8"/>
  <c r="S290" i="8"/>
  <c r="R290" i="8"/>
  <c r="Q290" i="8"/>
  <c r="P290" i="8"/>
  <c r="O290" i="8"/>
  <c r="N290" i="8"/>
  <c r="M290" i="8"/>
  <c r="L290" i="8"/>
  <c r="K290" i="8"/>
  <c r="J290" i="8"/>
  <c r="I290" i="8"/>
  <c r="H290" i="8"/>
  <c r="G290" i="8"/>
  <c r="F290" i="8"/>
  <c r="E290" i="8"/>
  <c r="D290" i="8"/>
  <c r="C290" i="8"/>
  <c r="B290" i="8"/>
  <c r="A290" i="8"/>
  <c r="W289" i="8"/>
  <c r="V289" i="8"/>
  <c r="U289" i="8"/>
  <c r="T289" i="8"/>
  <c r="S289" i="8"/>
  <c r="R289" i="8"/>
  <c r="Q289" i="8"/>
  <c r="P289" i="8"/>
  <c r="O289" i="8"/>
  <c r="N289" i="8"/>
  <c r="M289" i="8"/>
  <c r="L289" i="8"/>
  <c r="K289" i="8"/>
  <c r="J289" i="8"/>
  <c r="I289" i="8"/>
  <c r="H289" i="8"/>
  <c r="G289" i="8"/>
  <c r="F289" i="8"/>
  <c r="E289" i="8"/>
  <c r="D289" i="8"/>
  <c r="C289" i="8"/>
  <c r="B289" i="8"/>
  <c r="A289" i="8"/>
  <c r="W288" i="8"/>
  <c r="V288" i="8"/>
  <c r="U288" i="8"/>
  <c r="T288" i="8"/>
  <c r="S288" i="8"/>
  <c r="R288" i="8"/>
  <c r="Q288" i="8"/>
  <c r="P288" i="8"/>
  <c r="O288" i="8"/>
  <c r="N288" i="8"/>
  <c r="M288" i="8"/>
  <c r="L288" i="8"/>
  <c r="K288" i="8"/>
  <c r="J288" i="8"/>
  <c r="I288" i="8"/>
  <c r="H288" i="8"/>
  <c r="G288" i="8"/>
  <c r="F288" i="8"/>
  <c r="E288" i="8"/>
  <c r="D288" i="8"/>
  <c r="C288" i="8"/>
  <c r="B288" i="8"/>
  <c r="A288" i="8"/>
  <c r="W287" i="8"/>
  <c r="V287" i="8"/>
  <c r="U287" i="8"/>
  <c r="T287" i="8"/>
  <c r="S287" i="8"/>
  <c r="R287" i="8"/>
  <c r="Q287" i="8"/>
  <c r="P287" i="8"/>
  <c r="O287" i="8"/>
  <c r="N287" i="8"/>
  <c r="M287" i="8"/>
  <c r="L287" i="8"/>
  <c r="K287" i="8"/>
  <c r="J287" i="8"/>
  <c r="I287" i="8"/>
  <c r="H287" i="8"/>
  <c r="G287" i="8"/>
  <c r="F287" i="8"/>
  <c r="E287" i="8"/>
  <c r="D287" i="8"/>
  <c r="C287" i="8"/>
  <c r="B287" i="8"/>
  <c r="A287" i="8"/>
  <c r="W286" i="8"/>
  <c r="V286" i="8"/>
  <c r="U286" i="8"/>
  <c r="T286" i="8"/>
  <c r="S286" i="8"/>
  <c r="R286" i="8"/>
  <c r="Q286" i="8"/>
  <c r="P286" i="8"/>
  <c r="O286" i="8"/>
  <c r="N286" i="8"/>
  <c r="M286" i="8"/>
  <c r="L286" i="8"/>
  <c r="K286" i="8"/>
  <c r="J286" i="8"/>
  <c r="I286" i="8"/>
  <c r="H286" i="8"/>
  <c r="G286" i="8"/>
  <c r="F286" i="8"/>
  <c r="E286" i="8"/>
  <c r="D286" i="8"/>
  <c r="C286" i="8"/>
  <c r="B286" i="8"/>
  <c r="A286" i="8"/>
  <c r="W285" i="8"/>
  <c r="V285" i="8"/>
  <c r="U285" i="8"/>
  <c r="T285" i="8"/>
  <c r="S285" i="8"/>
  <c r="R285" i="8"/>
  <c r="Q285" i="8"/>
  <c r="P285" i="8"/>
  <c r="O285" i="8"/>
  <c r="N285" i="8"/>
  <c r="M285" i="8"/>
  <c r="L285" i="8"/>
  <c r="K285" i="8"/>
  <c r="J285" i="8"/>
  <c r="I285" i="8"/>
  <c r="H285" i="8"/>
  <c r="G285" i="8"/>
  <c r="F285" i="8"/>
  <c r="E285" i="8"/>
  <c r="D285" i="8"/>
  <c r="C285" i="8"/>
  <c r="B285" i="8"/>
  <c r="A285" i="8"/>
  <c r="W284" i="8"/>
  <c r="V284" i="8"/>
  <c r="U284" i="8"/>
  <c r="T284" i="8"/>
  <c r="S284" i="8"/>
  <c r="R284" i="8"/>
  <c r="Q284" i="8"/>
  <c r="P284" i="8"/>
  <c r="O284" i="8"/>
  <c r="N284" i="8"/>
  <c r="M284" i="8"/>
  <c r="L284" i="8"/>
  <c r="K284" i="8"/>
  <c r="J284" i="8"/>
  <c r="I284" i="8"/>
  <c r="H284" i="8"/>
  <c r="G284" i="8"/>
  <c r="F284" i="8"/>
  <c r="E284" i="8"/>
  <c r="D284" i="8"/>
  <c r="C284" i="8"/>
  <c r="B284" i="8"/>
  <c r="A284" i="8"/>
  <c r="W283" i="8"/>
  <c r="V283" i="8"/>
  <c r="U283" i="8"/>
  <c r="T283" i="8"/>
  <c r="S283" i="8"/>
  <c r="R283" i="8"/>
  <c r="Q283" i="8"/>
  <c r="P283" i="8"/>
  <c r="O283" i="8"/>
  <c r="N283" i="8"/>
  <c r="M283" i="8"/>
  <c r="L283" i="8"/>
  <c r="K283" i="8"/>
  <c r="J283" i="8"/>
  <c r="I283" i="8"/>
  <c r="H283" i="8"/>
  <c r="G283" i="8"/>
  <c r="F283" i="8"/>
  <c r="E283" i="8"/>
  <c r="D283" i="8"/>
  <c r="C283" i="8"/>
  <c r="B283" i="8"/>
  <c r="A283" i="8"/>
  <c r="W282" i="8"/>
  <c r="V282" i="8"/>
  <c r="U282" i="8"/>
  <c r="T282" i="8"/>
  <c r="S282" i="8"/>
  <c r="R282" i="8"/>
  <c r="Q282" i="8"/>
  <c r="P282" i="8"/>
  <c r="O282" i="8"/>
  <c r="N282" i="8"/>
  <c r="M282" i="8"/>
  <c r="L282" i="8"/>
  <c r="K282" i="8"/>
  <c r="J282" i="8"/>
  <c r="I282" i="8"/>
  <c r="H282" i="8"/>
  <c r="G282" i="8"/>
  <c r="F282" i="8"/>
  <c r="E282" i="8"/>
  <c r="D282" i="8"/>
  <c r="C282" i="8"/>
  <c r="B282" i="8"/>
  <c r="A282" i="8"/>
  <c r="W281" i="8"/>
  <c r="V281" i="8"/>
  <c r="U281" i="8"/>
  <c r="T281" i="8"/>
  <c r="S281" i="8"/>
  <c r="R281" i="8"/>
  <c r="Q281" i="8"/>
  <c r="P281" i="8"/>
  <c r="O281" i="8"/>
  <c r="N281" i="8"/>
  <c r="M281" i="8"/>
  <c r="L281" i="8"/>
  <c r="K281" i="8"/>
  <c r="J281" i="8"/>
  <c r="I281" i="8"/>
  <c r="H281" i="8"/>
  <c r="G281" i="8"/>
  <c r="F281" i="8"/>
  <c r="E281" i="8"/>
  <c r="D281" i="8"/>
  <c r="C281" i="8"/>
  <c r="B281" i="8"/>
  <c r="A281" i="8"/>
  <c r="W280" i="8"/>
  <c r="V280" i="8"/>
  <c r="U280" i="8"/>
  <c r="T280" i="8"/>
  <c r="S280" i="8"/>
  <c r="R280" i="8"/>
  <c r="Q280" i="8"/>
  <c r="P280" i="8"/>
  <c r="O280" i="8"/>
  <c r="N280" i="8"/>
  <c r="M280" i="8"/>
  <c r="L280" i="8"/>
  <c r="K280" i="8"/>
  <c r="J280" i="8"/>
  <c r="I280" i="8"/>
  <c r="H280" i="8"/>
  <c r="G280" i="8"/>
  <c r="F280" i="8"/>
  <c r="E280" i="8"/>
  <c r="D280" i="8"/>
  <c r="C280" i="8"/>
  <c r="B280" i="8"/>
  <c r="A280" i="8"/>
  <c r="W279" i="8"/>
  <c r="V279" i="8"/>
  <c r="U279" i="8"/>
  <c r="T279" i="8"/>
  <c r="S279" i="8"/>
  <c r="R279" i="8"/>
  <c r="Q279" i="8"/>
  <c r="P279" i="8"/>
  <c r="O279" i="8"/>
  <c r="N279" i="8"/>
  <c r="M279" i="8"/>
  <c r="L279" i="8"/>
  <c r="K279" i="8"/>
  <c r="J279" i="8"/>
  <c r="I279" i="8"/>
  <c r="H279" i="8"/>
  <c r="G279" i="8"/>
  <c r="F279" i="8"/>
  <c r="E279" i="8"/>
  <c r="D279" i="8"/>
  <c r="C279" i="8"/>
  <c r="B279" i="8"/>
  <c r="A279" i="8"/>
  <c r="W278" i="8"/>
  <c r="V278" i="8"/>
  <c r="U278" i="8"/>
  <c r="T278" i="8"/>
  <c r="S278" i="8"/>
  <c r="R278" i="8"/>
  <c r="Q278" i="8"/>
  <c r="P278" i="8"/>
  <c r="O278" i="8"/>
  <c r="N278" i="8"/>
  <c r="M278" i="8"/>
  <c r="L278" i="8"/>
  <c r="K278" i="8"/>
  <c r="J278" i="8"/>
  <c r="I278" i="8"/>
  <c r="H278" i="8"/>
  <c r="G278" i="8"/>
  <c r="F278" i="8"/>
  <c r="E278" i="8"/>
  <c r="D278" i="8"/>
  <c r="C278" i="8"/>
  <c r="B278" i="8"/>
  <c r="A278" i="8"/>
  <c r="W277" i="8"/>
  <c r="V277" i="8"/>
  <c r="U277" i="8"/>
  <c r="T277" i="8"/>
  <c r="S277" i="8"/>
  <c r="R277" i="8"/>
  <c r="Q277" i="8"/>
  <c r="P277" i="8"/>
  <c r="O277" i="8"/>
  <c r="N277" i="8"/>
  <c r="M277" i="8"/>
  <c r="L277" i="8"/>
  <c r="K277" i="8"/>
  <c r="J277" i="8"/>
  <c r="I277" i="8"/>
  <c r="H277" i="8"/>
  <c r="G277" i="8"/>
  <c r="F277" i="8"/>
  <c r="E277" i="8"/>
  <c r="D277" i="8"/>
  <c r="C277" i="8"/>
  <c r="B277" i="8"/>
  <c r="A277" i="8"/>
  <c r="W276" i="8"/>
  <c r="V276" i="8"/>
  <c r="U276" i="8"/>
  <c r="T276" i="8"/>
  <c r="S276" i="8"/>
  <c r="R276" i="8"/>
  <c r="Q276" i="8"/>
  <c r="P276" i="8"/>
  <c r="O276" i="8"/>
  <c r="N276" i="8"/>
  <c r="M276" i="8"/>
  <c r="L276" i="8"/>
  <c r="K276" i="8"/>
  <c r="J276" i="8"/>
  <c r="I276" i="8"/>
  <c r="H276" i="8"/>
  <c r="G276" i="8"/>
  <c r="F276" i="8"/>
  <c r="E276" i="8"/>
  <c r="D276" i="8"/>
  <c r="C276" i="8"/>
  <c r="B276" i="8"/>
  <c r="A276" i="8"/>
  <c r="W275" i="8"/>
  <c r="V275" i="8"/>
  <c r="U275" i="8"/>
  <c r="T275" i="8"/>
  <c r="S275" i="8"/>
  <c r="R275" i="8"/>
  <c r="Q275" i="8"/>
  <c r="P275" i="8"/>
  <c r="O275" i="8"/>
  <c r="N275" i="8"/>
  <c r="M275" i="8"/>
  <c r="L275" i="8"/>
  <c r="K275" i="8"/>
  <c r="J275" i="8"/>
  <c r="I275" i="8"/>
  <c r="H275" i="8"/>
  <c r="G275" i="8"/>
  <c r="F275" i="8"/>
  <c r="E275" i="8"/>
  <c r="D275" i="8"/>
  <c r="C275" i="8"/>
  <c r="B275" i="8"/>
  <c r="A275" i="8"/>
  <c r="W274" i="8"/>
  <c r="V274" i="8"/>
  <c r="U274" i="8"/>
  <c r="T274" i="8"/>
  <c r="S274" i="8"/>
  <c r="R274" i="8"/>
  <c r="Q274" i="8"/>
  <c r="P274" i="8"/>
  <c r="O274" i="8"/>
  <c r="N274" i="8"/>
  <c r="M274" i="8"/>
  <c r="L274" i="8"/>
  <c r="K274" i="8"/>
  <c r="J274" i="8"/>
  <c r="I274" i="8"/>
  <c r="H274" i="8"/>
  <c r="G274" i="8"/>
  <c r="F274" i="8"/>
  <c r="E274" i="8"/>
  <c r="D274" i="8"/>
  <c r="C274" i="8"/>
  <c r="B274" i="8"/>
  <c r="A274" i="8"/>
  <c r="W273" i="8"/>
  <c r="V273" i="8"/>
  <c r="U273" i="8"/>
  <c r="T273" i="8"/>
  <c r="S273" i="8"/>
  <c r="R273" i="8"/>
  <c r="Q273" i="8"/>
  <c r="P273" i="8"/>
  <c r="O273" i="8"/>
  <c r="N273" i="8"/>
  <c r="M273" i="8"/>
  <c r="L273" i="8"/>
  <c r="K273" i="8"/>
  <c r="J273" i="8"/>
  <c r="I273" i="8"/>
  <c r="H273" i="8"/>
  <c r="G273" i="8"/>
  <c r="F273" i="8"/>
  <c r="E273" i="8"/>
  <c r="D273" i="8"/>
  <c r="C273" i="8"/>
  <c r="B273" i="8"/>
  <c r="A273" i="8"/>
  <c r="W272" i="8"/>
  <c r="V272" i="8"/>
  <c r="U272" i="8"/>
  <c r="T272" i="8"/>
  <c r="S272" i="8"/>
  <c r="R272" i="8"/>
  <c r="Q272" i="8"/>
  <c r="P272" i="8"/>
  <c r="O272" i="8"/>
  <c r="N272" i="8"/>
  <c r="M272" i="8"/>
  <c r="L272" i="8"/>
  <c r="K272" i="8"/>
  <c r="J272" i="8"/>
  <c r="I272" i="8"/>
  <c r="H272" i="8"/>
  <c r="G272" i="8"/>
  <c r="F272" i="8"/>
  <c r="E272" i="8"/>
  <c r="D272" i="8"/>
  <c r="C272" i="8"/>
  <c r="B272" i="8"/>
  <c r="A272" i="8"/>
  <c r="W271" i="8"/>
  <c r="V271" i="8"/>
  <c r="U271" i="8"/>
  <c r="T271" i="8"/>
  <c r="S271" i="8"/>
  <c r="R271" i="8"/>
  <c r="Q271" i="8"/>
  <c r="P271" i="8"/>
  <c r="O271" i="8"/>
  <c r="N271" i="8"/>
  <c r="M271" i="8"/>
  <c r="L271" i="8"/>
  <c r="K271" i="8"/>
  <c r="J271" i="8"/>
  <c r="I271" i="8"/>
  <c r="H271" i="8"/>
  <c r="G271" i="8"/>
  <c r="F271" i="8"/>
  <c r="E271" i="8"/>
  <c r="D271" i="8"/>
  <c r="C271" i="8"/>
  <c r="B271" i="8"/>
  <c r="A271" i="8"/>
  <c r="W270" i="8"/>
  <c r="V270" i="8"/>
  <c r="U270" i="8"/>
  <c r="T270" i="8"/>
  <c r="S270" i="8"/>
  <c r="R270" i="8"/>
  <c r="Q270" i="8"/>
  <c r="P270" i="8"/>
  <c r="O270" i="8"/>
  <c r="N270" i="8"/>
  <c r="M270" i="8"/>
  <c r="L270" i="8"/>
  <c r="K270" i="8"/>
  <c r="J270" i="8"/>
  <c r="I270" i="8"/>
  <c r="H270" i="8"/>
  <c r="G270" i="8"/>
  <c r="F270" i="8"/>
  <c r="E270" i="8"/>
  <c r="D270" i="8"/>
  <c r="C270" i="8"/>
  <c r="B270" i="8"/>
  <c r="A270" i="8"/>
  <c r="W269" i="8"/>
  <c r="V269" i="8"/>
  <c r="U269" i="8"/>
  <c r="T269" i="8"/>
  <c r="S269" i="8"/>
  <c r="R269" i="8"/>
  <c r="Q269" i="8"/>
  <c r="P269" i="8"/>
  <c r="O269" i="8"/>
  <c r="N269" i="8"/>
  <c r="M269" i="8"/>
  <c r="L269" i="8"/>
  <c r="K269" i="8"/>
  <c r="J269" i="8"/>
  <c r="I269" i="8"/>
  <c r="H269" i="8"/>
  <c r="G269" i="8"/>
  <c r="F269" i="8"/>
  <c r="E269" i="8"/>
  <c r="D269" i="8"/>
  <c r="C269" i="8"/>
  <c r="B269" i="8"/>
  <c r="A269" i="8"/>
  <c r="W268" i="8"/>
  <c r="V268" i="8"/>
  <c r="U268" i="8"/>
  <c r="T268" i="8"/>
  <c r="S268" i="8"/>
  <c r="R268" i="8"/>
  <c r="Q268" i="8"/>
  <c r="P268" i="8"/>
  <c r="O268" i="8"/>
  <c r="N268" i="8"/>
  <c r="M268" i="8"/>
  <c r="L268" i="8"/>
  <c r="K268" i="8"/>
  <c r="J268" i="8"/>
  <c r="I268" i="8"/>
  <c r="H268" i="8"/>
  <c r="G268" i="8"/>
  <c r="F268" i="8"/>
  <c r="E268" i="8"/>
  <c r="D268" i="8"/>
  <c r="C268" i="8"/>
  <c r="B268" i="8"/>
  <c r="A268" i="8"/>
  <c r="W267" i="8"/>
  <c r="V267" i="8"/>
  <c r="U267" i="8"/>
  <c r="T267" i="8"/>
  <c r="S267" i="8"/>
  <c r="R267" i="8"/>
  <c r="Q267" i="8"/>
  <c r="P267" i="8"/>
  <c r="O267" i="8"/>
  <c r="N267" i="8"/>
  <c r="M267" i="8"/>
  <c r="L267" i="8"/>
  <c r="K267" i="8"/>
  <c r="J267" i="8"/>
  <c r="I267" i="8"/>
  <c r="H267" i="8"/>
  <c r="G267" i="8"/>
  <c r="F267" i="8"/>
  <c r="E267" i="8"/>
  <c r="D267" i="8"/>
  <c r="C267" i="8"/>
  <c r="B267" i="8"/>
  <c r="A267" i="8"/>
  <c r="W266" i="8"/>
  <c r="V266" i="8"/>
  <c r="U266" i="8"/>
  <c r="T266" i="8"/>
  <c r="S266" i="8"/>
  <c r="R266" i="8"/>
  <c r="Q266" i="8"/>
  <c r="P266" i="8"/>
  <c r="O266" i="8"/>
  <c r="N266" i="8"/>
  <c r="M266" i="8"/>
  <c r="L266" i="8"/>
  <c r="K266" i="8"/>
  <c r="J266" i="8"/>
  <c r="I266" i="8"/>
  <c r="H266" i="8"/>
  <c r="G266" i="8"/>
  <c r="F266" i="8"/>
  <c r="E266" i="8"/>
  <c r="D266" i="8"/>
  <c r="C266" i="8"/>
  <c r="B266" i="8"/>
  <c r="A266" i="8"/>
  <c r="W265" i="8"/>
  <c r="V265" i="8"/>
  <c r="U265" i="8"/>
  <c r="T265" i="8"/>
  <c r="S265" i="8"/>
  <c r="R265" i="8"/>
  <c r="Q265" i="8"/>
  <c r="P265" i="8"/>
  <c r="O265" i="8"/>
  <c r="N265" i="8"/>
  <c r="M265" i="8"/>
  <c r="L265" i="8"/>
  <c r="K265" i="8"/>
  <c r="J265" i="8"/>
  <c r="I265" i="8"/>
  <c r="H265" i="8"/>
  <c r="G265" i="8"/>
  <c r="F265" i="8"/>
  <c r="E265" i="8"/>
  <c r="D265" i="8"/>
  <c r="C265" i="8"/>
  <c r="B265" i="8"/>
  <c r="A265" i="8"/>
  <c r="W264" i="8"/>
  <c r="V264" i="8"/>
  <c r="U264" i="8"/>
  <c r="T264" i="8"/>
  <c r="S264" i="8"/>
  <c r="R264" i="8"/>
  <c r="Q264" i="8"/>
  <c r="P264" i="8"/>
  <c r="O264" i="8"/>
  <c r="N264" i="8"/>
  <c r="M264" i="8"/>
  <c r="L264" i="8"/>
  <c r="K264" i="8"/>
  <c r="J264" i="8"/>
  <c r="I264" i="8"/>
  <c r="H264" i="8"/>
  <c r="G264" i="8"/>
  <c r="F264" i="8"/>
  <c r="E264" i="8"/>
  <c r="D264" i="8"/>
  <c r="C264" i="8"/>
  <c r="B264" i="8"/>
  <c r="A264" i="8"/>
  <c r="W263" i="8"/>
  <c r="V263" i="8"/>
  <c r="U263" i="8"/>
  <c r="T263" i="8"/>
  <c r="S263" i="8"/>
  <c r="R263" i="8"/>
  <c r="Q263" i="8"/>
  <c r="P263" i="8"/>
  <c r="O263" i="8"/>
  <c r="N263" i="8"/>
  <c r="M263" i="8"/>
  <c r="L263" i="8"/>
  <c r="K263" i="8"/>
  <c r="J263" i="8"/>
  <c r="I263" i="8"/>
  <c r="H263" i="8"/>
  <c r="G263" i="8"/>
  <c r="F263" i="8"/>
  <c r="E263" i="8"/>
  <c r="D263" i="8"/>
  <c r="C263" i="8"/>
  <c r="B263" i="8"/>
  <c r="A263" i="8"/>
  <c r="W262" i="8"/>
  <c r="V262" i="8"/>
  <c r="U262" i="8"/>
  <c r="T262" i="8"/>
  <c r="S262" i="8"/>
  <c r="R262" i="8"/>
  <c r="Q262" i="8"/>
  <c r="P262" i="8"/>
  <c r="O262" i="8"/>
  <c r="N262" i="8"/>
  <c r="M262" i="8"/>
  <c r="L262" i="8"/>
  <c r="K262" i="8"/>
  <c r="J262" i="8"/>
  <c r="I262" i="8"/>
  <c r="H262" i="8"/>
  <c r="G262" i="8"/>
  <c r="F262" i="8"/>
  <c r="E262" i="8"/>
  <c r="D262" i="8"/>
  <c r="C262" i="8"/>
  <c r="B262" i="8"/>
  <c r="A262" i="8"/>
  <c r="W261" i="8"/>
  <c r="V261" i="8"/>
  <c r="U261" i="8"/>
  <c r="T261" i="8"/>
  <c r="S261" i="8"/>
  <c r="R261" i="8"/>
  <c r="Q261" i="8"/>
  <c r="P261" i="8"/>
  <c r="O261" i="8"/>
  <c r="N261" i="8"/>
  <c r="M261" i="8"/>
  <c r="L261" i="8"/>
  <c r="K261" i="8"/>
  <c r="J261" i="8"/>
  <c r="I261" i="8"/>
  <c r="H261" i="8"/>
  <c r="G261" i="8"/>
  <c r="F261" i="8"/>
  <c r="E261" i="8"/>
  <c r="D261" i="8"/>
  <c r="C261" i="8"/>
  <c r="B261" i="8"/>
  <c r="A261" i="8"/>
  <c r="W260" i="8"/>
  <c r="V260" i="8"/>
  <c r="U260" i="8"/>
  <c r="T260" i="8"/>
  <c r="S260" i="8"/>
  <c r="R260" i="8"/>
  <c r="Q260" i="8"/>
  <c r="P260" i="8"/>
  <c r="O260" i="8"/>
  <c r="N260" i="8"/>
  <c r="M260" i="8"/>
  <c r="L260" i="8"/>
  <c r="K260" i="8"/>
  <c r="J260" i="8"/>
  <c r="I260" i="8"/>
  <c r="H260" i="8"/>
  <c r="G260" i="8"/>
  <c r="F260" i="8"/>
  <c r="E260" i="8"/>
  <c r="D260" i="8"/>
  <c r="C260" i="8"/>
  <c r="B260" i="8"/>
  <c r="A260" i="8"/>
  <c r="W259" i="8"/>
  <c r="V259" i="8"/>
  <c r="U259" i="8"/>
  <c r="T259" i="8"/>
  <c r="S259" i="8"/>
  <c r="R259" i="8"/>
  <c r="Q259" i="8"/>
  <c r="P259" i="8"/>
  <c r="O259" i="8"/>
  <c r="N259" i="8"/>
  <c r="M259" i="8"/>
  <c r="L259" i="8"/>
  <c r="K259" i="8"/>
  <c r="J259" i="8"/>
  <c r="I259" i="8"/>
  <c r="H259" i="8"/>
  <c r="G259" i="8"/>
  <c r="F259" i="8"/>
  <c r="E259" i="8"/>
  <c r="D259" i="8"/>
  <c r="C259" i="8"/>
  <c r="B259" i="8"/>
  <c r="A259" i="8"/>
  <c r="W258" i="8"/>
  <c r="V258" i="8"/>
  <c r="U258" i="8"/>
  <c r="T258" i="8"/>
  <c r="S258" i="8"/>
  <c r="R258" i="8"/>
  <c r="Q258" i="8"/>
  <c r="P258" i="8"/>
  <c r="O258" i="8"/>
  <c r="N258" i="8"/>
  <c r="M258" i="8"/>
  <c r="L258" i="8"/>
  <c r="K258" i="8"/>
  <c r="J258" i="8"/>
  <c r="I258" i="8"/>
  <c r="H258" i="8"/>
  <c r="G258" i="8"/>
  <c r="F258" i="8"/>
  <c r="E258" i="8"/>
  <c r="D258" i="8"/>
  <c r="C258" i="8"/>
  <c r="B258" i="8"/>
  <c r="A258" i="8"/>
  <c r="W257" i="8"/>
  <c r="V257" i="8"/>
  <c r="U257" i="8"/>
  <c r="T257" i="8"/>
  <c r="S257" i="8"/>
  <c r="R257" i="8"/>
  <c r="Q257" i="8"/>
  <c r="P257" i="8"/>
  <c r="O257" i="8"/>
  <c r="N257" i="8"/>
  <c r="M257" i="8"/>
  <c r="L257" i="8"/>
  <c r="K257" i="8"/>
  <c r="J257" i="8"/>
  <c r="I257" i="8"/>
  <c r="H257" i="8"/>
  <c r="G257" i="8"/>
  <c r="F257" i="8"/>
  <c r="E257" i="8"/>
  <c r="D257" i="8"/>
  <c r="C257" i="8"/>
  <c r="B257" i="8"/>
  <c r="A257" i="8"/>
  <c r="W256" i="8"/>
  <c r="V256" i="8"/>
  <c r="U256" i="8"/>
  <c r="T256" i="8"/>
  <c r="S256" i="8"/>
  <c r="R256" i="8"/>
  <c r="Q256" i="8"/>
  <c r="P256" i="8"/>
  <c r="O256" i="8"/>
  <c r="N256" i="8"/>
  <c r="M256" i="8"/>
  <c r="L256" i="8"/>
  <c r="K256" i="8"/>
  <c r="J256" i="8"/>
  <c r="I256" i="8"/>
  <c r="H256" i="8"/>
  <c r="G256" i="8"/>
  <c r="F256" i="8"/>
  <c r="E256" i="8"/>
  <c r="D256" i="8"/>
  <c r="C256" i="8"/>
  <c r="B256" i="8"/>
  <c r="A256" i="8"/>
  <c r="W255" i="8"/>
  <c r="V255" i="8"/>
  <c r="U255" i="8"/>
  <c r="T255" i="8"/>
  <c r="S255" i="8"/>
  <c r="R255" i="8"/>
  <c r="Q255" i="8"/>
  <c r="P255" i="8"/>
  <c r="O255" i="8"/>
  <c r="N255" i="8"/>
  <c r="M255" i="8"/>
  <c r="L255" i="8"/>
  <c r="K255" i="8"/>
  <c r="J255" i="8"/>
  <c r="I255" i="8"/>
  <c r="H255" i="8"/>
  <c r="G255" i="8"/>
  <c r="F255" i="8"/>
  <c r="E255" i="8"/>
  <c r="D255" i="8"/>
  <c r="C255" i="8"/>
  <c r="B255" i="8"/>
  <c r="A255" i="8"/>
  <c r="W254" i="8"/>
  <c r="V254" i="8"/>
  <c r="U254" i="8"/>
  <c r="T254" i="8"/>
  <c r="S254" i="8"/>
  <c r="R254" i="8"/>
  <c r="Q254" i="8"/>
  <c r="P254" i="8"/>
  <c r="O254" i="8"/>
  <c r="N254" i="8"/>
  <c r="M254" i="8"/>
  <c r="L254" i="8"/>
  <c r="K254" i="8"/>
  <c r="J254" i="8"/>
  <c r="I254" i="8"/>
  <c r="H254" i="8"/>
  <c r="G254" i="8"/>
  <c r="F254" i="8"/>
  <c r="E254" i="8"/>
  <c r="D254" i="8"/>
  <c r="C254" i="8"/>
  <c r="B254" i="8"/>
  <c r="A254" i="8"/>
  <c r="W253" i="8"/>
  <c r="V253" i="8"/>
  <c r="U253" i="8"/>
  <c r="T253" i="8"/>
  <c r="S253" i="8"/>
  <c r="R253" i="8"/>
  <c r="Q253" i="8"/>
  <c r="P253" i="8"/>
  <c r="O253" i="8"/>
  <c r="N253" i="8"/>
  <c r="M253" i="8"/>
  <c r="L253" i="8"/>
  <c r="K253" i="8"/>
  <c r="J253" i="8"/>
  <c r="I253" i="8"/>
  <c r="H253" i="8"/>
  <c r="G253" i="8"/>
  <c r="F253" i="8"/>
  <c r="E253" i="8"/>
  <c r="D253" i="8"/>
  <c r="C253" i="8"/>
  <c r="B253" i="8"/>
  <c r="A253" i="8"/>
  <c r="W252" i="8"/>
  <c r="V252" i="8"/>
  <c r="U252" i="8"/>
  <c r="T252" i="8"/>
  <c r="S252" i="8"/>
  <c r="R252" i="8"/>
  <c r="Q252" i="8"/>
  <c r="P252" i="8"/>
  <c r="O252" i="8"/>
  <c r="N252" i="8"/>
  <c r="M252" i="8"/>
  <c r="L252" i="8"/>
  <c r="K252" i="8"/>
  <c r="J252" i="8"/>
  <c r="I252" i="8"/>
  <c r="H252" i="8"/>
  <c r="G252" i="8"/>
  <c r="F252" i="8"/>
  <c r="E252" i="8"/>
  <c r="D252" i="8"/>
  <c r="C252" i="8"/>
  <c r="B252" i="8"/>
  <c r="A252" i="8"/>
  <c r="W251" i="8"/>
  <c r="V251" i="8"/>
  <c r="U251" i="8"/>
  <c r="T251" i="8"/>
  <c r="S251" i="8"/>
  <c r="R251" i="8"/>
  <c r="Q251" i="8"/>
  <c r="P251" i="8"/>
  <c r="O251" i="8"/>
  <c r="N251" i="8"/>
  <c r="M251" i="8"/>
  <c r="L251" i="8"/>
  <c r="K251" i="8"/>
  <c r="J251" i="8"/>
  <c r="I251" i="8"/>
  <c r="H251" i="8"/>
  <c r="G251" i="8"/>
  <c r="F251" i="8"/>
  <c r="E251" i="8"/>
  <c r="D251" i="8"/>
  <c r="C251" i="8"/>
  <c r="B251" i="8"/>
  <c r="A251" i="8"/>
  <c r="W250" i="8"/>
  <c r="V250" i="8"/>
  <c r="U250" i="8"/>
  <c r="T250" i="8"/>
  <c r="S250" i="8"/>
  <c r="R250" i="8"/>
  <c r="Q250" i="8"/>
  <c r="P250" i="8"/>
  <c r="O250" i="8"/>
  <c r="N250" i="8"/>
  <c r="M250" i="8"/>
  <c r="L250" i="8"/>
  <c r="K250" i="8"/>
  <c r="J250" i="8"/>
  <c r="I250" i="8"/>
  <c r="H250" i="8"/>
  <c r="G250" i="8"/>
  <c r="F250" i="8"/>
  <c r="E250" i="8"/>
  <c r="D250" i="8"/>
  <c r="C250" i="8"/>
  <c r="B250" i="8"/>
  <c r="A250" i="8"/>
  <c r="W249" i="8"/>
  <c r="V249" i="8"/>
  <c r="U249" i="8"/>
  <c r="T249" i="8"/>
  <c r="S249" i="8"/>
  <c r="R249" i="8"/>
  <c r="Q249" i="8"/>
  <c r="P249" i="8"/>
  <c r="O249" i="8"/>
  <c r="N249" i="8"/>
  <c r="M249" i="8"/>
  <c r="L249" i="8"/>
  <c r="K249" i="8"/>
  <c r="J249" i="8"/>
  <c r="I249" i="8"/>
  <c r="H249" i="8"/>
  <c r="G249" i="8"/>
  <c r="F249" i="8"/>
  <c r="E249" i="8"/>
  <c r="D249" i="8"/>
  <c r="C249" i="8"/>
  <c r="B249" i="8"/>
  <c r="A249" i="8"/>
  <c r="W248" i="8"/>
  <c r="V248" i="8"/>
  <c r="U248" i="8"/>
  <c r="T248" i="8"/>
  <c r="S248" i="8"/>
  <c r="R248" i="8"/>
  <c r="Q248" i="8"/>
  <c r="P248" i="8"/>
  <c r="O248" i="8"/>
  <c r="N248" i="8"/>
  <c r="M248" i="8"/>
  <c r="L248" i="8"/>
  <c r="K248" i="8"/>
  <c r="J248" i="8"/>
  <c r="I248" i="8"/>
  <c r="H248" i="8"/>
  <c r="G248" i="8"/>
  <c r="F248" i="8"/>
  <c r="E248" i="8"/>
  <c r="D248" i="8"/>
  <c r="C248" i="8"/>
  <c r="B248" i="8"/>
  <c r="A248" i="8"/>
  <c r="W247" i="8"/>
  <c r="V247" i="8"/>
  <c r="U247" i="8"/>
  <c r="T247" i="8"/>
  <c r="S247" i="8"/>
  <c r="R247" i="8"/>
  <c r="Q247" i="8"/>
  <c r="P247" i="8"/>
  <c r="O247" i="8"/>
  <c r="N247" i="8"/>
  <c r="M247" i="8"/>
  <c r="L247" i="8"/>
  <c r="K247" i="8"/>
  <c r="J247" i="8"/>
  <c r="I247" i="8"/>
  <c r="H247" i="8"/>
  <c r="G247" i="8"/>
  <c r="F247" i="8"/>
  <c r="E247" i="8"/>
  <c r="D247" i="8"/>
  <c r="C247" i="8"/>
  <c r="B247" i="8"/>
  <c r="A247" i="8"/>
  <c r="W246" i="8"/>
  <c r="V246" i="8"/>
  <c r="U246" i="8"/>
  <c r="T246" i="8"/>
  <c r="S246" i="8"/>
  <c r="R246" i="8"/>
  <c r="Q246" i="8"/>
  <c r="P246" i="8"/>
  <c r="O246" i="8"/>
  <c r="N246" i="8"/>
  <c r="M246" i="8"/>
  <c r="L246" i="8"/>
  <c r="K246" i="8"/>
  <c r="J246" i="8"/>
  <c r="I246" i="8"/>
  <c r="H246" i="8"/>
  <c r="G246" i="8"/>
  <c r="F246" i="8"/>
  <c r="E246" i="8"/>
  <c r="D246" i="8"/>
  <c r="C246" i="8"/>
  <c r="B246" i="8"/>
  <c r="A246" i="8"/>
  <c r="W245" i="8"/>
  <c r="V245" i="8"/>
  <c r="U245" i="8"/>
  <c r="T245" i="8"/>
  <c r="S245" i="8"/>
  <c r="R245" i="8"/>
  <c r="Q245" i="8"/>
  <c r="P245" i="8"/>
  <c r="O245" i="8"/>
  <c r="N245" i="8"/>
  <c r="M245" i="8"/>
  <c r="L245" i="8"/>
  <c r="K245" i="8"/>
  <c r="J245" i="8"/>
  <c r="I245" i="8"/>
  <c r="H245" i="8"/>
  <c r="G245" i="8"/>
  <c r="F245" i="8"/>
  <c r="E245" i="8"/>
  <c r="D245" i="8"/>
  <c r="C245" i="8"/>
  <c r="B245" i="8"/>
  <c r="A245" i="8"/>
  <c r="W244" i="8"/>
  <c r="V244" i="8"/>
  <c r="U244" i="8"/>
  <c r="T244" i="8"/>
  <c r="S244" i="8"/>
  <c r="R244" i="8"/>
  <c r="Q244" i="8"/>
  <c r="P244" i="8"/>
  <c r="O244" i="8"/>
  <c r="N244" i="8"/>
  <c r="M244" i="8"/>
  <c r="L244" i="8"/>
  <c r="K244" i="8"/>
  <c r="J244" i="8"/>
  <c r="I244" i="8"/>
  <c r="H244" i="8"/>
  <c r="G244" i="8"/>
  <c r="F244" i="8"/>
  <c r="E244" i="8"/>
  <c r="D244" i="8"/>
  <c r="C244" i="8"/>
  <c r="B244" i="8"/>
  <c r="A244" i="8"/>
  <c r="W243" i="8"/>
  <c r="V243" i="8"/>
  <c r="U243" i="8"/>
  <c r="T243" i="8"/>
  <c r="S243" i="8"/>
  <c r="R243" i="8"/>
  <c r="Q243" i="8"/>
  <c r="P243" i="8"/>
  <c r="O243" i="8"/>
  <c r="N243" i="8"/>
  <c r="M243" i="8"/>
  <c r="L243" i="8"/>
  <c r="K243" i="8"/>
  <c r="J243" i="8"/>
  <c r="I243" i="8"/>
  <c r="H243" i="8"/>
  <c r="G243" i="8"/>
  <c r="F243" i="8"/>
  <c r="E243" i="8"/>
  <c r="D243" i="8"/>
  <c r="C243" i="8"/>
  <c r="B243" i="8"/>
  <c r="A243" i="8"/>
  <c r="W242" i="8"/>
  <c r="V242" i="8"/>
  <c r="U242" i="8"/>
  <c r="T242" i="8"/>
  <c r="S242" i="8"/>
  <c r="R242" i="8"/>
  <c r="Q242" i="8"/>
  <c r="P242" i="8"/>
  <c r="O242" i="8"/>
  <c r="N242" i="8"/>
  <c r="M242" i="8"/>
  <c r="L242" i="8"/>
  <c r="K242" i="8"/>
  <c r="J242" i="8"/>
  <c r="I242" i="8"/>
  <c r="H242" i="8"/>
  <c r="G242" i="8"/>
  <c r="F242" i="8"/>
  <c r="E242" i="8"/>
  <c r="D242" i="8"/>
  <c r="C242" i="8"/>
  <c r="B242" i="8"/>
  <c r="A242" i="8"/>
  <c r="W241" i="8"/>
  <c r="V241" i="8"/>
  <c r="U241" i="8"/>
  <c r="T241" i="8"/>
  <c r="S241" i="8"/>
  <c r="R241" i="8"/>
  <c r="Q241" i="8"/>
  <c r="P241" i="8"/>
  <c r="O241" i="8"/>
  <c r="N241" i="8"/>
  <c r="M241" i="8"/>
  <c r="L241" i="8"/>
  <c r="K241" i="8"/>
  <c r="J241" i="8"/>
  <c r="I241" i="8"/>
  <c r="H241" i="8"/>
  <c r="G241" i="8"/>
  <c r="F241" i="8"/>
  <c r="E241" i="8"/>
  <c r="D241" i="8"/>
  <c r="C241" i="8"/>
  <c r="B241" i="8"/>
  <c r="A241" i="8"/>
  <c r="W240" i="8"/>
  <c r="V240" i="8"/>
  <c r="U240" i="8"/>
  <c r="T240" i="8"/>
  <c r="S240" i="8"/>
  <c r="R240" i="8"/>
  <c r="Q240" i="8"/>
  <c r="P240" i="8"/>
  <c r="O240" i="8"/>
  <c r="N240" i="8"/>
  <c r="M240" i="8"/>
  <c r="L240" i="8"/>
  <c r="K240" i="8"/>
  <c r="J240" i="8"/>
  <c r="I240" i="8"/>
  <c r="H240" i="8"/>
  <c r="G240" i="8"/>
  <c r="F240" i="8"/>
  <c r="E240" i="8"/>
  <c r="D240" i="8"/>
  <c r="C240" i="8"/>
  <c r="B240" i="8"/>
  <c r="A240" i="8"/>
  <c r="W239" i="8"/>
  <c r="V239" i="8"/>
  <c r="U239" i="8"/>
  <c r="T239" i="8"/>
  <c r="S239" i="8"/>
  <c r="R239" i="8"/>
  <c r="Q239" i="8"/>
  <c r="P239" i="8"/>
  <c r="O239" i="8"/>
  <c r="N239" i="8"/>
  <c r="M239" i="8"/>
  <c r="L239" i="8"/>
  <c r="K239" i="8"/>
  <c r="J239" i="8"/>
  <c r="I239" i="8"/>
  <c r="H239" i="8"/>
  <c r="G239" i="8"/>
  <c r="F239" i="8"/>
  <c r="E239" i="8"/>
  <c r="D239" i="8"/>
  <c r="C239" i="8"/>
  <c r="B239" i="8"/>
  <c r="A239" i="8"/>
  <c r="W238" i="8"/>
  <c r="V238" i="8"/>
  <c r="U238" i="8"/>
  <c r="T238" i="8"/>
  <c r="S238" i="8"/>
  <c r="R238" i="8"/>
  <c r="Q238" i="8"/>
  <c r="P238" i="8"/>
  <c r="O238" i="8"/>
  <c r="N238" i="8"/>
  <c r="M238" i="8"/>
  <c r="L238" i="8"/>
  <c r="K238" i="8"/>
  <c r="J238" i="8"/>
  <c r="I238" i="8"/>
  <c r="H238" i="8"/>
  <c r="G238" i="8"/>
  <c r="F238" i="8"/>
  <c r="E238" i="8"/>
  <c r="D238" i="8"/>
  <c r="C238" i="8"/>
  <c r="B238" i="8"/>
  <c r="A238" i="8"/>
  <c r="W237" i="8"/>
  <c r="V237" i="8"/>
  <c r="U237" i="8"/>
  <c r="T237" i="8"/>
  <c r="S237" i="8"/>
  <c r="R237" i="8"/>
  <c r="Q237" i="8"/>
  <c r="P237" i="8"/>
  <c r="O237" i="8"/>
  <c r="N237" i="8"/>
  <c r="M237" i="8"/>
  <c r="L237" i="8"/>
  <c r="K237" i="8"/>
  <c r="J237" i="8"/>
  <c r="I237" i="8"/>
  <c r="H237" i="8"/>
  <c r="G237" i="8"/>
  <c r="F237" i="8"/>
  <c r="E237" i="8"/>
  <c r="D237" i="8"/>
  <c r="C237" i="8"/>
  <c r="B237" i="8"/>
  <c r="A237" i="8"/>
  <c r="W236" i="8"/>
  <c r="V236" i="8"/>
  <c r="U236" i="8"/>
  <c r="T236" i="8"/>
  <c r="S236" i="8"/>
  <c r="R236" i="8"/>
  <c r="Q236" i="8"/>
  <c r="P236" i="8"/>
  <c r="O236" i="8"/>
  <c r="N236" i="8"/>
  <c r="M236" i="8"/>
  <c r="L236" i="8"/>
  <c r="K236" i="8"/>
  <c r="J236" i="8"/>
  <c r="I236" i="8"/>
  <c r="H236" i="8"/>
  <c r="G236" i="8"/>
  <c r="F236" i="8"/>
  <c r="E236" i="8"/>
  <c r="D236" i="8"/>
  <c r="C236" i="8"/>
  <c r="B236" i="8"/>
  <c r="A236" i="8"/>
  <c r="W235" i="8"/>
  <c r="V235" i="8"/>
  <c r="U235" i="8"/>
  <c r="T235" i="8"/>
  <c r="S235" i="8"/>
  <c r="R235" i="8"/>
  <c r="Q235" i="8"/>
  <c r="P235" i="8"/>
  <c r="O235" i="8"/>
  <c r="N235" i="8"/>
  <c r="M235" i="8"/>
  <c r="L235" i="8"/>
  <c r="K235" i="8"/>
  <c r="J235" i="8"/>
  <c r="I235" i="8"/>
  <c r="H235" i="8"/>
  <c r="G235" i="8"/>
  <c r="F235" i="8"/>
  <c r="E235" i="8"/>
  <c r="D235" i="8"/>
  <c r="C235" i="8"/>
  <c r="B235" i="8"/>
  <c r="A235" i="8"/>
  <c r="W234" i="8"/>
  <c r="V234" i="8"/>
  <c r="U234" i="8"/>
  <c r="T234" i="8"/>
  <c r="S234" i="8"/>
  <c r="R234" i="8"/>
  <c r="Q234" i="8"/>
  <c r="P234" i="8"/>
  <c r="O234" i="8"/>
  <c r="N234" i="8"/>
  <c r="M234" i="8"/>
  <c r="L234" i="8"/>
  <c r="K234" i="8"/>
  <c r="J234" i="8"/>
  <c r="I234" i="8"/>
  <c r="H234" i="8"/>
  <c r="G234" i="8"/>
  <c r="F234" i="8"/>
  <c r="E234" i="8"/>
  <c r="D234" i="8"/>
  <c r="C234" i="8"/>
  <c r="B234" i="8"/>
  <c r="A234" i="8"/>
  <c r="W233" i="8"/>
  <c r="V233" i="8"/>
  <c r="U233" i="8"/>
  <c r="T233" i="8"/>
  <c r="S233" i="8"/>
  <c r="R233" i="8"/>
  <c r="Q233" i="8"/>
  <c r="P233" i="8"/>
  <c r="O233" i="8"/>
  <c r="N233" i="8"/>
  <c r="M233" i="8"/>
  <c r="L233" i="8"/>
  <c r="K233" i="8"/>
  <c r="J233" i="8"/>
  <c r="I233" i="8"/>
  <c r="H233" i="8"/>
  <c r="G233" i="8"/>
  <c r="F233" i="8"/>
  <c r="E233" i="8"/>
  <c r="D233" i="8"/>
  <c r="C233" i="8"/>
  <c r="B233" i="8"/>
  <c r="A233" i="8"/>
  <c r="W232" i="8"/>
  <c r="V232" i="8"/>
  <c r="U232" i="8"/>
  <c r="T232" i="8"/>
  <c r="S232" i="8"/>
  <c r="R232" i="8"/>
  <c r="Q232" i="8"/>
  <c r="P232" i="8"/>
  <c r="O232" i="8"/>
  <c r="N232" i="8"/>
  <c r="M232" i="8"/>
  <c r="L232" i="8"/>
  <c r="K232" i="8"/>
  <c r="J232" i="8"/>
  <c r="I232" i="8"/>
  <c r="H232" i="8"/>
  <c r="G232" i="8"/>
  <c r="F232" i="8"/>
  <c r="E232" i="8"/>
  <c r="D232" i="8"/>
  <c r="C232" i="8"/>
  <c r="B232" i="8"/>
  <c r="A232" i="8"/>
  <c r="W231" i="8"/>
  <c r="V231" i="8"/>
  <c r="U231" i="8"/>
  <c r="T231" i="8"/>
  <c r="S231" i="8"/>
  <c r="R231" i="8"/>
  <c r="Q231" i="8"/>
  <c r="P231" i="8"/>
  <c r="O231" i="8"/>
  <c r="N231" i="8"/>
  <c r="M231" i="8"/>
  <c r="L231" i="8"/>
  <c r="K231" i="8"/>
  <c r="J231" i="8"/>
  <c r="I231" i="8"/>
  <c r="H231" i="8"/>
  <c r="G231" i="8"/>
  <c r="F231" i="8"/>
  <c r="E231" i="8"/>
  <c r="D231" i="8"/>
  <c r="C231" i="8"/>
  <c r="B231" i="8"/>
  <c r="A231" i="8"/>
  <c r="W230" i="8"/>
  <c r="V230" i="8"/>
  <c r="U230" i="8"/>
  <c r="T230" i="8"/>
  <c r="S230" i="8"/>
  <c r="R230" i="8"/>
  <c r="Q230" i="8"/>
  <c r="P230" i="8"/>
  <c r="O230" i="8"/>
  <c r="N230" i="8"/>
  <c r="M230" i="8"/>
  <c r="L230" i="8"/>
  <c r="K230" i="8"/>
  <c r="J230" i="8"/>
  <c r="I230" i="8"/>
  <c r="H230" i="8"/>
  <c r="G230" i="8"/>
  <c r="F230" i="8"/>
  <c r="E230" i="8"/>
  <c r="D230" i="8"/>
  <c r="C230" i="8"/>
  <c r="B230" i="8"/>
  <c r="A230" i="8"/>
  <c r="W229" i="8"/>
  <c r="V229" i="8"/>
  <c r="U229" i="8"/>
  <c r="T229" i="8"/>
  <c r="S229" i="8"/>
  <c r="R229" i="8"/>
  <c r="Q229" i="8"/>
  <c r="P229" i="8"/>
  <c r="O229" i="8"/>
  <c r="N229" i="8"/>
  <c r="M229" i="8"/>
  <c r="L229" i="8"/>
  <c r="K229" i="8"/>
  <c r="J229" i="8"/>
  <c r="I229" i="8"/>
  <c r="H229" i="8"/>
  <c r="G229" i="8"/>
  <c r="F229" i="8"/>
  <c r="E229" i="8"/>
  <c r="D229" i="8"/>
  <c r="C229" i="8"/>
  <c r="B229" i="8"/>
  <c r="A229" i="8"/>
  <c r="W228" i="8"/>
  <c r="V228" i="8"/>
  <c r="U228" i="8"/>
  <c r="T228" i="8"/>
  <c r="S228" i="8"/>
  <c r="R228" i="8"/>
  <c r="Q228" i="8"/>
  <c r="P228" i="8"/>
  <c r="O228" i="8"/>
  <c r="N228" i="8"/>
  <c r="M228" i="8"/>
  <c r="L228" i="8"/>
  <c r="K228" i="8"/>
  <c r="J228" i="8"/>
  <c r="I228" i="8"/>
  <c r="H228" i="8"/>
  <c r="G228" i="8"/>
  <c r="F228" i="8"/>
  <c r="E228" i="8"/>
  <c r="D228" i="8"/>
  <c r="C228" i="8"/>
  <c r="B228" i="8"/>
  <c r="A228" i="8"/>
  <c r="W227" i="8"/>
  <c r="V227" i="8"/>
  <c r="U227" i="8"/>
  <c r="T227" i="8"/>
  <c r="S227" i="8"/>
  <c r="R227" i="8"/>
  <c r="Q227" i="8"/>
  <c r="P227" i="8"/>
  <c r="O227" i="8"/>
  <c r="N227" i="8"/>
  <c r="M227" i="8"/>
  <c r="L227" i="8"/>
  <c r="K227" i="8"/>
  <c r="J227" i="8"/>
  <c r="I227" i="8"/>
  <c r="H227" i="8"/>
  <c r="G227" i="8"/>
  <c r="F227" i="8"/>
  <c r="E227" i="8"/>
  <c r="D227" i="8"/>
  <c r="C227" i="8"/>
  <c r="B227" i="8"/>
  <c r="A227" i="8"/>
  <c r="W226" i="8"/>
  <c r="V226" i="8"/>
  <c r="U226" i="8"/>
  <c r="T226" i="8"/>
  <c r="S226" i="8"/>
  <c r="R226" i="8"/>
  <c r="Q226" i="8"/>
  <c r="P226" i="8"/>
  <c r="O226" i="8"/>
  <c r="N226" i="8"/>
  <c r="M226" i="8"/>
  <c r="L226" i="8"/>
  <c r="K226" i="8"/>
  <c r="J226" i="8"/>
  <c r="I226" i="8"/>
  <c r="H226" i="8"/>
  <c r="G226" i="8"/>
  <c r="F226" i="8"/>
  <c r="E226" i="8"/>
  <c r="D226" i="8"/>
  <c r="C226" i="8"/>
  <c r="B226" i="8"/>
  <c r="A226" i="8"/>
  <c r="W225" i="8"/>
  <c r="V225" i="8"/>
  <c r="U225" i="8"/>
  <c r="T225" i="8"/>
  <c r="S225" i="8"/>
  <c r="R225" i="8"/>
  <c r="Q225" i="8"/>
  <c r="P225" i="8"/>
  <c r="O225" i="8"/>
  <c r="N225" i="8"/>
  <c r="M225" i="8"/>
  <c r="L225" i="8"/>
  <c r="K225" i="8"/>
  <c r="J225" i="8"/>
  <c r="I225" i="8"/>
  <c r="H225" i="8"/>
  <c r="G225" i="8"/>
  <c r="F225" i="8"/>
  <c r="E225" i="8"/>
  <c r="D225" i="8"/>
  <c r="C225" i="8"/>
  <c r="B225" i="8"/>
  <c r="A225" i="8"/>
  <c r="W224" i="8"/>
  <c r="V224" i="8"/>
  <c r="U224" i="8"/>
  <c r="T224" i="8"/>
  <c r="S224" i="8"/>
  <c r="R224" i="8"/>
  <c r="Q224" i="8"/>
  <c r="P224" i="8"/>
  <c r="O224" i="8"/>
  <c r="N224" i="8"/>
  <c r="M224" i="8"/>
  <c r="L224" i="8"/>
  <c r="K224" i="8"/>
  <c r="J224" i="8"/>
  <c r="I224" i="8"/>
  <c r="H224" i="8"/>
  <c r="G224" i="8"/>
  <c r="F224" i="8"/>
  <c r="E224" i="8"/>
  <c r="D224" i="8"/>
  <c r="C224" i="8"/>
  <c r="B224" i="8"/>
  <c r="A224" i="8"/>
  <c r="W223" i="8"/>
  <c r="V223" i="8"/>
  <c r="U223" i="8"/>
  <c r="T223" i="8"/>
  <c r="S223" i="8"/>
  <c r="R223" i="8"/>
  <c r="Q223" i="8"/>
  <c r="P223" i="8"/>
  <c r="O223" i="8"/>
  <c r="N223" i="8"/>
  <c r="M223" i="8"/>
  <c r="L223" i="8"/>
  <c r="K223" i="8"/>
  <c r="J223" i="8"/>
  <c r="I223" i="8"/>
  <c r="H223" i="8"/>
  <c r="G223" i="8"/>
  <c r="F223" i="8"/>
  <c r="E223" i="8"/>
  <c r="D223" i="8"/>
  <c r="C223" i="8"/>
  <c r="B223" i="8"/>
  <c r="A223" i="8"/>
  <c r="W222" i="8"/>
  <c r="V222" i="8"/>
  <c r="U222" i="8"/>
  <c r="T222" i="8"/>
  <c r="S222" i="8"/>
  <c r="R222" i="8"/>
  <c r="Q222" i="8"/>
  <c r="P222" i="8"/>
  <c r="O222" i="8"/>
  <c r="N222" i="8"/>
  <c r="M222" i="8"/>
  <c r="L222" i="8"/>
  <c r="K222" i="8"/>
  <c r="J222" i="8"/>
  <c r="I222" i="8"/>
  <c r="H222" i="8"/>
  <c r="G222" i="8"/>
  <c r="F222" i="8"/>
  <c r="E222" i="8"/>
  <c r="D222" i="8"/>
  <c r="C222" i="8"/>
  <c r="B222" i="8"/>
  <c r="A222" i="8"/>
  <c r="W221" i="8"/>
  <c r="V221" i="8"/>
  <c r="U221" i="8"/>
  <c r="T221" i="8"/>
  <c r="S221" i="8"/>
  <c r="R221" i="8"/>
  <c r="Q221" i="8"/>
  <c r="P221" i="8"/>
  <c r="O221" i="8"/>
  <c r="N221" i="8"/>
  <c r="M221" i="8"/>
  <c r="L221" i="8"/>
  <c r="K221" i="8"/>
  <c r="J221" i="8"/>
  <c r="I221" i="8"/>
  <c r="H221" i="8"/>
  <c r="G221" i="8"/>
  <c r="F221" i="8"/>
  <c r="E221" i="8"/>
  <c r="D221" i="8"/>
  <c r="C221" i="8"/>
  <c r="B221" i="8"/>
  <c r="A221" i="8"/>
  <c r="W220" i="8"/>
  <c r="V220" i="8"/>
  <c r="U220" i="8"/>
  <c r="T220" i="8"/>
  <c r="S220" i="8"/>
  <c r="R220" i="8"/>
  <c r="Q220" i="8"/>
  <c r="P220" i="8"/>
  <c r="O220" i="8"/>
  <c r="N220" i="8"/>
  <c r="M220" i="8"/>
  <c r="L220" i="8"/>
  <c r="K220" i="8"/>
  <c r="J220" i="8"/>
  <c r="I220" i="8"/>
  <c r="H220" i="8"/>
  <c r="G220" i="8"/>
  <c r="F220" i="8"/>
  <c r="E220" i="8"/>
  <c r="D220" i="8"/>
  <c r="C220" i="8"/>
  <c r="B220" i="8"/>
  <c r="A220" i="8"/>
  <c r="W219" i="8"/>
  <c r="V219" i="8"/>
  <c r="U219" i="8"/>
  <c r="T219" i="8"/>
  <c r="S219" i="8"/>
  <c r="R219" i="8"/>
  <c r="Q219" i="8"/>
  <c r="P219" i="8"/>
  <c r="O219" i="8"/>
  <c r="N219" i="8"/>
  <c r="M219" i="8"/>
  <c r="L219" i="8"/>
  <c r="K219" i="8"/>
  <c r="J219" i="8"/>
  <c r="I219" i="8"/>
  <c r="H219" i="8"/>
  <c r="G219" i="8"/>
  <c r="F219" i="8"/>
  <c r="E219" i="8"/>
  <c r="D219" i="8"/>
  <c r="C219" i="8"/>
  <c r="B219" i="8"/>
  <c r="A219" i="8"/>
  <c r="W218" i="8"/>
  <c r="V218" i="8"/>
  <c r="U218" i="8"/>
  <c r="T218" i="8"/>
  <c r="S218" i="8"/>
  <c r="R218" i="8"/>
  <c r="Q218" i="8"/>
  <c r="P218" i="8"/>
  <c r="O218" i="8"/>
  <c r="N218" i="8"/>
  <c r="M218" i="8"/>
  <c r="L218" i="8"/>
  <c r="K218" i="8"/>
  <c r="J218" i="8"/>
  <c r="I218" i="8"/>
  <c r="H218" i="8"/>
  <c r="G218" i="8"/>
  <c r="F218" i="8"/>
  <c r="E218" i="8"/>
  <c r="D218" i="8"/>
  <c r="C218" i="8"/>
  <c r="B218" i="8"/>
  <c r="A218" i="8"/>
  <c r="W217" i="8"/>
  <c r="V217" i="8"/>
  <c r="U217" i="8"/>
  <c r="T217" i="8"/>
  <c r="S217" i="8"/>
  <c r="R217" i="8"/>
  <c r="Q217" i="8"/>
  <c r="P217" i="8"/>
  <c r="O217" i="8"/>
  <c r="N217" i="8"/>
  <c r="M217" i="8"/>
  <c r="L217" i="8"/>
  <c r="K217" i="8"/>
  <c r="J217" i="8"/>
  <c r="I217" i="8"/>
  <c r="H217" i="8"/>
  <c r="G217" i="8"/>
  <c r="F217" i="8"/>
  <c r="E217" i="8"/>
  <c r="D217" i="8"/>
  <c r="C217" i="8"/>
  <c r="B217" i="8"/>
  <c r="A217" i="8"/>
  <c r="W216" i="8"/>
  <c r="V216" i="8"/>
  <c r="U216" i="8"/>
  <c r="T216" i="8"/>
  <c r="S216" i="8"/>
  <c r="R216" i="8"/>
  <c r="Q216" i="8"/>
  <c r="P216" i="8"/>
  <c r="O216" i="8"/>
  <c r="N216" i="8"/>
  <c r="M216" i="8"/>
  <c r="L216" i="8"/>
  <c r="K216" i="8"/>
  <c r="J216" i="8"/>
  <c r="I216" i="8"/>
  <c r="H216" i="8"/>
  <c r="G216" i="8"/>
  <c r="F216" i="8"/>
  <c r="E216" i="8"/>
  <c r="D216" i="8"/>
  <c r="C216" i="8"/>
  <c r="B216" i="8"/>
  <c r="A216" i="8"/>
  <c r="W215" i="8"/>
  <c r="V215" i="8"/>
  <c r="U215" i="8"/>
  <c r="T215" i="8"/>
  <c r="S215" i="8"/>
  <c r="R215" i="8"/>
  <c r="Q215" i="8"/>
  <c r="P215" i="8"/>
  <c r="O215" i="8"/>
  <c r="N215" i="8"/>
  <c r="M215" i="8"/>
  <c r="L215" i="8"/>
  <c r="K215" i="8"/>
  <c r="J215" i="8"/>
  <c r="I215" i="8"/>
  <c r="H215" i="8"/>
  <c r="G215" i="8"/>
  <c r="F215" i="8"/>
  <c r="E215" i="8"/>
  <c r="D215" i="8"/>
  <c r="C215" i="8"/>
  <c r="B215" i="8"/>
  <c r="A215" i="8"/>
  <c r="W214" i="8"/>
  <c r="V214" i="8"/>
  <c r="U214" i="8"/>
  <c r="T214" i="8"/>
  <c r="S214" i="8"/>
  <c r="R214" i="8"/>
  <c r="Q214" i="8"/>
  <c r="P214" i="8"/>
  <c r="O214" i="8"/>
  <c r="N214" i="8"/>
  <c r="M214" i="8"/>
  <c r="L214" i="8"/>
  <c r="K214" i="8"/>
  <c r="J214" i="8"/>
  <c r="I214" i="8"/>
  <c r="H214" i="8"/>
  <c r="G214" i="8"/>
  <c r="F214" i="8"/>
  <c r="E214" i="8"/>
  <c r="D214" i="8"/>
  <c r="C214" i="8"/>
  <c r="B214" i="8"/>
  <c r="A214" i="8"/>
  <c r="W213" i="8"/>
  <c r="V213" i="8"/>
  <c r="U213" i="8"/>
  <c r="T213" i="8"/>
  <c r="S213" i="8"/>
  <c r="R213" i="8"/>
  <c r="Q213" i="8"/>
  <c r="P213" i="8"/>
  <c r="O213" i="8"/>
  <c r="N213" i="8"/>
  <c r="M213" i="8"/>
  <c r="L213" i="8"/>
  <c r="K213" i="8"/>
  <c r="J213" i="8"/>
  <c r="I213" i="8"/>
  <c r="H213" i="8"/>
  <c r="G213" i="8"/>
  <c r="F213" i="8"/>
  <c r="E213" i="8"/>
  <c r="D213" i="8"/>
  <c r="C213" i="8"/>
  <c r="B213" i="8"/>
  <c r="A213" i="8"/>
  <c r="W212" i="8"/>
  <c r="V212" i="8"/>
  <c r="U212" i="8"/>
  <c r="T212" i="8"/>
  <c r="S212" i="8"/>
  <c r="R212" i="8"/>
  <c r="Q212" i="8"/>
  <c r="P212" i="8"/>
  <c r="O212" i="8"/>
  <c r="N212" i="8"/>
  <c r="M212" i="8"/>
  <c r="L212" i="8"/>
  <c r="K212" i="8"/>
  <c r="J212" i="8"/>
  <c r="I212" i="8"/>
  <c r="H212" i="8"/>
  <c r="G212" i="8"/>
  <c r="F212" i="8"/>
  <c r="E212" i="8"/>
  <c r="D212" i="8"/>
  <c r="C212" i="8"/>
  <c r="B212" i="8"/>
  <c r="A212" i="8"/>
  <c r="W211" i="8"/>
  <c r="V211" i="8"/>
  <c r="U211" i="8"/>
  <c r="T211" i="8"/>
  <c r="S211" i="8"/>
  <c r="R211" i="8"/>
  <c r="Q211" i="8"/>
  <c r="P211" i="8"/>
  <c r="O211" i="8"/>
  <c r="N211" i="8"/>
  <c r="M211" i="8"/>
  <c r="L211" i="8"/>
  <c r="K211" i="8"/>
  <c r="J211" i="8"/>
  <c r="I211" i="8"/>
  <c r="H211" i="8"/>
  <c r="G211" i="8"/>
  <c r="F211" i="8"/>
  <c r="E211" i="8"/>
  <c r="D211" i="8"/>
  <c r="C211" i="8"/>
  <c r="B211" i="8"/>
  <c r="A211" i="8"/>
  <c r="W210" i="8"/>
  <c r="V210" i="8"/>
  <c r="U210" i="8"/>
  <c r="T210" i="8"/>
  <c r="S210" i="8"/>
  <c r="R210" i="8"/>
  <c r="Q210" i="8"/>
  <c r="P210" i="8"/>
  <c r="O210" i="8"/>
  <c r="N210" i="8"/>
  <c r="M210" i="8"/>
  <c r="L210" i="8"/>
  <c r="K210" i="8"/>
  <c r="J210" i="8"/>
  <c r="I210" i="8"/>
  <c r="H210" i="8"/>
  <c r="G210" i="8"/>
  <c r="F210" i="8"/>
  <c r="E210" i="8"/>
  <c r="D210" i="8"/>
  <c r="C210" i="8"/>
  <c r="B210" i="8"/>
  <c r="A210" i="8"/>
  <c r="W209" i="8"/>
  <c r="V209" i="8"/>
  <c r="U209" i="8"/>
  <c r="T209" i="8"/>
  <c r="S209" i="8"/>
  <c r="R209" i="8"/>
  <c r="Q209" i="8"/>
  <c r="P209" i="8"/>
  <c r="O209" i="8"/>
  <c r="N209" i="8"/>
  <c r="M209" i="8"/>
  <c r="L209" i="8"/>
  <c r="K209" i="8"/>
  <c r="J209" i="8"/>
  <c r="I209" i="8"/>
  <c r="H209" i="8"/>
  <c r="G209" i="8"/>
  <c r="F209" i="8"/>
  <c r="E209" i="8"/>
  <c r="D209" i="8"/>
  <c r="C209" i="8"/>
  <c r="B209" i="8"/>
  <c r="A209" i="8"/>
  <c r="W208" i="8"/>
  <c r="V208" i="8"/>
  <c r="U208" i="8"/>
  <c r="T208" i="8"/>
  <c r="S208" i="8"/>
  <c r="R208" i="8"/>
  <c r="Q208" i="8"/>
  <c r="P208" i="8"/>
  <c r="O208" i="8"/>
  <c r="N208" i="8"/>
  <c r="M208" i="8"/>
  <c r="L208" i="8"/>
  <c r="K208" i="8"/>
  <c r="J208" i="8"/>
  <c r="I208" i="8"/>
  <c r="H208" i="8"/>
  <c r="G208" i="8"/>
  <c r="F208" i="8"/>
  <c r="E208" i="8"/>
  <c r="D208" i="8"/>
  <c r="C208" i="8"/>
  <c r="B208" i="8"/>
  <c r="A208" i="8"/>
  <c r="W207" i="8"/>
  <c r="V207" i="8"/>
  <c r="U207" i="8"/>
  <c r="T207" i="8"/>
  <c r="S207" i="8"/>
  <c r="R207" i="8"/>
  <c r="Q207" i="8"/>
  <c r="P207" i="8"/>
  <c r="O207" i="8"/>
  <c r="N207" i="8"/>
  <c r="M207" i="8"/>
  <c r="L207" i="8"/>
  <c r="K207" i="8"/>
  <c r="J207" i="8"/>
  <c r="I207" i="8"/>
  <c r="H207" i="8"/>
  <c r="G207" i="8"/>
  <c r="F207" i="8"/>
  <c r="E207" i="8"/>
  <c r="D207" i="8"/>
  <c r="C207" i="8"/>
  <c r="B207" i="8"/>
  <c r="A207" i="8"/>
  <c r="W206" i="8"/>
  <c r="V206" i="8"/>
  <c r="U206" i="8"/>
  <c r="T206" i="8"/>
  <c r="S206" i="8"/>
  <c r="R206" i="8"/>
  <c r="Q206" i="8"/>
  <c r="P206" i="8"/>
  <c r="O206" i="8"/>
  <c r="N206" i="8"/>
  <c r="M206" i="8"/>
  <c r="L206" i="8"/>
  <c r="K206" i="8"/>
  <c r="J206" i="8"/>
  <c r="I206" i="8"/>
  <c r="H206" i="8"/>
  <c r="G206" i="8"/>
  <c r="F206" i="8"/>
  <c r="E206" i="8"/>
  <c r="D206" i="8"/>
  <c r="C206" i="8"/>
  <c r="B206" i="8"/>
  <c r="A206" i="8"/>
  <c r="W205" i="8"/>
  <c r="V205" i="8"/>
  <c r="U205" i="8"/>
  <c r="T205" i="8"/>
  <c r="S205" i="8"/>
  <c r="R205" i="8"/>
  <c r="Q205" i="8"/>
  <c r="P205" i="8"/>
  <c r="O205" i="8"/>
  <c r="N205" i="8"/>
  <c r="M205" i="8"/>
  <c r="L205" i="8"/>
  <c r="K205" i="8"/>
  <c r="J205" i="8"/>
  <c r="I205" i="8"/>
  <c r="H205" i="8"/>
  <c r="G205" i="8"/>
  <c r="F205" i="8"/>
  <c r="E205" i="8"/>
  <c r="D205" i="8"/>
  <c r="C205" i="8"/>
  <c r="B205" i="8"/>
  <c r="A205" i="8"/>
  <c r="W204" i="8"/>
  <c r="V204" i="8"/>
  <c r="U204" i="8"/>
  <c r="T204" i="8"/>
  <c r="S204" i="8"/>
  <c r="R204" i="8"/>
  <c r="Q204" i="8"/>
  <c r="P204" i="8"/>
  <c r="O204" i="8"/>
  <c r="N204" i="8"/>
  <c r="M204" i="8"/>
  <c r="L204" i="8"/>
  <c r="K204" i="8"/>
  <c r="J204" i="8"/>
  <c r="I204" i="8"/>
  <c r="H204" i="8"/>
  <c r="G204" i="8"/>
  <c r="F204" i="8"/>
  <c r="E204" i="8"/>
  <c r="D204" i="8"/>
  <c r="C204" i="8"/>
  <c r="B204" i="8"/>
  <c r="A204" i="8"/>
  <c r="W203" i="8"/>
  <c r="V203" i="8"/>
  <c r="U203" i="8"/>
  <c r="T203" i="8"/>
  <c r="S203" i="8"/>
  <c r="R203" i="8"/>
  <c r="Q203" i="8"/>
  <c r="P203" i="8"/>
  <c r="O203" i="8"/>
  <c r="N203" i="8"/>
  <c r="M203" i="8"/>
  <c r="L203" i="8"/>
  <c r="K203" i="8"/>
  <c r="J203" i="8"/>
  <c r="I203" i="8"/>
  <c r="H203" i="8"/>
  <c r="G203" i="8"/>
  <c r="F203" i="8"/>
  <c r="E203" i="8"/>
  <c r="D203" i="8"/>
  <c r="C203" i="8"/>
  <c r="B203" i="8"/>
  <c r="A203" i="8"/>
  <c r="W202" i="8"/>
  <c r="V202" i="8"/>
  <c r="U202" i="8"/>
  <c r="T202" i="8"/>
  <c r="S202" i="8"/>
  <c r="R202" i="8"/>
  <c r="Q202" i="8"/>
  <c r="P202" i="8"/>
  <c r="O202" i="8"/>
  <c r="N202" i="8"/>
  <c r="M202" i="8"/>
  <c r="L202" i="8"/>
  <c r="K202" i="8"/>
  <c r="J202" i="8"/>
  <c r="I202" i="8"/>
  <c r="H202" i="8"/>
  <c r="G202" i="8"/>
  <c r="F202" i="8"/>
  <c r="E202" i="8"/>
  <c r="D202" i="8"/>
  <c r="C202" i="8"/>
  <c r="B202" i="8"/>
  <c r="A202" i="8"/>
  <c r="W201" i="8"/>
  <c r="V201" i="8"/>
  <c r="U201" i="8"/>
  <c r="T201" i="8"/>
  <c r="S201" i="8"/>
  <c r="R201" i="8"/>
  <c r="Q201" i="8"/>
  <c r="P201" i="8"/>
  <c r="O201" i="8"/>
  <c r="N201" i="8"/>
  <c r="M201" i="8"/>
  <c r="L201" i="8"/>
  <c r="K201" i="8"/>
  <c r="J201" i="8"/>
  <c r="I201" i="8"/>
  <c r="H201" i="8"/>
  <c r="G201" i="8"/>
  <c r="F201" i="8"/>
  <c r="E201" i="8"/>
  <c r="D201" i="8"/>
  <c r="C201" i="8"/>
  <c r="B201" i="8"/>
  <c r="A201" i="8"/>
  <c r="W200" i="8"/>
  <c r="V200" i="8"/>
  <c r="U200" i="8"/>
  <c r="T200" i="8"/>
  <c r="S200" i="8"/>
  <c r="R200" i="8"/>
  <c r="Q200" i="8"/>
  <c r="P200" i="8"/>
  <c r="O200" i="8"/>
  <c r="N200" i="8"/>
  <c r="M200" i="8"/>
  <c r="L200" i="8"/>
  <c r="K200" i="8"/>
  <c r="J200" i="8"/>
  <c r="I200" i="8"/>
  <c r="H200" i="8"/>
  <c r="G200" i="8"/>
  <c r="F200" i="8"/>
  <c r="E200" i="8"/>
  <c r="D200" i="8"/>
  <c r="C200" i="8"/>
  <c r="B200" i="8"/>
  <c r="A200" i="8"/>
  <c r="W199" i="8"/>
  <c r="V199" i="8"/>
  <c r="U199" i="8"/>
  <c r="T199" i="8"/>
  <c r="S199" i="8"/>
  <c r="R199" i="8"/>
  <c r="Q199" i="8"/>
  <c r="P199" i="8"/>
  <c r="O199" i="8"/>
  <c r="N199" i="8"/>
  <c r="M199" i="8"/>
  <c r="L199" i="8"/>
  <c r="K199" i="8"/>
  <c r="J199" i="8"/>
  <c r="I199" i="8"/>
  <c r="H199" i="8"/>
  <c r="G199" i="8"/>
  <c r="F199" i="8"/>
  <c r="E199" i="8"/>
  <c r="D199" i="8"/>
  <c r="C199" i="8"/>
  <c r="B199" i="8"/>
  <c r="A199" i="8"/>
  <c r="W198" i="8"/>
  <c r="V198" i="8"/>
  <c r="U198" i="8"/>
  <c r="T198" i="8"/>
  <c r="S198" i="8"/>
  <c r="R198" i="8"/>
  <c r="Q198" i="8"/>
  <c r="P198" i="8"/>
  <c r="O198" i="8"/>
  <c r="N198" i="8"/>
  <c r="M198" i="8"/>
  <c r="L198" i="8"/>
  <c r="K198" i="8"/>
  <c r="J198" i="8"/>
  <c r="I198" i="8"/>
  <c r="H198" i="8"/>
  <c r="G198" i="8"/>
  <c r="F198" i="8"/>
  <c r="E198" i="8"/>
  <c r="D198" i="8"/>
  <c r="C198" i="8"/>
  <c r="B198" i="8"/>
  <c r="A198" i="8"/>
  <c r="W197" i="8"/>
  <c r="V197" i="8"/>
  <c r="U197" i="8"/>
  <c r="T197" i="8"/>
  <c r="S197" i="8"/>
  <c r="R197" i="8"/>
  <c r="Q197" i="8"/>
  <c r="P197" i="8"/>
  <c r="O197" i="8"/>
  <c r="N197" i="8"/>
  <c r="M197" i="8"/>
  <c r="L197" i="8"/>
  <c r="K197" i="8"/>
  <c r="J197" i="8"/>
  <c r="I197" i="8"/>
  <c r="H197" i="8"/>
  <c r="G197" i="8"/>
  <c r="F197" i="8"/>
  <c r="E197" i="8"/>
  <c r="D197" i="8"/>
  <c r="C197" i="8"/>
  <c r="B197" i="8"/>
  <c r="A197" i="8"/>
  <c r="W196" i="8"/>
  <c r="V196" i="8"/>
  <c r="U196" i="8"/>
  <c r="T196" i="8"/>
  <c r="S196" i="8"/>
  <c r="R196" i="8"/>
  <c r="Q196" i="8"/>
  <c r="P196" i="8"/>
  <c r="O196" i="8"/>
  <c r="N196" i="8"/>
  <c r="M196" i="8"/>
  <c r="L196" i="8"/>
  <c r="K196" i="8"/>
  <c r="J196" i="8"/>
  <c r="I196" i="8"/>
  <c r="H196" i="8"/>
  <c r="G196" i="8"/>
  <c r="F196" i="8"/>
  <c r="E196" i="8"/>
  <c r="D196" i="8"/>
  <c r="C196" i="8"/>
  <c r="B196" i="8"/>
  <c r="A196" i="8"/>
  <c r="W195" i="8"/>
  <c r="V195" i="8"/>
  <c r="U195" i="8"/>
  <c r="T195" i="8"/>
  <c r="S195" i="8"/>
  <c r="R195" i="8"/>
  <c r="Q195" i="8"/>
  <c r="P195" i="8"/>
  <c r="O195" i="8"/>
  <c r="N195" i="8"/>
  <c r="M195" i="8"/>
  <c r="L195" i="8"/>
  <c r="K195" i="8"/>
  <c r="J195" i="8"/>
  <c r="I195" i="8"/>
  <c r="H195" i="8"/>
  <c r="G195" i="8"/>
  <c r="F195" i="8"/>
  <c r="E195" i="8"/>
  <c r="D195" i="8"/>
  <c r="C195" i="8"/>
  <c r="B195" i="8"/>
  <c r="A195" i="8"/>
  <c r="W194" i="8"/>
  <c r="V194" i="8"/>
  <c r="U194" i="8"/>
  <c r="T194" i="8"/>
  <c r="S194" i="8"/>
  <c r="R194" i="8"/>
  <c r="Q194" i="8"/>
  <c r="P194" i="8"/>
  <c r="O194" i="8"/>
  <c r="N194" i="8"/>
  <c r="M194" i="8"/>
  <c r="L194" i="8"/>
  <c r="K194" i="8"/>
  <c r="J194" i="8"/>
  <c r="I194" i="8"/>
  <c r="H194" i="8"/>
  <c r="G194" i="8"/>
  <c r="F194" i="8"/>
  <c r="E194" i="8"/>
  <c r="D194" i="8"/>
  <c r="C194" i="8"/>
  <c r="B194" i="8"/>
  <c r="A194" i="8"/>
  <c r="W193" i="8"/>
  <c r="V193" i="8"/>
  <c r="U193" i="8"/>
  <c r="T193" i="8"/>
  <c r="S193" i="8"/>
  <c r="R193" i="8"/>
  <c r="Q193" i="8"/>
  <c r="P193" i="8"/>
  <c r="O193" i="8"/>
  <c r="N193" i="8"/>
  <c r="M193" i="8"/>
  <c r="L193" i="8"/>
  <c r="K193" i="8"/>
  <c r="J193" i="8"/>
  <c r="I193" i="8"/>
  <c r="H193" i="8"/>
  <c r="G193" i="8"/>
  <c r="F193" i="8"/>
  <c r="E193" i="8"/>
  <c r="D193" i="8"/>
  <c r="C193" i="8"/>
  <c r="B193" i="8"/>
  <c r="A193" i="8"/>
  <c r="W192" i="8"/>
  <c r="V192" i="8"/>
  <c r="U192" i="8"/>
  <c r="T192" i="8"/>
  <c r="S192" i="8"/>
  <c r="R192" i="8"/>
  <c r="Q192" i="8"/>
  <c r="P192" i="8"/>
  <c r="O192" i="8"/>
  <c r="N192" i="8"/>
  <c r="M192" i="8"/>
  <c r="L192" i="8"/>
  <c r="K192" i="8"/>
  <c r="J192" i="8"/>
  <c r="I192" i="8"/>
  <c r="H192" i="8"/>
  <c r="G192" i="8"/>
  <c r="F192" i="8"/>
  <c r="E192" i="8"/>
  <c r="D192" i="8"/>
  <c r="C192" i="8"/>
  <c r="B192" i="8"/>
  <c r="A192" i="8"/>
  <c r="W191" i="8"/>
  <c r="V191" i="8"/>
  <c r="U191" i="8"/>
  <c r="T191" i="8"/>
  <c r="S191" i="8"/>
  <c r="R191" i="8"/>
  <c r="Q191" i="8"/>
  <c r="P191" i="8"/>
  <c r="O191" i="8"/>
  <c r="N191" i="8"/>
  <c r="M191" i="8"/>
  <c r="L191" i="8"/>
  <c r="K191" i="8"/>
  <c r="J191" i="8"/>
  <c r="I191" i="8"/>
  <c r="H191" i="8"/>
  <c r="G191" i="8"/>
  <c r="F191" i="8"/>
  <c r="E191" i="8"/>
  <c r="D191" i="8"/>
  <c r="C191" i="8"/>
  <c r="B191" i="8"/>
  <c r="A191" i="8"/>
  <c r="W190" i="8"/>
  <c r="V190" i="8"/>
  <c r="U190" i="8"/>
  <c r="T190" i="8"/>
  <c r="S190" i="8"/>
  <c r="R190" i="8"/>
  <c r="Q190" i="8"/>
  <c r="P190" i="8"/>
  <c r="O190" i="8"/>
  <c r="N190" i="8"/>
  <c r="M190" i="8"/>
  <c r="L190" i="8"/>
  <c r="K190" i="8"/>
  <c r="J190" i="8"/>
  <c r="I190" i="8"/>
  <c r="H190" i="8"/>
  <c r="G190" i="8"/>
  <c r="F190" i="8"/>
  <c r="E190" i="8"/>
  <c r="D190" i="8"/>
  <c r="C190" i="8"/>
  <c r="B190" i="8"/>
  <c r="A190" i="8"/>
  <c r="W189" i="8"/>
  <c r="V189" i="8"/>
  <c r="U189" i="8"/>
  <c r="T189" i="8"/>
  <c r="S189" i="8"/>
  <c r="R189" i="8"/>
  <c r="Q189" i="8"/>
  <c r="P189" i="8"/>
  <c r="O189" i="8"/>
  <c r="N189" i="8"/>
  <c r="M189" i="8"/>
  <c r="L189" i="8"/>
  <c r="K189" i="8"/>
  <c r="J189" i="8"/>
  <c r="I189" i="8"/>
  <c r="H189" i="8"/>
  <c r="G189" i="8"/>
  <c r="F189" i="8"/>
  <c r="E189" i="8"/>
  <c r="D189" i="8"/>
  <c r="C189" i="8"/>
  <c r="B189" i="8"/>
  <c r="A189" i="8"/>
  <c r="W188" i="8"/>
  <c r="V188" i="8"/>
  <c r="U188" i="8"/>
  <c r="T188" i="8"/>
  <c r="S188" i="8"/>
  <c r="R188" i="8"/>
  <c r="Q188" i="8"/>
  <c r="P188" i="8"/>
  <c r="O188" i="8"/>
  <c r="N188" i="8"/>
  <c r="M188" i="8"/>
  <c r="L188" i="8"/>
  <c r="K188" i="8"/>
  <c r="J188" i="8"/>
  <c r="I188" i="8"/>
  <c r="H188" i="8"/>
  <c r="G188" i="8"/>
  <c r="F188" i="8"/>
  <c r="E188" i="8"/>
  <c r="D188" i="8"/>
  <c r="C188" i="8"/>
  <c r="B188" i="8"/>
  <c r="A188" i="8"/>
  <c r="W187" i="8"/>
  <c r="V187" i="8"/>
  <c r="U187" i="8"/>
  <c r="T187" i="8"/>
  <c r="S187" i="8"/>
  <c r="R187" i="8"/>
  <c r="Q187" i="8"/>
  <c r="P187" i="8"/>
  <c r="O187" i="8"/>
  <c r="N187" i="8"/>
  <c r="M187" i="8"/>
  <c r="L187" i="8"/>
  <c r="K187" i="8"/>
  <c r="J187" i="8"/>
  <c r="I187" i="8"/>
  <c r="H187" i="8"/>
  <c r="G187" i="8"/>
  <c r="F187" i="8"/>
  <c r="E187" i="8"/>
  <c r="D187" i="8"/>
  <c r="C187" i="8"/>
  <c r="B187" i="8"/>
  <c r="A187" i="8"/>
  <c r="W186" i="8"/>
  <c r="V186" i="8"/>
  <c r="U186" i="8"/>
  <c r="T186" i="8"/>
  <c r="S186" i="8"/>
  <c r="R186" i="8"/>
  <c r="Q186" i="8"/>
  <c r="P186" i="8"/>
  <c r="O186" i="8"/>
  <c r="N186" i="8"/>
  <c r="M186" i="8"/>
  <c r="L186" i="8"/>
  <c r="K186" i="8"/>
  <c r="J186" i="8"/>
  <c r="I186" i="8"/>
  <c r="H186" i="8"/>
  <c r="G186" i="8"/>
  <c r="F186" i="8"/>
  <c r="E186" i="8"/>
  <c r="D186" i="8"/>
  <c r="C186" i="8"/>
  <c r="B186" i="8"/>
  <c r="A186" i="8"/>
  <c r="W185" i="8"/>
  <c r="V185" i="8"/>
  <c r="U185" i="8"/>
  <c r="T185" i="8"/>
  <c r="S185" i="8"/>
  <c r="R185" i="8"/>
  <c r="Q185" i="8"/>
  <c r="P185" i="8"/>
  <c r="O185" i="8"/>
  <c r="N185" i="8"/>
  <c r="M185" i="8"/>
  <c r="L185" i="8"/>
  <c r="K185" i="8"/>
  <c r="J185" i="8"/>
  <c r="I185" i="8"/>
  <c r="H185" i="8"/>
  <c r="G185" i="8"/>
  <c r="F185" i="8"/>
  <c r="E185" i="8"/>
  <c r="D185" i="8"/>
  <c r="C185" i="8"/>
  <c r="B185" i="8"/>
  <c r="A185" i="8"/>
  <c r="W184" i="8"/>
  <c r="V184" i="8"/>
  <c r="U184" i="8"/>
  <c r="T184" i="8"/>
  <c r="S184" i="8"/>
  <c r="R184" i="8"/>
  <c r="Q184" i="8"/>
  <c r="P184" i="8"/>
  <c r="O184" i="8"/>
  <c r="N184" i="8"/>
  <c r="M184" i="8"/>
  <c r="L184" i="8"/>
  <c r="K184" i="8"/>
  <c r="J184" i="8"/>
  <c r="I184" i="8"/>
  <c r="H184" i="8"/>
  <c r="G184" i="8"/>
  <c r="F184" i="8"/>
  <c r="E184" i="8"/>
  <c r="D184" i="8"/>
  <c r="C184" i="8"/>
  <c r="B184" i="8"/>
  <c r="A184" i="8"/>
  <c r="W183" i="8"/>
  <c r="V183" i="8"/>
  <c r="U183" i="8"/>
  <c r="T183" i="8"/>
  <c r="S183" i="8"/>
  <c r="R183" i="8"/>
  <c r="Q183" i="8"/>
  <c r="P183" i="8"/>
  <c r="O183" i="8"/>
  <c r="N183" i="8"/>
  <c r="M183" i="8"/>
  <c r="L183" i="8"/>
  <c r="K183" i="8"/>
  <c r="J183" i="8"/>
  <c r="I183" i="8"/>
  <c r="H183" i="8"/>
  <c r="G183" i="8"/>
  <c r="F183" i="8"/>
  <c r="E183" i="8"/>
  <c r="D183" i="8"/>
  <c r="C183" i="8"/>
  <c r="B183" i="8"/>
  <c r="A183" i="8"/>
  <c r="W182" i="8"/>
  <c r="V182" i="8"/>
  <c r="U182" i="8"/>
  <c r="T182" i="8"/>
  <c r="S182" i="8"/>
  <c r="R182" i="8"/>
  <c r="Q182" i="8"/>
  <c r="P182" i="8"/>
  <c r="O182" i="8"/>
  <c r="N182" i="8"/>
  <c r="M182" i="8"/>
  <c r="L182" i="8"/>
  <c r="K182" i="8"/>
  <c r="J182" i="8"/>
  <c r="I182" i="8"/>
  <c r="H182" i="8"/>
  <c r="G182" i="8"/>
  <c r="F182" i="8"/>
  <c r="E182" i="8"/>
  <c r="D182" i="8"/>
  <c r="C182" i="8"/>
  <c r="B182" i="8"/>
  <c r="A182" i="8"/>
  <c r="W181" i="8"/>
  <c r="V181" i="8"/>
  <c r="U181" i="8"/>
  <c r="T181" i="8"/>
  <c r="S181" i="8"/>
  <c r="R181" i="8"/>
  <c r="Q181" i="8"/>
  <c r="P181" i="8"/>
  <c r="O181" i="8"/>
  <c r="N181" i="8"/>
  <c r="M181" i="8"/>
  <c r="L181" i="8"/>
  <c r="K181" i="8"/>
  <c r="J181" i="8"/>
  <c r="I181" i="8"/>
  <c r="H181" i="8"/>
  <c r="G181" i="8"/>
  <c r="F181" i="8"/>
  <c r="E181" i="8"/>
  <c r="D181" i="8"/>
  <c r="C181" i="8"/>
  <c r="B181" i="8"/>
  <c r="A181" i="8"/>
  <c r="W180" i="8"/>
  <c r="V180" i="8"/>
  <c r="U180" i="8"/>
  <c r="T180" i="8"/>
  <c r="S180" i="8"/>
  <c r="R180" i="8"/>
  <c r="Q180" i="8"/>
  <c r="P180" i="8"/>
  <c r="O180" i="8"/>
  <c r="N180" i="8"/>
  <c r="M180" i="8"/>
  <c r="L180" i="8"/>
  <c r="K180" i="8"/>
  <c r="J180" i="8"/>
  <c r="I180" i="8"/>
  <c r="H180" i="8"/>
  <c r="G180" i="8"/>
  <c r="F180" i="8"/>
  <c r="E180" i="8"/>
  <c r="D180" i="8"/>
  <c r="C180" i="8"/>
  <c r="B180" i="8"/>
  <c r="A180" i="8"/>
  <c r="W179" i="8"/>
  <c r="V179" i="8"/>
  <c r="U179" i="8"/>
  <c r="T179" i="8"/>
  <c r="S179" i="8"/>
  <c r="R179" i="8"/>
  <c r="Q179" i="8"/>
  <c r="P179" i="8"/>
  <c r="O179" i="8"/>
  <c r="N179" i="8"/>
  <c r="M179" i="8"/>
  <c r="L179" i="8"/>
  <c r="K179" i="8"/>
  <c r="J179" i="8"/>
  <c r="I179" i="8"/>
  <c r="H179" i="8"/>
  <c r="G179" i="8"/>
  <c r="F179" i="8"/>
  <c r="E179" i="8"/>
  <c r="D179" i="8"/>
  <c r="C179" i="8"/>
  <c r="B179" i="8"/>
  <c r="A179" i="8"/>
  <c r="W178" i="8"/>
  <c r="V178" i="8"/>
  <c r="U178" i="8"/>
  <c r="T178" i="8"/>
  <c r="S178" i="8"/>
  <c r="R178" i="8"/>
  <c r="Q178" i="8"/>
  <c r="P178" i="8"/>
  <c r="O178" i="8"/>
  <c r="N178" i="8"/>
  <c r="M178" i="8"/>
  <c r="L178" i="8"/>
  <c r="K178" i="8"/>
  <c r="J178" i="8"/>
  <c r="I178" i="8"/>
  <c r="H178" i="8"/>
  <c r="G178" i="8"/>
  <c r="F178" i="8"/>
  <c r="E178" i="8"/>
  <c r="D178" i="8"/>
  <c r="C178" i="8"/>
  <c r="B178" i="8"/>
  <c r="A178" i="8"/>
  <c r="W177" i="8"/>
  <c r="V177" i="8"/>
  <c r="U177" i="8"/>
  <c r="T177" i="8"/>
  <c r="S177" i="8"/>
  <c r="R177" i="8"/>
  <c r="Q177" i="8"/>
  <c r="P177" i="8"/>
  <c r="O177" i="8"/>
  <c r="N177" i="8"/>
  <c r="M177" i="8"/>
  <c r="L177" i="8"/>
  <c r="K177" i="8"/>
  <c r="J177" i="8"/>
  <c r="I177" i="8"/>
  <c r="H177" i="8"/>
  <c r="G177" i="8"/>
  <c r="F177" i="8"/>
  <c r="E177" i="8"/>
  <c r="D177" i="8"/>
  <c r="C177" i="8"/>
  <c r="B177" i="8"/>
  <c r="A177" i="8"/>
  <c r="W176" i="8"/>
  <c r="V176" i="8"/>
  <c r="U176" i="8"/>
  <c r="T176" i="8"/>
  <c r="S176" i="8"/>
  <c r="R176" i="8"/>
  <c r="Q176" i="8"/>
  <c r="P176" i="8"/>
  <c r="O176" i="8"/>
  <c r="N176" i="8"/>
  <c r="M176" i="8"/>
  <c r="L176" i="8"/>
  <c r="K176" i="8"/>
  <c r="J176" i="8"/>
  <c r="I176" i="8"/>
  <c r="H176" i="8"/>
  <c r="G176" i="8"/>
  <c r="F176" i="8"/>
  <c r="E176" i="8"/>
  <c r="D176" i="8"/>
  <c r="C176" i="8"/>
  <c r="B176" i="8"/>
  <c r="A176" i="8"/>
  <c r="W175" i="8"/>
  <c r="V175" i="8"/>
  <c r="U175" i="8"/>
  <c r="T175" i="8"/>
  <c r="S175" i="8"/>
  <c r="R175" i="8"/>
  <c r="Q175" i="8"/>
  <c r="P175" i="8"/>
  <c r="O175" i="8"/>
  <c r="N175" i="8"/>
  <c r="M175" i="8"/>
  <c r="L175" i="8"/>
  <c r="K175" i="8"/>
  <c r="J175" i="8"/>
  <c r="I175" i="8"/>
  <c r="H175" i="8"/>
  <c r="G175" i="8"/>
  <c r="F175" i="8"/>
  <c r="E175" i="8"/>
  <c r="D175" i="8"/>
  <c r="C175" i="8"/>
  <c r="B175" i="8"/>
  <c r="A175" i="8"/>
  <c r="W174" i="8"/>
  <c r="V174" i="8"/>
  <c r="U174" i="8"/>
  <c r="T174" i="8"/>
  <c r="S174" i="8"/>
  <c r="R174" i="8"/>
  <c r="Q174" i="8"/>
  <c r="P174" i="8"/>
  <c r="O174" i="8"/>
  <c r="N174" i="8"/>
  <c r="M174" i="8"/>
  <c r="L174" i="8"/>
  <c r="K174" i="8"/>
  <c r="J174" i="8"/>
  <c r="I174" i="8"/>
  <c r="H174" i="8"/>
  <c r="G174" i="8"/>
  <c r="F174" i="8"/>
  <c r="E174" i="8"/>
  <c r="D174" i="8"/>
  <c r="C174" i="8"/>
  <c r="B174" i="8"/>
  <c r="A174" i="8"/>
  <c r="W173" i="8"/>
  <c r="V173" i="8"/>
  <c r="U173" i="8"/>
  <c r="T173" i="8"/>
  <c r="S173" i="8"/>
  <c r="R173" i="8"/>
  <c r="Q173" i="8"/>
  <c r="P173" i="8"/>
  <c r="O173" i="8"/>
  <c r="N173" i="8"/>
  <c r="M173" i="8"/>
  <c r="L173" i="8"/>
  <c r="K173" i="8"/>
  <c r="J173" i="8"/>
  <c r="I173" i="8"/>
  <c r="H173" i="8"/>
  <c r="G173" i="8"/>
  <c r="F173" i="8"/>
  <c r="E173" i="8"/>
  <c r="D173" i="8"/>
  <c r="C173" i="8"/>
  <c r="B173" i="8"/>
  <c r="A173" i="8"/>
  <c r="W172" i="8"/>
  <c r="V172" i="8"/>
  <c r="U172" i="8"/>
  <c r="T172" i="8"/>
  <c r="S172" i="8"/>
  <c r="R172" i="8"/>
  <c r="Q172" i="8"/>
  <c r="P172" i="8"/>
  <c r="O172" i="8"/>
  <c r="N172" i="8"/>
  <c r="M172" i="8"/>
  <c r="L172" i="8"/>
  <c r="K172" i="8"/>
  <c r="J172" i="8"/>
  <c r="I172" i="8"/>
  <c r="H172" i="8"/>
  <c r="G172" i="8"/>
  <c r="F172" i="8"/>
  <c r="E172" i="8"/>
  <c r="D172" i="8"/>
  <c r="C172" i="8"/>
  <c r="B172" i="8"/>
  <c r="A172" i="8"/>
  <c r="W171" i="8"/>
  <c r="V171" i="8"/>
  <c r="U171" i="8"/>
  <c r="T171" i="8"/>
  <c r="S171" i="8"/>
  <c r="R171" i="8"/>
  <c r="Q171" i="8"/>
  <c r="P171" i="8"/>
  <c r="O171" i="8"/>
  <c r="N171" i="8"/>
  <c r="M171" i="8"/>
  <c r="L171" i="8"/>
  <c r="K171" i="8"/>
  <c r="J171" i="8"/>
  <c r="I171" i="8"/>
  <c r="H171" i="8"/>
  <c r="G171" i="8"/>
  <c r="F171" i="8"/>
  <c r="E171" i="8"/>
  <c r="D171" i="8"/>
  <c r="C171" i="8"/>
  <c r="B171" i="8"/>
  <c r="A171" i="8"/>
  <c r="W170" i="8"/>
  <c r="V170" i="8"/>
  <c r="U170" i="8"/>
  <c r="T170" i="8"/>
  <c r="S170" i="8"/>
  <c r="R170" i="8"/>
  <c r="Q170" i="8"/>
  <c r="P170" i="8"/>
  <c r="O170" i="8"/>
  <c r="N170" i="8"/>
  <c r="M170" i="8"/>
  <c r="L170" i="8"/>
  <c r="K170" i="8"/>
  <c r="J170" i="8"/>
  <c r="I170" i="8"/>
  <c r="H170" i="8"/>
  <c r="G170" i="8"/>
  <c r="F170" i="8"/>
  <c r="E170" i="8"/>
  <c r="D170" i="8"/>
  <c r="C170" i="8"/>
  <c r="B170" i="8"/>
  <c r="A170" i="8"/>
  <c r="W169" i="8"/>
  <c r="V169" i="8"/>
  <c r="U169" i="8"/>
  <c r="T169" i="8"/>
  <c r="S169" i="8"/>
  <c r="R169" i="8"/>
  <c r="Q169" i="8"/>
  <c r="P169" i="8"/>
  <c r="O169" i="8"/>
  <c r="N169" i="8"/>
  <c r="M169" i="8"/>
  <c r="L169" i="8"/>
  <c r="K169" i="8"/>
  <c r="J169" i="8"/>
  <c r="I169" i="8"/>
  <c r="H169" i="8"/>
  <c r="G169" i="8"/>
  <c r="F169" i="8"/>
  <c r="E169" i="8"/>
  <c r="D169" i="8"/>
  <c r="C169" i="8"/>
  <c r="B169" i="8"/>
  <c r="A169" i="8"/>
  <c r="W168" i="8"/>
  <c r="V168" i="8"/>
  <c r="U168" i="8"/>
  <c r="T168" i="8"/>
  <c r="S168" i="8"/>
  <c r="R168" i="8"/>
  <c r="Q168" i="8"/>
  <c r="P168" i="8"/>
  <c r="O168" i="8"/>
  <c r="N168" i="8"/>
  <c r="M168" i="8"/>
  <c r="L168" i="8"/>
  <c r="K168" i="8"/>
  <c r="J168" i="8"/>
  <c r="I168" i="8"/>
  <c r="H168" i="8"/>
  <c r="G168" i="8"/>
  <c r="F168" i="8"/>
  <c r="E168" i="8"/>
  <c r="D168" i="8"/>
  <c r="C168" i="8"/>
  <c r="B168" i="8"/>
  <c r="A168" i="8"/>
  <c r="W167" i="8"/>
  <c r="V167" i="8"/>
  <c r="U167" i="8"/>
  <c r="T167" i="8"/>
  <c r="S167" i="8"/>
  <c r="R167" i="8"/>
  <c r="Q167" i="8"/>
  <c r="P167" i="8"/>
  <c r="O167" i="8"/>
  <c r="N167" i="8"/>
  <c r="M167" i="8"/>
  <c r="L167" i="8"/>
  <c r="K167" i="8"/>
  <c r="J167" i="8"/>
  <c r="I167" i="8"/>
  <c r="H167" i="8"/>
  <c r="G167" i="8"/>
  <c r="F167" i="8"/>
  <c r="E167" i="8"/>
  <c r="D167" i="8"/>
  <c r="C167" i="8"/>
  <c r="B167" i="8"/>
  <c r="A167" i="8"/>
  <c r="W166" i="8"/>
  <c r="V166" i="8"/>
  <c r="U166" i="8"/>
  <c r="T166" i="8"/>
  <c r="S166" i="8"/>
  <c r="R166" i="8"/>
  <c r="Q166" i="8"/>
  <c r="P166" i="8"/>
  <c r="O166" i="8"/>
  <c r="N166" i="8"/>
  <c r="M166" i="8"/>
  <c r="L166" i="8"/>
  <c r="K166" i="8"/>
  <c r="J166" i="8"/>
  <c r="I166" i="8"/>
  <c r="H166" i="8"/>
  <c r="G166" i="8"/>
  <c r="F166" i="8"/>
  <c r="E166" i="8"/>
  <c r="D166" i="8"/>
  <c r="C166" i="8"/>
  <c r="B166" i="8"/>
  <c r="A166" i="8"/>
  <c r="W165" i="8"/>
  <c r="V165" i="8"/>
  <c r="U165" i="8"/>
  <c r="T165" i="8"/>
  <c r="S165" i="8"/>
  <c r="R165" i="8"/>
  <c r="Q165" i="8"/>
  <c r="P165" i="8"/>
  <c r="O165" i="8"/>
  <c r="N165" i="8"/>
  <c r="M165" i="8"/>
  <c r="L165" i="8"/>
  <c r="K165" i="8"/>
  <c r="J165" i="8"/>
  <c r="I165" i="8"/>
  <c r="H165" i="8"/>
  <c r="G165" i="8"/>
  <c r="F165" i="8"/>
  <c r="E165" i="8"/>
  <c r="D165" i="8"/>
  <c r="C165" i="8"/>
  <c r="B165" i="8"/>
  <c r="A165" i="8"/>
  <c r="W164" i="8"/>
  <c r="V164" i="8"/>
  <c r="U164" i="8"/>
  <c r="T164" i="8"/>
  <c r="S164" i="8"/>
  <c r="R164" i="8"/>
  <c r="Q164" i="8"/>
  <c r="P164" i="8"/>
  <c r="O164" i="8"/>
  <c r="N164" i="8"/>
  <c r="M164" i="8"/>
  <c r="L164" i="8"/>
  <c r="K164" i="8"/>
  <c r="J164" i="8"/>
  <c r="I164" i="8"/>
  <c r="H164" i="8"/>
  <c r="G164" i="8"/>
  <c r="F164" i="8"/>
  <c r="E164" i="8"/>
  <c r="D164" i="8"/>
  <c r="C164" i="8"/>
  <c r="B164" i="8"/>
  <c r="A164" i="8"/>
  <c r="W163" i="8"/>
  <c r="V163" i="8"/>
  <c r="U163" i="8"/>
  <c r="T163" i="8"/>
  <c r="S163" i="8"/>
  <c r="R163" i="8"/>
  <c r="Q163" i="8"/>
  <c r="P163" i="8"/>
  <c r="O163" i="8"/>
  <c r="N163" i="8"/>
  <c r="M163" i="8"/>
  <c r="L163" i="8"/>
  <c r="K163" i="8"/>
  <c r="J163" i="8"/>
  <c r="I163" i="8"/>
  <c r="H163" i="8"/>
  <c r="G163" i="8"/>
  <c r="F163" i="8"/>
  <c r="E163" i="8"/>
  <c r="D163" i="8"/>
  <c r="C163" i="8"/>
  <c r="B163" i="8"/>
  <c r="A163" i="8"/>
  <c r="W162" i="8"/>
  <c r="V162" i="8"/>
  <c r="U162" i="8"/>
  <c r="T162" i="8"/>
  <c r="S162" i="8"/>
  <c r="R162" i="8"/>
  <c r="Q162" i="8"/>
  <c r="P162" i="8"/>
  <c r="O162" i="8"/>
  <c r="N162" i="8"/>
  <c r="M162" i="8"/>
  <c r="L162" i="8"/>
  <c r="K162" i="8"/>
  <c r="J162" i="8"/>
  <c r="I162" i="8"/>
  <c r="H162" i="8"/>
  <c r="G162" i="8"/>
  <c r="F162" i="8"/>
  <c r="E162" i="8"/>
  <c r="D162" i="8"/>
  <c r="C162" i="8"/>
  <c r="B162" i="8"/>
  <c r="A162" i="8"/>
  <c r="W161" i="8"/>
  <c r="V161" i="8"/>
  <c r="U161" i="8"/>
  <c r="T161" i="8"/>
  <c r="S161" i="8"/>
  <c r="R161" i="8"/>
  <c r="Q161" i="8"/>
  <c r="P161" i="8"/>
  <c r="O161" i="8"/>
  <c r="N161" i="8"/>
  <c r="M161" i="8"/>
  <c r="L161" i="8"/>
  <c r="K161" i="8"/>
  <c r="J161" i="8"/>
  <c r="I161" i="8"/>
  <c r="H161" i="8"/>
  <c r="G161" i="8"/>
  <c r="F161" i="8"/>
  <c r="E161" i="8"/>
  <c r="D161" i="8"/>
  <c r="C161" i="8"/>
  <c r="B161" i="8"/>
  <c r="A161" i="8"/>
  <c r="W160" i="8"/>
  <c r="V160" i="8"/>
  <c r="U160" i="8"/>
  <c r="T160" i="8"/>
  <c r="S160" i="8"/>
  <c r="R160" i="8"/>
  <c r="Q160" i="8"/>
  <c r="P160" i="8"/>
  <c r="O160" i="8"/>
  <c r="N160" i="8"/>
  <c r="M160" i="8"/>
  <c r="L160" i="8"/>
  <c r="K160" i="8"/>
  <c r="J160" i="8"/>
  <c r="I160" i="8"/>
  <c r="H160" i="8"/>
  <c r="G160" i="8"/>
  <c r="F160" i="8"/>
  <c r="E160" i="8"/>
  <c r="D160" i="8"/>
  <c r="C160" i="8"/>
  <c r="B160" i="8"/>
  <c r="A160" i="8"/>
  <c r="W159" i="8"/>
  <c r="V159" i="8"/>
  <c r="U159" i="8"/>
  <c r="T159" i="8"/>
  <c r="S159" i="8"/>
  <c r="R159" i="8"/>
  <c r="Q159" i="8"/>
  <c r="P159" i="8"/>
  <c r="O159" i="8"/>
  <c r="N159" i="8"/>
  <c r="M159" i="8"/>
  <c r="L159" i="8"/>
  <c r="K159" i="8"/>
  <c r="J159" i="8"/>
  <c r="I159" i="8"/>
  <c r="H159" i="8"/>
  <c r="G159" i="8"/>
  <c r="F159" i="8"/>
  <c r="E159" i="8"/>
  <c r="D159" i="8"/>
  <c r="C159" i="8"/>
  <c r="B159" i="8"/>
  <c r="A159" i="8"/>
  <c r="W158" i="8"/>
  <c r="V158" i="8"/>
  <c r="U158" i="8"/>
  <c r="T158" i="8"/>
  <c r="S158" i="8"/>
  <c r="R158" i="8"/>
  <c r="Q158" i="8"/>
  <c r="P158" i="8"/>
  <c r="O158" i="8"/>
  <c r="N158" i="8"/>
  <c r="M158" i="8"/>
  <c r="L158" i="8"/>
  <c r="K158" i="8"/>
  <c r="J158" i="8"/>
  <c r="I158" i="8"/>
  <c r="H158" i="8"/>
  <c r="G158" i="8"/>
  <c r="F158" i="8"/>
  <c r="E158" i="8"/>
  <c r="D158" i="8"/>
  <c r="C158" i="8"/>
  <c r="B158" i="8"/>
  <c r="A158" i="8"/>
  <c r="W157" i="8"/>
  <c r="V157" i="8"/>
  <c r="U157" i="8"/>
  <c r="T157" i="8"/>
  <c r="S157" i="8"/>
  <c r="R157" i="8"/>
  <c r="Q157" i="8"/>
  <c r="P157" i="8"/>
  <c r="O157" i="8"/>
  <c r="N157" i="8"/>
  <c r="M157" i="8"/>
  <c r="L157" i="8"/>
  <c r="K157" i="8"/>
  <c r="J157" i="8"/>
  <c r="I157" i="8"/>
  <c r="H157" i="8"/>
  <c r="G157" i="8"/>
  <c r="F157" i="8"/>
  <c r="E157" i="8"/>
  <c r="D157" i="8"/>
  <c r="C157" i="8"/>
  <c r="B157" i="8"/>
  <c r="A157" i="8"/>
  <c r="W156" i="8"/>
  <c r="V156" i="8"/>
  <c r="U156" i="8"/>
  <c r="T156" i="8"/>
  <c r="S156" i="8"/>
  <c r="R156" i="8"/>
  <c r="Q156" i="8"/>
  <c r="P156" i="8"/>
  <c r="O156" i="8"/>
  <c r="N156" i="8"/>
  <c r="M156" i="8"/>
  <c r="L156" i="8"/>
  <c r="K156" i="8"/>
  <c r="J156" i="8"/>
  <c r="I156" i="8"/>
  <c r="H156" i="8"/>
  <c r="G156" i="8"/>
  <c r="F156" i="8"/>
  <c r="E156" i="8"/>
  <c r="D156" i="8"/>
  <c r="C156" i="8"/>
  <c r="B156" i="8"/>
  <c r="A156" i="8"/>
  <c r="W155" i="8"/>
  <c r="V155" i="8"/>
  <c r="U155" i="8"/>
  <c r="T155" i="8"/>
  <c r="S155" i="8"/>
  <c r="R155" i="8"/>
  <c r="Q155" i="8"/>
  <c r="P155" i="8"/>
  <c r="O155" i="8"/>
  <c r="N155" i="8"/>
  <c r="M155" i="8"/>
  <c r="L155" i="8"/>
  <c r="K155" i="8"/>
  <c r="J155" i="8"/>
  <c r="I155" i="8"/>
  <c r="H155" i="8"/>
  <c r="G155" i="8"/>
  <c r="F155" i="8"/>
  <c r="E155" i="8"/>
  <c r="D155" i="8"/>
  <c r="C155" i="8"/>
  <c r="B155" i="8"/>
  <c r="A155" i="8"/>
  <c r="W154" i="8"/>
  <c r="V154" i="8"/>
  <c r="U154" i="8"/>
  <c r="T154" i="8"/>
  <c r="S154" i="8"/>
  <c r="R154" i="8"/>
  <c r="Q154" i="8"/>
  <c r="P154" i="8"/>
  <c r="O154" i="8"/>
  <c r="N154" i="8"/>
  <c r="M154" i="8"/>
  <c r="L154" i="8"/>
  <c r="K154" i="8"/>
  <c r="J154" i="8"/>
  <c r="I154" i="8"/>
  <c r="H154" i="8"/>
  <c r="G154" i="8"/>
  <c r="F154" i="8"/>
  <c r="E154" i="8"/>
  <c r="D154" i="8"/>
  <c r="C154" i="8"/>
  <c r="B154" i="8"/>
  <c r="A154" i="8"/>
  <c r="W153" i="8"/>
  <c r="V153" i="8"/>
  <c r="U153" i="8"/>
  <c r="T153" i="8"/>
  <c r="S153" i="8"/>
  <c r="R153" i="8"/>
  <c r="Q153" i="8"/>
  <c r="P153" i="8"/>
  <c r="O153" i="8"/>
  <c r="N153" i="8"/>
  <c r="M153" i="8"/>
  <c r="L153" i="8"/>
  <c r="K153" i="8"/>
  <c r="J153" i="8"/>
  <c r="I153" i="8"/>
  <c r="H153" i="8"/>
  <c r="G153" i="8"/>
  <c r="F153" i="8"/>
  <c r="E153" i="8"/>
  <c r="D153" i="8"/>
  <c r="C153" i="8"/>
  <c r="B153" i="8"/>
  <c r="A153" i="8"/>
  <c r="W152" i="8"/>
  <c r="V152" i="8"/>
  <c r="U152" i="8"/>
  <c r="T152" i="8"/>
  <c r="S152" i="8"/>
  <c r="R152" i="8"/>
  <c r="Q152" i="8"/>
  <c r="P152" i="8"/>
  <c r="O152" i="8"/>
  <c r="N152" i="8"/>
  <c r="M152" i="8"/>
  <c r="L152" i="8"/>
  <c r="K152" i="8"/>
  <c r="J152" i="8"/>
  <c r="I152" i="8"/>
  <c r="H152" i="8"/>
  <c r="G152" i="8"/>
  <c r="F152" i="8"/>
  <c r="E152" i="8"/>
  <c r="D152" i="8"/>
  <c r="C152" i="8"/>
  <c r="B152" i="8"/>
  <c r="A152" i="8"/>
  <c r="W151" i="8"/>
  <c r="V151" i="8"/>
  <c r="U151" i="8"/>
  <c r="T151" i="8"/>
  <c r="S151" i="8"/>
  <c r="R151" i="8"/>
  <c r="Q151" i="8"/>
  <c r="P151" i="8"/>
  <c r="O151" i="8"/>
  <c r="N151" i="8"/>
  <c r="M151" i="8"/>
  <c r="L151" i="8"/>
  <c r="K151" i="8"/>
  <c r="J151" i="8"/>
  <c r="I151" i="8"/>
  <c r="H151" i="8"/>
  <c r="G151" i="8"/>
  <c r="F151" i="8"/>
  <c r="E151" i="8"/>
  <c r="D151" i="8"/>
  <c r="C151" i="8"/>
  <c r="B151" i="8"/>
  <c r="A151" i="8"/>
  <c r="W150" i="8"/>
  <c r="V150" i="8"/>
  <c r="U150" i="8"/>
  <c r="T150" i="8"/>
  <c r="S150" i="8"/>
  <c r="R150" i="8"/>
  <c r="Q150" i="8"/>
  <c r="P150" i="8"/>
  <c r="O150" i="8"/>
  <c r="N150" i="8"/>
  <c r="M150" i="8"/>
  <c r="L150" i="8"/>
  <c r="K150" i="8"/>
  <c r="J150" i="8"/>
  <c r="I150" i="8"/>
  <c r="H150" i="8"/>
  <c r="G150" i="8"/>
  <c r="F150" i="8"/>
  <c r="E150" i="8"/>
  <c r="D150" i="8"/>
  <c r="C150" i="8"/>
  <c r="B150" i="8"/>
  <c r="A150" i="8"/>
  <c r="W149" i="8"/>
  <c r="V149" i="8"/>
  <c r="U149" i="8"/>
  <c r="T149" i="8"/>
  <c r="S149" i="8"/>
  <c r="R149" i="8"/>
  <c r="Q149" i="8"/>
  <c r="P149" i="8"/>
  <c r="O149" i="8"/>
  <c r="N149" i="8"/>
  <c r="M149" i="8"/>
  <c r="L149" i="8"/>
  <c r="K149" i="8"/>
  <c r="J149" i="8"/>
  <c r="I149" i="8"/>
  <c r="H149" i="8"/>
  <c r="G149" i="8"/>
  <c r="F149" i="8"/>
  <c r="E149" i="8"/>
  <c r="D149" i="8"/>
  <c r="C149" i="8"/>
  <c r="B149" i="8"/>
  <c r="A149" i="8"/>
  <c r="W148" i="8"/>
  <c r="V148" i="8"/>
  <c r="U148" i="8"/>
  <c r="T148" i="8"/>
  <c r="S148" i="8"/>
  <c r="R148" i="8"/>
  <c r="Q148" i="8"/>
  <c r="P148" i="8"/>
  <c r="O148" i="8"/>
  <c r="N148" i="8"/>
  <c r="M148" i="8"/>
  <c r="L148" i="8"/>
  <c r="K148" i="8"/>
  <c r="J148" i="8"/>
  <c r="I148" i="8"/>
  <c r="H148" i="8"/>
  <c r="G148" i="8"/>
  <c r="F148" i="8"/>
  <c r="E148" i="8"/>
  <c r="D148" i="8"/>
  <c r="C148" i="8"/>
  <c r="B148" i="8"/>
  <c r="A148" i="8"/>
  <c r="W147" i="8"/>
  <c r="V147" i="8"/>
  <c r="U147" i="8"/>
  <c r="T147" i="8"/>
  <c r="S147" i="8"/>
  <c r="R147" i="8"/>
  <c r="Q147" i="8"/>
  <c r="P147" i="8"/>
  <c r="O147" i="8"/>
  <c r="N147" i="8"/>
  <c r="M147" i="8"/>
  <c r="L147" i="8"/>
  <c r="K147" i="8"/>
  <c r="J147" i="8"/>
  <c r="I147" i="8"/>
  <c r="H147" i="8"/>
  <c r="G147" i="8"/>
  <c r="F147" i="8"/>
  <c r="E147" i="8"/>
  <c r="D147" i="8"/>
  <c r="C147" i="8"/>
  <c r="B147" i="8"/>
  <c r="A147" i="8"/>
  <c r="W146" i="8"/>
  <c r="V146" i="8"/>
  <c r="U146" i="8"/>
  <c r="T146" i="8"/>
  <c r="S146" i="8"/>
  <c r="R146" i="8"/>
  <c r="Q146" i="8"/>
  <c r="P146" i="8"/>
  <c r="O146" i="8"/>
  <c r="N146" i="8"/>
  <c r="M146" i="8"/>
  <c r="L146" i="8"/>
  <c r="K146" i="8"/>
  <c r="J146" i="8"/>
  <c r="I146" i="8"/>
  <c r="H146" i="8"/>
  <c r="G146" i="8"/>
  <c r="F146" i="8"/>
  <c r="E146" i="8"/>
  <c r="D146" i="8"/>
  <c r="C146" i="8"/>
  <c r="B146" i="8"/>
  <c r="A146" i="8"/>
  <c r="W145" i="8"/>
  <c r="V145" i="8"/>
  <c r="U145" i="8"/>
  <c r="T145" i="8"/>
  <c r="S145" i="8"/>
  <c r="R145" i="8"/>
  <c r="Q145" i="8"/>
  <c r="P145" i="8"/>
  <c r="O145" i="8"/>
  <c r="N145" i="8"/>
  <c r="M145" i="8"/>
  <c r="L145" i="8"/>
  <c r="K145" i="8"/>
  <c r="J145" i="8"/>
  <c r="I145" i="8"/>
  <c r="H145" i="8"/>
  <c r="G145" i="8"/>
  <c r="F145" i="8"/>
  <c r="E145" i="8"/>
  <c r="D145" i="8"/>
  <c r="C145" i="8"/>
  <c r="B145" i="8"/>
  <c r="A145" i="8"/>
  <c r="W144" i="8"/>
  <c r="V144" i="8"/>
  <c r="U144" i="8"/>
  <c r="T144" i="8"/>
  <c r="S144" i="8"/>
  <c r="R144" i="8"/>
  <c r="Q144" i="8"/>
  <c r="P144" i="8"/>
  <c r="O144" i="8"/>
  <c r="N144" i="8"/>
  <c r="M144" i="8"/>
  <c r="L144" i="8"/>
  <c r="K144" i="8"/>
  <c r="J144" i="8"/>
  <c r="I144" i="8"/>
  <c r="H144" i="8"/>
  <c r="G144" i="8"/>
  <c r="F144" i="8"/>
  <c r="E144" i="8"/>
  <c r="D144" i="8"/>
  <c r="C144" i="8"/>
  <c r="B144" i="8"/>
  <c r="A144" i="8"/>
  <c r="W143" i="8"/>
  <c r="V143" i="8"/>
  <c r="U143" i="8"/>
  <c r="T143" i="8"/>
  <c r="S143" i="8"/>
  <c r="R143" i="8"/>
  <c r="Q143" i="8"/>
  <c r="P143" i="8"/>
  <c r="O143" i="8"/>
  <c r="N143" i="8"/>
  <c r="M143" i="8"/>
  <c r="L143" i="8"/>
  <c r="K143" i="8"/>
  <c r="J143" i="8"/>
  <c r="I143" i="8"/>
  <c r="H143" i="8"/>
  <c r="G143" i="8"/>
  <c r="F143" i="8"/>
  <c r="E143" i="8"/>
  <c r="D143" i="8"/>
  <c r="C143" i="8"/>
  <c r="B143" i="8"/>
  <c r="A143" i="8"/>
  <c r="W142" i="8"/>
  <c r="V142" i="8"/>
  <c r="U142" i="8"/>
  <c r="T142" i="8"/>
  <c r="S142" i="8"/>
  <c r="R142" i="8"/>
  <c r="Q142" i="8"/>
  <c r="P142" i="8"/>
  <c r="O142" i="8"/>
  <c r="N142" i="8"/>
  <c r="M142" i="8"/>
  <c r="L142" i="8"/>
  <c r="K142" i="8"/>
  <c r="J142" i="8"/>
  <c r="I142" i="8"/>
  <c r="H142" i="8"/>
  <c r="G142" i="8"/>
  <c r="F142" i="8"/>
  <c r="E142" i="8"/>
  <c r="D142" i="8"/>
  <c r="C142" i="8"/>
  <c r="B142" i="8"/>
  <c r="A142" i="8"/>
  <c r="W141" i="8"/>
  <c r="V141" i="8"/>
  <c r="U141" i="8"/>
  <c r="T141" i="8"/>
  <c r="S141" i="8"/>
  <c r="R141" i="8"/>
  <c r="Q141" i="8"/>
  <c r="P141" i="8"/>
  <c r="O141" i="8"/>
  <c r="N141" i="8"/>
  <c r="M141" i="8"/>
  <c r="L141" i="8"/>
  <c r="K141" i="8"/>
  <c r="J141" i="8"/>
  <c r="I141" i="8"/>
  <c r="H141" i="8"/>
  <c r="G141" i="8"/>
  <c r="F141" i="8"/>
  <c r="E141" i="8"/>
  <c r="D141" i="8"/>
  <c r="C141" i="8"/>
  <c r="B141" i="8"/>
  <c r="A141" i="8"/>
  <c r="W140" i="8"/>
  <c r="V140" i="8"/>
  <c r="U140" i="8"/>
  <c r="T140" i="8"/>
  <c r="S140" i="8"/>
  <c r="R140" i="8"/>
  <c r="Q140" i="8"/>
  <c r="P140" i="8"/>
  <c r="O140" i="8"/>
  <c r="N140" i="8"/>
  <c r="M140" i="8"/>
  <c r="L140" i="8"/>
  <c r="K140" i="8"/>
  <c r="J140" i="8"/>
  <c r="I140" i="8"/>
  <c r="H140" i="8"/>
  <c r="G140" i="8"/>
  <c r="F140" i="8"/>
  <c r="E140" i="8"/>
  <c r="D140" i="8"/>
  <c r="C140" i="8"/>
  <c r="B140" i="8"/>
  <c r="A140" i="8"/>
  <c r="W139" i="8"/>
  <c r="V139" i="8"/>
  <c r="U139" i="8"/>
  <c r="T139" i="8"/>
  <c r="S139" i="8"/>
  <c r="R139" i="8"/>
  <c r="Q139" i="8"/>
  <c r="P139" i="8"/>
  <c r="O139" i="8"/>
  <c r="N139" i="8"/>
  <c r="M139" i="8"/>
  <c r="L139" i="8"/>
  <c r="K139" i="8"/>
  <c r="J139" i="8"/>
  <c r="I139" i="8"/>
  <c r="H139" i="8"/>
  <c r="G139" i="8"/>
  <c r="F139" i="8"/>
  <c r="E139" i="8"/>
  <c r="D139" i="8"/>
  <c r="C139" i="8"/>
  <c r="B139" i="8"/>
  <c r="A139" i="8"/>
  <c r="W138" i="8"/>
  <c r="V138" i="8"/>
  <c r="U138" i="8"/>
  <c r="T138" i="8"/>
  <c r="S138" i="8"/>
  <c r="R138" i="8"/>
  <c r="Q138" i="8"/>
  <c r="P138" i="8"/>
  <c r="O138" i="8"/>
  <c r="N138" i="8"/>
  <c r="M138" i="8"/>
  <c r="L138" i="8"/>
  <c r="K138" i="8"/>
  <c r="J138" i="8"/>
  <c r="I138" i="8"/>
  <c r="H138" i="8"/>
  <c r="G138" i="8"/>
  <c r="F138" i="8"/>
  <c r="E138" i="8"/>
  <c r="D138" i="8"/>
  <c r="C138" i="8"/>
  <c r="B138" i="8"/>
  <c r="A138" i="8"/>
  <c r="W137" i="8"/>
  <c r="V137" i="8"/>
  <c r="U137" i="8"/>
  <c r="T137" i="8"/>
  <c r="S137" i="8"/>
  <c r="R137" i="8"/>
  <c r="Q137" i="8"/>
  <c r="P137" i="8"/>
  <c r="O137" i="8"/>
  <c r="N137" i="8"/>
  <c r="M137" i="8"/>
  <c r="L137" i="8"/>
  <c r="K137" i="8"/>
  <c r="J137" i="8"/>
  <c r="I137" i="8"/>
  <c r="H137" i="8"/>
  <c r="G137" i="8"/>
  <c r="F137" i="8"/>
  <c r="E137" i="8"/>
  <c r="D137" i="8"/>
  <c r="C137" i="8"/>
  <c r="B137" i="8"/>
  <c r="A137" i="8"/>
  <c r="W136" i="8"/>
  <c r="V136" i="8"/>
  <c r="U136" i="8"/>
  <c r="T136" i="8"/>
  <c r="S136" i="8"/>
  <c r="R136" i="8"/>
  <c r="Q136" i="8"/>
  <c r="P136" i="8"/>
  <c r="O136" i="8"/>
  <c r="N136" i="8"/>
  <c r="M136" i="8"/>
  <c r="L136" i="8"/>
  <c r="K136" i="8"/>
  <c r="J136" i="8"/>
  <c r="I136" i="8"/>
  <c r="H136" i="8"/>
  <c r="G136" i="8"/>
  <c r="F136" i="8"/>
  <c r="E136" i="8"/>
  <c r="D136" i="8"/>
  <c r="C136" i="8"/>
  <c r="B136" i="8"/>
  <c r="A136" i="8"/>
  <c r="W135" i="8"/>
  <c r="V135" i="8"/>
  <c r="U135" i="8"/>
  <c r="T135" i="8"/>
  <c r="S135" i="8"/>
  <c r="R135" i="8"/>
  <c r="Q135" i="8"/>
  <c r="P135" i="8"/>
  <c r="O135" i="8"/>
  <c r="N135" i="8"/>
  <c r="M135" i="8"/>
  <c r="L135" i="8"/>
  <c r="K135" i="8"/>
  <c r="J135" i="8"/>
  <c r="I135" i="8"/>
  <c r="H135" i="8"/>
  <c r="G135" i="8"/>
  <c r="F135" i="8"/>
  <c r="E135" i="8"/>
  <c r="D135" i="8"/>
  <c r="C135" i="8"/>
  <c r="B135" i="8"/>
  <c r="A135" i="8"/>
  <c r="W134" i="8"/>
  <c r="V134" i="8"/>
  <c r="U134" i="8"/>
  <c r="T134" i="8"/>
  <c r="S134" i="8"/>
  <c r="R134" i="8"/>
  <c r="Q134" i="8"/>
  <c r="P134" i="8"/>
  <c r="O134" i="8"/>
  <c r="N134" i="8"/>
  <c r="M134" i="8"/>
  <c r="L134" i="8"/>
  <c r="K134" i="8"/>
  <c r="J134" i="8"/>
  <c r="I134" i="8"/>
  <c r="H134" i="8"/>
  <c r="G134" i="8"/>
  <c r="F134" i="8"/>
  <c r="E134" i="8"/>
  <c r="D134" i="8"/>
  <c r="C134" i="8"/>
  <c r="B134" i="8"/>
  <c r="A134" i="8"/>
  <c r="W133" i="8"/>
  <c r="V133" i="8"/>
  <c r="U133" i="8"/>
  <c r="T133" i="8"/>
  <c r="S133" i="8"/>
  <c r="R133" i="8"/>
  <c r="Q133" i="8"/>
  <c r="P133" i="8"/>
  <c r="O133" i="8"/>
  <c r="N133" i="8"/>
  <c r="M133" i="8"/>
  <c r="L133" i="8"/>
  <c r="K133" i="8"/>
  <c r="J133" i="8"/>
  <c r="I133" i="8"/>
  <c r="H133" i="8"/>
  <c r="G133" i="8"/>
  <c r="F133" i="8"/>
  <c r="E133" i="8"/>
  <c r="D133" i="8"/>
  <c r="C133" i="8"/>
  <c r="B133" i="8"/>
  <c r="A133" i="8"/>
  <c r="W132" i="8"/>
  <c r="V132" i="8"/>
  <c r="U132" i="8"/>
  <c r="T132" i="8"/>
  <c r="S132" i="8"/>
  <c r="R132" i="8"/>
  <c r="Q132" i="8"/>
  <c r="P132" i="8"/>
  <c r="O132" i="8"/>
  <c r="N132" i="8"/>
  <c r="M132" i="8"/>
  <c r="L132" i="8"/>
  <c r="K132" i="8"/>
  <c r="J132" i="8"/>
  <c r="I132" i="8"/>
  <c r="H132" i="8"/>
  <c r="G132" i="8"/>
  <c r="F132" i="8"/>
  <c r="E132" i="8"/>
  <c r="D132" i="8"/>
  <c r="C132" i="8"/>
  <c r="B132" i="8"/>
  <c r="A132" i="8"/>
  <c r="W131" i="8"/>
  <c r="V131" i="8"/>
  <c r="U131" i="8"/>
  <c r="T131" i="8"/>
  <c r="S131" i="8"/>
  <c r="R131" i="8"/>
  <c r="Q131" i="8"/>
  <c r="P131" i="8"/>
  <c r="O131" i="8"/>
  <c r="N131" i="8"/>
  <c r="M131" i="8"/>
  <c r="L131" i="8"/>
  <c r="K131" i="8"/>
  <c r="J131" i="8"/>
  <c r="I131" i="8"/>
  <c r="H131" i="8"/>
  <c r="G131" i="8"/>
  <c r="F131" i="8"/>
  <c r="E131" i="8"/>
  <c r="D131" i="8"/>
  <c r="C131" i="8"/>
  <c r="B131" i="8"/>
  <c r="A131" i="8"/>
  <c r="W130" i="8"/>
  <c r="V130" i="8"/>
  <c r="U130" i="8"/>
  <c r="T130" i="8"/>
  <c r="S130" i="8"/>
  <c r="R130" i="8"/>
  <c r="Q130" i="8"/>
  <c r="P130" i="8"/>
  <c r="O130" i="8"/>
  <c r="N130" i="8"/>
  <c r="M130" i="8"/>
  <c r="L130" i="8"/>
  <c r="K130" i="8"/>
  <c r="J130" i="8"/>
  <c r="I130" i="8"/>
  <c r="H130" i="8"/>
  <c r="G130" i="8"/>
  <c r="F130" i="8"/>
  <c r="E130" i="8"/>
  <c r="D130" i="8"/>
  <c r="C130" i="8"/>
  <c r="B130" i="8"/>
  <c r="A130" i="8"/>
  <c r="W129" i="8"/>
  <c r="V129" i="8"/>
  <c r="U129" i="8"/>
  <c r="T129" i="8"/>
  <c r="S129" i="8"/>
  <c r="R129" i="8"/>
  <c r="Q129" i="8"/>
  <c r="P129" i="8"/>
  <c r="O129" i="8"/>
  <c r="N129" i="8"/>
  <c r="M129" i="8"/>
  <c r="L129" i="8"/>
  <c r="K129" i="8"/>
  <c r="J129" i="8"/>
  <c r="I129" i="8"/>
  <c r="H129" i="8"/>
  <c r="G129" i="8"/>
  <c r="F129" i="8"/>
  <c r="E129" i="8"/>
  <c r="D129" i="8"/>
  <c r="C129" i="8"/>
  <c r="B129" i="8"/>
  <c r="A129" i="8"/>
  <c r="W128" i="8"/>
  <c r="V128" i="8"/>
  <c r="U128" i="8"/>
  <c r="T128" i="8"/>
  <c r="S128" i="8"/>
  <c r="R128" i="8"/>
  <c r="Q128" i="8"/>
  <c r="P128" i="8"/>
  <c r="O128" i="8"/>
  <c r="N128" i="8"/>
  <c r="M128" i="8"/>
  <c r="L128" i="8"/>
  <c r="K128" i="8"/>
  <c r="J128" i="8"/>
  <c r="I128" i="8"/>
  <c r="H128" i="8"/>
  <c r="G128" i="8"/>
  <c r="F128" i="8"/>
  <c r="E128" i="8"/>
  <c r="D128" i="8"/>
  <c r="C128" i="8"/>
  <c r="B128" i="8"/>
  <c r="A128" i="8"/>
  <c r="W127" i="8"/>
  <c r="V127" i="8"/>
  <c r="U127" i="8"/>
  <c r="T127" i="8"/>
  <c r="S127" i="8"/>
  <c r="R127" i="8"/>
  <c r="Q127" i="8"/>
  <c r="P127" i="8"/>
  <c r="O127" i="8"/>
  <c r="N127" i="8"/>
  <c r="M127" i="8"/>
  <c r="L127" i="8"/>
  <c r="K127" i="8"/>
  <c r="J127" i="8"/>
  <c r="I127" i="8"/>
  <c r="H127" i="8"/>
  <c r="G127" i="8"/>
  <c r="F127" i="8"/>
  <c r="E127" i="8"/>
  <c r="D127" i="8"/>
  <c r="C127" i="8"/>
  <c r="B127" i="8"/>
  <c r="A127" i="8"/>
  <c r="W126" i="8"/>
  <c r="V126" i="8"/>
  <c r="U126" i="8"/>
  <c r="T126" i="8"/>
  <c r="S126" i="8"/>
  <c r="R126" i="8"/>
  <c r="Q126" i="8"/>
  <c r="P126" i="8"/>
  <c r="O126" i="8"/>
  <c r="N126" i="8"/>
  <c r="M126" i="8"/>
  <c r="L126" i="8"/>
  <c r="K126" i="8"/>
  <c r="J126" i="8"/>
  <c r="I126" i="8"/>
  <c r="H126" i="8"/>
  <c r="G126" i="8"/>
  <c r="F126" i="8"/>
  <c r="E126" i="8"/>
  <c r="D126" i="8"/>
  <c r="C126" i="8"/>
  <c r="B126" i="8"/>
  <c r="A126" i="8"/>
  <c r="W125" i="8"/>
  <c r="V125" i="8"/>
  <c r="U125" i="8"/>
  <c r="T125" i="8"/>
  <c r="S125" i="8"/>
  <c r="R125" i="8"/>
  <c r="Q125" i="8"/>
  <c r="P125" i="8"/>
  <c r="O125" i="8"/>
  <c r="N125" i="8"/>
  <c r="M125" i="8"/>
  <c r="L125" i="8"/>
  <c r="K125" i="8"/>
  <c r="J125" i="8"/>
  <c r="I125" i="8"/>
  <c r="H125" i="8"/>
  <c r="G125" i="8"/>
  <c r="F125" i="8"/>
  <c r="E125" i="8"/>
  <c r="D125" i="8"/>
  <c r="C125" i="8"/>
  <c r="B125" i="8"/>
  <c r="A125" i="8"/>
  <c r="W124" i="8"/>
  <c r="V124" i="8"/>
  <c r="U124" i="8"/>
  <c r="T124" i="8"/>
  <c r="S124" i="8"/>
  <c r="R124" i="8"/>
  <c r="Q124" i="8"/>
  <c r="P124" i="8"/>
  <c r="O124" i="8"/>
  <c r="N124" i="8"/>
  <c r="M124" i="8"/>
  <c r="L124" i="8"/>
  <c r="K124" i="8"/>
  <c r="J124" i="8"/>
  <c r="I124" i="8"/>
  <c r="H124" i="8"/>
  <c r="G124" i="8"/>
  <c r="F124" i="8"/>
  <c r="E124" i="8"/>
  <c r="D124" i="8"/>
  <c r="C124" i="8"/>
  <c r="B124" i="8"/>
  <c r="A124" i="8"/>
  <c r="W123" i="8"/>
  <c r="V123" i="8"/>
  <c r="U123" i="8"/>
  <c r="T123" i="8"/>
  <c r="S123" i="8"/>
  <c r="R123" i="8"/>
  <c r="Q123" i="8"/>
  <c r="P123" i="8"/>
  <c r="O123" i="8"/>
  <c r="N123" i="8"/>
  <c r="M123" i="8"/>
  <c r="L123" i="8"/>
  <c r="K123" i="8"/>
  <c r="J123" i="8"/>
  <c r="I123" i="8"/>
  <c r="H123" i="8"/>
  <c r="G123" i="8"/>
  <c r="F123" i="8"/>
  <c r="E123" i="8"/>
  <c r="D123" i="8"/>
  <c r="C123" i="8"/>
  <c r="B123" i="8"/>
  <c r="A123" i="8"/>
  <c r="W122" i="8"/>
  <c r="V122" i="8"/>
  <c r="U122" i="8"/>
  <c r="T122" i="8"/>
  <c r="S122" i="8"/>
  <c r="R122" i="8"/>
  <c r="Q122" i="8"/>
  <c r="P122" i="8"/>
  <c r="O122" i="8"/>
  <c r="N122" i="8"/>
  <c r="M122" i="8"/>
  <c r="L122" i="8"/>
  <c r="K122" i="8"/>
  <c r="J122" i="8"/>
  <c r="I122" i="8"/>
  <c r="H122" i="8"/>
  <c r="G122" i="8"/>
  <c r="F122" i="8"/>
  <c r="E122" i="8"/>
  <c r="D122" i="8"/>
  <c r="C122" i="8"/>
  <c r="B122" i="8"/>
  <c r="A122" i="8"/>
  <c r="W121" i="8"/>
  <c r="V121" i="8"/>
  <c r="U121" i="8"/>
  <c r="T121" i="8"/>
  <c r="S121" i="8"/>
  <c r="R121" i="8"/>
  <c r="Q121" i="8"/>
  <c r="P121" i="8"/>
  <c r="O121" i="8"/>
  <c r="N121" i="8"/>
  <c r="M121" i="8"/>
  <c r="L121" i="8"/>
  <c r="K121" i="8"/>
  <c r="J121" i="8"/>
  <c r="I121" i="8"/>
  <c r="H121" i="8"/>
  <c r="G121" i="8"/>
  <c r="F121" i="8"/>
  <c r="E121" i="8"/>
  <c r="D121" i="8"/>
  <c r="C121" i="8"/>
  <c r="B121" i="8"/>
  <c r="A121" i="8"/>
  <c r="W120" i="8"/>
  <c r="V120" i="8"/>
  <c r="U120" i="8"/>
  <c r="T120" i="8"/>
  <c r="S120" i="8"/>
  <c r="R120" i="8"/>
  <c r="Q120" i="8"/>
  <c r="P120" i="8"/>
  <c r="O120" i="8"/>
  <c r="N120" i="8"/>
  <c r="M120" i="8"/>
  <c r="L120" i="8"/>
  <c r="K120" i="8"/>
  <c r="J120" i="8"/>
  <c r="I120" i="8"/>
  <c r="H120" i="8"/>
  <c r="G120" i="8"/>
  <c r="F120" i="8"/>
  <c r="E120" i="8"/>
  <c r="D120" i="8"/>
  <c r="C120" i="8"/>
  <c r="B120" i="8"/>
  <c r="A120" i="8"/>
  <c r="W119" i="8"/>
  <c r="V119" i="8"/>
  <c r="U119" i="8"/>
  <c r="T119" i="8"/>
  <c r="S119" i="8"/>
  <c r="R119" i="8"/>
  <c r="Q119" i="8"/>
  <c r="P119" i="8"/>
  <c r="O119" i="8"/>
  <c r="N119" i="8"/>
  <c r="M119" i="8"/>
  <c r="L119" i="8"/>
  <c r="K119" i="8"/>
  <c r="J119" i="8"/>
  <c r="I119" i="8"/>
  <c r="H119" i="8"/>
  <c r="G119" i="8"/>
  <c r="F119" i="8"/>
  <c r="E119" i="8"/>
  <c r="D119" i="8"/>
  <c r="C119" i="8"/>
  <c r="B119" i="8"/>
  <c r="A119" i="8"/>
  <c r="W118" i="8"/>
  <c r="V118" i="8"/>
  <c r="U118" i="8"/>
  <c r="T118" i="8"/>
  <c r="S118" i="8"/>
  <c r="R118" i="8"/>
  <c r="Q118" i="8"/>
  <c r="P118" i="8"/>
  <c r="O118" i="8"/>
  <c r="N118" i="8"/>
  <c r="M118" i="8"/>
  <c r="L118" i="8"/>
  <c r="K118" i="8"/>
  <c r="J118" i="8"/>
  <c r="I118" i="8"/>
  <c r="H118" i="8"/>
  <c r="G118" i="8"/>
  <c r="F118" i="8"/>
  <c r="E118" i="8"/>
  <c r="D118" i="8"/>
  <c r="C118" i="8"/>
  <c r="B118" i="8"/>
  <c r="A118" i="8"/>
  <c r="W117" i="8"/>
  <c r="V117" i="8"/>
  <c r="U117" i="8"/>
  <c r="T117" i="8"/>
  <c r="S117" i="8"/>
  <c r="R117" i="8"/>
  <c r="Q117" i="8"/>
  <c r="P117" i="8"/>
  <c r="O117" i="8"/>
  <c r="N117" i="8"/>
  <c r="M117" i="8"/>
  <c r="L117" i="8"/>
  <c r="K117" i="8"/>
  <c r="J117" i="8"/>
  <c r="I117" i="8"/>
  <c r="H117" i="8"/>
  <c r="G117" i="8"/>
  <c r="F117" i="8"/>
  <c r="E117" i="8"/>
  <c r="D117" i="8"/>
  <c r="C117" i="8"/>
  <c r="B117" i="8"/>
  <c r="A117" i="8"/>
  <c r="W116" i="8"/>
  <c r="V116" i="8"/>
  <c r="U116" i="8"/>
  <c r="T116" i="8"/>
  <c r="S116" i="8"/>
  <c r="R116" i="8"/>
  <c r="Q116" i="8"/>
  <c r="P116" i="8"/>
  <c r="O116" i="8"/>
  <c r="N116" i="8"/>
  <c r="M116" i="8"/>
  <c r="L116" i="8"/>
  <c r="K116" i="8"/>
  <c r="J116" i="8"/>
  <c r="I116" i="8"/>
  <c r="H116" i="8"/>
  <c r="G116" i="8"/>
  <c r="F116" i="8"/>
  <c r="E116" i="8"/>
  <c r="D116" i="8"/>
  <c r="C116" i="8"/>
  <c r="B116" i="8"/>
  <c r="A116" i="8"/>
  <c r="W115" i="8"/>
  <c r="V115" i="8"/>
  <c r="U115" i="8"/>
  <c r="T115" i="8"/>
  <c r="S115" i="8"/>
  <c r="R115" i="8"/>
  <c r="Q115" i="8"/>
  <c r="P115" i="8"/>
  <c r="O115" i="8"/>
  <c r="N115" i="8"/>
  <c r="M115" i="8"/>
  <c r="L115" i="8"/>
  <c r="K115" i="8"/>
  <c r="J115" i="8"/>
  <c r="I115" i="8"/>
  <c r="H115" i="8"/>
  <c r="G115" i="8"/>
  <c r="F115" i="8"/>
  <c r="E115" i="8"/>
  <c r="D115" i="8"/>
  <c r="C115" i="8"/>
  <c r="B115" i="8"/>
  <c r="A115" i="8"/>
  <c r="W114" i="8"/>
  <c r="V114" i="8"/>
  <c r="U114" i="8"/>
  <c r="T114" i="8"/>
  <c r="S114" i="8"/>
  <c r="R114" i="8"/>
  <c r="Q114" i="8"/>
  <c r="P114" i="8"/>
  <c r="O114" i="8"/>
  <c r="N114" i="8"/>
  <c r="M114" i="8"/>
  <c r="L114" i="8"/>
  <c r="K114" i="8"/>
  <c r="J114" i="8"/>
  <c r="I114" i="8"/>
  <c r="H114" i="8"/>
  <c r="G114" i="8"/>
  <c r="F114" i="8"/>
  <c r="E114" i="8"/>
  <c r="D114" i="8"/>
  <c r="C114" i="8"/>
  <c r="B114" i="8"/>
  <c r="A114" i="8"/>
  <c r="W113" i="8"/>
  <c r="V113" i="8"/>
  <c r="U113" i="8"/>
  <c r="T113" i="8"/>
  <c r="S113" i="8"/>
  <c r="R113" i="8"/>
  <c r="Q113" i="8"/>
  <c r="P113" i="8"/>
  <c r="O113" i="8"/>
  <c r="N113" i="8"/>
  <c r="M113" i="8"/>
  <c r="L113" i="8"/>
  <c r="K113" i="8"/>
  <c r="J113" i="8"/>
  <c r="I113" i="8"/>
  <c r="H113" i="8"/>
  <c r="G113" i="8"/>
  <c r="F113" i="8"/>
  <c r="E113" i="8"/>
  <c r="D113" i="8"/>
  <c r="C113" i="8"/>
  <c r="B113" i="8"/>
  <c r="A113" i="8"/>
  <c r="W112" i="8"/>
  <c r="V112" i="8"/>
  <c r="U112" i="8"/>
  <c r="T112" i="8"/>
  <c r="S112" i="8"/>
  <c r="R112" i="8"/>
  <c r="Q112" i="8"/>
  <c r="P112" i="8"/>
  <c r="O112" i="8"/>
  <c r="N112" i="8"/>
  <c r="M112" i="8"/>
  <c r="L112" i="8"/>
  <c r="K112" i="8"/>
  <c r="J112" i="8"/>
  <c r="I112" i="8"/>
  <c r="H112" i="8"/>
  <c r="G112" i="8"/>
  <c r="F112" i="8"/>
  <c r="E112" i="8"/>
  <c r="D112" i="8"/>
  <c r="C112" i="8"/>
  <c r="B112" i="8"/>
  <c r="A112" i="8"/>
  <c r="W111" i="8"/>
  <c r="V111" i="8"/>
  <c r="U111" i="8"/>
  <c r="T111" i="8"/>
  <c r="S111" i="8"/>
  <c r="R111" i="8"/>
  <c r="Q111" i="8"/>
  <c r="P111" i="8"/>
  <c r="O111" i="8"/>
  <c r="N111" i="8"/>
  <c r="M111" i="8"/>
  <c r="L111" i="8"/>
  <c r="K111" i="8"/>
  <c r="J111" i="8"/>
  <c r="I111" i="8"/>
  <c r="H111" i="8"/>
  <c r="G111" i="8"/>
  <c r="F111" i="8"/>
  <c r="E111" i="8"/>
  <c r="D111" i="8"/>
  <c r="C111" i="8"/>
  <c r="B111" i="8"/>
  <c r="A111" i="8"/>
  <c r="W110" i="8"/>
  <c r="V110" i="8"/>
  <c r="U110" i="8"/>
  <c r="T110" i="8"/>
  <c r="S110" i="8"/>
  <c r="R110" i="8"/>
  <c r="Q110" i="8"/>
  <c r="P110" i="8"/>
  <c r="O110" i="8"/>
  <c r="N110" i="8"/>
  <c r="M110" i="8"/>
  <c r="L110" i="8"/>
  <c r="K110" i="8"/>
  <c r="J110" i="8"/>
  <c r="I110" i="8"/>
  <c r="H110" i="8"/>
  <c r="G110" i="8"/>
  <c r="F110" i="8"/>
  <c r="E110" i="8"/>
  <c r="D110" i="8"/>
  <c r="C110" i="8"/>
  <c r="B110" i="8"/>
  <c r="A110" i="8"/>
  <c r="W109" i="8"/>
  <c r="V109" i="8"/>
  <c r="U109" i="8"/>
  <c r="T109" i="8"/>
  <c r="S109" i="8"/>
  <c r="R109" i="8"/>
  <c r="Q109" i="8"/>
  <c r="P109" i="8"/>
  <c r="O109" i="8"/>
  <c r="N109" i="8"/>
  <c r="M109" i="8"/>
  <c r="L109" i="8"/>
  <c r="K109" i="8"/>
  <c r="J109" i="8"/>
  <c r="I109" i="8"/>
  <c r="H109" i="8"/>
  <c r="G109" i="8"/>
  <c r="F109" i="8"/>
  <c r="E109" i="8"/>
  <c r="D109" i="8"/>
  <c r="C109" i="8"/>
  <c r="B109" i="8"/>
  <c r="A109" i="8"/>
  <c r="W108" i="8"/>
  <c r="V108" i="8"/>
  <c r="U108" i="8"/>
  <c r="T108" i="8"/>
  <c r="S108" i="8"/>
  <c r="R108" i="8"/>
  <c r="Q108" i="8"/>
  <c r="P108" i="8"/>
  <c r="O108" i="8"/>
  <c r="N108" i="8"/>
  <c r="M108" i="8"/>
  <c r="L108" i="8"/>
  <c r="K108" i="8"/>
  <c r="J108" i="8"/>
  <c r="I108" i="8"/>
  <c r="H108" i="8"/>
  <c r="G108" i="8"/>
  <c r="F108" i="8"/>
  <c r="E108" i="8"/>
  <c r="D108" i="8"/>
  <c r="C108" i="8"/>
  <c r="B108" i="8"/>
  <c r="A108" i="8"/>
  <c r="W107" i="8"/>
  <c r="V107" i="8"/>
  <c r="U107" i="8"/>
  <c r="T107" i="8"/>
  <c r="S107" i="8"/>
  <c r="R107" i="8"/>
  <c r="Q107" i="8"/>
  <c r="P107" i="8"/>
  <c r="O107" i="8"/>
  <c r="N107" i="8"/>
  <c r="M107" i="8"/>
  <c r="L107" i="8"/>
  <c r="K107" i="8"/>
  <c r="J107" i="8"/>
  <c r="I107" i="8"/>
  <c r="H107" i="8"/>
  <c r="G107" i="8"/>
  <c r="F107" i="8"/>
  <c r="E107" i="8"/>
  <c r="D107" i="8"/>
  <c r="C107" i="8"/>
  <c r="B107" i="8"/>
  <c r="A107" i="8"/>
  <c r="W106" i="8"/>
  <c r="V106" i="8"/>
  <c r="U106" i="8"/>
  <c r="T106" i="8"/>
  <c r="S106" i="8"/>
  <c r="R106" i="8"/>
  <c r="Q106" i="8"/>
  <c r="P106" i="8"/>
  <c r="O106" i="8"/>
  <c r="N106" i="8"/>
  <c r="M106" i="8"/>
  <c r="L106" i="8"/>
  <c r="K106" i="8"/>
  <c r="J106" i="8"/>
  <c r="I106" i="8"/>
  <c r="H106" i="8"/>
  <c r="G106" i="8"/>
  <c r="F106" i="8"/>
  <c r="E106" i="8"/>
  <c r="D106" i="8"/>
  <c r="C106" i="8"/>
  <c r="B106" i="8"/>
  <c r="A106" i="8"/>
  <c r="W105" i="8"/>
  <c r="V105" i="8"/>
  <c r="U105" i="8"/>
  <c r="T105" i="8"/>
  <c r="S105" i="8"/>
  <c r="R105" i="8"/>
  <c r="Q105" i="8"/>
  <c r="P105" i="8"/>
  <c r="O105" i="8"/>
  <c r="N105" i="8"/>
  <c r="M105" i="8"/>
  <c r="L105" i="8"/>
  <c r="K105" i="8"/>
  <c r="J105" i="8"/>
  <c r="I105" i="8"/>
  <c r="H105" i="8"/>
  <c r="G105" i="8"/>
  <c r="F105" i="8"/>
  <c r="E105" i="8"/>
  <c r="D105" i="8"/>
  <c r="C105" i="8"/>
  <c r="B105" i="8"/>
  <c r="A105" i="8"/>
  <c r="W104" i="8"/>
  <c r="V104" i="8"/>
  <c r="U104" i="8"/>
  <c r="T104" i="8"/>
  <c r="S104" i="8"/>
  <c r="R104" i="8"/>
  <c r="Q104" i="8"/>
  <c r="P104" i="8"/>
  <c r="O104" i="8"/>
  <c r="N104" i="8"/>
  <c r="M104" i="8"/>
  <c r="L104" i="8"/>
  <c r="K104" i="8"/>
  <c r="J104" i="8"/>
  <c r="I104" i="8"/>
  <c r="H104" i="8"/>
  <c r="G104" i="8"/>
  <c r="F104" i="8"/>
  <c r="E104" i="8"/>
  <c r="D104" i="8"/>
  <c r="C104" i="8"/>
  <c r="B104" i="8"/>
  <c r="A104" i="8"/>
  <c r="W103" i="8"/>
  <c r="V103" i="8"/>
  <c r="U103" i="8"/>
  <c r="T103" i="8"/>
  <c r="S103" i="8"/>
  <c r="R103" i="8"/>
  <c r="Q103" i="8"/>
  <c r="P103" i="8"/>
  <c r="O103" i="8"/>
  <c r="N103" i="8"/>
  <c r="M103" i="8"/>
  <c r="L103" i="8"/>
  <c r="K103" i="8"/>
  <c r="J103" i="8"/>
  <c r="I103" i="8"/>
  <c r="H103" i="8"/>
  <c r="G103" i="8"/>
  <c r="F103" i="8"/>
  <c r="E103" i="8"/>
  <c r="D103" i="8"/>
  <c r="C103" i="8"/>
  <c r="B103" i="8"/>
  <c r="A103" i="8"/>
  <c r="W102" i="8"/>
  <c r="V102" i="8"/>
  <c r="U102" i="8"/>
  <c r="T102" i="8"/>
  <c r="S102" i="8"/>
  <c r="R102" i="8"/>
  <c r="Q102" i="8"/>
  <c r="P102" i="8"/>
  <c r="O102" i="8"/>
  <c r="N102" i="8"/>
  <c r="M102" i="8"/>
  <c r="L102" i="8"/>
  <c r="K102" i="8"/>
  <c r="J102" i="8"/>
  <c r="I102" i="8"/>
  <c r="H102" i="8"/>
  <c r="G102" i="8"/>
  <c r="F102" i="8"/>
  <c r="E102" i="8"/>
  <c r="D102" i="8"/>
  <c r="C102" i="8"/>
  <c r="B102" i="8"/>
  <c r="A102" i="8"/>
  <c r="W101" i="8"/>
  <c r="V101" i="8"/>
  <c r="U101" i="8"/>
  <c r="T101" i="8"/>
  <c r="S101" i="8"/>
  <c r="R101" i="8"/>
  <c r="Q101" i="8"/>
  <c r="P101" i="8"/>
  <c r="O101" i="8"/>
  <c r="N101" i="8"/>
  <c r="M101" i="8"/>
  <c r="L101" i="8"/>
  <c r="K101" i="8"/>
  <c r="J101" i="8"/>
  <c r="I101" i="8"/>
  <c r="H101" i="8"/>
  <c r="G101" i="8"/>
  <c r="F101" i="8"/>
  <c r="E101" i="8"/>
  <c r="D101" i="8"/>
  <c r="C101" i="8"/>
  <c r="B101" i="8"/>
  <c r="A101" i="8"/>
  <c r="W100" i="8"/>
  <c r="V100" i="8"/>
  <c r="U100" i="8"/>
  <c r="T100" i="8"/>
  <c r="S100" i="8"/>
  <c r="R100" i="8"/>
  <c r="Q100" i="8"/>
  <c r="P100" i="8"/>
  <c r="O100" i="8"/>
  <c r="N100" i="8"/>
  <c r="M100" i="8"/>
  <c r="L100" i="8"/>
  <c r="K100" i="8"/>
  <c r="J100" i="8"/>
  <c r="I100" i="8"/>
  <c r="H100" i="8"/>
  <c r="G100" i="8"/>
  <c r="F100" i="8"/>
  <c r="E100" i="8"/>
  <c r="D100" i="8"/>
  <c r="C100" i="8"/>
  <c r="B100" i="8"/>
  <c r="A100" i="8"/>
  <c r="W99" i="8"/>
  <c r="V99" i="8"/>
  <c r="U99" i="8"/>
  <c r="T99" i="8"/>
  <c r="S99" i="8"/>
  <c r="R99" i="8"/>
  <c r="Q99" i="8"/>
  <c r="P99" i="8"/>
  <c r="O99" i="8"/>
  <c r="N99" i="8"/>
  <c r="M99" i="8"/>
  <c r="L99" i="8"/>
  <c r="K99" i="8"/>
  <c r="J99" i="8"/>
  <c r="I99" i="8"/>
  <c r="H99" i="8"/>
  <c r="G99" i="8"/>
  <c r="F99" i="8"/>
  <c r="E99" i="8"/>
  <c r="D99" i="8"/>
  <c r="C99" i="8"/>
  <c r="B99" i="8"/>
  <c r="A99" i="8"/>
  <c r="W98" i="8"/>
  <c r="V98" i="8"/>
  <c r="U98" i="8"/>
  <c r="T98" i="8"/>
  <c r="S98" i="8"/>
  <c r="R98" i="8"/>
  <c r="Q98" i="8"/>
  <c r="P98" i="8"/>
  <c r="O98" i="8"/>
  <c r="N98" i="8"/>
  <c r="M98" i="8"/>
  <c r="L98" i="8"/>
  <c r="K98" i="8"/>
  <c r="J98" i="8"/>
  <c r="I98" i="8"/>
  <c r="H98" i="8"/>
  <c r="G98" i="8"/>
  <c r="F98" i="8"/>
  <c r="E98" i="8"/>
  <c r="D98" i="8"/>
  <c r="C98" i="8"/>
  <c r="B98" i="8"/>
  <c r="A98" i="8"/>
  <c r="W97" i="8"/>
  <c r="V97" i="8"/>
  <c r="U97" i="8"/>
  <c r="T97" i="8"/>
  <c r="S97" i="8"/>
  <c r="R97" i="8"/>
  <c r="Q97" i="8"/>
  <c r="P97" i="8"/>
  <c r="O97" i="8"/>
  <c r="N97" i="8"/>
  <c r="M97" i="8"/>
  <c r="L97" i="8"/>
  <c r="K97" i="8"/>
  <c r="J97" i="8"/>
  <c r="I97" i="8"/>
  <c r="H97" i="8"/>
  <c r="G97" i="8"/>
  <c r="F97" i="8"/>
  <c r="E97" i="8"/>
  <c r="D97" i="8"/>
  <c r="C97" i="8"/>
  <c r="B97" i="8"/>
  <c r="A97" i="8"/>
  <c r="W96" i="8"/>
  <c r="V96" i="8"/>
  <c r="U96" i="8"/>
  <c r="T96" i="8"/>
  <c r="S96" i="8"/>
  <c r="R96" i="8"/>
  <c r="Q96" i="8"/>
  <c r="P96" i="8"/>
  <c r="O96" i="8"/>
  <c r="N96" i="8"/>
  <c r="M96" i="8"/>
  <c r="L96" i="8"/>
  <c r="K96" i="8"/>
  <c r="J96" i="8"/>
  <c r="I96" i="8"/>
  <c r="H96" i="8"/>
  <c r="G96" i="8"/>
  <c r="F96" i="8"/>
  <c r="E96" i="8"/>
  <c r="D96" i="8"/>
  <c r="C96" i="8"/>
  <c r="B96" i="8"/>
  <c r="A96" i="8"/>
  <c r="W95" i="8"/>
  <c r="V95" i="8"/>
  <c r="U95" i="8"/>
  <c r="T95" i="8"/>
  <c r="S95" i="8"/>
  <c r="R95" i="8"/>
  <c r="Q95" i="8"/>
  <c r="P95" i="8"/>
  <c r="O95" i="8"/>
  <c r="N95" i="8"/>
  <c r="M95" i="8"/>
  <c r="L95" i="8"/>
  <c r="K95" i="8"/>
  <c r="J95" i="8"/>
  <c r="I95" i="8"/>
  <c r="H95" i="8"/>
  <c r="G95" i="8"/>
  <c r="F95" i="8"/>
  <c r="E95" i="8"/>
  <c r="D95" i="8"/>
  <c r="C95" i="8"/>
  <c r="B95" i="8"/>
  <c r="A95" i="8"/>
  <c r="W94" i="8"/>
  <c r="V94" i="8"/>
  <c r="U94" i="8"/>
  <c r="T94" i="8"/>
  <c r="S94" i="8"/>
  <c r="R94" i="8"/>
  <c r="Q94" i="8"/>
  <c r="P94" i="8"/>
  <c r="O94" i="8"/>
  <c r="N94" i="8"/>
  <c r="M94" i="8"/>
  <c r="L94" i="8"/>
  <c r="K94" i="8"/>
  <c r="J94" i="8"/>
  <c r="I94" i="8"/>
  <c r="H94" i="8"/>
  <c r="G94" i="8"/>
  <c r="F94" i="8"/>
  <c r="E94" i="8"/>
  <c r="D94" i="8"/>
  <c r="C94" i="8"/>
  <c r="B94" i="8"/>
  <c r="A94" i="8"/>
  <c r="W93" i="8"/>
  <c r="V93" i="8"/>
  <c r="U93" i="8"/>
  <c r="T93" i="8"/>
  <c r="S93" i="8"/>
  <c r="R93" i="8"/>
  <c r="Q93" i="8"/>
  <c r="P93" i="8"/>
  <c r="O93" i="8"/>
  <c r="N93" i="8"/>
  <c r="M93" i="8"/>
  <c r="L93" i="8"/>
  <c r="K93" i="8"/>
  <c r="J93" i="8"/>
  <c r="I93" i="8"/>
  <c r="H93" i="8"/>
  <c r="G93" i="8"/>
  <c r="F93" i="8"/>
  <c r="E93" i="8"/>
  <c r="D93" i="8"/>
  <c r="C93" i="8"/>
  <c r="B93" i="8"/>
  <c r="A93" i="8"/>
  <c r="W92" i="8"/>
  <c r="V92" i="8"/>
  <c r="U92" i="8"/>
  <c r="T92" i="8"/>
  <c r="S92" i="8"/>
  <c r="R92" i="8"/>
  <c r="Q92" i="8"/>
  <c r="P92" i="8"/>
  <c r="O92" i="8"/>
  <c r="N92" i="8"/>
  <c r="M92" i="8"/>
  <c r="L92" i="8"/>
  <c r="K92" i="8"/>
  <c r="J92" i="8"/>
  <c r="I92" i="8"/>
  <c r="H92" i="8"/>
  <c r="G92" i="8"/>
  <c r="F92" i="8"/>
  <c r="E92" i="8"/>
  <c r="D92" i="8"/>
  <c r="C92" i="8"/>
  <c r="B92" i="8"/>
  <c r="A92" i="8"/>
  <c r="W91" i="8"/>
  <c r="V91" i="8"/>
  <c r="U91" i="8"/>
  <c r="T91" i="8"/>
  <c r="S91" i="8"/>
  <c r="R91" i="8"/>
  <c r="Q91" i="8"/>
  <c r="P91" i="8"/>
  <c r="O91" i="8"/>
  <c r="N91" i="8"/>
  <c r="M91" i="8"/>
  <c r="L91" i="8"/>
  <c r="K91" i="8"/>
  <c r="J91" i="8"/>
  <c r="I91" i="8"/>
  <c r="H91" i="8"/>
  <c r="G91" i="8"/>
  <c r="F91" i="8"/>
  <c r="E91" i="8"/>
  <c r="D91" i="8"/>
  <c r="C91" i="8"/>
  <c r="B91" i="8"/>
  <c r="A91" i="8"/>
  <c r="W90" i="8"/>
  <c r="V90" i="8"/>
  <c r="U90" i="8"/>
  <c r="T90" i="8"/>
  <c r="S90" i="8"/>
  <c r="R90" i="8"/>
  <c r="Q90" i="8"/>
  <c r="P90" i="8"/>
  <c r="O90" i="8"/>
  <c r="N90" i="8"/>
  <c r="M90" i="8"/>
  <c r="L90" i="8"/>
  <c r="K90" i="8"/>
  <c r="J90" i="8"/>
  <c r="I90" i="8"/>
  <c r="H90" i="8"/>
  <c r="G90" i="8"/>
  <c r="F90" i="8"/>
  <c r="E90" i="8"/>
  <c r="D90" i="8"/>
  <c r="C90" i="8"/>
  <c r="B90" i="8"/>
  <c r="A90" i="8"/>
  <c r="W89" i="8"/>
  <c r="V89" i="8"/>
  <c r="U89" i="8"/>
  <c r="T89" i="8"/>
  <c r="S89" i="8"/>
  <c r="R89" i="8"/>
  <c r="Q89" i="8"/>
  <c r="P89" i="8"/>
  <c r="O89" i="8"/>
  <c r="N89" i="8"/>
  <c r="M89" i="8"/>
  <c r="L89" i="8"/>
  <c r="K89" i="8"/>
  <c r="J89" i="8"/>
  <c r="I89" i="8"/>
  <c r="H89" i="8"/>
  <c r="G89" i="8"/>
  <c r="F89" i="8"/>
  <c r="E89" i="8"/>
  <c r="D89" i="8"/>
  <c r="C89" i="8"/>
  <c r="B89" i="8"/>
  <c r="A89" i="8"/>
  <c r="W88" i="8"/>
  <c r="V88" i="8"/>
  <c r="U88" i="8"/>
  <c r="T88" i="8"/>
  <c r="S88" i="8"/>
  <c r="R88" i="8"/>
  <c r="Q88" i="8"/>
  <c r="P88" i="8"/>
  <c r="O88" i="8"/>
  <c r="N88" i="8"/>
  <c r="M88" i="8"/>
  <c r="L88" i="8"/>
  <c r="K88" i="8"/>
  <c r="J88" i="8"/>
  <c r="I88" i="8"/>
  <c r="H88" i="8"/>
  <c r="G88" i="8"/>
  <c r="F88" i="8"/>
  <c r="E88" i="8"/>
  <c r="D88" i="8"/>
  <c r="C88" i="8"/>
  <c r="B88" i="8"/>
  <c r="A88" i="8"/>
  <c r="W87" i="8"/>
  <c r="V87" i="8"/>
  <c r="U87" i="8"/>
  <c r="T87" i="8"/>
  <c r="S87" i="8"/>
  <c r="R87" i="8"/>
  <c r="Q87" i="8"/>
  <c r="P87" i="8"/>
  <c r="O87" i="8"/>
  <c r="N87" i="8"/>
  <c r="M87" i="8"/>
  <c r="L87" i="8"/>
  <c r="K87" i="8"/>
  <c r="J87" i="8"/>
  <c r="I87" i="8"/>
  <c r="H87" i="8"/>
  <c r="G87" i="8"/>
  <c r="F87" i="8"/>
  <c r="E87" i="8"/>
  <c r="D87" i="8"/>
  <c r="C87" i="8"/>
  <c r="B87" i="8"/>
  <c r="A87" i="8"/>
  <c r="W86" i="8"/>
  <c r="V86" i="8"/>
  <c r="U86" i="8"/>
  <c r="T86" i="8"/>
  <c r="S86" i="8"/>
  <c r="R86" i="8"/>
  <c r="Q86" i="8"/>
  <c r="P86" i="8"/>
  <c r="O86" i="8"/>
  <c r="N86" i="8"/>
  <c r="M86" i="8"/>
  <c r="L86" i="8"/>
  <c r="K86" i="8"/>
  <c r="J86" i="8"/>
  <c r="I86" i="8"/>
  <c r="H86" i="8"/>
  <c r="G86" i="8"/>
  <c r="F86" i="8"/>
  <c r="E86" i="8"/>
  <c r="D86" i="8"/>
  <c r="C86" i="8"/>
  <c r="B86" i="8"/>
  <c r="A86" i="8"/>
  <c r="W85" i="8"/>
  <c r="V85" i="8"/>
  <c r="U85" i="8"/>
  <c r="T85" i="8"/>
  <c r="S85" i="8"/>
  <c r="R85" i="8"/>
  <c r="Q85" i="8"/>
  <c r="P85" i="8"/>
  <c r="O85" i="8"/>
  <c r="N85" i="8"/>
  <c r="M85" i="8"/>
  <c r="L85" i="8"/>
  <c r="K85" i="8"/>
  <c r="J85" i="8"/>
  <c r="I85" i="8"/>
  <c r="H85" i="8"/>
  <c r="G85" i="8"/>
  <c r="F85" i="8"/>
  <c r="E85" i="8"/>
  <c r="D85" i="8"/>
  <c r="C85" i="8"/>
  <c r="B85" i="8"/>
  <c r="A85" i="8"/>
  <c r="W84" i="8"/>
  <c r="V84" i="8"/>
  <c r="U84" i="8"/>
  <c r="T84" i="8"/>
  <c r="S84" i="8"/>
  <c r="R84" i="8"/>
  <c r="Q84" i="8"/>
  <c r="P84" i="8"/>
  <c r="O84" i="8"/>
  <c r="N84" i="8"/>
  <c r="M84" i="8"/>
  <c r="L84" i="8"/>
  <c r="K84" i="8"/>
  <c r="J84" i="8"/>
  <c r="I84" i="8"/>
  <c r="H84" i="8"/>
  <c r="G84" i="8"/>
  <c r="F84" i="8"/>
  <c r="E84" i="8"/>
  <c r="D84" i="8"/>
  <c r="C84" i="8"/>
  <c r="B84" i="8"/>
  <c r="A84" i="8"/>
  <c r="W83" i="8"/>
  <c r="V83" i="8"/>
  <c r="U83" i="8"/>
  <c r="T83" i="8"/>
  <c r="S83" i="8"/>
  <c r="R83" i="8"/>
  <c r="Q83" i="8"/>
  <c r="P83" i="8"/>
  <c r="O83" i="8"/>
  <c r="N83" i="8"/>
  <c r="M83" i="8"/>
  <c r="L83" i="8"/>
  <c r="K83" i="8"/>
  <c r="J83" i="8"/>
  <c r="I83" i="8"/>
  <c r="H83" i="8"/>
  <c r="G83" i="8"/>
  <c r="F83" i="8"/>
  <c r="E83" i="8"/>
  <c r="D83" i="8"/>
  <c r="C83" i="8"/>
  <c r="B83" i="8"/>
  <c r="A83" i="8"/>
  <c r="W82" i="8"/>
  <c r="V82" i="8"/>
  <c r="U82" i="8"/>
  <c r="T82" i="8"/>
  <c r="S82" i="8"/>
  <c r="R82" i="8"/>
  <c r="Q82" i="8"/>
  <c r="P82" i="8"/>
  <c r="O82" i="8"/>
  <c r="N82" i="8"/>
  <c r="M82" i="8"/>
  <c r="L82" i="8"/>
  <c r="K82" i="8"/>
  <c r="J82" i="8"/>
  <c r="I82" i="8"/>
  <c r="H82" i="8"/>
  <c r="G82" i="8"/>
  <c r="F82" i="8"/>
  <c r="E82" i="8"/>
  <c r="D82" i="8"/>
  <c r="C82" i="8"/>
  <c r="B82" i="8"/>
  <c r="A82" i="8"/>
  <c r="W81" i="8"/>
  <c r="V81" i="8"/>
  <c r="U81" i="8"/>
  <c r="T81" i="8"/>
  <c r="S81" i="8"/>
  <c r="R81" i="8"/>
  <c r="Q81" i="8"/>
  <c r="P81" i="8"/>
  <c r="O81" i="8"/>
  <c r="N81" i="8"/>
  <c r="M81" i="8"/>
  <c r="L81" i="8"/>
  <c r="K81" i="8"/>
  <c r="J81" i="8"/>
  <c r="I81" i="8"/>
  <c r="H81" i="8"/>
  <c r="G81" i="8"/>
  <c r="F81" i="8"/>
  <c r="E81" i="8"/>
  <c r="D81" i="8"/>
  <c r="C81" i="8"/>
  <c r="B81" i="8"/>
  <c r="A81" i="8"/>
  <c r="W80" i="8"/>
  <c r="V80" i="8"/>
  <c r="U80" i="8"/>
  <c r="T80" i="8"/>
  <c r="S80" i="8"/>
  <c r="R80" i="8"/>
  <c r="Q80" i="8"/>
  <c r="P80" i="8"/>
  <c r="O80" i="8"/>
  <c r="N80" i="8"/>
  <c r="M80" i="8"/>
  <c r="L80" i="8"/>
  <c r="K80" i="8"/>
  <c r="J80" i="8"/>
  <c r="I80" i="8"/>
  <c r="H80" i="8"/>
  <c r="G80" i="8"/>
  <c r="F80" i="8"/>
  <c r="E80" i="8"/>
  <c r="D80" i="8"/>
  <c r="C80" i="8"/>
  <c r="B80" i="8"/>
  <c r="A80" i="8"/>
  <c r="W79" i="8"/>
  <c r="V79" i="8"/>
  <c r="U79" i="8"/>
  <c r="T79" i="8"/>
  <c r="S79" i="8"/>
  <c r="R79" i="8"/>
  <c r="Q79" i="8"/>
  <c r="P79" i="8"/>
  <c r="O79" i="8"/>
  <c r="N79" i="8"/>
  <c r="M79" i="8"/>
  <c r="L79" i="8"/>
  <c r="K79" i="8"/>
  <c r="J79" i="8"/>
  <c r="I79" i="8"/>
  <c r="H79" i="8"/>
  <c r="G79" i="8"/>
  <c r="F79" i="8"/>
  <c r="E79" i="8"/>
  <c r="D79" i="8"/>
  <c r="C79" i="8"/>
  <c r="B79" i="8"/>
  <c r="A79" i="8"/>
  <c r="W78" i="8"/>
  <c r="V78" i="8"/>
  <c r="U78" i="8"/>
  <c r="T78" i="8"/>
  <c r="S78" i="8"/>
  <c r="R78" i="8"/>
  <c r="Q78" i="8"/>
  <c r="P78" i="8"/>
  <c r="O78" i="8"/>
  <c r="N78" i="8"/>
  <c r="M78" i="8"/>
  <c r="L78" i="8"/>
  <c r="K78" i="8"/>
  <c r="J78" i="8"/>
  <c r="I78" i="8"/>
  <c r="H78" i="8"/>
  <c r="G78" i="8"/>
  <c r="F78" i="8"/>
  <c r="E78" i="8"/>
  <c r="D78" i="8"/>
  <c r="C78" i="8"/>
  <c r="B78" i="8"/>
  <c r="A78" i="8"/>
  <c r="W77" i="8"/>
  <c r="V77" i="8"/>
  <c r="U77" i="8"/>
  <c r="T77" i="8"/>
  <c r="S77" i="8"/>
  <c r="R77" i="8"/>
  <c r="Q77" i="8"/>
  <c r="P77" i="8"/>
  <c r="O77" i="8"/>
  <c r="N77" i="8"/>
  <c r="M77" i="8"/>
  <c r="L77" i="8"/>
  <c r="K77" i="8"/>
  <c r="J77" i="8"/>
  <c r="I77" i="8"/>
  <c r="H77" i="8"/>
  <c r="G77" i="8"/>
  <c r="F77" i="8"/>
  <c r="E77" i="8"/>
  <c r="D77" i="8"/>
  <c r="C77" i="8"/>
  <c r="B77" i="8"/>
  <c r="A77" i="8"/>
  <c r="W76" i="8"/>
  <c r="V76" i="8"/>
  <c r="U76" i="8"/>
  <c r="T76" i="8"/>
  <c r="S76" i="8"/>
  <c r="R76" i="8"/>
  <c r="Q76" i="8"/>
  <c r="P76" i="8"/>
  <c r="O76" i="8"/>
  <c r="N76" i="8"/>
  <c r="M76" i="8"/>
  <c r="L76" i="8"/>
  <c r="K76" i="8"/>
  <c r="J76" i="8"/>
  <c r="I76" i="8"/>
  <c r="H76" i="8"/>
  <c r="G76" i="8"/>
  <c r="F76" i="8"/>
  <c r="E76" i="8"/>
  <c r="D76" i="8"/>
  <c r="C76" i="8"/>
  <c r="B76" i="8"/>
  <c r="A76" i="8"/>
  <c r="W75" i="8"/>
  <c r="V75" i="8"/>
  <c r="U75" i="8"/>
  <c r="T75" i="8"/>
  <c r="S75" i="8"/>
  <c r="R75" i="8"/>
  <c r="Q75" i="8"/>
  <c r="P75" i="8"/>
  <c r="O75" i="8"/>
  <c r="N75" i="8"/>
  <c r="M75" i="8"/>
  <c r="L75" i="8"/>
  <c r="K75" i="8"/>
  <c r="J75" i="8"/>
  <c r="I75" i="8"/>
  <c r="H75" i="8"/>
  <c r="G75" i="8"/>
  <c r="F75" i="8"/>
  <c r="E75" i="8"/>
  <c r="D75" i="8"/>
  <c r="C75" i="8"/>
  <c r="B75" i="8"/>
  <c r="A75" i="8"/>
  <c r="W74" i="8"/>
  <c r="V74" i="8"/>
  <c r="U74" i="8"/>
  <c r="T74" i="8"/>
  <c r="S74" i="8"/>
  <c r="R74" i="8"/>
  <c r="Q74" i="8"/>
  <c r="P74" i="8"/>
  <c r="O74" i="8"/>
  <c r="N74" i="8"/>
  <c r="M74" i="8"/>
  <c r="L74" i="8"/>
  <c r="K74" i="8"/>
  <c r="J74" i="8"/>
  <c r="I74" i="8"/>
  <c r="H74" i="8"/>
  <c r="G74" i="8"/>
  <c r="F74" i="8"/>
  <c r="E74" i="8"/>
  <c r="D74" i="8"/>
  <c r="C74" i="8"/>
  <c r="B74" i="8"/>
  <c r="A74" i="8"/>
  <c r="W73" i="8"/>
  <c r="V73" i="8"/>
  <c r="U73" i="8"/>
  <c r="T73" i="8"/>
  <c r="S73" i="8"/>
  <c r="R73" i="8"/>
  <c r="Q73" i="8"/>
  <c r="P73" i="8"/>
  <c r="O73" i="8"/>
  <c r="N73" i="8"/>
  <c r="M73" i="8"/>
  <c r="L73" i="8"/>
  <c r="K73" i="8"/>
  <c r="J73" i="8"/>
  <c r="I73" i="8"/>
  <c r="H73" i="8"/>
  <c r="G73" i="8"/>
  <c r="F73" i="8"/>
  <c r="E73" i="8"/>
  <c r="D73" i="8"/>
  <c r="C73" i="8"/>
  <c r="B73" i="8"/>
  <c r="A73" i="8"/>
  <c r="W72" i="8"/>
  <c r="V72" i="8"/>
  <c r="U72" i="8"/>
  <c r="T72" i="8"/>
  <c r="S72" i="8"/>
  <c r="R72" i="8"/>
  <c r="Q72" i="8"/>
  <c r="P72" i="8"/>
  <c r="O72" i="8"/>
  <c r="N72" i="8"/>
  <c r="M72" i="8"/>
  <c r="L72" i="8"/>
  <c r="K72" i="8"/>
  <c r="J72" i="8"/>
  <c r="I72" i="8"/>
  <c r="H72" i="8"/>
  <c r="G72" i="8"/>
  <c r="F72" i="8"/>
  <c r="E72" i="8"/>
  <c r="D72" i="8"/>
  <c r="C72" i="8"/>
  <c r="B72" i="8"/>
  <c r="A72" i="8"/>
  <c r="W71" i="8"/>
  <c r="V71" i="8"/>
  <c r="U71" i="8"/>
  <c r="T71" i="8"/>
  <c r="S71" i="8"/>
  <c r="R71" i="8"/>
  <c r="Q71" i="8"/>
  <c r="P71" i="8"/>
  <c r="O71" i="8"/>
  <c r="N71" i="8"/>
  <c r="M71" i="8"/>
  <c r="L71" i="8"/>
  <c r="K71" i="8"/>
  <c r="J71" i="8"/>
  <c r="I71" i="8"/>
  <c r="H71" i="8"/>
  <c r="G71" i="8"/>
  <c r="F71" i="8"/>
  <c r="E71" i="8"/>
  <c r="D71" i="8"/>
  <c r="C71" i="8"/>
  <c r="B71" i="8"/>
  <c r="A71" i="8"/>
  <c r="W70" i="8"/>
  <c r="V70" i="8"/>
  <c r="U70" i="8"/>
  <c r="T70" i="8"/>
  <c r="S70" i="8"/>
  <c r="R70" i="8"/>
  <c r="Q70" i="8"/>
  <c r="P70" i="8"/>
  <c r="O70" i="8"/>
  <c r="N70" i="8"/>
  <c r="M70" i="8"/>
  <c r="L70" i="8"/>
  <c r="K70" i="8"/>
  <c r="J70" i="8"/>
  <c r="I70" i="8"/>
  <c r="H70" i="8"/>
  <c r="G70" i="8"/>
  <c r="F70" i="8"/>
  <c r="E70" i="8"/>
  <c r="D70" i="8"/>
  <c r="C70" i="8"/>
  <c r="B70" i="8"/>
  <c r="A70" i="8"/>
  <c r="W69" i="8"/>
  <c r="V69" i="8"/>
  <c r="U69" i="8"/>
  <c r="T69" i="8"/>
  <c r="S69" i="8"/>
  <c r="R69" i="8"/>
  <c r="Q69" i="8"/>
  <c r="P69" i="8"/>
  <c r="O69" i="8"/>
  <c r="N69" i="8"/>
  <c r="M69" i="8"/>
  <c r="L69" i="8"/>
  <c r="K69" i="8"/>
  <c r="J69" i="8"/>
  <c r="I69" i="8"/>
  <c r="H69" i="8"/>
  <c r="G69" i="8"/>
  <c r="F69" i="8"/>
  <c r="E69" i="8"/>
  <c r="D69" i="8"/>
  <c r="C69" i="8"/>
  <c r="B69" i="8"/>
  <c r="A69" i="8"/>
  <c r="W68" i="8"/>
  <c r="V68" i="8"/>
  <c r="U68" i="8"/>
  <c r="T68" i="8"/>
  <c r="S68" i="8"/>
  <c r="R68" i="8"/>
  <c r="Q68" i="8"/>
  <c r="P68" i="8"/>
  <c r="O68" i="8"/>
  <c r="N68" i="8"/>
  <c r="M68" i="8"/>
  <c r="L68" i="8"/>
  <c r="K68" i="8"/>
  <c r="J68" i="8"/>
  <c r="I68" i="8"/>
  <c r="H68" i="8"/>
  <c r="G68" i="8"/>
  <c r="F68" i="8"/>
  <c r="E68" i="8"/>
  <c r="D68" i="8"/>
  <c r="C68" i="8"/>
  <c r="B68" i="8"/>
  <c r="A68" i="8"/>
  <c r="W67" i="8"/>
  <c r="V67" i="8"/>
  <c r="U67" i="8"/>
  <c r="T67" i="8"/>
  <c r="S67" i="8"/>
  <c r="R67" i="8"/>
  <c r="Q67" i="8"/>
  <c r="P67" i="8"/>
  <c r="O67" i="8"/>
  <c r="N67" i="8"/>
  <c r="M67" i="8"/>
  <c r="L67" i="8"/>
  <c r="K67" i="8"/>
  <c r="J67" i="8"/>
  <c r="I67" i="8"/>
  <c r="H67" i="8"/>
  <c r="G67" i="8"/>
  <c r="F67" i="8"/>
  <c r="E67" i="8"/>
  <c r="D67" i="8"/>
  <c r="C67" i="8"/>
  <c r="B67" i="8"/>
  <c r="A67" i="8"/>
  <c r="W66" i="8"/>
  <c r="V66" i="8"/>
  <c r="U66" i="8"/>
  <c r="T66" i="8"/>
  <c r="S66" i="8"/>
  <c r="R66" i="8"/>
  <c r="Q66" i="8"/>
  <c r="P66" i="8"/>
  <c r="O66" i="8"/>
  <c r="N66" i="8"/>
  <c r="M66" i="8"/>
  <c r="L66" i="8"/>
  <c r="K66" i="8"/>
  <c r="J66" i="8"/>
  <c r="I66" i="8"/>
  <c r="H66" i="8"/>
  <c r="G66" i="8"/>
  <c r="F66" i="8"/>
  <c r="E66" i="8"/>
  <c r="D66" i="8"/>
  <c r="C66" i="8"/>
  <c r="B66" i="8"/>
  <c r="A66" i="8"/>
  <c r="W65" i="8"/>
  <c r="V65" i="8"/>
  <c r="U65" i="8"/>
  <c r="T65" i="8"/>
  <c r="S65" i="8"/>
  <c r="R65" i="8"/>
  <c r="Q65" i="8"/>
  <c r="P65" i="8"/>
  <c r="O65" i="8"/>
  <c r="N65" i="8"/>
  <c r="M65" i="8"/>
  <c r="L65" i="8"/>
  <c r="K65" i="8"/>
  <c r="J65" i="8"/>
  <c r="I65" i="8"/>
  <c r="H65" i="8"/>
  <c r="G65" i="8"/>
  <c r="F65" i="8"/>
  <c r="E65" i="8"/>
  <c r="D65" i="8"/>
  <c r="C65" i="8"/>
  <c r="B65" i="8"/>
  <c r="A65" i="8"/>
  <c r="W64" i="8"/>
  <c r="V64" i="8"/>
  <c r="U64" i="8"/>
  <c r="T64" i="8"/>
  <c r="S64" i="8"/>
  <c r="R64" i="8"/>
  <c r="Q64" i="8"/>
  <c r="P64" i="8"/>
  <c r="O64" i="8"/>
  <c r="N64" i="8"/>
  <c r="M64" i="8"/>
  <c r="L64" i="8"/>
  <c r="K64" i="8"/>
  <c r="J64" i="8"/>
  <c r="I64" i="8"/>
  <c r="H64" i="8"/>
  <c r="G64" i="8"/>
  <c r="F64" i="8"/>
  <c r="E64" i="8"/>
  <c r="D64" i="8"/>
  <c r="C64" i="8"/>
  <c r="B64" i="8"/>
  <c r="A64" i="8"/>
  <c r="W63" i="8"/>
  <c r="V63" i="8"/>
  <c r="U63" i="8"/>
  <c r="T63" i="8"/>
  <c r="S63" i="8"/>
  <c r="R63" i="8"/>
  <c r="Q63" i="8"/>
  <c r="P63" i="8"/>
  <c r="O63" i="8"/>
  <c r="N63" i="8"/>
  <c r="M63" i="8"/>
  <c r="L63" i="8"/>
  <c r="K63" i="8"/>
  <c r="J63" i="8"/>
  <c r="I63" i="8"/>
  <c r="H63" i="8"/>
  <c r="G63" i="8"/>
  <c r="F63" i="8"/>
  <c r="E63" i="8"/>
  <c r="D63" i="8"/>
  <c r="C63" i="8"/>
  <c r="B63" i="8"/>
  <c r="A63" i="8"/>
  <c r="W62" i="8"/>
  <c r="V62" i="8"/>
  <c r="U62" i="8"/>
  <c r="T62" i="8"/>
  <c r="S62" i="8"/>
  <c r="R62" i="8"/>
  <c r="Q62" i="8"/>
  <c r="P62" i="8"/>
  <c r="O62" i="8"/>
  <c r="N62" i="8"/>
  <c r="M62" i="8"/>
  <c r="L62" i="8"/>
  <c r="K62" i="8"/>
  <c r="J62" i="8"/>
  <c r="I62" i="8"/>
  <c r="H62" i="8"/>
  <c r="G62" i="8"/>
  <c r="F62" i="8"/>
  <c r="E62" i="8"/>
  <c r="D62" i="8"/>
  <c r="C62" i="8"/>
  <c r="B62" i="8"/>
  <c r="A62" i="8"/>
  <c r="W61" i="8"/>
  <c r="V61" i="8"/>
  <c r="U61" i="8"/>
  <c r="T61" i="8"/>
  <c r="S61" i="8"/>
  <c r="R61" i="8"/>
  <c r="Q61" i="8"/>
  <c r="P61" i="8"/>
  <c r="O61" i="8"/>
  <c r="N61" i="8"/>
  <c r="M61" i="8"/>
  <c r="L61" i="8"/>
  <c r="K61" i="8"/>
  <c r="J61" i="8"/>
  <c r="I61" i="8"/>
  <c r="H61" i="8"/>
  <c r="G61" i="8"/>
  <c r="F61" i="8"/>
  <c r="E61" i="8"/>
  <c r="D61" i="8"/>
  <c r="C61" i="8"/>
  <c r="B61" i="8"/>
  <c r="A61" i="8"/>
  <c r="W60" i="8"/>
  <c r="V60" i="8"/>
  <c r="U60" i="8"/>
  <c r="T60" i="8"/>
  <c r="S60" i="8"/>
  <c r="R60" i="8"/>
  <c r="Q60" i="8"/>
  <c r="P60" i="8"/>
  <c r="O60" i="8"/>
  <c r="N60" i="8"/>
  <c r="M60" i="8"/>
  <c r="L60" i="8"/>
  <c r="K60" i="8"/>
  <c r="J60" i="8"/>
  <c r="I60" i="8"/>
  <c r="H60" i="8"/>
  <c r="G60" i="8"/>
  <c r="F60" i="8"/>
  <c r="E60" i="8"/>
  <c r="D60" i="8"/>
  <c r="C60" i="8"/>
  <c r="B60" i="8"/>
  <c r="A60" i="8"/>
  <c r="W59" i="8"/>
  <c r="V59" i="8"/>
  <c r="U59" i="8"/>
  <c r="T59" i="8"/>
  <c r="S59" i="8"/>
  <c r="R59" i="8"/>
  <c r="Q59" i="8"/>
  <c r="P59" i="8"/>
  <c r="O59" i="8"/>
  <c r="N59" i="8"/>
  <c r="M59" i="8"/>
  <c r="L59" i="8"/>
  <c r="K59" i="8"/>
  <c r="J59" i="8"/>
  <c r="I59" i="8"/>
  <c r="H59" i="8"/>
  <c r="G59" i="8"/>
  <c r="F59" i="8"/>
  <c r="E59" i="8"/>
  <c r="D59" i="8"/>
  <c r="C59" i="8"/>
  <c r="B59" i="8"/>
  <c r="A59" i="8"/>
  <c r="W58" i="8"/>
  <c r="V58" i="8"/>
  <c r="U58" i="8"/>
  <c r="T58" i="8"/>
  <c r="S58" i="8"/>
  <c r="R58" i="8"/>
  <c r="Q58" i="8"/>
  <c r="P58" i="8"/>
  <c r="O58" i="8"/>
  <c r="N58" i="8"/>
  <c r="M58" i="8"/>
  <c r="L58" i="8"/>
  <c r="K58" i="8"/>
  <c r="J58" i="8"/>
  <c r="I58" i="8"/>
  <c r="H58" i="8"/>
  <c r="G58" i="8"/>
  <c r="F58" i="8"/>
  <c r="E58" i="8"/>
  <c r="D58" i="8"/>
  <c r="C58" i="8"/>
  <c r="B58" i="8"/>
  <c r="A58" i="8"/>
  <c r="W57" i="8"/>
  <c r="V57" i="8"/>
  <c r="U57" i="8"/>
  <c r="T57" i="8"/>
  <c r="S57" i="8"/>
  <c r="R57" i="8"/>
  <c r="Q57" i="8"/>
  <c r="P57" i="8"/>
  <c r="O57" i="8"/>
  <c r="N57" i="8"/>
  <c r="M57" i="8"/>
  <c r="L57" i="8"/>
  <c r="K57" i="8"/>
  <c r="J57" i="8"/>
  <c r="I57" i="8"/>
  <c r="H57" i="8"/>
  <c r="G57" i="8"/>
  <c r="F57" i="8"/>
  <c r="E57" i="8"/>
  <c r="D57" i="8"/>
  <c r="C57" i="8"/>
  <c r="B57" i="8"/>
  <c r="A57" i="8"/>
  <c r="W56" i="8"/>
  <c r="V56" i="8"/>
  <c r="U56" i="8"/>
  <c r="T56" i="8"/>
  <c r="S56" i="8"/>
  <c r="R56" i="8"/>
  <c r="Q56" i="8"/>
  <c r="P56" i="8"/>
  <c r="O56" i="8"/>
  <c r="N56" i="8"/>
  <c r="M56" i="8"/>
  <c r="L56" i="8"/>
  <c r="K56" i="8"/>
  <c r="J56" i="8"/>
  <c r="I56" i="8"/>
  <c r="H56" i="8"/>
  <c r="G56" i="8"/>
  <c r="F56" i="8"/>
  <c r="E56" i="8"/>
  <c r="D56" i="8"/>
  <c r="C56" i="8"/>
  <c r="B56" i="8"/>
  <c r="A56" i="8"/>
  <c r="W55" i="8"/>
  <c r="V55" i="8"/>
  <c r="U55" i="8"/>
  <c r="T55" i="8"/>
  <c r="S55" i="8"/>
  <c r="R55" i="8"/>
  <c r="Q55" i="8"/>
  <c r="P55" i="8"/>
  <c r="O55" i="8"/>
  <c r="N55" i="8"/>
  <c r="M55" i="8"/>
  <c r="L55" i="8"/>
  <c r="K55" i="8"/>
  <c r="J55" i="8"/>
  <c r="I55" i="8"/>
  <c r="H55" i="8"/>
  <c r="G55" i="8"/>
  <c r="F55" i="8"/>
  <c r="E55" i="8"/>
  <c r="D55" i="8"/>
  <c r="C55" i="8"/>
  <c r="B55" i="8"/>
  <c r="A55" i="8"/>
  <c r="W54" i="8"/>
  <c r="V54" i="8"/>
  <c r="U54" i="8"/>
  <c r="T54" i="8"/>
  <c r="S54" i="8"/>
  <c r="R54" i="8"/>
  <c r="Q54" i="8"/>
  <c r="P54" i="8"/>
  <c r="O54" i="8"/>
  <c r="N54" i="8"/>
  <c r="M54" i="8"/>
  <c r="L54" i="8"/>
  <c r="K54" i="8"/>
  <c r="J54" i="8"/>
  <c r="I54" i="8"/>
  <c r="H54" i="8"/>
  <c r="G54" i="8"/>
  <c r="F54" i="8"/>
  <c r="E54" i="8"/>
  <c r="D54" i="8"/>
  <c r="C54" i="8"/>
  <c r="B54" i="8"/>
  <c r="A54" i="8"/>
  <c r="W53" i="8"/>
  <c r="V53" i="8"/>
  <c r="U53" i="8"/>
  <c r="T53" i="8"/>
  <c r="S53" i="8"/>
  <c r="R53" i="8"/>
  <c r="Q53" i="8"/>
  <c r="P53" i="8"/>
  <c r="O53" i="8"/>
  <c r="N53" i="8"/>
  <c r="M53" i="8"/>
  <c r="L53" i="8"/>
  <c r="K53" i="8"/>
  <c r="J53" i="8"/>
  <c r="I53" i="8"/>
  <c r="H53" i="8"/>
  <c r="G53" i="8"/>
  <c r="F53" i="8"/>
  <c r="E53" i="8"/>
  <c r="D53" i="8"/>
  <c r="C53" i="8"/>
  <c r="B53" i="8"/>
  <c r="A53" i="8"/>
  <c r="W52" i="8"/>
  <c r="V52" i="8"/>
  <c r="U52" i="8"/>
  <c r="T52" i="8"/>
  <c r="S52" i="8"/>
  <c r="R52" i="8"/>
  <c r="Q52" i="8"/>
  <c r="P52" i="8"/>
  <c r="O52" i="8"/>
  <c r="N52" i="8"/>
  <c r="M52" i="8"/>
  <c r="L52" i="8"/>
  <c r="K52" i="8"/>
  <c r="J52" i="8"/>
  <c r="I52" i="8"/>
  <c r="H52" i="8"/>
  <c r="G52" i="8"/>
  <c r="F52" i="8"/>
  <c r="E52" i="8"/>
  <c r="D52" i="8"/>
  <c r="C52" i="8"/>
  <c r="B52" i="8"/>
  <c r="A52" i="8"/>
  <c r="W51" i="8"/>
  <c r="V51" i="8"/>
  <c r="U51" i="8"/>
  <c r="T51" i="8"/>
  <c r="S51" i="8"/>
  <c r="R51" i="8"/>
  <c r="Q51" i="8"/>
  <c r="P51" i="8"/>
  <c r="O51" i="8"/>
  <c r="N51" i="8"/>
  <c r="M51" i="8"/>
  <c r="L51" i="8"/>
  <c r="K51" i="8"/>
  <c r="J51" i="8"/>
  <c r="I51" i="8"/>
  <c r="H51" i="8"/>
  <c r="G51" i="8"/>
  <c r="F51" i="8"/>
  <c r="E51" i="8"/>
  <c r="D51" i="8"/>
  <c r="C51" i="8"/>
  <c r="B51" i="8"/>
  <c r="A51" i="8"/>
  <c r="W50" i="8"/>
  <c r="V50" i="8"/>
  <c r="U50" i="8"/>
  <c r="T50" i="8"/>
  <c r="S50" i="8"/>
  <c r="R50" i="8"/>
  <c r="Q50" i="8"/>
  <c r="P50" i="8"/>
  <c r="O50" i="8"/>
  <c r="N50" i="8"/>
  <c r="M50" i="8"/>
  <c r="L50" i="8"/>
  <c r="K50" i="8"/>
  <c r="J50" i="8"/>
  <c r="I50" i="8"/>
  <c r="H50" i="8"/>
  <c r="G50" i="8"/>
  <c r="F50" i="8"/>
  <c r="E50" i="8"/>
  <c r="D50" i="8"/>
  <c r="C50" i="8"/>
  <c r="B50" i="8"/>
  <c r="A50" i="8"/>
  <c r="W49" i="8"/>
  <c r="V49" i="8"/>
  <c r="U49" i="8"/>
  <c r="T49" i="8"/>
  <c r="S49" i="8"/>
  <c r="R49" i="8"/>
  <c r="Q49" i="8"/>
  <c r="P49" i="8"/>
  <c r="O49" i="8"/>
  <c r="N49" i="8"/>
  <c r="M49" i="8"/>
  <c r="L49" i="8"/>
  <c r="K49" i="8"/>
  <c r="J49" i="8"/>
  <c r="I49" i="8"/>
  <c r="H49" i="8"/>
  <c r="G49" i="8"/>
  <c r="F49" i="8"/>
  <c r="E49" i="8"/>
  <c r="D49" i="8"/>
  <c r="C49" i="8"/>
  <c r="B49" i="8"/>
  <c r="A49" i="8"/>
  <c r="W48" i="8"/>
  <c r="V48" i="8"/>
  <c r="U48" i="8"/>
  <c r="T48" i="8"/>
  <c r="S48" i="8"/>
  <c r="R48" i="8"/>
  <c r="Q48" i="8"/>
  <c r="P48" i="8"/>
  <c r="O48" i="8"/>
  <c r="N48" i="8"/>
  <c r="M48" i="8"/>
  <c r="L48" i="8"/>
  <c r="K48" i="8"/>
  <c r="J48" i="8"/>
  <c r="I48" i="8"/>
  <c r="H48" i="8"/>
  <c r="G48" i="8"/>
  <c r="F48" i="8"/>
  <c r="E48" i="8"/>
  <c r="D48" i="8"/>
  <c r="C48" i="8"/>
  <c r="B48" i="8"/>
  <c r="A48" i="8"/>
  <c r="W47" i="8"/>
  <c r="V47" i="8"/>
  <c r="U47" i="8"/>
  <c r="T47" i="8"/>
  <c r="S47" i="8"/>
  <c r="R47" i="8"/>
  <c r="Q47" i="8"/>
  <c r="P47" i="8"/>
  <c r="O47" i="8"/>
  <c r="N47" i="8"/>
  <c r="M47" i="8"/>
  <c r="L47" i="8"/>
  <c r="K47" i="8"/>
  <c r="J47" i="8"/>
  <c r="I47" i="8"/>
  <c r="H47" i="8"/>
  <c r="G47" i="8"/>
  <c r="F47" i="8"/>
  <c r="E47" i="8"/>
  <c r="D47" i="8"/>
  <c r="C47" i="8"/>
  <c r="B47" i="8"/>
  <c r="A47" i="8"/>
  <c r="W46" i="8"/>
  <c r="V46" i="8"/>
  <c r="U46" i="8"/>
  <c r="T46" i="8"/>
  <c r="S46" i="8"/>
  <c r="R46" i="8"/>
  <c r="Q46" i="8"/>
  <c r="P46" i="8"/>
  <c r="O46" i="8"/>
  <c r="N46" i="8"/>
  <c r="M46" i="8"/>
  <c r="L46" i="8"/>
  <c r="K46" i="8"/>
  <c r="J46" i="8"/>
  <c r="I46" i="8"/>
  <c r="H46" i="8"/>
  <c r="G46" i="8"/>
  <c r="F46" i="8"/>
  <c r="E46" i="8"/>
  <c r="D46" i="8"/>
  <c r="C46" i="8"/>
  <c r="B46" i="8"/>
  <c r="A46" i="8"/>
  <c r="W45" i="8"/>
  <c r="V45" i="8"/>
  <c r="U45" i="8"/>
  <c r="T45" i="8"/>
  <c r="S45" i="8"/>
  <c r="R45" i="8"/>
  <c r="Q45" i="8"/>
  <c r="P45" i="8"/>
  <c r="O45" i="8"/>
  <c r="N45" i="8"/>
  <c r="M45" i="8"/>
  <c r="L45" i="8"/>
  <c r="K45" i="8"/>
  <c r="J45" i="8"/>
  <c r="I45" i="8"/>
  <c r="H45" i="8"/>
  <c r="G45" i="8"/>
  <c r="F45" i="8"/>
  <c r="E45" i="8"/>
  <c r="D45" i="8"/>
  <c r="C45" i="8"/>
  <c r="B45" i="8"/>
  <c r="A45" i="8"/>
  <c r="W44" i="8"/>
  <c r="V44" i="8"/>
  <c r="U44" i="8"/>
  <c r="T44" i="8"/>
  <c r="S44" i="8"/>
  <c r="R44" i="8"/>
  <c r="Q44" i="8"/>
  <c r="P44" i="8"/>
  <c r="O44" i="8"/>
  <c r="N44" i="8"/>
  <c r="M44" i="8"/>
  <c r="L44" i="8"/>
  <c r="K44" i="8"/>
  <c r="J44" i="8"/>
  <c r="I44" i="8"/>
  <c r="H44" i="8"/>
  <c r="G44" i="8"/>
  <c r="F44" i="8"/>
  <c r="E44" i="8"/>
  <c r="D44" i="8"/>
  <c r="C44" i="8"/>
  <c r="B44" i="8"/>
  <c r="A44" i="8"/>
  <c r="W43" i="8"/>
  <c r="V43" i="8"/>
  <c r="U43" i="8"/>
  <c r="T43" i="8"/>
  <c r="S43" i="8"/>
  <c r="R43" i="8"/>
  <c r="Q43" i="8"/>
  <c r="P43" i="8"/>
  <c r="O43" i="8"/>
  <c r="N43" i="8"/>
  <c r="M43" i="8"/>
  <c r="L43" i="8"/>
  <c r="K43" i="8"/>
  <c r="J43" i="8"/>
  <c r="I43" i="8"/>
  <c r="H43" i="8"/>
  <c r="G43" i="8"/>
  <c r="F43" i="8"/>
  <c r="E43" i="8"/>
  <c r="D43" i="8"/>
  <c r="C43" i="8"/>
  <c r="B43" i="8"/>
  <c r="A43" i="8"/>
  <c r="W42" i="8"/>
  <c r="V42" i="8"/>
  <c r="U42" i="8"/>
  <c r="T42" i="8"/>
  <c r="S42" i="8"/>
  <c r="R42" i="8"/>
  <c r="Q42" i="8"/>
  <c r="P42" i="8"/>
  <c r="O42" i="8"/>
  <c r="N42" i="8"/>
  <c r="M42" i="8"/>
  <c r="L42" i="8"/>
  <c r="K42" i="8"/>
  <c r="J42" i="8"/>
  <c r="I42" i="8"/>
  <c r="H42" i="8"/>
  <c r="G42" i="8"/>
  <c r="F42" i="8"/>
  <c r="E42" i="8"/>
  <c r="D42" i="8"/>
  <c r="C42" i="8"/>
  <c r="B42" i="8"/>
  <c r="A42" i="8"/>
  <c r="W41" i="8"/>
  <c r="V41" i="8"/>
  <c r="U41" i="8"/>
  <c r="T41" i="8"/>
  <c r="S41" i="8"/>
  <c r="R41" i="8"/>
  <c r="Q41" i="8"/>
  <c r="P41" i="8"/>
  <c r="O41" i="8"/>
  <c r="N41" i="8"/>
  <c r="M41" i="8"/>
  <c r="L41" i="8"/>
  <c r="K41" i="8"/>
  <c r="J41" i="8"/>
  <c r="I41" i="8"/>
  <c r="H41" i="8"/>
  <c r="G41" i="8"/>
  <c r="F41" i="8"/>
  <c r="E41" i="8"/>
  <c r="D41" i="8"/>
  <c r="C41" i="8"/>
  <c r="B41" i="8"/>
  <c r="A41" i="8"/>
  <c r="W40" i="8"/>
  <c r="V40" i="8"/>
  <c r="U40" i="8"/>
  <c r="T40" i="8"/>
  <c r="S40" i="8"/>
  <c r="R40" i="8"/>
  <c r="Q40" i="8"/>
  <c r="P40" i="8"/>
  <c r="O40" i="8"/>
  <c r="N40" i="8"/>
  <c r="M40" i="8"/>
  <c r="L40" i="8"/>
  <c r="K40" i="8"/>
  <c r="J40" i="8"/>
  <c r="I40" i="8"/>
  <c r="H40" i="8"/>
  <c r="G40" i="8"/>
  <c r="F40" i="8"/>
  <c r="E40" i="8"/>
  <c r="D40" i="8"/>
  <c r="C40" i="8"/>
  <c r="B40" i="8"/>
  <c r="A40" i="8"/>
  <c r="W39" i="8"/>
  <c r="V39" i="8"/>
  <c r="U39" i="8"/>
  <c r="T39" i="8"/>
  <c r="S39" i="8"/>
  <c r="R39" i="8"/>
  <c r="Q39" i="8"/>
  <c r="P39" i="8"/>
  <c r="O39" i="8"/>
  <c r="N39" i="8"/>
  <c r="M39" i="8"/>
  <c r="L39" i="8"/>
  <c r="K39" i="8"/>
  <c r="J39" i="8"/>
  <c r="I39" i="8"/>
  <c r="H39" i="8"/>
  <c r="G39" i="8"/>
  <c r="F39" i="8"/>
  <c r="E39" i="8"/>
  <c r="D39" i="8"/>
  <c r="C39" i="8"/>
  <c r="B39" i="8"/>
  <c r="A39" i="8"/>
  <c r="W38" i="8"/>
  <c r="V38" i="8"/>
  <c r="U38" i="8"/>
  <c r="T38" i="8"/>
  <c r="S38" i="8"/>
  <c r="R38" i="8"/>
  <c r="Q38" i="8"/>
  <c r="P38" i="8"/>
  <c r="O38" i="8"/>
  <c r="N38" i="8"/>
  <c r="M38" i="8"/>
  <c r="L38" i="8"/>
  <c r="K38" i="8"/>
  <c r="J38" i="8"/>
  <c r="I38" i="8"/>
  <c r="H38" i="8"/>
  <c r="G38" i="8"/>
  <c r="F38" i="8"/>
  <c r="E38" i="8"/>
  <c r="D38" i="8"/>
  <c r="C38" i="8"/>
  <c r="B38" i="8"/>
  <c r="A38" i="8"/>
  <c r="W37" i="8"/>
  <c r="V37" i="8"/>
  <c r="U37" i="8"/>
  <c r="T37" i="8"/>
  <c r="S37" i="8"/>
  <c r="R37" i="8"/>
  <c r="Q37" i="8"/>
  <c r="P37" i="8"/>
  <c r="O37" i="8"/>
  <c r="N37" i="8"/>
  <c r="M37" i="8"/>
  <c r="L37" i="8"/>
  <c r="K37" i="8"/>
  <c r="J37" i="8"/>
  <c r="I37" i="8"/>
  <c r="H37" i="8"/>
  <c r="G37" i="8"/>
  <c r="F37" i="8"/>
  <c r="E37" i="8"/>
  <c r="D37" i="8"/>
  <c r="C37" i="8"/>
  <c r="B37" i="8"/>
  <c r="A37" i="8"/>
  <c r="W36" i="8"/>
  <c r="V36" i="8"/>
  <c r="U36" i="8"/>
  <c r="T36" i="8"/>
  <c r="S36" i="8"/>
  <c r="R36" i="8"/>
  <c r="Q36" i="8"/>
  <c r="P36" i="8"/>
  <c r="O36" i="8"/>
  <c r="N36" i="8"/>
  <c r="M36" i="8"/>
  <c r="L36" i="8"/>
  <c r="K36" i="8"/>
  <c r="J36" i="8"/>
  <c r="I36" i="8"/>
  <c r="H36" i="8"/>
  <c r="G36" i="8"/>
  <c r="F36" i="8"/>
  <c r="E36" i="8"/>
  <c r="D36" i="8"/>
  <c r="C36" i="8"/>
  <c r="B36" i="8"/>
  <c r="A36" i="8"/>
  <c r="W35" i="8"/>
  <c r="V35" i="8"/>
  <c r="U35" i="8"/>
  <c r="T35" i="8"/>
  <c r="S35" i="8"/>
  <c r="R35" i="8"/>
  <c r="Q35" i="8"/>
  <c r="P35" i="8"/>
  <c r="O35" i="8"/>
  <c r="N35" i="8"/>
  <c r="M35" i="8"/>
  <c r="L35" i="8"/>
  <c r="K35" i="8"/>
  <c r="J35" i="8"/>
  <c r="I35" i="8"/>
  <c r="H35" i="8"/>
  <c r="G35" i="8"/>
  <c r="F35" i="8"/>
  <c r="E35" i="8"/>
  <c r="D35" i="8"/>
  <c r="C35" i="8"/>
  <c r="B35" i="8"/>
  <c r="A35" i="8"/>
  <c r="W34" i="8"/>
  <c r="V34" i="8"/>
  <c r="U34" i="8"/>
  <c r="T34" i="8"/>
  <c r="S34" i="8"/>
  <c r="R34" i="8"/>
  <c r="Q34" i="8"/>
  <c r="P34" i="8"/>
  <c r="O34" i="8"/>
  <c r="N34" i="8"/>
  <c r="M34" i="8"/>
  <c r="L34" i="8"/>
  <c r="K34" i="8"/>
  <c r="J34" i="8"/>
  <c r="I34" i="8"/>
  <c r="H34" i="8"/>
  <c r="G34" i="8"/>
  <c r="F34" i="8"/>
  <c r="E34" i="8"/>
  <c r="D34" i="8"/>
  <c r="C34" i="8"/>
  <c r="B34" i="8"/>
  <c r="A34" i="8"/>
  <c r="W33" i="8"/>
  <c r="V33" i="8"/>
  <c r="U33" i="8"/>
  <c r="T33" i="8"/>
  <c r="S33" i="8"/>
  <c r="R33" i="8"/>
  <c r="Q33" i="8"/>
  <c r="P33" i="8"/>
  <c r="O33" i="8"/>
  <c r="N33" i="8"/>
  <c r="M33" i="8"/>
  <c r="L33" i="8"/>
  <c r="K33" i="8"/>
  <c r="J33" i="8"/>
  <c r="I33" i="8"/>
  <c r="H33" i="8"/>
  <c r="G33" i="8"/>
  <c r="F33" i="8"/>
  <c r="E33" i="8"/>
  <c r="D33" i="8"/>
  <c r="C33" i="8"/>
  <c r="B33" i="8"/>
  <c r="A33" i="8"/>
  <c r="W32" i="8"/>
  <c r="V32" i="8"/>
  <c r="U32" i="8"/>
  <c r="T32" i="8"/>
  <c r="S32" i="8"/>
  <c r="R32" i="8"/>
  <c r="Q32" i="8"/>
  <c r="P32" i="8"/>
  <c r="O32" i="8"/>
  <c r="N32" i="8"/>
  <c r="M32" i="8"/>
  <c r="L32" i="8"/>
  <c r="K32" i="8"/>
  <c r="J32" i="8"/>
  <c r="I32" i="8"/>
  <c r="H32" i="8"/>
  <c r="G32" i="8"/>
  <c r="F32" i="8"/>
  <c r="E32" i="8"/>
  <c r="D32" i="8"/>
  <c r="C32" i="8"/>
  <c r="B32" i="8"/>
  <c r="A32" i="8"/>
  <c r="W31" i="8"/>
  <c r="V31" i="8"/>
  <c r="U31" i="8"/>
  <c r="T31" i="8"/>
  <c r="S31" i="8"/>
  <c r="R31" i="8"/>
  <c r="Q31" i="8"/>
  <c r="P31" i="8"/>
  <c r="O31" i="8"/>
  <c r="N31" i="8"/>
  <c r="M31" i="8"/>
  <c r="L31" i="8"/>
  <c r="K31" i="8"/>
  <c r="J31" i="8"/>
  <c r="I31" i="8"/>
  <c r="H31" i="8"/>
  <c r="G31" i="8"/>
  <c r="F31" i="8"/>
  <c r="E31" i="8"/>
  <c r="D31" i="8"/>
  <c r="C31" i="8"/>
  <c r="B31" i="8"/>
  <c r="A31" i="8"/>
  <c r="W30" i="8"/>
  <c r="V30" i="8"/>
  <c r="U30" i="8"/>
  <c r="T30" i="8"/>
  <c r="S30" i="8"/>
  <c r="R30" i="8"/>
  <c r="Q30" i="8"/>
  <c r="P30" i="8"/>
  <c r="O30" i="8"/>
  <c r="N30" i="8"/>
  <c r="M30" i="8"/>
  <c r="L30" i="8"/>
  <c r="K30" i="8"/>
  <c r="J30" i="8"/>
  <c r="I30" i="8"/>
  <c r="H30" i="8"/>
  <c r="G30" i="8"/>
  <c r="F30" i="8"/>
  <c r="E30" i="8"/>
  <c r="D30" i="8"/>
  <c r="C30" i="8"/>
  <c r="B30" i="8"/>
  <c r="A30" i="8"/>
  <c r="W29" i="8"/>
  <c r="V29" i="8"/>
  <c r="U29" i="8"/>
  <c r="T29" i="8"/>
  <c r="S29" i="8"/>
  <c r="R29" i="8"/>
  <c r="Q29" i="8"/>
  <c r="P29" i="8"/>
  <c r="O29" i="8"/>
  <c r="N29" i="8"/>
  <c r="M29" i="8"/>
  <c r="L29" i="8"/>
  <c r="K29" i="8"/>
  <c r="J29" i="8"/>
  <c r="I29" i="8"/>
  <c r="H29" i="8"/>
  <c r="G29" i="8"/>
  <c r="F29" i="8"/>
  <c r="E29" i="8"/>
  <c r="D29" i="8"/>
  <c r="C29" i="8"/>
  <c r="B29" i="8"/>
  <c r="A29" i="8"/>
  <c r="W28" i="8"/>
  <c r="V28" i="8"/>
  <c r="U28" i="8"/>
  <c r="T28" i="8"/>
  <c r="S28" i="8"/>
  <c r="R28" i="8"/>
  <c r="Q28" i="8"/>
  <c r="P28" i="8"/>
  <c r="O28" i="8"/>
  <c r="N28" i="8"/>
  <c r="M28" i="8"/>
  <c r="L28" i="8"/>
  <c r="K28" i="8"/>
  <c r="J28" i="8"/>
  <c r="I28" i="8"/>
  <c r="H28" i="8"/>
  <c r="G28" i="8"/>
  <c r="F28" i="8"/>
  <c r="E28" i="8"/>
  <c r="D28" i="8"/>
  <c r="C28" i="8"/>
  <c r="B28" i="8"/>
  <c r="A28" i="8"/>
  <c r="W27" i="8"/>
  <c r="V27" i="8"/>
  <c r="U27" i="8"/>
  <c r="T27" i="8"/>
  <c r="S27" i="8"/>
  <c r="R27" i="8"/>
  <c r="Q27" i="8"/>
  <c r="P27" i="8"/>
  <c r="O27" i="8"/>
  <c r="N27" i="8"/>
  <c r="M27" i="8"/>
  <c r="L27" i="8"/>
  <c r="K27" i="8"/>
  <c r="J27" i="8"/>
  <c r="I27" i="8"/>
  <c r="H27" i="8"/>
  <c r="G27" i="8"/>
  <c r="F27" i="8"/>
  <c r="E27" i="8"/>
  <c r="D27" i="8"/>
  <c r="C27" i="8"/>
  <c r="B27" i="8"/>
  <c r="A27" i="8"/>
  <c r="W26" i="8"/>
  <c r="V26" i="8"/>
  <c r="U26" i="8"/>
  <c r="T26" i="8"/>
  <c r="S26" i="8"/>
  <c r="R26" i="8"/>
  <c r="Q26" i="8"/>
  <c r="P26" i="8"/>
  <c r="O26" i="8"/>
  <c r="N26" i="8"/>
  <c r="M26" i="8"/>
  <c r="L26" i="8"/>
  <c r="K26" i="8"/>
  <c r="J26" i="8"/>
  <c r="I26" i="8"/>
  <c r="H26" i="8"/>
  <c r="G26" i="8"/>
  <c r="F26" i="8"/>
  <c r="E26" i="8"/>
  <c r="D26" i="8"/>
  <c r="C26" i="8"/>
  <c r="B26" i="8"/>
  <c r="A26" i="8"/>
  <c r="W25" i="8"/>
  <c r="V25" i="8"/>
  <c r="U25" i="8"/>
  <c r="T25" i="8"/>
  <c r="S25" i="8"/>
  <c r="R25" i="8"/>
  <c r="Q25" i="8"/>
  <c r="P25" i="8"/>
  <c r="O25" i="8"/>
  <c r="N25" i="8"/>
  <c r="M25" i="8"/>
  <c r="L25" i="8"/>
  <c r="K25" i="8"/>
  <c r="J25" i="8"/>
  <c r="I25" i="8"/>
  <c r="H25" i="8"/>
  <c r="G25" i="8"/>
  <c r="F25" i="8"/>
  <c r="E25" i="8"/>
  <c r="D25" i="8"/>
  <c r="C25" i="8"/>
  <c r="B25" i="8"/>
  <c r="A25" i="8"/>
  <c r="W24" i="8"/>
  <c r="V24" i="8"/>
  <c r="U24" i="8"/>
  <c r="T24" i="8"/>
  <c r="S24" i="8"/>
  <c r="R24" i="8"/>
  <c r="Q24" i="8"/>
  <c r="P24" i="8"/>
  <c r="O24" i="8"/>
  <c r="N24" i="8"/>
  <c r="M24" i="8"/>
  <c r="L24" i="8"/>
  <c r="K24" i="8"/>
  <c r="J24" i="8"/>
  <c r="I24" i="8"/>
  <c r="H24" i="8"/>
  <c r="G24" i="8"/>
  <c r="F24" i="8"/>
  <c r="E24" i="8"/>
  <c r="D24" i="8"/>
  <c r="C24" i="8"/>
  <c r="B24" i="8"/>
  <c r="A24" i="8"/>
  <c r="W23" i="8"/>
  <c r="V23" i="8"/>
  <c r="U23" i="8"/>
  <c r="T23" i="8"/>
  <c r="S23" i="8"/>
  <c r="R23" i="8"/>
  <c r="Q23" i="8"/>
  <c r="P23" i="8"/>
  <c r="O23" i="8"/>
  <c r="N23" i="8"/>
  <c r="M23" i="8"/>
  <c r="L23" i="8"/>
  <c r="K23" i="8"/>
  <c r="J23" i="8"/>
  <c r="I23" i="8"/>
  <c r="H23" i="8"/>
  <c r="G23" i="8"/>
  <c r="F23" i="8"/>
  <c r="E23" i="8"/>
  <c r="D23" i="8"/>
  <c r="C23" i="8"/>
  <c r="B23" i="8"/>
  <c r="A23" i="8"/>
  <c r="W22" i="8"/>
  <c r="V22" i="8"/>
  <c r="U22" i="8"/>
  <c r="T22" i="8"/>
  <c r="S22" i="8"/>
  <c r="R22" i="8"/>
  <c r="Q22" i="8"/>
  <c r="P22" i="8"/>
  <c r="O22" i="8"/>
  <c r="N22" i="8"/>
  <c r="M22" i="8"/>
  <c r="L22" i="8"/>
  <c r="K22" i="8"/>
  <c r="J22" i="8"/>
  <c r="I22" i="8"/>
  <c r="H22" i="8"/>
  <c r="G22" i="8"/>
  <c r="F22" i="8"/>
  <c r="E22" i="8"/>
  <c r="D22" i="8"/>
  <c r="C22" i="8"/>
  <c r="B22" i="8"/>
  <c r="A22" i="8"/>
  <c r="W21" i="8"/>
  <c r="V21" i="8"/>
  <c r="U21" i="8"/>
  <c r="T21" i="8"/>
  <c r="S21" i="8"/>
  <c r="R21" i="8"/>
  <c r="Q21" i="8"/>
  <c r="P21" i="8"/>
  <c r="O21" i="8"/>
  <c r="N21" i="8"/>
  <c r="M21" i="8"/>
  <c r="L21" i="8"/>
  <c r="K21" i="8"/>
  <c r="J21" i="8"/>
  <c r="I21" i="8"/>
  <c r="H21" i="8"/>
  <c r="G21" i="8"/>
  <c r="F21" i="8"/>
  <c r="E21" i="8"/>
  <c r="D21" i="8"/>
  <c r="C21" i="8"/>
  <c r="B21" i="8"/>
  <c r="A21" i="8"/>
  <c r="W20" i="8"/>
  <c r="V20" i="8"/>
  <c r="U20" i="8"/>
  <c r="T20" i="8"/>
  <c r="S20" i="8"/>
  <c r="R20" i="8"/>
  <c r="Q20" i="8"/>
  <c r="P20" i="8"/>
  <c r="O20" i="8"/>
  <c r="N20" i="8"/>
  <c r="M20" i="8"/>
  <c r="L20" i="8"/>
  <c r="K20" i="8"/>
  <c r="J20" i="8"/>
  <c r="I20" i="8"/>
  <c r="H20" i="8"/>
  <c r="G20" i="8"/>
  <c r="F20" i="8"/>
  <c r="E20" i="8"/>
  <c r="D20" i="8"/>
  <c r="C20" i="8"/>
  <c r="B20" i="8"/>
  <c r="A20" i="8"/>
  <c r="W19" i="8"/>
  <c r="V19" i="8"/>
  <c r="U19" i="8"/>
  <c r="T19" i="8"/>
  <c r="S19" i="8"/>
  <c r="R19" i="8"/>
  <c r="Q19" i="8"/>
  <c r="P19" i="8"/>
  <c r="O19" i="8"/>
  <c r="N19" i="8"/>
  <c r="M19" i="8"/>
  <c r="L19" i="8"/>
  <c r="K19" i="8"/>
  <c r="J19" i="8"/>
  <c r="I19" i="8"/>
  <c r="H19" i="8"/>
  <c r="G19" i="8"/>
  <c r="F19" i="8"/>
  <c r="E19" i="8"/>
  <c r="D19" i="8"/>
  <c r="C19" i="8"/>
  <c r="B19" i="8"/>
  <c r="A19" i="8"/>
  <c r="W18" i="8"/>
  <c r="V18" i="8"/>
  <c r="U18" i="8"/>
  <c r="T18" i="8"/>
  <c r="S18" i="8"/>
  <c r="R18" i="8"/>
  <c r="Q18" i="8"/>
  <c r="P18" i="8"/>
  <c r="O18" i="8"/>
  <c r="N18" i="8"/>
  <c r="M18" i="8"/>
  <c r="L18" i="8"/>
  <c r="K18" i="8"/>
  <c r="J18" i="8"/>
  <c r="I18" i="8"/>
  <c r="H18" i="8"/>
  <c r="G18" i="8"/>
  <c r="F18" i="8"/>
  <c r="E18" i="8"/>
  <c r="D18" i="8"/>
  <c r="C18" i="8"/>
  <c r="B18" i="8"/>
  <c r="A18" i="8"/>
  <c r="W17" i="8"/>
  <c r="V17" i="8"/>
  <c r="U17" i="8"/>
  <c r="T17" i="8"/>
  <c r="S17" i="8"/>
  <c r="R17" i="8"/>
  <c r="Q17" i="8"/>
  <c r="P17" i="8"/>
  <c r="O17" i="8"/>
  <c r="N17" i="8"/>
  <c r="M17" i="8"/>
  <c r="L17" i="8"/>
  <c r="K17" i="8"/>
  <c r="J17" i="8"/>
  <c r="I17" i="8"/>
  <c r="H17" i="8"/>
  <c r="G17" i="8"/>
  <c r="F17" i="8"/>
  <c r="E17" i="8"/>
  <c r="D17" i="8"/>
  <c r="C17" i="8"/>
  <c r="B17" i="8"/>
  <c r="A17" i="8"/>
  <c r="W16" i="8"/>
  <c r="V16" i="8"/>
  <c r="U16" i="8"/>
  <c r="T16" i="8"/>
  <c r="S16" i="8"/>
  <c r="R16" i="8"/>
  <c r="Q16" i="8"/>
  <c r="P16" i="8"/>
  <c r="O16" i="8"/>
  <c r="N16" i="8"/>
  <c r="M16" i="8"/>
  <c r="L16" i="8"/>
  <c r="K16" i="8"/>
  <c r="J16" i="8"/>
  <c r="I16" i="8"/>
  <c r="H16" i="8"/>
  <c r="G16" i="8"/>
  <c r="F16" i="8"/>
  <c r="E16" i="8"/>
  <c r="D16" i="8"/>
  <c r="C16" i="8"/>
  <c r="B16" i="8"/>
  <c r="A16" i="8"/>
  <c r="W15" i="8"/>
  <c r="V15" i="8"/>
  <c r="U15" i="8"/>
  <c r="T15" i="8"/>
  <c r="S15" i="8"/>
  <c r="R15" i="8"/>
  <c r="Q15" i="8"/>
  <c r="P15" i="8"/>
  <c r="O15" i="8"/>
  <c r="N15" i="8"/>
  <c r="M15" i="8"/>
  <c r="L15" i="8"/>
  <c r="K15" i="8"/>
  <c r="J15" i="8"/>
  <c r="I15" i="8"/>
  <c r="H15" i="8"/>
  <c r="G15" i="8"/>
  <c r="F15" i="8"/>
  <c r="E15" i="8"/>
  <c r="D15" i="8"/>
  <c r="C15" i="8"/>
  <c r="B15" i="8"/>
  <c r="A15" i="8"/>
  <c r="W14" i="8"/>
  <c r="V14" i="8"/>
  <c r="U14" i="8"/>
  <c r="T14" i="8"/>
  <c r="S14" i="8"/>
  <c r="R14" i="8"/>
  <c r="Q14" i="8"/>
  <c r="P14" i="8"/>
  <c r="O14" i="8"/>
  <c r="N14" i="8"/>
  <c r="M14" i="8"/>
  <c r="L14" i="8"/>
  <c r="K14" i="8"/>
  <c r="J14" i="8"/>
  <c r="I14" i="8"/>
  <c r="H14" i="8"/>
  <c r="G14" i="8"/>
  <c r="F14" i="8"/>
  <c r="E14" i="8"/>
  <c r="D14" i="8"/>
  <c r="C14" i="8"/>
  <c r="B14" i="8"/>
  <c r="A14" i="8"/>
  <c r="W13" i="8"/>
  <c r="V13" i="8"/>
  <c r="U13" i="8"/>
  <c r="T13" i="8"/>
  <c r="S13" i="8"/>
  <c r="R13" i="8"/>
  <c r="Q13" i="8"/>
  <c r="P13" i="8"/>
  <c r="O13" i="8"/>
  <c r="N13" i="8"/>
  <c r="M13" i="8"/>
  <c r="L13" i="8"/>
  <c r="K13" i="8"/>
  <c r="J13" i="8"/>
  <c r="I13" i="8"/>
  <c r="H13" i="8"/>
  <c r="G13" i="8"/>
  <c r="F13" i="8"/>
  <c r="E13" i="8"/>
  <c r="D13" i="8"/>
  <c r="C13" i="8"/>
  <c r="B13" i="8"/>
  <c r="A13" i="8"/>
  <c r="W12" i="8"/>
  <c r="V12" i="8"/>
  <c r="U12" i="8"/>
  <c r="T12" i="8"/>
  <c r="S12" i="8"/>
  <c r="R12" i="8"/>
  <c r="Q12" i="8"/>
  <c r="P12" i="8"/>
  <c r="O12" i="8"/>
  <c r="N12" i="8"/>
  <c r="M12" i="8"/>
  <c r="L12" i="8"/>
  <c r="K12" i="8"/>
  <c r="J12" i="8"/>
  <c r="I12" i="8"/>
  <c r="H12" i="8"/>
  <c r="G12" i="8"/>
  <c r="F12" i="8"/>
  <c r="E12" i="8"/>
  <c r="D12" i="8"/>
  <c r="C12" i="8"/>
  <c r="B12" i="8"/>
  <c r="A12" i="8"/>
  <c r="W11" i="8"/>
  <c r="V11" i="8"/>
  <c r="U11" i="8"/>
  <c r="T11" i="8"/>
  <c r="S11" i="8"/>
  <c r="R11" i="8"/>
  <c r="Q11" i="8"/>
  <c r="P11" i="8"/>
  <c r="O11" i="8"/>
  <c r="N11" i="8"/>
  <c r="M11" i="8"/>
  <c r="L11" i="8"/>
  <c r="K11" i="8"/>
  <c r="J11" i="8"/>
  <c r="I11" i="8"/>
  <c r="H11" i="8"/>
  <c r="G11" i="8"/>
  <c r="F11" i="8"/>
  <c r="E11" i="8"/>
  <c r="D11" i="8"/>
  <c r="C11" i="8"/>
  <c r="B11" i="8"/>
  <c r="A11" i="8"/>
  <c r="W10" i="8"/>
  <c r="V10" i="8"/>
  <c r="U10" i="8"/>
  <c r="T10" i="8"/>
  <c r="S10" i="8"/>
  <c r="R10" i="8"/>
  <c r="Q10" i="8"/>
  <c r="P10" i="8"/>
  <c r="O10" i="8"/>
  <c r="N10" i="8"/>
  <c r="M10" i="8"/>
  <c r="L10" i="8"/>
  <c r="K10" i="8"/>
  <c r="J10" i="8"/>
  <c r="I10" i="8"/>
  <c r="H10" i="8"/>
  <c r="G10" i="8"/>
  <c r="F10" i="8"/>
  <c r="E10" i="8"/>
  <c r="D10" i="8"/>
  <c r="C10" i="8"/>
  <c r="B10" i="8"/>
  <c r="A10" i="8"/>
  <c r="W9" i="8"/>
  <c r="V9" i="8"/>
  <c r="U9" i="8"/>
  <c r="T9" i="8"/>
  <c r="S9" i="8"/>
  <c r="R9" i="8"/>
  <c r="Q9" i="8"/>
  <c r="P9" i="8"/>
  <c r="O9" i="8"/>
  <c r="N9" i="8"/>
  <c r="M9" i="8"/>
  <c r="L9" i="8"/>
  <c r="K9" i="8"/>
  <c r="J9" i="8"/>
  <c r="I9" i="8"/>
  <c r="H9" i="8"/>
  <c r="G9" i="8"/>
  <c r="F9" i="8"/>
  <c r="E9" i="8"/>
  <c r="D9" i="8"/>
  <c r="C9" i="8"/>
  <c r="B9" i="8"/>
  <c r="A9" i="8"/>
  <c r="W8" i="8"/>
  <c r="V8" i="8"/>
  <c r="U8" i="8"/>
  <c r="T8" i="8"/>
  <c r="S8" i="8"/>
  <c r="R8" i="8"/>
  <c r="Q8" i="8"/>
  <c r="P8" i="8"/>
  <c r="O8" i="8"/>
  <c r="N8" i="8"/>
  <c r="M8" i="8"/>
  <c r="L8" i="8"/>
  <c r="K8" i="8"/>
  <c r="J8" i="8"/>
  <c r="I8" i="8"/>
  <c r="H8" i="8"/>
  <c r="G8" i="8"/>
  <c r="F8" i="8"/>
  <c r="E8" i="8"/>
  <c r="D8" i="8"/>
  <c r="C8" i="8"/>
  <c r="B8" i="8"/>
  <c r="A8" i="8"/>
  <c r="W7" i="8"/>
  <c r="V7" i="8"/>
  <c r="U7" i="8"/>
  <c r="T7" i="8"/>
  <c r="S7" i="8"/>
  <c r="R7" i="8"/>
  <c r="Q7" i="8"/>
  <c r="P7" i="8"/>
  <c r="O7" i="8"/>
  <c r="N7" i="8"/>
  <c r="M7" i="8"/>
  <c r="L7" i="8"/>
  <c r="K7" i="8"/>
  <c r="J7" i="8"/>
  <c r="I7" i="8"/>
  <c r="H7" i="8"/>
  <c r="G7" i="8"/>
  <c r="F7" i="8"/>
  <c r="E7" i="8"/>
  <c r="D7" i="8"/>
  <c r="C7" i="8"/>
  <c r="B7" i="8"/>
  <c r="A7" i="8"/>
  <c r="W6" i="8"/>
  <c r="V6" i="8"/>
  <c r="U6" i="8"/>
  <c r="T6" i="8"/>
  <c r="S6" i="8"/>
  <c r="R6" i="8"/>
  <c r="Q6" i="8"/>
  <c r="P6" i="8"/>
  <c r="O6" i="8"/>
  <c r="N6" i="8"/>
  <c r="M6" i="8"/>
  <c r="L6" i="8"/>
  <c r="K6" i="8"/>
  <c r="J6" i="8"/>
  <c r="I6" i="8"/>
  <c r="H6" i="8"/>
  <c r="G6" i="8"/>
  <c r="F6" i="8"/>
  <c r="E6" i="8"/>
  <c r="D6" i="8"/>
  <c r="C6" i="8"/>
  <c r="B6" i="8"/>
  <c r="A6" i="8"/>
  <c r="W5" i="8"/>
  <c r="V5" i="8"/>
  <c r="U5" i="8"/>
  <c r="T5" i="8"/>
  <c r="S5" i="8"/>
  <c r="R5" i="8"/>
  <c r="Q5" i="8"/>
  <c r="P5" i="8"/>
  <c r="O5" i="8"/>
  <c r="N5" i="8"/>
  <c r="M5" i="8"/>
  <c r="L5" i="8"/>
  <c r="K5" i="8"/>
  <c r="J5" i="8"/>
  <c r="I5" i="8"/>
  <c r="H5" i="8"/>
  <c r="G5" i="8"/>
  <c r="F5" i="8"/>
  <c r="E5" i="8"/>
  <c r="D5" i="8"/>
  <c r="C5" i="8"/>
  <c r="B5" i="8"/>
  <c r="A5" i="8"/>
  <c r="W4" i="8"/>
  <c r="V4" i="8"/>
  <c r="U4" i="8"/>
  <c r="T4" i="8"/>
  <c r="S4" i="8"/>
  <c r="R4" i="8"/>
  <c r="Q4" i="8"/>
  <c r="P4" i="8"/>
  <c r="O4" i="8"/>
  <c r="N4" i="8"/>
  <c r="M4" i="8"/>
  <c r="L4" i="8"/>
  <c r="K4" i="8"/>
  <c r="J4" i="8"/>
  <c r="I4" i="8"/>
  <c r="H4" i="8"/>
  <c r="G4" i="8"/>
  <c r="F4" i="8"/>
  <c r="E4" i="8"/>
  <c r="D4" i="8"/>
  <c r="C4" i="8"/>
  <c r="B4" i="8"/>
  <c r="A4" i="8"/>
  <c r="W3" i="8"/>
  <c r="V3" i="8"/>
  <c r="U3" i="8"/>
  <c r="T3" i="8"/>
  <c r="S3" i="8"/>
  <c r="R3" i="8"/>
  <c r="Q3" i="8"/>
  <c r="P3" i="8"/>
  <c r="O3" i="8"/>
  <c r="N3" i="8"/>
  <c r="M3" i="8"/>
  <c r="L3" i="8"/>
  <c r="K3" i="8"/>
  <c r="J3" i="8"/>
  <c r="I3" i="8"/>
  <c r="H3" i="8"/>
  <c r="G3" i="8"/>
  <c r="F3" i="8"/>
  <c r="E3" i="8"/>
  <c r="D3" i="8"/>
  <c r="C3" i="8"/>
  <c r="B3" i="8"/>
  <c r="A3" i="8"/>
  <c r="W2" i="8"/>
  <c r="V2" i="8"/>
  <c r="U2" i="8"/>
  <c r="T2" i="8"/>
  <c r="S2" i="8"/>
  <c r="R2" i="8"/>
  <c r="Q2" i="8"/>
  <c r="P2" i="8"/>
  <c r="O2" i="8"/>
  <c r="N2" i="8"/>
  <c r="M2" i="8"/>
  <c r="L2" i="8"/>
  <c r="K2" i="8"/>
  <c r="J2" i="8"/>
  <c r="I2" i="8"/>
  <c r="H2" i="8"/>
  <c r="G2" i="8"/>
  <c r="F2" i="8"/>
  <c r="E2" i="8"/>
  <c r="D2" i="8"/>
  <c r="C2" i="8"/>
  <c r="B2" i="8"/>
  <c r="A2" i="8"/>
  <c r="W1" i="8"/>
  <c r="V1" i="8"/>
  <c r="U1" i="8"/>
  <c r="T1" i="8"/>
  <c r="S1" i="8"/>
  <c r="R1" i="8"/>
  <c r="Q1" i="8"/>
  <c r="P1" i="8"/>
  <c r="O1" i="8"/>
  <c r="N1" i="8"/>
  <c r="M1" i="8"/>
  <c r="L1" i="8"/>
  <c r="K1" i="8"/>
  <c r="J1" i="8"/>
  <c r="I1" i="8"/>
  <c r="H1" i="8"/>
  <c r="G1" i="8"/>
  <c r="F1" i="8"/>
  <c r="E1" i="8"/>
  <c r="D1" i="8"/>
  <c r="C1" i="8"/>
  <c r="B1" i="8"/>
  <c r="A1" i="8"/>
  <c r="A183" i="1"/>
  <c r="A182" i="1"/>
  <c r="A181" i="1"/>
  <c r="A180" i="1"/>
  <c r="A179" i="1"/>
  <c r="A178" i="1"/>
  <c r="A177" i="1"/>
  <c r="A176" i="1"/>
  <c r="A175" i="1"/>
  <c r="A174" i="1"/>
  <c r="A173" i="1"/>
  <c r="A172" i="1"/>
  <c r="F171" i="1"/>
  <c r="A171" i="1"/>
  <c r="A170" i="1"/>
  <c r="A169" i="1"/>
  <c r="A168" i="1"/>
  <c r="A167" i="1"/>
  <c r="A166" i="1"/>
  <c r="A165" i="1"/>
  <c r="A164" i="1"/>
  <c r="A163" i="1"/>
  <c r="A162" i="1"/>
  <c r="A161" i="1"/>
  <c r="F160" i="1"/>
  <c r="F161" i="1" s="1"/>
  <c r="F162" i="1" s="1"/>
  <c r="A160" i="1"/>
  <c r="A159" i="1"/>
  <c r="A158" i="1"/>
  <c r="A157" i="1"/>
  <c r="A156" i="1"/>
  <c r="F155" i="1"/>
  <c r="A155" i="1"/>
  <c r="A154" i="1"/>
  <c r="A153" i="1"/>
  <c r="A152" i="1"/>
  <c r="A151" i="1"/>
  <c r="A150" i="1"/>
  <c r="A149" i="1"/>
  <c r="A148" i="1"/>
  <c r="F147" i="1"/>
  <c r="A147" i="1"/>
  <c r="A146" i="1"/>
  <c r="A145" i="1"/>
  <c r="A144" i="1"/>
  <c r="A143" i="1"/>
  <c r="A142" i="1"/>
  <c r="A141" i="1"/>
  <c r="A140" i="1"/>
  <c r="A139" i="1"/>
  <c r="A138" i="1"/>
  <c r="A137" i="1"/>
  <c r="F136" i="1"/>
  <c r="A136" i="1"/>
  <c r="F135" i="1"/>
  <c r="A135" i="1"/>
  <c r="A134" i="1"/>
  <c r="A133" i="1"/>
  <c r="A132" i="1"/>
  <c r="A131" i="1"/>
  <c r="A130" i="1"/>
  <c r="F129"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F70" i="1"/>
  <c r="F71" i="1" s="1"/>
  <c r="F72" i="1" s="1"/>
  <c r="F73" i="1" s="1"/>
  <c r="A70" i="1"/>
  <c r="A69" i="1"/>
  <c r="A68" i="1"/>
  <c r="A67" i="1"/>
  <c r="AA66" i="1"/>
  <c r="A66" i="1"/>
  <c r="AA65" i="1"/>
  <c r="A65" i="1"/>
  <c r="AA64" i="1"/>
  <c r="A64" i="1"/>
  <c r="AA63" i="1"/>
  <c r="F63" i="1"/>
  <c r="F64" i="1" s="1"/>
  <c r="F65" i="1" s="1"/>
  <c r="F66" i="1" s="1"/>
  <c r="A63" i="1"/>
  <c r="AA62" i="1"/>
  <c r="A62" i="1"/>
  <c r="AA61" i="1"/>
  <c r="A61" i="1"/>
  <c r="AA60" i="1"/>
  <c r="F60" i="1"/>
  <c r="F61" i="1" s="1"/>
  <c r="A60" i="1"/>
  <c r="AA59" i="1"/>
  <c r="A59" i="1"/>
  <c r="AA58" i="1"/>
  <c r="F58" i="1"/>
  <c r="A58" i="1"/>
  <c r="AA57" i="1"/>
  <c r="A57" i="1"/>
  <c r="AA56" i="1"/>
  <c r="A56" i="1"/>
  <c r="AA55" i="1"/>
  <c r="A55" i="1"/>
  <c r="AA54" i="1"/>
  <c r="F54" i="1"/>
  <c r="F55" i="1" s="1"/>
  <c r="F56" i="1" s="1"/>
  <c r="A54" i="1"/>
  <c r="AA53" i="1"/>
  <c r="F53" i="1"/>
  <c r="A53" i="1"/>
  <c r="AA52" i="1"/>
  <c r="A52" i="1"/>
  <c r="AA51" i="1"/>
  <c r="A51" i="1"/>
  <c r="AA50" i="1"/>
  <c r="A50" i="1"/>
  <c r="AA49" i="1"/>
  <c r="F49" i="1"/>
  <c r="A49" i="1"/>
  <c r="AA48" i="1"/>
  <c r="A48" i="1"/>
  <c r="AA47" i="1"/>
  <c r="A47" i="1"/>
  <c r="AA46" i="1"/>
  <c r="A46" i="1"/>
  <c r="AA45" i="1"/>
  <c r="A45" i="1"/>
  <c r="AA44" i="1"/>
  <c r="F44" i="1"/>
  <c r="F45" i="1" s="1"/>
  <c r="F46" i="1" s="1"/>
  <c r="F47" i="1" s="1"/>
  <c r="A44" i="1"/>
  <c r="AA43" i="1"/>
  <c r="A43" i="1"/>
  <c r="AA42" i="1"/>
  <c r="A42" i="1"/>
  <c r="AA41" i="1"/>
  <c r="F41" i="1"/>
  <c r="F42" i="1" s="1"/>
  <c r="A41" i="1"/>
  <c r="AA40" i="1"/>
  <c r="F40"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 r="A3" i="1"/>
  <c r="A2" i="1"/>
</calcChain>
</file>

<file path=xl/sharedStrings.xml><?xml version="1.0" encoding="utf-8"?>
<sst xmlns="http://schemas.openxmlformats.org/spreadsheetml/2006/main" count="6376" uniqueCount="2095">
  <si>
    <t>autocratn</t>
  </si>
  <si>
    <t>autocratp</t>
  </si>
  <si>
    <t>dataSheetName</t>
  </si>
  <si>
    <t>Descarga ficha</t>
  </si>
  <si>
    <t>"TODOS"</t>
  </si>
  <si>
    <t>v</t>
  </si>
  <si>
    <t>"5.1"</t>
  </si>
  <si>
    <t>vp</t>
  </si>
  <si>
    <t>updateTime</t>
  </si>
  <si>
    <t>"1.579945932311E12"</t>
  </si>
  <si>
    <t>dataSheetId</t>
  </si>
  <si>
    <t>"2.04444582E9"</t>
  </si>
  <si>
    <t>ssId</t>
  </si>
  <si>
    <t>"1xoKYXsGMIFqtX4yvqrNnOSPgQdi-OQS6QffgGgSWXNo"</t>
  </si>
  <si>
    <t xml:space="preserve">Comunidad Autónoma </t>
  </si>
  <si>
    <t xml:space="preserve">Provincia </t>
  </si>
  <si>
    <t>Año campamento</t>
  </si>
  <si>
    <t>Grupo</t>
  </si>
  <si>
    <t>Contacto</t>
  </si>
  <si>
    <t xml:space="preserve">Fecha de inicio </t>
  </si>
  <si>
    <t>Fecha de finalización</t>
  </si>
  <si>
    <t xml:space="preserve">Población </t>
  </si>
  <si>
    <t>Nombre de la finca/zona/albergue</t>
  </si>
  <si>
    <t>Número de Catastro</t>
  </si>
  <si>
    <t>Coordenadas</t>
  </si>
  <si>
    <t>Nombre y apellidos de la persona/entidad propietaria</t>
  </si>
  <si>
    <t>Teléfono de contacto con la persona/entidad propietaria</t>
  </si>
  <si>
    <t>E-mail de la persona/entidad propietaria</t>
  </si>
  <si>
    <t>Canon de utilización (Precio por persona, por quincena...)</t>
  </si>
  <si>
    <t>Tamaño de la finca en hectáreas (ha) o metros cuadrados (m2)</t>
  </si>
  <si>
    <t>Calidad del acceso a la finca</t>
  </si>
  <si>
    <t>¿Tiene zonas de sombra?</t>
  </si>
  <si>
    <t>¿Distancia aproximada zona de baño ?</t>
  </si>
  <si>
    <t>Breve descripción/valoración zona de baño</t>
  </si>
  <si>
    <t>Cuenta con instalaciones ¿Cuáles?</t>
  </si>
  <si>
    <t>¿Se puede conseguir/comprar madera cerca?</t>
  </si>
  <si>
    <t>Breve valoración y otras observaciones de la campa en general</t>
  </si>
  <si>
    <t>Observaciones</t>
  </si>
  <si>
    <t>Merged Doc ID - Zonas Campamento</t>
  </si>
  <si>
    <t>Merged Doc URL - Zonas Campamento</t>
  </si>
  <si>
    <t>Document Merge Status - Zonas Campamento</t>
  </si>
  <si>
    <t>Link to merged Doc - Zonas Campamento</t>
  </si>
  <si>
    <t>Provincia / Lugar</t>
  </si>
  <si>
    <t>Andalucía</t>
  </si>
  <si>
    <t>A Coruña</t>
  </si>
  <si>
    <t>Jaen</t>
  </si>
  <si>
    <t>https://docs.google.com/spreadsheets/d/1xoKYXsGMIFqtX4yvqrNnOSPgQdi-OQS6QffgGgSWXNo/edit#gid=2044445820&amp;fvid=1637414122</t>
  </si>
  <si>
    <t>Chamberí</t>
  </si>
  <si>
    <t xml:space="preserve">gs.chamberi@scoutsdemadrid.org </t>
  </si>
  <si>
    <t>Santiago-Potones</t>
  </si>
  <si>
    <t>Zona acampada controlada Huerta Vieja</t>
  </si>
  <si>
    <t>(en grados decimales) Latitud 38.1178324  Longitud -2.8065421000000015</t>
  </si>
  <si>
    <t>Junta de Anadalucía</t>
  </si>
  <si>
    <t>50€ de trámites</t>
  </si>
  <si>
    <t>BUENO (Se puede acceder con cualquier coche)</t>
  </si>
  <si>
    <t>Sí</t>
  </si>
  <si>
    <t>El pantano está a 5 minutos, pero la zona de baños habilitada está a 10 km</t>
  </si>
  <si>
    <t>Chiringuito y aseos ( cuando fuimos a ver esta cerrado, en verano nos dijeron que no)</t>
  </si>
  <si>
    <t>Andalucía está dando muchas facilidades en los trámites. Además reacondicionando zonas de acampada con baños fijos y comedores con sombra. Hay una gran cantidad de gr, pr, sendas...pero a veces las rutas pueden estar lejos de la zona de campa.
http://www.juntadeandalucia.es/medioambiente/servtc5/ventana/mostrarFicha.do?idEquipamiento=19647</t>
  </si>
  <si>
    <t>1MuM9ug8EBGhwN-rZvCpGdzyfiTG9jrfD</t>
  </si>
  <si>
    <t>https://drive.google.com/a/scoutsdemadrid.org/file/d/1MuM9ug8EBGhwN-rZvCpGdzyfiTG9jrfD/view?usp=drivesdk</t>
  </si>
  <si>
    <t>Álava</t>
  </si>
  <si>
    <t>https://docs.google.com/spreadsheets/d/1xoKYXsGMIFqtX4yvqrNnOSPgQdi-OQS6QffgGgSWXNo/edit#gid=2044445820&amp;fvid=485484331</t>
  </si>
  <si>
    <t>Document successfully created; Document successfully merged; PDF created; !!!ERR: Failed to add merged file to folder due to Google error: No se ha podido llamar a la API drive.files.patch; error: File not found: Santiago-Potones; Emails Sent: [To: daperador@scoutsdemadrid.org]; Manually run by daperador@scoutsdemadrid.org; Timestamp: Nov 11 2019 6:26 AM</t>
  </si>
  <si>
    <t>Albacete</t>
  </si>
  <si>
    <t>https://docs.google.com/spreadsheets/d/1xoKYXsGMIFqtX4yvqrNnOSPgQdi-OQS6QffgGgSWXNo/edit#gid=2044445820&amp;fvid=1736057651</t>
  </si>
  <si>
    <t>Granada</t>
  </si>
  <si>
    <t>Fátima</t>
  </si>
  <si>
    <t xml:space="preserve">gs.fatima@scoutsdemadrid.org </t>
  </si>
  <si>
    <t>Asturias</t>
  </si>
  <si>
    <t>Bermejales</t>
  </si>
  <si>
    <t>CENTRO SCOUT BERMEJALES</t>
  </si>
  <si>
    <t>36.998480, -3.890095</t>
  </si>
  <si>
    <t>JUAN JOSÉ TALLADA ESPIGARES</t>
  </si>
  <si>
    <t>616 422 940</t>
  </si>
  <si>
    <t>direccion@bermejales.scoutsdeandalucia.org</t>
  </si>
  <si>
    <t>3€/PERSONA/DÍA</t>
  </si>
  <si>
    <t>PEQUEÑA PISCINA DENTRO DE LA ZONA DE ACAMPADA/PANTANO DE LOS BERMEJALES</t>
  </si>
  <si>
    <t>LA PISCINA DEL CAMPAMENTO ES PEQUEÑITA POR LO QUE SÓLO LA PODRÁ UTILIZAR UNA UNIDAD A LA VEZ. A 10 MINUTOS ANDANDO ENCONTRAMOS EL PANTANO DE LOS BERMEJALES EL CUAL TIENE UNA PEQUEÑA PLAYITA HABILITADA PARA EL BAÑO</t>
  </si>
  <si>
    <t>COMEDOR, COCINA, SALAS DE MATERIAL Y ACIVIDADES, DUCHAS Y BAÑOS</t>
  </si>
  <si>
    <t>SÍ, EN EL MISMO CAMPAMENTO</t>
  </si>
  <si>
    <t>CENTRO CONSTRUIDO POR Y PARA GRUPOS SCOUT. COMPARTIMOS LA FINCA CON OTRO CAMPAMENTO Y A NUESTRO GRUPO SE AGREGA LA UNIDAD DE PIONEROS DE UN GRUPO FRANCÉS PARA IR JUNTO CON NUESTROS PIONEROS A LA JAM SCOUT.</t>
  </si>
  <si>
    <t>1-6UqlWiqZB6tyYD0EO1YEXOJag7egAH0</t>
  </si>
  <si>
    <t>https://drive.google.com/a/scoutsdemadrid.org/file/d/1-6UqlWiqZB6tyYD0EO1YEXOJag7egAH0/view?usp=drivesdk</t>
  </si>
  <si>
    <t>Document successfully created; Document successfully merged; PDF created; !!!ERR: Failed to add merged file to folder due to Google error: No se ha podido llamar a la API drive.files.patch; error: File not found: Bermejales; Emails Sent: [To: daperador@scoutsdemadrid.org]; Manually run by daperador@scoutsdemadrid.org; Timestamp: Nov 11 2019 6:26 AM</t>
  </si>
  <si>
    <t>Ávila</t>
  </si>
  <si>
    <t>https://docs.google.com/spreadsheets/d/1xoKYXsGMIFqtX4yvqrNnOSPgQdi-OQS6QffgGgSWXNo/edit#gid=2044445820&amp;fvid=696143977</t>
  </si>
  <si>
    <t>Aragón</t>
  </si>
  <si>
    <t>Huesca</t>
  </si>
  <si>
    <t>Buen Pastor</t>
  </si>
  <si>
    <t xml:space="preserve">gs.buenpastor@scoutsdemadrid.org </t>
  </si>
  <si>
    <t>La Marguera - Aísa</t>
  </si>
  <si>
    <t>Polígono 1 Parcela 263</t>
  </si>
  <si>
    <t>22010A001002630000OF</t>
  </si>
  <si>
    <t>42°42'30.0"N  0°36'27.1"W</t>
  </si>
  <si>
    <t>Ramón Osanz Pueyo</t>
  </si>
  <si>
    <t>+34 639 73 63 38</t>
  </si>
  <si>
    <t>gemaaisa@gmail.com</t>
  </si>
  <si>
    <t>900€ / quincena</t>
  </si>
  <si>
    <t>14.844 m2</t>
  </si>
  <si>
    <t>REGULAR (Se puede acceder con un coche normal con dificultad)</t>
  </si>
  <si>
    <t>50 m</t>
  </si>
  <si>
    <t xml:space="preserve">Río </t>
  </si>
  <si>
    <t>No</t>
  </si>
  <si>
    <t>Sí, de manera gratuita por alrededores</t>
  </si>
  <si>
    <t>Lo mejor de la campa es su gran dimensión, espacio natural y río cercano, con zonas de sombra. Su acceso hasta la misma se realiza sin problemas con coche alto; con coche normal es posible pero más complicado, puede dejarse aparcado a menos de 10' andando para evitar problemas.</t>
  </si>
  <si>
    <t>1gJ8MYtT8vIIXtE18E9mOjS5aCT4Vit6b</t>
  </si>
  <si>
    <t>https://drive.google.com/a/scoutsdemadrid.org/file/d/1gJ8MYtT8vIIXtE18E9mOjS5aCT4Vit6b/view?usp=drivesdk</t>
  </si>
  <si>
    <t>Burgos</t>
  </si>
  <si>
    <t>https://docs.google.com/spreadsheets/d/1xoKYXsGMIFqtX4yvqrNnOSPgQdi-OQS6QffgGgSWXNo/edit#gid=2044445820&amp;fvid=1878818994</t>
  </si>
  <si>
    <t>Document successfully created; Document successfully merged; PDF created; !!!ERR: Failed to add merged file to folder due to Google error: No se ha podido llamar a la API drive.files.patch; error: File not found: La Marguera - Aísa; Emails Sent: [To: daperador@scoutsdemadrid.org]; Manually run by daperador@scoutsdemadrid.org; Timestamp: Nov 11 2019 6:26 AM</t>
  </si>
  <si>
    <t>Teruel</t>
  </si>
  <si>
    <t>Libertas</t>
  </si>
  <si>
    <t xml:space="preserve">gs.libertas@scoutsdemadrid.org </t>
  </si>
  <si>
    <t>Montalbán</t>
  </si>
  <si>
    <t>Campamento Acra Leuce</t>
  </si>
  <si>
    <t>44163A002000020000XW</t>
  </si>
  <si>
    <t xml:space="preserve">N 40º 49' 49,705"     O 0º 48' 47,878" </t>
  </si>
  <si>
    <t>Sara Falo Insa</t>
  </si>
  <si>
    <t>acraleuce@gmail.com</t>
  </si>
  <si>
    <t>18 € persona / día en albergue para grupos de más de 30. 16.50 en tienda. Ambas con pensión completa</t>
  </si>
  <si>
    <t>7246 m2</t>
  </si>
  <si>
    <t>Rachuelo a unos 200 m del campamento. Piscina municipal</t>
  </si>
  <si>
    <t>Riachuelo de poca profundidad, no recomendable. Piscina de calidad, hasta 40 personas por grupo</t>
  </si>
  <si>
    <t>Si. Albergue, comedor cubierto, duchas, baños, zona de fuego</t>
  </si>
  <si>
    <t>si</t>
  </si>
  <si>
    <t>Campamento para grupos pequeños con muchas posibilidades, seguro y cerca de la localidad. Cuenta con campos de deporte, zona de acampada,</t>
  </si>
  <si>
    <t>1HK4ATS9MB4uyihqc1ISyJY6bB93lY82C</t>
  </si>
  <si>
    <t>https://drive.google.com/a/scoutsdemadrid.org/file/d/1HK4ATS9MB4uyihqc1ISyJY6bB93lY82C/view?usp=drivesdk</t>
  </si>
  <si>
    <t>Cáceres</t>
  </si>
  <si>
    <t>https://docs.google.com/spreadsheets/d/1xoKYXsGMIFqtX4yvqrNnOSPgQdi-OQS6QffgGgSWXNo/edit#gid=2044445820&amp;fvid=1606230927</t>
  </si>
  <si>
    <t>Document successfully created; Document successfully merged; PDF created; !!!ERR: Failed to add merged file to folder due to Google error: No se ha podido llamar a la API drive.files.patch; error: File not found: Montalbán; Emails Sent: [To: daperador@scoutsdemadrid.org]; Manually run by daperador@scoutsdemadrid.org; Timestamp: Nov 11 2019 6:26 AM</t>
  </si>
  <si>
    <t>Pilar</t>
  </si>
  <si>
    <t xml:space="preserve">gs.pilar@scoutsdemadrid.org </t>
  </si>
  <si>
    <t>Gistain</t>
  </si>
  <si>
    <t>Santiago Pueyo</t>
  </si>
  <si>
    <t>2 ha</t>
  </si>
  <si>
    <t>150m</t>
  </si>
  <si>
    <t>Buenísimas pozas</t>
  </si>
  <si>
    <t>Almacén</t>
  </si>
  <si>
    <t>Si pero caro</t>
  </si>
  <si>
    <t>Preciosa campa</t>
  </si>
  <si>
    <t>1pjkAAiCj6tAvSFnF9oqH9bY3dkA8z0QH</t>
  </si>
  <si>
    <t>https://drive.google.com/a/scoutsdemadrid.org/file/d/1pjkAAiCj6tAvSFnF9oqH9bY3dkA8z0QH/view?usp=drivesdk</t>
  </si>
  <si>
    <t>Cantabria</t>
  </si>
  <si>
    <t>https://docs.google.com/spreadsheets/d/1xoKYXsGMIFqtX4yvqrNnOSPgQdi-OQS6QffgGgSWXNo/edit#gid=2044445820&amp;fvid=1646282659</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</si>
  <si>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6:26 AM</t>
  </si>
  <si>
    <t>Cuenca</t>
  </si>
  <si>
    <t>https://docs.google.com/spreadsheets/d/1xoKYXsGMIFqtX4yvqrNnOSPgQdi-OQS6QffgGgSWXNo/edit#gid=2044445820&amp;fvid=1585434055</t>
  </si>
  <si>
    <t>San Pablo</t>
  </si>
  <si>
    <t xml:space="preserve">gs.sanpablo@scoutsdemadrid.org </t>
  </si>
  <si>
    <t>Broto</t>
  </si>
  <si>
    <t>1UTcAT1AGEHqI66c6BJ347vllXEeOGEL-</t>
  </si>
  <si>
    <t>https://drive.google.com/a/scoutsdemadrid.org/file/d/1UTcAT1AGEHqI66c6BJ347vllXEeOGEL-/view?usp=drivesdk</t>
  </si>
  <si>
    <t>https://docs.google.com/spreadsheets/d/1xoKYXsGMIFqtX4yvqrNnOSPgQdi-OQS6QffgGgSWXNo/edit#gid=2044445820&amp;fvid=1832276129</t>
  </si>
  <si>
    <t>Document successfully created; Document successfully merged; PDF created; !!!ERR: Failed to add merged file to folder due to Google error: No se ha podido llamar a la API drive.files.patch; error: File not found: Broto; Emails Sent: [To: daperador@scoutsdemadrid.org]; Manually run by daperador@scoutsdemadrid.org; Timestamp: Nov 11 2019 6:26 AM</t>
  </si>
  <si>
    <t>San Jorge Y San José</t>
  </si>
  <si>
    <t xml:space="preserve">gs.sanjorge@scoutsdemadrid.org  gs.sanjosé@scoutsdemadrid.org </t>
  </si>
  <si>
    <t>Biescas</t>
  </si>
  <si>
    <t>Aso de Sobremonte</t>
  </si>
  <si>
    <t>Guadalajara</t>
  </si>
  <si>
    <t>LATITUD: 48º 38' 5.53'' N / LONGITUD: 0º 22' 12.75'' W</t>
  </si>
  <si>
    <t>1ykut3flHxSBmLv8LunGeNSXnX4nPYinp</t>
  </si>
  <si>
    <t>https://drive.google.com/a/scoutsdemadrid.org/file/d/1ykut3flHxSBmLv8LunGeNSXnX4nPYinp/view?usp=drivesdk</t>
  </si>
  <si>
    <t>La Rioja</t>
  </si>
  <si>
    <t>Document successfully created; Document successfully merged; PDF created; !!!ERR: Failed to add merged file to folder due to Google error: No se ha podido llamar a la API drive.files.patch; error: File not found: Biescas; Emails Sent: [To: daperador@scoutsdemadrid.org]; Manually run by daperador@scoutsdemadrid.org; Timestamp: Nov 11 2019 6:27 AM</t>
  </si>
  <si>
    <t>León</t>
  </si>
  <si>
    <t>Lleida</t>
  </si>
  <si>
    <t>Vedruna</t>
  </si>
  <si>
    <t xml:space="preserve">gs.vedruna @scoutsdemadrid.org </t>
  </si>
  <si>
    <t>Aínsa</t>
  </si>
  <si>
    <t>Centro Scout Griébal</t>
  </si>
  <si>
    <t xml:space="preserve"> 42º 23' 4,53" N - 0º 12' 11,6" E</t>
  </si>
  <si>
    <t>FUNDACIÓN SCOUT GRIÉBAL</t>
  </si>
  <si>
    <t>Logroño</t>
  </si>
  <si>
    <t>Embalse navegable a 2 km</t>
  </si>
  <si>
    <t>Baños, duchas comedores, cocina..</t>
  </si>
  <si>
    <t>1rXhnkle2iV8Z43BoFExkknPbrLw4p-jd</t>
  </si>
  <si>
    <t>https://drive.google.com/a/scoutsdemadrid.org/file/d/1rXhnkle2iV8Z43BoFExkknPbrLw4p-jd/view?usp=drivesdk</t>
  </si>
  <si>
    <t>Lugo</t>
  </si>
  <si>
    <t>Lugo y A Coruña</t>
  </si>
  <si>
    <t>Madrid</t>
  </si>
  <si>
    <t>Document successfully created; Document successfully merged; PDF created; !!!ERR: Failed to add merged file to folder due to Google error: No se ha podido llamar a la API drive.files.patch; error: File not found: 2017; Emails Sent: [To: daperador@scoutsdemadrid.org]; Manually run by daperador@scoutsdemadrid.org; Timestamp: Nov 11 2019 6:27 AM</t>
  </si>
  <si>
    <t>Orense</t>
  </si>
  <si>
    <t>Oviedo</t>
  </si>
  <si>
    <t xml:space="preserve">Aragón </t>
  </si>
  <si>
    <t>Samasabe-Calasancio</t>
  </si>
  <si>
    <t xml:space="preserve">gs.samasabe@scoutsdemadrid.org </t>
  </si>
  <si>
    <t>Villanova</t>
  </si>
  <si>
    <t>https://maps.google.es/maps?oe=utf-8&amp;client=firefox-a&amp;q=villanova&amp;ie=UTF-8&amp;hq=&amp;hnear=0x12a7d800ff9b261b:0x4018c6508cea590,Villanova&amp;gl=es&amp;ei=Bo3HT9ecDdKLhQfVxcCTCw&amp;oi=geocode_result&amp;ved=0CBoQ8gEwAQ</t>
  </si>
  <si>
    <t>Palencia</t>
  </si>
  <si>
    <t>Portugal</t>
  </si>
  <si>
    <t>Salamanca</t>
  </si>
  <si>
    <t>Santander</t>
  </si>
  <si>
    <t>Segovia</t>
  </si>
  <si>
    <t>Soria</t>
  </si>
  <si>
    <t>1-BMGn8mpKdj54kWqIcSaNNLMULtj01H8</t>
  </si>
  <si>
    <t>https://drive.google.com/a/scoutsdemadrid.org/file/d/1-BMGn8mpKdj54kWqIcSaNNLMULtj01H8/view?usp=drivesdk</t>
  </si>
  <si>
    <t>UK, Francia</t>
  </si>
  <si>
    <t>Valencia</t>
  </si>
  <si>
    <t>Viseu</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</si>
  <si>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6:27 AM</t>
  </si>
  <si>
    <t>Vizcaya</t>
  </si>
  <si>
    <t>Zamora</t>
  </si>
  <si>
    <t>Aragués Del Puerto</t>
  </si>
  <si>
    <t>Polígono 5 parcelas 384 y 385</t>
  </si>
  <si>
    <t>42°44'50.4"N 0°38'06.4"W</t>
  </si>
  <si>
    <t>Jaime Maynar Aguilar</t>
  </si>
  <si>
    <t>No lo tenemos, contactar con sanpablomsc@gmail.com</t>
  </si>
  <si>
    <t>1000€ los 15 días</t>
  </si>
  <si>
    <t>No lo sabemos</t>
  </si>
  <si>
    <t>100m</t>
  </si>
  <si>
    <t>Río más bien pequeño pero suficiente para bañarse</t>
  </si>
  <si>
    <t>Ninguna</t>
  </si>
  <si>
    <t>Al pie del refugio de Lizarra. No hay cobertura. Prado grande y bien situado</t>
  </si>
  <si>
    <t>1woSmpWwnd8LFzWfjcH2jHw-fHMRo0-BJ</t>
  </si>
  <si>
    <t>https://drive.google.com/a/scoutsdemadrid.org/file/d/1woSmpWwnd8LFzWfjcH2jHw-fHMRo0-BJ/view?usp=drivesdk</t>
  </si>
  <si>
    <t>Document successfully created; Document successfully merged; PDF created; !!!ERR: Failed to add merged file to folder due to Google error: No se ha podido llamar a la API drive.files.patch; error: File not found: 2018; Emails Sent: [To: daperador@scoutsdemadrid.org]; Manually run by daperador@scoutsdemadrid.org; Timestamp: Nov 11 2019 6:27 AM</t>
  </si>
  <si>
    <t>Santo Domingo</t>
  </si>
  <si>
    <t xml:space="preserve">gs.santodomingo@scoutsdemadrid.org </t>
  </si>
  <si>
    <t>Broto - Oto</t>
  </si>
  <si>
    <t>Fincas Las Cotilangas y Don Ferrer</t>
  </si>
  <si>
    <t>Parcelas 95, 97, 101 y 102 Polígono 108</t>
  </si>
  <si>
    <t>42ª34¨36, 86´´N. 00º,07´, 31, 88´´W</t>
  </si>
  <si>
    <t>Jorge Castiella Monclús</t>
  </si>
  <si>
    <t>casavillamana@gmail.com</t>
  </si>
  <si>
    <t>2-3 Has</t>
  </si>
  <si>
    <t>Piscina Municipal</t>
  </si>
  <si>
    <t>CUMPLE NORMATIVA</t>
  </si>
  <si>
    <t>PUNTO DE ABASTECIMIENTO DE AGUA MUNICIPAL</t>
  </si>
  <si>
    <t>SI</t>
  </si>
  <si>
    <t>SE HAN CELEBRADO MUCHOS CAMPAMENTOS JUVENILES SCOUTS EN AÑOS ANTERIORES</t>
  </si>
  <si>
    <t>1N8Rk4THQpfXMhrAclMpAkXuhGXZp1aom</t>
  </si>
  <si>
    <t>https://drive.google.com/a/scoutsdemadrid.org/file/d/1N8Rk4THQpfXMhrAclMpAkXuhGXZp1aom/view?usp=drivesdk</t>
  </si>
  <si>
    <t>Document successfully created; Document successfully merged; PDF created; !!!ERR: Failed to add merged file to folder due to Google error: No se ha podido llamar a la API drive.files.patch; error: File not found: Broto - Oto; Emails Sent: [To: daperador@scoutsdemadrid.org]; Manually run by daperador@scoutsdemadrid.org; Timestamp: Nov 11 2019 6:27 AM</t>
  </si>
  <si>
    <t>Asturias, Principado De</t>
  </si>
  <si>
    <t>Amorós</t>
  </si>
  <si>
    <t xml:space="preserve">gs.amoros@scoutsdemadrid.org </t>
  </si>
  <si>
    <t>Ponga</t>
  </si>
  <si>
    <t>Sellaño</t>
  </si>
  <si>
    <t>33050A073002440000AK</t>
  </si>
  <si>
    <t>4º 15' 13.86'' N</t>
  </si>
  <si>
    <t>Joaquín Martínez Arobes</t>
  </si>
  <si>
    <t>33m</t>
  </si>
  <si>
    <t>Río con poco cauce y profundidad</t>
  </si>
  <si>
    <t>1TX_Wb2eONbY_TUr1zzycdYCpVAERzVvB</t>
  </si>
  <si>
    <t>https://drive.google.com/a/scoutsdemadrid.org/file/d/1TX_Wb2eONbY_TUr1zzycdYCpVAERzVvB/view?usp=drivesdk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</si>
  <si>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6:27 AM</t>
  </si>
  <si>
    <t>1JvMUGYPoJvEcecuk3EF3DnIwYo-ZEU2O</t>
  </si>
  <si>
    <t>https://drive.google.com/a/scoutsdemadrid.org/file/d/1JvMUGYPoJvEcecuk3EF3DnIwYo-ZEU2O/view?usp=drivesdk</t>
  </si>
  <si>
    <t>Document successfully created; Document successfully merged; PDF created; !!!ERR: Failed to add merged file to folder due to Google error: No se ha podido llamar a la API drive.files.patch; error: File not found: Sellaño; Emails Sent: [To: daperador@scoutsdemadrid.org]; Manually run by daperador@scoutsdemadrid.org; Timestamp: Nov 11 2019 6:27 AM</t>
  </si>
  <si>
    <t>Queztal</t>
  </si>
  <si>
    <t xml:space="preserve">gs.queztal@scoutsdemadrid.org </t>
  </si>
  <si>
    <t>Pimiango</t>
  </si>
  <si>
    <t>La Garita</t>
  </si>
  <si>
    <t>33055A008000010000IF</t>
  </si>
  <si>
    <t>43°23'20.3"N 4°31'29.9"W</t>
  </si>
  <si>
    <t>Manuel Nosti del Valle</t>
  </si>
  <si>
    <t>manuel_nosti@hotmail.com</t>
  </si>
  <si>
    <t>Gratuito</t>
  </si>
  <si>
    <t>5,92 ha</t>
  </si>
  <si>
    <t>5,3 Km</t>
  </si>
  <si>
    <t>Playa de la Franca</t>
  </si>
  <si>
    <t>ergio Vega González, Carretera General, 0 S/N, 33579 Mazo (El)</t>
  </si>
  <si>
    <t>Finca con amplias zonas para jugar, cerca de Colombres (3,7 km), donde están todos los servicios (supermercados, médicos, farmacias, etc).
La zona de sombras y árboles se sitúan en un extremo de la finca, donde van a aprovecharse los árboles para acampar y tener sobra.</t>
  </si>
  <si>
    <t>1WlM3OtCn3Snb6w0l2a9g5mN_4W76z9Q6</t>
  </si>
  <si>
    <t>https://drive.google.com/a/scoutsdemadrid.org/file/d/1WlM3OtCn3Snb6w0l2a9g5mN_4W76z9Q6/view?usp=drivesdk</t>
  </si>
  <si>
    <t>Document successfully created; Document successfully merged; PDF created; !!!ERR: Failed to add merged file to folder due to Google error: No se ha podido llamar a la API drive.files.patch; error: File not found: Pimiango; Emails Sent: [To: daperador@scoutsdemadrid.org]; Manually run by daperador@scoutsdemadrid.org; Timestamp: Nov 11 2019 6:28 AM</t>
  </si>
  <si>
    <t>Claret</t>
  </si>
  <si>
    <t xml:space="preserve">gs.claret@scoutsdemadrid.org </t>
  </si>
  <si>
    <t>Ribadedeva</t>
  </si>
  <si>
    <t>Bojes</t>
  </si>
  <si>
    <t>1EQDhT9S-i3IxtNY3sTl2dpzYDuHT7iR3</t>
  </si>
  <si>
    <t>https://drive.google.com/a/scoutsdemadrid.org/file/d/1EQDhT9S-i3IxtNY3sTl2dpzYDuHT7iR3/view?usp=drivesdk</t>
  </si>
  <si>
    <t>Document successfully created; Document successfully merged; PDF created; !!!ERR: Failed to add merged file to folder due to Google error: No se ha podido llamar a la API drive.files.patch; error: File not found: Ribadedeva; Emails Sent: [To: daperador@scoutsdemadrid.org]; Manually run by daperador@scoutsdemadrid.org; Timestamp: Nov 11 2019 6:28 AM</t>
  </si>
  <si>
    <t>Proaza, Covadonga, Ribadesella</t>
  </si>
  <si>
    <t>Ruta del Oso, Covadonga, Ribadesella</t>
  </si>
  <si>
    <t>1HLdvNWFMINQ9DYikdO-Q5gb6VtADi5ab</t>
  </si>
  <si>
    <t>https://drive.google.com/a/scoutsdemadrid.org/file/d/1HLdvNWFMINQ9DYikdO-Q5gb6VtADi5ab/view?usp=drivesdk</t>
  </si>
  <si>
    <t>Document successfully created; Document successfully merged; PDF created; !!!ERR: Failed to add merged file to folder due to Google error: No se ha podido llamar a la API drive.files.patch; error: File not found: Ribadesella; Emails Sent: [To: daperador@scoutsdemadrid.org]; Manually run by daperador@scoutsdemadrid.org; Timestamp: Nov 11 2019 6:28 AM</t>
  </si>
  <si>
    <t>Proaza</t>
  </si>
  <si>
    <t>https://maps.google.com/maps?q=Proaza&amp;hl=en&amp;ll=43.240951,-6.01759&amp;spn=0.080533,0.181103&amp;hnear=Proaza,+Asturias,+Spain&amp;t=m&amp;z=13</t>
  </si>
  <si>
    <t>17NgfP5fNSu7rPdPq_uTUntDjLMmD5Qzg</t>
  </si>
  <si>
    <t>https://drive.google.com/a/scoutsdemadrid.org/file/d/17NgfP5fNSu7rPdPq_uTUntDjLMmD5Qzg/view?usp=drivesdk</t>
  </si>
  <si>
    <t>Document successfully created; Document successfully merged; PDF created; !!!ERR: Failed to add merged file to folder due to Google error: No se ha podido llamar a la API drive.files.patch; error: File not found: Asturias; Emails Sent: [To: daperador@scoutsdemadrid.org]; Manually run by daperador@scoutsdemadrid.org; Timestamp: Nov 11 2019 6:28 AM</t>
  </si>
  <si>
    <t>gs.pilar@scoutsdemadrid.org</t>
  </si>
  <si>
    <t>X 320679,94 ; Y 4791928,7</t>
  </si>
  <si>
    <t>Juan José Martínez Arobes</t>
  </si>
  <si>
    <t>juanjoma@hotmail.es</t>
  </si>
  <si>
    <t>1400€ en total</t>
  </si>
  <si>
    <t>1 ha</t>
  </si>
  <si>
    <t>El río se encuentra dentro de la finca. Hay acceso fácil al río. Es una zona más o menos llana con varias zonas de baño</t>
  </si>
  <si>
    <t>Sólo una caseta de aperos pequeña</t>
  </si>
  <si>
    <t>sí</t>
  </si>
  <si>
    <t>Campa amplia y plana al lado del río, en un paraje natural precioso en pleno valle del Ponga</t>
  </si>
  <si>
    <t>1LXvUzOrP3vCtAdF6SEBdkW0maTu9r1aH</t>
  </si>
  <si>
    <t>https://drive.google.com/a/scoutsdemadrid.org/file/d/1LXvUzOrP3vCtAdF6SEBdkW0maTu9r1aH/view?usp=drivesdk</t>
  </si>
  <si>
    <t>Document successfully created; Document successfully merged; PDF created; !!!ERR: Failed to add merged file to folder due to Google error: No se ha podido llamar a la API drive.files.patch; error: File not found: Sellaño; Emails Sent: [To: daperador@scoutsdemadrid.org]; Manually run by daperador@scoutsdemadrid.org; Timestamp: Nov 11 2019 6:28 AM</t>
  </si>
  <si>
    <t>Monte Nebo</t>
  </si>
  <si>
    <t xml:space="preserve">gs.montenebo@scoutsdemadrid.org </t>
  </si>
  <si>
    <t>Solórzano</t>
  </si>
  <si>
    <t>A.J. Gerardo Diego</t>
  </si>
  <si>
    <t>18s40oVz9hCTc0BNsfN6rgp1n_0gW44MT</t>
  </si>
  <si>
    <t>https://drive.google.com/a/scoutsdemadrid.org/file/d/18s40oVz9hCTc0BNsfN6rgp1n_0gW44MT/view?usp=drivesdk</t>
  </si>
  <si>
    <t>Document successfully created; Document successfully merged; PDF created; !!!ERR: Failed to add merged file to folder due to Google error: No se ha podido llamar a la API drive.files.patch; error: File not found: Solórzano; Emails Sent: [To: daperador@scoutsdemadrid.org]; Manually run by daperador@scoutsdemadrid.org; Timestamp: Nov 11 2019 6:28 AM</t>
  </si>
  <si>
    <t>Valverde</t>
  </si>
  <si>
    <t xml:space="preserve">gs.valverde@scoutsdemadrid.org </t>
  </si>
  <si>
    <t>Suesa</t>
  </si>
  <si>
    <t>43.444868, -3.730115</t>
  </si>
  <si>
    <t>1Rm6r03b2Z2CEFVF8x3e2Tq9lEbPluKoV</t>
  </si>
  <si>
    <t>https://drive.google.com/a/scoutsdemadrid.org/file/d/1Rm6r03b2Z2CEFVF8x3e2Tq9lEbPluKoV/view?usp=drivesdk</t>
  </si>
  <si>
    <t>Document successfully created; Document successfully merged; PDF created; !!!ERR: Failed to add merged file to folder due to Google error: No se ha podido llamar a la API drive.files.patch; error: File not found: Suesa; Emails Sent: [To: daperador@scoutsdemadrid.org]; Manually run by daperador@scoutsdemadrid.org; Timestamp: Nov 11 2019 6:29 AM</t>
  </si>
  <si>
    <t>San Agustin</t>
  </si>
  <si>
    <t xml:space="preserve">gs.sanagustin@scoutsdemadrid.org </t>
  </si>
  <si>
    <t>Bielva</t>
  </si>
  <si>
    <t>Puente del Arrudo</t>
  </si>
  <si>
    <t>1dy9_2Cd_bMYmYr2Z4MKXCYFYNWlNYEwE</t>
  </si>
  <si>
    <t>https://drive.google.com/a/scoutsdemadrid.org/file/d/1dy9_2Cd_bMYmYr2Z4MKXCYFYNWlNYEwE/view?usp=drivesdk</t>
  </si>
  <si>
    <t>Document successfully created; Document successfully merged; PDF created; !!!ERR: Failed to add merged file to folder due to Google error: No se ha podido llamar a la API drive.files.patch; error: File not found: Bielva; Emails Sent: [To: daperador@scoutsdemadrid.org]; Manually run by daperador@scoutsdemadrid.org; Timestamp: Nov 11 2019 6:29 AM</t>
  </si>
  <si>
    <t>Alto Campoó, Brañavieja</t>
  </si>
  <si>
    <t>Albergue Juvenil Brañavieja</t>
  </si>
  <si>
    <t xml:space="preserve">Gobierno de Cantabria </t>
  </si>
  <si>
    <t xml:space="preserve"> 942 207407</t>
  </si>
  <si>
    <t>jovenmania.albergues@cantabria.es</t>
  </si>
  <si>
    <t xml:space="preserve">13,67 por día con pensión completa y alojamiento. </t>
  </si>
  <si>
    <t xml:space="preserve">X </t>
  </si>
  <si>
    <t xml:space="preserve">0 metros (dormimos en habitaciones) </t>
  </si>
  <si>
    <t xml:space="preserve">Buena zona acondicionada con vateres y duchas. </t>
  </si>
  <si>
    <t xml:space="preserve">habitaciones, cocina, salas multiusos, rocódromo... </t>
  </si>
  <si>
    <t xml:space="preserve">sí. </t>
  </si>
  <si>
    <t xml:space="preserve">tiene buenas rutas para hacer, ademas de pozas cerca del albergue. </t>
  </si>
  <si>
    <t>112SStJYkY2xlYd48rHIl6ors4u_KCYGe</t>
  </si>
  <si>
    <t>https://drive.google.com/a/scoutsdemadrid.org/file/d/112SStJYkY2xlYd48rHIl6ors4u_KCYGe/view?usp=drivesdk</t>
  </si>
  <si>
    <t>Document successfully created; Document successfully merged; PDF created; !!!ERR: Failed to add merged file to folder due to Google error: No se ha podido llamar a la API drive.files.patch; error: File not found: Alto Campoó; Emails Sent: [To: daperador@scoutsdemadrid.org]; Manually run by daperador@scoutsdemadrid.org; Timestamp: Nov 11 2019 6:29 AM</t>
  </si>
  <si>
    <t>Tallac</t>
  </si>
  <si>
    <t xml:space="preserve">gs.tallac@scoutsdemadrid.org </t>
  </si>
  <si>
    <t>Cabezón De Liébana</t>
  </si>
  <si>
    <t xml:space="preserve">El Esgobio </t>
  </si>
  <si>
    <t>Tomás Martínez</t>
  </si>
  <si>
    <t>1l9rR4fxUS7K3CixMQWAgeuSrNsbubseC</t>
  </si>
  <si>
    <t>https://drive.google.com/a/scoutsdemadrid.org/file/d/1l9rR4fxUS7K3CixMQWAgeuSrNsbubseC/view?usp=drivesdk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</si>
  <si>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6:29 AM</t>
  </si>
  <si>
    <t>Camaleño</t>
  </si>
  <si>
    <t>Vallinero</t>
  </si>
  <si>
    <t>2493103UN6729S0001AW</t>
  </si>
  <si>
    <t>X: 362.250 Y:4.779.100</t>
  </si>
  <si>
    <t>Emeterio Puente Rodriguez</t>
  </si>
  <si>
    <t>Tenemos rio</t>
  </si>
  <si>
    <t>Un rio que discurre por un lateral de su campamento</t>
  </si>
  <si>
    <t>Un prado grande, esta dividido en dos y un riachuelo discurre por la mitad. Se encuentra delante de la queseria de camaleño</t>
  </si>
  <si>
    <t>1jzLbpvIUnKsSX3_62DkyRHlOcfRVLguz</t>
  </si>
  <si>
    <t>https://drive.google.com/a/scoutsdemadrid.org/file/d/1jzLbpvIUnKsSX3_62DkyRHlOcfRVLguz/view?usp=drivesdk</t>
  </si>
  <si>
    <t>Document successfully created; Document successfully merged; PDF created; !!!ERR: Failed to add merged file to folder due to Google error: No se ha podido llamar a la API drive.files.patch; error: File not found: Camaleño; Emails Sent: [To: daperador@scoutsdemadrid.org]; Manually run by daperador@scoutsdemadrid.org; Timestamp: Nov 11 2019 6:29 AM</t>
  </si>
  <si>
    <t>Llamolín</t>
  </si>
  <si>
    <t>Poligono 4 parcela 32</t>
  </si>
  <si>
    <t>ETRS89 HUSO 30. X 361.961, Y 4.778.480</t>
  </si>
  <si>
    <t>Jesús Angel Prado González</t>
  </si>
  <si>
    <t>Luz y agua</t>
  </si>
  <si>
    <t>1UNk3n7fdhkzDBPpptTmC9fZFTPWZ1FUu</t>
  </si>
  <si>
    <t>https://drive.google.com/a/scoutsdemadrid.org/file/d/1UNk3n7fdhkzDBPpptTmC9fZFTPWZ1FUu/view?usp=drivesdk</t>
  </si>
  <si>
    <t>Santa Ana San Rafael</t>
  </si>
  <si>
    <t xml:space="preserve">gs.sasr@scoutsdemadrid.org </t>
  </si>
  <si>
    <t>Cosio (Rionansa)</t>
  </si>
  <si>
    <t>La Vega Ciega</t>
  </si>
  <si>
    <t>39063A0 0700246 000ET</t>
  </si>
  <si>
    <t>4º 24' 10,670'' W 43º 13' 40,907'' N</t>
  </si>
  <si>
    <t xml:space="preserve">María Dolores Gutiérrez González </t>
  </si>
  <si>
    <t>nacho7070@hotmail.es</t>
  </si>
  <si>
    <t>800 euros</t>
  </si>
  <si>
    <t>1,5021 ha</t>
  </si>
  <si>
    <t>Colindante con un arroyo</t>
  </si>
  <si>
    <t>Arroyo con buen acceso</t>
  </si>
  <si>
    <t>Si</t>
  </si>
  <si>
    <t>Finca con sombra, buen acceso y poco desnivel.</t>
  </si>
  <si>
    <t>1LxDPv1JuqXbnDpRMUd0Z5WTyak7I76UE</t>
  </si>
  <si>
    <t>https://drive.google.com/a/scoutsdemadrid.org/file/d/1LxDPv1JuqXbnDpRMUd0Z5WTyak7I76UE/view?usp=drivesdk</t>
  </si>
  <si>
    <t>Document successfully created; Document successfully merged; PDF created; !!!ERR: Failed to add merged file to folder due to Google error: No se ha podido llamar a la API drive.files.patch; error: File not found: 2017; Emails Sent: [To: daperador@scoutsdemadrid.org]; Manually run by daperador@scoutsdemadrid.org; Timestamp: Nov 11 2019 6:30 AM</t>
  </si>
  <si>
    <t>Rioseco (Puentenansa)</t>
  </si>
  <si>
    <t>Barcenique</t>
  </si>
  <si>
    <t>39063A016003120000ES  Pol: 16 Parcela: 312</t>
  </si>
  <si>
    <t>Lat:43º14' 53.58'' N    Long:4º 24' 41.48'' W</t>
  </si>
  <si>
    <t>Carmen Fernández Ruiz</t>
  </si>
  <si>
    <t>no tiene</t>
  </si>
  <si>
    <t>cosiorgema@gmail.com  (es la hija de la dueña)</t>
  </si>
  <si>
    <t>1000€ por 12 días de alquiler</t>
  </si>
  <si>
    <t>4,9502 ha</t>
  </si>
  <si>
    <t>100 metros</t>
  </si>
  <si>
    <t>Existe un río de caudal medio que delimita la finca por uno de sus extremos. Con pozas a muy poca distancia de la campa.</t>
  </si>
  <si>
    <t>Si, existe una casa desde la que se nos proporciona agua potable y electricidad pero esta inmediatamente fuera de la finca.</t>
  </si>
  <si>
    <t>La campa es muy espaciosa para las 100 personas que seremos. Está delimitada por un río y un bosque que proporciona la sombra. Es muy plana con elevaciones solo en sus extremos y pendiente en la zona más próxima al río. Por experiencias previas de grupos que han hecho campamentos en la misma no tiene apenas inconvenientes.</t>
  </si>
  <si>
    <t>1BQkEWAiOH8d-nBQ1YEXdF-UYyLq8qEr7</t>
  </si>
  <si>
    <t>https://drive.google.com/a/scoutsdemadrid.org/file/d/1BQkEWAiOH8d-nBQ1YEXdF-UYyLq8qEr7/view?usp=drivesdk</t>
  </si>
  <si>
    <t>Document successfully created; Document successfully merged; PDF created; !!!ERR: Failed to add merged file to folder due to Google error: No se ha podido llamar a la API drive.files.patch; error: File not found: Rioseco (Puentenansa); Emails Sent: [To: daperador@scoutsdemadrid.org]; Manually run by daperador@scoutsdemadrid.org; Timestamp: Nov 11 2019 6:30 AM</t>
  </si>
  <si>
    <t>Cantabria
Asturias</t>
  </si>
  <si>
    <t>Fuente De A Oseja De Sajambre</t>
  </si>
  <si>
    <t>Campamento Volante y Campo de trabajo en Oseja de Sajambre en Asturias</t>
  </si>
  <si>
    <t>1gI4jjs--jERRNcKrhrw9uh2wTy91pNqm</t>
  </si>
  <si>
    <t>https://drive.google.com/a/scoutsdemadrid.org/file/d/1gI4jjs--jERRNcKrhrw9uh2wTy91pNqm/view?usp=drivesdk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</si>
  <si>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6:30 AM</t>
  </si>
  <si>
    <t>Monasterio de Suesa</t>
  </si>
  <si>
    <t>1VYNLTDukdinE-BM7drtneoGkyGQ35JE_</t>
  </si>
  <si>
    <t>https://drive.google.com/a/scoutsdemadrid.org/file/d/1VYNLTDukdinE-BM7drtneoGkyGQ35JE_/view?usp=drivesdk</t>
  </si>
  <si>
    <t>Document successfully created; Document successfully merged; PDF created; !!!ERR: Failed to add merged file to folder due to Google error: No se ha podido llamar a la API drive.files.patch; error: File not found: Suesa; Emails Sent: [To: daperador@scoutsdemadrid.org]; Manually run by daperador@scoutsdemadrid.org; Timestamp: Nov 11 2019 6:30 AM</t>
  </si>
  <si>
    <t>gs.buenpastor@scoutsdemadrid.org</t>
  </si>
  <si>
    <t>Valderredible</t>
  </si>
  <si>
    <t>Alechares del Molino</t>
  </si>
  <si>
    <t>39094A161000010000IP/39094A161050010000IS</t>
  </si>
  <si>
    <t>x: 426050,09 ; y: 4741588,6</t>
  </si>
  <si>
    <t>Yavé Santiago Alonso Arnaiz</t>
  </si>
  <si>
    <t>677884204/942776346</t>
  </si>
  <si>
    <t>losnogalesvillota@hotmail.com</t>
  </si>
  <si>
    <t>300+100 fianza todo el campa</t>
  </si>
  <si>
    <t>2.463 m2 + 9.496 m2</t>
  </si>
  <si>
    <t>una de las parcelas colinda con el río Ebro</t>
  </si>
  <si>
    <t>Buena aunque cubre poquito</t>
  </si>
  <si>
    <t>ninguna</t>
  </si>
  <si>
    <t xml:space="preserve">ni idea </t>
  </si>
  <si>
    <t>en la finca cercana al río no se pueden poner las tiendas por proximidad al río, y la campa en la que se ponen las tiendas da a la carretera es muy abierta, es algo fea.</t>
  </si>
  <si>
    <t>1pDL0twBa4Jtr8tb8maseIfK7qO_hDYSO</t>
  </si>
  <si>
    <t>https://drive.google.com/a/scoutsdemadrid.org/file/d/1pDL0twBa4Jtr8tb8maseIfK7qO_hDYSO/view?usp=drivesdk</t>
  </si>
  <si>
    <t>Document successfully created; Document successfully merged; PDF created; !!!ERR: Failed to add merged file to folder due to Google error: No se ha podido llamar a la API drive.files.patch; error: File not found: Valderredible; Emails Sent: [To: daperador@scoutsdemadrid.org]; Manually run by daperador@scoutsdemadrid.org; Timestamp: Nov 11 2019 6:30 AM</t>
  </si>
  <si>
    <t>Pesaguero</t>
  </si>
  <si>
    <t>Finca La Vega</t>
  </si>
  <si>
    <t>39050A003004610000OA / 39050A003004620000OB/ 39050A00300471000</t>
  </si>
  <si>
    <t>X: 374993,71 Y: 4770283,62</t>
  </si>
  <si>
    <t>Juan Luis Salceda Sánchez</t>
  </si>
  <si>
    <t>chushornillos@yahoo.es</t>
  </si>
  <si>
    <t>700 quince + 200 tasas del ayuntamiento</t>
  </si>
  <si>
    <t>1300 m2</t>
  </si>
  <si>
    <t>Hay un río en la finca</t>
  </si>
  <si>
    <t>El río es poco caudaloso</t>
  </si>
  <si>
    <t>Si, en Potes (a 7 km) hay aserradero</t>
  </si>
  <si>
    <t>Hay varias zonas de juego y la zona es bonita y con muchas marchas cerca.Tiene poca sombra y bastante desnivel.</t>
  </si>
  <si>
    <t>11-fg7m7hjz0TwKrbtFgc4Rhs2gPMe6af</t>
  </si>
  <si>
    <t>https://drive.google.com/a/scoutsdemadrid.org/file/d/11-fg7m7hjz0TwKrbtFgc4Rhs2gPMe6af/view?usp=drivesdk</t>
  </si>
  <si>
    <t>Document successfully created; Document successfully merged; PDF created; !!!ERR: Failed to add merged file to folder due to Google error: No se ha podido llamar a la API drive.files.patch; error: File not found: Pesaguero; Emails Sent: [To: daperador@scoutsdemadrid.org]; Manually run by daperador@scoutsdemadrid.org; Timestamp: Nov 11 2019 6:30 AM</t>
  </si>
  <si>
    <t>gs.claret@scoutsdemadrid.org</t>
  </si>
  <si>
    <t>Puentenansa</t>
  </si>
  <si>
    <t>Finca Gostobeso</t>
  </si>
  <si>
    <t>Polígono 4 parcela 235</t>
  </si>
  <si>
    <t>43º16’9.00" N 4º24’56.18"W</t>
  </si>
  <si>
    <t>Aurora Rubín García</t>
  </si>
  <si>
    <t>No tiene que sepamos</t>
  </si>
  <si>
    <t>900€ (quincena)</t>
  </si>
  <si>
    <t>1 km</t>
  </si>
  <si>
    <t>Río bastante amplio</t>
  </si>
  <si>
    <t>Bastante llano, buen acceso, toma de agua...</t>
  </si>
  <si>
    <t>1dfYIYZUYpbcCCldzmRJ_VKvI-JiSEmQy</t>
  </si>
  <si>
    <t>https://drive.google.com/a/scoutsdemadrid.org/file/d/1dfYIYZUYpbcCCldzmRJ_VKvI-JiSEmQy/view?usp=drivesdk</t>
  </si>
  <si>
    <t>Document successfully created; Document successfully merged; PDF created; !!!ERR: Failed to add merged file to folder due to Google error: No se ha podido llamar a la API drive.files.patch; error: File not found: Puentenansa; Emails Sent: [To: daperador@scoutsdemadrid.org]; Manually run by daperador@scoutsdemadrid.org; Timestamp: Nov 11 2019 6:31 AM</t>
  </si>
  <si>
    <t>gs.amoros@scoutsdemadrid.org</t>
  </si>
  <si>
    <t>Rionansa</t>
  </si>
  <si>
    <t>Las Barcenas</t>
  </si>
  <si>
    <t>39063A021001740000EH Y 39063A021001750000EW</t>
  </si>
  <si>
    <t>384.247,84 Y 4789813,97</t>
  </si>
  <si>
    <t>MARÍA ÁNGELES SÁNCHEZ SÁNCHEZ</t>
  </si>
  <si>
    <t>no dispone</t>
  </si>
  <si>
    <t>700€ quincena</t>
  </si>
  <si>
    <t>9700M2</t>
  </si>
  <si>
    <t>Contigua</t>
  </si>
  <si>
    <t>Depende de caudal, pendiente comprobar en verano</t>
  </si>
  <si>
    <t>Cabezón de la sal</t>
  </si>
  <si>
    <t>Una pista forestal lo divide a la mitad</t>
  </si>
  <si>
    <t>1NfYgbXWhG_UfstoCrxWKw7SOxRUbca6N</t>
  </si>
  <si>
    <t>https://drive.google.com/a/scoutsdemadrid.org/file/d/1NfYgbXWhG_UfstoCrxWKw7SOxRUbca6N/view?usp=drivesdk</t>
  </si>
  <si>
    <t>Document successfully created; Document successfully merged; PDF created; !!!ERR: Failed to add merged file to folder due to Google error: No se ha podido llamar a la API drive.files.patch; error: File not found: Rionansa; Emails Sent: [To: daperador@scoutsdemadrid.org]; Manually run by daperador@scoutsdemadrid.org; Timestamp: Nov 11 2019 6:31 AM</t>
  </si>
  <si>
    <t>Castilla y León</t>
  </si>
  <si>
    <t>Adhara</t>
  </si>
  <si>
    <t>gs.adhara@scoutsdemadrid.org</t>
  </si>
  <si>
    <t>Calzada De Tera</t>
  </si>
  <si>
    <t>Calzada de tera</t>
  </si>
  <si>
    <t>41°59′09″N -6°04′34″O</t>
  </si>
  <si>
    <t>1TZ-PEviYB84ebpyEpx9tljIdtvQHLCjh</t>
  </si>
  <si>
    <t>https://drive.google.com/a/scoutsdemadrid.org/file/d/1TZ-PEviYB84ebpyEpx9tljIdtvQHLCjh/view?usp=drivesdk</t>
  </si>
  <si>
    <t>Document successfully created; Document successfully merged; PDF created; !!!ERR: Failed to add merged file to folder due to Google error: No se ha podido llamar a la API drive.files.patch; error: File not found: Calzada De Tera; Emails Sent: [To: daperador@scoutsdemadrid.org]; Manually run by daperador@scoutsdemadrid.org; Timestamp: Nov 11 2019 6:31 AM</t>
  </si>
  <si>
    <t>Hoyos Del Espino</t>
  </si>
  <si>
    <t>Campamento Prado Molino</t>
  </si>
  <si>
    <t>Ángal Gónzalez</t>
  </si>
  <si>
    <t>Piscinas naturales</t>
  </si>
  <si>
    <t>Cocina, comedor, baños</t>
  </si>
  <si>
    <t>1gXeSU3NjA4JJZu9L5WcwQX7eWRIdMfHY</t>
  </si>
  <si>
    <t>https://drive.google.com/a/scoutsdemadrid.org/file/d/1gXeSU3NjA4JJZu9L5WcwQX7eWRIdMfHY/view?usp=drivesdk</t>
  </si>
  <si>
    <t>Document successfully created; Document successfully merged; PDF created; !!!ERR: Failed to add merged file to folder due to Google error: No se ha podido llamar a la API drive.files.patch; error: File not found: Hoyos Del Espino; Emails Sent: [To: daperador@scoutsdemadrid.org]; Manually run by daperador@scoutsdemadrid.org; Timestamp: Nov 11 2019 6:31 AM</t>
  </si>
  <si>
    <t>Águila</t>
  </si>
  <si>
    <t xml:space="preserve">gs.aguila@scoutsdemadrid.org </t>
  </si>
  <si>
    <t>Becedas</t>
  </si>
  <si>
    <t>La Cerradilla</t>
  </si>
  <si>
    <t>http://goo.gl/maps/qMKa</t>
  </si>
  <si>
    <t>15pBinMiA7ksERwnIG1aRJZLBQthga_8o</t>
  </si>
  <si>
    <t>https://drive.google.com/a/scoutsdemadrid.org/file/d/15pBinMiA7ksERwnIG1aRJZLBQthga_8o/view?usp=drivesdk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</si>
  <si>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6:31 AM</t>
  </si>
  <si>
    <t>Navalmoral De La Sierra</t>
  </si>
  <si>
    <t>La Chaparrera</t>
  </si>
  <si>
    <t>188teyVEcSSWLOysgxm0fNsz4xJ0uHhL3</t>
  </si>
  <si>
    <t>https://drive.google.com/a/scoutsdemadrid.org/file/d/188teyVEcSSWLOysgxm0fNsz4xJ0uHhL3/view?usp=drivesdk</t>
  </si>
  <si>
    <t>Document successfully created; Document successfully merged; PDF created; !!!ERR: Failed to add merged file to folder due to Google error: No se ha podido llamar a la API drive.files.patch; error: File not found: Navalmoral De La Sierra; Emails Sent: [To: daperador@scoutsdemadrid.org]; Manually run by daperador@scoutsdemadrid.org; Timestamp: Nov 11 2019 6:31 AM</t>
  </si>
  <si>
    <t>Alud</t>
  </si>
  <si>
    <t xml:space="preserve">gs.alud@scoutsdemadrid.org </t>
  </si>
  <si>
    <t>Gavilanes</t>
  </si>
  <si>
    <t>El Escurialejo</t>
  </si>
  <si>
    <t>34.19, -4.45</t>
  </si>
  <si>
    <t>1vNf8wuaMnLRW47TYE72bYxZFlLtjBp16</t>
  </si>
  <si>
    <t>https://drive.google.com/a/scoutsdemadrid.org/file/d/1vNf8wuaMnLRW47TYE72bYxZFlLtjBp16/view?usp=drivesdk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</si>
  <si>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6:32 AM</t>
  </si>
  <si>
    <t>Covaleda</t>
  </si>
  <si>
    <t>NS/NC (Jamscout)</t>
  </si>
  <si>
    <t>12x0nCSKTumNI2BtROWoC2xUdWSLYcFbY</t>
  </si>
  <si>
    <t>https://drive.google.com/a/scoutsdemadrid.org/file/d/12x0nCSKTumNI2BtROWoC2xUdWSLYcFbY/view?usp=drivesdk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</si>
  <si>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6:32 AM</t>
  </si>
  <si>
    <t xml:space="preserve">Navaluenga </t>
  </si>
  <si>
    <t>Albergue Sierra de Gredos</t>
  </si>
  <si>
    <t>A la espera de que nos lo faciliten</t>
  </si>
  <si>
    <t>Latitud Norte 40º 24” 55,6. Longitud oeste W 4º 39” 48,0</t>
  </si>
  <si>
    <t>Montserrat Simón Martín</t>
  </si>
  <si>
    <t>920286393 / 619242999</t>
  </si>
  <si>
    <t>alberguesierradegredos@yahoo.es</t>
  </si>
  <si>
    <t>50m</t>
  </si>
  <si>
    <t xml:space="preserve">Fácil acceso </t>
  </si>
  <si>
    <t>Baño, cocina, habitaciones, comedor, jardines y aulas</t>
  </si>
  <si>
    <t>No necesitamos</t>
  </si>
  <si>
    <t>Buen aspecto, bien comunicado, proximidad a diferentes zonas de baño y cercanía a Madrid</t>
  </si>
  <si>
    <t>1YK9hh0m1EDKz4C-BBHHF7n36KxnSluEi</t>
  </si>
  <si>
    <t>https://drive.google.com/a/scoutsdemadrid.org/file/d/1YK9hh0m1EDKz4C-BBHHF7n36KxnSluEi/view?usp=drivesdk</t>
  </si>
  <si>
    <t>Document successfully created; Document successfully merged; PDF created; !!!ERR: Failed to add merged file to folder due to Google error: No se ha podido llamar a la API drive.files.patch; error: File not found: Navaluenga; Emails Sent: [To: daperador@scoutsdemadrid.org]; Manually run by daperador@scoutsdemadrid.org; Timestamp: Nov 11 2019 6:32 AM</t>
  </si>
  <si>
    <t>1P0OWHwdvzlnBpWQ-q9GssfA3yfBd55vx</t>
  </si>
  <si>
    <t>https://drive.google.com/a/scoutsdemadrid.org/file/d/1P0OWHwdvzlnBpWQ-q9GssfA3yfBd55vx/view?usp=drivesdk</t>
  </si>
  <si>
    <t>La Pernía</t>
  </si>
  <si>
    <t>Los Llazos</t>
  </si>
  <si>
    <t>https://maps.google.es/maps?q=Los+Llazos,+La+Pern%C3%ADa&amp;hl=es&amp;ie=UTF8&amp;ll=42.979841,-4.487325&amp;spn=0.006899,0.016512&amp;sll=40.396764,-3.713379&amp;sspn=14.695835,33.815918&amp;oq=los+llazos&amp;hnear=Los+Llazos,+La+Pern%C3%ADa,+Palencia,+Castilla+y+Le%C3%B3n&amp;t=h&amp;z=17</t>
  </si>
  <si>
    <t>1r5RpCUZGa-TnFYXKaMwq91UjWvSg-NmI</t>
  </si>
  <si>
    <t>https://drive.google.com/a/scoutsdemadrid.org/file/d/1r5RpCUZGa-TnFYXKaMwq91UjWvSg-NmI/view?usp=drivesdk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</si>
  <si>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6:32 AM</t>
  </si>
  <si>
    <t>Barbadillo Del Pez</t>
  </si>
  <si>
    <t>Prado de Urria</t>
  </si>
  <si>
    <t>16NXj3xyuWAuUCBKeUXGLDBXLxVyBRV7e</t>
  </si>
  <si>
    <t>https://drive.google.com/a/scoutsdemadrid.org/file/d/16NXj3xyuWAuUCBKeUXGLDBXLxVyBRV7e/view?usp=drivesdk</t>
  </si>
  <si>
    <t>Zapardiel De La Ribera</t>
  </si>
  <si>
    <t>Ignacio Romero Trillo</t>
  </si>
  <si>
    <t>1xXRTXkJFj5BORNtH1tCe3yH0v2kMp7w2</t>
  </si>
  <si>
    <t>https://drive.google.com/a/scoutsdemadrid.org/file/d/1xXRTXkJFj5BORNtH1tCe3yH0v2kMp7w2/view?usp=drivesdk</t>
  </si>
  <si>
    <t>Document successfully created; Document successfully merged; PDF created; !!!ERR: Failed to add merged file to folder due to Google error: No se ha podido llamar a la API drive.files.patch; error: File not found: Zapardiel De La Ribera; Emails Sent: [To: daperador@scoutsdemadrid.org]; Manually run by daperador@scoutsdemadrid.org; Timestamp: Nov 11 2019 6:33 AM</t>
  </si>
  <si>
    <t>Raso de la Nava</t>
  </si>
  <si>
    <t>MSC</t>
  </si>
  <si>
    <t>Asistencia al JamScout de MSC con la unidad de Exploradores. Volante por el entorno de Covaleda y el pico Urbión los días previos.</t>
  </si>
  <si>
    <t>1Eln7ZUf3P40TsUQIngUHjwb_OTahFNEN</t>
  </si>
  <si>
    <t>https://drive.google.com/a/scoutsdemadrid.org/file/d/1Eln7ZUf3P40TsUQIngUHjwb_OTahFNEN/view?usp=drivesdk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</si>
  <si>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6:33 AM</t>
  </si>
  <si>
    <t xml:space="preserve">Soria </t>
  </si>
  <si>
    <t>LA FUENTE UCERO - Monte nº 132</t>
  </si>
  <si>
    <t>tenemos que llamar al ayuntamiento para poder conseguirlo otra vez</t>
  </si>
  <si>
    <t>Datum: ETRS89 Latitud: 41º  58´ 1.34´´ N Longitud: 2º  56´ 28.71´´  Huso UTM: 30 Coord. X: 504.863,32 Coord. Y: 4.646.116,37 Nivel: 16</t>
  </si>
  <si>
    <t>Ayuntamiento</t>
  </si>
  <si>
    <t>duruelo@duruelodelasierra.es</t>
  </si>
  <si>
    <t>83.950 m2</t>
  </si>
  <si>
    <t xml:space="preserve">tiene un rio con pequeñas pozas </t>
  </si>
  <si>
    <t xml:space="preserve">No </t>
  </si>
  <si>
    <t xml:space="preserve">Si </t>
  </si>
  <si>
    <t xml:space="preserve">Es un pinar tiene mucha zona de sombra y es un terreno muy grande aunque no lo utilizaremos por completo. </t>
  </si>
  <si>
    <t>1hPsYUHImdbi4-ZuhFaKDv38ak8w_s7wm</t>
  </si>
  <si>
    <t>https://drive.google.com/a/scoutsdemadrid.org/file/d/1hPsYUHImdbi4-ZuhFaKDv38ak8w_s7wm/view?usp=drivesdk</t>
  </si>
  <si>
    <t>Document successfully created; Document successfully merged; PDF created; !!!ERR: Failed to add merged file to folder due to Google error: No se ha podido llamar a la API drive.files.patch; error: File not found: Soria; Emails Sent: [To: daperador@scoutsdemadrid.org]; Manually run by daperador@scoutsdemadrid.org; Timestamp: Nov 11 2019 6:33 AM</t>
  </si>
  <si>
    <t>Acebedo</t>
  </si>
  <si>
    <t>1LNRV3EODRFd1FUKekZClCAYR3xaR-eSV</t>
  </si>
  <si>
    <t>https://drive.google.com/a/scoutsdemadrid.org/file/d/1LNRV3EODRFd1FUKekZClCAYR3xaR-eSV/view?usp=drivesdk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</si>
  <si>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6:33 AM</t>
  </si>
  <si>
    <t>Cofiñal</t>
  </si>
  <si>
    <t>Las Lamas</t>
  </si>
  <si>
    <t>24124A00200228</t>
  </si>
  <si>
    <t>N:43º02`59,5'' O:5º16'43,5"</t>
  </si>
  <si>
    <t>CELESTINO DIEZ ALONSO</t>
  </si>
  <si>
    <t>-----</t>
  </si>
  <si>
    <t>450€ la quincena</t>
  </si>
  <si>
    <t>22.815m2</t>
  </si>
  <si>
    <t>EL rio pasa por un lateral de la finca</t>
  </si>
  <si>
    <t>Desde la propia finca solo se puede acceder para bombear agua. Si se anda unos metros hay pozas moderadamente acondicionadas.</t>
  </si>
  <si>
    <t>No. Existe al lado de la finca un antiguo Invernadero que esta cerrado y no es posible su acceso.</t>
  </si>
  <si>
    <t>Es una campa bastante grande, con distintas alturas. Es sencillo conseguir el agua para las instalaciones. Dispone de espacio suficiente para realizar las actividades. El acceso es bueno y el pueblo esta a 2km de la finca.</t>
  </si>
  <si>
    <t>1che6Mlvb2fOszWeDcOF-Lw5K-cCvGt4V</t>
  </si>
  <si>
    <t>https://drive.google.com/a/scoutsdemadrid.org/file/d/1che6Mlvb2fOszWeDcOF-Lw5K-cCvGt4V/view?usp=drivesdk</t>
  </si>
  <si>
    <t>Document successfully created; Document successfully merged; PDF created; !!!ERR: Failed to add merged file to folder due to Google error: No se ha podido llamar a la API drive.files.patch; error: File not found: 2018; Emails Sent: [To: daperador@scoutsdemadrid.org]; Manually run by daperador@scoutsdemadrid.org; Timestamp: Nov 11 2019 6:33 AM</t>
  </si>
  <si>
    <t>Calasanz Val</t>
  </si>
  <si>
    <t xml:space="preserve">gs.calasanz@scoutsdemadrid.org </t>
  </si>
  <si>
    <t>Noceda Del Bierzo</t>
  </si>
  <si>
    <t>Camping Los Chanos</t>
  </si>
  <si>
    <t xml:space="preserve"> 24104A03190307</t>
  </si>
  <si>
    <t>42.716139, -6.398513</t>
  </si>
  <si>
    <t>Pablo García Moreno - Sportanoe</t>
  </si>
  <si>
    <t xml:space="preserve"> 687 49 29 23</t>
  </si>
  <si>
    <t>pablogmoreno@sportanoe.com</t>
  </si>
  <si>
    <t>16 euros/persona</t>
  </si>
  <si>
    <t>NS</t>
  </si>
  <si>
    <t>20minutos</t>
  </si>
  <si>
    <t>Piscina municipal</t>
  </si>
  <si>
    <t>Cocina, baños</t>
  </si>
  <si>
    <t>Buen trato, te hacen la comida</t>
  </si>
  <si>
    <t>1Cx18LEz88nV3SZpgUg6ph9EhNObr3RNw</t>
  </si>
  <si>
    <t>https://drive.google.com/a/scoutsdemadrid.org/file/d/1Cx18LEz88nV3SZpgUg6ph9EhNObr3RNw/view?usp=drivesdk</t>
  </si>
  <si>
    <t>Document successfully created; Document successfully merged; PDF created; !!!ERR: Failed to add merged file to folder due to Google error: No se ha podido llamar a la API drive.files.patch; error: File not found: 2019; Emails Sent: [To: daperador@scoutsdemadrid.org]; Manually run by daperador@scoutsdemadrid.org; Timestamp: Nov 11 2019 6:33 AM</t>
  </si>
  <si>
    <t>Calasanz-Val</t>
  </si>
  <si>
    <t>Llanos De Tormes</t>
  </si>
  <si>
    <t>Llanos de Tormes</t>
  </si>
  <si>
    <t>1fH3nG9YAbdSQhFsvy-zNe5MG0_2S6-Xw</t>
  </si>
  <si>
    <t>https://drive.google.com/a/scoutsdemadrid.org/file/d/1fH3nG9YAbdSQhFsvy-zNe5MG0_2S6-Xw/view?usp=drivesdk</t>
  </si>
  <si>
    <t>Document successfully created; Document successfully merged; PDF created; !!!ERR: Failed to add merged file to folder due to Google error: No se ha podido llamar a la API drive.files.patch; error: File not found: Llanos De Tormes; Emails Sent: [To: daperador@scoutsdemadrid.org]; Manually run by daperador@scoutsdemadrid.org; Timestamp: Nov 11 2019 6:34 AM</t>
  </si>
  <si>
    <t>Herreros</t>
  </si>
  <si>
    <t>El Ejido</t>
  </si>
  <si>
    <t>https://maps.google.es/maps/ms?msid=203418343783550310345.0004c1466ed55533d522c&amp;msa=0&amp;ll=41.834462,-2.743492&amp;spn=0.02785,0.066047</t>
  </si>
  <si>
    <t>1w1IFV3b8vb-DnhGoHUoejFhAkC7ybwnH</t>
  </si>
  <si>
    <t>https://drive.google.com/a/scoutsdemadrid.org/file/d/1w1IFV3b8vb-DnhGoHUoejFhAkC7ybwnH/view?usp=drivesdk</t>
  </si>
  <si>
    <t>Document successfully created; Document successfully merged; PDF created; !!!ERR: Failed to add merged file to folder due to Google error: No se ha podido llamar a la API drive.files.patch; error: File not found: Herreros; Emails Sent: [To: daperador@scoutsdemadrid.org]; Manually run by daperador@scoutsdemadrid.org; Timestamp: Nov 11 2019 6:34 AM</t>
  </si>
  <si>
    <t>Cofiñal (Puebla De Lillo)</t>
  </si>
  <si>
    <t>PRADO DE LAS LERAS</t>
  </si>
  <si>
    <t>43°2'25.22"N, 5°16'32.00"W</t>
  </si>
  <si>
    <t>500€ EN TOTAL</t>
  </si>
  <si>
    <t>Atraviesa la finca el río Porma</t>
  </si>
  <si>
    <t>El río cubre por las rodillas</t>
  </si>
  <si>
    <t>NO</t>
  </si>
  <si>
    <t>Buen acceso, con sombras, a 1 km de Cofiñal. Terreno llano y agradable.</t>
  </si>
  <si>
    <t>1UE1CHSg_G39cxPzDb-8WamdNIr7HheeX</t>
  </si>
  <si>
    <t>https://drive.google.com/a/scoutsdemadrid.org/file/d/1UE1CHSg_G39cxPzDb-8WamdNIr7HheeX/view?usp=drivesdk</t>
  </si>
  <si>
    <t>Document successfully created; Document successfully merged; PDF created; !!!ERR: Failed to add merged file to folder due to Google error: No se ha podido llamar a la API drive.files.patch; error: File not found: Cofiñal (Puebla De Lillo); Emails Sent: [To: daperador@scoutsdemadrid.org]; Manually run by daperador@scoutsdemadrid.org; Timestamp: Nov 11 2019 6:34 AM</t>
  </si>
  <si>
    <t>14JkLen43XrgHPDIsooKZAk75IjzY2w50</t>
  </si>
  <si>
    <t>https://drive.google.com/a/scoutsdemadrid.org/file/d/14JkLen43XrgHPDIsooKZAk75IjzY2w50/view?usp=drivesdk</t>
  </si>
  <si>
    <t>Mijares</t>
  </si>
  <si>
    <t>La Ribera</t>
  </si>
  <si>
    <t>Parcela catastral: 30 . Polígono catastral:13</t>
  </si>
  <si>
    <t>Latitud: 40º 14´  21.99"  Longitud: -4º 50` 31.92"</t>
  </si>
  <si>
    <t xml:space="preserve">Jesús Fernández Castro </t>
  </si>
  <si>
    <t>800 + IVA</t>
  </si>
  <si>
    <t>1,7 ha</t>
  </si>
  <si>
    <t>Se encuentra dentro de la finca</t>
  </si>
  <si>
    <t>Es un río pequeño, no muy caudaloso situado en un lateral de la finca</t>
  </si>
  <si>
    <t>Terreno muy llano</t>
  </si>
  <si>
    <t>1ZoHdJYkj0YToHrdmFzNYulnhlqOAm-m7</t>
  </si>
  <si>
    <t>https://drive.google.com/a/scoutsdemadrid.org/file/d/1ZoHdJYkj0YToHrdmFzNYulnhlqOAm-m7/view?usp=drivesdk</t>
  </si>
  <si>
    <t>Document successfully created; Document successfully merged; PDF created; !!!ERR: Failed to add merged file to folder due to Google error: No se ha podido llamar a la API drive.files.patch; error: File not found: Mijares; Emails Sent: [To: daperador@scoutsdemadrid.org]; Manually run by daperador@scoutsdemadrid.org; Timestamp: Nov 11 2019 6:34 AM</t>
  </si>
  <si>
    <t>Valdepielago</t>
  </si>
  <si>
    <t>Valdoreo</t>
  </si>
  <si>
    <t>Poligono catastral: 4 Parcela catastral: 8</t>
  </si>
  <si>
    <t>42° 52' 32.992''</t>
  </si>
  <si>
    <t>Felisa Juana Álvarez Suaréz</t>
  </si>
  <si>
    <t>No tiene</t>
  </si>
  <si>
    <t>Precio fijo de la finca= 400€</t>
  </si>
  <si>
    <t>En un extremo de la finca</t>
  </si>
  <si>
    <t>Rio con facil acceso en una zona</t>
  </si>
  <si>
    <t>Zona amplia, con sombras y río. Buena finca aunque no dispone de instalaciones.</t>
  </si>
  <si>
    <t>11EiXfDDE1PxYxfeteqdDUPXN9WWBW_CB</t>
  </si>
  <si>
    <t>https://drive.google.com/a/scoutsdemadrid.org/file/d/11EiXfDDE1PxYxfeteqdDUPXN9WWBW_CB/view?usp=drivesdk</t>
  </si>
  <si>
    <t>Document successfully created; Document successfully merged; PDF created; !!!ERR: Failed to add merged file to folder due to Google error: No se ha podido llamar a la API drive.files.patch; error: File not found: Valdepielago; Emails Sent: [To: daperador@scoutsdemadrid.org]; Manually run by daperador@scoutsdemadrid.org; Timestamp: Nov 11 2019 6:34 AM</t>
  </si>
  <si>
    <t>El Remolino</t>
  </si>
  <si>
    <t xml:space="preserve">gs.elremolino@scoutsdemadrid.org </t>
  </si>
  <si>
    <t>Ayuntamiento de Covaleda</t>
  </si>
  <si>
    <t>1wuXF7FO1M4I-e9yVRwADQjXBiq8eoXx_</t>
  </si>
  <si>
    <t>https://drive.google.com/a/scoutsdemadrid.org/file/d/1wuXF7FO1M4I-e9yVRwADQjXBiq8eoXx_/view?usp=drivesdk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</si>
  <si>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6:35 AM</t>
  </si>
  <si>
    <t>1cx06ScuTkEmYT5etSZ7JCsNwua9KA3wA</t>
  </si>
  <si>
    <t>https://drive.google.com/a/scoutsdemadrid.org/file/d/1cx06ScuTkEmYT5etSZ7JCsNwua9KA3wA/view?usp=drivesdk</t>
  </si>
  <si>
    <t>Encuentro</t>
  </si>
  <si>
    <t xml:space="preserve">gs.encuentro@scoutsdemadrid.org </t>
  </si>
  <si>
    <t>Barco De Ávila</t>
  </si>
  <si>
    <t>Barco de Ávila</t>
  </si>
  <si>
    <t>1YiHHiEjoUq5aYLs7h49cil7-oUJcmDXc</t>
  </si>
  <si>
    <t>https://drive.google.com/a/scoutsdemadrid.org/file/d/1YiHHiEjoUq5aYLs7h49cil7-oUJcmDXc/view?usp=drivesdk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</si>
  <si>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6:35 AM</t>
  </si>
  <si>
    <t>Regumiel De La Sierra</t>
  </si>
  <si>
    <t>Comunero de Revenga</t>
  </si>
  <si>
    <t>41.9573280,-3.0136980</t>
  </si>
  <si>
    <t>1y-5INBLE2BMZrwj4ckr7-3t_qvbypD_R</t>
  </si>
  <si>
    <t>https://drive.google.com/a/scoutsdemadrid.org/file/d/1y-5INBLE2BMZrwj4ckr7-3t_qvbypD_R/view?usp=drivesdk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</si>
  <si>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6:35 AM</t>
  </si>
  <si>
    <t>Guisando</t>
  </si>
  <si>
    <t>Campamento Luis Manuel López Martínez</t>
  </si>
  <si>
    <t>-</t>
  </si>
  <si>
    <t>40º13'50,002"N 5º9'33,998"W</t>
  </si>
  <si>
    <t>Ayto. de Guisando</t>
  </si>
  <si>
    <t>920 37 40 01</t>
  </si>
  <si>
    <t>Precio por tiempo estancia</t>
  </si>
  <si>
    <t>Pendiente (suficiente para 80 personas)</t>
  </si>
  <si>
    <t>1 metro (es salir una valla)</t>
  </si>
  <si>
    <t>Río/charca integrado en la zona de campa con instalación de tablones para hacer un pequeña poza</t>
  </si>
  <si>
    <t>Cocia, comedor,  baños y duchas, almacén</t>
  </si>
  <si>
    <t>Es un sitio muy bien ubicado para subir a la sierra de Gredos. Tiene 6 cabañas grandes tipo tipi de madera para unas 10-15 personas.</t>
  </si>
  <si>
    <t>1EmJUdBE7EOyCQkBrtU2jOFIE6etcz_bI</t>
  </si>
  <si>
    <t>https://drive.google.com/a/scoutsdemadrid.org/file/d/1EmJUdBE7EOyCQkBrtU2jOFIE6etcz_bI/view?usp=drivesdk</t>
  </si>
  <si>
    <t>Document successfully created; Document successfully merged; PDF created; !!!ERR: Failed to add merged file to folder due to Google error: No se ha podido llamar a la API drive.files.patch; error: File not found: Guisando; Emails Sent: [To: daperador@scoutsdemadrid.org]; Manually run by daperador@scoutsdemadrid.org; Timestamp: Nov 11 2019 6:35 AM</t>
  </si>
  <si>
    <t>1dlD2NobWdddlzDlhkoXT8DjmJrf-Cn20</t>
  </si>
  <si>
    <t>https://drive.google.com/a/scoutsdemadrid.org/file/d/1dlD2NobWdddlzDlhkoXT8DjmJrf-Cn20/view?usp=drivesdk</t>
  </si>
  <si>
    <t>EL REGAJAL</t>
  </si>
  <si>
    <t>https://maps.google.es/maps?hl=es</t>
  </si>
  <si>
    <t>1l9aoKJ5zV8G4iikrK1po2SYLRKG2Mp4G</t>
  </si>
  <si>
    <t>https://drive.google.com/a/scoutsdemadrid.org/file/d/1l9aoKJ5zV8G4iikrK1po2SYLRKG2Mp4G/view?usp=drivesdk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</si>
  <si>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6:36 AM</t>
  </si>
  <si>
    <t>La chaparrera</t>
  </si>
  <si>
    <t>polígono 10 parcela 43</t>
  </si>
  <si>
    <t>40º26'41.17'' N - 4º44'45,82'' W</t>
  </si>
  <si>
    <t>Manuela García García</t>
  </si>
  <si>
    <t>carlos_g.r@hotmail.com</t>
  </si>
  <si>
    <t>700 quincena</t>
  </si>
  <si>
    <t>3ha</t>
  </si>
  <si>
    <t>2km</t>
  </si>
  <si>
    <t>piscina municipal de Navalmoral</t>
  </si>
  <si>
    <t>no. de fortuna</t>
  </si>
  <si>
    <t>sí, una empresa nos la acerca a la campa</t>
  </si>
  <si>
    <t>Es una campa bastante grande limitada por muro de piedra, utilizada normalmente por grupos scout, con toma de agua (no potable)</t>
  </si>
  <si>
    <t>1O6FvI2LTuZi5-jMRyYBnkWlUTf4ZOw01</t>
  </si>
  <si>
    <t>https://drive.google.com/a/scoutsdemadrid.org/file/d/1O6FvI2LTuZi5-jMRyYBnkWlUTf4ZOw01/view?usp=drivesdk</t>
  </si>
  <si>
    <t>Document successfully created; Document successfully merged; PDF created; !!!ERR: Failed to add merged file to folder due to Google error: No se ha podido llamar a la API drive.files.patch; error: File not found: Navalmoral De La Sierra; Emails Sent: [To: daperador@scoutsdemadrid.org]; Manually run by daperador@scoutsdemadrid.org; Timestamp: Nov 11 2019 6:36 AM</t>
  </si>
  <si>
    <t>1umbpLbD3vqN0dKpGiVMu1Orn2R2HnCIe</t>
  </si>
  <si>
    <t>https://drive.google.com/a/scoutsdemadrid.org/file/d/1umbpLbD3vqN0dKpGiVMu1Orn2R2HnCIe/view?usp=drivesdk</t>
  </si>
  <si>
    <t>Albergue Garganta de  la Chorrera</t>
  </si>
  <si>
    <t>no disponible</t>
  </si>
  <si>
    <t>40º16'17,1''N  ,4º 51' 41,1'' W</t>
  </si>
  <si>
    <t>Manuel José Suarez Montequín</t>
  </si>
  <si>
    <t>info@ceesocio.es</t>
  </si>
  <si>
    <t>Precio por persona</t>
  </si>
  <si>
    <t>5ha</t>
  </si>
  <si>
    <t>200 m</t>
  </si>
  <si>
    <t>Piscina natural</t>
  </si>
  <si>
    <t>Albergue</t>
  </si>
  <si>
    <t>Inst. buenas, dueño poco accesible, cambia las condiciones pagada la señal</t>
  </si>
  <si>
    <t>19YolY921JsnJ1xE9g9jkOfFDOl-WQ2BC</t>
  </si>
  <si>
    <t>https://drive.google.com/a/scoutsdemadrid.org/file/d/19YolY921JsnJ1xE9g9jkOfFDOl-WQ2BC/view?usp=drivesdk</t>
  </si>
  <si>
    <t>Document successfully created; Document successfully merged; PDF created; !!!ERR: Failed to add merged file to folder due to Google error: No se ha podido llamar a la API drive.files.patch; error: File not found: 2018; Emails Sent: [To: daperador@scoutsdemadrid.org]; Manually run by daperador@scoutsdemadrid.org; Timestamp: Nov 11 2019 6:36 AM</t>
  </si>
  <si>
    <t>G.S. Samasabe-Calasancio</t>
  </si>
  <si>
    <t>43º 2' 13.58'' N 5º 7' 39.56'' O</t>
  </si>
  <si>
    <t>1b1adGB3DdJPykz86xg1ka2HfnjHplz3I</t>
  </si>
  <si>
    <t>https://drive.google.com/a/scoutsdemadrid.org/file/d/1b1adGB3DdJPykz86xg1ka2HfnjHplz3I/view?usp=drivesdk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</si>
  <si>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6:36 AM</t>
  </si>
  <si>
    <t>Goa</t>
  </si>
  <si>
    <t xml:space="preserve">gs.goa@scoutsdemadrid.org </t>
  </si>
  <si>
    <t>Quintanilla Del Agua</t>
  </si>
  <si>
    <t>Quintanilla del Agua</t>
  </si>
  <si>
    <t>N: 42º 1' 22.8'' O: -3º 37' 48''</t>
  </si>
  <si>
    <t>1eAVlmbEpggs18Tf1atZ7ZY1f_DMKEgpo</t>
  </si>
  <si>
    <t>https://drive.google.com/a/scoutsdemadrid.org/file/d/1eAVlmbEpggs18Tf1atZ7ZY1f_DMKEgpo/view?usp=drivesdk</t>
  </si>
  <si>
    <t>Document successfully created; Document successfully merged; PDF created; !!!ERR: Failed to add merged file to folder due to Google error: No se ha podido llamar a la API drive.files.patch; error: File not found: Quintanilla Del Agua; Emails Sent: [To: daperador@scoutsdemadrid.org]; Manually run by daperador@scoutsdemadrid.org; Timestamp: Nov 11 2019 6:36 AM</t>
  </si>
  <si>
    <t xml:space="preserve">Quintanilla Del Agua </t>
  </si>
  <si>
    <t>Cañal Tabla Angosto</t>
  </si>
  <si>
    <t>1mJiNtDWxWk6-WxpbA3rLkFCEP56qUsTd</t>
  </si>
  <si>
    <t>https://drive.google.com/a/scoutsdemadrid.org/file/d/1mJiNtDWxWk6-WxpbA3rLkFCEP56qUsTd/view?usp=drivesdk</t>
  </si>
  <si>
    <t>Document successfully created; Document successfully merged; PDF created; !!!ERR: Failed to add merged file to folder due to Google error: No se ha podido llamar a la API drive.files.patch; error: File not found: Quintanilla Del Agua; Emails Sent: [To: daperador@scoutsdemadrid.org]; Manually run by daperador@scoutsdemadrid.org; Timestamp: Nov 11 2019 6:37 AM</t>
  </si>
  <si>
    <t>Boca De Huérgano</t>
  </si>
  <si>
    <t>Paraje Sotobanal</t>
  </si>
  <si>
    <t>Polígono 32 parcela 519</t>
  </si>
  <si>
    <t>X: 342.686,55 Y.4.759.230.30</t>
  </si>
  <si>
    <t>Ayuntamiento de Boca de Huérgano</t>
  </si>
  <si>
    <t>80 € por tasa de basura</t>
  </si>
  <si>
    <t>Más de una hectárea</t>
  </si>
  <si>
    <t>500 metros dentro del prado</t>
  </si>
  <si>
    <t xml:space="preserve">Río de poco profundidad. regular. </t>
  </si>
  <si>
    <t>Poca sombra, gran espacio, acceso al río para coger agua regular, entorno maravilloso. Buena acogida en el pueblo.</t>
  </si>
  <si>
    <t>1tv_KnSob29tJcYAsL1w1sfuYp1bQA8MN</t>
  </si>
  <si>
    <t>https://drive.google.com/a/scoutsdemadrid.org/file/d/1tv_KnSob29tJcYAsL1w1sfuYp1bQA8MN/view?usp=drivesdk</t>
  </si>
  <si>
    <t>Document successfully created; Document successfully merged; PDF created; !!!ERR: Failed to add merged file to folder due to Google error: No se ha podido llamar a la API drive.files.patch; error: File not found: Boca De Huérgano; Emails Sent: [To: daperador@scoutsdemadrid.org]; Manually run by daperador@scoutsdemadrid.org; Timestamp: Nov 11 2019 6:37 AM</t>
  </si>
  <si>
    <t>Bohoyo</t>
  </si>
  <si>
    <t>Los Chozos de Gredos.</t>
  </si>
  <si>
    <t>NA</t>
  </si>
  <si>
    <t>Cly Más Biomasa</t>
  </si>
  <si>
    <t>cylmas.biomasa@gmail.com</t>
  </si>
  <si>
    <t>4 €/persona día (SIN IVA)</t>
  </si>
  <si>
    <t xml:space="preserve">1ha </t>
  </si>
  <si>
    <t>50 - 100 metros</t>
  </si>
  <si>
    <t xml:space="preserve">Os lo contamos a la vuelta </t>
  </si>
  <si>
    <t>Cocina /Aseos y duchas/ Comedor/ Chozas para dormir y una casita</t>
  </si>
  <si>
    <t xml:space="preserve">No lo sabemos, pero seguramente sí. </t>
  </si>
  <si>
    <t xml:space="preserve">Vamos a unas instalaciones porque este año es especial por el JAM, pero seguro que nos va a encantar. La acogida de los gestores es inmejorable. </t>
  </si>
  <si>
    <t>1043fvGJExjMkOhKgceOI2NvNjqTNGc1i</t>
  </si>
  <si>
    <t>https://drive.google.com/a/scoutsdemadrid.org/file/d/1043fvGJExjMkOhKgceOI2NvNjqTNGc1i/view?usp=drivesdk</t>
  </si>
  <si>
    <t>Document successfully created; Document successfully merged; PDF created; !!!ERR: Failed to add merged file to folder due to Google error: No se ha podido llamar a la API drive.files.patch; error: File not found: Bohoyo; Emails Sent: [To: daperador@scoutsdemadrid.org]; Manually run by daperador@scoutsdemadrid.org; Timestamp: Nov 11 2019 6:37 AM</t>
  </si>
  <si>
    <t>Castrocontrigo</t>
  </si>
  <si>
    <t>Soto de arriba</t>
  </si>
  <si>
    <t>Pol 105 Parcela 5050</t>
  </si>
  <si>
    <t>X 729.918, 65 ; Y 4.675.028,29</t>
  </si>
  <si>
    <t>Junta vecinal de Castrocontrigo</t>
  </si>
  <si>
    <t>info@jvcastrocontrigo.es</t>
  </si>
  <si>
    <t>73 ha</t>
  </si>
  <si>
    <t>150 metros</t>
  </si>
  <si>
    <t>No fácil acceso a orillas. Profundidad media</t>
  </si>
  <si>
    <t xml:space="preserve">Estamos en ello </t>
  </si>
  <si>
    <t>Zonas de sol y sombra. Requiere desbroce previo</t>
  </si>
  <si>
    <t>1sryoWwraFfqYVnrq3Q3vozbfD0QPIRC3</t>
  </si>
  <si>
    <t>https://drive.google.com/a/scoutsdemadrid.org/file/d/1sryoWwraFfqYVnrq3Q3vozbfD0QPIRC3/view?usp=drivesdk</t>
  </si>
  <si>
    <t>Document successfully created; Document successfully merged; PDF created; !!!ERR: Failed to add merged file to folder due to Google error: No se ha podido llamar a la API drive.files.patch; error: File not found: Castrocontrigo; Emails Sent: [To: daperador@scoutsdemadrid.org]; Manually run by daperador@scoutsdemadrid.org; Timestamp: Nov 11 2019 6:37 AM</t>
  </si>
  <si>
    <t>Priaranza De La Valduerna</t>
  </si>
  <si>
    <t>Prado Priaranza de la Valduerna</t>
  </si>
  <si>
    <t>No consta</t>
  </si>
  <si>
    <t>42°20'18.9"N 6°11'52.9"W</t>
  </si>
  <si>
    <t>Ángel Abajo Lera</t>
  </si>
  <si>
    <t>Gratuito (donación)</t>
  </si>
  <si>
    <t>11.000 m2</t>
  </si>
  <si>
    <t>75 m</t>
  </si>
  <si>
    <t>Espaciosa y adaptada</t>
  </si>
  <si>
    <t>Con mucho espacio para distintas zonas. Bien comunicada. Sombreada. M</t>
  </si>
  <si>
    <t>1X41KHIw9OQ_0PxTi0Zpc6eVAFS9P9YwY</t>
  </si>
  <si>
    <t>https://drive.google.com/a/scoutsdemadrid.org/file/d/1X41KHIw9OQ_0PxTi0Zpc6eVAFS9P9YwY/view?usp=drivesdk</t>
  </si>
  <si>
    <t>Document successfully created; Document successfully merged; PDF created; !!!ERR: Failed to add merged file to folder due to Google error: No se ha podido llamar a la API drive.files.patch; error: File not found: 2019; Emails Sent: [To: daperador@scoutsdemadrid.org]; Manually run by daperador@scoutsdemadrid.org; Timestamp: Nov 11 2019 6:37 AM</t>
  </si>
  <si>
    <t>Jamborette Marianista</t>
  </si>
  <si>
    <t xml:space="preserve">gs.jamborette@scoutsdemadrid.org </t>
  </si>
  <si>
    <t>41.937685, -2.909870</t>
  </si>
  <si>
    <t>0,60€por persona</t>
  </si>
  <si>
    <t>500 metro</t>
  </si>
  <si>
    <t>río con poza</t>
  </si>
  <si>
    <t>Si, cocina, almacén, botiquin, salas vacias...</t>
  </si>
  <si>
    <t>Muy bueno</t>
  </si>
  <si>
    <t>1u-Yivag37twVKa_zYLEvgrwdMpUO59_y</t>
  </si>
  <si>
    <t>https://drive.google.com/a/scoutsdemadrid.org/file/d/1u-Yivag37twVKa_zYLEvgrwdMpUO59_y/view?usp=drivesdk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</si>
  <si>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6:38 AM</t>
  </si>
  <si>
    <t>La Merced</t>
  </si>
  <si>
    <t xml:space="preserve">gs.lamerced@scoutsdemadrid.org </t>
  </si>
  <si>
    <t>Espinosa De Los Monteros</t>
  </si>
  <si>
    <t>la edilla. campamento juvenil espinosa de los monteros</t>
  </si>
  <si>
    <t>1Br8Q0mZgfBAK4cVK_rDRDTLwi3wq6f4G</t>
  </si>
  <si>
    <t>https://drive.google.com/a/scoutsdemadrid.org/file/d/1Br8Q0mZgfBAK4cVK_rDRDTLwi3wq6f4G/view?usp=drivesdk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</si>
  <si>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6:38 AM</t>
  </si>
  <si>
    <t>Los Chozos de Gredos</t>
  </si>
  <si>
    <t>05226A006004950000ST</t>
  </si>
  <si>
    <t>40.3099;-5,4256</t>
  </si>
  <si>
    <t>cylmas BiomasaSL</t>
  </si>
  <si>
    <t xml:space="preserve">cylmas.biomasa@gmail.com </t>
  </si>
  <si>
    <t>16 € persona /día con pensión completa.</t>
  </si>
  <si>
    <t>10000 metros</t>
  </si>
  <si>
    <t>500 metros</t>
  </si>
  <si>
    <t>Accesible y tranquila</t>
  </si>
  <si>
    <t>Comedor, cocina, duchas y aseos completos y chozos.</t>
  </si>
  <si>
    <t>Cuidada y bien mantenida. Recinto cerrado.</t>
  </si>
  <si>
    <t>1F0RDNBNyJNiECq2HUUowiXwooceqq346</t>
  </si>
  <si>
    <t>https://drive.google.com/a/scoutsdemadrid.org/file/d/1F0RDNBNyJNiECq2HUUowiXwooceqq346/view?usp=drivesdk</t>
  </si>
  <si>
    <t>Document successfully created; Document successfully merged; PDF created; !!!ERR: Failed to add merged file to folder due to Google error: No se ha podido llamar a la API drive.files.patch; error: File not found: Bohoyo; Emails Sent: [To: daperador@scoutsdemadrid.org]; Manually run by daperador@scoutsdemadrid.org; Timestamp: Nov 11 2019 6:38 AM</t>
  </si>
  <si>
    <t>Ni idea</t>
  </si>
  <si>
    <t>N: 40o 18' 40.529''   O: 5o 25' 44.825''</t>
  </si>
  <si>
    <t xml:space="preserve"> CYL MAS BIOMASA SL-Jóse Ignacio Romero Trillo</t>
  </si>
  <si>
    <t>cyl mas &lt;cylmas.biomasa@gmail.com&gt;</t>
  </si>
  <si>
    <t>17 € persona/ día</t>
  </si>
  <si>
    <t>Aproximadamente una hectárea.</t>
  </si>
  <si>
    <t>Acceso bueno por carretera. Se puede atajar por el campo pero se pueden resbalar con la arenilla. El verano pasado tuvimos un esquincepor esta causa.</t>
  </si>
  <si>
    <t>Sí. Comedor, cocina y baños completos.</t>
  </si>
  <si>
    <t>A través del propietario.</t>
  </si>
  <si>
    <t>Hay 6 chozos para poder guardar el material o dormir. Sitio para instalar tiendas de campaña. Recinto cerrado. Bien cuidado. Trato amable.</t>
  </si>
  <si>
    <t>1XOXhcP44co-SBmMxYF7UbEZhgqV1pvfe</t>
  </si>
  <si>
    <t>https://drive.google.com/a/scoutsdemadrid.org/file/d/1XOXhcP44co-SBmMxYF7UbEZhgqV1pvfe/view?usp=drivesdk</t>
  </si>
  <si>
    <t>gs.libertas@scoutsdemadrid.org</t>
  </si>
  <si>
    <t>Fariza</t>
  </si>
  <si>
    <t>Albergue La Rueca</t>
  </si>
  <si>
    <t>Ayuntamiento de Fariza \ Ekoactivo Experiencia</t>
  </si>
  <si>
    <t>Precio por persona \ dia</t>
  </si>
  <si>
    <t>Muy lejana. Mas de 10 km</t>
  </si>
  <si>
    <t>Albergue completo nuevo y en buen estado. Cocina, baños, comedor, habitacioens</t>
  </si>
  <si>
    <t>Ns nc</t>
  </si>
  <si>
    <t>Buena ubicación, en la reserva natural de los Arribes del Duero.
La empresa gestora es llevada por scouts.
Apoyo grande del ayuntamiento para la utilización de espacios...</t>
  </si>
  <si>
    <t>1WFn1hHI6DrZ5b_aNmKlDCsrTMJ5XOTlv</t>
  </si>
  <si>
    <t>https://drive.google.com/a/scoutsdemadrid.org/file/d/1WFn1hHI6DrZ5b_aNmKlDCsrTMJ5XOTlv/view?usp=drivesdk</t>
  </si>
  <si>
    <t>Document successfully created; Document successfully merged; PDF created; !!!ERR: Failed to add merged file to folder due to Google error: No se ha podido llamar a la API drive.files.patch; error: File not found: Fariza; Emails Sent: [To: daperador@scoutsdemadrid.org]; Manually run by daperador@scoutsdemadrid.org; Timestamp: Nov 11 2019 6:38 AM</t>
  </si>
  <si>
    <t>La Vecilla De Curueño</t>
  </si>
  <si>
    <t>El Molino</t>
  </si>
  <si>
    <t>24182A011000880000WY</t>
  </si>
  <si>
    <t>Latitud: 42º51'24.862'' Longitud: -5º24'10.282''</t>
  </si>
  <si>
    <t>Asociación La Quintana - Escuela de A.J. y T.L. Caracuel</t>
  </si>
  <si>
    <t>84.10.60.90 - 985.46.43.61</t>
  </si>
  <si>
    <t>info@campamentoscaracuel.com</t>
  </si>
  <si>
    <t>15 €/día</t>
  </si>
  <si>
    <t>434 m2</t>
  </si>
  <si>
    <t>800 m</t>
  </si>
  <si>
    <t>Río con zona arbolada, con sombras. Muy concurrido en fines de semana</t>
  </si>
  <si>
    <t>Baños, cocina, salón y barracones con literas</t>
  </si>
  <si>
    <t>Campamento para 80 personas. Tiene posibilidad de montar tiendas de campaña y hacer construcciones.</t>
  </si>
  <si>
    <t>1j5LR0nDOSDRx47nn19c2QVZWDGzvpW8_</t>
  </si>
  <si>
    <t>https://drive.google.com/a/scoutsdemadrid.org/file/d/1j5LR0nDOSDRx47nn19c2QVZWDGzvpW8_/view?usp=drivesdk</t>
  </si>
  <si>
    <t>Document successfully created; Document successfully merged; PDF created; !!!ERR: Failed to add merged file to folder due to Google error: No se ha podido llamar a la API drive.files.patch; error: File not found: La Vecilla De Curueño; Emails Sent: [To: daperador@scoutsdemadrid.org]; Manually run by daperador@scoutsdemadrid.org; Timestamp: Nov 11 2019 6:38 AM</t>
  </si>
  <si>
    <t>Lince San Gregorio</t>
  </si>
  <si>
    <t xml:space="preserve">gs.lincesangregorio@scoutsdemadrid.org </t>
  </si>
  <si>
    <t>Puebla De Lillo</t>
  </si>
  <si>
    <t>1dlU6orqLZHslSzm77oKC89gnYufTv3g7</t>
  </si>
  <si>
    <t>https://drive.google.com/a/scoutsdemadrid.org/file/d/1dlU6orqLZHslSzm77oKC89gnYufTv3g7/view?usp=drivesdk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</si>
  <si>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6:39 AM</t>
  </si>
  <si>
    <t>1aGCmzQZFiFjr2Umv1pExrQwG1ttVMYwz</t>
  </si>
  <si>
    <t>https://drive.google.com/a/scoutsdemadrid.org/file/d/1aGCmzQZFiFjr2Umv1pExrQwG1ttVMYwz/view?usp=drivesdk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</si>
  <si>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6:39 AM</t>
  </si>
  <si>
    <t>Navalamediana/ Prado vega</t>
  </si>
  <si>
    <t>05113A012000070000YF</t>
  </si>
  <si>
    <t>X293542,17 Y446699,53</t>
  </si>
  <si>
    <t>Daniel  Martín Bermejo</t>
  </si>
  <si>
    <t>evadematias@clinicagredos.es</t>
  </si>
  <si>
    <t>1.200€ quincena</t>
  </si>
  <si>
    <t>100 m</t>
  </si>
  <si>
    <t>Excelente</t>
  </si>
  <si>
    <t>Sí, nos la cede el propietario</t>
  </si>
  <si>
    <t>Es una fincs espectacular</t>
  </si>
  <si>
    <t>1zgWcGL98s-py8ZuaMAegdNTFjEZubZ-C</t>
  </si>
  <si>
    <t>https://drive.google.com/a/scoutsdemadrid.org/file/d/1zgWcGL98s-py8ZuaMAegdNTFjEZubZ-C/view?usp=drivesdk</t>
  </si>
  <si>
    <t>Document successfully created; Document successfully merged; PDF created; !!!ERR: Failed to add merged file to folder due to Google error: No se ha podido llamar a la API drive.files.patch; error: File not found: Barco De Ávila; Emails Sent: [To: daperador@scoutsdemadrid.org]; Manually run by daperador@scoutsdemadrid.org; Timestamp: Nov 11 2019 6:39 AM</t>
  </si>
  <si>
    <t>Alicante</t>
  </si>
  <si>
    <t>Almería</t>
  </si>
  <si>
    <t>Badajoz</t>
  </si>
  <si>
    <t>Baleares</t>
  </si>
  <si>
    <t>Barcelona</t>
  </si>
  <si>
    <t>Cádiz</t>
  </si>
  <si>
    <t>Castellón</t>
  </si>
  <si>
    <t>Ceuta</t>
  </si>
  <si>
    <t>Ciudad Real</t>
  </si>
  <si>
    <t>Córdoba</t>
  </si>
  <si>
    <t>Gipuzkoa</t>
  </si>
  <si>
    <t>Girona</t>
  </si>
  <si>
    <t>Huelva</t>
  </si>
  <si>
    <t>Madre Del Rosario</t>
  </si>
  <si>
    <t xml:space="preserve">gs.madredelrosario@scoutsdemadrid.org </t>
  </si>
  <si>
    <t>Jaén</t>
  </si>
  <si>
    <t>Santa María De La Alameda</t>
  </si>
  <si>
    <t>Camping Valle Enmedio SL</t>
  </si>
  <si>
    <t>Las Palmas</t>
  </si>
  <si>
    <t>8214601UL9081S001HX</t>
  </si>
  <si>
    <t>(40.6569275, -4.2025870)</t>
  </si>
  <si>
    <t>Ayuntamiento de Santa María de la Alameda</t>
  </si>
  <si>
    <t>Lérida</t>
  </si>
  <si>
    <t>reservas@vallenmedio.com</t>
  </si>
  <si>
    <t>WC + Lavabos</t>
  </si>
  <si>
    <t>Tienda, recepción, restaurante, lavaderos, wc</t>
  </si>
  <si>
    <t>Si, Materiales Barsega (Las Navas del Marqués)</t>
  </si>
  <si>
    <t>Málaga</t>
  </si>
  <si>
    <t>Muy buena zona de acampada con instalaciones</t>
  </si>
  <si>
    <t>18Hzqpcct39HO2d2hoUMWdQtUPK8QMzZ2</t>
  </si>
  <si>
    <t>Melilla</t>
  </si>
  <si>
    <t>https://drive.google.com/a/scoutsdemadrid.org/file/d/18Hzqpcct39HO2d2hoUMWdQtUPK8QMzZ2/view?usp=drivesdk</t>
  </si>
  <si>
    <t>Murcia</t>
  </si>
  <si>
    <t>Navarra</t>
  </si>
  <si>
    <t>Ourense</t>
  </si>
  <si>
    <t>Pontevedra</t>
  </si>
  <si>
    <t>Santa Cruz de Tenerife</t>
  </si>
  <si>
    <t>Sevilla</t>
  </si>
  <si>
    <t>Tarragona</t>
  </si>
  <si>
    <t>Toledo</t>
  </si>
  <si>
    <t>Document successfully created; Document successfully merged; PDF created; !!!ERR: Failed to add merged file to folder due to Google error: No se ha podido llamar a la API drive.files.patch; error: File not found: Santa María De La Alameda; Emails Sent: [To: daperador@scoutsdemadrid.org]; Manually run by daperador@scoutsdemadrid.org; Timestamp: Nov 11 2019 6:39 AM</t>
  </si>
  <si>
    <t>Valladolid</t>
  </si>
  <si>
    <t>Zaragoza</t>
  </si>
  <si>
    <t>Orion</t>
  </si>
  <si>
    <t xml:space="preserve">gs.orion@scoutsdemadrid.org </t>
  </si>
  <si>
    <t>Burgohondo</t>
  </si>
  <si>
    <t>LA MATA - EL PINAR</t>
  </si>
  <si>
    <t>http://goo.gl/maps/I4zW</t>
  </si>
  <si>
    <t>1KgWWyyjP7kks1wxs63pb-YVnDQfXfGIO</t>
  </si>
  <si>
    <t>https://drive.google.com/a/scoutsdemadrid.org/file/d/1KgWWyyjP7kks1wxs63pb-YVnDQfXfGIO/view?usp=drivesdk</t>
  </si>
  <si>
    <t>Document successfully created; Document successfully merged; PDF created; !!!ERR: Failed to add merged file to folder due to Google error: No se ha podido llamar a la API drive.files.patch; error: File not found: Burgohondo; Emails Sent: [To: daperador@scoutsdemadrid.org]; Manually run by daperador@scoutsdemadrid.org; Timestamp: Nov 11 2019 6:39 AM</t>
  </si>
  <si>
    <t>Orión</t>
  </si>
  <si>
    <t>Mombeltrán</t>
  </si>
  <si>
    <t>Prados Abiertos</t>
  </si>
  <si>
    <t xml:space="preserve">N 40º 13´ 54´´ - W 5º 2´ 1´´ </t>
  </si>
  <si>
    <t>Camping Prados Abiertos</t>
  </si>
  <si>
    <t>info@pradosabiertos.com</t>
  </si>
  <si>
    <t>60 € / quincena y persona</t>
  </si>
  <si>
    <t>50 metros</t>
  </si>
  <si>
    <t>Piscina</t>
  </si>
  <si>
    <t>Comedor, cocina, wc, duchas, piscina</t>
  </si>
  <si>
    <t>Zona de campamento independiente, con muchas sombras, explanadas, piscina, instalaciones</t>
  </si>
  <si>
    <t>1IxofbD9pa0WGxNedbktwV4xfQtR6zdfT</t>
  </si>
  <si>
    <t>https://drive.google.com/a/scoutsdemadrid.org/file/d/1IxofbD9pa0WGxNedbktwV4xfQtR6zdfT/view?usp=drivesdk</t>
  </si>
  <si>
    <t>Document successfully created; Document successfully merged; PDF created; !!!ERR: Failed to add merged file to folder due to Google error: No se ha podido llamar a la API drive.files.patch; error: File not found: Mombeltrán; Emails Sent: [To: daperador@scoutsdemadrid.org]; Manually run by daperador@scoutsdemadrid.org; Timestamp: Nov 11 2019 6:40 AM</t>
  </si>
  <si>
    <t>Paz</t>
  </si>
  <si>
    <t>Galende</t>
  </si>
  <si>
    <t>Peña Gullón</t>
  </si>
  <si>
    <t>N 42º 07' 04" / O 6º 41' 29"</t>
  </si>
  <si>
    <t>1Dh7zvIuCUHi7Jh5ca20cbJEPRxqPQ8gS</t>
  </si>
  <si>
    <t>https://drive.google.com/a/scoutsdemadrid.org/file/d/1Dh7zvIuCUHi7Jh5ca20cbJEPRxqPQ8gS/view?usp=drivesdk</t>
  </si>
  <si>
    <t>Document successfully created; Document successfully merged; PDF created; !!!ERR: Failed to add merged file to folder due to Google error: No se ha podido llamar a la API drive.files.patch; error: File not found: Galende; Emails Sent: [To: daperador@scoutsdemadrid.org]; Manually run by daperador@scoutsdemadrid.org; Timestamp: Nov 11 2019 6:40 AM</t>
  </si>
  <si>
    <t>San Pedro De Gaíllos</t>
  </si>
  <si>
    <t>"Cazada 6435"</t>
  </si>
  <si>
    <t>N: 41º 13' 37"; O: 3º 48' 33"</t>
  </si>
  <si>
    <t>Ayuntamiento de San Pedro de Gaíllos</t>
  </si>
  <si>
    <t>Principado de Asturias</t>
  </si>
  <si>
    <t>aytospedro@gmail.com</t>
  </si>
  <si>
    <t>a 1km escaso (se encuentra en el pueblo)</t>
  </si>
  <si>
    <t>Es la piscina municipal</t>
  </si>
  <si>
    <t>Canarias</t>
  </si>
  <si>
    <t>Cuenta con baños y un kiosko</t>
  </si>
  <si>
    <t>Nunca lo hemos necesitado, no sé</t>
  </si>
  <si>
    <t>Para nosotros que somos un grupo pequeño es muy cómodo. Tiene baños, fregaderos y una pequeña casita con nevera. Para grupos grandes puede resultar demasiado pequeño</t>
  </si>
  <si>
    <t>1t3xVntAHapQY5aIfyhx__39XemGINgNL</t>
  </si>
  <si>
    <t>https://drive.google.com/a/scoutsdemadrid.org/file/d/1t3xVntAHapQY5aIfyhx__39XemGINgNL/view?usp=drivesdk</t>
  </si>
  <si>
    <t>Castilla-La Mancha</t>
  </si>
  <si>
    <t>Cataluña</t>
  </si>
  <si>
    <t>Extremadura</t>
  </si>
  <si>
    <t>Galicia</t>
  </si>
  <si>
    <t>Comunidad de Madrid</t>
  </si>
  <si>
    <t>Región de Murcia</t>
  </si>
  <si>
    <t>Comunidad Foral de Navarra</t>
  </si>
  <si>
    <t>País Vasco</t>
  </si>
  <si>
    <t>Comunidad Valenciana</t>
  </si>
  <si>
    <t>Document successfully created; Document successfully merged; PDF created; !!!ERR: Failed to add merged file to folder due to Google error: No se ha podido llamar a la API drive.files.patch; error: File not found: San Pedro De Gaíllos; Emails Sent: [To: daperador@scoutsdemadrid.org]; Manually run by daperador@scoutsdemadrid.org; Timestamp: Nov 11 2019 6:40 AM</t>
  </si>
  <si>
    <t>1O-A_9LhOILQnLLKbe5Hm2j2XNObFm6OS</t>
  </si>
  <si>
    <t>https://drive.google.com/a/scoutsdemadrid.org/file/d/1O-A_9LhOILQnLLKbe5Hm2j2XNObFm6OS/view?usp=drivesdk</t>
  </si>
  <si>
    <t>Las Cepedillas 2</t>
  </si>
  <si>
    <t>Salvador</t>
  </si>
  <si>
    <t>rumbospromocionactividades@gmail.com</t>
  </si>
  <si>
    <t>10 minutos andando</t>
  </si>
  <si>
    <t>pozas con muy buena accesibilidad, tranquilas son mucha corriente</t>
  </si>
  <si>
    <t>baños, duchas, comedor, cocina y fregaderos</t>
  </si>
  <si>
    <t>Muy buena zona de acampada y zona natural magnifica</t>
  </si>
  <si>
    <t>17ZQcBxq5CX_b-ti0d4lcwurAygWdaZqo</t>
  </si>
  <si>
    <t>https://drive.google.com/a/scoutsdemadrid.org/file/d/17ZQcBxq5CX_b-ti0d4lcwurAygWdaZqo/view?usp=drivesdk</t>
  </si>
  <si>
    <t>Document successfully created; Document successfully merged; PDF created; !!!ERR: Failed to add merged file to folder due to Google error: No se ha podido llamar a la API drive.files.patch; error: File not found: Hoyos Del Espino; Emails Sent: [To: daperador@scoutsdemadrid.org]; Manually run by daperador@scoutsdemadrid.org; Timestamp: Nov 11 2019 6:40 AM</t>
  </si>
  <si>
    <t>Aguilar De Campoo</t>
  </si>
  <si>
    <t>Camping Monte Royal</t>
  </si>
  <si>
    <t>001901100UN93G</t>
  </si>
  <si>
    <t>42º47'11.04" Latitud/ -4º18'3.348" Longitud</t>
  </si>
  <si>
    <t>Alberto Fuentevilla Estrada</t>
  </si>
  <si>
    <t>info@campingmonteroyal.com</t>
  </si>
  <si>
    <t>4 euros por día y persona</t>
  </si>
  <si>
    <t>No nos consta</t>
  </si>
  <si>
    <t>menos de 1 kilometro</t>
  </si>
  <si>
    <t>Menos de 1 kilometro</t>
  </si>
  <si>
    <t>Edificio de Baños con duchas y fregaderos</t>
  </si>
  <si>
    <t>Es una zona preciosa y muy tranquila, no demasiado grande. Que el embalse esté tan cerca es genial.</t>
  </si>
  <si>
    <t>1qvKRKy8DbXsvrB-WYMNKZyjSWdnr2BiM</t>
  </si>
  <si>
    <t>https://drive.google.com/a/scoutsdemadrid.org/file/d/1qvKRKy8DbXsvrB-WYMNKZyjSWdnr2BiM/view?usp=drivesdk</t>
  </si>
  <si>
    <t>Document successfully created; Document successfully merged; PDF created; !!!ERR: Failed to add merged file to folder due to Google error: No se ha podido llamar a la API drive.files.patch; error: File not found: Aguilar De Campoo; Emails Sent: [To: daperador@scoutsdemadrid.org]; Manually run by daperador@scoutsdemadrid.org; Timestamp: Nov 11 2019 6:40 AM</t>
  </si>
  <si>
    <t>Riello</t>
  </si>
  <si>
    <t>Trascastro de Luna</t>
  </si>
  <si>
    <t>1MVddqn8iTVYw25O2WE0zja8zm1oaXAkn</t>
  </si>
  <si>
    <t>https://drive.google.com/a/scoutsdemadrid.org/file/d/1MVddqn8iTVYw25O2WE0zja8zm1oaXAkn/view?usp=drivesdk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</si>
  <si>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6:40 AM</t>
  </si>
  <si>
    <t>Pinar</t>
  </si>
  <si>
    <t>Finca ayuntamiento acebedo</t>
  </si>
  <si>
    <t>1P_MowlVaWbRcTyjuqsmApGRwkZ8JS9jj</t>
  </si>
  <si>
    <t>https://drive.google.com/a/scoutsdemadrid.org/file/d/1P_MowlVaWbRcTyjuqsmApGRwkZ8JS9jj/view?usp=drivesdk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</si>
  <si>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6:41 AM</t>
  </si>
  <si>
    <t>Quetzal</t>
  </si>
  <si>
    <t xml:space="preserve">gs.quetzal@scoutsdemadrid.org </t>
  </si>
  <si>
    <t>Muelas De Los Caballeros</t>
  </si>
  <si>
    <t>Peña La Vega</t>
  </si>
  <si>
    <t>11O_aPaZRiagoo6qD0sYBjX-S0FnhLX6H</t>
  </si>
  <si>
    <t>https://drive.google.com/a/scoutsdemadrid.org/file/d/11O_aPaZRiagoo6qD0sYBjX-S0FnhLX6H/view?usp=drivesdk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</si>
  <si>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6:41 AM</t>
  </si>
  <si>
    <t xml:space="preserve">gs.samasabecalasancio@scoutsdemadrid.org </t>
  </si>
  <si>
    <t>Vinuesa</t>
  </si>
  <si>
    <t>41°56'02.5"N 2°46'02.3"W</t>
  </si>
  <si>
    <t>Ayuntamiento de Vinuesa</t>
  </si>
  <si>
    <t>1qyf5ZlfwCJbJkTJeii8eo0nZn5PrbC_P</t>
  </si>
  <si>
    <t>https://drive.google.com/a/scoutsdemadrid.org/file/d/1qyf5ZlfwCJbJkTJeii8eo0nZn5PrbC_P/view?usp=drivesdk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</si>
  <si>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6:41 AM</t>
  </si>
  <si>
    <t>Los Llanos De Tormes</t>
  </si>
  <si>
    <t>PRADO DE LA VEGA</t>
  </si>
  <si>
    <t>X:293.520,20 Y:4.467.284,67</t>
  </si>
  <si>
    <t xml:space="preserve">DANIEL MARTIN BERMEJO </t>
  </si>
  <si>
    <t>NO TIENE</t>
  </si>
  <si>
    <t>1100€/QUINCENA</t>
  </si>
  <si>
    <t>6,5 Ha</t>
  </si>
  <si>
    <t>ZONA BAÑO:EL RIO TORMES PASA A POCA DISTANCIA DEL CAMPAMENTO, POR UN LATERAL DE LA CAMPA, MARCANDO EL LÍMITE DE ESTA</t>
  </si>
  <si>
    <t>EL CAMPAMENTO TIENE AMPLIAS ZONAS DE BAÑO EN LAS ORILLAS DEL RIO.</t>
  </si>
  <si>
    <t>CAMPA MUY AMPLIA, EN MUCHA PARTE LLANA Y DIAFANA, OTRA PARTE CON UN PEQUEÑO ROBLEDAL QUE PROPORCIONA SOMBRA. PASA EL RIO TORMES CERCA DE LA CAMPA, POR LO QUE TIENE AMPLIAS ZONAS DE BAÑO.</t>
  </si>
  <si>
    <t>1QUFrUOxyBX8lANqUN6_EX08OIIAQVDBL</t>
  </si>
  <si>
    <t>https://drive.google.com/a/scoutsdemadrid.org/file/d/1QUFrUOxyBX8lANqUN6_EX08OIIAQVDBL/view?usp=drivesdk</t>
  </si>
  <si>
    <t>Document successfully created; Document successfully merged; PDF created; !!!ERR: Failed to add merged file to folder due to Google error: No se ha podido llamar a la API drive.files.patch; error: File not found: Los Llanos De Tormes; Emails Sent: [To: daperador@scoutsdemadrid.org]; Manually run by daperador@scoutsdemadrid.org; Timestamp: Nov 11 2019 6:41 AM</t>
  </si>
  <si>
    <t>Peguerinos</t>
  </si>
  <si>
    <t>Campamento Peñas Blancas</t>
  </si>
  <si>
    <t>(Enviaremos la información cuando tengamos el dato)</t>
  </si>
  <si>
    <t>40 °   38 '   47.371 '' Latitud     -4 °   10 '   45.001 '' Longitud</t>
  </si>
  <si>
    <t>Campamentos Peñas Blancas</t>
  </si>
  <si>
    <t>91 701 01 31 / 659 81 42 58</t>
  </si>
  <si>
    <t>campamento@penasblancas.net</t>
  </si>
  <si>
    <t>15,5€ día por persona pensión completa</t>
  </si>
  <si>
    <t>21 hectáreas</t>
  </si>
  <si>
    <t>Piscina de 12,5 * 25 metros</t>
  </si>
  <si>
    <t>Piscina con su correspondiente depuradora y zona de uso con pradera y vallada. Socorrista permanentemente.</t>
  </si>
  <si>
    <t>Baños, duchas, cocina, comedor, sala de audición y biblioteca-</t>
  </si>
  <si>
    <t>Explanada amplia con sombra y disponibilidad de plantar tiendas. Cuenta con pensión completa, servicio sanitario 24h</t>
  </si>
  <si>
    <t>1YDm3VZDAk7gg5ffCMQPBrMK2oWwBjg_t</t>
  </si>
  <si>
    <t>https://drive.google.com/a/scoutsdemadrid.org/file/d/1YDm3VZDAk7gg5ffCMQPBrMK2oWwBjg_t/view?usp=drivesdk</t>
  </si>
  <si>
    <t>Document successfully created; Document successfully merged; PDF created; !!!ERR: Failed to add merged file to folder due to Google error: No se ha podido llamar a la API drive.files.patch; error: File not found: Peguerinos; Emails Sent: [To: daperador@scoutsdemadrid.org]; Manually run by daperador@scoutsdemadrid.org; Timestamp: Nov 11 2019 6:41 AM</t>
  </si>
  <si>
    <t>San Agustín</t>
  </si>
  <si>
    <t>Butrera</t>
  </si>
  <si>
    <t>Campamento Molino de Butrera</t>
  </si>
  <si>
    <t>se desconoce</t>
  </si>
  <si>
    <t>Campamento Molino de Butrera SL</t>
  </si>
  <si>
    <t>molino@butrera.es</t>
  </si>
  <si>
    <t>15 € persona/dia</t>
  </si>
  <si>
    <t xml:space="preserve">canal y rio con zonas accesibles </t>
  </si>
  <si>
    <t>baños , duchas comedor ,zona deportiva y salas de usos multiples</t>
  </si>
  <si>
    <t xml:space="preserve">no </t>
  </si>
  <si>
    <t xml:space="preserve">muy agradables y aspecto excelente ,en pagina web , se comparte con otros grupos tienen tambien cabañas </t>
  </si>
  <si>
    <t>1W4wfvnQ0IX77g1W5Amotkbqwrm2DncKw</t>
  </si>
  <si>
    <t>https://drive.google.com/a/scoutsdemadrid.org/file/d/1W4wfvnQ0IX77g1W5Amotkbqwrm2DncKw/view?usp=drivesdk</t>
  </si>
  <si>
    <t>Document successfully created; Document successfully merged; PDF created; !!!ERR: Failed to add merged file to folder due to Google error: No se ha podido llamar a la API drive.files.patch; error: File not found: Butrera; Emails Sent: [To: daperador@scoutsdemadrid.org]; Manually run by daperador@scoutsdemadrid.org; Timestamp: Nov 11 2019 6:41 AM</t>
  </si>
  <si>
    <t>San Gabriel</t>
  </si>
  <si>
    <t xml:space="preserve">gs.sangabriel@scoutsdemadrid.org </t>
  </si>
  <si>
    <t>Navarredonda De Gredos</t>
  </si>
  <si>
    <t>Navatormes</t>
  </si>
  <si>
    <t>Ayuntamiento de Navarredonda de Gredos</t>
  </si>
  <si>
    <t>Zona de nacimiento del rio Tormes</t>
  </si>
  <si>
    <t>Si. Cocina, baños,comedor y cercado alrededor de la finca</t>
  </si>
  <si>
    <t>1Hnv4osIxcPViESTeMEkvhUiWZXrWHD6m</t>
  </si>
  <si>
    <t>https://drive.google.com/a/scoutsdemadrid.org/file/d/1Hnv4osIxcPViESTeMEkvhUiWZXrWHD6m/view?usp=drivesdk</t>
  </si>
  <si>
    <t>Document successfully created; Document successfully merged; PDF created; !!!ERR: Failed to add merged file to folder due to Google error: No se ha podido llamar a la API drive.files.patch; error: File not found: 2017; Emails Sent: [To: daperador@scoutsdemadrid.org]; Manually run by daperador@scoutsdemadrid.org; Timestamp: Nov 11 2019 6:42 AM</t>
  </si>
  <si>
    <t>1lW4NsZU88QKQBhEBZQpJut6VAEAnUjOQ</t>
  </si>
  <si>
    <t>https://drive.google.com/a/scoutsdemadrid.org/file/d/1lW4NsZU88QKQBhEBZQpJut6VAEAnUjOQ/view?usp=drivesdk</t>
  </si>
  <si>
    <t>Las piezas de GREDOS</t>
  </si>
  <si>
    <t>05037A005110000BT</t>
  </si>
  <si>
    <t>LATITUD: 40º18´50,87´´ LONGITUD: 5º25´55,98´´</t>
  </si>
  <si>
    <t>ASOCIACIÓN LAS PIEZAS DE GREDOS</t>
  </si>
  <si>
    <t>laspiezasdegredos@gmail.com</t>
  </si>
  <si>
    <t>4€persona/dia</t>
  </si>
  <si>
    <t>70 áreas</t>
  </si>
  <si>
    <t>200m</t>
  </si>
  <si>
    <t>garganta de bohoyo (río tormes)</t>
  </si>
  <si>
    <t>baños, cocina, comedor</t>
  </si>
  <si>
    <t>Sí, en Barco de ÁVILA</t>
  </si>
  <si>
    <t>Campa del grupo scout Calasanz de Salamanca. Buenas instalaciones y gestionado por una asociación con antiguos scouts.</t>
  </si>
  <si>
    <t>1M-ner2FCpbzDBMvGN6I_kGs7d8-GYPr9</t>
  </si>
  <si>
    <t>https://drive.google.com/a/scoutsdemadrid.org/file/d/1M-ner2FCpbzDBMvGN6I_kGs7d8-GYPr9/view?usp=drivesdk</t>
  </si>
  <si>
    <t>Document successfully created; Document successfully merged; PDF created; !!!ERR: Failed to add merged file to folder due to Google error: No se ha podido llamar a la API drive.files.patch; error: File not found: Bohoyo; Emails Sent: [To: daperador@scoutsdemadrid.org]; Manually run by daperador@scoutsdemadrid.org; Timestamp: Nov 11 2019 6:42 AM</t>
  </si>
  <si>
    <t>San Jorge</t>
  </si>
  <si>
    <t>gs.sanjorge@scoutsdemadrid.org</t>
  </si>
  <si>
    <t>Manzanal De Arriba</t>
  </si>
  <si>
    <t>Ayuntamiento de Manzanal de Arriba</t>
  </si>
  <si>
    <t>es un embalse con bastante seguridad en el acceso</t>
  </si>
  <si>
    <t>no</t>
  </si>
  <si>
    <t>1SX08W-o4RBdsFMMuBCUykFK52BPKCw_X</t>
  </si>
  <si>
    <t>https://drive.google.com/a/scoutsdemadrid.org/file/d/1SX08W-o4RBdsFMMuBCUykFK52BPKCw_X/view?usp=drivesdk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</si>
  <si>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6:42 AM</t>
  </si>
  <si>
    <t>La Ñalsa</t>
  </si>
  <si>
    <t>41, 9793232-6, 3678770</t>
  </si>
  <si>
    <t>Abel Lorenzo Sotelo</t>
  </si>
  <si>
    <t>1 hectárea y media aproximadamente</t>
  </si>
  <si>
    <t>1HjZcqU3CArogq-09QH1YWjztgwM7xJPk</t>
  </si>
  <si>
    <t>https://drive.google.com/a/scoutsdemadrid.org/file/d/1HjZcqU3CArogq-09QH1YWjztgwM7xJPk/view?usp=drivesdk</t>
  </si>
  <si>
    <t>La Riviera</t>
  </si>
  <si>
    <t>No se</t>
  </si>
  <si>
    <t>N: 40º 14' 13.758'' ' O: 4º 50' 21.12''</t>
  </si>
  <si>
    <t>JESUS FERNANDEZ VARA,</t>
  </si>
  <si>
    <t>jramon@informaticasil.com</t>
  </si>
  <si>
    <t>800 + 10%</t>
  </si>
  <si>
    <t>grande</t>
  </si>
  <si>
    <t>rio</t>
  </si>
  <si>
    <t>bueno</t>
  </si>
  <si>
    <t>1vVoooUHqWf4N38az4IoQwy1sGJvQfvEv</t>
  </si>
  <si>
    <t>https://drive.google.com/a/scoutsdemadrid.org/file/d/1vVoooUHqWf4N38az4IoQwy1sGJvQfvEv/view?usp=drivesdk</t>
  </si>
  <si>
    <t>Document successfully created; Document successfully merged; PDF created; !!!ERR: Failed to add merged file to folder due to Google error: No se ha podido llamar a la API drive.files.patch; error: File not found: Gavilanes; Emails Sent: [To: daperador@scoutsdemadrid.org]; Manually run by daperador@scoutsdemadrid.org; Timestamp: Nov 11 2019 6:42 AM</t>
  </si>
  <si>
    <t>Ruesga</t>
  </si>
  <si>
    <t>La Valleja</t>
  </si>
  <si>
    <t>42°51'50.8"N 4°32'20.0"W</t>
  </si>
  <si>
    <t>Ángel Simal</t>
  </si>
  <si>
    <t>Embalse de Ruesga</t>
  </si>
  <si>
    <t>10_CteG2ZZiozUYGLj7eBVacYK9jJZ5wu</t>
  </si>
  <si>
    <t>https://drive.google.com/a/scoutsdemadrid.org/file/d/10_CteG2ZZiozUYGLj7eBVacYK9jJZ5wu/view?usp=drivesdk</t>
  </si>
  <si>
    <t>Document successfully created; Document successfully merged; PDF created; !!!ERR: Failed to add merged file to folder due to Google error: No se ha podido llamar a la API drive.files.patch; error: File not found: Ruesga; Emails Sent: [To: daperador@scoutsdemadrid.org]; Manually run by daperador@scoutsdemadrid.org; Timestamp: Nov 11 2019 6:42 AM</t>
  </si>
  <si>
    <t>La Cueta</t>
  </si>
  <si>
    <t>Trescueñas</t>
  </si>
  <si>
    <t>24030A023002260000EY</t>
  </si>
  <si>
    <t>42°59'10.9"N 6°12'27.1"W</t>
  </si>
  <si>
    <t>Rufino Blanco</t>
  </si>
  <si>
    <t>1,12 ha</t>
  </si>
  <si>
    <t>No hay</t>
  </si>
  <si>
    <t>No sabemos si el dueño está de acuerdo en compartir sus datos de contacto. La campa no tiene zona de baño, está cerca del río Sil pero no cubre mucho en esa zona. No hay mucha sombra en la zona, en la campa hay algunos árboles</t>
  </si>
  <si>
    <t>1afHeJ9dNS4haeXSgFzEPjs-NyamAt9uA</t>
  </si>
  <si>
    <t>https://drive.google.com/a/scoutsdemadrid.org/file/d/1afHeJ9dNS4haeXSgFzEPjs-NyamAt9uA/view?usp=drivesdk</t>
  </si>
  <si>
    <t>Document successfully created; Document successfully merged; PDF created; !!!ERR: Failed to add merged file to folder due to Google error: No se ha podido llamar a la API drive.files.patch; error: File not found: La Cueta; Emails Sent: [To: daperador@scoutsdemadrid.org]; Manually run by daperador@scoutsdemadrid.org; Timestamp: Nov 11 2019 6:43 AM</t>
  </si>
  <si>
    <t>San Pedro</t>
  </si>
  <si>
    <t xml:space="preserve">Mombeltran </t>
  </si>
  <si>
    <t xml:space="preserve">campamento los sauces </t>
  </si>
  <si>
    <t xml:space="preserve">juan carlos gomez sanchez </t>
  </si>
  <si>
    <t xml:space="preserve"> mariapidal@act-educo.com</t>
  </si>
  <si>
    <t>16JjFIr5h3o_1gv0VJtZM6aNmJrv2XaAY</t>
  </si>
  <si>
    <t>https://drive.google.com/a/scoutsdemadrid.org/file/d/16JjFIr5h3o_1gv0VJtZM6aNmJrv2XaAY/view?usp=drivesdk</t>
  </si>
  <si>
    <t>Document successfully created; Document successfully merged; PDF created; !!!ERR: Failed to add merged file to folder due to Google error: No se ha podido llamar a la API drive.files.patch; error: File not found: Mombeltran; Emails Sent: [To: daperador@scoutsdemadrid.org]; Manually run by daperador@scoutsdemadrid.org; Timestamp: Nov 11 2019 6:43 AM</t>
  </si>
  <si>
    <t>1VvucP_O55Lg44pToKwLvqBufdg1ft9rF</t>
  </si>
  <si>
    <t>https://drive.google.com/a/scoutsdemadrid.org/file/d/1VvucP_O55Lg44pToKwLvqBufdg1ft9rF/view?usp=drivesdk</t>
  </si>
  <si>
    <t>San Viator</t>
  </si>
  <si>
    <t>Casavieja</t>
  </si>
  <si>
    <t xml:space="preserve"> Pradera de los Orcos</t>
  </si>
  <si>
    <t>https://maps.google.es/maps?q=pradera+de+los+orcos+casavieja&amp;ie=UTF-8&amp;hl=es</t>
  </si>
  <si>
    <t>1QJMnyg4-uy8MSg2miv_VQfR0BXlgaDCj</t>
  </si>
  <si>
    <t>https://drive.google.com/a/scoutsdemadrid.org/file/d/1QJMnyg4-uy8MSg2miv_VQfR0BXlgaDCj/view?usp=drivesdk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</si>
  <si>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6:43 AM</t>
  </si>
  <si>
    <t>Santa María Del Pilar</t>
  </si>
  <si>
    <t>gs.santamariadelpilar@scoutsdemadrid.org</t>
  </si>
  <si>
    <t>Abejar</t>
  </si>
  <si>
    <t>Pinar Grande - Agua Buena</t>
  </si>
  <si>
    <t>http://goo.gl/maps/mxab</t>
  </si>
  <si>
    <t>1MGvaM1coCXwAyIx7OGOPNBriHRXOrMXP</t>
  </si>
  <si>
    <t>https://drive.google.com/a/scoutsdemadrid.org/file/d/1MGvaM1coCXwAyIx7OGOPNBriHRXOrMXP/view?usp=drivesdk</t>
  </si>
  <si>
    <t>Navaleno</t>
  </si>
  <si>
    <t>AguaBuena</t>
  </si>
  <si>
    <t>41.864789,-2.861678</t>
  </si>
  <si>
    <t>1h_r8IGMWHVr9giinbdFRy862Q-x5TBu3</t>
  </si>
  <si>
    <t>https://drive.google.com/a/scoutsdemadrid.org/file/d/1h_r8IGMWHVr9giinbdFRy862Q-x5TBu3/view?usp=drivesdk</t>
  </si>
  <si>
    <t>Document successfully created; Document successfully merged; PDF created; !!!ERR: Failed to add merged file to folder due to Google error: No se ha podido llamar a la API drive.files.patch; error: File not found: Navaleno; Emails Sent: [To: daperador@scoutsdemadrid.org]; Manually run by daperador@scoutsdemadrid.org; Timestamp: Nov 11 2019 6:43 AM</t>
  </si>
  <si>
    <t>Tolbaños De Abajo</t>
  </si>
  <si>
    <t>La Tejera</t>
  </si>
  <si>
    <t>42.087925,-3.127658</t>
  </si>
  <si>
    <t>José María Burgos de Pablo</t>
  </si>
  <si>
    <t>valledevaldelaguna@diputaciondeburgos.net</t>
  </si>
  <si>
    <t>Presa manual que inunda una zona que sirve como poza</t>
  </si>
  <si>
    <t>1fYyO5-zHZNwo7Mknout5ZFfJWrFel0N8</t>
  </si>
  <si>
    <t>https://drive.google.com/a/scoutsdemadrid.org/file/d/1fYyO5-zHZNwo7Mknout5ZFfJWrFel0N8/view?usp=drivesdk</t>
  </si>
  <si>
    <t>Document successfully created; Document successfully merged; PDF created; !!!ERR: Failed to add merged file to folder due to Google error: No se ha podido llamar a la API drive.files.patch; error: File not found: Tolbaños De Abajo; Emails Sent: [To: daperador@scoutsdemadrid.org]; Manually run by daperador@scoutsdemadrid.org; Timestamp: Nov 11 2019 6:44 AM</t>
  </si>
  <si>
    <t>1nQUDtfHJTZz0BynK7XihoexuBVqB-zjA</t>
  </si>
  <si>
    <t>https://drive.google.com/a/scoutsdemadrid.org/file/d/1nQUDtfHJTZz0BynK7XihoexuBVqB-zjA/view?usp=drivesdk</t>
  </si>
  <si>
    <t>1AhYfq20pWWAH7Bb0ACKkajHowI064zaG</t>
  </si>
  <si>
    <t>https://drive.google.com/a/scoutsdemadrid.org/file/d/1AhYfq20pWWAH7Bb0ACKkajHowI064zaG/view?usp=drivesdk</t>
  </si>
  <si>
    <t>Document successfully created; Document successfully merged; PDF created; !!!ERR: Failed to add merged file to folder due to Google error: No se ha podido llamar a la API drive.files.patch; error: File not found: Covaleda; Emails Sent: [To: daperador@scoutsdemadrid.org]; Manually run by daperador@scoutsdemadrid.org; Timestamp: Nov 11 2019 6:44 AM</t>
  </si>
  <si>
    <t>Aguabuena</t>
  </si>
  <si>
    <t>Pinar Grande, Aguabuena</t>
  </si>
  <si>
    <t>41.865080, -2.861275</t>
  </si>
  <si>
    <t>Mancomunidad de los 150 pueblos</t>
  </si>
  <si>
    <t>100km</t>
  </si>
  <si>
    <t>Por el campamento pasa un rio pequeño. A 7km está el embalse cuerda del pozo que está muy bien para bañarse</t>
  </si>
  <si>
    <t>un refugio cercano</t>
  </si>
  <si>
    <t>si, gran pinar</t>
  </si>
  <si>
    <t>1ZFAgHcRluL3aF5AiXzvR3E8EOtzFRLtB</t>
  </si>
  <si>
    <t>https://drive.google.com/a/scoutsdemadrid.org/file/d/1ZFAgHcRluL3aF5AiXzvR3E8EOtzFRLtB/view?usp=drivesdk</t>
  </si>
  <si>
    <t>Document successfully created; Document successfully merged; PDF created; !!!ERR: Failed to add merged file to folder due to Google error: No se ha podido llamar a la API drive.files.patch; error: File not found: Aguabuena; Emails Sent: [To: daperador@scoutsdemadrid.org]; Manually run by daperador@scoutsdemadrid.org; Timestamp: Nov 11 2019 6:44 AM</t>
  </si>
  <si>
    <t>Agua Buena</t>
  </si>
  <si>
    <t>41.865052, -2.861503</t>
  </si>
  <si>
    <t>Ayuntamiento de Soria</t>
  </si>
  <si>
    <t>975 234 100</t>
  </si>
  <si>
    <t>d</t>
  </si>
  <si>
    <t>300 m</t>
  </si>
  <si>
    <t>101PvOZoGNSnSlEjkE7VEwbf-7zLIqOob</t>
  </si>
  <si>
    <t>https://drive.google.com/a/scoutsdemadrid.org/file/d/101PvOZoGNSnSlEjkE7VEwbf-7zLIqOob/view?usp=drivesdk</t>
  </si>
  <si>
    <t>Document successfully created; Document successfully merged; PDF created; !!!ERR: Failed to add merged file to folder due to Google error: No se ha podido llamar a la API drive.files.patch; error: File not found: Abejar; Emails Sent: [To: daperador@scoutsdemadrid.org]; Manually run by daperador@scoutsdemadrid.org; Timestamp: Nov 11 2019 6:44 AM</t>
  </si>
  <si>
    <t>Monte 172 Pinar Grande, Agua buena</t>
  </si>
  <si>
    <t>Monte 172</t>
  </si>
  <si>
    <t>41.865008, -2.861885</t>
  </si>
  <si>
    <t>Ayuntamiento de Soria, Mancomunidad de los 150 pueblos de Soria</t>
  </si>
  <si>
    <t>administracion@casadelatierra.com</t>
  </si>
  <si>
    <t>2090 € por 158 acampados</t>
  </si>
  <si>
    <t>30.000 m2</t>
  </si>
  <si>
    <t>20m</t>
  </si>
  <si>
    <t>Rio poco caudaoloso</t>
  </si>
  <si>
    <t>Llana</t>
  </si>
  <si>
    <t>1YXXkSRX56NuJcUMx3qXZn52JOlxpermA</t>
  </si>
  <si>
    <t>https://drive.google.com/a/scoutsdemadrid.org/file/d/1YXXkSRX56NuJcUMx3qXZn52JOlxpermA/view?usp=drivesdk</t>
  </si>
  <si>
    <t>Document successfully created; Document successfully merged; PDF created; !!!ERR: Failed to add merged file to folder due to Google error: No se ha podido llamar a la API drive.files.patch; error: File not found: Abejar; !!Error Sending Emails: Error al enviar el correo electrónico a daperador@scoutsdemadrid.&lt;?&gt; Vuelve a intentarlo más tarde.; Manually run by daperador@scoutsdemadrid.org; Timestamp: Nov 11 2019 6:45 AM</t>
  </si>
  <si>
    <t>Santa María La Blanca</t>
  </si>
  <si>
    <t xml:space="preserve">gs.santamarialablanca@scoutsdemadrid.org </t>
  </si>
  <si>
    <t>El Hoyo De Pinares</t>
  </si>
  <si>
    <t>El Hoyo de Pinares</t>
  </si>
  <si>
    <t>1kCubC2FcRmGg6IlqhEKlvOtnMydlEswJ</t>
  </si>
  <si>
    <t>https://drive.google.com/a/scoutsdemadrid.org/file/d/1kCubC2FcRmGg6IlqhEKlvOtnMydlEswJ/view?usp=drivesdk</t>
  </si>
  <si>
    <t>Document successfully created; Document successfully merged; PDF created; !!!ERR: Failed to add merged file to folder due to Google error: No se ha podido llamar a la API drive.files.patch; error: File not found: El Hoyo De Pinares; !!Error Sending Emails: Error al enviar el correo electrónico a daperador@scoutsdemadrid.&lt;?&gt; Vuelve a intentarlo más tarde.; Manually run by daperador@scoutsdemadrid.org; Timestamp: Nov 11 2019 6:45 AM</t>
  </si>
  <si>
    <t>Duruelo De La Sierra</t>
  </si>
  <si>
    <t>EL CERRILLO</t>
  </si>
  <si>
    <t>https://maps.google.es/maps?hl=es&amp;authuser=0</t>
  </si>
  <si>
    <t>18InCMCqvqVfkJDsr0LydwHMo0pNk6Kt9</t>
  </si>
  <si>
    <t>https://drive.google.com/a/scoutsdemadrid.org/file/d/18InCMCqvqVfkJDsr0LydwHMo0pNk6Kt9/view?usp=drivesdk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</si>
  <si>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6:45 AM</t>
  </si>
  <si>
    <t>Finca rústica</t>
  </si>
  <si>
    <t>24124A00200217 - 24124A00200293</t>
  </si>
  <si>
    <t>43.048087,-5.278349</t>
  </si>
  <si>
    <t>Andrés Bayón González</t>
  </si>
  <si>
    <t>653 59 67 14</t>
  </si>
  <si>
    <t xml:space="preserve">1,5 hectáreas </t>
  </si>
  <si>
    <t>Río Porma con pequeño paso para su entrada.</t>
  </si>
  <si>
    <t>Prado sin ningún tipo de instalación rodeado por el arroyo Tronisco y el Río Porma, acceso a la LE-333. Dispone de una pequeña colina donde hay un pequeño bosque.</t>
  </si>
  <si>
    <t>1Bjev0iZLc2kL8d5OM5nnZCY3gJo7NqfD</t>
  </si>
  <si>
    <t>https://drive.google.com/a/scoutsdemadrid.org/file/d/1Bjev0iZLc2kL8d5OM5nnZCY3gJo7NqfD/view?usp=drivesdk</t>
  </si>
  <si>
    <t>Document successfully created; Document successfully merged; PDF created; !!!ERR: Failed to add merged file to folder due to Google error: No se ha podido llamar a la API drive.files.patch; error: File not found: 2019; Emails Sent: [To: daperador@scoutsdemadrid.org]; Manually run by daperador@scoutsdemadrid.org; Timestamp: Nov 11 2019 6:45 AM</t>
  </si>
  <si>
    <t>Ultreya</t>
  </si>
  <si>
    <t xml:space="preserve">gs.ultreya@scoutsdemadrid.org </t>
  </si>
  <si>
    <t>Campamento los Sauces</t>
  </si>
  <si>
    <t>EDUCO</t>
  </si>
  <si>
    <t>100 METROS</t>
  </si>
  <si>
    <t>COCINA, COMEDOR, BAÑOS</t>
  </si>
  <si>
    <t xml:space="preserve">SI </t>
  </si>
  <si>
    <t>18eQI81PnrHWA-3MOlJFoTKDkXsa_pwIp</t>
  </si>
  <si>
    <t>https://drive.google.com/a/scoutsdemadrid.org/file/d/18eQI81PnrHWA-3MOlJFoTKDkXsa_pwIp/view?usp=drivesdk</t>
  </si>
  <si>
    <t>Document successfully created; Document successfully merged; PDF created; !!!ERR: Failed to add merged file to folder due to Google error: No se ha podido llamar a la API drive.files.patch; error: File not found: Mombeltrán; !!Error Sending Emails: Error al enviar el correo electrónico a daperador@scoutsdemadrid.&lt;?&gt; Vuelve a intentarlo más tarde.; Manually run by daperador@scoutsdemadrid.org; Timestamp: Nov 11 2019 6:46 AM</t>
  </si>
  <si>
    <t>Candelario</t>
  </si>
  <si>
    <t>LA DEHESA</t>
  </si>
  <si>
    <t>40º 22' 4.966''  5º 44' 40.225''</t>
  </si>
  <si>
    <t>Delegación Territorial de Salamanca Dirección General de Calidad y Sostenibilidad Ambiental</t>
  </si>
  <si>
    <t>923 296 026. Ext. 851724</t>
  </si>
  <si>
    <t>JuaAlcJa@jcyl.es</t>
  </si>
  <si>
    <t>20 € persona/quincena</t>
  </si>
  <si>
    <t>MALO (Solo se puede acceder con todoterreno)</t>
  </si>
  <si>
    <t>regular</t>
  </si>
  <si>
    <t>Baños, cocina y comedor</t>
  </si>
  <si>
    <t>Bastante sombra, tiene un generador</t>
  </si>
  <si>
    <t>1ErBUqxDi5A0VuvRQKMDTkbyt6koSITub</t>
  </si>
  <si>
    <t>https://drive.google.com/a/scoutsdemadrid.org/file/d/1ErBUqxDi5A0VuvRQKMDTkbyt6koSITub/view?usp=drivesdk</t>
  </si>
  <si>
    <t>Document successfully created; Document successfully merged; PDF created; !!!ERR: Failed to add merged file to folder due to Google error: No se ha podido llamar a la API drive.files.patch; error: File not found: 2018; Emails Sent: [To: daperador@scoutsdemadrid.org]; Manually run by daperador@scoutsdemadrid.org; Timestamp: Nov 11 2019 6:46 AM</t>
  </si>
  <si>
    <t>Lagunilla</t>
  </si>
  <si>
    <t>Vallejo La Mata</t>
  </si>
  <si>
    <t>37169A01710001</t>
  </si>
  <si>
    <t>40.319624, -5.972947</t>
  </si>
  <si>
    <t>Ayuntamiento Lagunilla</t>
  </si>
  <si>
    <t>923 41 77 57</t>
  </si>
  <si>
    <t>ayuntamientolagunilla@hotmail.com</t>
  </si>
  <si>
    <t>15 € x persona x quincena</t>
  </si>
  <si>
    <t>cocina y baños</t>
  </si>
  <si>
    <t xml:space="preserve">zona robledal con cocina y baños </t>
  </si>
  <si>
    <t>1m9UVZR49cWNdztmPs7jfimSwxM8vcAUr</t>
  </si>
  <si>
    <t>https://drive.google.com/a/scoutsdemadrid.org/file/d/1m9UVZR49cWNdztmPs7jfimSwxM8vcAUr/view?usp=drivesdk</t>
  </si>
  <si>
    <t>Document successfully created; Document successfully merged; PDF created; !!!ERR: Failed to add merged file to folder due to Google error: No se ha podido llamar a la API drive.files.patch; error: File not found: Lagunilla; Emails Sent: [To: daperador@scoutsdemadrid.org]; Manually run by daperador@scoutsdemadrid.org; Timestamp: Nov 11 2019 6:46 AM</t>
  </si>
  <si>
    <t>latitud: 40º 26' 41,17'' longitud:4º 44' 45,82''</t>
  </si>
  <si>
    <t>Manuela Garcia Garcia</t>
  </si>
  <si>
    <t>Por quincena 700 euros</t>
  </si>
  <si>
    <t>10 Ha</t>
  </si>
  <si>
    <t>3 km</t>
  </si>
  <si>
    <t>Piscina del pueblo</t>
  </si>
  <si>
    <t>Fregadero</t>
  </si>
  <si>
    <t>1QGeXy1Xl4hGK5F0TWnz46lFYe8S5f_yq</t>
  </si>
  <si>
    <t>https://drive.google.com/a/scoutsdemadrid.org/file/d/1QGeXy1Xl4hGK5F0TWnz46lFYe8S5f_yq/view?usp=drivesdk</t>
  </si>
  <si>
    <t>Document successfully created; Document successfully merged; PDF created; !!!ERR: Failed to add merged file to folder due to Google error: No se ha podido llamar a la API drive.files.patch; error: File not found: Navalmoral De La Sierra; Emails Sent: [To: daperador@scoutsdemadrid.org]; Manually run by daperador@scoutsdemadrid.org; Timestamp: Nov 11 2019 6:46 AM</t>
  </si>
  <si>
    <t>1bHhZ8xcHSprKNsoTHwmNYvlxBdVNB0xb</t>
  </si>
  <si>
    <t>https://drive.google.com/a/scoutsdemadrid.org/file/d/1bHhZ8xcHSprKNsoTHwmNYvlxBdVNB0xb/view?usp=drivesdk</t>
  </si>
  <si>
    <t xml:space="preserve">gs.vedruna@scoutsdemadrid.org </t>
  </si>
  <si>
    <t>La Casilla (Sierra de Gredos)</t>
  </si>
  <si>
    <t>N: 40º 14' 19'' O: -5º 7' 50''</t>
  </si>
  <si>
    <t>1YkPMLPcZzV5YRmnIWQqRLQAW0Okxo9_u</t>
  </si>
  <si>
    <t>https://drive.google.com/a/scoutsdemadrid.org/file/d/1YkPMLPcZzV5YRmnIWQqRLQAW0Okxo9_u/view?usp=drivesdk</t>
  </si>
  <si>
    <t>Document successfully created; Document successfully merged; PDF created; !!!ERR: Failed to add merged file to folder due to Google error: No se ha podido llamar a la API drive.files.patch; error: File not found: Guisando; Emails Sent: [To: daperador@scoutsdemadrid.org]; Manually run by daperador@scoutsdemadrid.org; Timestamp: Nov 11 2019 6:46 AM</t>
  </si>
  <si>
    <t>La Tortuga de los chozos de Gredos</t>
  </si>
  <si>
    <t>José Ignacio Romero Trillo</t>
  </si>
  <si>
    <t>300m</t>
  </si>
  <si>
    <t>Cocina equipada, baños con agua caliente, comedor techado y acristalado, edificio diáfano, 6 chozas</t>
  </si>
  <si>
    <t>1rQeytVCgokqJtHMN7LqcJZG7ZfX6Ge0T</t>
  </si>
  <si>
    <t>https://drive.google.com/a/scoutsdemadrid.org/file/d/1rQeytVCgokqJtHMN7LqcJZG7ZfX6Ge0T/view?usp=drivesdk</t>
  </si>
  <si>
    <t>Document successfully created; Document successfully merged; PDF created; !!!ERR: Failed to add merged file to folder due to Google error: No se ha podido llamar a la API drive.files.patch; error: File not found: Bohoyo; Emails Sent: [To: daperador@scoutsdemadrid.org]; Manually run by daperador@scoutsdemadrid.org; Timestamp: Nov 11 2019 6:47 AM</t>
  </si>
  <si>
    <t>LA CASILLA</t>
  </si>
  <si>
    <t>POL.10 PARCELA 112/106</t>
  </si>
  <si>
    <t>40º 13´33366"N 5º7`58019 O</t>
  </si>
  <si>
    <t>PEDRO JOSÉ SÁNCHEZ SÁEZ</t>
  </si>
  <si>
    <t>no tenemos</t>
  </si>
  <si>
    <t>1 hectária aprox</t>
  </si>
  <si>
    <t xml:space="preserve">poza </t>
  </si>
  <si>
    <t>cocina almacen duchas baños</t>
  </si>
  <si>
    <t>Entorno con muchas posiblidades</t>
  </si>
  <si>
    <t>1wtnjFLwU723eDKm5DeThfhi9Mr7kkcIW</t>
  </si>
  <si>
    <t>https://drive.google.com/a/scoutsdemadrid.org/file/d/1wtnjFLwU723eDKm5DeThfhi9Mr7kkcIW/view?usp=drivesdk</t>
  </si>
  <si>
    <t>Document successfully created; Document successfully merged; PDF created; !!!ERR: Failed to add merged file to folder due to Google error: No se ha podido llamar a la API drive.files.patch; error: File not found: Guisando; Emails Sent: [To: daperador@scoutsdemadrid.org]; Manually run by daperador@scoutsdemadrid.org; Timestamp: Nov 11 2019 6:47 AM</t>
  </si>
  <si>
    <t xml:space="preserve">gs.calasanzval@scoutsdemadrid.org </t>
  </si>
  <si>
    <t>Peñascosa</t>
  </si>
  <si>
    <t>Camping Peñascosa</t>
  </si>
  <si>
    <t>38º 40' 25.00"; -2º 24' 18.00"</t>
  </si>
  <si>
    <t xml:space="preserve">Angel </t>
  </si>
  <si>
    <t>4 euros/ persona/ dia</t>
  </si>
  <si>
    <t>200 metros</t>
  </si>
  <si>
    <t>piscina artificial</t>
  </si>
  <si>
    <t>Baños, duchas y fregaderos</t>
  </si>
  <si>
    <t>1e3YyWcF2OAGxz8fbUs39p3xw01FEpdIg</t>
  </si>
  <si>
    <t>https://drive.google.com/a/scoutsdemadrid.org/file/d/1e3YyWcF2OAGxz8fbUs39p3xw01FEpdIg/view?usp=drivesdk</t>
  </si>
  <si>
    <t>Document successfully created; Document successfully merged; PDF created; !!!ERR: Failed to add merged file to folder due to Google error: No se ha podido llamar a la API drive.files.patch; error: File not found: Peñascosa; Emails Sent: [To: daperador@scoutsdemadrid.org]; Manually run by daperador@scoutsdemadrid.org; Timestamp: Nov 11 2019 6:47 AM</t>
  </si>
  <si>
    <t>informacion@campingpenascosa.com</t>
  </si>
  <si>
    <t>4.5€ / persona /día</t>
  </si>
  <si>
    <t>Tiene piscina</t>
  </si>
  <si>
    <t>Es un camping</t>
  </si>
  <si>
    <t>Buen camping, no muy poblado, agua caliente en baño y duchas, y con cafetería que da comidas si las contratas.</t>
  </si>
  <si>
    <t>176wpzKDI5MSbLza6RbCpPLGiW_NA_1U0</t>
  </si>
  <si>
    <t>https://drive.google.com/a/scoutsdemadrid.org/file/d/176wpzKDI5MSbLza6RbCpPLGiW_NA_1U0/view?usp=drivesdk</t>
  </si>
  <si>
    <t>Atienza</t>
  </si>
  <si>
    <t>La Estrella</t>
  </si>
  <si>
    <t>19051A012000810000PR y 19051A012100810000PH</t>
  </si>
  <si>
    <t>41.206743-2.854343</t>
  </si>
  <si>
    <t>Ayuntamiento de Atienza</t>
  </si>
  <si>
    <t>aytoatien@hotmail.com</t>
  </si>
  <si>
    <t>1.54</t>
  </si>
  <si>
    <t>1 km/1.5 km</t>
  </si>
  <si>
    <t>piscina municipal</t>
  </si>
  <si>
    <t>Cedida por el ayuntamiento de Atienza</t>
  </si>
  <si>
    <t>12VGeYDrdLic7O0pj_jrH8SCQU_oXv-Kc</t>
  </si>
  <si>
    <t>https://drive.google.com/a/scoutsdemadrid.org/file/d/12VGeYDrdLic7O0pj_jrH8SCQU_oXv-Kc/view?usp=drivesdk</t>
  </si>
  <si>
    <t>Document successfully created; Document successfully merged; PDF created; !!!ERR: Failed to add merged file to folder due to Google error: No se ha podido llamar a la API drive.files.patch; error: File not found: Atienza; Emails Sent: [To: daperador@scoutsdemadrid.org]; Manually run by daperador@scoutsdemadrid.org; Timestamp: Nov 11 2019 6:47 AM</t>
  </si>
  <si>
    <t>Tragacete</t>
  </si>
  <si>
    <t>Finca Campamento La Veredilla</t>
  </si>
  <si>
    <t>dato desconocido</t>
  </si>
  <si>
    <t>(40.3718476,-1.8825093)</t>
  </si>
  <si>
    <t>Ayuntamiento de Tragacete</t>
  </si>
  <si>
    <t>969 289 002</t>
  </si>
  <si>
    <t>ayuntamientotragacete@hotmail.com</t>
  </si>
  <si>
    <t>2 euros por persona y dia</t>
  </si>
  <si>
    <t>Dato desconocido</t>
  </si>
  <si>
    <t>rio pequeño y con poco caudal pero perfecto para pegarte un pequeño chapuzón</t>
  </si>
  <si>
    <t xml:space="preserve">Edificación-Barbacoa. Edificación de 42,90 metros cuadrados de piedra, cerrada con cuatro paredes, cubie de teja y cuatro entradas abiertas. Consta de cuatro barbacoas, cuatro leñeras, dos mesas de piedra, dos muros de pie para asientos y chimenea con matachispas. Tiene un grifo exterior adosado a uno de los muros -    Fuente. Construida en piedra con dos senos y un caño. -    Nave lavaderos y baños .Edificación de nueva construcción en piedra y madera de 55,44 metros cuadrados, la que se incluyen los siguientes elementos: - 2 vestuarios (cada uno con tres duchas, tres retretes, tres lavabos y un termo de ag caliente, todos con sus respectivas puertas). - 1 vestuario adicional adaptado para minusválidos. - 3 ventanas de doble hoja con doble acristalamiento tipo climalit. - 2 ventanales en la parte trasera del edificio de similares características. - zona abierta en el exterior destinada a lavadero con cinco fregaderos. -  Almacén. Habitáculo ubicado en la misma construcción de lavaderos y baños. Dos puertas metálicas. - Carpa multiusos. Se trata de una zona de 151,59  metros  cuadrados para uso recreativo. Abierta, c tejado  de estructura  de madera  y cubierta  de teja  de cerámica  curva. Completa construcción  un solado  de  hormigón  armado  y encachado  de  piedra  que  rodea instalación. -  Módulo de ocultación de contenedores.  Dos módulos de madera para ocultación de los contenedores de recogida selectiva basuras. -  Dispositivo de tratamiento de aguas residuales.   Dispone  de  un separador  previo  de  grasas  y de  un decantador-digestor  con fil biológico. -  Hidrantes.Dos unidades de hidrante tipo acera de fundición. - Otros  (pozos  de  regulación,  red  de  abastecimiento  y saneamiento  de  aguas, etc…) Cuenta con un grupo electrógeno que suministra energía eléctrica a la zona. Se cede su uso cargado de gasóleo; las sucesivas cargas correrán de cuenta de los beneficiarios. </t>
  </si>
  <si>
    <t>Zona bastante buena de campamentos, habilitada para ello y con espacio para un gran número de personas. Ofrecen la finca en exclusividad pero por un elevado coste.
Ubicada en el parque natural de la serrania de cuenca lo que ofrece una gran variedad de opciones de cara a rutas.
El pueblo está muy cerca con todos los servicio mínimos necesarios.</t>
  </si>
  <si>
    <t>1YIccC_p-na2tPhTihwatZ4-h9lxADwx1</t>
  </si>
  <si>
    <t>https://drive.google.com/a/scoutsdemadrid.org/file/d/1YIccC_p-na2tPhTihwatZ4-h9lxADwx1/view?usp=drivesdk</t>
  </si>
  <si>
    <t>Document successfully created; Document successfully merged; PDF created; !!!ERR: Failed to add merged file to folder due to Google error: No se ha podido llamar a la API drive.files.patch; error: File not found: Tragacete; Emails Sent: [To: daperador@scoutsdemadrid.org]; Manually run by daperador@scoutsdemadrid.org; Timestamp: Nov 11 2019 6:47 AM</t>
  </si>
  <si>
    <t>Don Quijote</t>
  </si>
  <si>
    <t xml:space="preserve">gs.donquijote@scoutsdemadrid.org </t>
  </si>
  <si>
    <t>Almonacid De Zorita</t>
  </si>
  <si>
    <t>Ermita de san Anton</t>
  </si>
  <si>
    <t>lo desconozco</t>
  </si>
  <si>
    <t>Ayuntamiento de Almonacid.</t>
  </si>
  <si>
    <t>949376201/949821645</t>
  </si>
  <si>
    <t>no pagaremos nada,mas que la voluntad</t>
  </si>
  <si>
    <t>1000 hectareas</t>
  </si>
  <si>
    <t>Tiene un rio que le llaman playa hay que pagar para entrar y tiene socoristas</t>
  </si>
  <si>
    <t>baños de obra</t>
  </si>
  <si>
    <t>buena</t>
  </si>
  <si>
    <t>1mFehhDVb0Hz8w7i5uc9uWMQaF3oX06Z-</t>
  </si>
  <si>
    <t>https://drive.google.com/a/scoutsdemadrid.org/file/d/1mFehhDVb0Hz8w7i5uc9uWMQaF3oX06Z-/view?usp=drivesdk</t>
  </si>
  <si>
    <t>Document successfully created; Document successfully merged; PDF created; !!!ERR: Failed to add merged file to folder due to Google error: No se ha podido llamar a la API drive.files.patch; error: File not found: Almonacid De Zorita; Emails Sent: [To: daperador@scoutsdemadrid.org]; Manually run by daperador@scoutsdemadrid.org; Timestamp: Nov 11 2019 6:48 AM</t>
  </si>
  <si>
    <t>Boniches</t>
  </si>
  <si>
    <t>Fuentes del Cabriel</t>
  </si>
  <si>
    <t>16037A028001340000WU y 16037A028001460000WL</t>
  </si>
  <si>
    <t>39º57'55.4''N 1º36'30.2'' W</t>
  </si>
  <si>
    <t>Jesús Mayordomo Moreno</t>
  </si>
  <si>
    <t>mmboniches@hotmail.com</t>
  </si>
  <si>
    <t>2900+IVA/quincena</t>
  </si>
  <si>
    <t>6189 m2</t>
  </si>
  <si>
    <t>Poza no muy grande ni muy profunda</t>
  </si>
  <si>
    <t>Sí: albergue con 2 habitaciones, salón con chimenea,  cocina de butano,  4 servicios,  comedor exterior con toldo para 70-80 personas con mesas y sillas, fregaderos,  luz con placas solares, y grupo generador, agua potable de la red municipal</t>
  </si>
  <si>
    <t>Muy amplia con zonas de sombra.</t>
  </si>
  <si>
    <t>1s_J_ILHHhAcH2Y52jeoj_guKEPtBr4E5</t>
  </si>
  <si>
    <t>https://drive.google.com/a/scoutsdemadrid.org/file/d/1s_J_ILHHhAcH2Y52jeoj_guKEPtBr4E5/view?usp=drivesdk</t>
  </si>
  <si>
    <t>Document successfully created; Document successfully merged; PDF created; !!!ERR: Failed to add merged file to folder due to Google error: No se ha podido llamar a la API drive.files.patch; error: File not found: Boniches; Emails Sent: [To: daperador@scoutsdemadrid.org]; Manually run by daperador@scoutsdemadrid.org; Timestamp: Nov 11 2019 6:48 AM</t>
  </si>
  <si>
    <t>Arcas</t>
  </si>
  <si>
    <t>Campamento Arcas</t>
  </si>
  <si>
    <t>1nJnRA-H8PGgXdcXsMioZmCsBrRx1DjP6</t>
  </si>
  <si>
    <t>https://drive.google.com/a/scoutsdemadrid.org/file/d/1nJnRA-H8PGgXdcXsMioZmCsBrRx1DjP6/view?usp=drivesdk</t>
  </si>
  <si>
    <t>Document successfully created; Document successfully merged; PDF created; !!!ERR: Failed to add merged file to folder due to Google error: No se ha podido llamar a la API drive.files.patch; error: File not found: Arcas; Emails Sent: [To: daperador@scoutsdemadrid.org]; Manually run by daperador@scoutsdemadrid.org; Timestamp: Nov 11 2019 6:48 AM</t>
  </si>
  <si>
    <t>Luzaga</t>
  </si>
  <si>
    <t>Campamento juvenil Luzaga</t>
  </si>
  <si>
    <t>NS/NC</t>
  </si>
  <si>
    <t>40º 59´ 12,59´´ N 2º 25´45,14´´ W</t>
  </si>
  <si>
    <t>Fundación Scouts en Acción</t>
  </si>
  <si>
    <t>fundacion@fsc-clm.org</t>
  </si>
  <si>
    <t>4,40 € pax/noche</t>
  </si>
  <si>
    <t>Comedor, piscina, cocina, baños, duchas, fregaderos</t>
  </si>
  <si>
    <t>1CDIrdQEz-XImIlhmRuc6k8YsV6_qo92c</t>
  </si>
  <si>
    <t>https://drive.google.com/a/scoutsdemadrid.org/file/d/1CDIrdQEz-XImIlhmRuc6k8YsV6_qo92c/view?usp=drivesdk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</si>
  <si>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6:48 AM</t>
  </si>
  <si>
    <t>Vega Del Codorno</t>
  </si>
  <si>
    <t>Camping Río Cuervo</t>
  </si>
  <si>
    <t>AHAQJHJHDGYHDTGFY</t>
  </si>
  <si>
    <t>40.450056, -1.954502</t>
  </si>
  <si>
    <t>Alfredo Castillejo González</t>
  </si>
  <si>
    <t>3 €/persona día</t>
  </si>
  <si>
    <t>3 ha</t>
  </si>
  <si>
    <t>2 km</t>
  </si>
  <si>
    <t>Buena</t>
  </si>
  <si>
    <t>Todas</t>
  </si>
  <si>
    <t>Todo bien</t>
  </si>
  <si>
    <t>1MgcmiBxL4U1Maw-pDpOPHwldkLWXo3km</t>
  </si>
  <si>
    <t>https://drive.google.com/a/scoutsdemadrid.org/file/d/1MgcmiBxL4U1Maw-pDpOPHwldkLWXo3km/view?usp=drivesdk</t>
  </si>
  <si>
    <t>Document successfully created; Document successfully merged; PDF created; !!!ERR: Failed to add merged file to folder due to Google error: No se ha podido llamar a la API drive.files.patch; error: File not found: Vega Del Codorno; Emails Sent: [To: daperador@scoutsdemadrid.org]; Manually run by daperador@scoutsdemadrid.org; Timestamp: Nov 11 2019 6:48 AM</t>
  </si>
  <si>
    <t>Poyatos</t>
  </si>
  <si>
    <t>Albergue paraje de tejadillos</t>
  </si>
  <si>
    <t>desconocido</t>
  </si>
  <si>
    <t>Alberto Quilez</t>
  </si>
  <si>
    <t>alberguetejadillos@gmail.com</t>
  </si>
  <si>
    <t>24 € persona /dia</t>
  </si>
  <si>
    <t>rio escabas fresco y con aguas cristalinas</t>
  </si>
  <si>
    <t>si ,zona de acampada y albergue con ducha comedor salas</t>
  </si>
  <si>
    <t>si hay mucha madera cerca  gratis</t>
  </si>
  <si>
    <t>Instalaciones nuevas , lugar con mucho bosque , y ríos cercano</t>
  </si>
  <si>
    <t>1ze4bDsR1oIz99k6FawRgaJ5XNoJCZFAx</t>
  </si>
  <si>
    <t>https://drive.google.com/a/scoutsdemadrid.org/file/d/1ze4bDsR1oIz99k6FawRgaJ5XNoJCZFAx/view?usp=drivesdk</t>
  </si>
  <si>
    <t>Document successfully created; Document successfully merged; PDF created; !!!ERR: Failed to add merged file to folder due to Google error: No se ha podido llamar a la API drive.files.patch; error: File not found: Poyatos; Emails Sent: [To: daperador@scoutsdemadrid.org]; Manually run by daperador@scoutsdemadrid.org; Timestamp: Nov 11 2019 6:48 AM</t>
  </si>
  <si>
    <t>Poveda De La Sierra</t>
  </si>
  <si>
    <t>Campamento AGUABUENA</t>
  </si>
  <si>
    <t>2398202WK8929N0001HO</t>
  </si>
  <si>
    <t>40,672235 - -2,035936</t>
  </si>
  <si>
    <t>Ayuntamiento de Poveda de la Sierra</t>
  </si>
  <si>
    <t>949 23 65 16</t>
  </si>
  <si>
    <t>secretaria@aytopoveda.es</t>
  </si>
  <si>
    <t>2300 €/quincena</t>
  </si>
  <si>
    <t>500m</t>
  </si>
  <si>
    <t>Río Tajo: amplio y con zonas de balsa poco profundas</t>
  </si>
  <si>
    <t>Cocina, comedor, baños almacén</t>
  </si>
  <si>
    <t>Está rodeada de otros campamentos del ayuntamiento. Se encuentra dentro del parque natural del alto Tajo.</t>
  </si>
  <si>
    <t>1KPHJdw7HN98l3jtI9IiqvobbunPF8zCI</t>
  </si>
  <si>
    <t>https://drive.google.com/a/scoutsdemadrid.org/file/d/1KPHJdw7HN98l3jtI9IiqvobbunPF8zCI/view?usp=drivesdk</t>
  </si>
  <si>
    <t>Document successfully created; Document successfully merged; PDF created; !!!ERR: Failed to add merged file to folder due to Google error: No se ha podido llamar a la API drive.files.patch; error: File not found: Poveda De La Sierra; Emails Sent: [To: daperador@scoutsdemadrid.org]; Manually run by daperador@scoutsdemadrid.org; Timestamp: Nov 11 2019 6:49 AM</t>
  </si>
  <si>
    <t>Checa</t>
  </si>
  <si>
    <t>Prado de la Becea</t>
  </si>
  <si>
    <t>023</t>
  </si>
  <si>
    <t>x: 601,835,126 y: 4,495,664,13</t>
  </si>
  <si>
    <t>Ayuntamiento de Checa</t>
  </si>
  <si>
    <t>ayuntamientocheca42gmail.com</t>
  </si>
  <si>
    <t>5 hectareas aprox</t>
  </si>
  <si>
    <t>800m</t>
  </si>
  <si>
    <t>pozas de rio</t>
  </si>
  <si>
    <t>muy adecuado</t>
  </si>
  <si>
    <t>1uKuuQsq02Nazt1ZADgyhe07KE1VChZjw</t>
  </si>
  <si>
    <t>https://drive.google.com/a/scoutsdemadrid.org/file/d/1uKuuQsq02Nazt1ZADgyhe07KE1VChZjw/view?usp=drivesdk</t>
  </si>
  <si>
    <t>Document successfully created; Document successfully merged; PDF created; !!!ERR: Failed to add merged file to folder due to Google error: No se ha podido llamar a la API drive.files.patch; error: File not found: Checa; Emails Sent: [To: daperador@scoutsdemadrid.org]; Manually run by daperador@scoutsdemadrid.org; Timestamp: Nov 11 2019 6:49 AM</t>
  </si>
  <si>
    <t>40.449666 - 1.955221</t>
  </si>
  <si>
    <t>Camping Rio Cuervo - Alfred</t>
  </si>
  <si>
    <t>20 ha</t>
  </si>
  <si>
    <t>Pozas muy buenas</t>
  </si>
  <si>
    <t xml:space="preserve">Baños, duchas, cocina, comedor </t>
  </si>
  <si>
    <t>El dueño tiene palos para construcciones</t>
  </si>
  <si>
    <t xml:space="preserve">Lugar abandonado que vamos a intentar reconstruir. </t>
  </si>
  <si>
    <t>1ZnINS0QHe7qp1RjFmOmPu5KgqwmAbafe</t>
  </si>
  <si>
    <t>https://drive.google.com/a/scoutsdemadrid.org/file/d/1ZnINS0QHe7qp1RjFmOmPu5KgqwmAbafe/view?usp=drivesdk</t>
  </si>
  <si>
    <t>Document successfully created; Document successfully merged; PDF created; !!!ERR: Failed to add merged file to folder due to Google error: No se ha podido llamar a la API drive.files.patch; error: File not found: Vega Del Codorno; Emails Sent: [To: daperador@scoutsdemadrid.org]; Manually run by daperador@scoutsdemadrid.org; Timestamp: Nov 11 2019 6:49 AM</t>
  </si>
  <si>
    <t>Uña</t>
  </si>
  <si>
    <t>ALBERGUE LA CAÑADILLA</t>
  </si>
  <si>
    <t>40°13'16.1"N 1°58'31.4"W</t>
  </si>
  <si>
    <t>UÑAVENTURA</t>
  </si>
  <si>
    <t>1zm25MfdNyWRECTHjCL4NCIZy5ZJgvyWU</t>
  </si>
  <si>
    <t>https://drive.google.com/a/scoutsdemadrid.org/file/d/1zm25MfdNyWRECTHjCL4NCIZy5ZJgvyWU/view?usp=drivesdk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</si>
  <si>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6:49 AM</t>
  </si>
  <si>
    <t>Cerbi</t>
  </si>
  <si>
    <t>Artoballa</t>
  </si>
  <si>
    <t>no se</t>
  </si>
  <si>
    <t>E 348609, N 4723247</t>
  </si>
  <si>
    <t>Palmira Gabernet</t>
  </si>
  <si>
    <t>palmiragabernet@gmail.com</t>
  </si>
  <si>
    <t>13 500m²</t>
  </si>
  <si>
    <t>500 A 1000 metros</t>
  </si>
  <si>
    <t>WC SECO</t>
  </si>
  <si>
    <t>normal</t>
  </si>
  <si>
    <t>1Ibs50KPK5dbv0dWqZDwuo_PN8tWisgd3</t>
  </si>
  <si>
    <t>https://drive.google.com/a/scoutsdemadrid.org/file/d/1Ibs50KPK5dbv0dWqZDwuo_PN8tWisgd3/view?usp=drivesdk</t>
  </si>
  <si>
    <t>Document successfully created; Document successfully merged; PDF created; !!!ERR: Failed to add merged file to folder due to Google error: No se ha podido llamar a la API drive.files.patch; error: File not found: Cerbi; Emails Sent: [To: daperador@scoutsdemadrid.org]; Manually run by daperador@scoutsdemadrid.org; Timestamp: Nov 11 2019 6:49 AM</t>
  </si>
  <si>
    <t>Piornal</t>
  </si>
  <si>
    <t>Piornal (la ermita)</t>
  </si>
  <si>
    <t>1a-OZoe4GjssLR_MVQdHYcbszSbVE7eox</t>
  </si>
  <si>
    <t>https://drive.google.com/a/scoutsdemadrid.org/file/d/1a-OZoe4GjssLR_MVQdHYcbszSbVE7eox/view?usp=drivesdk</t>
  </si>
  <si>
    <t>Document successfully created; Document successfully merged; PDF created; !!!ERR: Failed to add merged file to folder due to Google error: No se ha podido llamar a la API drive.files.patch; error: File not found: Piornal; Emails Sent: [To: daperador@scoutsdemadrid.org]; Manually run by daperador@scoutsdemadrid.org; Timestamp: Nov 11 2019 6:49 AM</t>
  </si>
  <si>
    <t>gs.vedruna@scoutsdemadrid.org</t>
  </si>
  <si>
    <t>Campamento Peña Negra Piornal Valle del Jerte</t>
  </si>
  <si>
    <t>10150A00300576</t>
  </si>
  <si>
    <t>https://www.google.com/maps/place/Campamento+Pe%C3%B1a+Negra+Piornal+Valle+del+Jerte/@40.1198892,-5.8320074,274m/data=!3m1!1e3!4m13!1m7!3m6!1s0xd3e36f986235c13:0xed87a1ddaa04f7cb!2s10615+Piornal,+C%C3%A1ceres!3b1!8m2!3d40.1164877!4d-5.8471434!3m4!1s0xd3e37317e7923b9:0x56703321a10940d0!8m2!3d40.1199673!4d-5.8311908</t>
  </si>
  <si>
    <t>Jorge Rojo Ramos/ Gekco Turismo activo y formacion</t>
  </si>
  <si>
    <t>info@aventurajerte.es</t>
  </si>
  <si>
    <t>15.763 m2</t>
  </si>
  <si>
    <t>Dentro del campamento</t>
  </si>
  <si>
    <t>Tiene una pequeña piscina en el interior del campamento, vallado para evitar caidas</t>
  </si>
  <si>
    <t>Cocina, baños, comedor techado y cerrado, dos habitaciones con literas que se usaran para guardar el material</t>
  </si>
  <si>
    <t>Se desconoce</t>
  </si>
  <si>
    <t>La campa no es muy grande pero si tiene zonas de sombra y zona para montar tiendas de campaña, baños separados con duchas. Ademas de una edificacion con barbacoas y fregadderos</t>
  </si>
  <si>
    <t>1cuHk2Ka67O8MswD-QMTqikErNXWCNTc5</t>
  </si>
  <si>
    <t>https://drive.google.com/a/scoutsdemadrid.org/file/d/1cuHk2Ka67O8MswD-QMTqikErNXWCNTc5/view?usp=drivesdk</t>
  </si>
  <si>
    <t>Pais Vasco</t>
  </si>
  <si>
    <t xml:space="preserve">gs.sanjorge@scoutsdemadrid.org </t>
  </si>
  <si>
    <t>Lanestosa</t>
  </si>
  <si>
    <t>Jose Angel Ranero Santisteban</t>
  </si>
  <si>
    <t>18DS_1FgetB5u8yb_UX28cM0A_Vcod8le</t>
  </si>
  <si>
    <t>https://drive.google.com/a/scoutsdemadrid.org/file/d/18DS_1FgetB5u8yb_UX28cM0A_Vcod8le/view?usp=drivesdk</t>
  </si>
  <si>
    <t>Document successfully created; Document successfully merged; PDF created; !!!ERR: Failed to add merged file to folder due to Google error: No se ha podido llamar a la API drive.files.patch; error: File not found: Lanestosa; Emails Sent: [To: daperador@scoutsdemadrid.org]; Manually run by daperador@scoutsdemadrid.org; Timestamp: Nov 11 2019 6:50 AM</t>
  </si>
  <si>
    <t>Lince</t>
  </si>
  <si>
    <t xml:space="preserve">gs.lince@scoutsdemadrid.org </t>
  </si>
  <si>
    <t>Lantarón</t>
  </si>
  <si>
    <t>El encinar - Fontecha</t>
  </si>
  <si>
    <t>https://maps.google.es/maps?q=Fontecha,+Lantar%C3%B3n&amp;hl=es&amp;ie=UTF8&amp;ll=42.738975,-3.038508&amp;spn=0.002372,0.004823&amp;sll=42.909999,-2.698387&amp;sspn=1.211015,2.469177&amp;oq=Fontecha&amp;t=h&amp;hnear=Fontecha,+Lantar%C3%B3n,+%C3%81lava,+Pa%C3%ADs+Vasco&amp;z=18</t>
  </si>
  <si>
    <t>12nCZTnjrar6gGDtzvlJzyOxXAKIcoM3p</t>
  </si>
  <si>
    <t>https://drive.google.com/a/scoutsdemadrid.org/file/d/12nCZTnjrar6gGDtzvlJzyOxXAKIcoM3p/view?usp=drivesdk</t>
  </si>
  <si>
    <t>Document successfully created; Document successfully merged; PDF created; !!!ERR: Failed to add merged file to folder due to Google error: No se ha podido llamar a la API drive.files.patch; error: File not found: Lantarón; Emails Sent: [To: daperador@scoutsdemadrid.org]; Manually run by daperador@scoutsdemadrid.org; Timestamp: Nov 11 2019 6:50 AM</t>
  </si>
  <si>
    <t>Andagoia</t>
  </si>
  <si>
    <t>Isasando</t>
  </si>
  <si>
    <t>1_20_2_302</t>
  </si>
  <si>
    <t>42º 55’ 31” N 2º 54’ 31” W</t>
  </si>
  <si>
    <t>Santiago Ibañez Maquinez</t>
  </si>
  <si>
    <t>+34 686 27 31 45</t>
  </si>
  <si>
    <t>No hay mail</t>
  </si>
  <si>
    <t>2,8 Ha</t>
  </si>
  <si>
    <t>Rio Vadillo</t>
  </si>
  <si>
    <t>Bien situada, el rio vadillo es de cauce aceptable y el acceso al pueblo es sencillo para hacer compras</t>
  </si>
  <si>
    <t>12E_BTcDpdoSQFAXifIwwqbRuxW7lz0A3</t>
  </si>
  <si>
    <t>https://drive.google.com/a/scoutsdemadrid.org/file/d/12E_BTcDpdoSQFAXifIwwqbRuxW7lz0A3/view?usp=drivesdk</t>
  </si>
  <si>
    <t>Document successfully created; Document successfully merged; PDF created; !!!ERR: Failed to add merged file to folder due to Google error: No se ha podido llamar a la API drive.files.patch; error: File not found: Andagoia; Emails Sent: [To: daperador@scoutsdemadrid.org]; Manually run by daperador@scoutsdemadrid.org; Timestamp: Nov 11 2019 6:50 AM</t>
  </si>
  <si>
    <t>Begonte</t>
  </si>
  <si>
    <t>Carral</t>
  </si>
  <si>
    <t>43.136874, -7.671896</t>
  </si>
  <si>
    <t xml:space="preserve"> Jesús Teijeiro</t>
  </si>
  <si>
    <t>235 € primer hermano. Descuentos al segundo y al tercero</t>
  </si>
  <si>
    <t>100 Metros</t>
  </si>
  <si>
    <t>Excelente. Playa de rio</t>
  </si>
  <si>
    <t>1ssfJ-b0hB8n7rQQ5_8C6m-asfvAJtPS9</t>
  </si>
  <si>
    <t>https://drive.google.com/a/scoutsdemadrid.org/file/d/1ssfJ-b0hB8n7rQQ5_8C6m-asfvAJtPS9/view?usp=drivesdk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</si>
  <si>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6:50 AM</t>
  </si>
  <si>
    <t>12</t>
  </si>
  <si>
    <t>---</t>
  </si>
  <si>
    <t>El campa que aquí se expone es el de la rama pioneros y será volante. Primero estaremos cerca de Sarria en el Proyecto O Couso. Luego nos iremos  a Santiago e iniciaremos la ruta hasta Finisterre. Los Pueblos por los que pasamos son Negreira, Vilaserio, Ologoso, Corcubión, para terminar unos dias en el camping de finisterre</t>
  </si>
  <si>
    <t>1QIL5uMAfpPbtlprnEItyUVZ46a-OcUSa</t>
  </si>
  <si>
    <t>https://drive.google.com/a/scoutsdemadrid.org/file/d/1QIL5uMAfpPbtlprnEItyUVZ46a-OcUSa/view?usp=drivesdk</t>
  </si>
  <si>
    <t>Document successfully created; Document successfully merged; PDF created; !!!ERR: Failed to add merged file to folder due to Google error: No se ha podido llamar a la API drive.files.patch; error: File not found: 2017; Emails Sent: [To: daperador@scoutsdemadrid.org]; Manually run by daperador@scoutsdemadrid.org; Timestamp: Nov 11 2019 6:50 AM</t>
  </si>
  <si>
    <t>Valfarto</t>
  </si>
  <si>
    <t>41.997361, -7.282167</t>
  </si>
  <si>
    <t>Celso Dominguez López</t>
  </si>
  <si>
    <t>alcaldia@concelloderios.com</t>
  </si>
  <si>
    <t>gratuito</t>
  </si>
  <si>
    <t>0m</t>
  </si>
  <si>
    <t>1GrrkFQjNtAx1Jzw1_ojmSe7cx9ZPZYDm</t>
  </si>
  <si>
    <t>https://drive.google.com/a/scoutsdemadrid.org/file/d/1GrrkFQjNtAx1Jzw1_ojmSe7cx9ZPZYDm/view?usp=drivesdk</t>
  </si>
  <si>
    <t>Document successfully created; Document successfully merged; PDF created; !!!ERR: Failed to add merged file to folder due to Google error: No se ha podido llamar a la API drive.files.patch; error: File not found: Valfarto; Emails Sent: [To: daperador@scoutsdemadrid.org]; Manually run by daperador@scoutsdemadrid.org; Timestamp: Nov 11 2019 6:50 AM</t>
  </si>
  <si>
    <t>1_XXLzZgX-o2JaghB0oPUwWgHebliPnpy</t>
  </si>
  <si>
    <t>https://drive.google.com/a/scoutsdemadrid.org/file/d/1_XXLzZgX-o2JaghB0oPUwWgHebliPnpy/view?usp=drivesdk</t>
  </si>
  <si>
    <t>Document successfully created; Document successfully merged; PDF created; !!!ERR: Failed to add merged file to folder due to Google error: No se ha podido llamar a la API drive.files.patch; error: File not found: 2016; Emails Sent: [To: daperador@scoutsdemadrid.org]; Manually run by daperador@scoutsdemadrid.org; Timestamp: Nov 11 2019 6:51 AM</t>
  </si>
  <si>
    <t>Annapurna</t>
  </si>
  <si>
    <t>gsannapurna@gmail.com</t>
  </si>
  <si>
    <t>EDUARDO MARÍN</t>
  </si>
  <si>
    <t>1RhWVQ44G7cBOlPVvsJg9v15ME0rYDpUg</t>
  </si>
  <si>
    <t>https://drive.google.com/a/scoutsdemadrid.org/file/d/1RhWVQ44G7cBOlPVvsJg9v15ME0rYDpUg/view?usp=drivesdk</t>
  </si>
  <si>
    <t>Document successfully created; Document successfully merged; PDF created; !!!ERR: Failed to add merged file to folder due to Google error: No se ha podido llamar a la API drive.files.patch; error: File not found: Orense; !!Error Sending Emails: Error al enviar el correo electrónico a daperador@scoutsdemadrid.&lt;?&gt; Vuelve a intentarlo más tarde.; Manually run by daperador@scoutsdemadrid.org; Timestamp: Nov 11 2019 6:51 AM</t>
  </si>
  <si>
    <t>Entre Arces</t>
  </si>
  <si>
    <t>1HoSfnGgNRXidlRrhO6HwFwku6_xHRg_z</t>
  </si>
  <si>
    <t>https://drive.google.com/a/scoutsdemadrid.org/file/d/1HoSfnGgNRXidlRrhO6HwFwku6_xHRg_z/view?usp=drivesdk</t>
  </si>
  <si>
    <t>Document successfully created; Document successfully merged; PDF created; !!!ERR: Failed to add merged file to folder due to Google error: No se ha podido llamar a la API drive.files.patch; error: File not found: Orense; Emails Sent: [To: daperador@scoutsdemadrid.org]; Manually run by daperador@scoutsdemadrid.org; Timestamp: Nov 11 2019 6:51 AM</t>
  </si>
  <si>
    <t>Santa Ana Y San Rafael</t>
  </si>
  <si>
    <t xml:space="preserve">gssantanaysanlafael@scoutsdemadrid.org  </t>
  </si>
  <si>
    <t>Laza</t>
  </si>
  <si>
    <t>1Lodhy1YZp7MBeqjbHhxkY3XOZkmzs2_Z</t>
  </si>
  <si>
    <t>https://drive.google.com/a/scoutsdemadrid.org/file/d/1Lodhy1YZp7MBeqjbHhxkY3XOZkmzs2_Z/view?usp=drivesdk</t>
  </si>
  <si>
    <t>Document successfully created; Document successfully merged; PDF created; !!!ERR: Failed to add merged file to folder due to Google error: No se ha podido llamar a la API drive.files.patch; error: File not found: 2012; Emails Sent: [To: daperador@scoutsdemadrid.org]; Manually run by daperador@scoutsdemadrid.org; Timestamp: Nov 11 2019 6:51 AM</t>
  </si>
  <si>
    <t>A Pobra De San Xiao (Láncara)</t>
  </si>
  <si>
    <t>Valdiz, Praia Fluvial y FN Valdiz</t>
  </si>
  <si>
    <t>27026A003000110000ZW / 27026A001004470000ZQ / 7874280PH2477S0001MM</t>
  </si>
  <si>
    <t>X 627.417,42 Y 4.747.550,49</t>
  </si>
  <si>
    <t>Ayuntamiento de Láncara</t>
  </si>
  <si>
    <t>sancualv@gmail.com</t>
  </si>
  <si>
    <t>2.776 /3.216 / 32.220 m2</t>
  </si>
  <si>
    <t>Río entre las dos fincas</t>
  </si>
  <si>
    <t>Se trata de una finca utilizada como área recreativa y zona de baño, buen acceso</t>
  </si>
  <si>
    <t>Realizaremos el campamento con el Grupo Scout San Juan Rivera. El ayuntamiento nos ha cedido tres fincas para realizar el campamento.</t>
  </si>
  <si>
    <t>11WFxLJt5cYyT69r1KbBr2HW2ptfw-WQo</t>
  </si>
  <si>
    <t>https://drive.google.com/a/scoutsdemadrid.org/file/d/11WFxLJt5cYyT69r1KbBr2HW2ptfw-WQo/view?usp=drivesdk</t>
  </si>
  <si>
    <t>Document successfully created; Document successfully merged; PDF created; !!!ERR: Failed to add merged file to folder due to Google error: No se ha podido llamar a la API drive.files.patch; error: File not found: A Pobra De San Xiao (Láncara); Emails Sent: [To: daperador@scoutsdemadrid.org]; Manually run by daperador@scoutsdemadrid.org; Timestamp: Nov 11 2019 6:51 AM</t>
  </si>
  <si>
    <t>Concello San Sadurniño</t>
  </si>
  <si>
    <t>CONCELLO DE SAN SADURNIÑO</t>
  </si>
  <si>
    <t>xxx</t>
  </si>
  <si>
    <t>+43° 29' 40.10", -8° 4' 5.26</t>
  </si>
  <si>
    <t>JONÁS MARTÍN</t>
  </si>
  <si>
    <t>dafogestiontiempolibre@gmail.com</t>
  </si>
  <si>
    <t>6.000 m2</t>
  </si>
  <si>
    <t>50 METROS</t>
  </si>
  <si>
    <t>pequeño río</t>
  </si>
  <si>
    <t>Casetas de madera para tener la cocina, baños y duchas</t>
  </si>
  <si>
    <t xml:space="preserve">Terreno muy grande </t>
  </si>
  <si>
    <t>1l-va1jw0T0ZgwMJvW217pOENpLQ5msK6</t>
  </si>
  <si>
    <t>https://drive.google.com/a/scoutsdemadrid.org/file/d/1l-va1jw0T0ZgwMJvW217pOENpLQ5msK6/view?usp=drivesdk</t>
  </si>
  <si>
    <t>Document successfully created; Document successfully merged; PDF created; !!!ERR: Failed to add merged file to folder due to Google error: No se ha podido llamar a la API drive.files.patch; error: File not found: Concello San Sadurniño; Emails Sent: [To: daperador@scoutsdemadrid.org]; Manually run by daperador@scoutsdemadrid.org; Timestamp: Nov 11 2019 6:51 AM</t>
  </si>
  <si>
    <t xml:space="preserve">gs.annapurna@scoutsdemadrid.org </t>
  </si>
  <si>
    <t>Ventrosa</t>
  </si>
  <si>
    <t>Hilario Andrés López</t>
  </si>
  <si>
    <t>reservas@alberguesdelarioja.es</t>
  </si>
  <si>
    <t>1E6FQ_vMOtr0kRnMZROt-c7r5TU4obWOQ</t>
  </si>
  <si>
    <t>https://drive.google.com/a/scoutsdemadrid.org/file/d/1E6FQ_vMOtr0kRnMZROt-c7r5TU4obWOQ/view?usp=drivesdk</t>
  </si>
  <si>
    <t>Document successfully created; Document successfully merged; PDF created; !!!ERR: Failed to add merged file to folder due to Google error: No se ha podido llamar a la API drive.files.patch; error: File not found: Ventrosa; Emails Sent: [To: daperador@scoutsdemadrid.org]; Manually run by daperador@scoutsdemadrid.org; Timestamp: Nov 11 2019 6:52 AM</t>
  </si>
  <si>
    <t>Chamberi</t>
  </si>
  <si>
    <t>Ortigosa De Cameros</t>
  </si>
  <si>
    <t>Las Tenadas</t>
  </si>
  <si>
    <t>19IU8dJg0hG06COCR9Rxx4zbLulzR-jz7</t>
  </si>
  <si>
    <t>https://drive.google.com/a/scoutsdemadrid.org/file/d/19IU8dJg0hG06COCR9Rxx4zbLulzR-jz7/view?usp=drivesdk</t>
  </si>
  <si>
    <t>Document successfully created; Document successfully merged; PDF created; !!!ERR: Failed to add merged file to folder due to Google error: No se ha podido llamar a la API drive.files.patch; error: File not found: Ortigosa De Cameros; Emails Sent: [To: daperador@scoutsdemadrid.org]; Manually run by daperador@scoutsdemadrid.org; Timestamp: Nov 11 2019 6:52 AM</t>
  </si>
  <si>
    <t>Madrid, Comunidad De</t>
  </si>
  <si>
    <t>Altaira</t>
  </si>
  <si>
    <t xml:space="preserve">gs.altaira@scoutsdemadrid.org </t>
  </si>
  <si>
    <t>La Acebeda</t>
  </si>
  <si>
    <t>Camping municipal de La Acebeda</t>
  </si>
  <si>
    <t>Jose Luis</t>
  </si>
  <si>
    <t>bien</t>
  </si>
  <si>
    <t>Básicas, cocina, baños,</t>
  </si>
  <si>
    <t>Para nuestro grupo pequeño perfecto</t>
  </si>
  <si>
    <t>1YYTnQzK0kg3NqmW4eYVOiwftxlI_-bvc</t>
  </si>
  <si>
    <t>https://drive.google.com/a/scoutsdemadrid.org/file/d/1YYTnQzK0kg3NqmW4eYVOiwftxlI_-bvc/view?usp=drivesdk</t>
  </si>
  <si>
    <t>Document successfully created; Document successfully merged; PDF created; !!!ERR: Failed to add merged file to folder due to Google error: No se ha podido llamar a la API drive.files.patch; error: File not found: La Acebeda; Emails Sent: [To: daperador@scoutsdemadrid.org]; Manually run by daperador@scoutsdemadrid.org; Timestamp: Nov 11 2019 6:52 AM</t>
  </si>
  <si>
    <t>Camping La Acebeda</t>
  </si>
  <si>
    <t>17-0Mf0OW4gTLZcv8LJ6T8N8KyEOGkTnH</t>
  </si>
  <si>
    <t>https://drive.google.com/a/scoutsdemadrid.org/file/d/17-0Mf0OW4gTLZcv8LJ6T8N8KyEOGkTnH/view?usp=drivesdk</t>
  </si>
  <si>
    <t>info@campinglaacebeda.com</t>
  </si>
  <si>
    <t>Cocina, baños, aseos, duchas y comedor</t>
  </si>
  <si>
    <t>150V610FTjBvEHctdH36d2URrnfBLglT5</t>
  </si>
  <si>
    <t>https://drive.google.com/a/scoutsdemadrid.org/file/d/150V610FTjBvEHctdH36d2URrnfBLglT5/view?usp=drivesdk</t>
  </si>
  <si>
    <t>Document successfully created; Document successfully merged; PDF created; !!!ERR: Failed to add merged file to folder due to Google error: No se ha podido llamar a la API drive.files.patch; error: File not found: La Acebeda; Emails Sent: [To: daperador@scoutsdemadrid.org]; Manually run by daperador@scoutsdemadrid.org; Timestamp: Nov 11 2019 6:53 AM</t>
  </si>
  <si>
    <t>Los Molinos</t>
  </si>
  <si>
    <t>Albergue San José</t>
  </si>
  <si>
    <t>No lo sé</t>
  </si>
  <si>
    <t>Hermano Jose Antonio</t>
  </si>
  <si>
    <t>hmlosmolinos@maristasiberica.es</t>
  </si>
  <si>
    <t>80 Euros</t>
  </si>
  <si>
    <t>Espacios comunes compartidos</t>
  </si>
  <si>
    <t>Bueno</t>
  </si>
  <si>
    <t>1pwUwy0Czn6Lg9ZX-c9aRcZA1TbsL-eW7</t>
  </si>
  <si>
    <t>https://drive.google.com/a/scoutsdemadrid.org/file/d/1pwUwy0Czn6Lg9ZX-c9aRcZA1TbsL-eW7/view?usp=drivesdk</t>
  </si>
  <si>
    <t>Document successfully created; Document successfully merged; PDF created; !!!ERR: Failed to add merged file to folder due to Google error: No se ha podido llamar a la API drive.files.patch; error: File not found: Los Molinos; Emails Sent: [To: daperador@scoutsdemadrid.org]; Manually run by daperador@scoutsdemadrid.org; Timestamp: Nov 11 2019 6:53 AM</t>
  </si>
  <si>
    <t>Navalagamella</t>
  </si>
  <si>
    <t>Albergue La Frontera</t>
  </si>
  <si>
    <t>001100100VK08B0001RE</t>
  </si>
  <si>
    <t>40°28'35.4"N 4°06'42.8"W</t>
  </si>
  <si>
    <t>Asociación La Frontera</t>
  </si>
  <si>
    <t>reservas@alberguelafrontera.es</t>
  </si>
  <si>
    <t>60 € /pax /quincena</t>
  </si>
  <si>
    <t>6 ha</t>
  </si>
  <si>
    <t>1,5 km</t>
  </si>
  <si>
    <t>Piscina a 1,5 km</t>
  </si>
  <si>
    <t>Cocina, comedor, aseos, wc, duchas, salas, almacén</t>
  </si>
  <si>
    <t>Bien</t>
  </si>
  <si>
    <t>1U_h5ESn-uuOiso_d-o1sX1EwMOYaICf8</t>
  </si>
  <si>
    <t>https://drive.google.com/a/scoutsdemadrid.org/file/d/1U_h5ESn-uuOiso_d-o1sX1EwMOYaICf8/view?usp=drivesdk</t>
  </si>
  <si>
    <t>Document successfully created; Document successfully merged; PDF created; !!!ERR: Failed to add merged file to folder due to Google error: No se ha podido llamar a la API drive.files.patch; error: File not found: Navalagamella; Emails Sent: [To: daperador@scoutsdemadrid.org]; Manually run by daperador@scoutsdemadrid.org; Timestamp: Nov 11 2019 6:53 AM</t>
  </si>
  <si>
    <t xml:space="preserve">gs.calasanzval@scoutsdemadrid.org  </t>
  </si>
  <si>
    <t>Alcalá De Henares</t>
  </si>
  <si>
    <t>Albergue la Fuente Fría</t>
  </si>
  <si>
    <t>Latitud 40.142987 Longitud: -4.703189</t>
  </si>
  <si>
    <t>Viriato Naturaventur S.L.</t>
  </si>
  <si>
    <t>info@alberguefuentefria.com</t>
  </si>
  <si>
    <t>5 euros por persona por día</t>
  </si>
  <si>
    <t>2 hectareas</t>
  </si>
  <si>
    <t>1,3 km</t>
  </si>
  <si>
    <t>Es una piscina municipal</t>
  </si>
  <si>
    <t>Tiene albergue, cocina, baños, comedor, sala multiusos</t>
  </si>
  <si>
    <t>Buen precio y buen trato</t>
  </si>
  <si>
    <t>1o1jwSFig7UJ-rcluyJKk4pS-hHtuDV2d</t>
  </si>
  <si>
    <t>https://drive.google.com/a/scoutsdemadrid.org/file/d/1o1jwSFig7UJ-rcluyJKk4pS-hHtuDV2d/view?usp=drivesdk</t>
  </si>
  <si>
    <t>Document successfully created; Document successfully merged; PDF created; !!!ERR: Failed to add merged file to folder due to Google error: No se ha podido llamar a la API drive.files.patch; error: File not found: Alcalá De Henares; Emails Sent: [To: daperador@scoutsdemadrid.org]; Manually run by daperador@scoutsdemadrid.org; Timestamp: Nov 11 2019 6:53 AM</t>
  </si>
  <si>
    <t>Campamento- Albergue "La Frontera"</t>
  </si>
  <si>
    <t>(40.4746557, -4.1107207)</t>
  </si>
  <si>
    <t>Asociación "La Frontera"</t>
  </si>
  <si>
    <t>910642219 - 646199243</t>
  </si>
  <si>
    <t>WC con duchas</t>
  </si>
  <si>
    <t>Si, cocina, comedor, salas.</t>
  </si>
  <si>
    <t>Albergue completo</t>
  </si>
  <si>
    <t>1ccPg8IlMo0OeIea1D5R1u6gyi6R8AexP</t>
  </si>
  <si>
    <t>https://drive.google.com/a/scoutsdemadrid.org/file/d/1ccPg8IlMo0OeIea1D5R1u6gyi6R8AexP/view?usp=drivesdk</t>
  </si>
  <si>
    <t>Albergue Marista San José</t>
  </si>
  <si>
    <t>No lo se</t>
  </si>
  <si>
    <t>Maristas San José</t>
  </si>
  <si>
    <t>2 Km</t>
  </si>
  <si>
    <t>cancha baloncesto y futbol</t>
  </si>
  <si>
    <t>1CefCBb_6SatXyUxHG2B2xp6mxJHmqmTW</t>
  </si>
  <si>
    <t>https://drive.google.com/a/scoutsdemadrid.org/file/d/1CefCBb_6SatXyUxHG2B2xp6mxJHmqmTW/view?usp=drivesdk</t>
  </si>
  <si>
    <t>Canencia</t>
  </si>
  <si>
    <t>La Cabaña de Luis Pinilla</t>
  </si>
  <si>
    <t>Lo desconozco</t>
  </si>
  <si>
    <t>M 629, PK 18,200</t>
  </si>
  <si>
    <t>Misión Juventud</t>
  </si>
  <si>
    <t>gracianomar@gmail.com</t>
  </si>
  <si>
    <t>8 a 12 € por persona y día</t>
  </si>
  <si>
    <t>4 km</t>
  </si>
  <si>
    <t>Buena zona de baño pero carece de sombra</t>
  </si>
  <si>
    <t>2 duchas, 2 baños, una cocina equipada, salón, porche con mesas, 3 habitaciones ( una con 13 camas y 2 con 2 camas), zona de juego, un salón</t>
  </si>
  <si>
    <t>No sé</t>
  </si>
  <si>
    <t>La zona para jugar es amplia. Apto para grupos pequeños o acampadas de rama.</t>
  </si>
  <si>
    <t>1GO-QK0HZaa1uTu5C4eU8DpJciKnClvtl</t>
  </si>
  <si>
    <t>https://drive.google.com/a/scoutsdemadrid.org/file/d/1GO-QK0HZaa1uTu5C4eU8DpJciKnClvtl/view?usp=drivesdk</t>
  </si>
  <si>
    <t>Document successfully created; Document successfully merged; PDF created; !!!ERR: Failed to add merged file to folder due to Google error: No se ha podido llamar a la API drive.files.patch; error: File not found: Canencia; Emails Sent: [To: daperador@scoutsdemadrid.org]; Manually run by daperador@scoutsdemadrid.org; Timestamp: Nov 11 2019 6:53 AM</t>
  </si>
  <si>
    <t>Lénova</t>
  </si>
  <si>
    <t>Entrenaranjos</t>
  </si>
  <si>
    <t>Jesús Quereda</t>
  </si>
  <si>
    <t>sered8@yahoo.es</t>
  </si>
  <si>
    <t xml:space="preserve">Piscina </t>
  </si>
  <si>
    <t>Piscina, comedor cubierto, cocina, baños (aseos y duchas)</t>
  </si>
  <si>
    <t>Instalaciones muy completas, nos han preparado la zona de acampada bastante  bien</t>
  </si>
  <si>
    <t>1WlxYPmP8Scx0RNNcXpuitSK8OrsxteIs</t>
  </si>
  <si>
    <t>https://drive.google.com/a/scoutsdemadrid.org/file/d/1WlxYPmP8Scx0RNNcXpuitSK8OrsxteIs/view?usp=drivesdk</t>
  </si>
  <si>
    <t>Document successfully created; Document successfully merged; PDF created; !!!ERR: Failed to add merged file to folder due to Google error: No se ha podido llamar a la API drive.files.patch; error: File not found: Lénova; Emails Sent: [To: daperador@scoutsdemadrid.org]; Manually run by daperador@scoutsdemadrid.org; Timestamp: Nov 11 2019 6:54 AM</t>
  </si>
  <si>
    <t xml:space="preserve">gs.sanpedro@scoutsdemadrid.org  </t>
  </si>
  <si>
    <t>Bétera</t>
  </si>
  <si>
    <t>Centro scout LA MORERÍA</t>
  </si>
  <si>
    <t>39°42'07.6"N 0°28'08.7"W</t>
  </si>
  <si>
    <t>1Zfpo2Vh19V1hanQ_YRjFcZbMWoGlQYJQ</t>
  </si>
  <si>
    <t>https://drive.google.com/a/scoutsdemadrid.org/file/d/1Zfpo2Vh19V1hanQ_YRjFcZbMWoGlQYJQ/view?usp=drivesdk</t>
  </si>
  <si>
    <t>Document successfully created; Document successfully merged; PDF created; !!!ERR: Failed to add merged file to folder due to Google error: No se ha podido llamar a la API drive.files.patch; error: File not found: Bétera; Emails Sent: [To: daperador@scoutsdemadrid.org]; Manually run by daperador@scoutsdemadrid.org; Timestamp: Nov 11 2019 6:54 AM</t>
  </si>
  <si>
    <t>Aras De Los Olmos</t>
  </si>
  <si>
    <t>Los Rubiales</t>
  </si>
  <si>
    <t xml:space="preserve">x = 654329  y = 4420945 </t>
  </si>
  <si>
    <t>1GabpH3SG49gdTaL9LrC-DyxuZvWpd1zW</t>
  </si>
  <si>
    <t>https://drive.google.com/a/scoutsdemadrid.org/file/d/1GabpH3SG49gdTaL9LrC-DyxuZvWpd1zW/view?usp=drivesdk</t>
  </si>
  <si>
    <t>Document successfully created; Document successfully merged; PDF created; !!!ERR: Failed to add merged file to folder due to Google error: No se ha podido llamar a la API drive.files.patch; error: File not found: Aras De Los Olmos; Emails Sent: [To: daperador@scoutsdemadrid.org]; Manually run by daperador@scoutsdemadrid.org; Timestamp: Nov 11 2019 6:54 AM</t>
  </si>
  <si>
    <t>132w_CEExrfeh6QJCYteL2FpMFrsfrraH</t>
  </si>
  <si>
    <t>https://drive.google.com/a/scoutsdemadrid.org/file/d/132w_CEExrfeh6QJCYteL2FpMFrsfrraH/view?usp=drivesdk</t>
  </si>
  <si>
    <t>Fuera de España</t>
  </si>
  <si>
    <t xml:space="preserve">gs.adhara@scoutsdemadrid.org </t>
  </si>
  <si>
    <t xml:space="preserve"> São Jacinto</t>
  </si>
  <si>
    <t>Centro Nacional de Formaçao Ambiental Sao Jacinto (National Environmental Training Centre)</t>
  </si>
  <si>
    <t>Cocina, baños, sala talleres</t>
  </si>
  <si>
    <t>Nos la dan ellos</t>
  </si>
  <si>
    <t>1paUmV8zBkosBZ0xH9DxwEpLUgatRO7k0</t>
  </si>
  <si>
    <t>https://drive.google.com/a/scoutsdemadrid.org/file/d/1paUmV8zBkosBZ0xH9DxwEpLUgatRO7k0/view?usp=drivesdk</t>
  </si>
  <si>
    <t>Document successfully created; Document successfully merged; PDF created; !!!ERR: Failed to add merged file to folder due to Google error: No se ha podido llamar a la API drive.files.patch; error: File not found: São Jacinto; Emails Sent: [To: daperador@scoutsdemadrid.org]; Manually run by daperador@scoutsdemadrid.org; Timestamp: Nov 11 2019 6:54 AM</t>
  </si>
  <si>
    <t>Agrupación Ruta</t>
  </si>
  <si>
    <t xml:space="preserve">gs.agrupaci@scoutsdemadrid.org </t>
  </si>
  <si>
    <t>Camino De Santiago: Oporto, Santiago</t>
  </si>
  <si>
    <t xml:space="preserve">Campamento itinerante, no hay persona propietaria </t>
  </si>
  <si>
    <t>1XA_0_OdOMgMB5XPcpz2qopbtHqDs3Wux</t>
  </si>
  <si>
    <t>https://drive.google.com/a/scoutsdemadrid.org/file/d/1XA_0_OdOMgMB5XPcpz2qopbtHqDs3Wux/view?usp=drivesdk</t>
  </si>
  <si>
    <t>Document successfully created; Document successfully merged; PDF created; !!!ERR: Failed to add merged file to folder due to Google error: No se ha podido llamar a la API drive.files.patch; error: File not found: Camino De Santiago: Oporto; Emails Sent: [To: daperador@scoutsdemadrid.org]; Manually run by daperador@scoutsdemadrid.org; Timestamp: Nov 11 2019 6:55 AM</t>
  </si>
  <si>
    <t>Torreira - Aveiro</t>
  </si>
  <si>
    <t>Instalaciones del Agrupamento 824 - Nossa Senhora do Bom Sucesso Torreira</t>
  </si>
  <si>
    <t>40.776703, -8.692361</t>
  </si>
  <si>
    <t>João Pilré (coordinador del grupo)</t>
  </si>
  <si>
    <t>1 ha albergue, 20 ha alrededor</t>
  </si>
  <si>
    <t>20m2</t>
  </si>
  <si>
    <t>Baños con wc y duchas, son instalaciones</t>
  </si>
  <si>
    <t>Sí, baños, cocina y albergue</t>
  </si>
  <si>
    <t>En general el albergue está muy bien, la zona donde pueden ir las tiendas es pequeña (dentro del recinto del albergue) pero alrededor es todo campo.</t>
  </si>
  <si>
    <t>1wO-N4g0eCnWck8aGdUuVr_crnSL0mQgJ</t>
  </si>
  <si>
    <t>https://drive.google.com/a/scoutsdemadrid.org/file/d/1wO-N4g0eCnWck8aGdUuVr_crnSL0mQgJ/view?usp=drivesdk</t>
  </si>
  <si>
    <t>Document successfully created; Document successfully merged; PDF created; !!!ERR: Failed to add merged file to folder due to Google error: No se ha podido llamar a la API drive.files.patch; error: File not found: Torreira - Aveiro; Emails Sent: [To: daperador@scoutsdemadrid.org]; Manually run by daperador@scoutsdemadrid.org; Timestamp: Nov 11 2019 6:55 AM</t>
  </si>
  <si>
    <t xml:space="preserve">gs.santanaysanrafael@scoutsdemadrid.org </t>
  </si>
  <si>
    <t>Sanguinhedo De Maças, Lordosa, Viseu</t>
  </si>
  <si>
    <t>Pinhal junto au rio Vouge</t>
  </si>
  <si>
    <t>Artur Osório</t>
  </si>
  <si>
    <t>8 metros</t>
  </si>
  <si>
    <t>Tenemos un río al lado  a una altura inferior, es fácil acceder a él dando un rodeo por la zona.</t>
  </si>
  <si>
    <t>Hubo un incendio hace unos años y se cargó muchos árboles y dejo el suelo muy sucio.</t>
  </si>
  <si>
    <t>1zddvLbCBLTUUltRic1a6LcOYf9js0dz2</t>
  </si>
  <si>
    <t>https://drive.google.com/a/scoutsdemadrid.org/file/d/1zddvLbCBLTUUltRic1a6LcOYf9js0dz2/view?usp=drivesdk</t>
  </si>
  <si>
    <t>Document successfully created; Document successfully merged; PDF created; !!!ERR: Failed to add merged file to folder due to Google error: No se ha podido llamar a la API drive.files.patch; error: File not found: Viseu; Emails Sent: [To: daperador@scoutsdemadrid.org]; Manually run by daperador@scoutsdemadrid.org; Timestamp: Nov 11 2019 6:55 AM</t>
  </si>
  <si>
    <t>Sao Jacinto</t>
  </si>
  <si>
    <t>Centro Nacional de Formacion Ambiental Sao Jacinto</t>
  </si>
  <si>
    <t xml:space="preserve">Jose Carlos Santos </t>
  </si>
  <si>
    <t xml:space="preserve">Oceáno </t>
  </si>
  <si>
    <t>Baño, cocina y comedor</t>
  </si>
  <si>
    <t>1ahH-NsfArBwMzGdcT4Ul6xp6EQyMDjWa</t>
  </si>
  <si>
    <t>https://drive.google.com/a/scoutsdemadrid.org/file/d/1ahH-NsfArBwMzGdcT4Ul6xp6EQyMDjWa/view?usp=drivesdk</t>
  </si>
  <si>
    <t>Document successfully created; Document successfully merged; PDF created; !!!ERR: Failed to add merged file to folder due to Google error: No se ha podido llamar a la API drive.files.patch; error: File not found: Sao Jacinto; Emails Sent: [To: daperador@scoutsdemadrid.org]; Manually run by daperador@scoutsdemadrid.org; Timestamp: Nov 11 2019 6:55 AM</t>
  </si>
  <si>
    <t xml:space="preserve">gs.verdruna@scoutsdemadrid.org </t>
  </si>
  <si>
    <t>Costa De Caparica</t>
  </si>
  <si>
    <t>PNEC</t>
  </si>
  <si>
    <t>38º39'1.00ºN 9º14'23.00ºW</t>
  </si>
  <si>
    <t>Escoteiros de Portugal</t>
  </si>
  <si>
    <t>00351 21 363 93 39</t>
  </si>
  <si>
    <t>geral@escoteiros.pt</t>
  </si>
  <si>
    <t>3€ pers./día</t>
  </si>
  <si>
    <t>Playa</t>
  </si>
  <si>
    <t>Cocinas, comedores, baños, lavabos, zona para hacer fuego, dormitorios, salas, almacenes</t>
  </si>
  <si>
    <t>El campamento proporciona madera para utilizar en las construcciones</t>
  </si>
  <si>
    <t>Campa compartida. Tiene capacidad para 800 personas</t>
  </si>
  <si>
    <t>1iPs9KdCR4ynYHaMcZCYpjCd7QSTPbjiP</t>
  </si>
  <si>
    <t>https://drive.google.com/a/scoutsdemadrid.org/file/d/1iPs9KdCR4ynYHaMcZCYpjCd7QSTPbjiP/view?usp=drivesdk</t>
  </si>
  <si>
    <t>Document successfully created; Document successfully merged; PDF created; !!!ERR: Failed to add merged file to folder due to Google error: No se ha podido llamar a la API drive.files.patch; error: File not found: Costa De Caparica; Emails Sent: [To: daperador@scoutsdemadrid.org]; Manually run by daperador@scoutsdemadrid.org; Timestamp: Nov 11 2019 6:55 AM</t>
  </si>
  <si>
    <t xml:space="preserve">gs.anapurna@scoutsdemadrid.org </t>
  </si>
  <si>
    <t>Cantanede</t>
  </si>
  <si>
    <t>Praia do Palheirao</t>
  </si>
  <si>
    <t>1gtv6cUXXWI46u6MF3VGTfVG24lQe0L9y</t>
  </si>
  <si>
    <t>https://drive.google.com/a/scoutsdemadrid.org/file/d/1gtv6cUXXWI46u6MF3VGTfVG24lQe0L9y/view?usp=drivesdk</t>
  </si>
  <si>
    <t>Document successfully created; Document successfully merged; PDF created; !!!ERR: Failed to add merged file to folder due to Google error: No se ha podido llamar a la API drive.files.patch; error: File not found: 2015; Emails Sent: [To: daperador@scoutsdemadrid.org]; Manually run by daperador@scoutsdemadrid.org; Timestamp: Nov 11 2019 6:55 AM</t>
  </si>
  <si>
    <t>Viseu, Beira Alta</t>
  </si>
  <si>
    <t>Sanguinhedo de Maças</t>
  </si>
  <si>
    <t>40º45’24.31”N   7º52’27.90”O</t>
  </si>
  <si>
    <t>1UchMq7YpPn7yGcG0Gu-tFez54Y2OlVvW</t>
  </si>
  <si>
    <t>https://drive.google.com/a/scoutsdemadrid.org/file/d/1UchMq7YpPn7yGcG0Gu-tFez54Y2OlVvW/view?usp=drivesdk</t>
  </si>
  <si>
    <t>Sanguinhedo Da Maças</t>
  </si>
  <si>
    <t>N 40º 45.(161+A)  W 007º 52.(969+A)</t>
  </si>
  <si>
    <t>Nuno Miguel Ferreira Silva</t>
  </si>
  <si>
    <t>+351 963 312 535</t>
  </si>
  <si>
    <t>n/s</t>
  </si>
  <si>
    <t>Río con caudal suficiente para poder disfrutar del agua y aprovechar al máximo el recurso</t>
  </si>
  <si>
    <t>Finca amplia para poder acampar con las tiendas y pabellones del grupo, teniendo río cerca para poder utilizarlo. El pueblo está a 5 minutos en coche.</t>
  </si>
  <si>
    <t>1XmtZQA4r4XFrK9DNMsuDiUhB7_wMKizu</t>
  </si>
  <si>
    <t>https://drive.google.com/a/scoutsdemadrid.org/file/d/1XmtZQA4r4XFrK9DNMsuDiUhB7_wMKizu/view?usp=drivesdk</t>
  </si>
  <si>
    <t>Document successfully created; Document successfully merged; PDF created; !!!ERR: Failed to add merged file to folder due to Google error: No se ha podido llamar a la API drive.files.patch; error: File not found: Sanguinhedo Da Maças; Emails Sent: [To: daperador@scoutsdemadrid.org]; Manually run by daperador@scoutsdemadrid.org; Timestamp: Nov 11 2019 6:56 AM</t>
  </si>
  <si>
    <t>Aveiro</t>
  </si>
  <si>
    <t>Centro Escutista Sao Jacinto</t>
  </si>
  <si>
    <t>40.668011, -8.735720</t>
  </si>
  <si>
    <t>Corpo Nacional de Escutas</t>
  </si>
  <si>
    <t>+35 926 561 930</t>
  </si>
  <si>
    <t>info@saojacinto.cne-escutismo.pt</t>
  </si>
  <si>
    <t>3 € /pax/día</t>
  </si>
  <si>
    <t>Se divide en diferentes zonas de acampada, pudiendo albergar 700 personas</t>
  </si>
  <si>
    <t>Piscina municipal y playa (mar abierto)</t>
  </si>
  <si>
    <t>Cuenta con cocina, baños, fregadores y capilla</t>
  </si>
  <si>
    <t>En el centro proporcionan madera</t>
  </si>
  <si>
    <t>Se valora positivamente el contacto con otros grupos y nacionalidades</t>
  </si>
  <si>
    <t>1Mv7uuryE5n69CKJB8Z6fe-gEBnIkv7Nc</t>
  </si>
  <si>
    <t>https://drive.google.com/a/scoutsdemadrid.org/file/d/1Mv7uuryE5n69CKJB8Z6fe-gEBnIkv7Nc/view?usp=drivesdk</t>
  </si>
  <si>
    <t>Document successfully created; Document successfully merged; PDF created; !!!ERR: Failed to add merged file to folder due to Google error: No se ha podido llamar a la API drive.files.patch; error: File not found: Aveiro; Emails Sent: [To: daperador@scoutsdemadrid.org]; Manually run by daperador@scoutsdemadrid.org; Timestamp: Nov 11 2019 6:56 AM</t>
  </si>
  <si>
    <t>Santiago Do Cacém</t>
  </si>
  <si>
    <t>Centro de Interpretação do Monte do Paio</t>
  </si>
  <si>
    <t>Celio</t>
  </si>
  <si>
    <t>+351936409922</t>
  </si>
  <si>
    <t>geral.581@escutismo.pt</t>
  </si>
  <si>
    <t>1,5 € por persona</t>
  </si>
  <si>
    <t>11570 m2</t>
  </si>
  <si>
    <t>Cocina, WC, duchas, zona de pabellones (comedores)</t>
  </si>
  <si>
    <t>Zona estupenda para poder acampar, con zonas de sobras para juegos e instalaciones básicas.</t>
  </si>
  <si>
    <t>1ISRgM1czGfobewrNzunZsC6Wq_jFj-fX</t>
  </si>
  <si>
    <t>https://drive.google.com/a/scoutsdemadrid.org/file/d/1ISRgM1czGfobewrNzunZsC6Wq_jFj-fX/view?usp=drivesdk</t>
  </si>
  <si>
    <t>Document successfully created; Document successfully merged; PDF created; !!!ERR: Failed to add merged file to folder due to Google error: No se ha podido llamar a la API drive.files.patch; error: File not found: Santiago Do Cacém; Emails Sent: [To: daperador@scoutsdemadrid.org]; Manually run by daperador@scoutsdemadrid.org; Timestamp: Nov 11 2019 6:56 AM</t>
  </si>
  <si>
    <t>Monte Kenya 445</t>
  </si>
  <si>
    <t xml:space="preserve">gs.montekenia445@scoutsdemadrid.org </t>
  </si>
  <si>
    <t>Londres Y Jambville</t>
  </si>
  <si>
    <t>Southall Activity Center</t>
  </si>
  <si>
    <t>GJ9C+XC Southall, Reino Unido</t>
  </si>
  <si>
    <t>Phil Thorne</t>
  </si>
  <si>
    <t>+44 7774 110854</t>
  </si>
  <si>
    <t>philthorne@virginmedia.com</t>
  </si>
  <si>
    <t>3000m2</t>
  </si>
  <si>
    <t>Baños, comedor, cocina, etc</t>
  </si>
  <si>
    <t>Es genial para un grupo de hasta 75-80 personas</t>
  </si>
  <si>
    <t>1G_SaI5eadyzfSVhNgLcsJ3UZPHnDBxvQ</t>
  </si>
  <si>
    <t>https://drive.google.com/a/scoutsdemadrid.org/file/d/1G_SaI5eadyzfSVhNgLcsJ3UZPHnDBxvQ/view?usp=drivesdk</t>
  </si>
  <si>
    <t>Document successfully created; Document successfully merged; PDF created; !!!ERR: Failed to add merged file to folder due to Google error: No se ha podido llamar a la API drive.files.patch; error: File not found: Londres Y Jambville; Emails Sent: [To: daperador@scoutsdemadrid.org]; Manually run by daperador@scoutsdemadrid.org; Timestamp: Nov 11 2019 6:56 AM</t>
  </si>
  <si>
    <t>Zona Campamento</t>
  </si>
  <si>
    <t xml:space="preserve">CAMPAMENTO </t>
  </si>
  <si>
    <t>GRUPO</t>
  </si>
  <si>
    <t>CONTACTO</t>
  </si>
  <si>
    <t>NOMBRE y APELLIDOS de la persona/entidad propietaria</t>
  </si>
  <si>
    <t>TELÉFONO de contacto con la persona/entidad propietaria</t>
  </si>
  <si>
    <t>E-MAIL de la persona/entidad propietaria</t>
  </si>
  <si>
    <t>OBSERVACIONES</t>
  </si>
  <si>
    <t>BUEN PASTOR</t>
  </si>
  <si>
    <t>LIBERTAS</t>
  </si>
  <si>
    <t>PILAR</t>
  </si>
  <si>
    <t>ARAGON</t>
  </si>
  <si>
    <t>San Jorge y San José</t>
  </si>
  <si>
    <t>ARAGÓN</t>
  </si>
  <si>
    <t>VEDRUNA</t>
  </si>
  <si>
    <t>SAN PABLO</t>
  </si>
  <si>
    <t>Aragués del Puerto</t>
  </si>
  <si>
    <t>SANTO DOMINGO</t>
  </si>
  <si>
    <t>AMORÓS</t>
  </si>
  <si>
    <t>Asturias, Principado de</t>
  </si>
  <si>
    <t>QUEZTAL</t>
  </si>
  <si>
    <t>CANTABRIA</t>
  </si>
  <si>
    <t>valverde</t>
  </si>
  <si>
    <t>MONTE NEBO</t>
  </si>
  <si>
    <t>Alto campoó, Brañavieja</t>
  </si>
  <si>
    <t>TALLAC</t>
  </si>
  <si>
    <t>Cabezón de Liébana</t>
  </si>
  <si>
    <t>VALVERDE</t>
  </si>
  <si>
    <t>cantabria</t>
  </si>
  <si>
    <t>SANTA ANA SAN RAFAEL</t>
  </si>
  <si>
    <t>Fuente De a Oseja de Sajambre</t>
  </si>
  <si>
    <t>CLARET</t>
  </si>
  <si>
    <t>ADHARA</t>
  </si>
  <si>
    <t>CASTILLA Y LEÓN</t>
  </si>
  <si>
    <t>Calzada de Tera</t>
  </si>
  <si>
    <t>Hoyos del Espino</t>
  </si>
  <si>
    <t>Navalmoral de la Sierra</t>
  </si>
  <si>
    <t xml:space="preserve">gs,alud@scoutsdemadrid.org </t>
  </si>
  <si>
    <t>ALUD</t>
  </si>
  <si>
    <t xml:space="preserve">Avila </t>
  </si>
  <si>
    <t>Barbadillo del pez</t>
  </si>
  <si>
    <t>Zapardiel de la Ribera</t>
  </si>
  <si>
    <t>CALASANZ VAL</t>
  </si>
  <si>
    <t>Noceda del Bierzo</t>
  </si>
  <si>
    <t>LEÓN</t>
  </si>
  <si>
    <t>COFIÑAL (PUEBLA DE LILLO)</t>
  </si>
  <si>
    <t>EL REMOLINO</t>
  </si>
  <si>
    <t>ávila</t>
  </si>
  <si>
    <t>Barco de ávila</t>
  </si>
  <si>
    <t>Regumiel de la Sierra</t>
  </si>
  <si>
    <t>ENCUENTRO</t>
  </si>
  <si>
    <t>FÁTIMA</t>
  </si>
  <si>
    <t>AVILA</t>
  </si>
  <si>
    <t>GAVILANES</t>
  </si>
  <si>
    <t>Navalmoral de la sierra</t>
  </si>
  <si>
    <t xml:space="preserve">Burgos </t>
  </si>
  <si>
    <t xml:space="preserve">Quintanilla del Agua </t>
  </si>
  <si>
    <t>GOA</t>
  </si>
  <si>
    <t>Boca de Huérgano</t>
  </si>
  <si>
    <t>Priaranza de la Valduerna</t>
  </si>
  <si>
    <t>espinosa de los monteros</t>
  </si>
  <si>
    <t>LA MERCED</t>
  </si>
  <si>
    <t>Avila</t>
  </si>
  <si>
    <t>La Vecilla de Curueño</t>
  </si>
  <si>
    <t>Lince san gregorio</t>
  </si>
  <si>
    <t>Leon</t>
  </si>
  <si>
    <t>Puebla de lillo</t>
  </si>
  <si>
    <t>LINCE SAN GREGORIO</t>
  </si>
  <si>
    <t>MADRE DEL ROSARIO</t>
  </si>
  <si>
    <t>Santa María de la Alameda</t>
  </si>
  <si>
    <t>ORION</t>
  </si>
  <si>
    <t>BURGOHONDO</t>
  </si>
  <si>
    <t>ORIÓN</t>
  </si>
  <si>
    <t>PAZ</t>
  </si>
  <si>
    <t>San Pedro de Gaíllos</t>
  </si>
  <si>
    <t>Aguilar de Campoo</t>
  </si>
  <si>
    <t>Muelas de los Caballeros</t>
  </si>
  <si>
    <t>SAMASABE-CALASANCIO</t>
  </si>
  <si>
    <t>LOS LLANOS DE TORMES</t>
  </si>
  <si>
    <t>PEGUERINOS</t>
  </si>
  <si>
    <t>SAN AGUSTÍN</t>
  </si>
  <si>
    <t>burgos</t>
  </si>
  <si>
    <t>SAN GABRIEL</t>
  </si>
  <si>
    <t>Navarredonda de Gredos</t>
  </si>
  <si>
    <t>BOHOYO</t>
  </si>
  <si>
    <t>SAN JORGE</t>
  </si>
  <si>
    <t>Manzanal de Arriba</t>
  </si>
  <si>
    <t>SAN PEDRO</t>
  </si>
  <si>
    <t xml:space="preserve">avila </t>
  </si>
  <si>
    <t xml:space="preserve">mombeltran </t>
  </si>
  <si>
    <t>Ávla</t>
  </si>
  <si>
    <t>SANTA MARÍA DEL PILAR</t>
  </si>
  <si>
    <t>Tolbaños de Abajo</t>
  </si>
  <si>
    <t>Santa María la Blanca</t>
  </si>
  <si>
    <t>SORIA</t>
  </si>
  <si>
    <t>DURUELO DE LA SIERRA</t>
  </si>
  <si>
    <t>ULTREYA</t>
  </si>
  <si>
    <t>ÁVILA</t>
  </si>
  <si>
    <t>GUISANDO</t>
  </si>
  <si>
    <t>CHAMBERÍ</t>
  </si>
  <si>
    <t>cuenca</t>
  </si>
  <si>
    <t>tragacete</t>
  </si>
  <si>
    <t>DON QUIJOTE</t>
  </si>
  <si>
    <t>guadalajara</t>
  </si>
  <si>
    <t>Almonacid de Zorita</t>
  </si>
  <si>
    <t>Vega del Codorno</t>
  </si>
  <si>
    <t>poyatos</t>
  </si>
  <si>
    <t>Poveda de la Sierra</t>
  </si>
  <si>
    <t>CUENCA</t>
  </si>
  <si>
    <t>UÑA</t>
  </si>
  <si>
    <t>Empresa de alquiler</t>
  </si>
  <si>
    <t>Matrícula</t>
  </si>
  <si>
    <t>Nº/Código del contrato de alquiler</t>
  </si>
  <si>
    <t>Solicitud de Autorización</t>
  </si>
  <si>
    <t>Documentación complementaria</t>
  </si>
  <si>
    <t>REGISTRO DE ADULTOS</t>
  </si>
  <si>
    <t>CERTIFICADOS REGISTRO DELITOS</t>
  </si>
  <si>
    <t>AUTORIZACIÓN PROPIETARIO</t>
  </si>
  <si>
    <t>AUTORIZACIÓN ORGANISMO (JUNTA, mEDIOAMBIENTE, SANIDAD)</t>
  </si>
  <si>
    <t>AUTORIZACION FIRMADA</t>
  </si>
  <si>
    <t xml:space="preserve">ENVIO DE AUTORIZACIÓN </t>
  </si>
  <si>
    <t>EXTREMADURA</t>
  </si>
  <si>
    <t>Caceres</t>
  </si>
  <si>
    <t>Alava</t>
  </si>
  <si>
    <t>ÁGUILA</t>
  </si>
  <si>
    <t>Orense - Pioneros en Oporto (portugal)</t>
  </si>
  <si>
    <t>ANNAPURNA</t>
  </si>
  <si>
    <t>Santa Ana y San Rafael</t>
  </si>
  <si>
    <t>A Pobra de San Xiao (Láncara)</t>
  </si>
  <si>
    <t>CORUÑA</t>
  </si>
  <si>
    <t>CONCELLO SAN SADURNIÑO</t>
  </si>
  <si>
    <t>LA RIOJA</t>
  </si>
  <si>
    <t>logroño</t>
  </si>
  <si>
    <t>Ortigosa de Cameros</t>
  </si>
  <si>
    <t>ALTAIRA</t>
  </si>
  <si>
    <t>Madrid, Comunidad de</t>
  </si>
  <si>
    <t>LÉnova</t>
  </si>
  <si>
    <t>la Acebeda</t>
  </si>
  <si>
    <t>COMUNIDAD VALENCIANA</t>
  </si>
  <si>
    <t>Aras de los Olmos</t>
  </si>
  <si>
    <t>Alcalá de Henares</t>
  </si>
  <si>
    <t xml:space="preserve"> Madrid</t>
  </si>
  <si>
    <t>AGRUPACIÓN RUTA</t>
  </si>
  <si>
    <t>Camino de Santiago: Oporto, Santiago</t>
  </si>
  <si>
    <t>Sanguinhedo de Maças, Lordosa, Viseu</t>
  </si>
  <si>
    <t>Costa de Caparica</t>
  </si>
  <si>
    <t>Sanguinhedo da Maças</t>
  </si>
  <si>
    <t>Santiago do Cacém</t>
  </si>
  <si>
    <t>MONTE KENYA 445</t>
  </si>
  <si>
    <t>Londres y Jambville</t>
  </si>
  <si>
    <t>Cloudlab URL</t>
  </si>
  <si>
    <t>NVPS Link Label</t>
  </si>
  <si>
    <t>New Visions URL</t>
  </si>
  <si>
    <t>Image URL</t>
  </si>
  <si>
    <t>Image description</t>
  </si>
  <si>
    <t>Image Width</t>
  </si>
  <si>
    <t>Image Height</t>
  </si>
  <si>
    <t>Closing</t>
  </si>
  <si>
    <t>Merged Doc ID - AutoCrat Demo Job</t>
  </si>
  <si>
    <t>Merged Doc URL - AutoCrat Demo Job</t>
  </si>
  <si>
    <t>Link to merged Doc - AutoCrat Demo Job</t>
  </si>
  <si>
    <t>Document Merge Status - AutoCrat Demo Job</t>
  </si>
  <si>
    <t>Merged Doc ID - AutoCrat Demo Job APE</t>
  </si>
  <si>
    <t>Merged Doc URL - AutoCrat Demo Job APE</t>
  </si>
  <si>
    <t>Link to merged Doc - AutoCrat Demo Job APE</t>
  </si>
  <si>
    <t>Document Merge Status - AutoCrat Demo Job APE</t>
  </si>
  <si>
    <t>cloudlab.newvisions.org</t>
  </si>
  <si>
    <t>New Visions for Public Schools</t>
  </si>
  <si>
    <t>www.newvisions.org</t>
  </si>
  <si>
    <t>https://storage.googleapis.com/cloudlab-images/CloudLab_Large.jpg</t>
  </si>
  <si>
    <t>The new AutoCrat Robot!</t>
  </si>
  <si>
    <t>Thanks for using AutoCrat!</t>
  </si>
  <si>
    <t>1EQ54HPkATBQqYVdAVw732qocFeDDTRwHccN4HQ0kQwM</t>
  </si>
  <si>
    <t>https://docs.google.com/document/d/1EQ54HPkATBQqYVdAVw732qocFeDDTRwHccN4HQ0kQwM/edit?usp=drivesdk</t>
  </si>
  <si>
    <t>Document successfully created; Document successfully merged; Emails Sent: [To: daperador@scoutsdemadrid.org]; Manually run by daperador@scoutsdemadrid.org; Timestamp: Nov 9 2019 2:20 PM</t>
  </si>
  <si>
    <t>1FGJwTG0jzEWiGyqJecDekj2aX4w2LJifmRRKSaVmdSw</t>
  </si>
  <si>
    <t>https://docs.google.com/document/d/1FGJwTG0jzEWiGyqJecDekj2aX4w2LJifmRRKSaVmdSw/edit?usp=drivesdk</t>
  </si>
  <si>
    <t>Document successfully created; Document successfully merged; Emails Sent: [To: daperador@scoutsdemadrid.org]; Manually run by daperador@scoutsdemadrid.org; Timestamp: Nov 10 2019 3:39 PM</t>
  </si>
  <si>
    <t>Job ID</t>
  </si>
  <si>
    <t>Job Name</t>
  </si>
  <si>
    <t>Template ID</t>
  </si>
  <si>
    <t>Data Sheet ID</t>
  </si>
  <si>
    <t>Header Row</t>
  </si>
  <si>
    <t>First Data Row</t>
  </si>
  <si>
    <t>File Name</t>
  </si>
  <si>
    <t>File Type</t>
  </si>
  <si>
    <t>Share As</t>
  </si>
  <si>
    <t>Folders</t>
  </si>
  <si>
    <t>Dynamic Folder Reference</t>
  </si>
  <si>
    <t>Conditionals</t>
  </si>
  <si>
    <t>Mode</t>
  </si>
  <si>
    <t>Append Breaks</t>
  </si>
  <si>
    <t>Tags</t>
  </si>
  <si>
    <t>Run On Time Trigger</t>
  </si>
  <si>
    <t>Time Trigger Frequency</t>
  </si>
  <si>
    <t>Run On Form Trigger</t>
  </si>
  <si>
    <t>Send Email And Share</t>
  </si>
  <si>
    <t>Email To</t>
  </si>
  <si>
    <t>Email CC</t>
  </si>
  <si>
    <t>Email BCC</t>
  </si>
  <si>
    <t>Email Reply To</t>
  </si>
  <si>
    <t>Email No Reply</t>
  </si>
  <si>
    <t>Email Subject</t>
  </si>
  <si>
    <t>Email Body</t>
  </si>
  <si>
    <t>Prevent Resharing</t>
  </si>
  <si>
    <t>Time Trigger Timestamp</t>
  </si>
  <si>
    <t>Form Trigger Timestamp</t>
  </si>
  <si>
    <t>_1573327071797</t>
  </si>
  <si>
    <t>Zonas Campamento</t>
  </si>
  <si>
    <t>1NYxuw8LdHv7ei8FYlXXBZAMCxlOLUdG6qQc7IYWJEcE</t>
  </si>
  <si>
    <t>PDF</t>
  </si>
  <si>
    <t>["10W9HI3o_QSNjpAIwYhkpQrBzsxNpwlrE"]</t>
  </si>
  <si>
    <t>["Población ","Año campamento"]</t>
  </si>
  <si>
    <t>[]</t>
  </si>
  <si>
    <t>MULTIPLE_OUTPUT</t>
  </si>
  <si>
    <t>[{"tag":"ComunidadAutónoma","type":"STANDARD","details":{"isUnmapped":false,"headerMap":"Comunidad Autónoma "}},{"tag":"Provincia","type":"STANDARD","details":{"isUnmapped":false,"headerMap":"Provincia "}},{"tag":"Población","type":"STANDARD","details":{"isUnmapped":false,"headerMap":"Población "}},{"tag":"Año","type":"STANDARD","details":{"isUnmapped":false,"headerMap":"Año campamento"}},{"tag":"Fecha de inicio","type":"STANDARD","details":{"isUnmapped":false,"headerMap":"Fecha de inicio "}},{"tag":"Fecha de finalización","type":"STANDARD","details":{"isUnmapped":false,"headerMap":"Fecha de finalización"}},{"tag":"Grupo","type":"STANDARD","details":{"isUnmapped":false,"headerMap":"Grupo"}},{"tag":"CONTACTO","type":"STANDARD","details":{"isUnmapped":false,"headerMap":"Contacto"}},{"tag":"Nombre de la finca/zona/albergue","type":"STANDARD","details":{"isUnmapped":false,"headerMap":"Nombre de la finca/zona/albergue"}},{"tag":"Número de Catastro","type":"STANDARD","details":{"isUnmapped":false,"headerMap":"Número de Catastro"}},{"tag":"Coordenadas","type":"STANDARD","details":{"isUnmapped":false,"headerMap":"Coordenadas"}},{"tag":"NOMBRE y APELLIDOS de la persona/entidad propietaria","type":"STANDARD","details":{"isUnmapped":false,"headerMap":"Nombre y apellidos de la persona/entidad propietaria"}},{"tag":"TELÉFONO de contacto con la persona/entidad propietaria","type":"STANDARD","details":{"isUnmapped":false,"headerMap":"Teléfono de contacto con la persona/entidad propietaria"}},{"tag":"E-MAIL de la persona/entidad propietaria","type":"STANDARD","details":{"isUnmapped":false,"headerMap":"E-mail de la persona/entidad propietaria"}},{"tag":"Canon de utilización","type":"STANDARD","details":{"isUnmapped":false,"headerMap":"Canon de utilización (Precio por persona, por quincena...)"}},{"tag":"Tamaño de la finca","type":"STANDARD","details":{"isUnmapped":false,"headerMap":"Tamaño de la finca en hectáreas (ha) o metros cuadrados (m2)"}},{"tag":"Calidad del acceso a la finca","type":"STANDARD","details":{"isUnmapped":false,"headerMap":"Calidad del acceso a la finca"}},{"tag":"Sombras","type":"STANDARD","details":{"isUnmapped":false,"headerMap":"¿Tiene zonas de sombra?"}},{"tag":"Distancia-zona-baño","type":"STANDARD","details":{"isUnmapped":false,"headerMap":"¿Distancia aproximada zona de baño ?"}},{"tag":"Breve descripción/valoración zona de baño","type":"STANDARD","details":{"isUnmapped":false,"headerMap":"Breve descripción/valoración zona de baño"}},{"tag":"Cuenta con instalaciones ¿Cuáles?","type":"STANDARD","details":{"isUnmapped":false,"headerMap":"Cuenta con instalaciones ¿Cuáles?"}},{"tag":"¿Se puede conseguir/comprar madera cerca?","type":"STANDARD","details":{"isUnmapped":false,"headerMap":"¿Se puede conseguir/comprar madera cerca?"}},{"tag":"Breve valoración y otras observaciones de la campa en general","type":"STANDARD","details":{"isUnmapped":false,"headerMap":"Breve valoración y otras observaciones de la campa en general"}},{"tag":"Observaciones","type":"STANDARD","details":{"isUnmapped":false,"headerMap":"Observaciones"}},{"tag":"TODAY","type":"BONUS","details":{}}]</t>
  </si>
  <si>
    <t>Zona de acampada &lt;&lt;TODAY&gt;&gt;</t>
  </si>
  <si>
    <t>Esta es la zona de acampada seleccionada en &lt;&lt;Provincia&gt;&gt;, &lt;&lt;Población&gt;&gt;
&lt;&lt;Closing&gt;&gt;</t>
  </si>
  <si>
    <t>(en blanco)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</si>
</sst>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quot;€&quot;"/>
    <numFmt numFmtId="165" formatCode="#,##0.00&quot;€&quot;"/>
    <numFmt numFmtId="166" formatCode="dd/mm/yy"/>
    <numFmt numFmtId="167" formatCode="m/d/yyyy\ h:mm:ss"/>
  </numFmts>
  <fonts count="35">
    <font>
      <sz val="10"/>
      <color rgb="FF000000"/>
      <name val="Arial"/>
    </font>
    <font>
      <sz val="10"/>
      <name val="Arial"/>
    </font>
    <font>
      <b/>
      <i/>
      <sz val="9"/>
      <color rgb="FF000000"/>
      <name val="Arial"/>
    </font>
    <font>
      <b/>
      <sz val="9"/>
      <color rgb="FFFFFFFF"/>
      <name val="Arial"/>
    </font>
    <font>
      <b/>
      <sz val="10"/>
      <name val="Arial"/>
    </font>
    <font>
      <u/>
      <sz val="9"/>
      <color rgb="FF0000FF"/>
      <name val="Arial"/>
    </font>
    <font>
      <b/>
      <sz val="9"/>
      <name val="Arial"/>
    </font>
    <font>
      <sz val="10"/>
      <name val="Arial"/>
    </font>
    <font>
      <sz val="9"/>
      <name val="Arial"/>
    </font>
    <font>
      <u/>
      <sz val="10"/>
      <color rgb="FF0000FF"/>
      <name val="Arial"/>
    </font>
    <font>
      <u/>
      <sz val="9"/>
      <color rgb="FF0000FF"/>
      <name val="Arial"/>
    </font>
    <font>
      <u/>
      <sz val="9"/>
      <color rgb="FF0000FF"/>
      <name val="Arial"/>
    </font>
    <font>
      <u/>
      <sz val="9"/>
      <color rgb="FF1155CC"/>
      <name val="Arial"/>
    </font>
    <font>
      <sz val="9"/>
      <color rgb="FF222222"/>
      <name val="Arial"/>
    </font>
    <font>
      <u/>
      <sz val="9"/>
      <color rgb="FF0000FF"/>
      <name val="Arial"/>
    </font>
    <font>
      <b/>
      <sz val="10"/>
      <name val="Arial"/>
    </font>
    <font>
      <u/>
      <sz val="9"/>
      <color rgb="FF000000"/>
      <name val="Arial"/>
    </font>
    <font>
      <sz val="9"/>
      <color rgb="FF000000"/>
      <name val="Arial"/>
    </font>
    <font>
      <u/>
      <sz val="9"/>
      <color rgb="FF000000"/>
      <name val="Arial"/>
    </font>
    <font>
      <u/>
      <sz val="9"/>
      <color rgb="FF0000FF"/>
      <name val="Arial"/>
    </font>
    <font>
      <b/>
      <sz val="10"/>
      <color rgb="FFFFFFFF"/>
      <name val="Arial"/>
    </font>
    <font>
      <u/>
      <sz val="10"/>
      <color rgb="FF0000FF"/>
      <name val="Arial"/>
    </font>
    <font>
      <sz val="10"/>
      <color rgb="FFFFFFFF"/>
      <name val="Comfortaa"/>
    </font>
    <font>
      <sz val="7"/>
      <color rgb="FFFFFFFF"/>
      <name val="Comfortaa"/>
    </font>
    <font>
      <sz val="10"/>
      <name val="Comfortaa"/>
    </font>
    <font>
      <u/>
      <sz val="10"/>
      <color rgb="FF1155CC"/>
      <name val="Comfortaa"/>
    </font>
    <font>
      <sz val="10"/>
      <color rgb="FF222222"/>
      <name val="Comfortaa"/>
    </font>
    <font>
      <u/>
      <sz val="10"/>
      <color rgb="FF1155CC"/>
      <name val="Comfortaa"/>
    </font>
    <font>
      <u/>
      <sz val="10"/>
      <color rgb="FF1155CC"/>
      <name val="Comfortaa"/>
    </font>
    <font>
      <sz val="11"/>
      <color rgb="FF000000"/>
      <name val="Comfortaa"/>
    </font>
    <font>
      <u/>
      <sz val="10"/>
      <color rgb="FF0000FF"/>
      <name val="Comfortaa"/>
    </font>
    <font>
      <sz val="6"/>
      <name val="Comfortaa"/>
    </font>
    <font>
      <u/>
      <sz val="10"/>
      <color rgb="FF0000FF"/>
      <name val="Comfortaa"/>
    </font>
    <font>
      <b/>
      <i/>
      <sz val="10"/>
      <color rgb="FF000000"/>
      <name val="Arial"/>
    </font>
    <font>
      <u/>
      <sz val="10"/>
      <color rgb="FF0000FF"/>
      <name val="Arial"/>
    </font>
  </fonts>
  <fills count="5">
    <fill>
      <patternFill patternType="none"/>
    </fill>
    <fill>
      <patternFill patternType="gray125"/>
    </fill>
    <fill>
      <patternFill patternType="solid">
        <fgColor rgb="FFEFEFEF"/>
        <bgColor rgb="FFEFEFEF"/>
      </patternFill>
    </fill>
    <fill>
      <patternFill patternType="solid">
        <fgColor rgb="FF9900FF"/>
        <bgColor rgb="FF9900FF"/>
      </patternFill>
    </fill>
    <fill>
      <patternFill patternType="solid">
        <fgColor rgb="FFFFF2CC"/>
        <bgColor rgb="FFFFF2CC"/>
      </patternFill>
    </fill>
  </fills>
  <borders count="9">
    <border>
      <left/>
      <right/>
      <top/>
      <bottom/>
      <diagonal/>
    </border>
    <border>
      <left/>
      <right/>
      <top/>
      <bottom/>
      <diagonal/>
    </border>
    <border>
      <left style="thin">
        <color rgb="FF999999"/>
      </left>
      <right/>
      <top style="thin">
        <color rgb="FF999999"/>
      </top>
      <bottom/>
      <diagonal/>
    </border>
    <border>
      <left style="thin">
        <color rgb="FF999999"/>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bottom/>
      <diagonal/>
    </border>
    <border>
      <left style="thin">
        <color rgb="FF999999"/>
      </left>
      <right/>
      <top style="thin">
        <color indexed="65"/>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1">
    <xf numFmtId="0" fontId="0" fillId="0" borderId="0"/>
  </cellStyleXfs>
  <cellXfs count="161">
    <xf numFmtId="0" fontId="0" fillId="0" borderId="0" xfId="0" applyFont="1" applyAlignment="1"/>
    <xf numFmtId="0" fontId="1" fillId="0" borderId="0" xfId="0" applyFont="1"/>
    <xf numFmtId="0" fontId="1" fillId="0" borderId="0" xfId="0" applyFont="1" applyAlignment="1"/>
    <xf numFmtId="0" fontId="2" fillId="2" borderId="0" xfId="0" applyFont="1" applyFill="1" applyAlignment="1">
      <alignment horizontal="center" vertical="center" wrapText="1"/>
    </xf>
    <xf numFmtId="0" fontId="3" fillId="3" borderId="0" xfId="0" applyFont="1" applyFill="1" applyAlignment="1">
      <alignment horizontal="center" vertical="center" wrapText="1"/>
    </xf>
    <xf numFmtId="0" fontId="3" fillId="3" borderId="0" xfId="0" applyFont="1" applyFill="1" applyAlignment="1">
      <alignment horizontal="center" vertical="center" wrapText="1"/>
    </xf>
    <xf numFmtId="0" fontId="3" fillId="3" borderId="0" xfId="0" applyFont="1" applyFill="1" applyAlignment="1">
      <alignment horizontal="center" vertical="center" wrapText="1"/>
    </xf>
    <xf numFmtId="0" fontId="4" fillId="0" borderId="0" xfId="0" applyFont="1" applyAlignment="1"/>
    <xf numFmtId="0" fontId="5" fillId="4" borderId="0" xfId="0" applyFont="1" applyFill="1" applyAlignment="1">
      <alignment horizontal="left" vertical="top" wrapText="1"/>
    </xf>
    <xf numFmtId="0" fontId="4" fillId="0" borderId="0" xfId="0" applyFont="1"/>
    <xf numFmtId="0" fontId="6" fillId="0" borderId="0" xfId="0" applyFont="1" applyAlignment="1">
      <alignment horizontal="left" vertical="top" wrapText="1"/>
    </xf>
    <xf numFmtId="0" fontId="7" fillId="0" borderId="0" xfId="0" applyFont="1" applyAlignment="1">
      <alignment horizontal="left" vertical="top" wrapText="1"/>
    </xf>
    <xf numFmtId="0" fontId="8" fillId="0" borderId="0" xfId="0" applyFont="1" applyAlignment="1">
      <alignment horizontal="center" vertical="top" wrapText="1"/>
    </xf>
    <xf numFmtId="0" fontId="8" fillId="0" borderId="0" xfId="0" applyFont="1" applyAlignment="1">
      <alignment horizontal="left" vertical="top" wrapText="1"/>
    </xf>
    <xf numFmtId="0" fontId="8" fillId="0" borderId="0" xfId="0" applyFont="1" applyAlignment="1">
      <alignment horizontal="left" vertical="top" wrapText="1"/>
    </xf>
    <xf numFmtId="14" fontId="8" fillId="0" borderId="0" xfId="0" applyNumberFormat="1" applyFont="1" applyAlignment="1">
      <alignment horizontal="left" vertical="top" wrapText="1"/>
    </xf>
    <xf numFmtId="0" fontId="9" fillId="0" borderId="0" xfId="0" applyFont="1" applyAlignment="1"/>
    <xf numFmtId="0" fontId="7" fillId="0" borderId="0" xfId="0" applyFont="1"/>
    <xf numFmtId="0" fontId="7" fillId="0" borderId="0" xfId="0" applyFont="1" applyAlignment="1">
      <alignment horizontal="left" vertical="top" wrapText="1"/>
    </xf>
    <xf numFmtId="0" fontId="10" fillId="0" borderId="0" xfId="0" applyFont="1" applyAlignment="1">
      <alignment horizontal="left" vertical="top" wrapText="1"/>
    </xf>
    <xf numFmtId="0" fontId="6" fillId="0" borderId="0" xfId="0" applyFont="1" applyAlignment="1">
      <alignment horizontal="left" vertical="top" wrapText="1"/>
    </xf>
    <xf numFmtId="0" fontId="7" fillId="0" borderId="0" xfId="0" applyFont="1" applyAlignment="1">
      <alignment horizontal="left" vertical="top" wrapText="1"/>
    </xf>
    <xf numFmtId="0" fontId="11" fillId="4" borderId="0" xfId="0" applyFont="1" applyFill="1" applyAlignment="1">
      <alignment horizontal="left" vertical="top" wrapText="1"/>
    </xf>
    <xf numFmtId="0" fontId="8" fillId="0" borderId="0" xfId="0" applyFont="1" applyAlignment="1">
      <alignment horizontal="left" vertical="top" wrapText="1"/>
    </xf>
    <xf numFmtId="14" fontId="8" fillId="0" borderId="0" xfId="0" applyNumberFormat="1" applyFont="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164" fontId="8" fillId="0" borderId="0" xfId="0" applyNumberFormat="1" applyFont="1" applyAlignment="1">
      <alignment horizontal="left" vertical="top" wrapText="1"/>
    </xf>
    <xf numFmtId="164" fontId="8" fillId="0" borderId="0" xfId="0" applyNumberFormat="1" applyFont="1" applyAlignment="1">
      <alignment horizontal="left" vertical="top" wrapText="1"/>
    </xf>
    <xf numFmtId="0" fontId="13" fillId="0" borderId="0" xfId="0" applyFont="1" applyAlignment="1">
      <alignment horizontal="left" vertical="top" wrapText="1"/>
    </xf>
    <xf numFmtId="0" fontId="14" fillId="0" borderId="0" xfId="0" applyFont="1" applyAlignment="1">
      <alignment horizontal="left" vertical="top" wrapText="1"/>
    </xf>
    <xf numFmtId="165" fontId="8" fillId="0" borderId="0" xfId="0" applyNumberFormat="1" applyFont="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left" vertical="top" wrapText="1"/>
    </xf>
    <xf numFmtId="0" fontId="1" fillId="0" borderId="0" xfId="0" applyFont="1" applyAlignment="1"/>
    <xf numFmtId="0" fontId="15" fillId="0" borderId="0" xfId="0" applyFont="1" applyAlignment="1">
      <alignment vertical="top"/>
    </xf>
    <xf numFmtId="0" fontId="1" fillId="0" borderId="0" xfId="0" applyFont="1" applyAlignment="1">
      <alignment vertical="top"/>
    </xf>
    <xf numFmtId="0" fontId="16" fillId="4" borderId="0" xfId="0" applyFont="1" applyFill="1" applyAlignment="1">
      <alignment horizontal="left" vertical="top" wrapText="1"/>
    </xf>
    <xf numFmtId="0" fontId="17" fillId="0" borderId="0" xfId="0" applyFont="1" applyAlignment="1">
      <alignment horizontal="left" vertical="top" wrapText="1"/>
    </xf>
    <xf numFmtId="0" fontId="17" fillId="0" borderId="0" xfId="0" applyFont="1" applyAlignment="1">
      <alignment horizontal="left" vertical="top" wrapText="1"/>
    </xf>
    <xf numFmtId="0" fontId="18" fillId="0" borderId="0" xfId="0" applyFont="1" applyAlignment="1">
      <alignment horizontal="left" vertical="top" wrapText="1"/>
    </xf>
    <xf numFmtId="0" fontId="8" fillId="0" borderId="0" xfId="0" quotePrefix="1" applyFont="1" applyAlignment="1">
      <alignment horizontal="left" vertical="top" wrapText="1"/>
    </xf>
    <xf numFmtId="3" fontId="8" fillId="0" borderId="0" xfId="0" applyNumberFormat="1" applyFont="1" applyAlignment="1">
      <alignment horizontal="left" vertical="top" wrapText="1"/>
    </xf>
    <xf numFmtId="0" fontId="8" fillId="0" borderId="1" xfId="0" applyFont="1" applyBorder="1" applyAlignment="1">
      <alignment horizontal="left" vertical="top" wrapText="1"/>
    </xf>
    <xf numFmtId="0" fontId="19" fillId="4" borderId="0" xfId="0" applyFont="1" applyFill="1" applyAlignment="1">
      <alignment horizontal="left" vertical="top" wrapText="1"/>
    </xf>
    <xf numFmtId="166" fontId="8" fillId="0" borderId="0" xfId="0" applyNumberFormat="1" applyFont="1" applyAlignment="1">
      <alignment horizontal="left" vertical="top" wrapText="1"/>
    </xf>
    <xf numFmtId="0" fontId="8" fillId="0" borderId="0" xfId="0" applyFont="1" applyAlignment="1">
      <alignment horizontal="center" vertical="top" wrapText="1"/>
    </xf>
    <xf numFmtId="0" fontId="20" fillId="3" borderId="0" xfId="0" applyFont="1" applyFill="1" applyAlignment="1">
      <alignment vertical="top"/>
    </xf>
    <xf numFmtId="14" fontId="1" fillId="0" borderId="0" xfId="0" applyNumberFormat="1" applyFont="1" applyAlignment="1">
      <alignment vertical="top"/>
    </xf>
    <xf numFmtId="0" fontId="21" fillId="0" borderId="0" xfId="0" applyFont="1" applyAlignment="1">
      <alignment vertical="top"/>
    </xf>
    <xf numFmtId="164" fontId="1" fillId="0" borderId="0" xfId="0" applyNumberFormat="1" applyFont="1" applyAlignment="1">
      <alignment vertical="top"/>
    </xf>
    <xf numFmtId="165" fontId="1" fillId="0" borderId="0" xfId="0" applyNumberFormat="1" applyFont="1" applyAlignment="1">
      <alignment vertical="top"/>
    </xf>
    <xf numFmtId="0" fontId="15" fillId="0" borderId="0" xfId="0" applyFont="1" applyAlignment="1">
      <alignment vertical="top" wrapText="1"/>
    </xf>
    <xf numFmtId="0" fontId="1" fillId="0" borderId="0" xfId="0" applyFont="1" applyAlignment="1">
      <alignment vertical="top" wrapText="1"/>
    </xf>
    <xf numFmtId="3" fontId="1" fillId="0" borderId="0" xfId="0" applyNumberFormat="1" applyFont="1" applyAlignment="1">
      <alignment vertical="top"/>
    </xf>
    <xf numFmtId="166" fontId="1" fillId="0" borderId="0" xfId="0" applyNumberFormat="1" applyFont="1" applyAlignment="1">
      <alignment vertical="top"/>
    </xf>
    <xf numFmtId="0" fontId="22" fillId="3" borderId="0" xfId="0" applyFont="1" applyFill="1" applyAlignment="1">
      <alignment horizontal="center" vertical="center" wrapText="1"/>
    </xf>
    <xf numFmtId="0" fontId="22" fillId="3" borderId="0" xfId="0" applyFont="1" applyFill="1" applyAlignment="1">
      <alignment horizontal="center" vertical="center" wrapText="1"/>
    </xf>
    <xf numFmtId="0" fontId="23" fillId="3" borderId="0" xfId="0" applyFont="1" applyFill="1" applyAlignment="1">
      <alignment horizontal="center" vertical="center" wrapText="1"/>
    </xf>
    <xf numFmtId="0" fontId="23" fillId="3" borderId="0" xfId="0" applyFont="1" applyFill="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vertical="center" wrapText="1"/>
    </xf>
    <xf numFmtId="14" fontId="24" fillId="0" borderId="0" xfId="0" applyNumberFormat="1" applyFont="1" applyAlignment="1">
      <alignment vertical="center" wrapText="1"/>
    </xf>
    <xf numFmtId="0" fontId="24" fillId="0" borderId="0" xfId="0" applyFont="1" applyAlignment="1">
      <alignment vertical="center" wrapText="1"/>
    </xf>
    <xf numFmtId="0" fontId="24" fillId="0" borderId="0" xfId="0" applyFont="1" applyAlignment="1">
      <alignment vertical="center" wrapText="1"/>
    </xf>
    <xf numFmtId="14" fontId="24" fillId="0" borderId="0" xfId="0" applyNumberFormat="1" applyFont="1" applyAlignment="1">
      <alignment horizontal="right" vertical="center" wrapText="1"/>
    </xf>
    <xf numFmtId="0" fontId="25" fillId="0" borderId="0" xfId="0" applyFont="1" applyAlignment="1">
      <alignment vertical="center" wrapText="1"/>
    </xf>
    <xf numFmtId="0" fontId="24" fillId="0" borderId="0" xfId="0" applyFont="1" applyAlignment="1">
      <alignment horizontal="right" vertical="center" wrapText="1"/>
    </xf>
    <xf numFmtId="164" fontId="24" fillId="0" borderId="0" xfId="0" applyNumberFormat="1" applyFont="1" applyAlignment="1">
      <alignment horizontal="right" vertical="center" wrapText="1"/>
    </xf>
    <xf numFmtId="0" fontId="24" fillId="0" borderId="0" xfId="0" applyFont="1" applyAlignment="1">
      <alignment horizontal="center" vertical="center" wrapText="1"/>
    </xf>
    <xf numFmtId="0" fontId="24" fillId="0" borderId="0" xfId="0" applyFont="1" applyAlignment="1">
      <alignment horizontal="center"/>
    </xf>
    <xf numFmtId="0" fontId="24" fillId="0" borderId="0" xfId="0" applyFont="1" applyAlignment="1"/>
    <xf numFmtId="14" fontId="24" fillId="0" borderId="0" xfId="0" applyNumberFormat="1" applyFont="1" applyAlignment="1"/>
    <xf numFmtId="0" fontId="24" fillId="0" borderId="0" xfId="0" applyFont="1"/>
    <xf numFmtId="164" fontId="24" fillId="0" borderId="0" xfId="0" applyNumberFormat="1" applyFont="1" applyAlignment="1"/>
    <xf numFmtId="0" fontId="24" fillId="0" borderId="0" xfId="0" applyFont="1" applyAlignment="1">
      <alignment horizontal="center"/>
    </xf>
    <xf numFmtId="0" fontId="24" fillId="0" borderId="0" xfId="0" applyFont="1" applyAlignment="1"/>
    <xf numFmtId="14" fontId="24" fillId="0" borderId="0" xfId="0" applyNumberFormat="1" applyFont="1" applyAlignment="1"/>
    <xf numFmtId="0" fontId="26" fillId="0" borderId="0" xfId="0" applyFont="1" applyAlignment="1"/>
    <xf numFmtId="0" fontId="24" fillId="0" borderId="0" xfId="0" applyFont="1" applyAlignment="1">
      <alignment horizontal="center"/>
    </xf>
    <xf numFmtId="0" fontId="24" fillId="0" borderId="0" xfId="0" applyFont="1" applyAlignment="1"/>
    <xf numFmtId="0" fontId="24" fillId="0" borderId="0" xfId="0" applyFont="1" applyAlignment="1"/>
    <xf numFmtId="14" fontId="24" fillId="0" borderId="0" xfId="0" applyNumberFormat="1" applyFont="1" applyAlignment="1">
      <alignment horizontal="right"/>
    </xf>
    <xf numFmtId="0" fontId="24" fillId="0" borderId="0" xfId="0" applyFont="1" applyAlignment="1"/>
    <xf numFmtId="0" fontId="27" fillId="0" borderId="0" xfId="0" applyFont="1" applyAlignment="1"/>
    <xf numFmtId="0" fontId="24" fillId="0" borderId="0" xfId="0" applyFont="1" applyAlignment="1">
      <alignment horizontal="center"/>
    </xf>
    <xf numFmtId="0" fontId="24" fillId="0" borderId="0" xfId="0" applyFont="1" applyAlignment="1">
      <alignment horizontal="center"/>
    </xf>
    <xf numFmtId="0" fontId="24" fillId="0" borderId="0" xfId="0" applyFont="1" applyAlignment="1"/>
    <xf numFmtId="0" fontId="24" fillId="0" borderId="0" xfId="0" applyFont="1" applyAlignment="1"/>
    <xf numFmtId="0" fontId="24" fillId="0" borderId="0" xfId="0" applyFont="1" applyAlignment="1"/>
    <xf numFmtId="0" fontId="24" fillId="0" borderId="0" xfId="0" applyFont="1" applyAlignment="1">
      <alignment horizontal="center" vertical="center"/>
    </xf>
    <xf numFmtId="0" fontId="24" fillId="0" borderId="0" xfId="0" applyFont="1" applyAlignment="1">
      <alignment vertical="center"/>
    </xf>
    <xf numFmtId="14" fontId="24" fillId="0" borderId="0" xfId="0" applyNumberFormat="1" applyFont="1" applyAlignment="1">
      <alignment horizontal="center" vertical="center"/>
    </xf>
    <xf numFmtId="14" fontId="24" fillId="0" borderId="0" xfId="0" applyNumberFormat="1" applyFont="1" applyAlignment="1">
      <alignment vertical="center"/>
    </xf>
    <xf numFmtId="0" fontId="24" fillId="0" borderId="0" xfId="0" applyFont="1" applyAlignment="1">
      <alignment vertical="center"/>
    </xf>
    <xf numFmtId="0" fontId="24" fillId="0" borderId="0" xfId="0" applyFont="1" applyAlignment="1">
      <alignment horizontal="right"/>
    </xf>
    <xf numFmtId="0" fontId="22" fillId="3" borderId="0" xfId="0" applyFont="1" applyFill="1" applyAlignment="1">
      <alignment horizontal="left" vertical="center" wrapText="1"/>
    </xf>
    <xf numFmtId="0" fontId="24" fillId="0" borderId="0" xfId="0" applyFont="1" applyAlignment="1">
      <alignment horizontal="center" vertical="center"/>
    </xf>
    <xf numFmtId="0" fontId="24" fillId="0" borderId="0" xfId="0" applyFont="1" applyAlignment="1">
      <alignment horizontal="left" vertical="center"/>
    </xf>
    <xf numFmtId="0" fontId="24" fillId="0" borderId="0" xfId="0" applyFont="1" applyAlignment="1">
      <alignment vertical="center"/>
    </xf>
    <xf numFmtId="14" fontId="24" fillId="0" borderId="0" xfId="0" applyNumberFormat="1" applyFont="1" applyAlignment="1">
      <alignment horizontal="center" vertical="center"/>
    </xf>
    <xf numFmtId="14" fontId="24" fillId="0" borderId="0" xfId="0" applyNumberFormat="1" applyFont="1" applyAlignment="1">
      <alignment horizontal="right" vertical="center"/>
    </xf>
    <xf numFmtId="0" fontId="24" fillId="0" borderId="0" xfId="0" applyFont="1" applyAlignment="1">
      <alignment horizontal="left" vertical="center"/>
    </xf>
    <xf numFmtId="0" fontId="24" fillId="0" borderId="0" xfId="0" applyFont="1" applyAlignment="1">
      <alignment vertical="center"/>
    </xf>
    <xf numFmtId="0" fontId="28" fillId="0" borderId="0" xfId="0" applyFont="1" applyAlignment="1">
      <alignment vertical="center"/>
    </xf>
    <xf numFmtId="164" fontId="24" fillId="0" borderId="0" xfId="0" applyNumberFormat="1" applyFont="1" applyAlignment="1">
      <alignment horizontal="right" vertical="center"/>
    </xf>
    <xf numFmtId="0" fontId="24" fillId="0" borderId="0" xfId="0" applyFont="1" applyAlignment="1">
      <alignment horizontal="right" vertical="center"/>
    </xf>
    <xf numFmtId="165" fontId="24" fillId="0" borderId="0" xfId="0" applyNumberFormat="1" applyFont="1" applyAlignment="1">
      <alignment horizontal="right" vertical="center"/>
    </xf>
    <xf numFmtId="0" fontId="24" fillId="0" borderId="0" xfId="0" applyFont="1" applyAlignment="1">
      <alignment horizontal="left" vertical="center"/>
    </xf>
    <xf numFmtId="0" fontId="24" fillId="0" borderId="0" xfId="0" applyFont="1" applyAlignment="1">
      <alignment vertical="center"/>
    </xf>
    <xf numFmtId="14" fontId="24" fillId="0" borderId="0" xfId="0" applyNumberFormat="1" applyFont="1" applyAlignment="1">
      <alignment horizontal="center" vertical="center"/>
    </xf>
    <xf numFmtId="14" fontId="24" fillId="0" borderId="0" xfId="0" applyNumberFormat="1" applyFont="1" applyAlignment="1">
      <alignment vertical="center"/>
    </xf>
    <xf numFmtId="0" fontId="24" fillId="0" borderId="0" xfId="0" applyFont="1" applyAlignment="1">
      <alignment horizontal="center" vertical="center"/>
    </xf>
    <xf numFmtId="0" fontId="24" fillId="0" borderId="1" xfId="0" applyFont="1" applyBorder="1" applyAlignment="1">
      <alignment vertical="center"/>
    </xf>
    <xf numFmtId="0" fontId="24" fillId="0" borderId="1" xfId="0" applyFont="1" applyBorder="1" applyAlignment="1">
      <alignment vertical="center"/>
    </xf>
    <xf numFmtId="0" fontId="29"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164" fontId="24" fillId="0" borderId="0" xfId="0" applyNumberFormat="1" applyFont="1" applyAlignment="1">
      <alignment vertical="center"/>
    </xf>
    <xf numFmtId="0" fontId="24" fillId="0" borderId="0" xfId="0" applyFont="1" applyAlignment="1">
      <alignment horizontal="left"/>
    </xf>
    <xf numFmtId="0" fontId="24" fillId="0" borderId="0" xfId="0" applyFont="1" applyAlignment="1">
      <alignment horizontal="left"/>
    </xf>
    <xf numFmtId="0" fontId="24" fillId="0" borderId="0" xfId="0" applyFont="1" applyAlignment="1">
      <alignment horizontal="right"/>
    </xf>
    <xf numFmtId="0" fontId="24" fillId="0" borderId="1" xfId="0" applyFont="1" applyBorder="1" applyAlignment="1"/>
    <xf numFmtId="0" fontId="24" fillId="0" borderId="0" xfId="0" quotePrefix="1" applyFont="1" applyAlignment="1"/>
    <xf numFmtId="0" fontId="30" fillId="0" borderId="0" xfId="0" applyFont="1" applyAlignment="1"/>
    <xf numFmtId="3" fontId="24" fillId="0" borderId="0" xfId="0" applyNumberFormat="1" applyFont="1" applyAlignment="1">
      <alignment horizontal="right"/>
    </xf>
    <xf numFmtId="0" fontId="24" fillId="0" borderId="0" xfId="0" applyFont="1" applyAlignment="1">
      <alignment horizontal="right" vertical="center" wrapText="1"/>
    </xf>
    <xf numFmtId="14" fontId="31" fillId="0" borderId="0" xfId="0" applyNumberFormat="1" applyFont="1" applyAlignment="1">
      <alignment horizontal="right" vertical="center" wrapText="1"/>
    </xf>
    <xf numFmtId="0" fontId="22" fillId="3" borderId="0" xfId="0" applyFont="1" applyFill="1" applyAlignment="1">
      <alignment horizontal="center" vertical="center"/>
    </xf>
    <xf numFmtId="0" fontId="22" fillId="3" borderId="0" xfId="0" applyFont="1" applyFill="1" applyAlignment="1">
      <alignment horizontal="center" vertical="center"/>
    </xf>
    <xf numFmtId="0" fontId="24" fillId="0" borderId="1" xfId="0" applyFont="1" applyBorder="1" applyAlignment="1"/>
    <xf numFmtId="0" fontId="32" fillId="0" borderId="0" xfId="0" applyFont="1" applyAlignment="1"/>
    <xf numFmtId="0" fontId="24" fillId="0" borderId="0" xfId="0" applyFont="1" applyAlignment="1"/>
    <xf numFmtId="164" fontId="24" fillId="0" borderId="0" xfId="0" applyNumberFormat="1" applyFont="1" applyAlignment="1">
      <alignment horizontal="right"/>
    </xf>
    <xf numFmtId="167" fontId="24" fillId="0" borderId="0" xfId="0" applyNumberFormat="1" applyFont="1" applyAlignment="1"/>
    <xf numFmtId="0" fontId="24" fillId="0" borderId="0" xfId="0" applyFont="1" applyAlignment="1">
      <alignment horizontal="center"/>
    </xf>
    <xf numFmtId="0" fontId="24" fillId="0" borderId="0" xfId="0" applyFont="1" applyAlignment="1"/>
    <xf numFmtId="14" fontId="24" fillId="0" borderId="0" xfId="0" applyNumberFormat="1" applyFont="1" applyAlignment="1">
      <alignment horizontal="right"/>
    </xf>
    <xf numFmtId="0" fontId="24" fillId="0" borderId="0" xfId="0" applyFont="1" applyAlignment="1">
      <alignment horizontal="right"/>
    </xf>
    <xf numFmtId="0" fontId="24" fillId="0" borderId="0" xfId="0" applyFont="1" applyAlignment="1"/>
    <xf numFmtId="0" fontId="24" fillId="0" borderId="0" xfId="0" applyFont="1" applyAlignment="1">
      <alignment horizontal="right"/>
    </xf>
    <xf numFmtId="0" fontId="23" fillId="3" borderId="0" xfId="0" applyFont="1" applyFill="1" applyAlignment="1">
      <alignment horizontal="center" vertical="center"/>
    </xf>
    <xf numFmtId="0" fontId="23" fillId="3" borderId="0" xfId="0" applyFont="1" applyFill="1" applyAlignment="1">
      <alignment horizontal="center" vertical="center"/>
    </xf>
    <xf numFmtId="166" fontId="24" fillId="0" borderId="0" xfId="0" applyNumberFormat="1" applyFont="1" applyAlignment="1"/>
    <xf numFmtId="0" fontId="24" fillId="0" borderId="0" xfId="0" applyFont="1" applyAlignment="1">
      <alignment horizontal="right"/>
    </xf>
    <xf numFmtId="0" fontId="24" fillId="0" borderId="1" xfId="0" applyFont="1" applyBorder="1" applyAlignment="1"/>
    <xf numFmtId="0" fontId="1" fillId="0" borderId="0" xfId="0" applyFont="1" applyAlignment="1"/>
    <xf numFmtId="0" fontId="1" fillId="0" borderId="0" xfId="0" applyFont="1" applyAlignment="1">
      <alignment horizontal="center"/>
    </xf>
    <xf numFmtId="0" fontId="1" fillId="0" borderId="0" xfId="0" applyFont="1" applyAlignment="1">
      <alignment horizontal="center"/>
    </xf>
    <xf numFmtId="0" fontId="33" fillId="2" borderId="0" xfId="0" applyFont="1" applyFill="1" applyAlignment="1"/>
    <xf numFmtId="9" fontId="1" fillId="0" borderId="0" xfId="0" applyNumberFormat="1" applyFont="1" applyAlignment="1"/>
    <xf numFmtId="0" fontId="34" fillId="0" borderId="0" xfId="0" applyFont="1"/>
    <xf numFmtId="0" fontId="0" fillId="0" borderId="2" xfId="0" pivotButton="1" applyFont="1" applyBorder="1" applyAlignment="1"/>
    <xf numFmtId="0" fontId="0" fillId="0" borderId="3" xfId="0" pivotButton="1" applyFont="1" applyBorder="1" applyAlignment="1"/>
    <xf numFmtId="0" fontId="0" fillId="0" borderId="2" xfId="0" applyFont="1" applyBorder="1" applyAlignment="1"/>
    <xf numFmtId="0" fontId="0" fillId="0" borderId="3" xfId="0" applyFont="1" applyBorder="1" applyAlignment="1"/>
    <xf numFmtId="0" fontId="0" fillId="0" borderId="4" xfId="0" applyFont="1" applyBorder="1" applyAlignment="1"/>
    <xf numFmtId="0" fontId="0" fillId="0" borderId="5" xfId="0" applyFont="1" applyBorder="1" applyAlignment="1"/>
    <xf numFmtId="0" fontId="0" fillId="0" borderId="6" xfId="0" applyFont="1" applyBorder="1" applyAlignment="1"/>
    <xf numFmtId="0" fontId="0" fillId="0" borderId="7" xfId="0" applyFont="1" applyBorder="1" applyAlignment="1"/>
    <xf numFmtId="0" fontId="0" fillId="0" borderId="8" xfId="0" applyFont="1" applyBorder="1" applyAlignment="1"/>
  </cellXfs>
  <cellStyles count="1">
    <cellStyle name="Normal" xfId="0" builtinId="0"/>
  </cellStyles>
  <dxfs count="3">
    <dxf>
      <fill>
        <patternFill patternType="solid">
          <fgColor rgb="FFB4A7D6"/>
          <bgColor rgb="FFB4A7D6"/>
        </patternFill>
      </fill>
    </dxf>
    <dxf>
      <fill>
        <patternFill patternType="solid">
          <fgColor rgb="FFFFFF00"/>
          <bgColor rgb="FFFFFF00"/>
        </patternFill>
      </fill>
    </dxf>
    <dxf>
      <fill>
        <patternFill patternType="solid">
          <fgColor rgb="FF00FF00"/>
          <bgColor rgb="FF00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Usuario" refreshedDate="43870.743762268517" refreshedVersion="6" recordCount="995" xr:uid="{00000000-000A-0000-FFFF-FFFF00000000}">
  <cacheSource type="worksheet">
    <worksheetSource ref="A1:AC996" sheet="TODOS"/>
  </cacheSource>
  <cacheFields count="29">
    <cacheField name="Descarga ficha" numFmtId="0">
      <sharedItems containsBlank="1" count="2">
        <s v="Zona Campamento"/>
        <m/>
      </sharedItems>
    </cacheField>
    <cacheField name="Comunidad Autónoma " numFmtId="0">
      <sharedItems containsBlank="1"/>
    </cacheField>
    <cacheField name="Provincia " numFmtId="0">
      <sharedItems containsBlank="1" count="36">
        <s v="Jaen"/>
        <s v="Granada"/>
        <s v="Huesca"/>
        <s v="Teruel"/>
        <s v="Asturias"/>
        <s v="Oviedo"/>
        <s v="Cantabria"/>
        <s v="Santander"/>
        <s v="Cantabria_x000a_Asturias"/>
        <s v="Zamora"/>
        <s v="Ávila"/>
        <s v="Soria"/>
        <s v="Palencia"/>
        <s v="Burgos"/>
        <s v="León"/>
        <s v="Segovia"/>
        <s v="Salamanca"/>
        <s v="Albacete"/>
        <s v="Guadalajara"/>
        <s v="Cuenca"/>
        <s v="Lleida"/>
        <s v="Cáceres"/>
        <s v="Vizcaya"/>
        <s v="Álava"/>
        <s v="Lugo"/>
        <s v="Lugo y A Coruña"/>
        <s v="Orense"/>
        <s v="A Coruña"/>
        <s v="La Rioja"/>
        <s v="Logroño"/>
        <s v="Madrid"/>
        <s v="Valencia"/>
        <s v="Portugal"/>
        <s v="Viseu"/>
        <s v="UK, Francia"/>
        <m/>
      </sharedItems>
    </cacheField>
    <cacheField name="Año campamento" numFmtId="0">
      <sharedItems containsString="0" containsBlank="1" containsNumber="1" containsInteger="1" minValue="2012" maxValue="2019" count="7">
        <n v="2017"/>
        <n v="2016"/>
        <n v="2015"/>
        <n v="2012"/>
        <n v="2018"/>
        <n v="2019"/>
        <m/>
      </sharedItems>
    </cacheField>
    <cacheField name="Grupo" numFmtId="0">
      <sharedItems containsBlank="1"/>
    </cacheField>
    <cacheField name="Contacto" numFmtId="0">
      <sharedItems containsBlank="1"/>
    </cacheField>
    <cacheField name="Fecha de inicio " numFmtId="0">
      <sharedItems containsDate="1" containsString="0" containsBlank="1" containsMixedTypes="1" minDate="2012-07-01T00:00:00" maxDate="2019-08-04T00:00:00"/>
    </cacheField>
    <cacheField name="Fecha de finalización" numFmtId="0">
      <sharedItems containsDate="1" containsString="0" containsBlank="1" containsMixedTypes="1" minDate="2012-07-15T00:00:00" maxDate="2912-07-29T00:00:00"/>
    </cacheField>
    <cacheField name="Población " numFmtId="0">
      <sharedItems containsBlank="1" count="136">
        <s v="Santiago-Potones"/>
        <s v="Bermejales"/>
        <s v="La Marguera - Aísa"/>
        <s v="Montalbán"/>
        <s v="Gistain"/>
        <s v="Broto"/>
        <s v="Biescas"/>
        <s v="Aínsa"/>
        <s v="Villanova"/>
        <s v="Aragués Del Puerto"/>
        <s v="Broto - Oto"/>
        <s v="Ponga"/>
        <s v="Sellaño"/>
        <s v="Pimiango"/>
        <s v="Ribadedeva"/>
        <s v="Proaza, Covadonga, Ribadesella"/>
        <s v="Asturias"/>
        <s v="Solórzano"/>
        <s v="Suesa"/>
        <s v="Bielva"/>
        <s v="Alto Campoó, Brañavieja"/>
        <s v="Cabezón De Liébana"/>
        <s v="Camaleño"/>
        <s v="Cosio (Rionansa)"/>
        <s v="Rioseco (Puentenansa)"/>
        <s v="Fuente De A Oseja De Sajambre"/>
        <s v="Valderredible"/>
        <s v="Pesaguero"/>
        <s v="Puentenansa"/>
        <s v="Rionansa"/>
        <s v="Calzada De Tera"/>
        <s v="Hoyos Del Espino"/>
        <s v="Becedas"/>
        <s v="Navalmoral De La Sierra"/>
        <s v="Gavilanes"/>
        <s v="Covaleda"/>
        <s v="Navaluenga "/>
        <s v="La Pernía"/>
        <s v="Barbadillo Del Pez"/>
        <s v="Zapardiel De La Ribera"/>
        <s v="Soria "/>
        <s v="Acebedo"/>
        <s v="Cofiñal"/>
        <s v="Noceda Del Bierzo"/>
        <s v="Llanos De Tormes"/>
        <s v="Herreros"/>
        <s v="Cofiñal (Puebla De Lillo)"/>
        <s v="Mijares"/>
        <s v="Valdepielago"/>
        <s v="Barco De Ávila"/>
        <s v="Regumiel De La Sierra"/>
        <s v="Guisando"/>
        <s v="Quintanilla Del Agua"/>
        <s v="Quintanilla Del Agua "/>
        <s v="Boca De Huérgano"/>
        <s v="Bohoyo"/>
        <s v="Castrocontrigo"/>
        <s v="Priaranza De La Valduerna"/>
        <s v="Espinosa De Los Monteros"/>
        <s v="Fariza"/>
        <s v="La Vecilla De Curueño"/>
        <s v="Puebla De Lillo"/>
        <s v="Santa María De La Alameda"/>
        <s v="Burgohondo"/>
        <s v="Mombeltrán"/>
        <s v="Galende"/>
        <s v="San Pedro De Gaíllos"/>
        <s v="Aguilar De Campoo"/>
        <s v="Riello"/>
        <s v="Muelas De Los Caballeros"/>
        <s v="Vinuesa"/>
        <s v="Los Llanos De Tormes"/>
        <s v="Peguerinos"/>
        <s v="Butrera"/>
        <s v="Navarredonda De Gredos"/>
        <s v="Manzanal De Arriba"/>
        <s v="Ruesga"/>
        <s v="La Cueta"/>
        <s v="Mombeltran "/>
        <s v="Casavieja"/>
        <s v="Abejar"/>
        <s v="Navaleno"/>
        <s v="Tolbaños De Abajo"/>
        <s v="Aguabuena"/>
        <s v="El Hoyo De Pinares"/>
        <s v="Duruelo De La Sierra"/>
        <s v="León"/>
        <s v="Candelario"/>
        <s v="Lagunilla"/>
        <s v="Peñascosa"/>
        <s v="Atienza"/>
        <s v="Tragacete"/>
        <s v="Almonacid De Zorita"/>
        <s v="Boniches"/>
        <s v="Arcas"/>
        <s v="Luzaga"/>
        <s v="Vega Del Codorno"/>
        <s v="Poyatos"/>
        <s v="Poveda De La Sierra"/>
        <s v="Checa"/>
        <s v="Uña"/>
        <s v="Cerbi"/>
        <s v="Piornal"/>
        <s v="Lanestosa"/>
        <s v="Lantarón"/>
        <s v="Andagoia"/>
        <s v="Begonte"/>
        <s v="12"/>
        <s v="Valfarto"/>
        <s v="Orense"/>
        <s v="Laza"/>
        <s v="A Pobra De San Xiao (Láncara)"/>
        <s v="Concello San Sadurniño"/>
        <s v="Ventrosa"/>
        <s v="Ortigosa De Cameros"/>
        <s v="La Acebeda"/>
        <s v="Los Molinos"/>
        <s v="Navalagamella"/>
        <s v="Alcalá De Henares"/>
        <s v="Canencia"/>
        <s v="Lénova"/>
        <s v="Bétera"/>
        <s v="Aras De Los Olmos"/>
        <s v=" São Jacinto"/>
        <s v="Camino De Santiago: Oporto, Santiago"/>
        <s v="Torreira - Aveiro"/>
        <s v="Sanguinhedo De Maças, Lordosa, Viseu"/>
        <s v="Sao Jacinto"/>
        <s v="Costa De Caparica"/>
        <s v="Cantanede"/>
        <s v="Viseu, Beira Alta"/>
        <s v="Sanguinhedo Da Maças"/>
        <s v="Aveiro"/>
        <s v="Santiago Do Cacém"/>
        <s v="Londres Y Jambville"/>
        <m/>
      </sharedItems>
    </cacheField>
    <cacheField name="Nombre de la finca/zona/albergue" numFmtId="0">
      <sharedItems containsBlank="1" count="152">
        <s v="Zona acampada controlada Huerta Vieja"/>
        <s v="CENTRO SCOUT BERMEJALES"/>
        <s v="Polígono 1 Parcela 263"/>
        <s v="Campamento Acra Leuce"/>
        <s v="Gistain"/>
        <s v="Broto"/>
        <s v="Aso de Sobremonte"/>
        <s v="Centro Scout Griébal"/>
        <s v="Villanova"/>
        <s v="Polígono 5 parcelas 384 y 385"/>
        <s v="Fincas Las Cotilangas y Don Ferrer"/>
        <s v="Sellaño"/>
        <s v="La Garita"/>
        <s v="Bojes"/>
        <s v="Ruta del Oso, Covadonga, Ribadesella"/>
        <s v="Proaza"/>
        <s v="A.J. Gerardo Diego"/>
        <s v="Suesa"/>
        <s v="Puente del Arrudo"/>
        <s v="Albergue Juvenil Brañavieja"/>
        <s v="El Esgobio "/>
        <s v="Vallinero"/>
        <s v="Llamolín"/>
        <s v="La Vega Ciega"/>
        <s v="Barcenique"/>
        <s v="Campamento Volante y Campo de trabajo en Oseja de Sajambre en Asturias"/>
        <s v="Monasterio de Suesa"/>
        <s v="Alechares del Molino"/>
        <s v="Finca La Vega"/>
        <s v="Finca Gostobeso"/>
        <s v="Las Barcenas"/>
        <s v="Calzada de tera"/>
        <s v="Campamento Prado Molino"/>
        <s v="La Cerradilla"/>
        <s v="La Chaparrera"/>
        <s v="El Escurialejo"/>
        <s v="Covaleda"/>
        <s v="Albergue Sierra de Gredos"/>
        <s v="Los Llazos"/>
        <s v="Prado de Urria"/>
        <s v="Zapardiel De La Ribera"/>
        <s v="Raso de la Nava"/>
        <s v="LA FUENTE UCERO - Monte nº 132"/>
        <s v="Acebedo"/>
        <s v="Las Lamas"/>
        <s v="Camping Los Chanos"/>
        <s v="Llanos de Tormes"/>
        <s v="El Ejido"/>
        <s v="PRADO DE LAS LERAS"/>
        <s v="La Ribera"/>
        <s v="Valdoreo"/>
        <s v="Barco de Ávila"/>
        <s v="Comunero de Revenga"/>
        <s v="Campamento Luis Manuel López Martínez"/>
        <s v="Gavilanes"/>
        <s v="EL REGAJAL"/>
        <s v="Albergue Garganta de  la Chorrera"/>
        <s v="Quintanilla del Agua"/>
        <s v="Cañal Tabla Angosto"/>
        <s v="Paraje Sotobanal"/>
        <s v="Los Chozos de Gredos."/>
        <s v="Soto de arriba"/>
        <s v="Prado Priaranza de la Valduerna"/>
        <s v="la edilla. campamento juvenil espinosa de los monteros"/>
        <s v="Los Chozos de Gredos"/>
        <s v="Albergue La Rueca"/>
        <s v="El Molino"/>
        <s v="Cofiñal"/>
        <s v="Navalamediana/ Prado vega"/>
        <s v="Camping Valle Enmedio SL"/>
        <s v="LA MATA - EL PINAR"/>
        <s v="Prados Abiertos"/>
        <s v="Peña Gullón"/>
        <s v="&quot;Cazada 6435&quot;"/>
        <s v="Las Cepedillas 2"/>
        <s v="Camping Monte Royal"/>
        <s v="Trascastro de Luna"/>
        <s v="Finca ayuntamiento acebedo"/>
        <s v="Peña La Vega"/>
        <s v="Vinuesa"/>
        <s v="PRADO DE LA VEGA"/>
        <s v="Campamento Peñas Blancas"/>
        <s v="Campamento Molino de Butrera"/>
        <s v="Navatormes"/>
        <s v="Las piezas de GREDOS"/>
        <s v="Manzanal De Arriba"/>
        <s v="La Ñalsa"/>
        <s v="La Riviera"/>
        <s v="La Valleja"/>
        <s v="Trescueñas"/>
        <s v="campamento los sauces "/>
        <s v=" Pradera de los Orcos"/>
        <s v="Pinar Grande - Agua Buena"/>
        <s v="AguaBuena"/>
        <s v="La Tejera"/>
        <s v="Pinar Grande, Aguabuena"/>
        <s v="Agua Buena"/>
        <s v="Monte 172 Pinar Grande, Agua buena"/>
        <s v="El Hoyo de Pinares"/>
        <s v="EL CERRILLO"/>
        <s v="Finca rústica"/>
        <s v="Campamento los Sauces"/>
        <s v="LA DEHESA"/>
        <s v="Vallejo La Mata"/>
        <s v="La Casilla (Sierra de Gredos)"/>
        <s v="La Tortuga de los chozos de Gredos"/>
        <s v="LA CASILLA"/>
        <s v="Camping Peñascosa"/>
        <s v="La Estrella"/>
        <s v="Finca Campamento La Veredilla"/>
        <s v="Ermita de san Anton"/>
        <s v="Fuentes del Cabriel"/>
        <s v="Campamento Arcas"/>
        <s v="Campamento juvenil Luzaga"/>
        <s v="Camping Río Cuervo"/>
        <s v="Albergue paraje de tejadillos"/>
        <s v="Campamento AGUABUENA"/>
        <s v="Prado de la Becea"/>
        <s v="ALBERGUE LA CAÑADILLA"/>
        <s v="Artoballa"/>
        <s v="Piornal (la ermita)"/>
        <s v="Campamento Peña Negra Piornal Valle del Jerte"/>
        <m/>
        <s v="El encinar - Fontecha"/>
        <s v="Isasando"/>
        <s v="Carral"/>
        <s v="Entre Arces"/>
        <s v="Laza"/>
        <s v="Valdiz, Praia Fluvial y FN Valdiz"/>
        <s v="CONCELLO DE SAN SADURNIÑO"/>
        <s v="Las Tenadas"/>
        <s v="Camping municipal de La Acebeda"/>
        <s v="Camping La Acebeda"/>
        <s v="Albergue San José"/>
        <s v="Albergue La Frontera"/>
        <s v="Albergue la Fuente Fría"/>
        <s v="Campamento- Albergue &quot;La Frontera&quot;"/>
        <s v="Albergue Marista San José"/>
        <s v="La Cabaña de Luis Pinilla"/>
        <s v="Entrenaranjos"/>
        <s v="Centro scout LA MORERÍA"/>
        <s v="Los Rubiales"/>
        <s v="Instalaciones del Agrupamento 824 - Nossa Senhora do Bom Sucesso Torreira"/>
        <s v="Pinhal junto au rio Vouge"/>
        <s v="Centro Nacional de Formacion Ambiental Sao Jacinto"/>
        <s v="PNEC"/>
        <s v="Praia do Palheirao"/>
        <s v="Sanguinhedo de Maças"/>
        <s v="Sanguinhedo Da Maças"/>
        <s v="Centro Escutista Sao Jacinto"/>
        <s v="Centro de Interpretação do Monte do Paio"/>
        <s v="Southall Activity Center"/>
      </sharedItems>
    </cacheField>
    <cacheField name="Número de Catastro" numFmtId="0">
      <sharedItems containsBlank="1" containsMixedTypes="1" containsNumber="1" containsInteger="1" minValue="0" maxValue="22390005384"/>
    </cacheField>
    <cacheField name="Coordenadas" numFmtId="0">
      <sharedItems containsBlank="1"/>
    </cacheField>
    <cacheField name="Nombre y apellidos de la persona/entidad propietaria" numFmtId="0">
      <sharedItems containsBlank="1"/>
    </cacheField>
    <cacheField name="Teléfono de contacto con la persona/entidad propietaria" numFmtId="0">
      <sharedItems containsBlank="1" containsMixedTypes="1" containsNumber="1" containsInteger="1" minValue="605670665" maxValue="351925114783"/>
    </cacheField>
    <cacheField name="E-mail de la persona/entidad propietaria" numFmtId="0">
      <sharedItems containsBlank="1"/>
    </cacheField>
    <cacheField name="Canon de utilización (Precio por persona, por quincena...)" numFmtId="0">
      <sharedItems containsBlank="1" containsMixedTypes="1" containsNumber="1" minValue="0" maxValue="3339.6"/>
    </cacheField>
    <cacheField name="Tamaño de la finca en hectáreas (ha) o metros cuadrados (m2)" numFmtId="0">
      <sharedItems containsBlank="1" containsMixedTypes="1" containsNumber="1" containsInteger="1" minValue="1" maxValue="5000"/>
    </cacheField>
    <cacheField name="Calidad del acceso a la finca" numFmtId="0">
      <sharedItems containsBlank="1"/>
    </cacheField>
    <cacheField name="¿Tiene zonas de sombra?" numFmtId="0">
      <sharedItems containsBlank="1"/>
    </cacheField>
    <cacheField name="¿Distancia aproximada zona de baño ?" numFmtId="0">
      <sharedItems containsBlank="1" containsMixedTypes="1" containsNumber="1" containsInteger="1" minValue="0" maxValue="500"/>
    </cacheField>
    <cacheField name="Breve descripción/valoración zona de baño" numFmtId="0">
      <sharedItems containsBlank="1"/>
    </cacheField>
    <cacheField name="Cuenta con instalaciones ¿Cuáles?" numFmtId="0">
      <sharedItems containsBlank="1"/>
    </cacheField>
    <cacheField name="¿Se puede conseguir/comprar madera cerca?" numFmtId="0">
      <sharedItems containsBlank="1"/>
    </cacheField>
    <cacheField name="Breve valoración y otras observaciones de la campa en general" numFmtId="0">
      <sharedItems containsBlank="1"/>
    </cacheField>
    <cacheField name="Observaciones" numFmtId="0">
      <sharedItems containsBlank="1"/>
    </cacheField>
    <cacheField name="Merged Doc ID - Zonas Campamento" numFmtId="0">
      <sharedItems containsBlank="1"/>
    </cacheField>
    <cacheField name="Merged Doc URL - Zonas Campamento" numFmtId="0">
      <sharedItems containsBlank="1"/>
    </cacheField>
    <cacheField name="Document Merge Status - Zonas Campamento" numFmtId="0">
      <sharedItems containsBlank="1"/>
    </cacheField>
    <cacheField name="Link to merged Doc - Zonas Campamen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5">
  <r>
    <x v="0"/>
    <s v="Andalucía"/>
    <x v="0"/>
    <x v="0"/>
    <s v="Chamberí"/>
    <s v="gs.chamberi@scoutsdemadrid.org "/>
    <d v="2017-07-01T00:00:00"/>
    <d v="2017-07-15T00:00:00"/>
    <x v="0"/>
    <x v="0"/>
    <m/>
    <s v="(en grados decimales) Latitud 38.1178324  Longitud -2.8065421000000015"/>
    <s v="Junta de Anadalucía"/>
    <m/>
    <m/>
    <s v="50€ de trámites"/>
    <m/>
    <s v="BUENO (Se puede acceder con cualquier coche)"/>
    <s v="Sí"/>
    <s v="El pantano está a 5 minutos, pero la zona de baños habilitada está a 10 km"/>
    <m/>
    <s v="Chiringuito y aseos ( cuando fuimos a ver esta cerrado, en verano nos dijeron que no)"/>
    <m/>
    <s v="Andalucía está dando muchas facilidades en los trámites. Además reacondicionando zonas de acampada con baños fijos y comedores con sombra. Hay una gran cantidad de gr, pr, sendas...pero a veces las rutas pueden estar lejos de la zona de campa._x000a__x000a_http://www"/>
    <m/>
    <s v="1MuM9ug8EBGhwN-rZvCpGdzyfiTG9jrfD"/>
    <s v="https://drive.google.com/a/scoutsdemadrid.org/file/d/1MuM9ug8EBGhwN-rZvCpGdzyfiTG9jrfD/view?usp=drivesdk"/>
    <s v="Document successfully created; Document successfully merged; PDF created; !!!ERR: Failed to add merged file to folder due to Google error: No se ha podido llamar a la API drive.files.patch; error: File not found: Santiago-Potones; Emails Sent: [To: dapera"/>
    <m/>
  </r>
  <r>
    <x v="0"/>
    <s v="Andalucía"/>
    <x v="1"/>
    <x v="0"/>
    <s v="Fátima"/>
    <s v="gs.fatima@scoutsdemadrid.org "/>
    <d v="2017-07-15T00:00:00"/>
    <d v="2017-07-30T00:00:00"/>
    <x v="1"/>
    <x v="1"/>
    <m/>
    <s v="36.998480, -3.890095"/>
    <s v="JUAN JOSÉ TALLADA ESPIGARES"/>
    <s v="616 422 940"/>
    <s v="direccion@bermejales.scoutsdeandalucia.org"/>
    <s v="3€/PERSONA/DÍA"/>
    <m/>
    <s v="BUENO (Se puede acceder con cualquier coche)"/>
    <s v="Sí"/>
    <s v="PEQUEÑA PISCINA DENTRO DE LA ZONA DE ACAMPADA/PANTANO DE LOS BERMEJALES"/>
    <s v="LA PISCINA DEL CAMPAMENTO ES PEQUEÑITA POR LO QUE SÓLO LA PODRÁ UTILIZAR UNA UNIDAD A LA VEZ. A 10 MINUTOS ANDANDO ENCONTRAMOS EL PANTANO DE LOS BERMEJALES EL CUAL TIENE UNA PEQUEÑA PLAYITA HABILITADA PARA EL BAÑO"/>
    <s v="COMEDOR, COCINA, SALAS DE MATERIAL Y ACIVIDADES, DUCHAS Y BAÑOS"/>
    <s v="SÍ, EN EL MISMO CAMPAMENTO"/>
    <s v="CENTRO CONSTRUIDO POR Y PARA GRUPOS SCOUT. COMPARTIMOS LA FINCA CON OTRO CAMPAMENTO Y A NUESTRO GRUPO SE AGREGA LA UNIDAD DE PIONEROS DE UN GRUPO FRANCÉS PARA IR JUNTO CON NUESTROS PIONEROS A LA JAM SCOUT."/>
    <m/>
    <s v="1-6UqlWiqZB6tyYD0EO1YEXOJag7egAH0"/>
    <s v="https://drive.google.com/a/scoutsdemadrid.org/file/d/1-6UqlWiqZB6tyYD0EO1YEXOJag7egAH0/view?usp=drivesdk"/>
    <s v="Document successfully created; Document successfully merged; PDF created; !!!ERR: Failed to add merged file to folder due to Google error: No se ha podido llamar a la API drive.files.patch; error: File not found: Bermejales; Emails Sent: [To: daperador@sc"/>
    <m/>
  </r>
  <r>
    <x v="0"/>
    <s v="Aragón"/>
    <x v="2"/>
    <x v="1"/>
    <s v="Buen Pastor"/>
    <s v="gs.buenpastor@scoutsdemadrid.org "/>
    <d v="2016-07-12T00:00:00"/>
    <d v="2016-07-30T00:00:00"/>
    <x v="2"/>
    <x v="2"/>
    <s v="22010A001002630000OF"/>
    <s v="42°42'30.0&quot;N  0°36'27.1&quot;W"/>
    <s v="Ramón Osanz Pueyo"/>
    <s v="+34 639 73 63 38"/>
    <s v="gemaaisa@gmail.com"/>
    <s v="900€ / quincena"/>
    <s v="14.844 m2"/>
    <s v="REGULAR (Se puede acceder con un coche normal con dificultad)"/>
    <s v="Sí"/>
    <s v="50 m"/>
    <s v="Río "/>
    <s v="No"/>
    <s v="Sí, de manera gratuita por alrededores"/>
    <s v="Lo mejor de la campa es su gran dimensión, espacio natural y río cercano, con zonas de sombra. Su acceso hasta la misma se realiza sin problemas con coche alto; con coche normal es posible pero más complicado, puede dejarse aparcado a menos de 10' andando"/>
    <m/>
    <s v="1gJ8MYtT8vIIXtE18E9mOjS5aCT4Vit6b"/>
    <s v="https://drive.google.com/a/scoutsdemadrid.org/file/d/1gJ8MYtT8vIIXtE18E9mOjS5aCT4Vit6b/view?usp=drivesdk"/>
    <s v="Document successfully created; Document successfully merged; PDF created; !!!ERR: Failed to add merged file to folder due to Google error: No se ha podido llamar a la API drive.files.patch; error: File not found: La Marguera - Aísa; Emails Sent: [To: dape"/>
    <m/>
  </r>
  <r>
    <x v="0"/>
    <s v="Aragón"/>
    <x v="3"/>
    <x v="1"/>
    <s v="Libertas"/>
    <s v="gs.libertas@scoutsdemadrid.org "/>
    <d v="2016-07-05T00:00:00"/>
    <d v="2016-07-15T00:00:00"/>
    <x v="3"/>
    <x v="3"/>
    <s v="44163A002000020000XW"/>
    <s v="N 40º 49' 49,705&quot;     O 0º 48' 47,878&quot; "/>
    <s v="Sara Falo Insa"/>
    <n v="696288600"/>
    <s v="acraleuce@gmail.com"/>
    <s v="18 € persona / día en albergue para grupos de más de 30. 16.50 en tienda. Ambas con pensión completa"/>
    <s v="7246 m2"/>
    <s v="REGULAR (Se puede acceder con un coche normal con dificultad)"/>
    <s v="Sí"/>
    <s v="Rachuelo a unos 200 m del campamento. Piscina municipal"/>
    <s v="Riachuelo de poca profundidad, no recomendable. Piscina de calidad, hasta 40 personas por grupo"/>
    <s v="Si. Albergue, comedor cubierto, duchas, baños, zona de fuego"/>
    <s v="si"/>
    <s v="Campamento para grupos pequeños con muchas posibilidades, seguro y cerca de la localidad. Cuenta con campos de deporte, zona de acampada,"/>
    <m/>
    <s v="1HK4ATS9MB4uyihqc1ISyJY6bB93lY82C"/>
    <s v="https://drive.google.com/a/scoutsdemadrid.org/file/d/1HK4ATS9MB4uyihqc1ISyJY6bB93lY82C/view?usp=drivesdk"/>
    <s v="Document successfully created; Document successfully merged; PDF created; !!!ERR: Failed to add merged file to folder due to Google error: No se ha podido llamar a la API drive.files.patch; error: File not found: Montalbán; Emails Sent: [To: daperador@sco"/>
    <m/>
  </r>
  <r>
    <x v="0"/>
    <s v="Aragón"/>
    <x v="2"/>
    <x v="1"/>
    <s v="Pilar"/>
    <s v="gs.pilar@scoutsdemadrid.org "/>
    <d v="2016-07-15T00:00:00"/>
    <d v="2016-07-26T00:00:00"/>
    <x v="4"/>
    <x v="4"/>
    <m/>
    <m/>
    <s v="Santiago Pueyo"/>
    <m/>
    <m/>
    <m/>
    <s v="2 ha"/>
    <s v="BUENO (Se puede acceder con cualquier coche)"/>
    <s v="Sí"/>
    <s v="150m"/>
    <s v="Buenísimas pozas"/>
    <s v="Almacén"/>
    <s v="Si pero caro"/>
    <s v="Preciosa campa"/>
    <m/>
    <s v="1pjkAAiCj6tAvSFnF9oqH9bY3dkA8z0QH"/>
    <s v="https://drive.google.com/a/scoutsdemadrid.org/file/d/1pjkAAiCj6tAvSFnF9oqH9bY3dkA8z0QH/view?usp=drivesdk"/>
    <s v="Document successfully created; Document successfully merged; PDF created; !!!ERR: Failed to add merged file to folder due to Google error: No se ha podido llamar a la API drive.files.patch; error: File not found: 2016; Emails Sent: [To: daperador@scoutsde"/>
    <m/>
  </r>
  <r>
    <x v="0"/>
    <s v="Aragón"/>
    <x v="2"/>
    <x v="2"/>
    <s v="San Pablo"/>
    <s v="gs.sanpablo@scoutsdemadrid.org "/>
    <d v="2015-07-15T00:00:00"/>
    <d v="2015-07-30T00:00:00"/>
    <x v="5"/>
    <x v="5"/>
    <m/>
    <m/>
    <m/>
    <m/>
    <m/>
    <m/>
    <m/>
    <m/>
    <m/>
    <m/>
    <m/>
    <m/>
    <m/>
    <m/>
    <m/>
    <s v="1UTcAT1AGEHqI66c6BJ347vllXEeOGEL-"/>
    <s v="https://drive.google.com/a/scoutsdemadrid.org/file/d/1UTcAT1AGEHqI66c6BJ347vllXEeOGEL-/view?usp=drivesdk"/>
    <s v="Document successfully created; Document successfully merged; PDF created; !!!ERR: Failed to add merged file to folder due to Google error: No se ha podido llamar a la API drive.files.patch; error: File not found: Broto; Emails Sent: [To: daperador@scoutsd"/>
    <m/>
  </r>
  <r>
    <x v="0"/>
    <s v="Aragón"/>
    <x v="2"/>
    <x v="2"/>
    <s v="San Jorge Y San José"/>
    <s v="gs.sanjorge@scoutsdemadrid.org  gs.sanjosé@scoutsdemadrid.org "/>
    <d v="2015-07-16T00:00:00"/>
    <d v="2015-07-31T00:00:00"/>
    <x v="6"/>
    <x v="6"/>
    <m/>
    <s v="LATITUD: 48º 38' 5.53'' N / LONGITUD: 0º 22' 12.75'' W"/>
    <m/>
    <m/>
    <m/>
    <m/>
    <m/>
    <m/>
    <m/>
    <m/>
    <m/>
    <m/>
    <m/>
    <m/>
    <m/>
    <s v="1ykut3flHxSBmLv8LunGeNSXnX4nPYinp"/>
    <s v="https://drive.google.com/a/scoutsdemadrid.org/file/d/1ykut3flHxSBmLv8LunGeNSXnX4nPYinp/view?usp=drivesdk"/>
    <s v="Document successfully created; Document successfully merged; PDF created; !!!ERR: Failed to add merged file to folder due to Google error: No se ha podido llamar a la API drive.files.patch; error: File not found: Biescas; Emails Sent: [To: daperador@scout"/>
    <m/>
  </r>
  <r>
    <x v="0"/>
    <s v="Aragón"/>
    <x v="2"/>
    <x v="0"/>
    <s v="Vedruna"/>
    <s v="gs.vedruna @scoutsdemadrid.org "/>
    <d v="2017-06-29T00:00:00"/>
    <d v="2017-07-05T00:00:00"/>
    <x v="7"/>
    <x v="7"/>
    <m/>
    <s v=" 42º 23' 4,53&quot; N - 0º 12' 11,6&quot; E"/>
    <s v="FUNDACIÓN SCOUT GRIÉBAL"/>
    <m/>
    <m/>
    <m/>
    <m/>
    <s v="REGULAR (Se puede acceder con un coche normal con dificultad)"/>
    <s v="Sí"/>
    <m/>
    <s v="Embalse navegable a 2 km"/>
    <s v="Baños, duchas comedores, cocina.."/>
    <s v="si"/>
    <m/>
    <m/>
    <s v="1rXhnkle2iV8Z43BoFExkknPbrLw4p-jd"/>
    <s v="https://drive.google.com/a/scoutsdemadrid.org/file/d/1rXhnkle2iV8Z43BoFExkknPbrLw4p-jd/view?usp=drivesdk"/>
    <s v="Document successfully created; Document successfully merged; PDF created; !!!ERR: Failed to add merged file to folder due to Google error: No se ha podido llamar a la API drive.files.patch; error: File not found: 2017; Emails Sent: [To: daperador@scoutsde"/>
    <m/>
  </r>
  <r>
    <x v="0"/>
    <s v="Aragón "/>
    <x v="2"/>
    <x v="3"/>
    <s v="Samasabe-Calasancio"/>
    <s v="gs.samasabe@scoutsdemadrid.org "/>
    <d v="2012-07-17T00:00:00"/>
    <d v="2012-07-31T00:00:00"/>
    <x v="8"/>
    <x v="8"/>
    <m/>
    <s v="https://maps.google.es/maps?oe=utf-8&amp;client=firefox-a&amp;q=villanova&amp;ie=UTF-8&amp;hq=&amp;hnear=0x12a7d800ff9b261b:0x4018c6508cea590,Villanova&amp;gl=es&amp;ei=Bo3HT9ecDdKLhQfVxcCTCw&amp;oi=geocode_result&amp;ved=0CBoQ8gEwAQ"/>
    <m/>
    <m/>
    <m/>
    <m/>
    <m/>
    <m/>
    <m/>
    <m/>
    <m/>
    <m/>
    <m/>
    <m/>
    <m/>
    <s v="1-BMGn8mpKdj54kWqIcSaNNLMULtj01H8"/>
    <s v="https://drive.google.com/a/scoutsdemadrid.org/file/d/1-BMGn8mpKdj54kWqIcSaNNLMULtj01H8/view?usp=drivesdk"/>
    <s v="Document successfully created; Document successfully merged; PDF created; !!!ERR: Failed to add merged file to folder due to Google error: No se ha podido llamar a la API drive.files.patch; error: File not found: 2012; Emails Sent: [To: daperador@scoutsde"/>
    <m/>
  </r>
  <r>
    <x v="0"/>
    <s v="Aragón"/>
    <x v="2"/>
    <x v="4"/>
    <s v="San Pablo"/>
    <s v="gs.sanpablo@scoutsdemadrid.org "/>
    <d v="2018-08-15T00:00:00"/>
    <d v="2018-06-30T00:00:00"/>
    <x v="9"/>
    <x v="9"/>
    <n v="22390005384"/>
    <s v="42°44'50.4&quot;N 0°38'06.4&quot;W"/>
    <s v="Jaime Maynar Aguilar"/>
    <n v="618644650"/>
    <s v="No lo tenemos, contactar con sanpablomsc@gmail.com"/>
    <s v="1000€ los 15 días"/>
    <s v="No lo sabemos"/>
    <s v="BUENO (Se puede acceder con cualquier coche)"/>
    <s v="Sí"/>
    <s v="100m"/>
    <s v="Río más bien pequeño pero suficiente para bañarse"/>
    <s v="Ninguna"/>
    <s v="No lo sabemos"/>
    <s v="Al pie del refugio de Lizarra. No hay cobertura. Prado grande y bien situado"/>
    <m/>
    <s v="1woSmpWwnd8LFzWfjcH2jHw-fHMRo0-BJ"/>
    <s v="https://drive.google.com/a/scoutsdemadrid.org/file/d/1woSmpWwnd8LFzWfjcH2jHw-fHMRo0-BJ/view?usp=drivesdk"/>
    <s v="Document successfully created; Document successfully merged; PDF created; !!!ERR: Failed to add merged file to folder due to Google error: No se ha podido llamar a la API drive.files.patch; error: File not found: 2018; Emails Sent: [To: daperador@scoutsde"/>
    <m/>
  </r>
  <r>
    <x v="0"/>
    <s v="Aragón"/>
    <x v="2"/>
    <x v="4"/>
    <s v="Santo Domingo"/>
    <s v="gs.santodomingo@scoutsdemadrid.org "/>
    <d v="2018-07-14T00:00:00"/>
    <d v="2018-07-30T00:00:00"/>
    <x v="10"/>
    <x v="10"/>
    <s v="Parcelas 95, 97, 101 y 102 Polígono 108"/>
    <s v="42ª34¨36, 86´´N. 00º,07´, 31, 88´´W"/>
    <s v="Jorge Castiella Monclús"/>
    <n v="699261137"/>
    <s v="casavillamana@gmail.com"/>
    <n v="150"/>
    <s v="2-3 Has"/>
    <s v="BUENO (Se puede acceder con cualquier coche)"/>
    <s v="Sí"/>
    <s v="Piscina Municipal"/>
    <s v="CUMPLE NORMATIVA"/>
    <s v="PUNTO DE ABASTECIMIENTO DE AGUA MUNICIPAL"/>
    <s v="si"/>
    <s v="SE HAN CELEBRADO MUCHOS CAMPAMENTOS JUVENILES SCOUTS EN AÑOS ANTERIORES"/>
    <m/>
    <s v="1N8Rk4THQpfXMhrAclMpAkXuhGXZp1aom"/>
    <s v="https://drive.google.com/a/scoutsdemadrid.org/file/d/1N8Rk4THQpfXMhrAclMpAkXuhGXZp1aom/view?usp=drivesdk"/>
    <s v="Document successfully created; Document successfully merged; PDF created; !!!ERR: Failed to add merged file to folder due to Google error: No se ha podido llamar a la API drive.files.patch; error: File not found: Broto - Oto; Emails Sent: [To: daperador@s"/>
    <m/>
  </r>
  <r>
    <x v="0"/>
    <s v="Asturias, Principado De"/>
    <x v="4"/>
    <x v="1"/>
    <s v="Amorós"/>
    <s v="gs.amoros@scoutsdemadrid.org "/>
    <d v="2016-07-09T00:00:00"/>
    <d v="2016-07-30T00:00:00"/>
    <x v="11"/>
    <x v="11"/>
    <s v="33050A073002440000AK"/>
    <s v="4º 15' 13.86'' N"/>
    <s v="Joaquín Martínez Arobes"/>
    <n v="650785463"/>
    <m/>
    <n v="530"/>
    <m/>
    <s v="BUENO (Se puede acceder con cualquier coche)"/>
    <s v="Sí"/>
    <s v="33m"/>
    <s v="Río con poco cauce y profundidad"/>
    <s v="No"/>
    <s v="Sí"/>
    <m/>
    <m/>
    <s v="1TX_Wb2eONbY_TUr1zzycdYCpVAERzVvB"/>
    <s v="https://drive.google.com/a/scoutsdemadrid.org/file/d/1TX_Wb2eONbY_TUr1zzycdYCpVAERzVvB/view?usp=drivesdk"/>
    <s v="Document successfully created; Document successfully merged; PDF created; !!!ERR: Failed to add merged file to folder due to Google error: No se ha podido llamar a la API drive.files.patch; error: File not found: 2016; Emails Sent: [To: daperador@scoutsde"/>
    <m/>
  </r>
  <r>
    <x v="0"/>
    <s v="Asturias, Principado De"/>
    <x v="4"/>
    <x v="1"/>
    <s v="Amorós"/>
    <s v="gs.amoros@scoutsdemadrid.org "/>
    <d v="2016-07-15T00:00:00"/>
    <d v="2016-07-27T00:00:00"/>
    <x v="12"/>
    <x v="11"/>
    <m/>
    <m/>
    <m/>
    <m/>
    <m/>
    <m/>
    <m/>
    <m/>
    <m/>
    <m/>
    <m/>
    <m/>
    <m/>
    <m/>
    <m/>
    <s v="1JvMUGYPoJvEcecuk3EF3DnIwYo-ZEU2O"/>
    <s v="https://drive.google.com/a/scoutsdemadrid.org/file/d/1JvMUGYPoJvEcecuk3EF3DnIwYo-ZEU2O/view?usp=drivesdk"/>
    <s v="Document successfully created; Document successfully merged; PDF created; !!!ERR: Failed to add merged file to folder due to Google error: No se ha podido llamar a la API drive.files.patch; error: File not found: Sellaño; Emails Sent: [To: daperador@scout"/>
    <m/>
  </r>
  <r>
    <x v="0"/>
    <s v="Asturias, Principado De"/>
    <x v="5"/>
    <x v="1"/>
    <s v="Queztal"/>
    <s v="gs.queztal@scoutsdemadrid.org "/>
    <d v="2016-07-29T00:00:00"/>
    <d v="2016-08-07T00:00:00"/>
    <x v="13"/>
    <x v="12"/>
    <s v="33055A008000010000IF"/>
    <s v="43°23'20.3&quot;N 4°31'29.9&quot;W"/>
    <s v="Manuel Nosti del Valle"/>
    <n v="605966487"/>
    <s v="manuel_nosti@hotmail.com"/>
    <s v="Gratuito"/>
    <s v="5,92 ha"/>
    <s v="BUENO (Se puede acceder con cualquier coche)"/>
    <s v="Sí"/>
    <s v="5,3 Km"/>
    <s v="Playa de la Franca"/>
    <s v="No"/>
    <s v="ergio Vega González, Carretera General, 0 S/N, 33579 Mazo (El)"/>
    <s v="Finca con amplias zonas para jugar, cerca de Colombres (3,7 km), donde están todos los servicios (supermercados, médicos, farmacias, etc)._x000a_La zona de sombras y árboles se sitúan en un extremo de la finca, donde van a aprovecharse los árboles para acampar "/>
    <m/>
    <s v="1WlM3OtCn3Snb6w0l2a9g5mN_4W76z9Q6"/>
    <s v="https://drive.google.com/a/scoutsdemadrid.org/file/d/1WlM3OtCn3Snb6w0l2a9g5mN_4W76z9Q6/view?usp=drivesdk"/>
    <s v="Document successfully created; Document successfully merged; PDF created; !!!ERR: Failed to add merged file to folder due to Google error: No se ha podido llamar a la API drive.files.patch; error: File not found: Pimiango; Emails Sent: [To: daperador@scou"/>
    <m/>
  </r>
  <r>
    <x v="0"/>
    <s v="Asturias, Principado De"/>
    <x v="4"/>
    <x v="2"/>
    <s v="Claret"/>
    <s v="gs.claret@scoutsdemadrid.org "/>
    <d v="2015-07-15T00:00:00"/>
    <d v="2015-07-30T00:00:00"/>
    <x v="14"/>
    <x v="13"/>
    <m/>
    <m/>
    <m/>
    <m/>
    <m/>
    <m/>
    <m/>
    <m/>
    <m/>
    <m/>
    <m/>
    <m/>
    <m/>
    <m/>
    <m/>
    <s v="1EQDhT9S-i3IxtNY3sTl2dpzYDuHT7iR3"/>
    <s v="https://drive.google.com/a/scoutsdemadrid.org/file/d/1EQDhT9S-i3IxtNY3sTl2dpzYDuHT7iR3/view?usp=drivesdk"/>
    <s v="Document successfully created; Document successfully merged; PDF created; !!!ERR: Failed to add merged file to folder due to Google error: No se ha podido llamar a la API drive.files.patch; error: File not found: Ribadedeva; Emails Sent: [To: daperador@sc"/>
    <m/>
  </r>
  <r>
    <x v="0"/>
    <s v="Asturias"/>
    <x v="4"/>
    <x v="3"/>
    <s v="Amorós"/>
    <s v="gs.amoros@scoutsdemadrid.org "/>
    <d v="2012-07-16T00:00:00"/>
    <d v="2012-07-30T00:00:00"/>
    <x v="15"/>
    <x v="14"/>
    <m/>
    <m/>
    <m/>
    <m/>
    <m/>
    <m/>
    <m/>
    <m/>
    <m/>
    <m/>
    <m/>
    <m/>
    <m/>
    <m/>
    <m/>
    <s v="1HLdvNWFMINQ9DYikdO-Q5gb6VtADi5ab"/>
    <s v="https://drive.google.com/a/scoutsdemadrid.org/file/d/1HLdvNWFMINQ9DYikdO-Q5gb6VtADi5ab/view?usp=drivesdk"/>
    <s v="Document successfully created; Document successfully merged; PDF created; !!!ERR: Failed to add merged file to folder due to Google error: No se ha podido llamar a la API drive.files.patch; error: File not found: Ribadesella; Emails Sent: [To: daperador@s"/>
    <m/>
  </r>
  <r>
    <x v="0"/>
    <s v="Asturias"/>
    <x v="4"/>
    <x v="3"/>
    <s v="Amorós"/>
    <s v="gs.amoros@scoutsdemadrid.org "/>
    <d v="2012-07-13T00:00:00"/>
    <d v="2012-07-30T00:00:00"/>
    <x v="16"/>
    <x v="15"/>
    <m/>
    <s v="https://maps.google.com/maps?q=Proaza&amp;hl=en&amp;ll=43.240951,-6.01759&amp;spn=0.080533,0.181103&amp;hnear=Proaza,+Asturias,+Spain&amp;t=m&amp;z=13"/>
    <m/>
    <m/>
    <m/>
    <m/>
    <m/>
    <m/>
    <m/>
    <m/>
    <m/>
    <m/>
    <m/>
    <m/>
    <m/>
    <s v="17NgfP5fNSu7rPdPq_uTUntDjLMmD5Qzg"/>
    <s v="https://drive.google.com/a/scoutsdemadrid.org/file/d/17NgfP5fNSu7rPdPq_uTUntDjLMmD5Qzg/view?usp=drivesdk"/>
    <s v="Document successfully created; Document successfully merged; PDF created; !!!ERR: Failed to add merged file to folder due to Google error: No se ha podido llamar a la API drive.files.patch; error: File not found: Asturias; Emails Sent: [To: daperador@scou"/>
    <m/>
  </r>
  <r>
    <x v="0"/>
    <s v="Asturias, Principado De"/>
    <x v="4"/>
    <x v="5"/>
    <s v="Pilar"/>
    <s v="gs.pilar@scoutsdemadrid.org"/>
    <d v="2019-07-17T00:00:00"/>
    <d v="2019-07-28T00:00:00"/>
    <x v="12"/>
    <x v="11"/>
    <s v="33050A073002440000AK"/>
    <s v="X 320679,94 ; Y 4791928,7"/>
    <s v="Juan José Martínez Arobes"/>
    <n v="650785463"/>
    <s v="juanjoma@hotmail.es"/>
    <s v="1400€ en total"/>
    <s v="1 ha"/>
    <s v="REGULAR (Se puede acceder con un coche normal con dificultad)"/>
    <s v="Sí"/>
    <s v="50 m"/>
    <s v="El río se encuentra dentro de la finca. Hay acceso fácil al río. Es una zona más o menos llana con varias zonas de baño"/>
    <s v="Sólo una caseta de aperos pequeña"/>
    <s v="Sí"/>
    <s v="Campa amplia y plana al lado del río, en un paraje natural precioso en pleno valle del Ponga"/>
    <s v="Sí"/>
    <s v="1LXvUzOrP3vCtAdF6SEBdkW0maTu9r1aH"/>
    <s v="https://drive.google.com/a/scoutsdemadrid.org/file/d/1LXvUzOrP3vCtAdF6SEBdkW0maTu9r1aH/view?usp=drivesdk"/>
    <s v="Document successfully created; Document successfully merged; PDF created; !!!ERR: Failed to add merged file to folder due to Google error: No se ha podido llamar a la API drive.files.patch; error: File not found: Sellaño; Emails Sent: [To: daperador@scout"/>
    <m/>
  </r>
  <r>
    <x v="0"/>
    <s v="Cantabria"/>
    <x v="6"/>
    <x v="2"/>
    <s v="Monte Nebo"/>
    <s v="gs.montenebo@scoutsdemadrid.org "/>
    <d v="2015-07-02T00:00:00"/>
    <d v="2015-07-12T00:00:00"/>
    <x v="17"/>
    <x v="16"/>
    <m/>
    <m/>
    <m/>
    <m/>
    <m/>
    <m/>
    <m/>
    <m/>
    <m/>
    <m/>
    <m/>
    <m/>
    <m/>
    <m/>
    <m/>
    <s v="18s40oVz9hCTc0BNsfN6rgp1n_0gW44MT"/>
    <s v="https://drive.google.com/a/scoutsdemadrid.org/file/d/18s40oVz9hCTc0BNsfN6rgp1n_0gW44MT/view?usp=drivesdk"/>
    <s v="Document successfully created; Document successfully merged; PDF created; !!!ERR: Failed to add merged file to folder due to Google error: No se ha podido llamar a la API drive.files.patch; error: File not found: Solórzano; Emails Sent: [To: daperador@sco"/>
    <m/>
  </r>
  <r>
    <x v="0"/>
    <s v="Cantabria"/>
    <x v="6"/>
    <x v="2"/>
    <s v="Valverde"/>
    <s v="gs.valverde@scoutsdemadrid.org "/>
    <d v="2015-07-14T00:00:00"/>
    <d v="2015-07-30T00:00:00"/>
    <x v="18"/>
    <x v="17"/>
    <m/>
    <s v="43.444868, -3.730115"/>
    <m/>
    <m/>
    <m/>
    <m/>
    <m/>
    <m/>
    <m/>
    <m/>
    <m/>
    <m/>
    <m/>
    <m/>
    <m/>
    <s v="1Rm6r03b2Z2CEFVF8x3e2Tq9lEbPluKoV"/>
    <s v="https://drive.google.com/a/scoutsdemadrid.org/file/d/1Rm6r03b2Z2CEFVF8x3e2Tq9lEbPluKoV/view?usp=drivesdk"/>
    <s v="Document successfully created; Document successfully merged; PDF created; !!!ERR: Failed to add merged file to folder due to Google error: No se ha podido llamar a la API drive.files.patch; error: File not found: Suesa; Emails Sent: [To: daperador@scoutsd"/>
    <m/>
  </r>
  <r>
    <x v="0"/>
    <s v="Cantabria"/>
    <x v="6"/>
    <x v="1"/>
    <s v="San Agustin"/>
    <s v="gs.sanagustin@scoutsdemadrid.org "/>
    <d v="2015-06-26T00:00:00"/>
    <d v="2015-06-30T00:00:00"/>
    <x v="19"/>
    <x v="18"/>
    <m/>
    <m/>
    <m/>
    <m/>
    <m/>
    <m/>
    <m/>
    <m/>
    <m/>
    <m/>
    <m/>
    <m/>
    <m/>
    <m/>
    <m/>
    <s v="1dy9_2Cd_bMYmYr2Z4MKXCYFYNWlNYEwE"/>
    <s v="https://drive.google.com/a/scoutsdemadrid.org/file/d/1dy9_2Cd_bMYmYr2Z4MKXCYFYNWlNYEwE/view?usp=drivesdk"/>
    <s v="Document successfully created; Document successfully merged; PDF created; !!!ERR: Failed to add merged file to folder due to Google error: No se ha podido llamar a la API drive.files.patch; error: File not found: Bielva; Emails Sent: [To: daperador@scouts"/>
    <m/>
  </r>
  <r>
    <x v="0"/>
    <s v="Cantabria"/>
    <x v="6"/>
    <x v="1"/>
    <s v="Monte Nebo"/>
    <s v="gs.montenebo@scoutsdemadrid.org "/>
    <d v="2016-07-04T00:00:00"/>
    <d v="2016-07-11T00:00:00"/>
    <x v="20"/>
    <x v="19"/>
    <m/>
    <m/>
    <s v="Gobierno de Cantabria "/>
    <s v=" 942 207407"/>
    <s v="jovenmania.albergues@cantabria.es"/>
    <s v="13,67 por día con pensión completa y alojamiento. "/>
    <s v="X "/>
    <s v="BUENO (Se puede acceder con cualquier coche)"/>
    <s v="Sí"/>
    <s v="0 metros (dormimos en habitaciones) "/>
    <s v="Buena zona acondicionada con vateres y duchas. "/>
    <s v="habitaciones, cocina, salas multiusos, rocódromo... "/>
    <s v="sí. "/>
    <s v="tiene buenas rutas para hacer, ademas de pozas cerca del albergue. "/>
    <m/>
    <s v="112SStJYkY2xlYd48rHIl6ors4u_KCYGe"/>
    <s v="https://drive.google.com/a/scoutsdemadrid.org/file/d/112SStJYkY2xlYd48rHIl6ors4u_KCYGe/view?usp=drivesdk"/>
    <s v="Document successfully created; Document successfully merged; PDF created; !!!ERR: Failed to add merged file to folder due to Google error: No se ha podido llamar a la API drive.files.patch; error: File not found: Alto Campoó; Emails Sent: [To: daperador@s"/>
    <m/>
  </r>
  <r>
    <x v="0"/>
    <s v="Cantabria"/>
    <x v="7"/>
    <x v="1"/>
    <s v="Tallac"/>
    <s v="gs.tallac@scoutsdemadrid.org "/>
    <d v="2016-07-01T00:00:00"/>
    <d v="2016-07-15T00:00:00"/>
    <x v="21"/>
    <x v="20"/>
    <m/>
    <m/>
    <s v="Tomás Martínez"/>
    <m/>
    <m/>
    <m/>
    <m/>
    <m/>
    <m/>
    <m/>
    <m/>
    <m/>
    <m/>
    <m/>
    <m/>
    <s v="1l9rR4fxUS7K3CixMQWAgeuSrNsbubseC"/>
    <s v="https://drive.google.com/a/scoutsdemadrid.org/file/d/1l9rR4fxUS7K3CixMQWAgeuSrNsbubseC/view?usp=drivesdk"/>
    <s v="Document successfully created; Document successfully merged; PDF created; !!!ERR: Failed to add merged file to folder due to Google error: No se ha podido llamar a la API drive.files.patch; error: File not found: 2016; Emails Sent: [To: daperador@scoutsde"/>
    <m/>
  </r>
  <r>
    <x v="0"/>
    <s v="Cantabria"/>
    <x v="6"/>
    <x v="1"/>
    <s v="San Pablo"/>
    <s v="gs.sanpablo@scoutsdemadrid.org "/>
    <d v="2016-07-15T00:00:00"/>
    <d v="2016-07-30T00:00:00"/>
    <x v="22"/>
    <x v="21"/>
    <s v="2493103UN6729S0001AW"/>
    <s v="X: 362.250 Y:4.779.100"/>
    <s v="Emeterio Puente Rodriguez"/>
    <m/>
    <m/>
    <m/>
    <m/>
    <s v="BUENO (Se puede acceder con cualquier coche)"/>
    <s v="Sí"/>
    <s v="Tenemos rio"/>
    <s v="Un rio que discurre por un lateral de su campamento"/>
    <s v="No"/>
    <s v="No"/>
    <s v="Un prado grande, esta dividido en dos y un riachuelo discurre por la mitad. Se encuentra delante de la queseria de camaleño"/>
    <m/>
    <s v="1jzLbpvIUnKsSX3_62DkyRHlOcfRVLguz"/>
    <s v="https://drive.google.com/a/scoutsdemadrid.org/file/d/1jzLbpvIUnKsSX3_62DkyRHlOcfRVLguz/view?usp=drivesdk"/>
    <s v="Document successfully created; Document successfully merged; PDF created; !!!ERR: Failed to add merged file to folder due to Google error: No se ha podido llamar a la API drive.files.patch; error: File not found: Camaleño; Emails Sent: [To: daperador@scou"/>
    <m/>
  </r>
  <r>
    <x v="0"/>
    <s v="Cantabria"/>
    <x v="6"/>
    <x v="0"/>
    <s v="Valverde"/>
    <s v="gs.valverde@scoutsdemadrid.org "/>
    <d v="2017-07-15T00:00:00"/>
    <d v="2017-07-28T00:00:00"/>
    <x v="22"/>
    <x v="22"/>
    <s v="Poligono 4 parcela 32"/>
    <s v="ETRS89 HUSO 30. X 361.961, Y 4.778.480"/>
    <s v="Jesús Angel Prado González"/>
    <m/>
    <m/>
    <m/>
    <m/>
    <m/>
    <s v="Sí"/>
    <m/>
    <m/>
    <s v="Luz y agua"/>
    <m/>
    <m/>
    <m/>
    <s v="1UNk3n7fdhkzDBPpptTmC9fZFTPWZ1FUu"/>
    <s v="https://drive.google.com/a/scoutsdemadrid.org/file/d/1UNk3n7fdhkzDBPpptTmC9fZFTPWZ1FUu/view?usp=drivesdk"/>
    <s v="Document successfully created; Document successfully merged; PDF created; !!!ERR: Failed to add merged file to folder due to Google error: No se ha podido llamar a la API drive.files.patch; error: File not found: Camaleño; Emails Sent: [To: daperador@scou"/>
    <m/>
  </r>
  <r>
    <x v="0"/>
    <s v="Cantabria"/>
    <x v="6"/>
    <x v="0"/>
    <s v="Santa Ana San Rafael"/>
    <s v="gs.sasr@scoutsdemadrid.org "/>
    <d v="2017-07-13T00:00:00"/>
    <d v="2017-07-30T00:00:00"/>
    <x v="23"/>
    <x v="23"/>
    <s v="39063A0 0700246 000ET"/>
    <s v="4º 24' 10,670'' W 43º 13' 40,907'' N"/>
    <s v="María Dolores Gutiérrez González "/>
    <n v="610259490"/>
    <s v="nacho7070@hotmail.es"/>
    <s v="800 euros"/>
    <s v="1,5021 ha"/>
    <s v="BUENO (Se puede acceder con cualquier coche)"/>
    <s v="Sí"/>
    <s v="Colindante con un arroyo"/>
    <s v="Arroyo con buen acceso"/>
    <s v="No"/>
    <s v="si"/>
    <s v="Finca con sombra, buen acceso y poco desnivel."/>
    <m/>
    <s v="1LxDPv1JuqXbnDpRMUd0Z5WTyak7I76UE"/>
    <s v="https://drive.google.com/a/scoutsdemadrid.org/file/d/1LxDPv1JuqXbnDpRMUd0Z5WTyak7I76UE/view?usp=drivesdk"/>
    <s v="Document successfully created; Document successfully merged; PDF created; !!!ERR: Failed to add merged file to folder due to Google error: No se ha podido llamar a la API drive.files.patch; error: File not found: 2017; Emails Sent: [To: daperador@scoutsde"/>
    <m/>
  </r>
  <r>
    <x v="0"/>
    <s v="Cantabria"/>
    <x v="6"/>
    <x v="4"/>
    <s v="Pilar"/>
    <s v="gs.pilar@scoutsdemadrid.org "/>
    <d v="2018-07-18T00:00:00"/>
    <d v="2018-07-29T00:00:00"/>
    <x v="24"/>
    <x v="24"/>
    <s v="39063A016003120000ES  Pol: 16 Parcela: 312"/>
    <s v="Lat:43º14' 53.58'' N    Long:4º 24' 41.48'' W"/>
    <s v="Carmen Fernández Ruiz"/>
    <s v="no tiene"/>
    <s v="cosiorgema@gmail.com  (es la hija de la dueña)"/>
    <s v="1000€ por 12 días de alquiler"/>
    <s v="4,9502 ha"/>
    <s v="BUENO (Se puede acceder con cualquier coche)"/>
    <s v="Sí"/>
    <s v="100 metros"/>
    <s v="Existe un río de caudal medio que delimita la finca por uno de sus extremos. Con pozas a muy poca distancia de la campa."/>
    <s v="Si, existe una casa desde la que se nos proporciona agua potable y electricidad pero esta inmediatamente fuera de la finca."/>
    <s v="si"/>
    <s v="La campa es muy espaciosa para las 100 personas que seremos. Está delimitada por un río y un bosque que proporciona la sombra. Es muy plana con elevaciones solo en sus extremos y pendiente en la zona más próxima al río. Por experiencias previas de grupos "/>
    <m/>
    <s v="1BQkEWAiOH8d-nBQ1YEXdF-UYyLq8qEr7"/>
    <s v="https://drive.google.com/a/scoutsdemadrid.org/file/d/1BQkEWAiOH8d-nBQ1YEXdF-UYyLq8qEr7/view?usp=drivesdk"/>
    <s v="Document successfully created; Document successfully merged; PDF created; !!!ERR: Failed to add merged file to folder due to Google error: No se ha podido llamar a la API drive.files.patch; error: File not found: Rioseco (Puentenansa); Emails Sent: [To: d"/>
    <m/>
  </r>
  <r>
    <x v="0"/>
    <s v="Cantabria_x000a_Asturias"/>
    <x v="8"/>
    <x v="1"/>
    <s v="Amorós"/>
    <s v="gs.amoros@scoutsdemadrid.org "/>
    <d v="2016-07-16T00:00:00"/>
    <d v="2016-07-26T00:00:00"/>
    <x v="25"/>
    <x v="25"/>
    <m/>
    <m/>
    <m/>
    <m/>
    <m/>
    <m/>
    <m/>
    <m/>
    <m/>
    <m/>
    <m/>
    <m/>
    <m/>
    <m/>
    <m/>
    <s v="1gI4jjs--jERRNcKrhrw9uh2wTy91pNqm"/>
    <s v="https://drive.google.com/a/scoutsdemadrid.org/file/d/1gI4jjs--jERRNcKrhrw9uh2wTy91pNqm/view?usp=drivesdk"/>
    <s v="Document successfully created; Document successfully merged; PDF created; !!!ERR: Failed to add merged file to folder due to Google error: No se ha podido llamar a la API drive.files.patch; error: File not found: 2016; Emails Sent: [To: daperador@scoutsde"/>
    <m/>
  </r>
  <r>
    <x v="0"/>
    <s v="Cantabria"/>
    <x v="6"/>
    <x v="3"/>
    <s v="Valverde"/>
    <s v="gs.valverde@scoutsdemadrid.org "/>
    <d v="2012-07-16T00:00:00"/>
    <d v="2012-07-29T00:00:00"/>
    <x v="18"/>
    <x v="26"/>
    <m/>
    <m/>
    <m/>
    <m/>
    <m/>
    <m/>
    <m/>
    <m/>
    <m/>
    <m/>
    <m/>
    <m/>
    <m/>
    <m/>
    <m/>
    <s v="1VYNLTDukdinE-BM7drtneoGkyGQ35JE_"/>
    <s v="https://drive.google.com/a/scoutsdemadrid.org/file/d/1VYNLTDukdinE-BM7drtneoGkyGQ35JE_/view?usp=drivesdk"/>
    <s v="Document successfully created; Document successfully merged; PDF created; !!!ERR: Failed to add merged file to folder due to Google error: No se ha podido llamar a la API drive.files.patch; error: File not found: Suesa; Emails Sent: [To: daperador@scoutsd"/>
    <m/>
  </r>
  <r>
    <x v="0"/>
    <s v="Cantabria"/>
    <x v="6"/>
    <x v="5"/>
    <s v="Buen Pastor"/>
    <s v="gs.buenpastor@scoutsdemadrid.org"/>
    <d v="2019-07-13T00:00:00"/>
    <d v="2019-07-30T00:00:00"/>
    <x v="26"/>
    <x v="27"/>
    <s v="39094A161000010000IP/39094A161050010000IS"/>
    <s v="x: 426050,09 ; y: 4741588,6"/>
    <s v="Yavé Santiago Alonso Arnaiz"/>
    <s v="677884204/942776346"/>
    <s v="losnogalesvillota@hotmail.com"/>
    <s v="300+100 fianza todo el campa"/>
    <s v="2.463 m2 + 9.496 m2"/>
    <s v="BUENO (Se puede acceder con cualquier coche)"/>
    <s v="Sí"/>
    <s v="una de las parcelas colinda con el río Ebro"/>
    <s v="Buena aunque cubre poquito"/>
    <s v="Ninguna"/>
    <s v="ni idea "/>
    <s v="en la finca cercana al río no se pueden poner las tiendas por proximidad al río, y la campa en la que se ponen las tiendas da a la carretera es muy abierta, es algo fea."/>
    <s v="No"/>
    <s v="1pDL0twBa4Jtr8tb8maseIfK7qO_hDYSO"/>
    <s v="https://drive.google.com/a/scoutsdemadrid.org/file/d/1pDL0twBa4Jtr8tb8maseIfK7qO_hDYSO/view?usp=drivesdk"/>
    <s v="Document successfully created; Document successfully merged; PDF created; !!!ERR: Failed to add merged file to folder due to Google error: No se ha podido llamar a la API drive.files.patch; error: File not found: Valderredible; Emails Sent: [To: daperador"/>
    <m/>
  </r>
  <r>
    <x v="0"/>
    <s v="Cantabria"/>
    <x v="6"/>
    <x v="5"/>
    <s v="Santa Ana San Rafael"/>
    <s v="gs.sasr@scoutsdemadrid.org "/>
    <d v="2019-07-13T00:00:00"/>
    <d v="2019-07-30T00:00:00"/>
    <x v="27"/>
    <x v="28"/>
    <s v="39050A003004610000OA / 39050A003004620000OB/ 39050A00300471000"/>
    <s v="X: 374993,71 Y: 4770283,62"/>
    <s v="Juan Luis Salceda Sánchez"/>
    <n v="616302131"/>
    <s v="chushornillos@yahoo.es"/>
    <s v="700 quince + 200 tasas del ayuntamiento"/>
    <s v="1300 m2"/>
    <s v="BUENO (Se puede acceder con cualquier coche)"/>
    <s v="No"/>
    <s v="Hay un río en la finca"/>
    <s v="El río es poco caudaloso"/>
    <s v="No"/>
    <s v="Si, en Potes (a 7 km) hay aserradero"/>
    <s v="Hay varias zonas de juego y la zona es bonita y con muchas marchas cerca.Tiene poca sombra y bastante desnivel."/>
    <s v="Sí"/>
    <s v="11-fg7m7hjz0TwKrbtFgc4Rhs2gPMe6af"/>
    <s v="https://drive.google.com/a/scoutsdemadrid.org/file/d/11-fg7m7hjz0TwKrbtFgc4Rhs2gPMe6af/view?usp=drivesdk"/>
    <s v="Document successfully created; Document successfully merged; PDF created; !!!ERR: Failed to add merged file to folder due to Google error: No se ha podido llamar a la API drive.files.patch; error: File not found: Pesaguero; Emails Sent: [To: daperador@sco"/>
    <m/>
  </r>
  <r>
    <x v="0"/>
    <s v="Cantabria"/>
    <x v="6"/>
    <x v="5"/>
    <s v="Claret"/>
    <s v="gs.claret@scoutsdemadrid.org"/>
    <d v="2019-07-15T00:00:00"/>
    <d v="2019-07-30T00:00:00"/>
    <x v="28"/>
    <x v="29"/>
    <s v="Polígono 4 parcela 235"/>
    <s v="43º16’9.00&quot; N 4º24’56.18&quot;W"/>
    <s v="Aurora Rubín García"/>
    <n v="942727550"/>
    <s v="No tiene que sepamos"/>
    <s v="900€ (quincena)"/>
    <s v="2 ha"/>
    <s v="BUENO (Se puede acceder con cualquier coche)"/>
    <s v="Sí"/>
    <s v="1 km"/>
    <s v="Río bastante amplio"/>
    <s v="No"/>
    <s v="Sí"/>
    <s v="Bastante llano, buen acceso, toma de agua..."/>
    <s v="Sí"/>
    <s v="1dfYIYZUYpbcCCldzmRJ_VKvI-JiSEmQy"/>
    <s v="https://drive.google.com/a/scoutsdemadrid.org/file/d/1dfYIYZUYpbcCCldzmRJ_VKvI-JiSEmQy/view?usp=drivesdk"/>
    <s v="Document successfully created; Document successfully merged; PDF created; !!!ERR: Failed to add merged file to folder due to Google error: No se ha podido llamar a la API drive.files.patch; error: File not found: Puentenansa; Emails Sent: [To: daperador@s"/>
    <m/>
  </r>
  <r>
    <x v="0"/>
    <s v="Cantabria"/>
    <x v="6"/>
    <x v="5"/>
    <s v="Amorós"/>
    <s v="gs.amoros@scoutsdemadrid.org"/>
    <d v="2019-07-16T00:00:00"/>
    <d v="2019-07-30T00:00:00"/>
    <x v="29"/>
    <x v="30"/>
    <s v="39063A021001740000EH Y 39063A021001750000EW"/>
    <s v="384.247,84 Y 4789813,97"/>
    <s v="MARÍA ÁNGELES SÁNCHEZ SÁNCHEZ"/>
    <n v="656800040"/>
    <s v="no dispone"/>
    <s v="700€ quincena"/>
    <s v="9700M2"/>
    <s v="REGULAR (Se puede acceder con un coche normal con dificultad)"/>
    <s v="Sí"/>
    <s v="Contigua"/>
    <s v="Depende de caudal, pendiente comprobar en verano"/>
    <s v="No"/>
    <s v="Cabezón de la sal"/>
    <s v="Una pista forestal lo divide a la mitad"/>
    <s v="Sí"/>
    <s v="1NfYgbXWhG_UfstoCrxWKw7SOxRUbca6N"/>
    <s v="https://drive.google.com/a/scoutsdemadrid.org/file/d/1NfYgbXWhG_UfstoCrxWKw7SOxRUbca6N/view?usp=drivesdk"/>
    <s v="Document successfully created; Document successfully merged; PDF created; !!!ERR: Failed to add merged file to folder due to Google error: No se ha podido llamar a la API drive.files.patch; error: File not found: Rionansa; Emails Sent: [To: daperador@scou"/>
    <m/>
  </r>
  <r>
    <x v="0"/>
    <s v="Castilla y León"/>
    <x v="9"/>
    <x v="2"/>
    <s v="Adhara"/>
    <s v="gs.adhara@scoutsdemadrid.org"/>
    <d v="2015-07-16T00:00:00"/>
    <d v="2015-07-30T00:00:00"/>
    <x v="30"/>
    <x v="31"/>
    <m/>
    <s v="41°59′09″N -6°04′34″O"/>
    <m/>
    <m/>
    <m/>
    <m/>
    <m/>
    <m/>
    <m/>
    <m/>
    <m/>
    <m/>
    <m/>
    <m/>
    <m/>
    <s v="1TZ-PEviYB84ebpyEpx9tljIdtvQHLCjh"/>
    <s v="https://drive.google.com/a/scoutsdemadrid.org/file/d/1TZ-PEviYB84ebpyEpx9tljIdtvQHLCjh/view?usp=drivesdk"/>
    <s v="Document successfully created; Document successfully merged; PDF created; !!!ERR: Failed to add merged file to folder due to Google error: No se ha podido llamar a la API drive.files.patch; error: File not found: Calzada De Tera; Emails Sent: [To: daperad"/>
    <m/>
  </r>
  <r>
    <x v="0"/>
    <s v="Castilla y León"/>
    <x v="10"/>
    <x v="0"/>
    <s v="Adhara"/>
    <s v="gs.adhara@scoutsdemadrid.org"/>
    <d v="2017-07-16T00:00:00"/>
    <d v="2017-07-30T00:00:00"/>
    <x v="31"/>
    <x v="32"/>
    <m/>
    <m/>
    <s v="Ángal Gónzalez"/>
    <m/>
    <m/>
    <m/>
    <m/>
    <s v="BUENO (Se puede acceder con cualquier coche)"/>
    <s v="Sí"/>
    <m/>
    <s v="Piscinas naturales"/>
    <s v="Cocina, comedor, baños"/>
    <s v="No"/>
    <m/>
    <m/>
    <s v="1gXeSU3NjA4JJZu9L5WcwQX7eWRIdMfHY"/>
    <s v="https://drive.google.com/a/scoutsdemadrid.org/file/d/1gXeSU3NjA4JJZu9L5WcwQX7eWRIdMfHY/view?usp=drivesdk"/>
    <s v="Document successfully created; Document successfully merged; PDF created; !!!ERR: Failed to add merged file to folder due to Google error: No se ha podido llamar a la API drive.files.patch; error: File not found: Hoyos Del Espino; Emails Sent: [To: dapera"/>
    <m/>
  </r>
  <r>
    <x v="0"/>
    <s v="Castilla y León"/>
    <x v="10"/>
    <x v="3"/>
    <s v="Águila"/>
    <s v="gs.aguila@scoutsdemadrid.org "/>
    <d v="2012-07-14T00:00:00"/>
    <d v="2012-07-29T00:00:00"/>
    <x v="32"/>
    <x v="33"/>
    <m/>
    <s v="http://goo.gl/maps/qMKa"/>
    <m/>
    <m/>
    <m/>
    <m/>
    <m/>
    <m/>
    <m/>
    <m/>
    <m/>
    <m/>
    <m/>
    <m/>
    <m/>
    <s v="15pBinMiA7ksERwnIG1aRJZLBQthga_8o"/>
    <s v="https://drive.google.com/a/scoutsdemadrid.org/file/d/15pBinMiA7ksERwnIG1aRJZLBQthga_8o/view?usp=drivesdk"/>
    <s v="Document successfully created; Document successfully merged; PDF created; !!!ERR: Failed to add merged file to folder due to Google error: No se ha podido llamar a la API drive.files.patch; error: File not found: 2012; Emails Sent: [To: daperador@scoutsde"/>
    <m/>
  </r>
  <r>
    <x v="0"/>
    <s v="Castilla y León"/>
    <x v="10"/>
    <x v="2"/>
    <s v="Águila"/>
    <s v="gs.aguila@scoutsdemadrid.org "/>
    <d v="2015-07-15T00:00:00"/>
    <d v="2015-07-30T00:00:00"/>
    <x v="33"/>
    <x v="34"/>
    <m/>
    <m/>
    <m/>
    <m/>
    <m/>
    <m/>
    <m/>
    <m/>
    <m/>
    <m/>
    <m/>
    <m/>
    <m/>
    <m/>
    <m/>
    <s v="188teyVEcSSWLOysgxm0fNsz4xJ0uHhL3"/>
    <s v="https://drive.google.com/a/scoutsdemadrid.org/file/d/188teyVEcSSWLOysgxm0fNsz4xJ0uHhL3/view?usp=drivesdk"/>
    <s v="Document successfully created; Document successfully merged; PDF created; !!!ERR: Failed to add merged file to folder due to Google error: No se ha podido llamar a la API drive.files.patch; error: File not found: Navalmoral De La Sierra; Emails Sent: [To:"/>
    <m/>
  </r>
  <r>
    <x v="0"/>
    <s v="Castilla y León"/>
    <x v="10"/>
    <x v="2"/>
    <s v="Alud"/>
    <s v="gs.alud@scoutsdemadrid.org "/>
    <d v="2015-07-16T00:00:00"/>
    <d v="2015-07-30T00:00:00"/>
    <x v="34"/>
    <x v="35"/>
    <m/>
    <s v="34.19, -4.45"/>
    <m/>
    <m/>
    <m/>
    <m/>
    <m/>
    <m/>
    <m/>
    <m/>
    <m/>
    <m/>
    <m/>
    <m/>
    <m/>
    <s v="1vNf8wuaMnLRW47TYE72bYxZFlLtjBp16"/>
    <s v="https://drive.google.com/a/scoutsdemadrid.org/file/d/1vNf8wuaMnLRW47TYE72bYxZFlLtjBp16/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1"/>
    <x v="0"/>
    <s v="Alud"/>
    <s v="gs.alud@scoutsdemadrid.org "/>
    <d v="2017-07-22T00:00:00"/>
    <d v="2017-07-30T00:00:00"/>
    <x v="35"/>
    <x v="36"/>
    <m/>
    <m/>
    <s v="NS/NC (Jamscout)"/>
    <m/>
    <m/>
    <m/>
    <m/>
    <m/>
    <m/>
    <m/>
    <m/>
    <m/>
    <m/>
    <m/>
    <s v="12x0nCSKTumNI2BtROWoC2xUdWSLYcFbY"/>
    <s v="https://drive.google.com/a/scoutsdemadrid.org/file/d/12x0nCSKTumNI2BtROWoC2xUdWSLYcFbY/view?usp=drivesdk"/>
    <s v="Zona Campamento"/>
    <s v="Document successfully created; Document successfully merged; PDF created; !!!ERR: Failed to add merged file to folder due to Google error: No se ha podido llamar a la API drive.files.patch; error: File not found: Covaleda; Emails Sent: [To: daperador@scou"/>
    <m/>
  </r>
  <r>
    <x v="0"/>
    <s v="Castilla y León"/>
    <x v="10"/>
    <x v="4"/>
    <s v="Alud"/>
    <s v="gs.alud@scoutsdemadrid.org "/>
    <d v="2018-07-16T00:00:00"/>
    <d v="2018-07-30T00:00:00"/>
    <x v="36"/>
    <x v="37"/>
    <s v="A la espera de que nos lo faciliten"/>
    <s v="Latitud Norte 40º 24” 55,6. Longitud oeste W 4º 39” 48,0"/>
    <s v="Montserrat Simón Martín"/>
    <s v="920286393 / 619242999"/>
    <s v="alberguesierradegredos@yahoo.es"/>
    <n v="364"/>
    <s v="A la espera de que nos lo faciliten"/>
    <s v="BUENO (Se puede acceder con cualquier coche)"/>
    <s v="Sí"/>
    <s v="50m"/>
    <s v="Fácil acceso "/>
    <s v="Baño, cocina, habitaciones, comedor, jardines y aulas"/>
    <s v="No necesitamos"/>
    <s v="Buen aspecto, bien comunicado, proximidad a diferentes zonas de baño y cercanía a Madrid"/>
    <s v="1YK9hh0m1EDKz4C-BBHHF7n36KxnSluEi"/>
    <s v="https://drive.google.com/a/scoutsdemadrid.org/file/d/1YK9hh0m1EDKz4C-BBHHF7n36KxnSluEi/view?usp=drivesdk"/>
    <s v="Zona Campamento"/>
    <s v="Document successfully created; Document successfully merged; PDF created; !!!ERR: Failed to add merged file to folder due to Google error: No se ha podido llamar a la API drive.files.patch; error: File not found: Navaluenga; Emails Sent: [To: daperador@sc"/>
    <m/>
  </r>
  <r>
    <x v="0"/>
    <s v="Castilla y León"/>
    <x v="10"/>
    <x v="4"/>
    <s v="Alud"/>
    <s v="gs.alud@scoutsdemadrid.org "/>
    <d v="2018-07-16T00:00:00"/>
    <d v="2018-07-30T00:00:00"/>
    <x v="36"/>
    <x v="37"/>
    <s v="A la espera de que nos lo faciliten"/>
    <s v="Latitud Norte 40º 24” 55,6. Longitud oeste W 4º 39” 48,0"/>
    <s v="Montserrat Simón Martín"/>
    <s v="920286393 / 619242999"/>
    <s v="alberguesierradegredos@yahoo.es"/>
    <n v="364"/>
    <s v="A la espera de que nos lo faciliten"/>
    <s v="BUENO (Se puede acceder con cualquier coche)"/>
    <s v="Sí"/>
    <s v="50m"/>
    <s v="Fácil acceso "/>
    <s v="Baño, cocina, habitaciones, comedor, jardines y aulas"/>
    <s v="No necesitamos"/>
    <s v="Buen aspecto, bien comunicado, proximidad a diferentes zonas de baño y cercanía a Madrid"/>
    <s v="1P0OWHwdvzlnBpWQ-q9GssfA3yfBd55vx"/>
    <s v="https://drive.google.com/a/scoutsdemadrid.org/file/d/1P0OWHwdvzlnBpWQ-q9GssfA3yfBd55vx/view?usp=drivesdk"/>
    <s v="Zona Campamento"/>
    <s v="Document successfully created; Document successfully merged; PDF created; !!!ERR: Failed to add merged file to folder due to Google error: No se ha podido llamar a la API drive.files.patch; error: File not found: Navaluenga; Emails Sent: [To: daperador@sc"/>
    <m/>
  </r>
  <r>
    <x v="0"/>
    <s v="Castilla y León"/>
    <x v="12"/>
    <x v="3"/>
    <s v="Amorós"/>
    <s v="gs.amoros@scoutsdemadrid.org "/>
    <d v="2012-07-16T00:00:00"/>
    <d v="2012-07-30T00:00:00"/>
    <x v="37"/>
    <x v="38"/>
    <m/>
    <s v="https://maps.google.es/maps?q=Los+Llazos,+La+Pern%C3%ADa&amp;hl=es&amp;ie=UTF8&amp;ll=42.979841,-4.487325&amp;spn=0.006899,0.016512&amp;sll=40.396764,-3.713379&amp;sspn=14.695835,33.815918&amp;oq=los+llazos&amp;hnear=Los+Llazos,+La+Pern%C3%ADa,+Palencia,+Castilla+y+Le%C3%B3n&amp;t=h&amp;z=17"/>
    <m/>
    <m/>
    <m/>
    <m/>
    <m/>
    <m/>
    <m/>
    <m/>
    <m/>
    <m/>
    <m/>
    <m/>
    <s v="1r5RpCUZGa-TnFYXKaMwq91UjWvSg-NmI"/>
    <s v="https://drive.google.com/a/scoutsdemadrid.org/file/d/1r5RpCUZGa-TnFYXKaMwq91UjWvSg-NmI/view?usp=drivesdk"/>
    <s v="Zona Campamento"/>
    <s v="Document successfully created; Document successfully merged; PDF created; !!!ERR: Failed to add merged file to folder due to Google error: No se ha podido llamar a la API drive.files.patch; error: File not found: 2012; Emails Sent: [To: daperador@scoutsde"/>
    <m/>
  </r>
  <r>
    <x v="0"/>
    <s v="Castilla y León"/>
    <x v="13"/>
    <x v="2"/>
    <s v="Amorós"/>
    <s v="gs.amoros@scoutsdemadrid.org "/>
    <d v="2015-07-13T00:00:00"/>
    <d v="2015-07-30T00:00:00"/>
    <x v="38"/>
    <x v="39"/>
    <m/>
    <m/>
    <m/>
    <m/>
    <m/>
    <m/>
    <m/>
    <m/>
    <m/>
    <m/>
    <m/>
    <m/>
    <m/>
    <m/>
    <s v="16NXj3xyuWAuUCBKeUXGLDBXLxVyBRV7e"/>
    <s v="https://drive.google.com/a/scoutsdemadrid.org/file/d/16NXj3xyuWAuUCBKeUXGLDBXLxVyBRV7e/view?usp=drivesdk"/>
    <s v="Zona Campamento"/>
    <s v="Document successfully created; Document successfully merged; PDF created; !!!ERR: Failed to add merged file to folder due to Google error: No se ha podido llamar a la API drive.files.patch; error: File not found: 2015; Emails Sent: [To: daperador@scoutsde"/>
    <m/>
  </r>
  <r>
    <x v="0"/>
    <s v="Castilla y León"/>
    <x v="10"/>
    <x v="0"/>
    <s v="Amorós"/>
    <s v="gs.amoros@scoutsdemadrid.org "/>
    <d v="2017-07-14T00:00:00"/>
    <d v="2017-07-30T00:00:00"/>
    <x v="39"/>
    <x v="40"/>
    <m/>
    <m/>
    <s v="Ignacio Romero Trillo"/>
    <m/>
    <m/>
    <m/>
    <m/>
    <m/>
    <m/>
    <m/>
    <m/>
    <m/>
    <m/>
    <m/>
    <s v="1xXRTXkJFj5BORNtH1tCe3yH0v2kMp7w2"/>
    <s v="https://drive.google.com/a/scoutsdemadrid.org/file/d/1xXRTXkJFj5BORNtH1tCe3yH0v2kMp7w2/view?usp=drivesdk"/>
    <s v="Zona Campamento"/>
    <s v="Document successfully created; Document successfully merged; PDF created; !!!ERR: Failed to add merged file to folder due to Google error: No se ha podido llamar a la API drive.files.patch; error: File not found: Zapardiel De La Ribera; Emails Sent: [To: "/>
    <m/>
  </r>
  <r>
    <x v="0"/>
    <s v="Castilla y León"/>
    <x v="11"/>
    <x v="0"/>
    <s v="Amorós"/>
    <s v="gs.amoros@scoutsdemadrid.org "/>
    <d v="2017-07-16T00:00:00"/>
    <d v="2017-07-30T00:00:00"/>
    <x v="35"/>
    <x v="41"/>
    <m/>
    <m/>
    <s v="MSC"/>
    <m/>
    <m/>
    <m/>
    <m/>
    <m/>
    <m/>
    <m/>
    <m/>
    <m/>
    <m/>
    <s v="Asistencia al JamScout de MSC con la unidad de Exploradores. Volante por el entorno de Covaleda y el pico Urbión los días previos."/>
    <s v="1Eln7ZUf3P40TsUQIngUHjwb_OTahFNEN"/>
    <s v="https://drive.google.com/a/scoutsdemadrid.org/file/d/1Eln7ZUf3P40TsUQIngUHjwb_OTahFNEN/view?usp=drivesdk"/>
    <s v="Zona Campamento"/>
    <s v="Document successfully created; Document successfully merged; PDF created; !!!ERR: Failed to add merged file to folder due to Google error: No se ha podido llamar a la API drive.files.patch; error: File not found: Covaleda; Emails Sent: [To: daperador@scou"/>
    <m/>
  </r>
  <r>
    <x v="0"/>
    <s v="Castilla y León"/>
    <x v="11"/>
    <x v="4"/>
    <s v="Amorós"/>
    <s v="gs.amoros@scoutsdemadrid.org "/>
    <d v="2018-07-13T00:00:00"/>
    <d v="2018-08-30T00:00:00"/>
    <x v="40"/>
    <x v="42"/>
    <s v="tenemos que llamar al ayuntamiento para poder conseguirlo otra vez"/>
    <s v="Datum: ETRS89 Latitud: 41º  58´ 1.34´´ N Longitud: 2º  56´ 28.71´´  Huso UTM: 30 Coord. X: 504.863,32 Coord. Y: 4.646.116,37 Nivel: 16"/>
    <s v="Ayuntamiento"/>
    <n v="975371250"/>
    <s v="duruelo@duruelodelasierra.es"/>
    <n v="7.8"/>
    <s v="83.950 m2"/>
    <s v="BUENO (Se puede acceder con cualquier coche)"/>
    <s v="Sí"/>
    <s v="100m"/>
    <s v="tiene un rio con pequeñas pozas "/>
    <s v="No "/>
    <s v="Si "/>
    <s v="Es un pinar tiene mucha zona de sombra y es un terreno muy grande aunque no lo utilizaremos por completo. "/>
    <s v="1hPsYUHImdbi4-ZuhFaKDv38ak8w_s7wm"/>
    <s v="https://drive.google.com/a/scoutsdemadrid.org/file/d/1hPsYUHImdbi4-ZuhFaKDv38ak8w_s7wm/view?usp=drivesdk"/>
    <s v="Zona Campamento"/>
    <s v="Document successfully created; Document successfully merged; PDF created; !!!ERR: Failed to add merged file to folder due to Google error: No se ha podido llamar a la API drive.files.patch; error: File not found: Soria; Emails Sent: [To: daperador@scoutsd"/>
    <m/>
  </r>
  <r>
    <x v="0"/>
    <s v="Castilla y León"/>
    <x v="14"/>
    <x v="2"/>
    <s v="Buen Pastor"/>
    <s v="gs.buenpastor@scoutsdemadrid.org "/>
    <d v="2015-07-01T00:00:00"/>
    <d v="2015-06-14T00:00:00"/>
    <x v="41"/>
    <x v="43"/>
    <m/>
    <m/>
    <m/>
    <m/>
    <m/>
    <m/>
    <m/>
    <m/>
    <m/>
    <m/>
    <m/>
    <m/>
    <m/>
    <m/>
    <s v="1LNRV3EODRFd1FUKekZClCAYR3xaR-eSV"/>
    <s v="https://drive.google.com/a/scoutsdemadrid.org/file/d/1LNRV3EODRFd1FUKekZClCAYR3xaR-eSV/view?usp=drivesdk"/>
    <s v="Zona Campamento"/>
    <s v="Document successfully created; Document successfully merged; PDF created; !!!ERR: Failed to add merged file to folder due to Google error: No se ha podido llamar a la API drive.files.patch; error: File not found: 2015; Emails Sent: [To: daperador@scoutsde"/>
    <m/>
  </r>
  <r>
    <x v="0"/>
    <s v="Castilla y León"/>
    <x v="14"/>
    <x v="4"/>
    <s v="Buen Pastor"/>
    <s v="gs.buenpastor@scoutsdemadrid.org "/>
    <d v="2018-07-13T00:00:00"/>
    <d v="2018-07-30T00:00:00"/>
    <x v="42"/>
    <x v="44"/>
    <s v="24124A00200228"/>
    <s v="N:43º02`59,5'' O:5º16'43,5&quot;"/>
    <s v="CELESTINO DIEZ ALONSO"/>
    <n v="605670665"/>
    <s v="-----"/>
    <s v="450€ la quincena"/>
    <s v="22.815m2"/>
    <s v="BUENO (Se puede acceder con cualquier coche)"/>
    <s v="Sí"/>
    <s v="EL rio pasa por un lateral de la finca"/>
    <s v="Desde la propia finca solo se puede acceder para bombear agua. Si se anda unos metros hay pozas moderadamente acondicionadas."/>
    <s v="No. Existe al lado de la finca un antiguo Invernadero que esta cerrado y no es posible su acceso."/>
    <s v="si"/>
    <s v="Es una campa bastante grande, con distintas alturas. Es sencillo conseguir el agua para las instalaciones. Dispone de espacio suficiente para realizar las actividades. El acceso es bueno y el pueblo esta a 2km de la finca."/>
    <s v="1che6Mlvb2fOszWeDcOF-Lw5K-cCvGt4V"/>
    <s v="https://drive.google.com/a/scoutsdemadrid.org/file/d/1che6Mlvb2fOszWeDcOF-Lw5K-cCvGt4V/view?usp=drivesdk"/>
    <s v="Zona Campamento"/>
    <s v="Document successfully created; Document successfully merged; PDF created; !!!ERR: Failed to add merged file to folder due to Google error: No se ha podido llamar a la API drive.files.patch; error: File not found: 2018; Emails Sent: [To: daperador@scoutsde"/>
    <m/>
  </r>
  <r>
    <x v="0"/>
    <s v="Castilla y León"/>
    <x v="14"/>
    <x v="5"/>
    <s v="Calasanz Val"/>
    <s v="gs.calasanz@scoutsdemadrid.org "/>
    <n v="43647"/>
    <n v="43661"/>
    <x v="43"/>
    <x v="45"/>
    <s v=" 24104A03190307"/>
    <s v="42.716139, -6.398513"/>
    <s v="Pablo García Moreno - Sportanoe"/>
    <s v=" 687 49 29 23"/>
    <s v="pablogmoreno@sportanoe.com"/>
    <s v="16 euros/persona"/>
    <s v="NS"/>
    <s v="BUENO (Se puede acceder con cualquier coche)"/>
    <s v="No"/>
    <s v="20minutos"/>
    <s v="Piscina municipal"/>
    <s v="Cocina, baños"/>
    <s v="NS"/>
    <s v="Buen trato, te hacen la comida"/>
    <s v="1Cx18LEz88nV3SZpgUg6ph9EhNObr3RNw"/>
    <s v="https://drive.google.com/a/scoutsdemadrid.org/file/d/1Cx18LEz88nV3SZpgUg6ph9EhNObr3RNw/view?usp=drivesdk"/>
    <s v="Zona Campamento"/>
    <s v="Document successfully created; Document successfully merged; PDF created; !!!ERR: Failed to add merged file to folder due to Google error: No se ha podido llamar a la API drive.files.patch; error: File not found: 2019; Emails Sent: [To: daperador@scoutsde"/>
    <m/>
  </r>
  <r>
    <x v="0"/>
    <s v="Castilla y León"/>
    <x v="10"/>
    <x v="3"/>
    <s v="Calasanz-Val"/>
    <s v="gs.calasanz@scoutsdemadrid.org "/>
    <d v="2012-07-01T00:00:00"/>
    <d v="2012-07-25T00:00:00"/>
    <x v="44"/>
    <x v="46"/>
    <m/>
    <m/>
    <m/>
    <m/>
    <m/>
    <m/>
    <m/>
    <m/>
    <m/>
    <m/>
    <m/>
    <m/>
    <m/>
    <m/>
    <s v="1fH3nG9YAbdSQhFsvy-zNe5MG0_2S6-Xw"/>
    <s v="https://drive.google.com/a/scoutsdemadrid.org/file/d/1fH3nG9YAbdSQhFsvy-zNe5MG0_2S6-Xw/view?usp=drivesdk"/>
    <s v="Zona Campamento"/>
    <s v="Document successfully created; Document successfully merged; PDF created; !!!ERR: Failed to add merged file to folder due to Google error: No se ha podido llamar a la API drive.files.patch; error: File not found: Llanos De Tormes; Emails Sent: [To: dapera"/>
    <m/>
  </r>
  <r>
    <x v="0"/>
    <s v="Castilla y León"/>
    <x v="11"/>
    <x v="1"/>
    <s v="Claret"/>
    <s v="gs.claret@scoutsdemadrid.org "/>
    <d v="2012-07-11T00:00:00"/>
    <d v="2012-07-30T00:00:00"/>
    <x v="45"/>
    <x v="47"/>
    <m/>
    <s v="https://maps.google.es/maps/ms?msid=203418343783550310345.0004c1466ed55533d522c&amp;msa=0&amp;ll=41.834462,-2.743492&amp;spn=0.02785,0.066047"/>
    <m/>
    <m/>
    <m/>
    <m/>
    <m/>
    <m/>
    <m/>
    <m/>
    <m/>
    <m/>
    <m/>
    <m/>
    <s v="1w1IFV3b8vb-DnhGoHUoejFhAkC7ybwnH"/>
    <s v="https://drive.google.com/a/scoutsdemadrid.org/file/d/1w1IFV3b8vb-DnhGoHUoejFhAkC7ybwnH/view?usp=drivesdk"/>
    <s v="Zona Campamento"/>
    <s v="Document successfully created; Document successfully merged; PDF created; !!!ERR: Failed to add merged file to folder due to Google error: No se ha podido llamar a la API drive.files.patch; error: File not found: Herreros; Emails Sent: [To: daperador@scou"/>
    <m/>
  </r>
  <r>
    <x v="0"/>
    <s v="Castilla y León"/>
    <x v="14"/>
    <x v="1"/>
    <s v="Claret"/>
    <s v="gs.claret@scoutsdemadrid.org "/>
    <d v="2016-07-15T00:00:00"/>
    <d v="2016-07-30T00:00:00"/>
    <x v="46"/>
    <x v="48"/>
    <m/>
    <s v="43°2'25.22&quot;N, 5°16'32.00&quot;W"/>
    <s v="CELESTINO DIEZ ALONSO"/>
    <n v="605670665"/>
    <m/>
    <s v="500€ EN TOTAL"/>
    <s v="2 ha"/>
    <s v="BUENO (Se puede acceder con cualquier coche)"/>
    <s v="Sí"/>
    <s v="Atraviesa la finca el río Porma"/>
    <s v="El río cubre por las rodillas"/>
    <s v="No"/>
    <s v="si"/>
    <s v="Buen acceso, con sombras, a 1 km de Cofiñal. Terreno llano y agradable."/>
    <s v="1UE1CHSg_G39cxPzDb-8WamdNIr7HheeX"/>
    <s v="https://drive.google.com/a/scoutsdemadrid.org/file/d/1UE1CHSg_G39cxPzDb-8WamdNIr7HheeX/view?usp=drivesdk"/>
    <s v="Zona Campamento"/>
    <s v="Document successfully created; Document successfully merged; PDF created; !!!ERR: Failed to add merged file to folder due to Google error: No se ha podido llamar a la API drive.files.patch; error: File not found: Cofiñal (Puebla De Lillo); Emails Sent: [T"/>
    <m/>
  </r>
  <r>
    <x v="0"/>
    <s v="Castilla y León"/>
    <x v="14"/>
    <x v="1"/>
    <s v="Claret"/>
    <s v="gs.claret@scoutsdemadrid.org "/>
    <d v="2016-07-15T00:00:00"/>
    <d v="2016-07-30T00:00:00"/>
    <x v="46"/>
    <x v="48"/>
    <m/>
    <s v="43°2'25.22&quot;N, 5°16'32.00&quot;W"/>
    <s v="CELESTINO DIEZ ALONSO"/>
    <n v="605670665"/>
    <m/>
    <s v="500€ EN TOTAL"/>
    <s v="2 ha"/>
    <s v="BUENO (Se puede acceder con cualquier coche)"/>
    <s v="Sí"/>
    <s v="Atraviesa la finca el río Porma"/>
    <s v="El río cubre por las rodillas"/>
    <s v="No"/>
    <s v="si"/>
    <s v="Buen acceso, con sombras, a 1 km de Cofiñal. Terreno llano y agradable."/>
    <s v="14JkLen43XrgHPDIsooKZAk75IjzY2w50"/>
    <s v="https://drive.google.com/a/scoutsdemadrid.org/file/d/14JkLen43XrgHPDIsooKZAk75IjzY2w50/view?usp=drivesdk"/>
    <s v="Zona Campamento"/>
    <s v="Document successfully created; Document successfully merged; PDF created; !!!ERR: Failed to add merged file to folder due to Google error: No se ha podido llamar a la API drive.files.patch; error: File not found: Cofiñal (Puebla De Lillo); Emails Sent: [T"/>
    <m/>
  </r>
  <r>
    <x v="0"/>
    <s v="Castilla y León"/>
    <x v="10"/>
    <x v="0"/>
    <s v="Claret"/>
    <s v="gs.claret@scoutsdemadrid.org "/>
    <d v="2017-07-15T00:00:00"/>
    <d v="2017-06-30T00:00:00"/>
    <x v="47"/>
    <x v="49"/>
    <s v="Parcela catastral: 30 . Polígono catastral:13"/>
    <s v="Latitud: 40º 14´  21.99&quot;  Longitud: -4º 50` 31.92&quot;"/>
    <s v="Jesús Fernández Castro "/>
    <n v="647711306"/>
    <m/>
    <s v="800 + IVA"/>
    <s v="1,7 ha"/>
    <s v="BUENO (Se puede acceder con cualquier coche)"/>
    <s v="Sí"/>
    <s v="Se encuentra dentro de la finca"/>
    <s v="Es un río pequeño, no muy caudaloso situado en un lateral de la finca"/>
    <s v="No"/>
    <s v="Sí"/>
    <s v="Terreno muy llano"/>
    <s v="1ZoHdJYkj0YToHrdmFzNYulnhlqOAm-m7"/>
    <s v="https://drive.google.com/a/scoutsdemadrid.org/file/d/1ZoHdJYkj0YToHrdmFzNYulnhlqOAm-m7/view?usp=drivesdk"/>
    <s v="Zona Campamento"/>
    <s v="Document successfully created; Document successfully merged; PDF created; !!!ERR: Failed to add merged file to folder due to Google error: No se ha podido llamar a la API drive.files.patch; error: File not found: Mijares; Emails Sent: [To: daperador@scout"/>
    <m/>
  </r>
  <r>
    <x v="0"/>
    <s v="Castilla y León"/>
    <x v="14"/>
    <x v="4"/>
    <s v="Claret"/>
    <s v="gs.claret@scoutsdemadrid.org "/>
    <d v="2018-07-15T00:00:00"/>
    <d v="2018-07-30T00:00:00"/>
    <x v="48"/>
    <x v="50"/>
    <s v="Poligono catastral: 4 Parcela catastral: 8"/>
    <s v="42° 52' 32.992''"/>
    <s v="Felisa Juana Álvarez Suaréz"/>
    <n v="987741310"/>
    <s v="No tiene"/>
    <s v="Precio fijo de la finca= 400€"/>
    <n v="1"/>
    <s v="BUENO (Se puede acceder con cualquier coche)"/>
    <s v="Sí"/>
    <s v="En un extremo de la finca"/>
    <s v="Rio con facil acceso en una zona"/>
    <s v="No"/>
    <s v="si"/>
    <s v="Zona amplia, con sombras y río. Buena finca aunque no dispone de instalaciones."/>
    <s v="11EiXfDDE1PxYxfeteqdDUPXN9WWBW_CB"/>
    <s v="https://drive.google.com/a/scoutsdemadrid.org/file/d/11EiXfDDE1PxYxfeteqdDUPXN9WWBW_CB/view?usp=drivesdk"/>
    <s v="Zona Campamento"/>
    <s v="Document successfully created; Document successfully merged; PDF created; !!!ERR: Failed to add merged file to folder due to Google error: No se ha podido llamar a la API drive.files.patch; error: File not found: Valdepielago; Emails Sent: [To: daperador@"/>
    <m/>
  </r>
  <r>
    <x v="0"/>
    <s v="Castilla y León"/>
    <x v="11"/>
    <x v="1"/>
    <s v="El Remolino"/>
    <s v="gs.elremolino@scoutsdemadrid.org "/>
    <d v="2016-07-22T00:00:00"/>
    <d v="2016-07-26T00:00:00"/>
    <x v="35"/>
    <x v="41"/>
    <m/>
    <m/>
    <s v="Ayuntamiento de Covaleda"/>
    <m/>
    <m/>
    <m/>
    <m/>
    <s v="BUENO (Se puede acceder con cualquier coche)"/>
    <s v="Sí"/>
    <m/>
    <m/>
    <m/>
    <m/>
    <m/>
    <s v="1wuXF7FO1M4I-e9yVRwADQjXBiq8eoXx_"/>
    <s v="https://drive.google.com/a/scoutsdemadrid.org/file/d/1wuXF7FO1M4I-e9yVRwADQjXBiq8eoXx_/view?usp=drivesdk"/>
    <s v="Zona Campamento"/>
    <s v="Document successfully created; Document successfully merged; PDF created; !!!ERR: Failed to add merged file to folder due to Google error: No se ha podido llamar a la API drive.files.patch; error: File not found: Covaleda; Emails Sent: [To: daperador@scou"/>
    <m/>
  </r>
  <r>
    <x v="0"/>
    <s v="Castilla y León"/>
    <x v="11"/>
    <x v="1"/>
    <s v="El Remolino"/>
    <s v="gs.elremolino@scoutsdemadrid.org "/>
    <d v="2016-07-22T00:00:00"/>
    <d v="2016-07-26T00:00:00"/>
    <x v="35"/>
    <x v="41"/>
    <m/>
    <m/>
    <s v="Ayuntamiento de Covaleda"/>
    <m/>
    <m/>
    <m/>
    <m/>
    <s v="BUENO (Se puede acceder con cualquier coche)"/>
    <s v="Sí"/>
    <m/>
    <m/>
    <m/>
    <m/>
    <m/>
    <s v="1cx06ScuTkEmYT5etSZ7JCsNwua9KA3wA"/>
    <s v="https://drive.google.com/a/scoutsdemadrid.org/file/d/1cx06ScuTkEmYT5etSZ7JCsNwua9KA3wA/view?usp=drivesdk"/>
    <s v="Zona Campamento"/>
    <s v="Document successfully created; Document successfully merged; PDF created; !!!ERR: Failed to add merged file to folder due to Google error: No se ha podido llamar a la API drive.files.patch; error: File not found: Covaleda; Emails Sent: [To: daperador@scou"/>
    <m/>
  </r>
  <r>
    <x v="0"/>
    <s v="Castilla y León"/>
    <x v="10"/>
    <x v="3"/>
    <s v="Encuentro"/>
    <s v="gs.encuentro@scoutsdemadrid.org "/>
    <d v="2012-07-31T00:00:00"/>
    <d v="2012-08-12T00:00:00"/>
    <x v="49"/>
    <x v="51"/>
    <m/>
    <m/>
    <m/>
    <m/>
    <m/>
    <m/>
    <m/>
    <m/>
    <m/>
    <m/>
    <m/>
    <m/>
    <m/>
    <m/>
    <s v="1YiHHiEjoUq5aYLs7h49cil7-oUJcmDXc"/>
    <s v="https://drive.google.com/a/scoutsdemadrid.org/file/d/1YiHHiEjoUq5aYLs7h49cil7-oUJcmDXc/view?usp=drivesdk"/>
    <s v="Zona Campamento"/>
    <s v="Document successfully created; Document successfully merged; PDF created; !!!ERR: Failed to add merged file to folder due to Google error: No se ha podido llamar a la API drive.files.patch; error: File not found: 2012; Emails Sent: [To: daperador@scoutsde"/>
    <m/>
  </r>
  <r>
    <x v="0"/>
    <s v="Castilla y León"/>
    <x v="13"/>
    <x v="2"/>
    <s v="Encuentro"/>
    <s v="gs.encuentro@scoutsdemadrid.org "/>
    <d v="2015-08-03T00:00:00"/>
    <d v="2015-08-16T00:00:00"/>
    <x v="50"/>
    <x v="52"/>
    <m/>
    <s v="41.9573280,-3.0136980"/>
    <m/>
    <m/>
    <m/>
    <m/>
    <m/>
    <m/>
    <m/>
    <m/>
    <m/>
    <m/>
    <m/>
    <m/>
    <s v="1y-5INBLE2BMZrwj4ckr7-3t_qvbypD_R"/>
    <s v="https://drive.google.com/a/scoutsdemadrid.org/file/d/1y-5INBLE2BMZrwj4ckr7-3t_qvbypD_R/view?usp=drivesdk"/>
    <s v="Zona Campamento"/>
    <s v="Document successfully created; Document successfully merged; PDF created; !!!ERR: Failed to add merged file to folder due to Google error: No se ha podido llamar a la API drive.files.patch; error: File not found: 2015; Emails Sent: [To: daperador@scoutsde"/>
    <m/>
  </r>
  <r>
    <x v="0"/>
    <s v="Castilla y León"/>
    <x v="10"/>
    <x v="5"/>
    <s v="Encuentro"/>
    <s v="gs.encuentro@scoutsdemadrid.org "/>
    <n v="43679"/>
    <n v="43688"/>
    <x v="51"/>
    <x v="53"/>
    <s v="-"/>
    <s v="40º13'50,002&quot;N 5º9'33,998&quot;W"/>
    <s v="Ayto. de Guisando"/>
    <s v="920 37 40 01"/>
    <s v="-"/>
    <s v="Precio por tiempo estancia"/>
    <s v="Pendiente (suficiente para 80 personas)"/>
    <s v="BUENO (Se puede acceder con cualquier coche)"/>
    <s v="Sí"/>
    <s v="1 metro (es salir una valla)"/>
    <s v="Río/charca integrado en la zona de campa con instalación de tablones para hacer un pequeña poza"/>
    <s v="Cocia, comedor,  baños y duchas, almacén"/>
    <s v="No"/>
    <s v="Es un sitio muy bien ubicado para subir a la sierra de Gredos. Tiene 6 cabañas grandes tipo tipi de madera para unas 10-15 personas."/>
    <s v="1EmJUdBE7EOyCQkBrtU2jOFIE6etcz_bI"/>
    <s v="https://drive.google.com/a/scoutsdemadrid.org/file/d/1EmJUdBE7EOyCQkBrtU2jOFIE6etcz_bI/view?usp=drivesdk"/>
    <s v="Zona Campamento"/>
    <s v="Document successfully created; Document successfully merged; PDF created; !!!ERR: Failed to add merged file to folder due to Google error: No se ha podido llamar a la API drive.files.patch; error: File not found: Guisando; Emails Sent: [To: daperador@scou"/>
    <m/>
  </r>
  <r>
    <x v="0"/>
    <s v="Castilla y León"/>
    <x v="10"/>
    <x v="3"/>
    <s v="Fátima"/>
    <s v="gs.fatima@scoutsdemadrid.org "/>
    <m/>
    <m/>
    <x v="34"/>
    <x v="54"/>
    <m/>
    <m/>
    <m/>
    <m/>
    <m/>
    <m/>
    <m/>
    <m/>
    <m/>
    <m/>
    <m/>
    <m/>
    <m/>
    <m/>
    <s v="1dlD2NobWdddlzDlhkoXT8DjmJrf-Cn20"/>
    <s v="https://drive.google.com/a/scoutsdemadrid.org/file/d/1dlD2NobWdddlzDlhkoXT8DjmJrf-Cn20/view?usp=drivesdk"/>
    <s v="Zona Campamento"/>
    <s v="Document successfully created; Document successfully merged; PDF created; !!!ERR: Failed to add merged file to folder due to Google error: No se ha podido llamar a la API drive.files.patch; error: File not found: 2012; Emails Sent: [To: daperador@scoutsde"/>
    <m/>
  </r>
  <r>
    <x v="0"/>
    <s v="Castilla y León"/>
    <x v="10"/>
    <x v="1"/>
    <s v="Fátima"/>
    <s v="gs.fatima@scoutsdemadrid.org "/>
    <d v="2012-07-19T00:00:00"/>
    <d v="2012-07-31T00:00:00"/>
    <x v="34"/>
    <x v="55"/>
    <m/>
    <s v="https://maps.google.es/maps?hl=es"/>
    <m/>
    <m/>
    <m/>
    <m/>
    <m/>
    <m/>
    <m/>
    <m/>
    <m/>
    <m/>
    <m/>
    <m/>
    <s v="1l9aoKJ5zV8G4iikrK1po2SYLRKG2Mp4G"/>
    <s v="https://drive.google.com/a/scoutsdemadrid.org/file/d/1l9aoKJ5zV8G4iikrK1po2SYLRKG2Mp4G/view?usp=drivesdk"/>
    <s v="Zona Campamento"/>
    <s v="Document successfully created; Document successfully merged; PDF created; !!!ERR: Failed to add merged file to folder due to Google error: No se ha podido llamar a la API drive.files.patch; error: File not found: 2016; Emails Sent: [To: daperador@scoutsde"/>
    <m/>
  </r>
  <r>
    <x v="0"/>
    <s v="Castilla y León"/>
    <x v="10"/>
    <x v="1"/>
    <s v="Fátima"/>
    <s v="gs.fatima@scoutsdemadrid.org "/>
    <d v="2016-07-03T00:00:00"/>
    <d v="2016-07-15T00:00:00"/>
    <x v="33"/>
    <x v="34"/>
    <s v="polígono 10 parcela 43"/>
    <s v="40º26'41.17'' N - 4º44'45,82'' W"/>
    <s v="Manuela García García"/>
    <n v="638233456"/>
    <s v="carlos_g.r@hotmail.com"/>
    <s v="700 quincena"/>
    <s v="3ha"/>
    <s v="BUENO (Se puede acceder con cualquier coche)"/>
    <s v="Sí"/>
    <s v="2km"/>
    <s v="piscina municipal de Navalmoral"/>
    <s v="no. de fortuna"/>
    <s v="sí, una empresa nos la acerca a la campa"/>
    <s v="Es una campa bastante grande limitada por muro de piedra, utilizada normalmente por grupos scout, con toma de agua (no potable)"/>
    <s v="1O6FvI2LTuZi5-jMRyYBnkWlUTf4ZOw01"/>
    <s v="https://drive.google.com/a/scoutsdemadrid.org/file/d/1O6FvI2LTuZi5-jMRyYBnkWlUTf4ZOw01/view?usp=drivesdk"/>
    <s v="Zona Campamento"/>
    <s v="Document successfully created; Document successfully merged; PDF created; !!!ERR: Failed to add merged file to folder due to Google error: No se ha podido llamar a la API drive.files.patch; error: File not found: Navalmoral De La Sierra; Emails Sent: [To:"/>
    <m/>
  </r>
  <r>
    <x v="0"/>
    <s v="Castilla y León"/>
    <x v="10"/>
    <x v="1"/>
    <s v="Fátima"/>
    <s v="gs.fatima@scoutsdemadrid.org "/>
    <d v="2016-07-03T00:00:00"/>
    <d v="2016-07-15T00:00:00"/>
    <x v="33"/>
    <x v="34"/>
    <s v="polígono 10 parcela 43"/>
    <s v="40º26'41.17'' N - 4º44'45,82'' W"/>
    <s v="Manuela García García"/>
    <n v="638233456"/>
    <s v="carlos_g.r@hotmail.com"/>
    <s v="700 quincena"/>
    <s v="3ha"/>
    <s v="BUENO (Se puede acceder con cualquier coche)"/>
    <s v="Sí"/>
    <s v="2km"/>
    <s v="piscina municipal de Navalmoral"/>
    <s v="no. de fortuna"/>
    <s v="sí, una empresa nos la acerca a la campa"/>
    <s v="Es una campa bastante grande limitada por muro de piedra, utilizada normalmente por grupos scout, con toma de agua (no potable)"/>
    <s v="1umbpLbD3vqN0dKpGiVMu1Orn2R2HnCIe"/>
    <s v="https://drive.google.com/a/scoutsdemadrid.org/file/d/1umbpLbD3vqN0dKpGiVMu1Orn2R2HnCIe/view?usp=drivesdk"/>
    <s v="Zona Campamento"/>
    <s v="Document successfully created; Document successfully merged; PDF created; !!!ERR: Failed to add merged file to folder due to Google error: No se ha podido llamar a la API drive.files.patch; error: File not found: Navalmoral De La Sierra; Emails Sent: [To:"/>
    <m/>
  </r>
  <r>
    <x v="0"/>
    <s v="Castilla y León"/>
    <x v="10"/>
    <x v="4"/>
    <s v="Fátima"/>
    <s v="gs.fatima@scoutsdemadrid.org "/>
    <d v="2018-07-16T00:00:00"/>
    <d v="2018-07-26T00:00:00"/>
    <x v="34"/>
    <x v="56"/>
    <s v="no disponible"/>
    <s v="40º16'17,1''N  ,4º 51' 41,1'' W"/>
    <s v="Manuel José Suarez Montequín"/>
    <n v="609212260"/>
    <s v="info@ceesocio.es"/>
    <s v="Precio por persona"/>
    <s v="5ha"/>
    <s v="REGULAR (Se puede acceder con un coche normal con dificultad)"/>
    <s v="Sí"/>
    <s v="200 m"/>
    <s v="Piscina natural"/>
    <s v="Albergue"/>
    <s v="si"/>
    <s v="Inst. buenas, dueño poco accesible, cambia las condiciones pagada la señal"/>
    <s v="19YolY921JsnJ1xE9g9jkOfFDOl-WQ2BC"/>
    <s v="https://drive.google.com/a/scoutsdemadrid.org/file/d/19YolY921JsnJ1xE9g9jkOfFDOl-WQ2BC/view?usp=drivesdk"/>
    <s v="Zona Campamento"/>
    <s v="Document successfully created; Document successfully merged; PDF created; !!!ERR: Failed to add merged file to folder due to Google error: No se ha podido llamar a la API drive.files.patch; error: File not found: 2018; Emails Sent: [To: daperador@scoutsde"/>
    <m/>
  </r>
  <r>
    <x v="0"/>
    <s v="Castilla y León"/>
    <x v="14"/>
    <x v="2"/>
    <s v="G.S. Samasabe-Calasancio"/>
    <s v="gs.samasabe@scoutsdemadrid.org "/>
    <d v="2015-07-16T00:00:00"/>
    <d v="2015-07-31T00:00:00"/>
    <x v="41"/>
    <x v="43"/>
    <m/>
    <s v="43º 2' 13.58'' N 5º 7' 39.56'' O"/>
    <m/>
    <m/>
    <m/>
    <m/>
    <m/>
    <m/>
    <m/>
    <m/>
    <m/>
    <m/>
    <m/>
    <m/>
    <m/>
    <s v="1b1adGB3DdJPykz86xg1ka2HfnjHplz3I"/>
    <s v="https://drive.google.com/a/scoutsdemadrid.org/file/d/1b1adGB3DdJPykz86xg1ka2HfnjHplz3I/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3"/>
    <x v="2"/>
    <s v="Goa"/>
    <s v="gs.goa@scoutsdemadrid.org "/>
    <d v="2015-07-15T00:00:00"/>
    <d v="2015-07-30T00:00:00"/>
    <x v="52"/>
    <x v="57"/>
    <m/>
    <s v="N: 42º 1' 22.8'' O: -3º 37' 48''"/>
    <m/>
    <m/>
    <m/>
    <m/>
    <m/>
    <m/>
    <m/>
    <m/>
    <m/>
    <m/>
    <m/>
    <m/>
    <m/>
    <s v="1eAVlmbEpggs18Tf1atZ7ZY1f_DMKEgpo"/>
    <s v="https://drive.google.com/a/scoutsdemadrid.org/file/d/1eAVlmbEpggs18Tf1atZ7ZY1f_DMKEgpo/view?usp=drivesdk"/>
    <s v="Document successfully created; Document successfully merged; PDF created; !!!ERR: Failed to add merged file to folder due to Google error: No se ha podido llamar a la API drive.files.patch; error: File not found: Quintanilla Del Agua; Emails Sent: [To: da"/>
    <m/>
  </r>
  <r>
    <x v="0"/>
    <s v="Castilla y León"/>
    <x v="13"/>
    <x v="2"/>
    <s v="Goa"/>
    <s v="gs.goa@scoutsdemadrid.org "/>
    <d v="2015-07-16T00:00:00"/>
    <d v="2015-07-30T00:00:00"/>
    <x v="53"/>
    <x v="58"/>
    <m/>
    <m/>
    <m/>
    <m/>
    <m/>
    <m/>
    <m/>
    <m/>
    <m/>
    <m/>
    <m/>
    <m/>
    <m/>
    <m/>
    <m/>
    <s v="1mJiNtDWxWk6-WxpbA3rLkFCEP56qUsTd"/>
    <s v="https://drive.google.com/a/scoutsdemadrid.org/file/d/1mJiNtDWxWk6-WxpbA3rLkFCEP56qUsTd/view?usp=drivesdk"/>
    <s v="Document successfully created; Document successfully merged; PDF created; !!!ERR: Failed to add merged file to folder due to Google error: No se ha podido llamar a la API drive.files.patch; error: File not found: Quintanilla Del Agua; Emails Sent: [To: da"/>
    <m/>
  </r>
  <r>
    <x v="0"/>
    <s v="Castilla y León"/>
    <x v="14"/>
    <x v="1"/>
    <s v="Goa"/>
    <s v="gs.goa@scoutsdemadrid.org "/>
    <d v="2016-07-16T00:00:00"/>
    <d v="2016-07-30T00:00:00"/>
    <x v="54"/>
    <x v="59"/>
    <s v="Polígono 32 parcela 519"/>
    <s v="X: 342.686,55 Y.4.759.230.30"/>
    <s v="Ayuntamiento de Boca de Huérgano"/>
    <m/>
    <m/>
    <s v="80 € por tasa de basura"/>
    <s v="Más de una hectárea"/>
    <s v="REGULAR (Se puede acceder con un coche normal con dificultad)"/>
    <s v="No"/>
    <s v="500 metros dentro del prado"/>
    <s v="Río de poco profundidad. regular. "/>
    <s v="No"/>
    <s v="Sí"/>
    <s v="Poca sombra, gran espacio, acceso al río para coger agua regular, entorno maravilloso. Buena acogida en el pueblo."/>
    <m/>
    <s v="1tv_KnSob29tJcYAsL1w1sfuYp1bQA8MN"/>
    <s v="https://drive.google.com/a/scoutsdemadrid.org/file/d/1tv_KnSob29tJcYAsL1w1sfuYp1bQA8MN/view?usp=drivesdk"/>
    <s v="Document successfully created; Document successfully merged; PDF created; !!!ERR: Failed to add merged file to folder due to Google error: No se ha podido llamar a la API drive.files.patch; error: File not found: Boca De Huérgano; Emails Sent: [To: dapera"/>
    <m/>
  </r>
  <r>
    <x v="0"/>
    <s v="Castilla y León"/>
    <x v="10"/>
    <x v="0"/>
    <s v="Goa"/>
    <s v="gs.goa@scoutsdemadrid.org "/>
    <d v="2017-07-16T00:00:00"/>
    <d v="2017-07-22T00:00:00"/>
    <x v="55"/>
    <x v="60"/>
    <s v="NA"/>
    <m/>
    <s v="Cly Más Biomasa"/>
    <n v="630881829"/>
    <s v="cylmas.biomasa@gmail.com"/>
    <s v="4 €/persona día (SIN IVA)"/>
    <s v="1ha "/>
    <s v="BUENO (Se puede acceder con cualquier coche)"/>
    <s v="Sí"/>
    <s v="50 - 100 metros"/>
    <s v="Os lo contamos a la vuelta "/>
    <s v="Cocina /Aseos y duchas/ Comedor/ Chozas para dormir y una casita"/>
    <s v="No lo sabemos, pero seguramente sí. "/>
    <s v="Vamos a unas instalaciones porque este año es especial por el JAM, pero seguro que nos va a encantar. La acogida de los gestores es inmejorable. "/>
    <m/>
    <s v="1043fvGJExjMkOhKgceOI2NvNjqTNGc1i"/>
    <s v="https://drive.google.com/a/scoutsdemadrid.org/file/d/1043fvGJExjMkOhKgceOI2NvNjqTNGc1i/view?usp=drivesdk"/>
    <s v="Document successfully created; Document successfully merged; PDF created; !!!ERR: Failed to add merged file to folder due to Google error: No se ha podido llamar a la API drive.files.patch; error: File not found: Bohoyo; Emails Sent: [To: daperador@scouts"/>
    <m/>
  </r>
  <r>
    <x v="0"/>
    <s v="Castilla y León"/>
    <x v="14"/>
    <x v="4"/>
    <s v="Goa"/>
    <s v="gs.goa@scoutsdemadrid.org "/>
    <d v="2018-07-16T00:00:00"/>
    <d v="2018-07-30T00:00:00"/>
    <x v="56"/>
    <x v="61"/>
    <s v="Pol 105 Parcela 5050"/>
    <s v="X 729.918, 65 ; Y 4.675.028,29"/>
    <s v="Junta vecinal de Castrocontrigo"/>
    <n v="626749450"/>
    <s v="info@jvcastrocontrigo.es"/>
    <s v="Gratuito"/>
    <s v="73 ha"/>
    <s v="BUENO (Se puede acceder con cualquier coche)"/>
    <s v="Sí"/>
    <s v="150 metros"/>
    <s v="No fácil acceso a orillas. Profundidad media"/>
    <s v="No"/>
    <s v="Estamos en ello "/>
    <s v="Zonas de sol y sombra. Requiere desbroce previo"/>
    <m/>
    <s v="1sryoWwraFfqYVnrq3Q3vozbfD0QPIRC3"/>
    <s v="https://drive.google.com/a/scoutsdemadrid.org/file/d/1sryoWwraFfqYVnrq3Q3vozbfD0QPIRC3/view?usp=drivesdk"/>
    <s v="Document successfully created; Document successfully merged; PDF created; !!!ERR: Failed to add merged file to folder due to Google error: No se ha podido llamar a la API drive.files.patch; error: File not found: Castrocontrigo; Emails Sent: [To: daperado"/>
    <m/>
  </r>
  <r>
    <x v="0"/>
    <s v="Castilla y León"/>
    <x v="14"/>
    <x v="5"/>
    <s v="Goa"/>
    <s v="gs.goa@scoutsdemadrid.org "/>
    <n v="43662"/>
    <n v="43676"/>
    <x v="57"/>
    <x v="62"/>
    <s v="No consta"/>
    <s v="42°20'18.9&quot;N 6°11'52.9&quot;W"/>
    <s v="Ángel Abajo Lera"/>
    <n v="645924866"/>
    <s v="No consta"/>
    <s v="Gratuito (donación)"/>
    <s v="11.000 m2"/>
    <s v="BUENO (Se puede acceder con cualquier coche)"/>
    <s v="Sí"/>
    <s v="75 m"/>
    <s v="Espaciosa y adaptada"/>
    <s v="No"/>
    <s v="Sí"/>
    <s v="Con mucho espacio para distintas zonas. Bien comunicada. Sombreada. M"/>
    <s v="Sí"/>
    <s v="1X41KHIw9OQ_0PxTi0Zpc6eVAFS9P9YwY"/>
    <s v="https://drive.google.com/a/scoutsdemadrid.org/file/d/1X41KHIw9OQ_0PxTi0Zpc6eVAFS9P9YwY/view?usp=drivesdk"/>
    <s v="Document successfully created; Document successfully merged; PDF created; !!!ERR: Failed to add merged file to folder due to Google error: No se ha podido llamar a la API drive.files.patch; error: File not found: 2019; Emails Sent: [To: daperador@scoutsde"/>
    <m/>
  </r>
  <r>
    <x v="0"/>
    <s v="Castilla y León"/>
    <x v="11"/>
    <x v="1"/>
    <s v="Jamborette Marianista"/>
    <s v="gs.jamborette@scoutsdemadrid.org "/>
    <d v="2016-07-09T00:00:00"/>
    <d v="2016-07-15T00:00:00"/>
    <x v="35"/>
    <x v="41"/>
    <m/>
    <s v="41.937685, -2.909870"/>
    <s v="Ayuntamiento de Covaleda"/>
    <n v="975370000"/>
    <m/>
    <s v="0,60€por persona"/>
    <m/>
    <s v="BUENO (Se puede acceder con cualquier coche)"/>
    <s v="Sí"/>
    <s v="500 metro"/>
    <s v="río con poza"/>
    <s v="Si, cocina, almacén, botiquin, salas vacias..."/>
    <s v="si"/>
    <s v="Muy bueno"/>
    <m/>
    <s v="1u-Yivag37twVKa_zYLEvgrwdMpUO59_y"/>
    <s v="https://drive.google.com/a/scoutsdemadrid.org/file/d/1u-Yivag37twVKa_zYLEvgrwdMpUO59_y/view?usp=drivesdk"/>
    <s v="Document successfully created; Document successfully merged; PDF created; !!!ERR: Failed to add merged file to folder due to Google error: No se ha podido llamar a la API drive.files.patch; error: File not found: Covaleda; Emails Sent: [To: daperador@scou"/>
    <m/>
  </r>
  <r>
    <x v="0"/>
    <s v="Castilla y León"/>
    <x v="13"/>
    <x v="2"/>
    <s v="La Merced"/>
    <s v="gs.lamerced@scoutsdemadrid.org "/>
    <d v="2015-07-04T00:00:00"/>
    <d v="2015-07-12T00:00:00"/>
    <x v="58"/>
    <x v="63"/>
    <m/>
    <m/>
    <m/>
    <m/>
    <m/>
    <m/>
    <m/>
    <m/>
    <m/>
    <m/>
    <m/>
    <m/>
    <m/>
    <m/>
    <m/>
    <s v="1Br8Q0mZgfBAK4cVK_rDRDTLwi3wq6f4G"/>
    <s v="https://drive.google.com/a/scoutsdemadrid.org/file/d/1Br8Q0mZgfBAK4cVK_rDRDTLwi3wq6f4G/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0"/>
    <x v="4"/>
    <s v="La Merced"/>
    <s v="gs.lamerced@scoutsdemadrid.org "/>
    <d v="2018-06-30T00:00:00"/>
    <d v="2018-07-08T00:00:00"/>
    <x v="55"/>
    <x v="64"/>
    <s v="05226A006004950000ST"/>
    <s v="40.3099;-5,4256"/>
    <s v="cylmas BiomasaSL"/>
    <n v="630881829"/>
    <s v="cylmas.biomasa@gmail.com "/>
    <s v="16 € persona /día con pensión completa."/>
    <s v="10000 metros"/>
    <s v="BUENO (Se puede acceder con cualquier coche)"/>
    <s v="Sí"/>
    <s v="500 metros"/>
    <s v="Accesible y tranquila"/>
    <s v="Comedor, cocina, duchas y aseos completos y chozos."/>
    <s v="Sí"/>
    <s v="Cuidada y bien mantenida. Recinto cerrado."/>
    <m/>
    <s v="1F0RDNBNyJNiECq2HUUowiXwooceqq346"/>
    <s v="https://drive.google.com/a/scoutsdemadrid.org/file/d/1F0RDNBNyJNiECq2HUUowiXwooceqq346/view?usp=drivesdk"/>
    <s v="Document successfully created; Document successfully merged; PDF created; !!!ERR: Failed to add merged file to folder due to Google error: No se ha podido llamar a la API drive.files.patch; error: File not found: Bohoyo; Emails Sent: [To: daperador@scouts"/>
    <m/>
  </r>
  <r>
    <x v="0"/>
    <s v="Castilla y León"/>
    <x v="10"/>
    <x v="5"/>
    <s v="La Merced"/>
    <s v="gs.lamerced@scoutsdemadrid.org "/>
    <n v="43652"/>
    <n v="43660"/>
    <x v="55"/>
    <x v="64"/>
    <s v="Ni idea"/>
    <s v="N: 40o 18' 40.529''   O: 5o 25' 44.825''"/>
    <s v=" CYL MAS BIOMASA SL-Jóse Ignacio Romero Trillo"/>
    <n v="630881829"/>
    <s v="cyl mas &lt;cylmas.biomasa@gmail.com&gt;"/>
    <s v="17 € persona/ día"/>
    <s v="Aproximadamente una hectárea."/>
    <s v="REGULAR (Se puede acceder con un coche normal con dificultad)"/>
    <s v="Sí"/>
    <s v="1 km"/>
    <s v="Acceso bueno por carretera. Se puede atajar por el campo pero se pueden resbalar con la arenilla. El verano pasado tuvimos un esquincepor esta causa."/>
    <s v="Sí. Comedor, cocina y baños completos."/>
    <s v="A través del propietario."/>
    <s v="Hay 6 chozos para poder guardar el material o dormir. Sitio para instalar tiendas de campaña. Recinto cerrado. Bien cuidado. Trato amable."/>
    <s v="No"/>
    <s v="1XOXhcP44co-SBmMxYF7UbEZhgqV1pvfe"/>
    <s v="https://drive.google.com/a/scoutsdemadrid.org/file/d/1XOXhcP44co-SBmMxYF7UbEZhgqV1pvfe/view?usp=drivesdk"/>
    <s v="Document successfully created; Document successfully merged; PDF created; !!!ERR: Failed to add merged file to folder due to Google error: No se ha podido llamar a la API drive.files.patch; error: File not found: Bohoyo; Emails Sent: [To: daperador@scouts"/>
    <m/>
  </r>
  <r>
    <x v="0"/>
    <s v="Castilla y León"/>
    <x v="9"/>
    <x v="0"/>
    <s v="Libertas"/>
    <s v="gs.libertas@scoutsdemadrid.org"/>
    <d v="2017-07-16T00:00:00"/>
    <d v="2017-07-30T00:00:00"/>
    <x v="59"/>
    <x v="65"/>
    <m/>
    <m/>
    <s v="Ayuntamiento de Fariza \ Ekoactivo Experiencia"/>
    <m/>
    <m/>
    <s v="Precio por persona \ dia"/>
    <m/>
    <s v="BUENO (Se puede acceder con cualquier coche)"/>
    <s v="No"/>
    <s v="Muy lejana. Mas de 10 km"/>
    <m/>
    <s v="Albergue completo nuevo y en buen estado. Cocina, baños, comedor, habitacioens"/>
    <s v="Ns nc"/>
    <s v="Buena ubicación, en la reserva natural de los Arribes del Duero._x000a__x000a_La empresa gestora es llevada por scouts._x000a__x000a_Apoyo grande del ayuntamiento para la utilización de espacios..."/>
    <m/>
    <s v="1WFn1hHI6DrZ5b_aNmKlDCsrTMJ5XOTlv"/>
    <s v="https://drive.google.com/a/scoutsdemadrid.org/file/d/1WFn1hHI6DrZ5b_aNmKlDCsrTMJ5XOTlv/view?usp=drivesdk"/>
    <s v="Document successfully created; Document successfully merged; PDF created; !!!ERR: Failed to add merged file to folder due to Google error: No se ha podido llamar a la API drive.files.patch; error: File not found: Fariza; Emails Sent: [To: daperador@scouts"/>
    <m/>
  </r>
  <r>
    <x v="0"/>
    <s v="Castilla y León"/>
    <x v="14"/>
    <x v="4"/>
    <s v="Libertas"/>
    <s v="gs.libertas@scoutsdemadrid.org"/>
    <d v="2018-07-16T00:00:00"/>
    <d v="2018-07-30T00:00:00"/>
    <x v="60"/>
    <x v="66"/>
    <s v="24182A011000880000WY"/>
    <s v="Latitud: 42º51'24.862'' Longitud: -5º24'10.282''"/>
    <s v="Asociación La Quintana - Escuela de A.J. y T.L. Caracuel"/>
    <s v="84.10.60.90 - 985.46.43.61"/>
    <s v="info@campamentoscaracuel.com"/>
    <s v="15 €/día"/>
    <s v="434 m2"/>
    <s v="REGULAR (Se puede acceder con un coche normal con dificultad)"/>
    <s v="Sí"/>
    <s v="800 m"/>
    <s v="Río con zona arbolada, con sombras. Muy concurrido en fines de semana"/>
    <s v="Baños, cocina, salón y barracones con literas"/>
    <s v="si"/>
    <s v="Campamento para 80 personas. Tiene posibilidad de montar tiendas de campaña y hacer construcciones."/>
    <m/>
    <s v="1j5LR0nDOSDRx47nn19c2QVZWDGzvpW8_"/>
    <s v="https://drive.google.com/a/scoutsdemadrid.org/file/d/1j5LR0nDOSDRx47nn19c2QVZWDGzvpW8_/view?usp=drivesdk"/>
    <s v="Document successfully created; Document successfully merged; PDF created; !!!ERR: Failed to add merged file to folder due to Google error: No se ha podido llamar a la API drive.files.patch; error: File not found: La Vecilla De Curueño; Emails Sent: [To: d"/>
    <m/>
  </r>
  <r>
    <x v="0"/>
    <s v="Castilla y León"/>
    <x v="14"/>
    <x v="2"/>
    <s v="Lince San Gregorio"/>
    <s v="gs.lincesangregorio@scoutsdemadrid.org "/>
    <d v="2015-07-16T00:00:00"/>
    <d v="2015-07-30T00:00:00"/>
    <x v="61"/>
    <x v="67"/>
    <m/>
    <m/>
    <m/>
    <m/>
    <m/>
    <m/>
    <m/>
    <m/>
    <m/>
    <m/>
    <m/>
    <m/>
    <m/>
    <m/>
    <m/>
    <s v="1dlU6orqLZHslSzm77oKC89gnYufTv3g7"/>
    <s v="https://drive.google.com/a/scoutsdemadrid.org/file/d/1dlU6orqLZHslSzm77oKC89gnYufTv3g7/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1"/>
    <x v="1"/>
    <s v="Lince San Gregorio"/>
    <s v="gs.lincesangregorio@scoutsdemadrid.org "/>
    <d v="2016-07-16T00:00:00"/>
    <d v="2016-07-30T00:00:00"/>
    <x v="35"/>
    <x v="41"/>
    <m/>
    <m/>
    <s v="Ayuntamiento de Covaleda"/>
    <m/>
    <m/>
    <m/>
    <m/>
    <s v="BUENO (Se puede acceder con cualquier coche)"/>
    <s v="Sí"/>
    <m/>
    <m/>
    <m/>
    <m/>
    <m/>
    <m/>
    <s v="1aGCmzQZFiFjr2Umv1pExrQwG1ttVMYwz"/>
    <s v="https://drive.google.com/a/scoutsdemadrid.org/file/d/1aGCmzQZFiFjr2Umv1pExrQwG1ttVMYwz/view?usp=drivesdk"/>
    <s v="Document successfully created; Document successfully merged; PDF created; !!!ERR: Failed to add merged file to folder due to Google error: No se ha podido llamar a la API drive.files.patch; error: File not found: Covaleda; Emails Sent: [To: daperador@scou"/>
    <m/>
  </r>
  <r>
    <x v="0"/>
    <s v="Castilla y León"/>
    <x v="10"/>
    <x v="5"/>
    <s v="Lince San Gregorio"/>
    <s v="gs.lincesangregorio@scoutsdemadrid.org "/>
    <n v="43658"/>
    <n v="43676"/>
    <x v="49"/>
    <x v="68"/>
    <s v="05113A012000070000YF"/>
    <s v="X293542,17 Y446699,53"/>
    <s v="Daniel  Martín Bermejo"/>
    <n v="920207441"/>
    <s v="evadematias@clinicagredos.es"/>
    <s v="1.200€ quincena"/>
    <n v="14"/>
    <s v="BUENO (Se puede acceder con cualquier coche)"/>
    <s v="Sí"/>
    <s v="100 m"/>
    <s v="Excelente"/>
    <s v="No"/>
    <s v="Sí, nos la cede el propietario"/>
    <s v="Es una fincs espectacular"/>
    <s v="Sí"/>
    <s v="1zgWcGL98s-py8ZuaMAegdNTFjEZubZ-C"/>
    <s v="https://drive.google.com/a/scoutsdemadrid.org/file/d/1zgWcGL98s-py8ZuaMAegdNTFjEZubZ-C/view?usp=drivesdk"/>
    <s v="Document successfully created; Document successfully merged; PDF created; !!!ERR: Failed to add merged file to folder due to Google error: No se ha podido llamar a la API drive.files.patch; error: File not found: Barco De Ávila; Emails Sent: [To: daperado"/>
    <m/>
  </r>
  <r>
    <x v="0"/>
    <s v="Castilla y León"/>
    <x v="10"/>
    <x v="5"/>
    <s v="Madre Del Rosario"/>
    <s v="gs.madredelrosario@scoutsdemadrid.org "/>
    <n v="43639"/>
    <n v="43645"/>
    <x v="62"/>
    <x v="69"/>
    <s v="8214601UL9081S001HX"/>
    <s v="(40.6569275, -4.2025870)"/>
    <s v="Ayuntamiento de Santa María de la Alameda"/>
    <n v="918983176"/>
    <s v="reservas@vallenmedio.com"/>
    <s v="Precio por persona"/>
    <n v="9"/>
    <s v="BUENO (Se puede acceder con cualquier coche)"/>
    <s v="Sí"/>
    <s v="100 m"/>
    <s v="WC + Lavabos"/>
    <s v="Tienda, recepción, restaurante, lavaderos, wc"/>
    <s v="Si, Materiales Barsega (Las Navas del Marqués)"/>
    <s v="Muy buena zona de acampada con instalaciones"/>
    <s v="No"/>
    <s v="18Hzqpcct39HO2d2hoUMWdQtUPK8QMzZ2"/>
    <s v="https://drive.google.com/a/scoutsdemadrid.org/file/d/18Hzqpcct39HO2d2hoUMWdQtUPK8QMzZ2/view?usp=drivesdk"/>
    <s v="Document successfully created; Document successfully merged; PDF created; !!!ERR: Failed to add merged file to folder due to Google error: No se ha podido llamar a la API drive.files.patch; error: File not found: Santa María De La Alameda; Emails Sent: [T"/>
    <m/>
  </r>
  <r>
    <x v="0"/>
    <s v="Castilla y León"/>
    <x v="10"/>
    <x v="3"/>
    <s v="Orion"/>
    <s v="gs.orion@scoutsdemadrid.org "/>
    <d v="2012-07-16T00:00:00"/>
    <d v="2012-07-27T00:00:00"/>
    <x v="63"/>
    <x v="70"/>
    <m/>
    <s v="http://goo.gl/maps/I4zW"/>
    <m/>
    <m/>
    <m/>
    <m/>
    <m/>
    <m/>
    <m/>
    <m/>
    <m/>
    <m/>
    <m/>
    <m/>
    <m/>
    <s v="1KgWWyyjP7kks1wxs63pb-YVnDQfXfGIO"/>
    <s v="https://drive.google.com/a/scoutsdemadrid.org/file/d/1KgWWyyjP7kks1wxs63pb-YVnDQfXfGIO/view?usp=drivesdk"/>
    <s v="Document successfully created; Document successfully merged; PDF created; !!!ERR: Failed to add merged file to folder due to Google error: No se ha podido llamar a la API drive.files.patch; error: File not found: Burgohondo; Emails Sent: [To: daperador@sc"/>
    <m/>
  </r>
  <r>
    <x v="0"/>
    <s v="Castilla y León"/>
    <x v="10"/>
    <x v="0"/>
    <s v="Orión"/>
    <s v="gs.orion@scoutsdemadrid.org "/>
    <d v="2017-07-17T00:00:00"/>
    <d v="2017-07-30T00:00:00"/>
    <x v="64"/>
    <x v="71"/>
    <m/>
    <s v="N 40º 13´ 54´´ - W 5º 2´ 1´´ "/>
    <s v="Camping Prados Abiertos"/>
    <n v="920386061"/>
    <s v="info@pradosabiertos.com"/>
    <s v="60 € / quincena y persona"/>
    <m/>
    <s v="BUENO (Se puede acceder con cualquier coche)"/>
    <s v="Sí"/>
    <s v="50 metros"/>
    <s v="Piscina"/>
    <s v="Comedor, cocina, wc, duchas, piscina"/>
    <s v="Sí"/>
    <s v="Zona de campamento independiente, con muchas sombras, explanadas, piscina, instalaciones"/>
    <m/>
    <s v="1IxofbD9pa0WGxNedbktwV4xfQtR6zdfT"/>
    <s v="https://drive.google.com/a/scoutsdemadrid.org/file/d/1IxofbD9pa0WGxNedbktwV4xfQtR6zdfT/view?usp=drivesdk"/>
    <s v="Document successfully created; Document successfully merged; PDF created; !!!ERR: Failed to add merged file to folder due to Google error: No se ha podido llamar a la API drive.files.patch; error: File not found: Mombeltrán; Emails Sent: [To: daperador@sc"/>
    <m/>
  </r>
  <r>
    <x v="0"/>
    <s v="Castilla y León"/>
    <x v="9"/>
    <x v="2"/>
    <s v="Paz"/>
    <m/>
    <d v="2015-07-16T00:00:00"/>
    <d v="2015-07-30T00:00:00"/>
    <x v="65"/>
    <x v="72"/>
    <m/>
    <s v="N 42º 07' 04&quot; / O 6º 41' 29&quot;"/>
    <m/>
    <m/>
    <m/>
    <m/>
    <m/>
    <m/>
    <m/>
    <m/>
    <m/>
    <m/>
    <m/>
    <m/>
    <m/>
    <s v="1Dh7zvIuCUHi7Jh5ca20cbJEPRxqPQ8gS"/>
    <s v="https://drive.google.com/a/scoutsdemadrid.org/file/d/1Dh7zvIuCUHi7Jh5ca20cbJEPRxqPQ8gS/view?usp=drivesdk"/>
    <s v="Document successfully created; Document successfully merged; PDF created; !!!ERR: Failed to add merged file to folder due to Google error: No se ha podido llamar a la API drive.files.patch; error: File not found: Galende; Emails Sent: [To: daperador@scout"/>
    <m/>
  </r>
  <r>
    <x v="0"/>
    <s v="Castilla y León"/>
    <x v="15"/>
    <x v="1"/>
    <s v="Paz"/>
    <m/>
    <d v="2016-07-16T00:00:00"/>
    <d v="2016-07-30T00:00:00"/>
    <x v="66"/>
    <x v="73"/>
    <m/>
    <s v="N: 41º 13' 37&quot;; O: 3º 48' 33&quot;"/>
    <s v="Ayuntamiento de San Pedro de Gaíllos"/>
    <n v="620870024"/>
    <s v="aytospedro@gmail.com"/>
    <m/>
    <m/>
    <s v="BUENO (Se puede acceder con cualquier coche)"/>
    <s v="Sí"/>
    <s v="a 1km escaso (se encuentra en el pueblo)"/>
    <s v="Es la piscina municipal"/>
    <s v="Cuenta con baños y un kiosko"/>
    <s v="Nunca lo hemos necesitado, no sé"/>
    <s v="Para nosotros que somos un grupo pequeño es muy cómodo. Tiene baños, fregaderos y una pequeña casita con nevera. Para grupos grandes puede resultar demasiado pequeño"/>
    <m/>
    <s v="1t3xVntAHapQY5aIfyhx__39XemGINgNL"/>
    <s v="https://drive.google.com/a/scoutsdemadrid.org/file/d/1t3xVntAHapQY5aIfyhx__39XemGINgNL/view?usp=drivesdk"/>
    <s v="Document successfully created; Document successfully merged; PDF created; !!!ERR: Failed to add merged file to folder due to Google error: No se ha podido llamar a la API drive.files.patch; error: File not found: San Pedro De Gaíllos; Emails Sent: [To: da"/>
    <m/>
  </r>
  <r>
    <x v="0"/>
    <s v="Castilla y León"/>
    <x v="15"/>
    <x v="1"/>
    <s v="Paz"/>
    <m/>
    <d v="2016-07-16T00:00:00"/>
    <d v="2016-07-30T00:00:00"/>
    <x v="66"/>
    <x v="73"/>
    <m/>
    <s v="N: 41º 13' 37&quot;; O: 3º 48' 33&quot;"/>
    <s v="Ayuntamiento de San Pedro de Gaíllos"/>
    <n v="620870024"/>
    <s v="aytospedro@gmail.com"/>
    <m/>
    <m/>
    <s v="BUENO (Se puede acceder con cualquier coche)"/>
    <s v="Sí"/>
    <s v="a 1km escaso (se encuentra en el pueblo)"/>
    <s v="Es la piscina municipal"/>
    <s v="Cuenta con baños y un kiosko"/>
    <s v="Nunca lo hemos necesitado, no sé"/>
    <s v="Para nosotros que somos un grupo pequeño es muy cómodo. Tiene baños, fregaderos y una pequeña casita con nevera. Para grupos grandes puede resultar demasiado pequeño"/>
    <m/>
    <s v="1O-A_9LhOILQnLLKbe5Hm2j2XNObFm6OS"/>
    <s v="https://drive.google.com/a/scoutsdemadrid.org/file/d/1O-A_9LhOILQnLLKbe5Hm2j2XNObFm6OS/view?usp=drivesdk"/>
    <s v="Document successfully created; Document successfully merged; PDF created; !!!ERR: Failed to add merged file to folder due to Google error: No se ha podido llamar a la API drive.files.patch; error: File not found: San Pedro De Gaíllos; Emails Sent: [To: da"/>
    <m/>
  </r>
  <r>
    <x v="0"/>
    <s v="Castilla y León"/>
    <x v="10"/>
    <x v="0"/>
    <s v="Paz"/>
    <m/>
    <d v="2017-07-16T00:00:00"/>
    <d v="2017-07-30T00:00:00"/>
    <x v="31"/>
    <x v="74"/>
    <m/>
    <m/>
    <s v="Salvador"/>
    <n v="607909418"/>
    <s v="rumbospromocionactividades@gmail.com"/>
    <m/>
    <m/>
    <s v="BUENO (Se puede acceder con cualquier coche)"/>
    <s v="Sí"/>
    <s v="10 minutos andando"/>
    <s v="pozas con muy buena accesibilidad, tranquilas son mucha corriente"/>
    <s v="baños, duchas, comedor, cocina y fregaderos"/>
    <m/>
    <s v="Muy buena zona de acampada y zona natural magnifica"/>
    <m/>
    <s v="17ZQcBxq5CX_b-ti0d4lcwurAygWdaZqo"/>
    <s v="https://drive.google.com/a/scoutsdemadrid.org/file/d/17ZQcBxq5CX_b-ti0d4lcwurAygWdaZqo/view?usp=drivesdk"/>
    <s v="Document successfully created; Document successfully merged; PDF created; !!!ERR: Failed to add merged file to folder due to Google error: No se ha podido llamar a la API drive.files.patch; error: File not found: Hoyos Del Espino; Emails Sent: [To: dapera"/>
    <m/>
  </r>
  <r>
    <x v="0"/>
    <s v="Castilla y León"/>
    <x v="12"/>
    <x v="4"/>
    <s v="Paz"/>
    <m/>
    <d v="2018-07-16T00:00:00"/>
    <d v="2018-07-30T00:00:00"/>
    <x v="67"/>
    <x v="75"/>
    <s v="001901100UN93G"/>
    <s v="42º47'11.04&quot; Latitud/ -4º18'3.348&quot; Longitud"/>
    <s v="Alberto Fuentevilla Estrada"/>
    <n v="632724526"/>
    <s v="info@campingmonteroyal.com"/>
    <s v="4 euros por día y persona"/>
    <s v="No nos consta"/>
    <s v="BUENO (Se puede acceder con cualquier coche)"/>
    <s v="Sí"/>
    <s v="menos de 1 kilometro"/>
    <s v="Menos de 1 kilometro"/>
    <s v="Edificio de Baños con duchas y fregaderos"/>
    <s v="Sí"/>
    <s v="Es una zona preciosa y muy tranquila, no demasiado grande. Que el embalse esté tan cerca es genial."/>
    <m/>
    <s v="1qvKRKy8DbXsvrB-WYMNKZyjSWdnr2BiM"/>
    <s v="https://drive.google.com/a/scoutsdemadrid.org/file/d/1qvKRKy8DbXsvrB-WYMNKZyjSWdnr2BiM/view?usp=drivesdk"/>
    <s v="Document successfully created; Document successfully merged; PDF created; !!!ERR: Failed to add merged file to folder due to Google error: No se ha podido llamar a la API drive.files.patch; error: File not found: Aguilar De Campoo; Emails Sent: [To: daper"/>
    <m/>
  </r>
  <r>
    <x v="0"/>
    <s v="Castilla y León"/>
    <x v="14"/>
    <x v="2"/>
    <s v="Pilar"/>
    <s v="gs.pilar@scoutsdemadrid.org "/>
    <d v="2015-07-16T00:00:00"/>
    <d v="2015-07-27T00:00:00"/>
    <x v="68"/>
    <x v="76"/>
    <m/>
    <m/>
    <m/>
    <m/>
    <m/>
    <m/>
    <m/>
    <m/>
    <m/>
    <m/>
    <m/>
    <m/>
    <m/>
    <m/>
    <m/>
    <s v="1MVddqn8iTVYw25O2WE0zja8zm1oaXAkn"/>
    <s v="https://drive.google.com/a/scoutsdemadrid.org/file/d/1MVddqn8iTVYw25O2WE0zja8zm1oaXAkn/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4"/>
    <x v="3"/>
    <s v="Pinar"/>
    <m/>
    <d v="2012-07-15T00:00:00"/>
    <d v="2012-07-30T00:00:00"/>
    <x v="41"/>
    <x v="77"/>
    <m/>
    <m/>
    <m/>
    <m/>
    <m/>
    <m/>
    <m/>
    <m/>
    <m/>
    <m/>
    <m/>
    <m/>
    <m/>
    <m/>
    <m/>
    <s v="1P_MowlVaWbRcTyjuqsmApGRwkZ8JS9jj"/>
    <s v="https://drive.google.com/a/scoutsdemadrid.org/file/d/1P_MowlVaWbRcTyjuqsmApGRwkZ8JS9jj/view?usp=drivesdk"/>
    <s v="Document successfully created; Document successfully merged; PDF created; !!!ERR: Failed to add merged file to folder due to Google error: No se ha podido llamar a la API drive.files.patch; error: File not found: 2012; Emails Sent: [To: daperador@scoutsde"/>
    <m/>
  </r>
  <r>
    <x v="0"/>
    <s v="Castilla y León"/>
    <x v="9"/>
    <x v="2"/>
    <s v="Quetzal"/>
    <s v="gs.quetzal@scoutsdemadrid.org "/>
    <d v="2015-07-19T00:00:00"/>
    <d v="2015-08-02T00:00:00"/>
    <x v="69"/>
    <x v="78"/>
    <m/>
    <m/>
    <m/>
    <m/>
    <m/>
    <m/>
    <m/>
    <m/>
    <m/>
    <m/>
    <m/>
    <m/>
    <m/>
    <m/>
    <m/>
    <s v="11O_aPaZRiagoo6qD0sYBjX-S0FnhLX6H"/>
    <s v="https://drive.google.com/a/scoutsdemadrid.org/file/d/11O_aPaZRiagoo6qD0sYBjX-S0FnhLX6H/view?usp=drivesdk"/>
    <s v="Document successfully created; Document successfully merged; PDF created; !!!ERR: Failed to add merged file to folder due to Google error: No se ha podido llamar a la API drive.files.patch; error: File not found: 2015; Emails Sent: [To: daperador@scoutsde"/>
    <m/>
  </r>
  <r>
    <x v="0"/>
    <s v="Castilla y León"/>
    <x v="11"/>
    <x v="1"/>
    <s v="Samasabe-Calasancio"/>
    <s v="gs.samasabecalasancio@scoutsdemadrid.org "/>
    <d v="2016-07-17T00:00:00"/>
    <d v="2016-07-30T00:00:00"/>
    <x v="70"/>
    <x v="79"/>
    <m/>
    <s v="41°56'02.5&quot;N 2°46'02.3&quot;W"/>
    <s v="Ayuntamiento de Vinuesa"/>
    <m/>
    <m/>
    <m/>
    <m/>
    <s v="BUENO (Se puede acceder con cualquier coche)"/>
    <s v="Sí"/>
    <m/>
    <m/>
    <s v="No"/>
    <m/>
    <m/>
    <m/>
    <s v="1qyf5ZlfwCJbJkTJeii8eo0nZn5PrbC_P"/>
    <s v="https://drive.google.com/a/scoutsdemadrid.org/file/d/1qyf5ZlfwCJbJkTJeii8eo0nZn5PrbC_P/view?usp=drivesdk"/>
    <s v="Document successfully created; Document successfully merged; PDF created; !!!ERR: Failed to add merged file to folder due to Google error: No se ha podido llamar a la API drive.files.patch; error: File not found: 2016; Emails Sent: [To: daperador@scoutsde"/>
    <m/>
  </r>
  <r>
    <x v="0"/>
    <s v="Castilla y León"/>
    <x v="10"/>
    <x v="4"/>
    <s v="Samasabe-Calasancio"/>
    <s v="gs.samasabecalasancio@scoutsdemadrid.org "/>
    <d v="2018-07-13T00:00:00"/>
    <d v="2018-07-29T00:00:00"/>
    <x v="71"/>
    <x v="80"/>
    <s v="05113A012000070000YF"/>
    <s v="X:293.520,20 Y:4.467.284,67"/>
    <s v="DANIEL MARTIN BERMEJO "/>
    <n v="696635580"/>
    <s v="NO TIENE"/>
    <s v="1100€/QUINCENA"/>
    <s v="6,5 Ha"/>
    <s v="BUENO (Se puede acceder con cualquier coche)"/>
    <s v="Sí"/>
    <s v="ZONA BAÑO:EL RIO TORMES PASA A POCA DISTANCIA DEL CAMPAMENTO, POR UN LATERAL DE LA CAMPA, MARCANDO EL LÍMITE DE ESTA"/>
    <s v="EL CAMPAMENTO TIENE AMPLIAS ZONAS DE BAÑO EN LAS ORILLAS DEL RIO."/>
    <s v="NO"/>
    <s v="si"/>
    <s v="CAMPA MUY AMPLIA, EN MUCHA PARTE LLANA Y DIAFANA, OTRA PARTE CON UN PEQUEÑO ROBLEDAL QUE PROPORCIONA SOMBRA. PASA EL RIO TORMES CERCA DE LA CAMPA, POR LO QUE TIENE AMPLIAS ZONAS DE BAÑO."/>
    <m/>
    <s v="1QUFrUOxyBX8lANqUN6_EX08OIIAQVDBL"/>
    <s v="https://drive.google.com/a/scoutsdemadrid.org/file/d/1QUFrUOxyBX8lANqUN6_EX08OIIAQVDBL/view?usp=drivesdk"/>
    <s v="Document successfully created; Document successfully merged; PDF created; !!!ERR: Failed to add merged file to folder due to Google error: No se ha podido llamar a la API drive.files.patch; error: File not found: Los Llanos De Tormes; Emails Sent: [To: da"/>
    <m/>
  </r>
  <r>
    <x v="0"/>
    <s v="Castilla y León"/>
    <x v="10"/>
    <x v="5"/>
    <s v="Samasabe-Calasancio"/>
    <s v="gs.samasabecalasancio@scoutsdemadrid.org "/>
    <n v="43666"/>
    <n v="43675"/>
    <x v="72"/>
    <x v="81"/>
    <s v="(Enviaremos la información cuando tengamos el dato)"/>
    <s v="40 °   38 '   47.371 '' Latitud     -4 °   10 '   45.001 '' Longitud"/>
    <s v="Campamentos Peñas Blancas"/>
    <s v="91 701 01 31 / 659 81 42 58"/>
    <s v="campamento@penasblancas.net"/>
    <s v="15,5€ día por persona pensión completa"/>
    <s v="21 hectáreas"/>
    <s v="BUENO (Se puede acceder con cualquier coche)"/>
    <s v="Sí"/>
    <s v="Piscina de 12,5 * 25 metros"/>
    <s v="Piscina con su correspondiente depuradora y zona de uso con pradera y vallada. Socorrista permanentemente."/>
    <s v="Baños, duchas, cocina, comedor, sala de audición y biblioteca-"/>
    <s v="Sí"/>
    <s v="Explanada amplia con sombra y disponibilidad de plantar tiendas. Cuenta con pensión completa, servicio sanitario 24h"/>
    <s v="Sí"/>
    <s v="1YDm3VZDAk7gg5ffCMQPBrMK2oWwBjg_t"/>
    <s v="https://drive.google.com/a/scoutsdemadrid.org/file/d/1YDm3VZDAk7gg5ffCMQPBrMK2oWwBjg_t/view?usp=drivesdk"/>
    <s v="Document successfully created; Document successfully merged; PDF created; !!!ERR: Failed to add merged file to folder due to Google error: No se ha podido llamar a la API drive.files.patch; error: File not found: Peguerinos; Emails Sent: [To: daperador@sc"/>
    <m/>
  </r>
  <r>
    <x v="0"/>
    <s v="Castilla y León"/>
    <x v="13"/>
    <x v="4"/>
    <s v="San Agustín"/>
    <s v="gs.sanagustin@scoutsdemadrid.org "/>
    <d v="2018-06-26T00:00:00"/>
    <d v="2018-06-30T00:00:00"/>
    <x v="73"/>
    <x v="82"/>
    <s v="se desconoce"/>
    <s v="se desconoce"/>
    <s v="Campamento Molino de Butrera SL"/>
    <n v="947131168"/>
    <s v="molino@butrera.es"/>
    <s v="15 € persona/dia"/>
    <s v="2 ha"/>
    <s v="BUENO (Se puede acceder con cualquier coche)"/>
    <s v="Sí"/>
    <s v="100 metros"/>
    <s v="canal y rio con zonas accesibles "/>
    <s v="baños , duchas comedor ,zona deportiva y salas de usos multiples"/>
    <s v="no "/>
    <s v="muy agradables y aspecto excelente ,en pagina web , se comparte con otros grupos tienen tambien cabañas "/>
    <m/>
    <s v="1W4wfvnQ0IX77g1W5Amotkbqwrm2DncKw"/>
    <s v="https://drive.google.com/a/scoutsdemadrid.org/file/d/1W4wfvnQ0IX77g1W5Amotkbqwrm2DncKw/view?usp=drivesdk"/>
    <s v="Document successfully created; Document successfully merged; PDF created; !!!ERR: Failed to add merged file to folder due to Google error: No se ha podido llamar a la API drive.files.patch; error: File not found: Butrera; Emails Sent: [To: daperador@scout"/>
    <m/>
  </r>
  <r>
    <x v="0"/>
    <s v="Castilla y León"/>
    <x v="10"/>
    <x v="0"/>
    <s v="San Gabriel"/>
    <s v="gs.sangabriel@scoutsdemadrid.org "/>
    <d v="2017-07-20T00:00:00"/>
    <d v="2017-07-30T00:00:00"/>
    <x v="74"/>
    <x v="83"/>
    <m/>
    <m/>
    <s v="Ayuntamiento de Navarredonda de Gredos"/>
    <m/>
    <m/>
    <m/>
    <m/>
    <s v="BUENO (Se puede acceder con cualquier coche)"/>
    <s v="Sí"/>
    <n v="50"/>
    <s v="Zona de nacimiento del rio Tormes"/>
    <s v="Si. Cocina, baños,comedor y cercado alrededor de la finca"/>
    <s v="si"/>
    <m/>
    <m/>
    <s v="1Hnv4osIxcPViESTeMEkvhUiWZXrWHD6m"/>
    <s v="https://drive.google.com/a/scoutsdemadrid.org/file/d/1Hnv4osIxcPViESTeMEkvhUiWZXrWHD6m/view?usp=drivesdk"/>
    <s v="Document successfully created; Document successfully merged; PDF created; !!!ERR: Failed to add merged file to folder due to Google error: No se ha podido llamar a la API drive.files.patch; error: File not found: 2017; Emails Sent: [To: daperador@scoutsde"/>
    <m/>
  </r>
  <r>
    <x v="0"/>
    <s v="Castilla y León"/>
    <x v="10"/>
    <x v="0"/>
    <s v="San Gabriel"/>
    <s v="gs.sangabriel@scoutsdemadrid.org "/>
    <d v="2017-07-20T00:00:00"/>
    <d v="2017-07-30T00:00:00"/>
    <x v="74"/>
    <x v="83"/>
    <m/>
    <m/>
    <s v="Ayuntamiento de Navarredonda de Gredos"/>
    <m/>
    <m/>
    <m/>
    <m/>
    <s v="BUENO (Se puede acceder con cualquier coche)"/>
    <s v="Sí"/>
    <n v="50"/>
    <s v="Zona de nacimiento del rio Tormes"/>
    <s v="Si. Cocina, baños,comedor y cercado alrededor de la finca"/>
    <s v="si"/>
    <m/>
    <m/>
    <s v="1lW4NsZU88QKQBhEBZQpJut6VAEAnUjOQ"/>
    <s v="https://drive.google.com/a/scoutsdemadrid.org/file/d/1lW4NsZU88QKQBhEBZQpJut6VAEAnUjOQ/view?usp=drivesdk"/>
    <s v="Document successfully created; Document successfully merged; PDF created; !!!ERR: Failed to add merged file to folder due to Google error: No se ha podido llamar a la API drive.files.patch; error: File not found: 2017; Emails Sent: [To: daperador@scoutsde"/>
    <m/>
  </r>
  <r>
    <x v="0"/>
    <s v="Castilla y León"/>
    <x v="10"/>
    <x v="5"/>
    <s v="San Gabriel"/>
    <s v="gs.sangabriel@scoutsdemadrid.org "/>
    <n v="43666"/>
    <n v="43676"/>
    <x v="55"/>
    <x v="84"/>
    <s v="05037A005110000BT"/>
    <s v="LATITUD: 40º18´50,87´´ LONGITUD: 5º25´55,98´´"/>
    <s v="ASOCIACIÓN LAS PIEZAS DE GREDOS"/>
    <n v="666688206"/>
    <s v="laspiezasdegredos@gmail.com"/>
    <s v="4€persona/dia"/>
    <s v="70 áreas"/>
    <s v="BUENO (Se puede acceder con cualquier coche)"/>
    <s v="Sí"/>
    <s v="200m"/>
    <s v="garganta de bohoyo (río tormes)"/>
    <s v="baños, cocina, comedor"/>
    <s v="Sí, en Barco de ÁVILA"/>
    <s v="Campa del grupo scout Calasanz de Salamanca. Buenas instalaciones y gestionado por una asociación con antiguos scouts."/>
    <s v="Sí"/>
    <s v="1M-ner2FCpbzDBMvGN6I_kGs7d8-GYPr9"/>
    <s v="https://drive.google.com/a/scoutsdemadrid.org/file/d/1M-ner2FCpbzDBMvGN6I_kGs7d8-GYPr9/view?usp=drivesdk"/>
    <s v="Document successfully created; Document successfully merged; PDF created; !!!ERR: Failed to add merged file to folder due to Google error: No se ha podido llamar a la API drive.files.patch; error: File not found: Bohoyo; Emails Sent: [To: daperador@scouts"/>
    <m/>
  </r>
  <r>
    <x v="0"/>
    <s v="Castilla y León"/>
    <x v="9"/>
    <x v="1"/>
    <s v="San Jorge"/>
    <s v="gs.sanjorge@scoutsdemadrid.org"/>
    <d v="2016-07-15T00:00:00"/>
    <d v="2016-07-30T00:00:00"/>
    <x v="75"/>
    <x v="85"/>
    <m/>
    <m/>
    <s v="Ayuntamiento de Manzanal de Arriba"/>
    <m/>
    <m/>
    <m/>
    <m/>
    <s v="BUENO (Se puede acceder con cualquier coche)"/>
    <s v="Sí"/>
    <s v="100 metros"/>
    <s v="es un embalse con bastante seguridad en el acceso"/>
    <s v="no"/>
    <s v="Sí"/>
    <m/>
    <m/>
    <s v="1SX08W-o4RBdsFMMuBCUykFK52BPKCw_X"/>
    <s v="https://drive.google.com/a/scoutsdemadrid.org/file/d/1SX08W-o4RBdsFMMuBCUykFK52BPKCw_X/view?usp=drivesdk"/>
    <s v="Document successfully created; Document successfully merged; PDF created; !!!ERR: Failed to add merged file to folder due to Google error: No se ha podido llamar a la API drive.files.patch; error: File not found: 2016; Emails Sent: [To: daperador@scoutsde"/>
    <m/>
  </r>
  <r>
    <x v="0"/>
    <s v="Castilla y León"/>
    <x v="9"/>
    <x v="1"/>
    <s v="San Jorge"/>
    <s v="gs.sanjorge@scoutsdemadrid.org"/>
    <d v="2016-07-15T00:00:00"/>
    <d v="2016-07-30T00:00:00"/>
    <x v="75"/>
    <x v="86"/>
    <s v="41, 9793232-6, 3678770"/>
    <m/>
    <s v="Ayuntamiento de Manzanal de Arriba"/>
    <n v="660166209"/>
    <s v="Abel Lorenzo Sotelo"/>
    <m/>
    <s v="1 hectárea y media aproximadamente"/>
    <s v="BUENO (Se puede acceder con cualquier coche)"/>
    <s v="Sí"/>
    <s v="100 metros"/>
    <s v="es un embalse con bastante seguridad en el acceso"/>
    <s v="no"/>
    <s v="Sí"/>
    <m/>
    <m/>
    <s v="1HjZcqU3CArogq-09QH1YWjztgwM7xJPk"/>
    <s v="https://drive.google.com/a/scoutsdemadrid.org/file/d/1HjZcqU3CArogq-09QH1YWjztgwM7xJPk/view?usp=drivesdk"/>
    <s v="Document successfully created; Document successfully merged; PDF created; !!!ERR: Failed to add merged file to folder due to Google error: No se ha podido llamar a la API drive.files.patch; error: File not found: 2016; Emails Sent: [To: daperador@scoutsde"/>
    <m/>
  </r>
  <r>
    <x v="0"/>
    <s v="Castilla y León"/>
    <x v="10"/>
    <x v="4"/>
    <s v="San Jorge"/>
    <s v="gs.sanjorge@scoutsdemadrid.org"/>
    <d v="2018-07-14T00:00:00"/>
    <d v="2018-07-28T00:00:00"/>
    <x v="34"/>
    <x v="87"/>
    <s v="No se"/>
    <s v="N: 40º 14' 13.758'' ' O: 4º 50' 21.12''"/>
    <s v="JESUS FERNANDEZ VARA,"/>
    <n v="647711306"/>
    <s v="jramon@informaticasil.com"/>
    <s v="800 + 10%"/>
    <s v="grande"/>
    <s v="BUENO (Se puede acceder con cualquier coche)"/>
    <s v="Sí"/>
    <n v="500"/>
    <s v="rio"/>
    <s v="no"/>
    <s v="si"/>
    <s v="bueno"/>
    <m/>
    <s v="1vVoooUHqWf4N38az4IoQwy1sGJvQfvEv"/>
    <s v="https://drive.google.com/a/scoutsdemadrid.org/file/d/1vVoooUHqWf4N38az4IoQwy1sGJvQfvEv/view?usp=drivesdk"/>
    <s v="Document successfully created; Document successfully merged; PDF created; !!!ERR: Failed to add merged file to folder due to Google error: No se ha podido llamar a la API drive.files.patch; error: File not found: Gavilanes; Emails Sent: [To: daperador@sco"/>
    <m/>
  </r>
  <r>
    <x v="0"/>
    <s v="Castilla y León"/>
    <x v="12"/>
    <x v="0"/>
    <s v="San Pablo"/>
    <s v="gs.sanpablo@scoutsdemadrid.org "/>
    <d v="2017-07-15T00:00:00"/>
    <d v="2017-07-30T00:00:00"/>
    <x v="76"/>
    <x v="88"/>
    <m/>
    <s v="42°51'50.8&quot;N 4°32'20.0&quot;W"/>
    <s v="Ángel Simal"/>
    <m/>
    <m/>
    <m/>
    <m/>
    <s v="REGULAR (Se puede acceder con un coche normal con dificultad)"/>
    <s v="Sí"/>
    <s v="100m"/>
    <s v="Embalse de Ruesga"/>
    <m/>
    <m/>
    <m/>
    <m/>
    <s v="10_CteG2ZZiozUYGLj7eBVacYK9jJZ5wu"/>
    <s v="https://drive.google.com/a/scoutsdemadrid.org/file/d/10_CteG2ZZiozUYGLj7eBVacYK9jJZ5wu/view?usp=drivesdk"/>
    <s v="Document successfully created; Document successfully merged; PDF created; !!!ERR: Failed to add merged file to folder due to Google error: No se ha podido llamar a la API drive.files.patch; error: File not found: Ruesga; Emails Sent: [To: daperador@scouts"/>
    <m/>
  </r>
  <r>
    <x v="0"/>
    <s v="Castilla y León"/>
    <x v="14"/>
    <x v="5"/>
    <s v="San Pablo"/>
    <s v="gs.sanpablo@scoutsdemadrid.org "/>
    <n v="43662"/>
    <n v="43677"/>
    <x v="77"/>
    <x v="89"/>
    <s v="24030A023002260000EY"/>
    <s v="42°59'10.9&quot;N 6°12'27.1&quot;W"/>
    <s v="Rufino Blanco"/>
    <n v="987488364"/>
    <s v="No tiene"/>
    <n v="600"/>
    <s v="1,12 ha"/>
    <s v="REGULAR (Se puede acceder con un coche normal con dificultad)"/>
    <s v="Sí"/>
    <s v="No hay"/>
    <s v="No hay"/>
    <s v="No"/>
    <s v="No lo sabemos"/>
    <s v="No sabemos si el dueño está de acuerdo en compartir sus datos de contacto. La campa no tiene zona de baño, está cerca del río Sil pero no cubre mucho en esa zona. No hay mucha sombra en la zona, en la campa hay algunos árboles"/>
    <s v="Sí"/>
    <s v="1afHeJ9dNS4haeXSgFzEPjs-NyamAt9uA"/>
    <s v="https://drive.google.com/a/scoutsdemadrid.org/file/d/1afHeJ9dNS4haeXSgFzEPjs-NyamAt9uA/view?usp=drivesdk"/>
    <s v="Document successfully created; Document successfully merged; PDF created; !!!ERR: Failed to add merged file to folder due to Google error: No se ha podido llamar a la API drive.files.patch; error: File not found: La Cueta; Emails Sent: [To: daperador@scou"/>
    <m/>
  </r>
  <r>
    <x v="0"/>
    <s v="Castilla y León"/>
    <x v="10"/>
    <x v="1"/>
    <s v="San Pedro"/>
    <m/>
    <d v="2016-07-18T00:00:00"/>
    <d v="2016-07-31T00:00:00"/>
    <x v="78"/>
    <x v="90"/>
    <m/>
    <m/>
    <s v="juan carlos gomez sanchez "/>
    <m/>
    <s v=" mariapidal@act-educo.com"/>
    <m/>
    <m/>
    <s v="BUENO (Se puede acceder con cualquier coche)"/>
    <s v="Sí"/>
    <m/>
    <m/>
    <m/>
    <m/>
    <m/>
    <m/>
    <s v="16JjFIr5h3o_1gv0VJtZM6aNmJrv2XaAY"/>
    <s v="https://drive.google.com/a/scoutsdemadrid.org/file/d/16JjFIr5h3o_1gv0VJtZM6aNmJrv2XaAY/view?usp=drivesdk"/>
    <s v="Document successfully created; Document successfully merged; PDF created; !!!ERR: Failed to add merged file to folder due to Google error: No se ha podido llamar a la API drive.files.patch; error: File not found: Mombeltran; Emails Sent: [To: daperador@sc"/>
    <m/>
  </r>
  <r>
    <x v="0"/>
    <s v="Castilla y León"/>
    <x v="10"/>
    <x v="1"/>
    <s v="San Pedro"/>
    <m/>
    <d v="2016-07-18T00:00:00"/>
    <d v="2016-07-31T00:00:00"/>
    <x v="78"/>
    <x v="90"/>
    <m/>
    <m/>
    <s v="juan carlos gomez sanchez "/>
    <m/>
    <s v=" mariapidal@act-educo.com"/>
    <m/>
    <m/>
    <s v="BUENO (Se puede acceder con cualquier coche)"/>
    <s v="Sí"/>
    <m/>
    <m/>
    <m/>
    <m/>
    <m/>
    <m/>
    <s v="1VvucP_O55Lg44pToKwLvqBufdg1ft9rF"/>
    <s v="https://drive.google.com/a/scoutsdemadrid.org/file/d/1VvucP_O55Lg44pToKwLvqBufdg1ft9rF/view?usp=drivesdk"/>
    <s v="Document successfully created; Document successfully merged; PDF created; !!!ERR: Failed to add merged file to folder due to Google error: No se ha podido llamar a la API drive.files.patch; error: File not found: Mombeltran; Emails Sent: [To: daperador@sc"/>
    <m/>
  </r>
  <r>
    <x v="0"/>
    <s v="Castilla y León"/>
    <x v="10"/>
    <x v="3"/>
    <s v="San Viator"/>
    <m/>
    <d v="2012-07-01T00:00:00"/>
    <d v="2012-07-15T00:00:00"/>
    <x v="79"/>
    <x v="91"/>
    <m/>
    <s v="https://maps.google.es/maps?q=pradera+de+los+orcos+casavieja&amp;ie=UTF-8&amp;hl=es"/>
    <m/>
    <m/>
    <m/>
    <m/>
    <m/>
    <m/>
    <m/>
    <m/>
    <m/>
    <m/>
    <m/>
    <m/>
    <m/>
    <s v="1QJMnyg4-uy8MSg2miv_VQfR0BXlgaDCj"/>
    <s v="https://drive.google.com/a/scoutsdemadrid.org/file/d/1QJMnyg4-uy8MSg2miv_VQfR0BXlgaDCj/view?usp=drivesdk"/>
    <s v="Document successfully created; Document successfully merged; PDF created; !!!ERR: Failed to add merged file to folder due to Google error: No se ha podido llamar a la API drive.files.patch; error: File not found: 2012; Emails Sent: [To: daperador@scoutsde"/>
    <m/>
  </r>
  <r>
    <x v="0"/>
    <s v="Castilla y León"/>
    <x v="11"/>
    <x v="3"/>
    <s v="Santa María Del Pilar"/>
    <s v="gs.santamariadelpilar@scoutsdemadrid.org"/>
    <d v="2012-07-09T00:00:00"/>
    <d v="2912-07-28T00:00:00"/>
    <x v="80"/>
    <x v="92"/>
    <m/>
    <s v="http://goo.gl/maps/mxab"/>
    <m/>
    <m/>
    <m/>
    <m/>
    <m/>
    <m/>
    <m/>
    <m/>
    <m/>
    <m/>
    <m/>
    <m/>
    <m/>
    <s v="1MGvaM1coCXwAyIx7OGOPNBriHRXOrMXP"/>
    <s v="https://drive.google.com/a/scoutsdemadrid.org/file/d/1MGvaM1coCXwAyIx7OGOPNBriHRXOrMXP/view?usp=drivesdk"/>
    <s v="Document successfully created; Document successfully merged; PDF created; !!!ERR: Failed to add merged file to folder due to Google error: No se ha podido llamar a la API drive.files.patch; error: File not found: 2012; Emails Sent: [To: daperador@scoutsde"/>
    <m/>
  </r>
  <r>
    <x v="0"/>
    <s v="Castilla y León"/>
    <x v="11"/>
    <x v="2"/>
    <s v="Santa María Del Pilar"/>
    <s v="gs.santamariadelpilar@scoutsdemadrid.org"/>
    <d v="2015-07-04T00:00:00"/>
    <d v="2015-07-25T00:00:00"/>
    <x v="81"/>
    <x v="93"/>
    <m/>
    <s v="41.864789,-2.861678"/>
    <m/>
    <m/>
    <m/>
    <m/>
    <m/>
    <m/>
    <m/>
    <m/>
    <m/>
    <m/>
    <m/>
    <m/>
    <m/>
    <s v="1h_r8IGMWHVr9giinbdFRy862Q-x5TBu3"/>
    <s v="https://drive.google.com/a/scoutsdemadrid.org/file/d/1h_r8IGMWHVr9giinbdFRy862Q-x5TBu3/view?usp=drivesdk"/>
    <s v="Document successfully created; Document successfully merged; PDF created; !!!ERR: Failed to add merged file to folder due to Google error: No se ha podido llamar a la API drive.files.patch; error: File not found: Navaleno; Emails Sent: [To: daperador@scou"/>
    <m/>
  </r>
  <r>
    <x v="0"/>
    <s v="Castilla y León"/>
    <x v="13"/>
    <x v="1"/>
    <s v="Santa María Del Pilar"/>
    <s v="gs.santamariadelpilar@scoutsdemadrid.org"/>
    <d v="2016-07-14T00:00:00"/>
    <d v="2016-07-31T00:00:00"/>
    <x v="82"/>
    <x v="94"/>
    <m/>
    <s v="42.087925,-3.127658"/>
    <s v="José María Burgos de Pablo"/>
    <n v="622363650"/>
    <s v="valledevaldelaguna@diputaciondeburgos.net"/>
    <n v="1000"/>
    <m/>
    <s v="BUENO (Se puede acceder con cualquier coche)"/>
    <s v="Sí"/>
    <s v="50 m"/>
    <s v="Presa manual que inunda una zona que sirve como poza"/>
    <s v="No"/>
    <s v="Sí"/>
    <m/>
    <m/>
    <s v="1fYyO5-zHZNwo7Mknout5ZFfJWrFel0N8"/>
    <s v="https://drive.google.com/a/scoutsdemadrid.org/file/d/1fYyO5-zHZNwo7Mknout5ZFfJWrFel0N8/view?usp=drivesdk"/>
    <s v="Document successfully created; Document successfully merged; PDF created; !!!ERR: Failed to add merged file to folder due to Google error: No se ha podido llamar a la API drive.files.patch; error: File not found: Tolbaños De Abajo; Emails Sent: [To: daper"/>
    <m/>
  </r>
  <r>
    <x v="0"/>
    <s v="Castilla y León"/>
    <x v="13"/>
    <x v="1"/>
    <s v="Santa María Del Pilar"/>
    <s v="gs.santamariadelpilar@scoutsdemadrid.org"/>
    <d v="2016-07-14T00:00:00"/>
    <d v="2016-07-31T00:00:00"/>
    <x v="82"/>
    <x v="94"/>
    <m/>
    <s v="42.087925,-3.127658"/>
    <s v="José María Burgos de Pablo"/>
    <n v="622363650"/>
    <s v="valledevaldelaguna@diputaciondeburgos.net"/>
    <n v="1000"/>
    <m/>
    <s v="BUENO (Se puede acceder con cualquier coche)"/>
    <s v="Sí"/>
    <s v="50 m"/>
    <s v="Presa manual que inunda una zona que sirve como poza"/>
    <s v="No"/>
    <s v="Sí"/>
    <m/>
    <m/>
    <s v="1nQUDtfHJTZz0BynK7XihoexuBVqB-zjA"/>
    <s v="https://drive.google.com/a/scoutsdemadrid.org/file/d/1nQUDtfHJTZz0BynK7XihoexuBVqB-zjA/view?usp=drivesdk"/>
    <s v="Document successfully created; Document successfully merged; PDF created; !!!ERR: Failed to add merged file to folder due to Google error: No se ha podido llamar a la API drive.files.patch; error: File not found: Tolbaños De Abajo; Emails Sent: [To: daper"/>
    <m/>
  </r>
  <r>
    <x v="0"/>
    <s v="Castilla y León"/>
    <x v="11"/>
    <x v="1"/>
    <s v="Santa María Del Pilar"/>
    <s v="gs.santamariadelpilar@scoutsdemadrid.org"/>
    <d v="2016-07-09T00:00:00"/>
    <d v="2016-07-15T00:00:00"/>
    <x v="35"/>
    <x v="41"/>
    <m/>
    <s v="41.937685, -2.909870"/>
    <s v="Ayuntamiento de Covaleda"/>
    <n v="975370000"/>
    <m/>
    <s v="0,60€por persona"/>
    <m/>
    <s v="BUENO (Se puede acceder con cualquier coche)"/>
    <s v="Sí"/>
    <s v="500 metro"/>
    <s v="río con poza"/>
    <s v="Si, cocina, almacén, botiquin, salas vacias..."/>
    <s v="si"/>
    <s v="Muy bueno"/>
    <m/>
    <s v="1AhYfq20pWWAH7Bb0ACKkajHowI064zaG"/>
    <s v="https://drive.google.com/a/scoutsdemadrid.org/file/d/1AhYfq20pWWAH7Bb0ACKkajHowI064zaG/view?usp=drivesdk"/>
    <s v="Document successfully created; Document successfully merged; PDF created; !!!ERR: Failed to add merged file to folder due to Google error: No se ha podido llamar a la API drive.files.patch; error: File not found: Covaleda; Emails Sent: [To: daperador@scou"/>
    <m/>
  </r>
  <r>
    <x v="0"/>
    <s v="Castilla y León"/>
    <x v="11"/>
    <x v="0"/>
    <s v="Santa María Del Pilar"/>
    <s v="gs.santamariadelpilar@scoutsdemadrid.org"/>
    <d v="2017-07-13T00:00:00"/>
    <d v="2017-07-19T00:00:00"/>
    <x v="83"/>
    <x v="95"/>
    <m/>
    <s v="41.865080, -2.861275"/>
    <s v="Mancomunidad de los 150 pueblos"/>
    <m/>
    <m/>
    <m/>
    <m/>
    <s v="BUENO (Se puede acceder con cualquier coche)"/>
    <s v="Sí"/>
    <s v="100km"/>
    <s v="Por el campamento pasa un rio pequeño. A 7km está el embalse cuerda del pozo que está muy bien para bañarse"/>
    <s v="un refugio cercano"/>
    <s v="si, gran pinar"/>
    <m/>
    <m/>
    <s v="1ZFAgHcRluL3aF5AiXzvR3E8EOtzFRLtB"/>
    <s v="https://drive.google.com/a/scoutsdemadrid.org/file/d/1ZFAgHcRluL3aF5AiXzvR3E8EOtzFRLtB/view?usp=drivesdk"/>
    <s v="Document successfully created; Document successfully merged; PDF created; !!!ERR: Failed to add merged file to folder due to Google error: No se ha podido llamar a la API drive.files.patch; error: File not found: Aguabuena; Emails Sent: [To: daperador@sco"/>
    <m/>
  </r>
  <r>
    <x v="0"/>
    <s v="Castilla y León"/>
    <x v="11"/>
    <x v="4"/>
    <s v="Santa María Del Pilar"/>
    <s v="gs.santamariadelpilar@scoutsdemadrid.org"/>
    <d v="2018-07-12T00:00:00"/>
    <d v="2018-07-28T00:00:00"/>
    <x v="80"/>
    <x v="96"/>
    <n v="0"/>
    <s v="41.865052, -2.861503"/>
    <s v="Ayuntamiento de Soria"/>
    <s v="975 234 100"/>
    <s v="d"/>
    <n v="2018"/>
    <n v="2"/>
    <s v="BUENO (Se puede acceder con cualquier coche)"/>
    <s v="Sí"/>
    <s v="300 m"/>
    <s v="-"/>
    <s v="No"/>
    <s v="Sí"/>
    <s v="-"/>
    <m/>
    <s v="101PvOZoGNSnSlEjkE7VEwbf-7zLIqOob"/>
    <s v="https://drive.google.com/a/scoutsdemadrid.org/file/d/101PvOZoGNSnSlEjkE7VEwbf-7zLIqOob/view?usp=drivesdk"/>
    <s v="Document successfully created; Document successfully merged; PDF created; !!!ERR: Failed to add merged file to folder due to Google error: No se ha podido llamar a la API drive.files.patch; error: File not found: Abejar; Emails Sent: [To: daperador@scouts"/>
    <m/>
  </r>
  <r>
    <x v="0"/>
    <s v="Castilla y León"/>
    <x v="11"/>
    <x v="5"/>
    <s v="Santa María Del Pilar"/>
    <s v="gs.santamariadelpilar@scoutsdemadrid.org"/>
    <n v="43657"/>
    <d v="2019-07-27T00:00:00"/>
    <x v="80"/>
    <x v="97"/>
    <s v="Monte 172"/>
    <s v="41.865008, -2.861885"/>
    <s v="Ayuntamiento de Soria, Mancomunidad de los 150 pueblos de Soria"/>
    <n v="975226634"/>
    <s v="administracion@casadelatierra.com"/>
    <s v="2090 € por 158 acampados"/>
    <s v="30.000 m2"/>
    <s v="BUENO (Se puede acceder con cualquier coche)"/>
    <s v="Sí"/>
    <s v="20m"/>
    <s v="Rio poco caudaoloso"/>
    <s v="No"/>
    <s v="Sí"/>
    <s v="Llana"/>
    <s v="Sí"/>
    <s v="1YXXkSRX56NuJcUMx3qXZn52JOlxpermA"/>
    <s v="https://drive.google.com/a/scoutsdemadrid.org/file/d/1YXXkSRX56NuJcUMx3qXZn52JOlxpermA/view?usp=drivesdk"/>
    <s v="Document successfully created; Document successfully merged; PDF created; !!!ERR: Failed to add merged file to folder due to Google error: No se ha podido llamar a la API drive.files.patch; error: File not found: Abejar; !!Error Sending Emails: Error al e"/>
    <m/>
  </r>
  <r>
    <x v="0"/>
    <s v="Castilla y León"/>
    <x v="10"/>
    <x v="2"/>
    <s v="Santa María La Blanca"/>
    <s v="gs.santamarialablanca@scoutsdemadrid.org "/>
    <d v="2015-07-03T00:00:00"/>
    <d v="2015-07-12T00:00:00"/>
    <x v="84"/>
    <x v="98"/>
    <m/>
    <m/>
    <m/>
    <m/>
    <m/>
    <m/>
    <m/>
    <m/>
    <m/>
    <m/>
    <m/>
    <m/>
    <m/>
    <m/>
    <m/>
    <s v="1kCubC2FcRmGg6IlqhEKlvOtnMydlEswJ"/>
    <s v="https://drive.google.com/a/scoutsdemadrid.org/file/d/1kCubC2FcRmGg6IlqhEKlvOtnMydlEswJ/view?usp=drivesdk"/>
    <s v="Document successfully created; Document successfully merged; PDF created; !!!ERR: Failed to add merged file to folder due to Google error: No se ha podido llamar a la API drive.files.patch; error: File not found: El Hoyo De Pinares; !!Error Sending Emails"/>
    <m/>
  </r>
  <r>
    <x v="0"/>
    <s v="Castilla y León"/>
    <x v="11"/>
    <x v="3"/>
    <s v="Tallac"/>
    <s v="gs.tallac@scoutsdemadrid.org "/>
    <d v="2012-07-01T00:00:00"/>
    <d v="2012-07-15T00:00:00"/>
    <x v="85"/>
    <x v="99"/>
    <m/>
    <s v="https://maps.google.es/maps?hl=es&amp;authuser=0"/>
    <m/>
    <m/>
    <m/>
    <m/>
    <m/>
    <m/>
    <m/>
    <m/>
    <m/>
    <m/>
    <m/>
    <m/>
    <m/>
    <s v="18InCMCqvqVfkJDsr0LydwHMo0pNk6Kt9"/>
    <s v="https://drive.google.com/a/scoutsdemadrid.org/file/d/18InCMCqvqVfkJDsr0LydwHMo0pNk6Kt9/view?usp=drivesdk"/>
    <s v="Document successfully created; Document successfully merged; PDF created; !!!ERR: Failed to add merged file to folder due to Google error: No se ha podido llamar a la API drive.files.patch; error: File not found: 2012; Emails Sent: [To: daperador@scoutsde"/>
    <m/>
  </r>
  <r>
    <x v="0"/>
    <s v="Castilla y León"/>
    <x v="14"/>
    <x v="5"/>
    <s v="Tallac"/>
    <s v="gs.tallac@scoutsdemadrid.org "/>
    <n v="43647"/>
    <d v="2019-07-15T00:00:00"/>
    <x v="86"/>
    <x v="100"/>
    <s v="24124A00200217 - 24124A00200293"/>
    <s v="43.048087,-5.278349"/>
    <s v="Andrés Bayón González"/>
    <s v="653 59 67 14"/>
    <s v="no tiene"/>
    <n v="260"/>
    <s v="1,5 hectáreas "/>
    <s v="BUENO (Se puede acceder con cualquier coche)"/>
    <s v="No"/>
    <s v="50m"/>
    <s v="Río Porma con pequeño paso para su entrada."/>
    <s v="No"/>
    <s v="No"/>
    <s v="Prado sin ningún tipo de instalación rodeado por el arroyo Tronisco y el Río Porma, acceso a la LE-333. Dispone de una pequeña colina donde hay un pequeño bosque."/>
    <s v="Sí"/>
    <s v="1Bjev0iZLc2kL8d5OM5nnZCY3gJo7NqfD"/>
    <s v="https://drive.google.com/a/scoutsdemadrid.org/file/d/1Bjev0iZLc2kL8d5OM5nnZCY3gJo7NqfD/view?usp=drivesdk"/>
    <s v="Document successfully created; Document successfully merged; PDF created; !!!ERR: Failed to add merged file to folder due to Google error: No se ha podido llamar a la API drive.files.patch; error: File not found: 2019; Emails Sent: [To: daperador@scoutsde"/>
    <m/>
  </r>
  <r>
    <x v="0"/>
    <s v="Castilla y León"/>
    <x v="10"/>
    <x v="0"/>
    <s v="Ultreya"/>
    <s v="gs.ultreya@scoutsdemadrid.org "/>
    <d v="2017-07-08T00:00:00"/>
    <d v="2017-07-16T00:00:00"/>
    <x v="64"/>
    <x v="101"/>
    <m/>
    <m/>
    <s v="EDUCO"/>
    <m/>
    <m/>
    <m/>
    <m/>
    <s v="BUENO (Se puede acceder con cualquier coche)"/>
    <s v="Sí"/>
    <s v="100 METROS"/>
    <m/>
    <s v="COCINA, COMEDOR, BAÑOS"/>
    <s v="Si "/>
    <m/>
    <m/>
    <s v="18eQI81PnrHWA-3MOlJFoTKDkXsa_pwIp"/>
    <s v="https://drive.google.com/a/scoutsdemadrid.org/file/d/18eQI81PnrHWA-3MOlJFoTKDkXsa_pwIp/view?usp=drivesdk"/>
    <s v="Document successfully created; Document successfully merged; PDF created; !!!ERR: Failed to add merged file to folder due to Google error: No se ha podido llamar a la API drive.files.patch; error: File not found: Mombeltrán; !!Error Sending Emails: Error "/>
    <m/>
  </r>
  <r>
    <x v="0"/>
    <s v="Castilla y León"/>
    <x v="16"/>
    <x v="4"/>
    <s v="Ultreya"/>
    <s v="gs.ultreya@scoutsdemadrid.org "/>
    <d v="2018-07-01T00:00:00"/>
    <d v="2018-07-07T00:00:00"/>
    <x v="87"/>
    <x v="102"/>
    <n v="0"/>
    <s v="40º 22' 4.966''  5º 44' 40.225''"/>
    <s v="Delegación Territorial de Salamanca Dirección General de Calidad y Sostenibilidad Ambiental"/>
    <s v="923 296 026. Ext. 851724"/>
    <s v="JuaAlcJa@jcyl.es"/>
    <s v="20 € persona/quincena"/>
    <s v="2 ha"/>
    <s v="MALO (Solo se puede acceder con todoterreno)"/>
    <s v="Sí"/>
    <s v="500 metros"/>
    <s v="regular"/>
    <s v="Baños, cocina y comedor"/>
    <s v="No"/>
    <s v="Bastante sombra, tiene un generador"/>
    <m/>
    <s v="1ErBUqxDi5A0VuvRQKMDTkbyt6koSITub"/>
    <s v="https://drive.google.com/a/scoutsdemadrid.org/file/d/1ErBUqxDi5A0VuvRQKMDTkbyt6koSITub/view?usp=drivesdk"/>
    <s v="Document successfully created; Document successfully merged; PDF created; !!!ERR: Failed to add merged file to folder due to Google error: No se ha podido llamar a la API drive.files.patch; error: File not found: 2018; Emails Sent: [To: daperador@scoutsde"/>
    <m/>
  </r>
  <r>
    <x v="0"/>
    <s v="Castilla y León"/>
    <x v="16"/>
    <x v="5"/>
    <s v="Ultreya"/>
    <s v="gs.ultreya@scoutsdemadrid.org "/>
    <n v="43646"/>
    <d v="2019-07-04T00:00:00"/>
    <x v="88"/>
    <x v="103"/>
    <s v="37169A01710001"/>
    <s v="40.319624, -5.972947"/>
    <s v="Ayuntamiento Lagunilla"/>
    <s v="923 41 77 57"/>
    <s v="ayuntamientolagunilla@hotmail.com"/>
    <s v="15 € x persona x quincena"/>
    <s v="2 ha"/>
    <s v="BUENO (Se puede acceder con cualquier coche)"/>
    <s v="Sí"/>
    <s v="no tiene"/>
    <s v="no tiene"/>
    <s v="cocina y baños"/>
    <s v="si"/>
    <s v="zona robledal con cocina y baños "/>
    <s v="No"/>
    <s v="1m9UVZR49cWNdztmPs7jfimSwxM8vcAUr"/>
    <s v="https://drive.google.com/a/scoutsdemadrid.org/file/d/1m9UVZR49cWNdztmPs7jfimSwxM8vcAUr/view?usp=drivesdk"/>
    <s v="Document successfully created; Document successfully merged; PDF created; !!!ERR: Failed to add merged file to folder due to Google error: No se ha podido llamar a la API drive.files.patch; error: File not found: Lagunilla; Emails Sent: [To: daperador@sco"/>
    <m/>
  </r>
  <r>
    <x v="0"/>
    <s v="Castilla y León"/>
    <x v="10"/>
    <x v="1"/>
    <s v="Valverde"/>
    <s v="gs.valverde@scoutsdemadrid.org "/>
    <d v="2016-07-13T00:00:00"/>
    <d v="2016-07-30T00:00:00"/>
    <x v="33"/>
    <x v="34"/>
    <n v="1043"/>
    <s v="latitud: 40º 26' 41,17'' longitud:4º 44' 45,82''"/>
    <s v="Manuela Garcia Garcia"/>
    <n v="638233456"/>
    <s v="carlos_g.r@hotmail.com"/>
    <s v="Por quincena 700 euros"/>
    <s v="10 Ha"/>
    <s v="BUENO (Se puede acceder con cualquier coche)"/>
    <s v="Sí"/>
    <s v="3 km"/>
    <s v="Piscina del pueblo"/>
    <s v="Fregadero"/>
    <s v="No"/>
    <m/>
    <m/>
    <s v="1QGeXy1Xl4hGK5F0TWnz46lFYe8S5f_yq"/>
    <s v="https://drive.google.com/a/scoutsdemadrid.org/file/d/1QGeXy1Xl4hGK5F0TWnz46lFYe8S5f_yq/view?usp=drivesdk"/>
    <s v="Document successfully created; Document successfully merged; PDF created; !!!ERR: Failed to add merged file to folder due to Google error: No se ha podido llamar a la API drive.files.patch; error: File not found: Navalmoral De La Sierra; Emails Sent: [To:"/>
    <m/>
  </r>
  <r>
    <x v="0"/>
    <s v="Castilla y León"/>
    <x v="10"/>
    <x v="1"/>
    <s v="Valverde"/>
    <s v="gs.valverde@scoutsdemadrid.org "/>
    <d v="2016-07-13T00:00:00"/>
    <d v="2016-07-30T00:00:00"/>
    <x v="33"/>
    <x v="34"/>
    <n v="1043"/>
    <s v="latitud: 40º 26' 41,17'' longitud:4º 44' 45,82''"/>
    <s v="Manuela Garcia Garcia"/>
    <n v="638233456"/>
    <s v="carlos_g.r@hotmail.com"/>
    <s v="Por quincena 700 euros"/>
    <s v="10 Ha"/>
    <s v="BUENO (Se puede acceder con cualquier coche)"/>
    <s v="Sí"/>
    <s v="3 km"/>
    <s v="Piscina del pueblo"/>
    <s v="Fregadero"/>
    <s v="No"/>
    <m/>
    <m/>
    <s v="1bHhZ8xcHSprKNsoTHwmNYvlxBdVNB0xb"/>
    <s v="https://drive.google.com/a/scoutsdemadrid.org/file/d/1bHhZ8xcHSprKNsoTHwmNYvlxBdVNB0xb/view?usp=drivesdk"/>
    <s v="Document successfully created; Document successfully merged; PDF created; !!!ERR: Failed to add merged file to folder due to Google error: No se ha podido llamar a la API drive.files.patch; error: File not found: Navalmoral De La Sierra; Emails Sent: [To:"/>
    <m/>
  </r>
  <r>
    <x v="0"/>
    <s v="Castilla y León"/>
    <x v="10"/>
    <x v="2"/>
    <s v="Vedruna"/>
    <s v="gs.vedruna@scoutsdemadrid.org "/>
    <d v="2015-07-03T00:00:00"/>
    <d v="2015-07-14T00:00:00"/>
    <x v="51"/>
    <x v="104"/>
    <m/>
    <s v="N: 40º 14' 19'' O: -5º 7' 50''"/>
    <m/>
    <m/>
    <m/>
    <m/>
    <m/>
    <m/>
    <m/>
    <m/>
    <m/>
    <m/>
    <m/>
    <m/>
    <m/>
    <s v="1YkPMLPcZzV5YRmnIWQqRLQAW0Okxo9_u"/>
    <s v="https://drive.google.com/a/scoutsdemadrid.org/file/d/1YkPMLPcZzV5YRmnIWQqRLQAW0Okxo9_u/view?usp=drivesdk"/>
    <s v="Document successfully created; Document successfully merged; PDF created; !!!ERR: Failed to add merged file to folder due to Google error: No se ha podido llamar a la API drive.files.patch; error: File not found: Guisando; Emails Sent: [To: daperador@scou"/>
    <m/>
  </r>
  <r>
    <x v="0"/>
    <s v="Castilla y León"/>
    <x v="10"/>
    <x v="0"/>
    <s v="Vedruna"/>
    <s v="gs.vedruna@scoutsdemadrid.org "/>
    <d v="2017-07-22T00:00:00"/>
    <d v="2017-07-30T00:00:00"/>
    <x v="55"/>
    <x v="105"/>
    <m/>
    <m/>
    <s v="José Ignacio Romero Trillo"/>
    <n v="630881829"/>
    <m/>
    <m/>
    <m/>
    <s v="BUENO (Se puede acceder con cualquier coche)"/>
    <s v="Sí"/>
    <s v="300m"/>
    <m/>
    <s v="Cocina equipada, baños con agua caliente, comedor techado y acristalado, edificio diáfano, 6 chozas"/>
    <m/>
    <m/>
    <m/>
    <s v="1rQeytVCgokqJtHMN7LqcJZG7ZfX6Ge0T"/>
    <s v="https://drive.google.com/a/scoutsdemadrid.org/file/d/1rQeytVCgokqJtHMN7LqcJZG7ZfX6Ge0T/view?usp=drivesdk"/>
    <s v="Document successfully created; Document successfully merged; PDF created; !!!ERR: Failed to add merged file to folder due to Google error: No se ha podido llamar a la API drive.files.patch; error: File not found: Bohoyo; Emails Sent: [To: daperador@scouts"/>
    <m/>
  </r>
  <r>
    <x v="0"/>
    <s v="Castilla y León"/>
    <x v="10"/>
    <x v="4"/>
    <s v="Vedruna"/>
    <s v="gs.vedruna@scoutsdemadrid.org "/>
    <d v="2018-06-30T00:00:00"/>
    <d v="2018-07-08T00:00:00"/>
    <x v="51"/>
    <x v="106"/>
    <s v="POL.10 PARCELA 112/106"/>
    <s v="40º 13´33366&quot;N 5º7`58019 O"/>
    <s v="PEDRO JOSÉ SÁNCHEZ SÁEZ"/>
    <n v="920374030"/>
    <s v="no tenemos"/>
    <n v="70"/>
    <s v="1 hectária aprox"/>
    <s v="BUENO (Se puede acceder con cualquier coche)"/>
    <s v="Sí"/>
    <s v="200m"/>
    <s v="poza "/>
    <s v="cocina almacen duchas baños"/>
    <s v="si"/>
    <s v="Entorno con muchas posiblidades"/>
    <m/>
    <s v="1wtnjFLwU723eDKm5DeThfhi9Mr7kkcIW"/>
    <s v="https://drive.google.com/a/scoutsdemadrid.org/file/d/1wtnjFLwU723eDKm5DeThfhi9Mr7kkcIW/view?usp=drivesdk"/>
    <s v="Document successfully created; Document successfully merged; PDF created; !!!ERR: Failed to add merged file to folder due to Google error: No se ha podido llamar a la API drive.files.patch; error: File not found: Guisando; Emails Sent: [To: daperador@scou"/>
    <m/>
  </r>
  <r>
    <x v="0"/>
    <s v="Castilla-La Mancha"/>
    <x v="17"/>
    <x v="1"/>
    <s v="Calasanz Val"/>
    <s v="gs.calasanzval@scoutsdemadrid.org "/>
    <d v="2016-07-01T00:00:00"/>
    <d v="2016-07-15T00:00:00"/>
    <x v="89"/>
    <x v="107"/>
    <m/>
    <s v="38º 40' 25.00&quot;; -2º 24' 18.00&quot;"/>
    <s v="Angel "/>
    <n v="967382521"/>
    <m/>
    <s v="4 euros/ persona/ dia"/>
    <m/>
    <s v="BUENO (Se puede acceder con cualquier coche)"/>
    <s v="Sí"/>
    <s v="200 metros"/>
    <s v="piscina artificial"/>
    <s v="Baños, duchas y fregaderos"/>
    <s v="si"/>
    <m/>
    <m/>
    <s v="1e3YyWcF2OAGxz8fbUs39p3xw01FEpdIg"/>
    <s v="https://drive.google.com/a/scoutsdemadrid.org/file/d/1e3YyWcF2OAGxz8fbUs39p3xw01FEpdIg/view?usp=drivesdk"/>
    <s v="Document successfully created; Document successfully merged; PDF created; !!!ERR: Failed to add merged file to folder due to Google error: No se ha podido llamar a la API drive.files.patch; error: File not found: Peñascosa; Emails Sent: [To: daperador@sco"/>
    <m/>
  </r>
  <r>
    <x v="0"/>
    <s v="Castilla-La Mancha"/>
    <x v="17"/>
    <x v="0"/>
    <s v="Calasanz Val"/>
    <s v="gs.calasanzval@scoutsdemadrid.org "/>
    <d v="2017-07-01T00:00:00"/>
    <d v="2017-07-15T00:00:00"/>
    <x v="89"/>
    <x v="107"/>
    <m/>
    <m/>
    <s v="Camping Peñascosa"/>
    <n v="639374495"/>
    <s v="informacion@campingpenascosa.com"/>
    <s v="4.5€ / persona /día"/>
    <m/>
    <s v="BUENO (Se puede acceder con cualquier coche)"/>
    <s v="Sí"/>
    <s v="Tiene piscina"/>
    <m/>
    <s v="Es un camping"/>
    <s v="No"/>
    <s v="Buen camping, no muy poblado, agua caliente en baño y duchas, y con cafetería que da comidas si las contratas."/>
    <m/>
    <s v="176wpzKDI5MSbLza6RbCpPLGiW_NA_1U0"/>
    <s v="https://drive.google.com/a/scoutsdemadrid.org/file/d/176wpzKDI5MSbLza6RbCpPLGiW_NA_1U0/view?usp=drivesdk"/>
    <s v="Document successfully created; Document successfully merged; PDF created; !!!ERR: Failed to add merged file to folder due to Google error: No se ha podido llamar a la API drive.files.patch; error: File not found: Peñascosa; Emails Sent: [To: daperador@sco"/>
    <m/>
  </r>
  <r>
    <x v="0"/>
    <s v="Castilla-La Mancha"/>
    <x v="18"/>
    <x v="4"/>
    <s v="Chamberí"/>
    <s v="gs.chamberi@scoutsdemadrid.org "/>
    <d v="2018-07-16T00:00:00"/>
    <d v="2018-07-30T00:00:00"/>
    <x v="90"/>
    <x v="108"/>
    <s v="19051A012000810000PR y 19051A012100810000PH"/>
    <s v="41.206743-2.854343"/>
    <s v="Ayuntamiento de Atienza"/>
    <n v="638618753"/>
    <s v="aytoatien@hotmail.com"/>
    <n v="0"/>
    <s v="1.54"/>
    <s v="BUENO (Se puede acceder con cualquier coche)"/>
    <s v="Sí"/>
    <s v="1 km/1.5 km"/>
    <s v="piscina municipal"/>
    <s v="no"/>
    <s v="si"/>
    <s v="Cedida por el ayuntamiento de Atienza"/>
    <m/>
    <s v="12VGeYDrdLic7O0pj_jrH8SCQU_oXv-Kc"/>
    <s v="https://drive.google.com/a/scoutsdemadrid.org/file/d/12VGeYDrdLic7O0pj_jrH8SCQU_oXv-Kc/view?usp=drivesdk"/>
    <s v="Document successfully created; Document successfully merged; PDF created; !!!ERR: Failed to add merged file to folder due to Google error: No se ha podido llamar a la API drive.files.patch; error: File not found: Atienza; Emails Sent: [To: daperador@scout"/>
    <m/>
  </r>
  <r>
    <x v="0"/>
    <s v="Castilla-La Mancha"/>
    <x v="19"/>
    <x v="5"/>
    <s v="Chamberí"/>
    <s v="gs.chamberi@scoutsdemadrid.org "/>
    <d v="2019-07-01T00:00:00"/>
    <d v="2019-07-15T00:00:00"/>
    <x v="91"/>
    <x v="109"/>
    <s v="dato desconocido"/>
    <s v="(40.3718476,-1.8825093)"/>
    <s v="Ayuntamiento de Tragacete"/>
    <s v="969 289 002"/>
    <s v="ayuntamientotragacete@hotmail.com"/>
    <s v="2 euros por persona y dia"/>
    <s v="Dato desconocido"/>
    <s v="BUENO (Se puede acceder con cualquier coche)"/>
    <s v="Sí"/>
    <s v="500 metros"/>
    <s v="rio pequeño y con poco caudal pero perfecto para pegarte un pequeño chapuzón"/>
    <s v="Edificación-Barbacoa. Edificación de 42,90 metros cuadrados de piedra, cerrada con cuatro paredes, cubie de teja y cuatro entradas abiertas. Consta de cuatro barbacoas, cuatro leñeras, dos mesas de piedra, dos muros de pie para asientos y chimenea con mat"/>
    <s v="No lo sabemos"/>
    <s v="Zona bastante buena de campamentos, habilitada para ello y con espacio para un gran número de personas. Ofrecen la finca en exclusividad pero por un elevado coste._x000a_Ubicada en el parque natural de la serrania de cuenca lo que ofrece una gran variedad de op"/>
    <s v="Sí"/>
    <s v="1YIccC_p-na2tPhTihwatZ4-h9lxADwx1"/>
    <s v="https://drive.google.com/a/scoutsdemadrid.org/file/d/1YIccC_p-na2tPhTihwatZ4-h9lxADwx1/view?usp=drivesdk"/>
    <s v="Document successfully created; Document successfully merged; PDF created; !!!ERR: Failed to add merged file to folder due to Google error: No se ha podido llamar a la API drive.files.patch; error: File not found: Tragacete; Emails Sent: [To: daperador@sco"/>
    <m/>
  </r>
  <r>
    <x v="0"/>
    <s v="Castilla-La Mancha"/>
    <x v="18"/>
    <x v="5"/>
    <s v="Don Quijote"/>
    <s v="gs.donquijote@scoutsdemadrid.org "/>
    <d v="2019-06-23T00:00:00"/>
    <d v="2019-06-30T00:00:00"/>
    <x v="92"/>
    <x v="110"/>
    <s v="lo desconozco"/>
    <s v="Guadalajara"/>
    <s v="Ayuntamiento de Almonacid."/>
    <s v="949376201/949821645"/>
    <m/>
    <s v="no pagaremos nada,mas que la voluntad"/>
    <s v="1000 hectareas"/>
    <s v="BUENO (Se puede acceder con cualquier coche)"/>
    <s v="Sí"/>
    <s v="3 km"/>
    <s v="Tiene un rio que le llaman playa hay que pagar para entrar y tiene socoristas"/>
    <s v="baños de obra"/>
    <s v="No"/>
    <s v="buena"/>
    <s v="No"/>
    <s v="1mFehhDVb0Hz8w7i5uc9uWMQaF3oX06Z-"/>
    <s v="https://drive.google.com/a/scoutsdemadrid.org/file/d/1mFehhDVb0Hz8w7i5uc9uWMQaF3oX06Z-/view?usp=drivesdk"/>
    <s v="Document successfully created; Document successfully merged; PDF created; !!!ERR: Failed to add merged file to folder due to Google error: No se ha podido llamar a la API drive.files.patch; error: File not found: Almonacid De Zorita; Emails Sent: [To: dap"/>
    <m/>
  </r>
  <r>
    <x v="0"/>
    <s v="Castilla-La Mancha"/>
    <x v="19"/>
    <x v="5"/>
    <s v="Fátima"/>
    <s v="gs.fatima@scoutsdemadrid.org "/>
    <d v="2019-07-15T00:00:00"/>
    <d v="2019-07-28T00:00:00"/>
    <x v="93"/>
    <x v="111"/>
    <s v="16037A028001340000WU y 16037A028001460000WL"/>
    <s v="39º57'55.4''N 1º36'30.2'' W"/>
    <s v="Jesús Mayordomo Moreno"/>
    <n v="635864030"/>
    <s v="mmboniches@hotmail.com"/>
    <s v="2900+IVA/quincena"/>
    <s v="6189 m2"/>
    <s v="REGULAR (Se puede acceder con un coche normal con dificultad)"/>
    <s v="Sí"/>
    <s v="1 km"/>
    <s v="Poza no muy grande ni muy profunda"/>
    <s v="Sí: albergue con 2 habitaciones, salón con chimenea,  cocina de butano,  4 servicios,  comedor exterior con toldo para 70-80 personas con mesas y sillas, fregaderos,  luz con placas solares, y grupo generador, agua potable de la red municipal"/>
    <s v="Sí"/>
    <s v="Muy amplia con zonas de sombra."/>
    <s v="Sí"/>
    <s v="1s_J_ILHHhAcH2Y52jeoj_guKEPtBr4E5"/>
    <s v="https://drive.google.com/a/scoutsdemadrid.org/file/d/1s_J_ILHHhAcH2Y52jeoj_guKEPtBr4E5/view?usp=drivesdk"/>
    <s v="Document successfully created; Document successfully merged; PDF created; !!!ERR: Failed to add merged file to folder due to Google error: No se ha podido llamar a la API drive.files.patch; error: File not found: Boniches; Emails Sent: [To: daperador@scou"/>
    <m/>
  </r>
  <r>
    <x v="0"/>
    <s v="Castilla-La Mancha"/>
    <x v="19"/>
    <x v="2"/>
    <s v="Orion"/>
    <s v="gs.orion@scoutsdemadrid.org "/>
    <d v="2015-07-18T00:00:00"/>
    <d v="2015-07-30T00:00:00"/>
    <x v="94"/>
    <x v="112"/>
    <m/>
    <m/>
    <m/>
    <m/>
    <m/>
    <m/>
    <m/>
    <m/>
    <m/>
    <m/>
    <m/>
    <m/>
    <m/>
    <m/>
    <m/>
    <s v="1nJnRA-H8PGgXdcXsMioZmCsBrRx1DjP6"/>
    <s v="https://drive.google.com/a/scoutsdemadrid.org/file/d/1nJnRA-H8PGgXdcXsMioZmCsBrRx1DjP6/view?usp=drivesdk"/>
    <s v="Document successfully created; Document successfully merged; PDF created; !!!ERR: Failed to add merged file to folder due to Google error: No se ha podido llamar a la API drive.files.patch; error: File not found: Arcas; Emails Sent: [To: daperador@scoutsd"/>
    <m/>
  </r>
  <r>
    <x v="0"/>
    <s v="Castilla-La Mancha"/>
    <x v="18"/>
    <x v="1"/>
    <s v="Orión"/>
    <s v="gs.orion@scoutsdemadrid.org "/>
    <d v="2016-07-17T00:00:00"/>
    <d v="2016-07-30T00:00:00"/>
    <x v="95"/>
    <x v="113"/>
    <s v="NS/NC"/>
    <s v="40º 59´ 12,59´´ N 2º 25´45,14´´ W"/>
    <s v="Fundación Scouts en Acción"/>
    <n v="637464385"/>
    <s v="fundacion@fsc-clm.org"/>
    <s v="4,40 € pax/noche"/>
    <s v="NS/NC"/>
    <s v="BUENO (Se puede acceder con cualquier coche)"/>
    <s v="Sí"/>
    <n v="0"/>
    <s v="Piscina"/>
    <s v="Comedor, piscina, cocina, baños, duchas, fregaderos"/>
    <s v="NS/NC"/>
    <m/>
    <m/>
    <s v="1CDIrdQEz-XImIlhmRuc6k8YsV6_qo92c"/>
    <s v="https://drive.google.com/a/scoutsdemadrid.org/file/d/1CDIrdQEz-XImIlhmRuc6k8YsV6_qo92c/view?usp=drivesdk"/>
    <s v="Document successfully created; Document successfully merged; PDF created; !!!ERR: Failed to add merged file to folder due to Google error: No se ha podido llamar a la API drive.files.patch; error: File not found: 2016; Emails Sent: [To: daperador@scoutsde"/>
    <m/>
  </r>
  <r>
    <x v="0"/>
    <s v="Castilla-La Mancha"/>
    <x v="19"/>
    <x v="5"/>
    <s v="Orión"/>
    <s v="gs.orion@scoutsdemadrid.org "/>
    <d v="2019-07-16T00:00:00"/>
    <d v="2019-07-30T00:00:00"/>
    <x v="96"/>
    <x v="114"/>
    <s v="AHAQJHJHDGYHDTGFY"/>
    <s v="40.450056, -1.954502"/>
    <s v="Alfredo Castillejo González"/>
    <n v="639828628"/>
    <s v="no tiene"/>
    <s v="3 €/persona día"/>
    <s v="3 ha"/>
    <s v="BUENO (Se puede acceder con cualquier coche)"/>
    <s v="Sí"/>
    <s v="2 km"/>
    <s v="Buena"/>
    <s v="Todas"/>
    <s v="Sí"/>
    <s v="Todo bien"/>
    <s v="No"/>
    <s v="1MgcmiBxL4U1Maw-pDpOPHwldkLWXo3km"/>
    <s v="https://drive.google.com/a/scoutsdemadrid.org/file/d/1MgcmiBxL4U1Maw-pDpOPHwldkLWXo3km/view?usp=drivesdk"/>
    <s v="Document successfully created; Document successfully merged; PDF created; !!!ERR: Failed to add merged file to folder due to Google error: No se ha podido llamar a la API drive.files.patch; error: File not found: Vega Del Codorno; Emails Sent: [To: dapera"/>
    <m/>
  </r>
  <r>
    <x v="0"/>
    <s v="Castilla-La Mancha"/>
    <x v="19"/>
    <x v="5"/>
    <s v="San Agustín"/>
    <s v="gs.sanagustin@scoutsdemadrid.org "/>
    <d v="2019-06-24T00:00:00"/>
    <d v="2019-06-28T00:00:00"/>
    <x v="97"/>
    <x v="115"/>
    <s v="desconocido"/>
    <s v="desconocido"/>
    <s v="Alberto Quilez"/>
    <n v="605897209"/>
    <s v="alberguetejadillos@gmail.com"/>
    <s v="24 € persona /dia"/>
    <s v="2 ha"/>
    <s v="BUENO (Se puede acceder con cualquier coche)"/>
    <s v="Sí"/>
    <s v="100 metros"/>
    <s v="rio escabas fresco y con aguas cristalinas"/>
    <s v="si ,zona de acampada y albergue con ducha comedor salas"/>
    <s v="si hay mucha madera cerca  gratis"/>
    <s v="Instalaciones nuevas , lugar con mucho bosque , y ríos cercano"/>
    <s v="No"/>
    <s v="1ze4bDsR1oIz99k6FawRgaJ5XNoJCZFAx"/>
    <s v="https://drive.google.com/a/scoutsdemadrid.org/file/d/1ze4bDsR1oIz99k6FawRgaJ5XNoJCZFAx/view?usp=drivesdk"/>
    <s v="Document successfully created; Document successfully merged; PDF created; !!!ERR: Failed to add merged file to folder due to Google error: No se ha podido llamar a la API drive.files.patch; error: File not found: Poyatos; Emails Sent: [To: daperador@scout"/>
    <m/>
  </r>
  <r>
    <x v="0"/>
    <s v="Castilla-La Mancha"/>
    <x v="18"/>
    <x v="4"/>
    <s v="San Gabriel"/>
    <s v="gs.sangabriel@scoutsdemadrid.org "/>
    <d v="2018-07-20T00:00:00"/>
    <d v="2018-07-30T00:00:00"/>
    <x v="98"/>
    <x v="116"/>
    <s v="2398202WK8929N0001HO"/>
    <s v="40,672235 - -2,035936"/>
    <s v="Ayuntamiento de Poveda de la Sierra"/>
    <s v="949 23 65 16"/>
    <s v="secretaria@aytopoveda.es"/>
    <s v="2300 €/quincena"/>
    <n v="500"/>
    <s v="BUENO (Se puede acceder con cualquier coche)"/>
    <s v="Sí"/>
    <s v="500m"/>
    <s v="Río Tajo: amplio y con zonas de balsa poco profundas"/>
    <s v="Cocina, comedor, baños almacén"/>
    <s v="Sí"/>
    <s v="Está rodeada de otros campamentos del ayuntamiento. Se encuentra dentro del parque natural del alto Tajo."/>
    <m/>
    <s v="1KPHJdw7HN98l3jtI9IiqvobbunPF8zCI"/>
    <s v="https://drive.google.com/a/scoutsdemadrid.org/file/d/1KPHJdw7HN98l3jtI9IiqvobbunPF8zCI/view?usp=drivesdk"/>
    <s v="Document successfully created; Document successfully merged; PDF created; !!!ERR: Failed to add merged file to folder due to Google error: No se ha podido llamar a la API drive.files.patch; error: File not found: Poveda De La Sierra; Emails Sent: [To: dap"/>
    <m/>
  </r>
  <r>
    <x v="0"/>
    <s v="Castilla-La Mancha"/>
    <x v="18"/>
    <x v="5"/>
    <s v="Santo Domingo"/>
    <s v="gs.santodomingo@scoutsdemadrid.org "/>
    <d v="2019-07-12T00:00:00"/>
    <d v="2019-07-29T00:00:00"/>
    <x v="99"/>
    <x v="117"/>
    <s v="023"/>
    <s v="x: 601,835,126 y: 4,495,664,13"/>
    <s v="Ayuntamiento de Checa"/>
    <n v="645782663"/>
    <s v="ayuntamientocheca42gmail.com"/>
    <s v="-"/>
    <s v="5 hectareas aprox"/>
    <s v="BUENO (Se puede acceder con cualquier coche)"/>
    <s v="Sí"/>
    <s v="800m"/>
    <s v="pozas de rio"/>
    <s v="no"/>
    <s v="si"/>
    <s v="muy adecuado"/>
    <s v="Sí"/>
    <s v="1uKuuQsq02Nazt1ZADgyhe07KE1VChZjw"/>
    <s v="https://drive.google.com/a/scoutsdemadrid.org/file/d/1uKuuQsq02Nazt1ZADgyhe07KE1VChZjw/view?usp=drivesdk"/>
    <s v="Document successfully created; Document successfully merged; PDF created; !!!ERR: Failed to add merged file to folder due to Google error: No se ha podido llamar a la API drive.files.patch; error: File not found: Checa; Emails Sent: [To: daperador@scoutsd"/>
    <m/>
  </r>
  <r>
    <x v="0"/>
    <s v="Castilla-La Mancha"/>
    <x v="19"/>
    <x v="4"/>
    <s v="Tallac"/>
    <s v="gs.tallac@scoutsdemadrid.org "/>
    <d v="2018-07-01T00:00:00"/>
    <d v="2018-07-15T00:00:00"/>
    <x v="96"/>
    <x v="114"/>
    <s v="no "/>
    <s v="40.449666 - 1.955221"/>
    <s v="Camping Rio Cuervo - Alfred"/>
    <n v="639828628"/>
    <s v="no"/>
    <n v="2500"/>
    <s v="20 ha"/>
    <s v="BUENO (Se puede acceder con cualquier coche)"/>
    <s v="Sí"/>
    <s v="500 metros"/>
    <s v="Pozas muy buenas"/>
    <s v="Baños, duchas, cocina, comedor "/>
    <s v="El dueño tiene palos para construcciones"/>
    <s v="Lugar abandonado que vamos a intentar reconstruir. "/>
    <m/>
    <s v="1ZnINS0QHe7qp1RjFmOmPu5KgqwmAbafe"/>
    <s v="https://drive.google.com/a/scoutsdemadrid.org/file/d/1ZnINS0QHe7qp1RjFmOmPu5KgqwmAbafe/view?usp=drivesdk"/>
    <s v="Document successfully created; Document successfully merged; PDF created; !!!ERR: Failed to add merged file to folder due to Google error: No se ha podido llamar a la API drive.files.patch; error: File not found: Vega Del Codorno; Emails Sent: [To: dapera"/>
    <m/>
  </r>
  <r>
    <x v="0"/>
    <s v="Castilla-La Mancha"/>
    <x v="19"/>
    <x v="1"/>
    <s v="Ultreya"/>
    <s v="gs.ultreya@scoutsdemadrid.org "/>
    <d v="2016-07-02T00:00:00"/>
    <d v="2016-07-10T00:00:00"/>
    <x v="100"/>
    <x v="118"/>
    <m/>
    <s v="40°13'16.1&quot;N 1°58'31.4&quot;W"/>
    <s v="UÑAVENTURA"/>
    <m/>
    <m/>
    <m/>
    <m/>
    <m/>
    <m/>
    <m/>
    <m/>
    <m/>
    <m/>
    <m/>
    <m/>
    <s v="1zm25MfdNyWRECTHjCL4NCIZy5ZJgvyWU"/>
    <s v="https://drive.google.com/a/scoutsdemadrid.org/file/d/1zm25MfdNyWRECTHjCL4NCIZy5ZJgvyWU/view?usp=drivesdk"/>
    <s v="Document successfully created; Document successfully merged; PDF created; !!!ERR: Failed to add merged file to folder due to Google error: No se ha podido llamar a la API drive.files.patch; error: File not found: 2016; Emails Sent: [To: daperador@scoutsde"/>
    <m/>
  </r>
  <r>
    <x v="0"/>
    <s v="Cataluña"/>
    <x v="20"/>
    <x v="5"/>
    <s v="San Jorge"/>
    <s v="gs.sanjorge@scoutsdemadrid.org"/>
    <d v="2019-07-13T00:00:00"/>
    <d v="2019-07-31T00:00:00"/>
    <x v="101"/>
    <x v="119"/>
    <s v="no se"/>
    <s v="E 348609, N 4723247"/>
    <s v="Palmira Gabernet"/>
    <n v="649339377"/>
    <s v="palmiragabernet@gmail.com"/>
    <n v="2700"/>
    <s v="13 500m²"/>
    <s v="REGULAR (Se puede acceder con un coche normal con dificultad)"/>
    <s v="Sí"/>
    <s v="500 A 1000 metros"/>
    <s v="regular"/>
    <s v="WC SECO"/>
    <s v="si"/>
    <s v="normal"/>
    <s v="Sí"/>
    <s v="1Ibs50KPK5dbv0dWqZDwuo_PN8tWisgd3"/>
    <s v="https://drive.google.com/a/scoutsdemadrid.org/file/d/1Ibs50KPK5dbv0dWqZDwuo_PN8tWisgd3/view?usp=drivesdk"/>
    <s v="Document successfully created; Document successfully merged; PDF created; !!!ERR: Failed to add merged file to folder due to Google error: No se ha podido llamar a la API drive.files.patch; error: File not found: Cerbi; Emails Sent: [To: daperador@scoutsd"/>
    <m/>
  </r>
  <r>
    <x v="0"/>
    <s v="Extremadura"/>
    <x v="21"/>
    <x v="2"/>
    <s v="Fátima"/>
    <s v="gs.fatima@scoutsdemadrid.org "/>
    <d v="2015-07-03T00:00:00"/>
    <d v="2015-07-15T00:00:00"/>
    <x v="102"/>
    <x v="120"/>
    <m/>
    <m/>
    <m/>
    <m/>
    <m/>
    <m/>
    <m/>
    <m/>
    <m/>
    <m/>
    <m/>
    <m/>
    <m/>
    <m/>
    <m/>
    <s v="1a-OZoe4GjssLR_MVQdHYcbszSbVE7eox"/>
    <s v="https://drive.google.com/a/scoutsdemadrid.org/file/d/1a-OZoe4GjssLR_MVQdHYcbszSbVE7eox/view?usp=drivesdk"/>
    <s v="Document successfully created; Document successfully merged; PDF created; !!!ERR: Failed to add merged file to folder due to Google error: No se ha podido llamar a la API drive.files.patch; error: File not found: Piornal; Emails Sent: [To: daperador@scout"/>
    <m/>
  </r>
  <r>
    <x v="0"/>
    <s v="Extremadura"/>
    <x v="21"/>
    <x v="5"/>
    <s v="Vedruna"/>
    <s v="gs.vedruna@scoutsdemadrid.org"/>
    <d v="2019-07-01T00:00:00"/>
    <d v="2019-07-14T00:00:00"/>
    <x v="102"/>
    <x v="121"/>
    <s v="10150A00300576"/>
    <s v="https://www.google.com/maps/place/Campamento+Pe%C3%B1a+Negra+Piornal+Valle+del+Jerte/@40.1198892,-5.8320074,274m/data=!3m1!1e3!4m13!1m7!3m6!1s0xd3e36f986235c13:0xed87a1ddaa04f7cb!2s10615+Piornal,+C%C3%A1ceres!3b1!8m2!3d40.1164877!4d-5.8471434!3m4!1s0xd3e3"/>
    <s v="Jorge Rojo Ramos/ Gekco Turismo activo y formacion"/>
    <n v="661093233"/>
    <s v="info@aventurajerte.es"/>
    <n v="235"/>
    <s v="15.763 m2"/>
    <s v="BUENO (Se puede acceder con cualquier coche)"/>
    <s v="Sí"/>
    <s v="Dentro del campamento"/>
    <s v="Tiene una pequeña piscina en el interior del campamento, vallado para evitar caidas"/>
    <s v="Cocina, baños, comedor techado y cerrado, dos habitaciones con literas que se usaran para guardar el material"/>
    <s v="Se desconoce"/>
    <s v="La campa no es muy grande pero si tiene zonas de sombra y zona para montar tiendas de campaña, baños separados con duchas. Ademas de una edificacion con barbacoas y fregadderos"/>
    <s v="Sí"/>
    <s v="1cuHk2Ka67O8MswD-QMTqikErNXWCNTc5"/>
    <s v="https://drive.google.com/a/scoutsdemadrid.org/file/d/1cuHk2Ka67O8MswD-QMTqikErNXWCNTc5/view?usp=drivesdk"/>
    <s v="Document successfully created; Document successfully merged; PDF created; !!!ERR: Failed to add merged file to folder due to Google error: No se ha podido llamar a la API drive.files.patch; error: File not found: Piornal; Emails Sent: [To: daperador@scout"/>
    <m/>
  </r>
  <r>
    <x v="0"/>
    <s v="Pais Vasco"/>
    <x v="22"/>
    <x v="0"/>
    <s v="San Jorge"/>
    <s v="gs.sanjorge@scoutsdemadrid.org "/>
    <d v="2017-07-15T00:00:00"/>
    <d v="2017-07-22T00:00:00"/>
    <x v="103"/>
    <x v="122"/>
    <m/>
    <m/>
    <s v="Jose Angel Ranero Santisteban"/>
    <m/>
    <m/>
    <m/>
    <m/>
    <s v="BUENO (Se puede acceder con cualquier coche)"/>
    <s v="Sí"/>
    <m/>
    <m/>
    <m/>
    <m/>
    <m/>
    <s v="Sí"/>
    <s v="18DS_1FgetB5u8yb_UX28cM0A_Vcod8le"/>
    <s v="https://drive.google.com/a/scoutsdemadrid.org/file/d/18DS_1FgetB5u8yb_UX28cM0A_Vcod8le/view?usp=drivesdk"/>
    <s v="Document successfully created; Document successfully merged; PDF created; !!!ERR: Failed to add merged file to folder due to Google error: No se ha podido llamar a la API drive.files.patch; error: File not found: Lanestosa; Emails Sent: [To: daperador@sco"/>
    <m/>
  </r>
  <r>
    <x v="0"/>
    <s v="Pais Vasco"/>
    <x v="23"/>
    <x v="3"/>
    <s v="Lince"/>
    <s v="gs.lince@scoutsdemadrid.org "/>
    <d v="2012-07-16T00:00:00"/>
    <d v="2012-07-30T00:00:00"/>
    <x v="104"/>
    <x v="123"/>
    <m/>
    <s v="https://maps.google.es/maps?q=Fontecha,+Lantar%C3%B3n&amp;hl=es&amp;ie=UTF8&amp;ll=42.738975,-3.038508&amp;spn=0.002372,0.004823&amp;sll=42.909999,-2.698387&amp;sspn=1.211015,2.469177&amp;oq=Fontecha&amp;t=h&amp;hnear=Fontecha,+Lantar%C3%B3n,+%C3%81lava,+Pa%C3%ADs+Vasco&amp;z=18"/>
    <m/>
    <m/>
    <m/>
    <m/>
    <m/>
    <m/>
    <m/>
    <m/>
    <m/>
    <m/>
    <m/>
    <m/>
    <m/>
    <s v="12nCZTnjrar6gGDtzvlJzyOxXAKIcoM3p"/>
    <s v="https://drive.google.com/a/scoutsdemadrid.org/file/d/12nCZTnjrar6gGDtzvlJzyOxXAKIcoM3p/view?usp=drivesdk"/>
    <s v="Document successfully created; Document successfully merged; PDF created; !!!ERR: Failed to add merged file to folder due to Google error: No se ha podido llamar a la API drive.files.patch; error: File not found: Lantarón; Emails Sent: [To: daperador@scou"/>
    <m/>
  </r>
  <r>
    <x v="0"/>
    <s v="Pais Vasco"/>
    <x v="23"/>
    <x v="4"/>
    <s v="Lince San Gregorio"/>
    <s v="gs.lince@scoutsdemadrid.org "/>
    <d v="2018-07-12T00:00:00"/>
    <d v="2018-07-30T00:00:00"/>
    <x v="105"/>
    <x v="124"/>
    <s v="1_20_2_302"/>
    <s v="42º 55’ 31” N 2º 54’ 31” W"/>
    <s v="Santiago Ibañez Maquinez"/>
    <s v="+34 686 27 31 45"/>
    <s v="No hay mail"/>
    <n v="500"/>
    <s v="2,8 Ha"/>
    <s v="BUENO (Se puede acceder con cualquier coche)"/>
    <s v="Sí"/>
    <s v="100 m"/>
    <s v="Rio Vadillo"/>
    <s v="No"/>
    <s v="Si"/>
    <s v="Bien situada, el rio vadillo es de cauce aceptable y el acceso al pueblo es sencillo para hacer compras"/>
    <s v="Sí"/>
    <s v="12E_BTcDpdoSQFAXifIwwqbRuxW7lz0A3"/>
    <s v="https://drive.google.com/a/scoutsdemadrid.org/file/d/12E_BTcDpdoSQFAXifIwwqbRuxW7lz0A3/view?usp=drivesdk"/>
    <s v="Document successfully created; Document successfully merged; PDF created; !!!ERR: Failed to add merged file to folder due to Google error: No se ha podido llamar a la API drive.files.patch; error: File not found: Andagoia; Emails Sent: [To: daperador@scou"/>
    <m/>
  </r>
  <r>
    <x v="0"/>
    <s v="Galicia"/>
    <x v="24"/>
    <x v="1"/>
    <s v="Águila"/>
    <s v="gs.aguila@scoutsdemadrid.org "/>
    <d v="2016-07-15T00:00:00"/>
    <d v="2016-07-30T00:00:00"/>
    <x v="106"/>
    <x v="125"/>
    <m/>
    <s v="43.136874, -7.671896"/>
    <s v=" Jesús Teijeiro"/>
    <n v="982390306"/>
    <m/>
    <s v="235 € primer hermano. Descuentos al segundo y al tercero"/>
    <m/>
    <s v="BUENO (Se puede acceder con cualquier coche)"/>
    <s v="Sí"/>
    <s v="100 Metros"/>
    <s v="Excelente. Playa de rio"/>
    <m/>
    <m/>
    <m/>
    <m/>
    <s v="1ssfJ-b0hB8n7rQQ5_8C6m-asfvAJtPS9"/>
    <s v="https://drive.google.com/a/scoutsdemadrid.org/file/d/1ssfJ-b0hB8n7rQQ5_8C6m-asfvAJtPS9/view?usp=drivesdk"/>
    <s v="Document successfully created; Document successfully merged; PDF created; !!!ERR: Failed to add merged file to folder due to Google error: No se ha podido llamar a la API drive.files.patch; error: File not found: 2016; Emails Sent: [To: daperador@scoutsde"/>
    <m/>
  </r>
  <r>
    <x v="0"/>
    <s v="Galicia"/>
    <x v="25"/>
    <x v="0"/>
    <s v="Amorós"/>
    <s v="gs.amoros@scoutsdemadrid.org "/>
    <d v="2017-07-15T00:00:00"/>
    <d v="2017-07-30T00:00:00"/>
    <x v="107"/>
    <x v="122"/>
    <m/>
    <m/>
    <s v="---"/>
    <m/>
    <m/>
    <m/>
    <m/>
    <m/>
    <m/>
    <m/>
    <m/>
    <m/>
    <m/>
    <s v="El campa que aquí se expone es el de la rama pioneros y será volante. Primero estaremos cerca de Sarria en el Proyecto O Couso. Luego nos iremos  a Santiago e iniciaremos la ruta hasta Finisterre. Los Pueblos por los que pasamos son Negreira, Vilaserio, O"/>
    <m/>
    <s v="1QIL5uMAfpPbtlprnEItyUVZ46a-OcUSa"/>
    <s v="https://drive.google.com/a/scoutsdemadrid.org/file/d/1QIL5uMAfpPbtlprnEItyUVZ46a-OcUSa/view?usp=drivesdk"/>
    <s v="Document successfully created; Document successfully merged; PDF created; !!!ERR: Failed to add merged file to folder due to Google error: No se ha podido llamar a la API drive.files.patch; error: File not found: 2017; Emails Sent: [To: daperador@scoutsde"/>
    <m/>
  </r>
  <r>
    <x v="0"/>
    <s v="Galicia"/>
    <x v="26"/>
    <x v="0"/>
    <s v="Pilar"/>
    <s v="gs.amoros@scoutsdemadrid.org "/>
    <d v="2017-07-19T00:00:00"/>
    <d v="2017-07-30T00:00:00"/>
    <x v="108"/>
    <x v="122"/>
    <m/>
    <s v="41.997361, -7.282167"/>
    <s v="Celso Dominguez López"/>
    <m/>
    <s v="alcaldia@concelloderios.com"/>
    <s v="gratuito"/>
    <s v="1 ha"/>
    <s v="BUENO (Se puede acceder con cualquier coche)"/>
    <s v="No"/>
    <s v="0m"/>
    <m/>
    <s v="no"/>
    <m/>
    <m/>
    <m/>
    <s v="1GrrkFQjNtAx1Jzw1_ojmSe7cx9ZPZYDm"/>
    <s v="https://drive.google.com/a/scoutsdemadrid.org/file/d/1GrrkFQjNtAx1Jzw1_ojmSe7cx9ZPZYDm/view?usp=drivesdk"/>
    <s v="Document successfully created; Document successfully merged; PDF created; !!!ERR: Failed to add merged file to folder due to Google error: No se ha podido llamar a la API drive.files.patch; error: File not found: Valfarto; Emails Sent: [To: daperador@scou"/>
    <m/>
  </r>
  <r>
    <x v="0"/>
    <s v="Galicia"/>
    <x v="24"/>
    <x v="1"/>
    <s v="Águila"/>
    <s v="gs.aguila@scoutsdemadrid.org "/>
    <d v="2016-07-15T00:00:00"/>
    <d v="2016-07-30T00:00:00"/>
    <x v="106"/>
    <x v="125"/>
    <m/>
    <s v="43.136874, -7.671896"/>
    <s v=" Jesús Teijeiro"/>
    <n v="982390306"/>
    <m/>
    <s v="235 € primer hermano. Descuentos al segundo y al tercero"/>
    <m/>
    <s v="BUENO (Se puede acceder con cualquier coche)"/>
    <s v="Sí"/>
    <s v="100 Metros"/>
    <s v="Excelente. Playa de rio"/>
    <m/>
    <m/>
    <m/>
    <m/>
    <s v="1_XXLzZgX-o2JaghB0oPUwWgHebliPnpy"/>
    <s v="https://drive.google.com/a/scoutsdemadrid.org/file/d/1_XXLzZgX-o2JaghB0oPUwWgHebliPnpy/view?usp=drivesdk"/>
    <s v="Document successfully created; Document successfully merged; PDF created; !!!ERR: Failed to add merged file to folder due to Google error: No se ha podido llamar a la API drive.files.patch; error: File not found: 2016; Emails Sent: [To: daperador@scoutsde"/>
    <m/>
  </r>
  <r>
    <x v="0"/>
    <s v="Galicia"/>
    <x v="26"/>
    <x v="1"/>
    <s v="Annapurna"/>
    <s v="gsannapurna@gmail.com"/>
    <d v="2016-07-16T00:00:00"/>
    <d v="2016-07-31T00:00:00"/>
    <x v="109"/>
    <x v="122"/>
    <m/>
    <m/>
    <s v="EDUARDO MARÍN"/>
    <m/>
    <m/>
    <m/>
    <m/>
    <m/>
    <m/>
    <m/>
    <m/>
    <m/>
    <m/>
    <m/>
    <m/>
    <s v="1RhWVQ44G7cBOlPVvsJg9v15ME0rYDpUg"/>
    <s v="https://drive.google.com/a/scoutsdemadrid.org/file/d/1RhWVQ44G7cBOlPVvsJg9v15ME0rYDpUg/view?usp=drivesdk"/>
    <s v="Document successfully created; Document successfully merged; PDF created; !!!ERR: Failed to add merged file to folder due to Google error: No se ha podido llamar a la API drive.files.patch; error: File not found: Orense; !!Error Sending Emails: Error al e"/>
    <m/>
  </r>
  <r>
    <x v="0"/>
    <s v="Galicia"/>
    <x v="26"/>
    <x v="1"/>
    <s v="Annapurna"/>
    <s v="gsannapurna@gmail.com"/>
    <d v="2016-07-16T00:00:00"/>
    <d v="2016-07-31T00:00:00"/>
    <x v="109"/>
    <x v="126"/>
    <m/>
    <m/>
    <s v="EDUARDO MARÍN"/>
    <m/>
    <m/>
    <m/>
    <m/>
    <m/>
    <m/>
    <m/>
    <m/>
    <m/>
    <m/>
    <m/>
    <m/>
    <s v="1HoSfnGgNRXidlRrhO6HwFwku6_xHRg_z"/>
    <s v="https://drive.google.com/a/scoutsdemadrid.org/file/d/1HoSfnGgNRXidlRrhO6HwFwku6_xHRg_z/view?usp=drivesdk"/>
    <s v="Document successfully created; Document successfully merged; PDF created; !!!ERR: Failed to add merged file to folder due to Google error: No se ha podido llamar a la API drive.files.patch; error: File not found: Orense; Emails Sent: [To: daperador@scouts"/>
    <m/>
  </r>
  <r>
    <x v="0"/>
    <s v="Galicia"/>
    <x v="26"/>
    <x v="3"/>
    <s v="Santa Ana Y San Rafael"/>
    <s v="gssantanaysanlafael@scoutsdemadrid.org  "/>
    <d v="2012-07-16T00:00:00"/>
    <d v="2012-07-30T00:00:00"/>
    <x v="110"/>
    <x v="127"/>
    <m/>
    <m/>
    <m/>
    <m/>
    <m/>
    <m/>
    <m/>
    <m/>
    <m/>
    <m/>
    <m/>
    <m/>
    <m/>
    <m/>
    <m/>
    <s v="1Lodhy1YZp7MBeqjbHhxkY3XOZkmzs2_Z"/>
    <s v="https://drive.google.com/a/scoutsdemadrid.org/file/d/1Lodhy1YZp7MBeqjbHhxkY3XOZkmzs2_Z/view?usp=drivesdk"/>
    <s v="Document successfully created; Document successfully merged; PDF created; !!!ERR: Failed to add merged file to folder due to Google error: No se ha podido llamar a la API drive.files.patch; error: File not found: 2012; Emails Sent: [To: daperador@scoutsde"/>
    <m/>
  </r>
  <r>
    <x v="0"/>
    <s v="Galicia"/>
    <x v="24"/>
    <x v="4"/>
    <s v="Santa Ana San Rafael"/>
    <s v="gssantanaysanlafael@scoutsdemadrid.org  "/>
    <d v="2018-07-14T00:00:00"/>
    <d v="2018-07-30T00:00:00"/>
    <x v="111"/>
    <x v="128"/>
    <s v="27026A003000110000ZW / 27026A001004470000ZQ / 7874280PH2477S0001MM"/>
    <s v="X 627.417,42 Y 4.747.550,49"/>
    <s v="Ayuntamiento de Láncara"/>
    <n v="982543066"/>
    <s v="sancualv@gmail.com"/>
    <s v="Gratuito"/>
    <s v="2.776 /3.216 / 32.220 m2"/>
    <s v="REGULAR (Se puede acceder con un coche normal con dificultad)"/>
    <s v="Sí"/>
    <s v="Río entre las dos fincas"/>
    <s v="Se trata de una finca utilizada como área recreativa y zona de baño, buen acceso"/>
    <s v="No "/>
    <s v="Si"/>
    <s v="Realizaremos el campamento con el Grupo Scout San Juan Rivera. El ayuntamiento nos ha cedido tres fincas para realizar el campamento."/>
    <m/>
    <s v="11WFxLJt5cYyT69r1KbBr2HW2ptfw-WQo"/>
    <s v="https://drive.google.com/a/scoutsdemadrid.org/file/d/11WFxLJt5cYyT69r1KbBr2HW2ptfw-WQo/view?usp=drivesdk"/>
    <s v="Document successfully created; Document successfully merged; PDF created; !!!ERR: Failed to add merged file to folder due to Google error: No se ha podido llamar a la API drive.files.patch; error: File not found: A Pobra De San Xiao (Láncara); Emails Sent"/>
    <m/>
  </r>
  <r>
    <x v="0"/>
    <s v="Galicia"/>
    <x v="27"/>
    <x v="5"/>
    <s v="Adhara"/>
    <s v="gs.adhara@scoutsdemadrid.org"/>
    <d v="2019-07-16T00:00:00"/>
    <d v="2019-07-30T00:00:00"/>
    <x v="112"/>
    <x v="129"/>
    <s v="xxx"/>
    <s v="+43° 29' 40.10&quot;, -8° 4' 5.26"/>
    <s v="JONÁS MARTÍN"/>
    <n v="654474999"/>
    <s v="dafogestiontiempolibre@gmail.com"/>
    <n v="3339.6"/>
    <s v="6.000 m2"/>
    <s v="BUENO (Se puede acceder con cualquier coche)"/>
    <s v="Sí"/>
    <s v="50 METROS"/>
    <s v="pequeño río"/>
    <s v="Casetas de madera para tener la cocina, baños y duchas"/>
    <s v="Sí"/>
    <s v="Terreno muy grande "/>
    <s v="Sí"/>
    <s v="1l-va1jw0T0ZgwMJvW217pOENpLQ5msK6"/>
    <s v="https://drive.google.com/a/scoutsdemadrid.org/file/d/1l-va1jw0T0ZgwMJvW217pOENpLQ5msK6/view?usp=drivesdk"/>
    <s v="Document successfully created; Document successfully merged; PDF created; !!!ERR: Failed to add merged file to folder due to Google error: No se ha podido llamar a la API drive.files.patch; error: File not found: Concello San Sadurniño; Emails Sent: [To: "/>
    <m/>
  </r>
  <r>
    <x v="0"/>
    <s v="La Rioja"/>
    <x v="28"/>
    <x v="0"/>
    <s v="Annapurna"/>
    <s v="gs.annapurna@scoutsdemadrid.org "/>
    <d v="2017-07-16T00:00:00"/>
    <d v="2017-07-31T00:00:00"/>
    <x v="113"/>
    <x v="122"/>
    <m/>
    <m/>
    <s v="Hilario Andrés López"/>
    <m/>
    <s v="reservas@alberguesdelarioja.es"/>
    <m/>
    <m/>
    <s v="BUENO (Se puede acceder con cualquier coche)"/>
    <s v="Sí"/>
    <m/>
    <m/>
    <m/>
    <m/>
    <m/>
    <m/>
    <s v="1E6FQ_vMOtr0kRnMZROt-c7r5TU4obWOQ"/>
    <s v="https://drive.google.com/a/scoutsdemadrid.org/file/d/1E6FQ_vMOtr0kRnMZROt-c7r5TU4obWOQ/view?usp=drivesdk"/>
    <s v="Document successfully created; Document successfully merged; PDF created; !!!ERR: Failed to add merged file to folder due to Google error: No se ha podido llamar a la API drive.files.patch; error: File not found: Ventrosa; Emails Sent: [To: daperador@scou"/>
    <m/>
  </r>
  <r>
    <x v="0"/>
    <s v="La Rioja"/>
    <x v="29"/>
    <x v="2"/>
    <s v="Chamberi"/>
    <s v="gs.chamberi@scoutsdemadrid.org "/>
    <d v="2015-07-01T00:00:00"/>
    <d v="2015-07-15T00:00:00"/>
    <x v="114"/>
    <x v="130"/>
    <m/>
    <m/>
    <m/>
    <m/>
    <m/>
    <m/>
    <m/>
    <m/>
    <m/>
    <m/>
    <m/>
    <m/>
    <m/>
    <m/>
    <m/>
    <s v="19IU8dJg0hG06COCR9Rxx4zbLulzR-jz7"/>
    <s v="https://drive.google.com/a/scoutsdemadrid.org/file/d/19IU8dJg0hG06COCR9Rxx4zbLulzR-jz7/view?usp=drivesdk"/>
    <s v="Document successfully created; Document successfully merged; PDF created; !!!ERR: Failed to add merged file to folder due to Google error: No se ha podido llamar a la API drive.files.patch; error: File not found: Ortigosa De Cameros; Emails Sent: [To: dap"/>
    <m/>
  </r>
  <r>
    <x v="0"/>
    <s v="Madrid, Comunidad De"/>
    <x v="30"/>
    <x v="0"/>
    <s v="Altaira"/>
    <s v="gs.altaira@scoutsdemadrid.org "/>
    <d v="2017-07-05T00:00:00"/>
    <d v="2017-07-15T00:00:00"/>
    <x v="115"/>
    <x v="131"/>
    <m/>
    <m/>
    <s v="Jose Luis"/>
    <m/>
    <m/>
    <m/>
    <m/>
    <s v="BUENO (Se puede acceder con cualquier coche)"/>
    <s v="Sí"/>
    <s v="Piscina"/>
    <s v="bien"/>
    <s v="Básicas, cocina, baños,"/>
    <s v="no"/>
    <s v="Para nuestro grupo pequeño perfecto"/>
    <s v="No"/>
    <s v="1YYTnQzK0kg3NqmW4eYVOiwftxlI_-bvc"/>
    <s v="https://drive.google.com/a/scoutsdemadrid.org/file/d/1YYTnQzK0kg3NqmW4eYVOiwftxlI_-bvc/view?usp=drivesdk"/>
    <s v="Document successfully created; Document successfully merged; PDF created; !!!ERR: Failed to add merged file to folder due to Google error: No se ha podido llamar a la API drive.files.patch; error: File not found: La Acebeda; Emails Sent: [To: daperador@sc"/>
    <m/>
  </r>
  <r>
    <x v="0"/>
    <s v="Madrid, Comunidad De"/>
    <x v="30"/>
    <x v="2"/>
    <s v="Altaira"/>
    <s v="gs.altaira@scoutsdemadrid.org "/>
    <d v="2015-07-03T00:00:00"/>
    <d v="2015-07-12T00:00:00"/>
    <x v="115"/>
    <x v="132"/>
    <m/>
    <m/>
    <m/>
    <m/>
    <m/>
    <m/>
    <m/>
    <m/>
    <m/>
    <m/>
    <m/>
    <m/>
    <m/>
    <m/>
    <m/>
    <s v="17-0Mf0OW4gTLZcv8LJ6T8N8KyEOGkTnH"/>
    <s v="https://drive.google.com/a/scoutsdemadrid.org/file/d/17-0Mf0OW4gTLZcv8LJ6T8N8KyEOGkTnH/view?usp=drivesdk"/>
    <s v="Document successfully created; Document successfully merged; PDF created; !!!ERR: Failed to add merged file to folder due to Google error: No se ha podido llamar a la API drive.files.patch; error: File not found: La Acebeda; Emails Sent: [To: daperador@sc"/>
    <m/>
  </r>
  <r>
    <x v="0"/>
    <s v="Madrid, Comunidad De"/>
    <x v="30"/>
    <x v="4"/>
    <s v="Altaira"/>
    <s v="gs.altaira@scoutsdemadrid.org "/>
    <d v="2016-07-06T00:00:00"/>
    <d v="2016-07-15T00:00:00"/>
    <x v="115"/>
    <x v="132"/>
    <m/>
    <m/>
    <m/>
    <n v="659729841"/>
    <s v="info@campinglaacebeda.com"/>
    <m/>
    <m/>
    <s v="BUENO (Se puede acceder con cualquier coche)"/>
    <s v="Sí"/>
    <s v="Piscina"/>
    <s v="piscina artificial"/>
    <s v="Cocina, baños, aseos, duchas y comedor"/>
    <s v="no"/>
    <m/>
    <s v="No"/>
    <s v="150V610FTjBvEHctdH36d2URrnfBLglT5"/>
    <s v="https://drive.google.com/a/scoutsdemadrid.org/file/d/150V610FTjBvEHctdH36d2URrnfBLglT5/view?usp=drivesdk"/>
    <s v="Document successfully created; Document successfully merged; PDF created; !!!ERR: Failed to add merged file to folder due to Google error: No se ha podido llamar a la API drive.files.patch; error: File not found: La Acebeda; Emails Sent: [To: daperador@sc"/>
    <m/>
  </r>
  <r>
    <x v="0"/>
    <s v="Madrid, Comunidad De"/>
    <x v="30"/>
    <x v="4"/>
    <s v="Altaira"/>
    <s v="gs.altaira@scoutsdemadrid.org "/>
    <d v="2018-07-05T00:00:00"/>
    <d v="2018-07-15T00:00:00"/>
    <x v="116"/>
    <x v="133"/>
    <s v="No lo sé"/>
    <s v="No lo sé"/>
    <s v="Hermano Jose Antonio"/>
    <n v="918550004"/>
    <s v="hmlosmolinos@maristasiberica.es"/>
    <s v="80 Euros"/>
    <s v="Espacios comunes compartidos"/>
    <s v="BUENO (Se puede acceder con cualquier coche)"/>
    <s v="Sí"/>
    <s v="Piscina municipal"/>
    <s v="Buena"/>
    <s v="Albergue"/>
    <s v="no"/>
    <s v="Bueno"/>
    <s v="No"/>
    <s v="1pwUwy0Czn6Lg9ZX-c9aRcZA1TbsL-eW7"/>
    <s v="https://drive.google.com/a/scoutsdemadrid.org/file/d/1pwUwy0Czn6Lg9ZX-c9aRcZA1TbsL-eW7/view?usp=drivesdk"/>
    <s v="Document successfully created; Document successfully merged; PDF created; !!!ERR: Failed to add merged file to folder due to Google error: No se ha podido llamar a la API drive.files.patch; error: File not found: Los Molinos; Emails Sent: [To: daperador@s"/>
    <m/>
  </r>
  <r>
    <x v="0"/>
    <s v="Madrid, Comunidad De"/>
    <x v="30"/>
    <x v="4"/>
    <s v="Orión"/>
    <s v="gs.orion@scoutsdemadrid.org "/>
    <d v="2018-07-17T00:00:00"/>
    <d v="2018-07-30T00:00:00"/>
    <x v="117"/>
    <x v="134"/>
    <s v="001100100VK08B0001RE"/>
    <s v="40°28'35.4&quot;N 4°06'42.8&quot;W"/>
    <s v="Asociación La Frontera"/>
    <n v="917384740"/>
    <s v="reservas@alberguelafrontera.es"/>
    <s v="60 € /pax /quincena"/>
    <s v="6 ha"/>
    <s v="BUENO (Se puede acceder con cualquier coche)"/>
    <s v="Sí"/>
    <s v="1,5 km"/>
    <s v="Piscina a 1,5 km"/>
    <s v="Cocina, comedor, aseos, wc, duchas, salas, almacén"/>
    <s v="Sí"/>
    <s v="Bien"/>
    <s v="No"/>
    <s v="1U_h5ESn-uuOiso_d-o1sX1EwMOYaICf8"/>
    <s v="https://drive.google.com/a/scoutsdemadrid.org/file/d/1U_h5ESn-uuOiso_d-o1sX1EwMOYaICf8/view?usp=drivesdk"/>
    <s v="Document successfully created; Document successfully merged; PDF created; !!!ERR: Failed to add merged file to folder due to Google error: No se ha podido llamar a la API drive.files.patch; error: File not found: Navalagamella; Emails Sent: [To: daperador"/>
    <m/>
  </r>
  <r>
    <x v="0"/>
    <s v="Madrid, Comunidad De"/>
    <x v="30"/>
    <x v="4"/>
    <s v="Calasanz Val"/>
    <s v="gs.calasanzval@scoutsdemadrid.org  "/>
    <d v="2018-07-01T00:00:00"/>
    <d v="2018-07-15T00:00:00"/>
    <x v="118"/>
    <x v="135"/>
    <s v="No lo sé"/>
    <s v="Latitud 40.142987 Longitud: -4.703189"/>
    <s v="Viriato Naturaventur S.L."/>
    <n v="618826205"/>
    <s v="info@alberguefuentefria.com"/>
    <s v="5 euros por persona por día"/>
    <s v="2 hectareas"/>
    <s v="REGULAR (Se puede acceder con un coche normal con dificultad)"/>
    <s v="Sí"/>
    <s v="1,3 km"/>
    <s v="Es una piscina municipal"/>
    <s v="Tiene albergue, cocina, baños, comedor, sala multiusos"/>
    <s v="No lo sé"/>
    <s v="Buen precio y buen trato"/>
    <s v="Sí"/>
    <s v="1o1jwSFig7UJ-rcluyJKk4pS-hHtuDV2d"/>
    <s v="https://drive.google.com/a/scoutsdemadrid.org/file/d/1o1jwSFig7UJ-rcluyJKk4pS-hHtuDV2d/view?usp=drivesdk"/>
    <s v="Document successfully created; Document successfully merged; PDF created; !!!ERR: Failed to add merged file to folder due to Google error: No se ha podido llamar a la API drive.files.patch; error: File not found: Alcalá De Henares; Emails Sent: [To: daper"/>
    <m/>
  </r>
  <r>
    <x v="0"/>
    <s v="Madrid, Comunidad De"/>
    <x v="30"/>
    <x v="5"/>
    <s v="Madre Del Rosario"/>
    <s v="gs.madredelrosario@scoutsdemadrid.org "/>
    <d v="2019-06-23T00:00:00"/>
    <d v="2019-06-28T00:00:00"/>
    <x v="117"/>
    <x v="136"/>
    <s v="-"/>
    <s v="(40.4746557, -4.1107207)"/>
    <s v="Asociación &quot;La Frontera&quot;"/>
    <s v="910642219 - 646199243"/>
    <s v="reservas@alberguelafrontera.es"/>
    <s v="Precio por persona"/>
    <n v="5"/>
    <s v="BUENO (Se puede acceder con cualquier coche)"/>
    <s v="Sí"/>
    <n v="0"/>
    <s v="WC con duchas"/>
    <s v="Si, cocina, comedor, salas."/>
    <s v="No"/>
    <s v="Albergue completo"/>
    <s v="No"/>
    <s v="1ccPg8IlMo0OeIea1D5R1u6gyi6R8AexP"/>
    <s v="https://drive.google.com/a/scoutsdemadrid.org/file/d/1ccPg8IlMo0OeIea1D5R1u6gyi6R8AexP/view?usp=drivesdk"/>
    <s v="Document successfully created; Document successfully merged; PDF created; !!!ERR: Failed to add merged file to folder due to Google error: No se ha podido llamar a la API drive.files.patch; error: File not found: Navalagamella; Emails Sent: [To: daperador"/>
    <m/>
  </r>
  <r>
    <x v="0"/>
    <s v="Madrid, Comunidad De"/>
    <x v="30"/>
    <x v="5"/>
    <s v="Altaira"/>
    <s v="gs.altaira@scoutsdemadrid.org "/>
    <d v="2019-07-04T00:00:00"/>
    <d v="2019-07-14T00:00:00"/>
    <x v="116"/>
    <x v="137"/>
    <s v="No lo se"/>
    <s v="No lo se"/>
    <s v="Maristas San José"/>
    <n v="918550004"/>
    <s v="hmlosmolinos@maristasiberica.es"/>
    <n v="10"/>
    <s v="Albergue"/>
    <s v="BUENO (Se puede acceder con cualquier coche)"/>
    <s v="Sí"/>
    <s v="2 Km"/>
    <s v="Piscina municipal"/>
    <s v="cancha baloncesto y futbol"/>
    <s v="no"/>
    <s v="Bien"/>
    <s v="No"/>
    <s v="1CefCBb_6SatXyUxHG2B2xp6mxJHmqmTW"/>
    <s v="https://drive.google.com/a/scoutsdemadrid.org/file/d/1CefCBb_6SatXyUxHG2B2xp6mxJHmqmTW/view?usp=drivesdk"/>
    <s v="Document successfully created; Document successfully merged; PDF created; !!!ERR: Failed to add merged file to folder due to Google error: No se ha podido llamar a la API drive.files.patch; error: File not found: Los Molinos; Emails Sent: [To: daperador@s"/>
    <m/>
  </r>
  <r>
    <x v="0"/>
    <s v="Madrid, Comunidad De"/>
    <x v="30"/>
    <x v="5"/>
    <s v="El Remolino"/>
    <s v="gs.elremolino@scoutsdemadrid.org "/>
    <d v="2019-08-03T00:00:00"/>
    <d v="2019-08-09T00:00:00"/>
    <x v="119"/>
    <x v="138"/>
    <s v="Lo desconozco"/>
    <s v="M 629, PK 18,200"/>
    <s v="Misión Juventud"/>
    <n v="609275172"/>
    <s v="gracianomar@gmail.com"/>
    <s v="8 a 12 € por persona y día"/>
    <n v="5000"/>
    <s v="BUENO (Se puede acceder con cualquier coche)"/>
    <s v="Sí"/>
    <s v="4 km"/>
    <s v="Buena zona de baño pero carece de sombra"/>
    <s v="2 duchas, 2 baños, una cocina equipada, salón, porche con mesas, 3 habitaciones ( una con 13 camas y 2 con 2 camas), zona de juego, un salón"/>
    <s v="No sé"/>
    <s v="La zona para jugar es amplia. Apto para grupos pequeños o acampadas de rama."/>
    <s v="No"/>
    <s v="1GO-QK0HZaa1uTu5C4eU8DpJciKnClvtl"/>
    <s v="https://drive.google.com/a/scoutsdemadrid.org/file/d/1GO-QK0HZaa1uTu5C4eU8DpJciKnClvtl/view?usp=drivesdk"/>
    <s v="Document successfully created; Document successfully merged; PDF created; !!!ERR: Failed to add merged file to folder due to Google error: No se ha podido llamar a la API drive.files.patch; error: File not found: Canencia; Emails Sent: [To: daperador@scou"/>
    <m/>
  </r>
  <r>
    <x v="0"/>
    <s v="Comunidad Valenciana"/>
    <x v="31"/>
    <x v="1"/>
    <s v="Alud"/>
    <s v="gs.alud@scoutsdemadrid.org "/>
    <d v="2016-07-16T00:00:00"/>
    <d v="2016-07-30T00:00:00"/>
    <x v="120"/>
    <x v="139"/>
    <m/>
    <m/>
    <s v="Jesús Quereda"/>
    <n v="687733692"/>
    <s v="sered8@yahoo.es"/>
    <m/>
    <m/>
    <s v="BUENO (Se puede acceder con cualquier coche)"/>
    <s v="Sí"/>
    <s v="50 m"/>
    <s v="Piscina "/>
    <s v="Piscina, comedor cubierto, cocina, baños (aseos y duchas)"/>
    <m/>
    <s v="Instalaciones muy completas, nos han preparado la zona de acampada bastante  bien"/>
    <m/>
    <s v="1WlxYPmP8Scx0RNNcXpuitSK8OrsxteIs"/>
    <s v="https://drive.google.com/a/scoutsdemadrid.org/file/d/1WlxYPmP8Scx0RNNcXpuitSK8OrsxteIs/view?usp=drivesdk"/>
    <s v="Document successfully created; Document successfully merged; PDF created; !!!ERR: Failed to add merged file to folder due to Google error: No se ha podido llamar a la API drive.files.patch; error: File not found: Lénova; Emails Sent: [To: daperador@scouts"/>
    <m/>
  </r>
  <r>
    <x v="0"/>
    <s v="Comunidad Valenciana"/>
    <x v="31"/>
    <x v="2"/>
    <s v="San Pedro"/>
    <s v="gs.sanpedro@scoutsdemadrid.org  "/>
    <d v="2015-07-17T00:00:00"/>
    <d v="2015-07-31T00:00:00"/>
    <x v="121"/>
    <x v="140"/>
    <m/>
    <s v="39°42'07.6&quot;N 0°28'08.7&quot;W"/>
    <m/>
    <m/>
    <m/>
    <m/>
    <m/>
    <m/>
    <m/>
    <m/>
    <m/>
    <m/>
    <m/>
    <m/>
    <m/>
    <s v="1Zfpo2Vh19V1hanQ_YRjFcZbMWoGlQYJQ"/>
    <s v="https://drive.google.com/a/scoutsdemadrid.org/file/d/1Zfpo2Vh19V1hanQ_YRjFcZbMWoGlQYJQ/view?usp=drivesdk"/>
    <s v="Document successfully created; Document successfully merged; PDF created; !!!ERR: Failed to add merged file to folder due to Google error: No se ha podido llamar a la API drive.files.patch; error: File not found: Bétera; Emails Sent: [To: daperador@scouts"/>
    <m/>
  </r>
  <r>
    <x v="0"/>
    <s v="Comunidad Valenciana"/>
    <x v="31"/>
    <x v="2"/>
    <s v="Tallac"/>
    <s v="gs.tallac@scoutsdemadrid.org "/>
    <d v="2015-07-01T00:00:00"/>
    <d v="2015-07-15T00:00:00"/>
    <x v="122"/>
    <x v="141"/>
    <m/>
    <s v="x = 654329  y = 4420945 "/>
    <m/>
    <m/>
    <m/>
    <m/>
    <m/>
    <m/>
    <m/>
    <m/>
    <m/>
    <m/>
    <m/>
    <m/>
    <m/>
    <s v="1GabpH3SG49gdTaL9LrC-DyxuZvWpd1zW"/>
    <s v="https://drive.google.com/a/scoutsdemadrid.org/file/d/1GabpH3SG49gdTaL9LrC-DyxuZvWpd1zW/view?usp=drivesdk"/>
    <s v="Document successfully created; Document successfully merged; PDF created; !!!ERR: Failed to add merged file to folder due to Google error: No se ha podido llamar a la API drive.files.patch; error: File not found: Aras De Los Olmos; Emails Sent: [To: daper"/>
    <m/>
  </r>
  <r>
    <x v="0"/>
    <s v="Comunidad Valenciana"/>
    <x v="31"/>
    <x v="2"/>
    <s v="Tallac"/>
    <s v="gs.tallac@scoutsdemadrid.org "/>
    <d v="2015-07-01T00:00:00"/>
    <d v="2015-07-15T00:00:00"/>
    <x v="122"/>
    <x v="141"/>
    <m/>
    <m/>
    <m/>
    <m/>
    <m/>
    <m/>
    <m/>
    <m/>
    <m/>
    <m/>
    <m/>
    <m/>
    <m/>
    <m/>
    <m/>
    <s v="132w_CEExrfeh6QJCYteL2FpMFrsfrraH"/>
    <s v="https://drive.google.com/a/scoutsdemadrid.org/file/d/132w_CEExrfeh6QJCYteL2FpMFrsfrraH/view?usp=drivesdk"/>
    <s v="Document successfully created; Document successfully merged; PDF created; !!!ERR: Failed to add merged file to folder due to Google error: No se ha podido llamar a la API drive.files.patch; error: File not found: Aras De Los Olmos; Emails Sent: [To: daper"/>
    <m/>
  </r>
  <r>
    <x v="0"/>
    <s v="Fuera de España"/>
    <x v="32"/>
    <x v="1"/>
    <s v="Adhara"/>
    <s v="gs.adhara@scoutsdemadrid.org "/>
    <d v="2016-07-16T00:00:00"/>
    <d v="2016-07-30T00:00:00"/>
    <x v="123"/>
    <x v="122"/>
    <m/>
    <m/>
    <s v="Centro Nacional de Formaçao Ambiental Sao Jacinto (National Environmental Training Centre)"/>
    <m/>
    <m/>
    <m/>
    <m/>
    <s v="BUENO (Se puede acceder con cualquier coche)"/>
    <s v="Sí"/>
    <s v="50 metros"/>
    <m/>
    <s v="Cocina, baños, sala talleres"/>
    <s v="Nos la dan ellos"/>
    <m/>
    <m/>
    <s v="1paUmV8zBkosBZ0xH9DxwEpLUgatRO7k0"/>
    <s v="https://drive.google.com/a/scoutsdemadrid.org/file/d/1paUmV8zBkosBZ0xH9DxwEpLUgatRO7k0/view?usp=drivesdk"/>
    <s v="Document successfully created; Document successfully merged; PDF created; !!!ERR: Failed to add merged file to folder due to Google error: No se ha podido llamar a la API drive.files.patch; error: File not found: São Jacinto; Emails Sent: [To: daperador@s"/>
    <m/>
  </r>
  <r>
    <x v="0"/>
    <s v="Fuera de España"/>
    <x v="32"/>
    <x v="0"/>
    <s v="Agrupación Ruta"/>
    <s v="gs.agrupaci@scoutsdemadrid.org "/>
    <d v="2017-09-01T00:00:00"/>
    <d v="2017-09-10T00:00:00"/>
    <x v="124"/>
    <x v="122"/>
    <m/>
    <m/>
    <s v="Campamento itinerante, no hay persona propietaria "/>
    <m/>
    <m/>
    <m/>
    <m/>
    <m/>
    <m/>
    <m/>
    <m/>
    <m/>
    <m/>
    <m/>
    <m/>
    <s v="1XA_0_OdOMgMB5XPcpz2qopbtHqDs3Wux"/>
    <s v="https://drive.google.com/a/scoutsdemadrid.org/file/d/1XA_0_OdOMgMB5XPcpz2qopbtHqDs3Wux/view?usp=drivesdk"/>
    <s v="Document successfully created; Document successfully merged; PDF created; !!!ERR: Failed to add merged file to folder due to Google error: No se ha podido llamar a la API drive.files.patch; error: File not found: Camino De Santiago: Oporto; Emails Sent: ["/>
    <m/>
  </r>
  <r>
    <x v="0"/>
    <s v="Fuera de España"/>
    <x v="32"/>
    <x v="1"/>
    <s v="Encuentro"/>
    <s v="gs.encuentro@scoutsdemadrid.org "/>
    <d v="2016-06-27T00:00:00"/>
    <d v="2016-07-10T00:00:00"/>
    <x v="125"/>
    <x v="142"/>
    <s v="-"/>
    <s v="40.776703, -8.692361"/>
    <s v="João Pilré (coordinador del grupo)"/>
    <n v="351925114783"/>
    <s v="-"/>
    <s v="-"/>
    <s v="1 ha albergue, 20 ha alrededor"/>
    <s v="BUENO (Se puede acceder con cualquier coche)"/>
    <s v="Sí"/>
    <s v="20m2"/>
    <s v="Baños con wc y duchas, son instalaciones"/>
    <s v="Sí, baños, cocina y albergue"/>
    <s v="Sí"/>
    <s v="En general el albergue está muy bien, la zona donde pueden ir las tiendas es pequeña (dentro del recinto del albergue) pero alrededor es todo campo."/>
    <m/>
    <s v="1wO-N4g0eCnWck8aGdUuVr_crnSL0mQgJ"/>
    <s v="https://drive.google.com/a/scoutsdemadrid.org/file/d/1wO-N4g0eCnWck8aGdUuVr_crnSL0mQgJ/view?usp=drivesdk"/>
    <s v="Document successfully created; Document successfully merged; PDF created; !!!ERR: Failed to add merged file to folder due to Google error: No se ha podido llamar a la API drive.files.patch; error: File not found: Torreira - Aveiro; Emails Sent: [To: daper"/>
    <m/>
  </r>
  <r>
    <x v="0"/>
    <s v="Fuera de España"/>
    <x v="32"/>
    <x v="1"/>
    <s v="Santa Ana San Rafael"/>
    <s v="gs.santanaysanrafael@scoutsdemadrid.org "/>
    <d v="2016-07-13T00:00:00"/>
    <d v="2016-07-30T00:00:00"/>
    <x v="126"/>
    <x v="143"/>
    <m/>
    <m/>
    <s v="Artur Osório"/>
    <m/>
    <m/>
    <m/>
    <m/>
    <s v="REGULAR (Se puede acceder con un coche normal con dificultad)"/>
    <s v="Sí"/>
    <s v="8 metros"/>
    <s v="Tenemos un río al lado  a una altura inferior, es fácil acceder a él dando un rodeo por la zona."/>
    <s v="No"/>
    <s v="Si"/>
    <s v="Hubo un incendio hace unos años y se cargó muchos árboles y dejo el suelo muy sucio."/>
    <m/>
    <s v="1zddvLbCBLTUUltRic1a6LcOYf9js0dz2"/>
    <s v="https://drive.google.com/a/scoutsdemadrid.org/file/d/1zddvLbCBLTUUltRic1a6LcOYf9js0dz2/view?usp=drivesdk"/>
    <s v="Document successfully created; Document successfully merged; PDF created; !!!ERR: Failed to add merged file to folder due to Google error: No se ha podido llamar a la API drive.files.patch; error: File not found: Viseu; Emails Sent: [To: daperador@scoutsd"/>
    <m/>
  </r>
  <r>
    <x v="0"/>
    <s v="Fuera de España"/>
    <x v="32"/>
    <x v="0"/>
    <s v="Tallac"/>
    <s v="gs.tallac@scoutsdemadrid.org "/>
    <d v="2017-07-01T00:00:00"/>
    <d v="2017-07-15T00:00:00"/>
    <x v="127"/>
    <x v="144"/>
    <m/>
    <m/>
    <s v="Jose Carlos Santos "/>
    <m/>
    <m/>
    <m/>
    <m/>
    <s v="BUENO (Se puede acceder con cualquier coche)"/>
    <s v="Sí"/>
    <s v="100 metros"/>
    <s v="Oceáno "/>
    <s v="Baño, cocina y comedor"/>
    <m/>
    <m/>
    <m/>
    <s v="1ahH-NsfArBwMzGdcT4Ul6xp6EQyMDjWa"/>
    <s v="https://drive.google.com/a/scoutsdemadrid.org/file/d/1ahH-NsfArBwMzGdcT4Ul6xp6EQyMDjWa/view?usp=drivesdk"/>
    <s v="Document successfully created; Document successfully merged; PDF created; !!!ERR: Failed to add merged file to folder due to Google error: No se ha podido llamar a la API drive.files.patch; error: File not found: Sao Jacinto; Emails Sent: [To: daperador@s"/>
    <m/>
  </r>
  <r>
    <x v="0"/>
    <s v="Fuera de España"/>
    <x v="32"/>
    <x v="1"/>
    <s v="Vedruna"/>
    <s v="gs.verdruna@scoutsdemadrid.org "/>
    <d v="2016-07-16T00:00:00"/>
    <d v="2016-07-30T00:00:00"/>
    <x v="128"/>
    <x v="145"/>
    <m/>
    <s v="38º39'1.00ºN 9º14'23.00ºW"/>
    <s v="Escoteiros de Portugal"/>
    <s v="00351 21 363 93 39"/>
    <s v="geral@escoteiros.pt"/>
    <s v="3€ pers./día"/>
    <m/>
    <s v="BUENO (Se puede acceder con cualquier coche)"/>
    <s v="Sí"/>
    <s v="150m"/>
    <s v="Playa"/>
    <s v="Cocinas, comedores, baños, lavabos, zona para hacer fuego, dormitorios, salas, almacenes"/>
    <s v="El campamento proporciona madera para utilizar en las construcciones"/>
    <s v="Campa compartida. Tiene capacidad para 800 personas"/>
    <m/>
    <s v="1iPs9KdCR4ynYHaMcZCYpjCd7QSTPbjiP"/>
    <s v="https://drive.google.com/a/scoutsdemadrid.org/file/d/1iPs9KdCR4ynYHaMcZCYpjCd7QSTPbjiP/view?usp=drivesdk"/>
    <s v="Document successfully created; Document successfully merged; PDF created; !!!ERR: Failed to add merged file to folder due to Google error: No se ha podido llamar a la API drive.files.patch; error: File not found: Costa De Caparica; Emails Sent: [To: daper"/>
    <m/>
  </r>
  <r>
    <x v="0"/>
    <s v="Fuera de España"/>
    <x v="32"/>
    <x v="2"/>
    <s v="Annapurna"/>
    <s v="gs.anapurna@scoutsdemadrid.org "/>
    <d v="2015-07-15T00:00:00"/>
    <d v="2015-07-30T00:00:00"/>
    <x v="129"/>
    <x v="146"/>
    <m/>
    <m/>
    <m/>
    <m/>
    <m/>
    <m/>
    <m/>
    <m/>
    <m/>
    <m/>
    <m/>
    <m/>
    <m/>
    <m/>
    <m/>
    <s v="1gtv6cUXXWI46u6MF3VGTfVG24lQe0L9y"/>
    <s v="https://drive.google.com/a/scoutsdemadrid.org/file/d/1gtv6cUXXWI46u6MF3VGTfVG24lQe0L9y/view?usp=drivesdk"/>
    <s v="Document successfully created; Document successfully merged; PDF created; !!!ERR: Failed to add merged file to folder due to Google error: No se ha podido llamar a la API drive.files.patch; error: File not found: 2015; Emails Sent: [To: daperador@scoutsde"/>
    <m/>
  </r>
  <r>
    <x v="0"/>
    <s v="Fuera de España"/>
    <x v="32"/>
    <x v="2"/>
    <s v="Santa Ana Y San Rafael"/>
    <s v="gs.santanaysanrafael@scoutsdemadrid.org "/>
    <d v="2015-07-16T00:00:00"/>
    <d v="2015-07-30T00:00:00"/>
    <x v="130"/>
    <x v="147"/>
    <m/>
    <s v="40º45’24.31”N   7º52’27.90”O"/>
    <m/>
    <m/>
    <m/>
    <m/>
    <m/>
    <m/>
    <m/>
    <m/>
    <m/>
    <m/>
    <m/>
    <m/>
    <m/>
    <s v="1UchMq7YpPn7yGcG0Gu-tFez54Y2OlVvW"/>
    <s v="https://drive.google.com/a/scoutsdemadrid.org/file/d/1UchMq7YpPn7yGcG0Gu-tFez54Y2OlVvW/view?usp=drivesdk"/>
    <s v="Document successfully created; Document successfully merged; PDF created; !!!ERR: Failed to add merged file to folder due to Google error: No se ha podido llamar a la API drive.files.patch; error: File not found: Viseu; Emails Sent: [To: daperador@scoutsd"/>
    <m/>
  </r>
  <r>
    <x v="0"/>
    <s v="Fuera de España"/>
    <x v="33"/>
    <x v="4"/>
    <s v="Queztal"/>
    <s v="gs.queztal@scoutsdemadrid.org "/>
    <d v="2018-07-21T00:00:00"/>
    <d v="2018-08-29T00:00:00"/>
    <x v="131"/>
    <x v="148"/>
    <s v="xxx"/>
    <s v="N 40º 45.(161+A)  W 007º 52.(969+A)"/>
    <s v="Nuno Miguel Ferreira Silva"/>
    <s v="+351 963 312 535"/>
    <s v="no tiene"/>
    <n v="0"/>
    <s v="n/s"/>
    <s v="BUENO (Se puede acceder con cualquier coche)"/>
    <s v="Sí"/>
    <s v="100 m"/>
    <s v="Río con caudal suficiente para poder disfrutar del agua y aprovechar al máximo el recurso"/>
    <s v="No"/>
    <s v="Si"/>
    <s v="Finca amplia para poder acampar con las tiendas y pabellones del grupo, teniendo río cerca para poder utilizarlo. El pueblo está a 5 minutos en coche."/>
    <m/>
    <s v="1XmtZQA4r4XFrK9DNMsuDiUhB7_wMKizu"/>
    <s v="https://drive.google.com/a/scoutsdemadrid.org/file/d/1XmtZQA4r4XFrK9DNMsuDiUhB7_wMKizu/view?usp=drivesdk"/>
    <s v="Document successfully created; Document successfully merged; PDF created; !!!ERR: Failed to add merged file to folder due to Google error: No se ha podido llamar a la API drive.files.patch; error: File not found: Sanguinhedo Da Maças; Emails Sent: [To: da"/>
    <m/>
  </r>
  <r>
    <x v="0"/>
    <s v="Fuera de España"/>
    <x v="32"/>
    <x v="5"/>
    <s v="Libertas"/>
    <s v="gs.libertas@scoutsdemadrid.org"/>
    <d v="2019-07-16T00:00:00"/>
    <d v="2019-07-30T00:00:00"/>
    <x v="132"/>
    <x v="149"/>
    <n v="0"/>
    <s v="40.668011, -8.735720"/>
    <s v="Corpo Nacional de Escutas"/>
    <s v="+35 926 561 930"/>
    <s v="info@saojacinto.cne-escutismo.pt"/>
    <s v="3 € /pax/día"/>
    <s v="Se divide en diferentes zonas de acampada, pudiendo albergar 700 personas"/>
    <s v="BUENO (Se puede acceder con cualquier coche)"/>
    <s v="Sí"/>
    <s v="100 m"/>
    <s v="Piscina municipal y playa (mar abierto)"/>
    <s v="Cuenta con cocina, baños, fregadores y capilla"/>
    <s v="En el centro proporcionan madera"/>
    <s v="Se valora positivamente el contacto con otros grupos y nacionalidades"/>
    <s v="Sí"/>
    <s v="1Mv7uuryE5n69CKJB8Z6fe-gEBnIkv7Nc"/>
    <s v="https://drive.google.com/a/scoutsdemadrid.org/file/d/1Mv7uuryE5n69CKJB8Z6fe-gEBnIkv7Nc/view?usp=drivesdk"/>
    <s v="Document successfully created; Document successfully merged; PDF created; !!!ERR: Failed to add merged file to folder due to Google error: No se ha podido llamar a la API drive.files.patch; error: File not found: Aveiro; Emails Sent: [To: daperador@scouts"/>
    <m/>
  </r>
  <r>
    <x v="0"/>
    <s v="Fuera de España"/>
    <x v="32"/>
    <x v="5"/>
    <s v="Queztal"/>
    <s v="gs.queztal@scoutsdemadrid.org "/>
    <d v="2019-08-02T00:00:00"/>
    <d v="2019-08-11T00:00:00"/>
    <x v="133"/>
    <x v="150"/>
    <s v="xxx"/>
    <s v="Centro de Interpretação do Monte do Paio"/>
    <s v="Celio"/>
    <s v="+351936409922"/>
    <s v="geral.581@escutismo.pt"/>
    <s v="1,5 € por persona"/>
    <s v="11570 m2"/>
    <s v="BUENO (Se puede acceder con cualquier coche)"/>
    <s v="Sí"/>
    <s v="2 km"/>
    <s v="Playa"/>
    <s v="Cocina, WC, duchas, zona de pabellones (comedores)"/>
    <s v="si"/>
    <s v="Zona estupenda para poder acampar, con zonas de sobras para juegos e instalaciones básicas."/>
    <s v="Sí"/>
    <s v="1ISRgM1czGfobewrNzunZsC6Wq_jFj-fX"/>
    <s v="https://drive.google.com/a/scoutsdemadrid.org/file/d/1ISRgM1czGfobewrNzunZsC6Wq_jFj-fX/view?usp=drivesdk"/>
    <s v="Document successfully created; Document successfully merged; PDF created; !!!ERR: Failed to add merged file to folder due to Google error: No se ha podido llamar a la API drive.files.patch; error: File not found: Santiago Do Cacém; Emails Sent: [To: daper"/>
    <m/>
  </r>
  <r>
    <x v="0"/>
    <s v="Fuera de España"/>
    <x v="34"/>
    <x v="5"/>
    <s v="Monte Kenya 445"/>
    <s v="gs.montekenia445@scoutsdemadrid.org "/>
    <d v="2019-08-01T00:00:00"/>
    <d v="2019-08-15T00:00:00"/>
    <x v="134"/>
    <x v="151"/>
    <s v="No tiene"/>
    <s v="GJ9C+XC Southall, Reino Unido"/>
    <s v="Phil Thorne"/>
    <s v="+44 7774 110854"/>
    <s v="philthorne@virginmedia.com"/>
    <n v="70"/>
    <s v="3000m2"/>
    <s v="BUENO (Se puede acceder con cualquier coche)"/>
    <s v="Sí"/>
    <s v="No hay"/>
    <s v="No hay"/>
    <s v="Baños, comedor, cocina, etc"/>
    <s v="No"/>
    <s v="Es genial para un grupo de hasta 75-80 personas"/>
    <s v="Sí"/>
    <s v="1G_SaI5eadyzfSVhNgLcsJ3UZPHnDBxvQ"/>
    <s v="https://drive.google.com/a/scoutsdemadrid.org/file/d/1G_SaI5eadyzfSVhNgLcsJ3UZPHnDBxvQ/view?usp=drivesdk"/>
    <s v="Document successfully created; Document successfully merged; PDF created; !!!ERR: Failed to add merged file to folder due to Google error: No se ha podido llamar a la API drive.files.patch; error: File not found: Londres Y Jambville; Emails Sent: [To: dap"/>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r>
    <x v="1"/>
    <m/>
    <x v="35"/>
    <x v="6"/>
    <m/>
    <m/>
    <m/>
    <m/>
    <x v="135"/>
    <x v="122"/>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Listado Zonas Campamento" cacheId="7" applyNumberFormats="0" applyBorderFormats="0" applyFontFormats="0" applyPatternFormats="0" applyAlignmentFormats="0" applyWidthHeightFormats="0" dataCaption="" updatedVersion="6" rowGrandTotals="0" compact="0" compactData="0">
  <location ref="A1:E167" firstHeaderRow="1" firstDataRow="1" firstDataCol="5"/>
  <pivotFields count="29">
    <pivotField name="Descarga ficha" axis="axisRow" compact="0" outline="0" multipleItemSelectionAllowed="1" showAll="0" sortType="ascending" defaultSubtotal="0">
      <items count="2">
        <item x="0"/>
        <item x="1"/>
      </items>
    </pivotField>
    <pivotField name="Comunidad Autónoma " compact="0" outline="0" multipleItemSelectionAllowed="1" showAll="0"/>
    <pivotField name="Provincia " axis="axisRow" compact="0" outline="0" multipleItemSelectionAllowed="1" showAll="0" sortType="ascending" defaultSubtotal="0">
      <items count="36">
        <item x="27"/>
        <item x="23"/>
        <item x="17"/>
        <item x="4"/>
        <item x="10"/>
        <item x="13"/>
        <item x="21"/>
        <item x="6"/>
        <item x="8"/>
        <item x="19"/>
        <item x="1"/>
        <item x="18"/>
        <item x="2"/>
        <item x="0"/>
        <item x="28"/>
        <item x="14"/>
        <item x="20"/>
        <item x="29"/>
        <item x="24"/>
        <item x="25"/>
        <item x="30"/>
        <item x="26"/>
        <item x="5"/>
        <item x="12"/>
        <item x="32"/>
        <item x="16"/>
        <item x="7"/>
        <item x="15"/>
        <item x="11"/>
        <item x="3"/>
        <item x="34"/>
        <item x="31"/>
        <item x="33"/>
        <item x="22"/>
        <item x="9"/>
        <item h="1" x="35"/>
      </items>
    </pivotField>
    <pivotField name="Año campamento" axis="axisRow" compact="0" outline="0" multipleItemSelectionAllowed="1" showAll="0" sortType="ascending">
      <items count="8">
        <item x="3"/>
        <item x="2"/>
        <item x="1"/>
        <item x="0"/>
        <item x="4"/>
        <item x="5"/>
        <item x="6"/>
        <item t="default"/>
      </items>
    </pivotField>
    <pivotField name="Grupo" compact="0" outline="0" multipleItemSelectionAllowed="1" showAll="0"/>
    <pivotField name="Contacto" compact="0" outline="0" multipleItemSelectionAllowed="1" showAll="0"/>
    <pivotField name="Fecha de inicio " compact="0" outline="0" multipleItemSelectionAllowed="1" showAll="0"/>
    <pivotField name="Fecha de finalización" compact="0" outline="0" multipleItemSelectionAllowed="1" showAll="0"/>
    <pivotField name="Población " axis="axisRow" compact="0" outline="0" multipleItemSelectionAllowed="1" showAll="0" sortType="ascending" defaultSubtotal="0">
      <items count="136">
        <item x="123"/>
        <item x="107"/>
        <item x="111"/>
        <item x="80"/>
        <item x="41"/>
        <item x="83"/>
        <item x="67"/>
        <item x="7"/>
        <item x="118"/>
        <item x="92"/>
        <item x="20"/>
        <item x="105"/>
        <item x="9"/>
        <item x="122"/>
        <item x="94"/>
        <item x="16"/>
        <item x="90"/>
        <item x="132"/>
        <item x="38"/>
        <item x="49"/>
        <item x="32"/>
        <item x="106"/>
        <item x="1"/>
        <item x="121"/>
        <item x="19"/>
        <item x="6"/>
        <item x="54"/>
        <item x="55"/>
        <item x="93"/>
        <item x="5"/>
        <item x="10"/>
        <item x="63"/>
        <item x="73"/>
        <item x="21"/>
        <item x="30"/>
        <item x="22"/>
        <item x="124"/>
        <item x="87"/>
        <item x="119"/>
        <item x="129"/>
        <item x="79"/>
        <item x="56"/>
        <item x="101"/>
        <item x="99"/>
        <item x="42"/>
        <item x="46"/>
        <item x="112"/>
        <item x="23"/>
        <item x="128"/>
        <item x="35"/>
        <item x="85"/>
        <item x="84"/>
        <item x="58"/>
        <item x="59"/>
        <item x="25"/>
        <item x="65"/>
        <item x="34"/>
        <item x="4"/>
        <item x="51"/>
        <item x="45"/>
        <item x="31"/>
        <item x="115"/>
        <item x="77"/>
        <item x="2"/>
        <item x="37"/>
        <item x="60"/>
        <item x="88"/>
        <item x="103"/>
        <item x="104"/>
        <item x="110"/>
        <item x="120"/>
        <item x="86"/>
        <item x="44"/>
        <item x="134"/>
        <item x="71"/>
        <item x="116"/>
        <item x="95"/>
        <item x="75"/>
        <item x="47"/>
        <item x="64"/>
        <item x="78"/>
        <item x="3"/>
        <item x="69"/>
        <item x="117"/>
        <item x="81"/>
        <item x="33"/>
        <item x="36"/>
        <item x="74"/>
        <item x="43"/>
        <item x="109"/>
        <item x="114"/>
        <item x="72"/>
        <item x="89"/>
        <item x="27"/>
        <item x="13"/>
        <item x="102"/>
        <item x="11"/>
        <item x="98"/>
        <item x="97"/>
        <item x="57"/>
        <item x="15"/>
        <item x="61"/>
        <item x="28"/>
        <item x="52"/>
        <item x="53"/>
        <item x="50"/>
        <item x="14"/>
        <item x="68"/>
        <item x="29"/>
        <item x="24"/>
        <item x="76"/>
        <item x="66"/>
        <item x="131"/>
        <item x="126"/>
        <item x="62"/>
        <item x="133"/>
        <item x="0"/>
        <item x="127"/>
        <item x="12"/>
        <item x="17"/>
        <item x="40"/>
        <item x="18"/>
        <item x="82"/>
        <item x="125"/>
        <item x="91"/>
        <item x="100"/>
        <item x="48"/>
        <item x="26"/>
        <item x="108"/>
        <item x="96"/>
        <item x="113"/>
        <item x="8"/>
        <item x="70"/>
        <item x="130"/>
        <item x="39"/>
        <item x="135"/>
      </items>
    </pivotField>
    <pivotField name="Nombre de la finca/zona/albergue" axis="axisRow" compact="0" outline="0" multipleItemSelectionAllowed="1" showAll="0" sortType="ascending" defaultSubtotal="0">
      <items count="152">
        <item x="91"/>
        <item x="73"/>
        <item x="16"/>
        <item x="43"/>
        <item x="96"/>
        <item x="93"/>
        <item x="56"/>
        <item x="19"/>
        <item x="118"/>
        <item x="134"/>
        <item x="135"/>
        <item x="65"/>
        <item x="137"/>
        <item x="115"/>
        <item x="133"/>
        <item x="37"/>
        <item x="27"/>
        <item x="119"/>
        <item x="6"/>
        <item x="24"/>
        <item x="51"/>
        <item x="13"/>
        <item x="5"/>
        <item x="31"/>
        <item x="3"/>
        <item x="116"/>
        <item x="136"/>
        <item x="112"/>
        <item x="113"/>
        <item x="101"/>
        <item x="90"/>
        <item x="53"/>
        <item x="82"/>
        <item x="121"/>
        <item x="81"/>
        <item x="32"/>
        <item x="25"/>
        <item x="132"/>
        <item x="45"/>
        <item x="75"/>
        <item x="131"/>
        <item x="107"/>
        <item x="114"/>
        <item x="69"/>
        <item x="58"/>
        <item x="125"/>
        <item x="150"/>
        <item x="149"/>
        <item x="144"/>
        <item x="1"/>
        <item x="7"/>
        <item x="140"/>
        <item x="67"/>
        <item x="52"/>
        <item x="129"/>
        <item x="36"/>
        <item x="99"/>
        <item x="47"/>
        <item x="123"/>
        <item x="35"/>
        <item x="20"/>
        <item x="98"/>
        <item x="66"/>
        <item x="55"/>
        <item x="126"/>
        <item x="139"/>
        <item x="110"/>
        <item x="77"/>
        <item x="109"/>
        <item x="29"/>
        <item x="28"/>
        <item x="100"/>
        <item x="10"/>
        <item x="111"/>
        <item x="54"/>
        <item x="4"/>
        <item x="142"/>
        <item x="124"/>
        <item x="138"/>
        <item x="106"/>
        <item x="104"/>
        <item x="33"/>
        <item x="34"/>
        <item x="102"/>
        <item x="63"/>
        <item x="108"/>
        <item x="42"/>
        <item x="12"/>
        <item x="70"/>
        <item x="86"/>
        <item x="49"/>
        <item x="87"/>
        <item x="94"/>
        <item x="105"/>
        <item x="88"/>
        <item x="23"/>
        <item x="30"/>
        <item x="74"/>
        <item x="44"/>
        <item x="84"/>
        <item x="130"/>
        <item x="127"/>
        <item x="22"/>
        <item x="46"/>
        <item x="64"/>
        <item x="60"/>
        <item x="38"/>
        <item x="141"/>
        <item x="85"/>
        <item x="26"/>
        <item x="97"/>
        <item x="68"/>
        <item x="83"/>
        <item x="59"/>
        <item x="72"/>
        <item x="78"/>
        <item x="92"/>
        <item x="95"/>
        <item x="143"/>
        <item x="120"/>
        <item x="145"/>
        <item x="2"/>
        <item x="9"/>
        <item x="117"/>
        <item x="80"/>
        <item x="48"/>
        <item x="39"/>
        <item x="62"/>
        <item x="71"/>
        <item x="146"/>
        <item x="15"/>
        <item x="18"/>
        <item x="57"/>
        <item x="41"/>
        <item x="14"/>
        <item x="148"/>
        <item x="147"/>
        <item x="11"/>
        <item x="61"/>
        <item x="151"/>
        <item x="17"/>
        <item x="76"/>
        <item x="89"/>
        <item x="128"/>
        <item x="50"/>
        <item x="103"/>
        <item x="21"/>
        <item x="8"/>
        <item x="79"/>
        <item x="40"/>
        <item x="0"/>
        <item x="122"/>
      </items>
    </pivotField>
    <pivotField name="Número de Catastro" compact="0" outline="0" multipleItemSelectionAllowed="1" showAll="0"/>
    <pivotField name="Coordenadas" compact="0" outline="0" multipleItemSelectionAllowed="1" showAll="0"/>
    <pivotField name="Nombre y apellidos de la persona/entidad propietaria" compact="0" outline="0" multipleItemSelectionAllowed="1" showAll="0"/>
    <pivotField name="Teléfono de contacto con la persona/entidad propietaria" compact="0" outline="0" multipleItemSelectionAllowed="1" showAll="0"/>
    <pivotField name="E-mail de la persona/entidad propietaria" compact="0" outline="0" multipleItemSelectionAllowed="1" showAll="0"/>
    <pivotField name="Canon de utilización (Precio por persona, por quincena...)" compact="0" outline="0" multipleItemSelectionAllowed="1" showAll="0"/>
    <pivotField name="Tamaño de la finca en hectáreas (ha) o metros cuadrados (m2)" compact="0" outline="0" multipleItemSelectionAllowed="1" showAll="0"/>
    <pivotField name="Calidad del acceso a la finca" compact="0" outline="0" multipleItemSelectionAllowed="1" showAll="0"/>
    <pivotField name="¿Tiene zonas de sombra?" compact="0" outline="0" multipleItemSelectionAllowed="1" showAll="0"/>
    <pivotField name="¿Distancia aproximada zona de baño ?" compact="0" outline="0" multipleItemSelectionAllowed="1" showAll="0"/>
    <pivotField name="Breve descripción/valoración zona de baño" compact="0" outline="0" multipleItemSelectionAllowed="1" showAll="0"/>
    <pivotField name="Cuenta con instalaciones ¿Cuáles?" compact="0" outline="0" multipleItemSelectionAllowed="1" showAll="0"/>
    <pivotField name="¿Se puede conseguir/comprar madera cerca?" compact="0" outline="0" multipleItemSelectionAllowed="1" showAll="0"/>
    <pivotField name="Breve valoración y otras observaciones de la campa en general" compact="0" outline="0" multipleItemSelectionAllowed="1" showAll="0"/>
    <pivotField name="Observaciones" compact="0" outline="0" multipleItemSelectionAllowed="1" showAll="0"/>
    <pivotField name="Merged Doc ID - Zonas Campamento" compact="0" outline="0" multipleItemSelectionAllowed="1" showAll="0"/>
    <pivotField name="Merged Doc URL - Zonas Campamento" compact="0" outline="0" multipleItemSelectionAllowed="1" showAll="0"/>
    <pivotField name="Document Merge Status - Zonas Campamento" compact="0" outline="0" multipleItemSelectionAllowed="1" showAll="0"/>
    <pivotField name="Link to merged Doc - Zonas Campamento" compact="0" outline="0" multipleItemSelectionAllowed="1" showAll="0"/>
  </pivotFields>
  <rowFields count="5">
    <field x="2"/>
    <field x="8"/>
    <field x="9"/>
    <field x="0"/>
    <field x="3"/>
  </rowFields>
  <rowItems count="166">
    <i>
      <x/>
      <x v="46"/>
      <x v="54"/>
      <x/>
      <x v="5"/>
    </i>
    <i>
      <x v="1"/>
      <x v="11"/>
      <x v="77"/>
      <x/>
      <x v="4"/>
    </i>
    <i r="1">
      <x v="68"/>
      <x v="58"/>
      <x/>
      <x/>
    </i>
    <i>
      <x v="2"/>
      <x v="92"/>
      <x v="41"/>
      <x/>
      <x v="2"/>
    </i>
    <i r="4">
      <x v="3"/>
    </i>
    <i>
      <x v="3"/>
      <x v="15"/>
      <x v="130"/>
      <x/>
      <x/>
    </i>
    <i r="1">
      <x v="96"/>
      <x v="137"/>
      <x/>
      <x v="2"/>
    </i>
    <i r="1">
      <x v="100"/>
      <x v="134"/>
      <x/>
      <x/>
    </i>
    <i r="1">
      <x v="106"/>
      <x v="21"/>
      <x/>
      <x v="1"/>
    </i>
    <i r="1">
      <x v="118"/>
      <x v="137"/>
      <x/>
      <x v="2"/>
    </i>
    <i r="4">
      <x v="5"/>
    </i>
    <i>
      <x v="4"/>
      <x v="19"/>
      <x v="20"/>
      <x/>
      <x/>
    </i>
    <i r="2">
      <x v="111"/>
      <x/>
      <x v="5"/>
    </i>
    <i r="1">
      <x v="20"/>
      <x v="81"/>
      <x/>
      <x/>
    </i>
    <i r="1">
      <x v="27"/>
      <x v="93"/>
      <x/>
      <x v="3"/>
    </i>
    <i r="2">
      <x v="99"/>
      <x/>
      <x v="5"/>
    </i>
    <i r="2">
      <x v="104"/>
      <x/>
      <x v="4"/>
    </i>
    <i r="4">
      <x v="5"/>
    </i>
    <i r="2">
      <x v="105"/>
      <x/>
      <x v="3"/>
    </i>
    <i r="1">
      <x v="31"/>
      <x v="88"/>
      <x/>
      <x/>
    </i>
    <i r="1">
      <x v="40"/>
      <x/>
      <x/>
      <x/>
    </i>
    <i r="1">
      <x v="51"/>
      <x v="61"/>
      <x/>
      <x v="1"/>
    </i>
    <i r="1">
      <x v="56"/>
      <x v="6"/>
      <x/>
      <x v="4"/>
    </i>
    <i r="2">
      <x v="59"/>
      <x/>
      <x v="1"/>
    </i>
    <i r="2">
      <x v="63"/>
      <x/>
      <x v="2"/>
    </i>
    <i r="2">
      <x v="74"/>
      <x/>
      <x/>
    </i>
    <i r="2">
      <x v="91"/>
      <x/>
      <x v="4"/>
    </i>
    <i r="1">
      <x v="58"/>
      <x v="31"/>
      <x/>
      <x v="5"/>
    </i>
    <i r="2">
      <x v="79"/>
      <x/>
      <x v="4"/>
    </i>
    <i r="2">
      <x v="80"/>
      <x/>
      <x v="1"/>
    </i>
    <i r="1">
      <x v="60"/>
      <x v="35"/>
      <x/>
      <x v="3"/>
    </i>
    <i r="2">
      <x v="97"/>
      <x/>
      <x v="3"/>
    </i>
    <i r="1">
      <x v="72"/>
      <x v="103"/>
      <x/>
      <x/>
    </i>
    <i r="1">
      <x v="74"/>
      <x v="124"/>
      <x/>
      <x v="4"/>
    </i>
    <i r="1">
      <x v="78"/>
      <x v="90"/>
      <x/>
      <x v="3"/>
    </i>
    <i r="1">
      <x v="79"/>
      <x v="29"/>
      <x/>
      <x v="3"/>
    </i>
    <i r="2">
      <x v="128"/>
      <x/>
      <x v="3"/>
    </i>
    <i r="1">
      <x v="80"/>
      <x v="30"/>
      <x/>
      <x v="2"/>
    </i>
    <i r="1">
      <x v="85"/>
      <x v="82"/>
      <x/>
      <x v="1"/>
    </i>
    <i r="4">
      <x v="2"/>
    </i>
    <i r="1">
      <x v="86"/>
      <x v="15"/>
      <x/>
      <x v="4"/>
    </i>
    <i r="1">
      <x v="87"/>
      <x v="112"/>
      <x/>
      <x v="3"/>
    </i>
    <i r="1">
      <x v="91"/>
      <x v="34"/>
      <x/>
      <x v="5"/>
    </i>
    <i r="1">
      <x v="114"/>
      <x v="43"/>
      <x/>
      <x v="5"/>
    </i>
    <i r="1">
      <x v="134"/>
      <x v="149"/>
      <x/>
      <x v="3"/>
    </i>
    <i>
      <x v="5"/>
      <x v="18"/>
      <x v="126"/>
      <x/>
      <x v="1"/>
    </i>
    <i r="1">
      <x v="32"/>
      <x v="32"/>
      <x/>
      <x v="4"/>
    </i>
    <i r="1">
      <x v="52"/>
      <x v="84"/>
      <x/>
      <x v="1"/>
    </i>
    <i r="1">
      <x v="103"/>
      <x v="132"/>
      <x/>
      <x v="1"/>
    </i>
    <i r="1">
      <x v="104"/>
      <x v="44"/>
      <x/>
      <x v="1"/>
    </i>
    <i r="1">
      <x v="105"/>
      <x v="53"/>
      <x/>
      <x v="1"/>
    </i>
    <i r="1">
      <x v="122"/>
      <x v="92"/>
      <x/>
      <x v="2"/>
    </i>
    <i>
      <x v="6"/>
      <x v="95"/>
      <x v="33"/>
      <x/>
      <x v="5"/>
    </i>
    <i r="2">
      <x v="119"/>
      <x/>
      <x v="1"/>
    </i>
    <i>
      <x v="7"/>
      <x v="10"/>
      <x v="7"/>
      <x/>
      <x v="2"/>
    </i>
    <i r="1">
      <x v="24"/>
      <x v="131"/>
      <x/>
      <x v="2"/>
    </i>
    <i r="1">
      <x v="35"/>
      <x v="102"/>
      <x/>
      <x v="3"/>
    </i>
    <i r="2">
      <x v="146"/>
      <x/>
      <x v="2"/>
    </i>
    <i r="1">
      <x v="47"/>
      <x v="95"/>
      <x/>
      <x v="3"/>
    </i>
    <i r="1">
      <x v="93"/>
      <x v="70"/>
      <x/>
      <x v="5"/>
    </i>
    <i r="1">
      <x v="102"/>
      <x v="69"/>
      <x/>
      <x v="5"/>
    </i>
    <i r="1">
      <x v="108"/>
      <x v="96"/>
      <x/>
      <x v="5"/>
    </i>
    <i r="1">
      <x v="109"/>
      <x v="19"/>
      <x/>
      <x v="4"/>
    </i>
    <i r="1">
      <x v="119"/>
      <x v="2"/>
      <x/>
      <x v="1"/>
    </i>
    <i r="1">
      <x v="121"/>
      <x v="109"/>
      <x/>
      <x/>
    </i>
    <i r="2">
      <x v="140"/>
      <x/>
      <x v="1"/>
    </i>
    <i r="1">
      <x v="127"/>
      <x v="16"/>
      <x/>
      <x v="5"/>
    </i>
    <i>
      <x v="8"/>
      <x v="54"/>
      <x v="36"/>
      <x/>
      <x v="2"/>
    </i>
    <i>
      <x v="9"/>
      <x v="14"/>
      <x v="27"/>
      <x/>
      <x v="1"/>
    </i>
    <i r="1">
      <x v="28"/>
      <x v="73"/>
      <x/>
      <x v="5"/>
    </i>
    <i r="1">
      <x v="98"/>
      <x v="13"/>
      <x/>
      <x v="5"/>
    </i>
    <i r="1">
      <x v="124"/>
      <x v="68"/>
      <x/>
      <x v="5"/>
    </i>
    <i r="1">
      <x v="125"/>
      <x v="8"/>
      <x/>
      <x v="2"/>
    </i>
    <i r="1">
      <x v="129"/>
      <x v="42"/>
      <x/>
      <x v="4"/>
    </i>
    <i r="4">
      <x v="5"/>
    </i>
    <i>
      <x v="10"/>
      <x v="22"/>
      <x v="49"/>
      <x/>
      <x v="3"/>
    </i>
    <i>
      <x v="11"/>
      <x v="9"/>
      <x v="66"/>
      <x/>
      <x v="5"/>
    </i>
    <i r="1">
      <x v="16"/>
      <x v="85"/>
      <x/>
      <x v="4"/>
    </i>
    <i r="1">
      <x v="43"/>
      <x v="123"/>
      <x/>
      <x v="5"/>
    </i>
    <i r="1">
      <x v="76"/>
      <x v="28"/>
      <x/>
      <x v="2"/>
    </i>
    <i r="1">
      <x v="97"/>
      <x v="25"/>
      <x/>
      <x v="4"/>
    </i>
    <i>
      <x v="12"/>
      <x v="7"/>
      <x v="50"/>
      <x/>
      <x v="3"/>
    </i>
    <i r="1">
      <x v="12"/>
      <x v="122"/>
      <x/>
      <x v="4"/>
    </i>
    <i r="1">
      <x v="25"/>
      <x v="18"/>
      <x/>
      <x v="1"/>
    </i>
    <i r="1">
      <x v="29"/>
      <x v="22"/>
      <x/>
      <x v="1"/>
    </i>
    <i r="1">
      <x v="30"/>
      <x v="72"/>
      <x/>
      <x v="4"/>
    </i>
    <i r="1">
      <x v="57"/>
      <x v="75"/>
      <x/>
      <x v="2"/>
    </i>
    <i r="1">
      <x v="63"/>
      <x v="121"/>
      <x/>
      <x v="2"/>
    </i>
    <i r="1">
      <x v="131"/>
      <x v="147"/>
      <x/>
      <x/>
    </i>
    <i>
      <x v="13"/>
      <x v="116"/>
      <x v="150"/>
      <x/>
      <x v="3"/>
    </i>
    <i>
      <x v="14"/>
      <x v="130"/>
      <x v="151"/>
      <x/>
      <x v="3"/>
    </i>
    <i>
      <x v="15"/>
      <x v="4"/>
      <x v="3"/>
      <x/>
      <x v="1"/>
    </i>
    <i r="2">
      <x v="67"/>
      <x/>
      <x/>
    </i>
    <i r="1">
      <x v="26"/>
      <x v="113"/>
      <x/>
      <x v="2"/>
    </i>
    <i r="1">
      <x v="41"/>
      <x v="138"/>
      <x/>
      <x v="4"/>
    </i>
    <i r="1">
      <x v="44"/>
      <x v="98"/>
      <x/>
      <x v="4"/>
    </i>
    <i r="1">
      <x v="45"/>
      <x v="125"/>
      <x/>
      <x v="2"/>
    </i>
    <i r="1">
      <x v="62"/>
      <x v="142"/>
      <x/>
      <x v="5"/>
    </i>
    <i r="1">
      <x v="65"/>
      <x v="62"/>
      <x/>
      <x v="4"/>
    </i>
    <i r="1">
      <x v="71"/>
      <x v="71"/>
      <x/>
      <x v="5"/>
    </i>
    <i r="1">
      <x v="88"/>
      <x v="38"/>
      <x/>
      <x v="5"/>
    </i>
    <i r="1">
      <x v="99"/>
      <x v="127"/>
      <x/>
      <x v="5"/>
    </i>
    <i r="1">
      <x v="101"/>
      <x v="52"/>
      <x/>
      <x v="1"/>
    </i>
    <i r="1">
      <x v="107"/>
      <x v="141"/>
      <x/>
      <x v="1"/>
    </i>
    <i r="1">
      <x v="126"/>
      <x v="144"/>
      <x/>
      <x v="4"/>
    </i>
    <i>
      <x v="16"/>
      <x v="42"/>
      <x v="17"/>
      <x/>
      <x v="5"/>
    </i>
    <i>
      <x v="17"/>
      <x v="90"/>
      <x v="100"/>
      <x/>
      <x v="1"/>
    </i>
    <i>
      <x v="18"/>
      <x v="2"/>
      <x v="143"/>
      <x/>
      <x v="4"/>
    </i>
    <i r="1">
      <x v="21"/>
      <x v="45"/>
      <x/>
      <x v="2"/>
    </i>
    <i>
      <x v="19"/>
      <x v="1"/>
      <x v="151"/>
      <x/>
      <x v="3"/>
    </i>
    <i>
      <x v="20"/>
      <x v="8"/>
      <x v="10"/>
      <x/>
      <x v="4"/>
    </i>
    <i r="1">
      <x v="38"/>
      <x v="78"/>
      <x/>
      <x v="5"/>
    </i>
    <i r="1">
      <x v="61"/>
      <x v="37"/>
      <x/>
      <x v="1"/>
    </i>
    <i r="4">
      <x v="4"/>
    </i>
    <i r="2">
      <x v="40"/>
      <x/>
      <x v="3"/>
    </i>
    <i r="1">
      <x v="75"/>
      <x v="12"/>
      <x/>
      <x v="5"/>
    </i>
    <i r="2">
      <x v="14"/>
      <x/>
      <x v="4"/>
    </i>
    <i r="1">
      <x v="83"/>
      <x v="9"/>
      <x/>
      <x v="4"/>
    </i>
    <i r="2">
      <x v="26"/>
      <x/>
      <x v="5"/>
    </i>
    <i>
      <x v="21"/>
      <x v="69"/>
      <x v="101"/>
      <x/>
      <x/>
    </i>
    <i r="1">
      <x v="89"/>
      <x v="64"/>
      <x/>
      <x v="2"/>
    </i>
    <i r="2">
      <x v="151"/>
      <x/>
      <x v="2"/>
    </i>
    <i r="1">
      <x v="128"/>
      <x v="151"/>
      <x/>
      <x v="3"/>
    </i>
    <i>
      <x v="22"/>
      <x v="94"/>
      <x v="87"/>
      <x/>
      <x v="2"/>
    </i>
    <i>
      <x v="23"/>
      <x v="6"/>
      <x v="39"/>
      <x/>
      <x v="4"/>
    </i>
    <i r="1">
      <x v="64"/>
      <x v="106"/>
      <x/>
      <x/>
    </i>
    <i r="1">
      <x v="110"/>
      <x v="94"/>
      <x/>
      <x v="3"/>
    </i>
    <i>
      <x v="24"/>
      <x/>
      <x v="151"/>
      <x/>
      <x v="2"/>
    </i>
    <i r="1">
      <x v="17"/>
      <x v="47"/>
      <x/>
      <x v="5"/>
    </i>
    <i r="1">
      <x v="36"/>
      <x v="151"/>
      <x/>
      <x v="3"/>
    </i>
    <i r="1">
      <x v="39"/>
      <x v="129"/>
      <x/>
      <x v="1"/>
    </i>
    <i r="1">
      <x v="48"/>
      <x v="120"/>
      <x/>
      <x v="2"/>
    </i>
    <i r="1">
      <x v="113"/>
      <x v="118"/>
      <x/>
      <x v="2"/>
    </i>
    <i r="1">
      <x v="115"/>
      <x v="46"/>
      <x/>
      <x v="5"/>
    </i>
    <i r="1">
      <x v="117"/>
      <x v="48"/>
      <x/>
      <x v="3"/>
    </i>
    <i r="1">
      <x v="123"/>
      <x v="76"/>
      <x/>
      <x v="2"/>
    </i>
    <i r="1">
      <x v="133"/>
      <x v="136"/>
      <x/>
      <x v="1"/>
    </i>
    <i>
      <x v="25"/>
      <x v="37"/>
      <x v="83"/>
      <x/>
      <x v="4"/>
    </i>
    <i r="1">
      <x v="66"/>
      <x v="145"/>
      <x/>
      <x v="5"/>
    </i>
    <i>
      <x v="26"/>
      <x v="33"/>
      <x v="60"/>
      <x/>
      <x v="2"/>
    </i>
    <i>
      <x v="27"/>
      <x v="111"/>
      <x v="1"/>
      <x/>
      <x v="2"/>
    </i>
    <i>
      <x v="28"/>
      <x v="3"/>
      <x v="4"/>
      <x/>
      <x v="4"/>
    </i>
    <i r="2">
      <x v="110"/>
      <x/>
      <x v="5"/>
    </i>
    <i r="2">
      <x v="116"/>
      <x/>
      <x/>
    </i>
    <i r="1">
      <x v="5"/>
      <x v="117"/>
      <x/>
      <x v="3"/>
    </i>
    <i r="1">
      <x v="49"/>
      <x v="55"/>
      <x/>
      <x v="3"/>
    </i>
    <i r="2">
      <x v="133"/>
      <x/>
      <x v="2"/>
    </i>
    <i r="4">
      <x v="3"/>
    </i>
    <i r="1">
      <x v="50"/>
      <x v="56"/>
      <x/>
      <x/>
    </i>
    <i r="1">
      <x v="59"/>
      <x v="57"/>
      <x/>
      <x v="2"/>
    </i>
    <i r="1">
      <x v="84"/>
      <x v="5"/>
      <x/>
      <x v="1"/>
    </i>
    <i r="1">
      <x v="120"/>
      <x v="86"/>
      <x/>
      <x v="4"/>
    </i>
    <i r="1">
      <x v="132"/>
      <x v="148"/>
      <x/>
      <x v="2"/>
    </i>
    <i>
      <x v="29"/>
      <x v="81"/>
      <x v="24"/>
      <x/>
      <x v="2"/>
    </i>
    <i>
      <x v="30"/>
      <x v="73"/>
      <x v="139"/>
      <x/>
      <x v="5"/>
    </i>
    <i>
      <x v="31"/>
      <x v="13"/>
      <x v="107"/>
      <x/>
      <x v="1"/>
    </i>
    <i r="1">
      <x v="23"/>
      <x v="51"/>
      <x/>
      <x v="1"/>
    </i>
    <i r="1">
      <x v="70"/>
      <x v="65"/>
      <x/>
      <x v="2"/>
    </i>
    <i>
      <x v="32"/>
      <x v="112"/>
      <x v="135"/>
      <x/>
      <x v="4"/>
    </i>
    <i>
      <x v="33"/>
      <x v="67"/>
      <x v="151"/>
      <x/>
      <x v="3"/>
    </i>
    <i>
      <x v="34"/>
      <x v="34"/>
      <x v="23"/>
      <x/>
      <x v="1"/>
    </i>
    <i r="1">
      <x v="53"/>
      <x v="11"/>
      <x/>
      <x v="3"/>
    </i>
    <i r="1">
      <x v="55"/>
      <x v="114"/>
      <x/>
      <x v="1"/>
    </i>
    <i r="1">
      <x v="77"/>
      <x v="89"/>
      <x/>
      <x v="2"/>
    </i>
    <i r="2">
      <x v="108"/>
      <x/>
      <x v="2"/>
    </i>
    <i r="1">
      <x v="82"/>
      <x v="115"/>
      <x/>
      <x v="1"/>
    </i>
  </rowItems>
  <colItems count="1">
    <i/>
  </colItem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drive.google.com/a/scoutsdemadrid.org/file/d/1MGvaM1coCXwAyIx7OGOPNBriHRXOrMXP/view?usp=drivesdk" TargetMode="External"/><Relationship Id="rId21" Type="http://schemas.openxmlformats.org/officeDocument/2006/relationships/hyperlink" Target="https://drive.google.com/a/scoutsdemadrid.org/file/d/18s40oVz9hCTc0BNsfN6rgp1n_0gW44MT/view?usp=drivesdk" TargetMode="External"/><Relationship Id="rId42" Type="http://schemas.openxmlformats.org/officeDocument/2006/relationships/hyperlink" Target="https://drive.google.com/a/scoutsdemadrid.org/file/d/12x0nCSKTumNI2BtROWoC2xUdWSLYcFbY/view?usp=drivesdk" TargetMode="External"/><Relationship Id="rId47" Type="http://schemas.openxmlformats.org/officeDocument/2006/relationships/hyperlink" Target="https://drive.google.com/a/scoutsdemadrid.org/file/d/16NXj3xyuWAuUCBKeUXGLDBXLxVyBRV7e/view?usp=drivesdk" TargetMode="External"/><Relationship Id="rId63" Type="http://schemas.openxmlformats.org/officeDocument/2006/relationships/hyperlink" Target="https://drive.google.com/a/scoutsdemadrid.org/file/d/1YiHHiEjoUq5aYLs7h49cil7-oUJcmDXc/view?usp=drivesdk" TargetMode="External"/><Relationship Id="rId68" Type="http://schemas.openxmlformats.org/officeDocument/2006/relationships/hyperlink" Target="https://drive.google.com/a/scoutsdemadrid.org/file/d/1l9aoKJ5zV8G4iikrK1po2SYLRKG2Mp4G/view?usp=drivesdk" TargetMode="External"/><Relationship Id="rId84" Type="http://schemas.openxmlformats.org/officeDocument/2006/relationships/hyperlink" Target="https://drive.google.com/a/scoutsdemadrid.org/file/d/1j5LR0nDOSDRx47nn19c2QVZWDGzvpW8_/view?usp=drivesdk" TargetMode="External"/><Relationship Id="rId89" Type="http://schemas.openxmlformats.org/officeDocument/2006/relationships/hyperlink" Target="http://goo.gl/maps/I4zW" TargetMode="External"/><Relationship Id="rId112" Type="http://schemas.openxmlformats.org/officeDocument/2006/relationships/hyperlink" Target="https://drive.google.com/a/scoutsdemadrid.org/file/d/16JjFIr5h3o_1gv0VJtZM6aNmJrv2XaAY/view?usp=drivesdk" TargetMode="External"/><Relationship Id="rId133" Type="http://schemas.openxmlformats.org/officeDocument/2006/relationships/hyperlink" Target="https://drive.google.com/a/scoutsdemadrid.org/file/d/1bHhZ8xcHSprKNsoTHwmNYvlxBdVNB0xb/view?usp=drivesdk" TargetMode="External"/><Relationship Id="rId138" Type="http://schemas.openxmlformats.org/officeDocument/2006/relationships/hyperlink" Target="https://drive.google.com/a/scoutsdemadrid.org/file/d/176wpzKDI5MSbLza6RbCpPLGiW_NA_1U0/view?usp=drivesdk" TargetMode="External"/><Relationship Id="rId154" Type="http://schemas.openxmlformats.org/officeDocument/2006/relationships/hyperlink" Target="https://www.google.com/maps/place/Campamento+Pe%C3%B1a+Negra+Piornal+Valle+del+Jerte/@40.1198892,-5.8320074,274m/data=!3m1!1e3!4m13!1m7!3m6!1s0xd3e36f986235c13:0xed87a1ddaa04f7cb!2s10615+Piornal,+C%C3%A1ceres!3b1!8m2!3d40.1164877!4d-5.8471434!3m4!1s0xd3e37317e7923b9:0x56703321a10940d0!8m2!3d40.1199673!4d-5.8311908" TargetMode="External"/><Relationship Id="rId159" Type="http://schemas.openxmlformats.org/officeDocument/2006/relationships/hyperlink" Target="https://drive.google.com/a/scoutsdemadrid.org/file/d/12E_BTcDpdoSQFAXifIwwqbRuxW7lz0A3/view?usp=drivesdk" TargetMode="External"/><Relationship Id="rId175" Type="http://schemas.openxmlformats.org/officeDocument/2006/relationships/hyperlink" Target="https://drive.google.com/a/scoutsdemadrid.org/file/d/1U_h5ESn-uuOiso_d-o1sX1EwMOYaICf8/view?usp=drivesdk" TargetMode="External"/><Relationship Id="rId170" Type="http://schemas.openxmlformats.org/officeDocument/2006/relationships/hyperlink" Target="https://drive.google.com/a/scoutsdemadrid.org/file/d/19IU8dJg0hG06COCR9Rxx4zbLulzR-jz7/view?usp=drivesdk" TargetMode="External"/><Relationship Id="rId191" Type="http://schemas.openxmlformats.org/officeDocument/2006/relationships/hyperlink" Target="https://drive.google.com/a/scoutsdemadrid.org/file/d/1UchMq7YpPn7yGcG0Gu-tFez54Y2OlVvW/view?usp=drivesdk" TargetMode="External"/><Relationship Id="rId16" Type="http://schemas.openxmlformats.org/officeDocument/2006/relationships/hyperlink" Target="https://drive.google.com/a/scoutsdemadrid.org/file/d/1EQDhT9S-i3IxtNY3sTl2dpzYDuHT7iR3/view?usp=drivesdk" TargetMode="External"/><Relationship Id="rId107" Type="http://schemas.openxmlformats.org/officeDocument/2006/relationships/hyperlink" Target="https://drive.google.com/a/scoutsdemadrid.org/file/d/1SX08W-o4RBdsFMMuBCUykFK52BPKCw_X/view?usp=drivesdk" TargetMode="External"/><Relationship Id="rId11" Type="http://schemas.openxmlformats.org/officeDocument/2006/relationships/hyperlink" Target="https://drive.google.com/a/scoutsdemadrid.org/file/d/1woSmpWwnd8LFzWfjcH2jHw-fHMRo0-BJ/view?usp=drivesdk" TargetMode="External"/><Relationship Id="rId32" Type="http://schemas.openxmlformats.org/officeDocument/2006/relationships/hyperlink" Target="https://drive.google.com/a/scoutsdemadrid.org/file/d/1pDL0twBa4Jtr8tb8maseIfK7qO_hDYSO/view?usp=drivesdk" TargetMode="External"/><Relationship Id="rId37" Type="http://schemas.openxmlformats.org/officeDocument/2006/relationships/hyperlink" Target="https://drive.google.com/a/scoutsdemadrid.org/file/d/1gXeSU3NjA4JJZu9L5WcwQX7eWRIdMfHY/view?usp=drivesdk" TargetMode="External"/><Relationship Id="rId53" Type="http://schemas.openxmlformats.org/officeDocument/2006/relationships/hyperlink" Target="https://drive.google.com/a/scoutsdemadrid.org/file/d/1Cx18LEz88nV3SZpgUg6ph9EhNObr3RNw/view?usp=drivesdk" TargetMode="External"/><Relationship Id="rId58" Type="http://schemas.openxmlformats.org/officeDocument/2006/relationships/hyperlink" Target="https://drive.google.com/a/scoutsdemadrid.org/file/d/14JkLen43XrgHPDIsooKZAk75IjzY2w50/view?usp=drivesdk" TargetMode="External"/><Relationship Id="rId74" Type="http://schemas.openxmlformats.org/officeDocument/2006/relationships/hyperlink" Target="https://drive.google.com/a/scoutsdemadrid.org/file/d/1mJiNtDWxWk6-WxpbA3rLkFCEP56qUsTd/view?usp=drivesdk" TargetMode="External"/><Relationship Id="rId79" Type="http://schemas.openxmlformats.org/officeDocument/2006/relationships/hyperlink" Target="https://drive.google.com/a/scoutsdemadrid.org/file/d/1u-Yivag37twVKa_zYLEvgrwdMpUO59_y/view?usp=drivesdk" TargetMode="External"/><Relationship Id="rId102" Type="http://schemas.openxmlformats.org/officeDocument/2006/relationships/hyperlink" Target="https://drive.google.com/a/scoutsdemadrid.org/file/d/1YDm3VZDAk7gg5ffCMQPBrMK2oWwBjg_t/view?usp=drivesdk" TargetMode="External"/><Relationship Id="rId123" Type="http://schemas.openxmlformats.org/officeDocument/2006/relationships/hyperlink" Target="https://drive.google.com/a/scoutsdemadrid.org/file/d/101PvOZoGNSnSlEjkE7VEwbf-7zLIqOob/view?usp=drivesdk" TargetMode="External"/><Relationship Id="rId128" Type="http://schemas.openxmlformats.org/officeDocument/2006/relationships/hyperlink" Target="https://drive.google.com/a/scoutsdemadrid.org/file/d/1Bjev0iZLc2kL8d5OM5nnZCY3gJo7NqfD/view?usp=drivesdk" TargetMode="External"/><Relationship Id="rId144" Type="http://schemas.openxmlformats.org/officeDocument/2006/relationships/hyperlink" Target="https://drive.google.com/a/scoutsdemadrid.org/file/d/1CDIrdQEz-XImIlhmRuc6k8YsV6_qo92c/view?usp=drivesdk" TargetMode="External"/><Relationship Id="rId149" Type="http://schemas.openxmlformats.org/officeDocument/2006/relationships/hyperlink" Target="https://drive.google.com/a/scoutsdemadrid.org/file/d/1uKuuQsq02Nazt1ZADgyhe07KE1VChZjw/view?usp=drivesdk" TargetMode="External"/><Relationship Id="rId5" Type="http://schemas.openxmlformats.org/officeDocument/2006/relationships/hyperlink" Target="https://drive.google.com/a/scoutsdemadrid.org/file/d/1pjkAAiCj6tAvSFnF9oqH9bY3dkA8z0QH/view?usp=drivesdk" TargetMode="External"/><Relationship Id="rId90" Type="http://schemas.openxmlformats.org/officeDocument/2006/relationships/hyperlink" Target="https://drive.google.com/a/scoutsdemadrid.org/file/d/1KgWWyyjP7kks1wxs63pb-YVnDQfXfGIO/view?usp=drivesdk" TargetMode="External"/><Relationship Id="rId95" Type="http://schemas.openxmlformats.org/officeDocument/2006/relationships/hyperlink" Target="https://drive.google.com/a/scoutsdemadrid.org/file/d/17ZQcBxq5CX_b-ti0d4lcwurAygWdaZqo/view?usp=drivesdk" TargetMode="External"/><Relationship Id="rId160" Type="http://schemas.openxmlformats.org/officeDocument/2006/relationships/hyperlink" Target="https://drive.google.com/a/scoutsdemadrid.org/file/d/1ssfJ-b0hB8n7rQQ5_8C6m-asfvAJtPS9/view?usp=drivesdk" TargetMode="External"/><Relationship Id="rId165" Type="http://schemas.openxmlformats.org/officeDocument/2006/relationships/hyperlink" Target="https://drive.google.com/a/scoutsdemadrid.org/file/d/1HoSfnGgNRXidlRrhO6HwFwku6_xHRg_z/view?usp=drivesdk" TargetMode="External"/><Relationship Id="rId181" Type="http://schemas.openxmlformats.org/officeDocument/2006/relationships/hyperlink" Target="https://drive.google.com/a/scoutsdemadrid.org/file/d/1Zfpo2Vh19V1hanQ_YRjFcZbMWoGlQYJQ/view?usp=drivesdk" TargetMode="External"/><Relationship Id="rId186" Type="http://schemas.openxmlformats.org/officeDocument/2006/relationships/hyperlink" Target="https://drive.google.com/a/scoutsdemadrid.org/file/d/1wO-N4g0eCnWck8aGdUuVr_crnSL0mQgJ/view?usp=drivesdk" TargetMode="External"/><Relationship Id="rId22" Type="http://schemas.openxmlformats.org/officeDocument/2006/relationships/hyperlink" Target="https://drive.google.com/a/scoutsdemadrid.org/file/d/1Rm6r03b2Z2CEFVF8x3e2Tq9lEbPluKoV/view?usp=drivesdk" TargetMode="External"/><Relationship Id="rId27" Type="http://schemas.openxmlformats.org/officeDocument/2006/relationships/hyperlink" Target="https://drive.google.com/a/scoutsdemadrid.org/file/d/1UNk3n7fdhkzDBPpptTmC9fZFTPWZ1FUu/view?usp=drivesdk" TargetMode="External"/><Relationship Id="rId43" Type="http://schemas.openxmlformats.org/officeDocument/2006/relationships/hyperlink" Target="https://drive.google.com/a/scoutsdemadrid.org/file/d/1YK9hh0m1EDKz4C-BBHHF7n36KxnSluEi/view?usp=drivesdk" TargetMode="External"/><Relationship Id="rId48" Type="http://schemas.openxmlformats.org/officeDocument/2006/relationships/hyperlink" Target="https://drive.google.com/a/scoutsdemadrid.org/file/d/1xXRTXkJFj5BORNtH1tCe3yH0v2kMp7w2/view?usp=drivesdk" TargetMode="External"/><Relationship Id="rId64" Type="http://schemas.openxmlformats.org/officeDocument/2006/relationships/hyperlink" Target="https://drive.google.com/a/scoutsdemadrid.org/file/d/1y-5INBLE2BMZrwj4ckr7-3t_qvbypD_R/view?usp=drivesdk" TargetMode="External"/><Relationship Id="rId69" Type="http://schemas.openxmlformats.org/officeDocument/2006/relationships/hyperlink" Target="https://drive.google.com/a/scoutsdemadrid.org/file/d/1O6FvI2LTuZi5-jMRyYBnkWlUTf4ZOw01/view?usp=drivesdk" TargetMode="External"/><Relationship Id="rId113" Type="http://schemas.openxmlformats.org/officeDocument/2006/relationships/hyperlink" Target="https://drive.google.com/a/scoutsdemadrid.org/file/d/1VvucP_O55Lg44pToKwLvqBufdg1ft9rF/view?usp=drivesdk" TargetMode="External"/><Relationship Id="rId118" Type="http://schemas.openxmlformats.org/officeDocument/2006/relationships/hyperlink" Target="https://drive.google.com/a/scoutsdemadrid.org/file/d/1h_r8IGMWHVr9giinbdFRy862Q-x5TBu3/view?usp=drivesdk" TargetMode="External"/><Relationship Id="rId134" Type="http://schemas.openxmlformats.org/officeDocument/2006/relationships/hyperlink" Target="https://drive.google.com/a/scoutsdemadrid.org/file/d/1YkPMLPcZzV5YRmnIWQqRLQAW0Okxo9_u/view?usp=drivesdk" TargetMode="External"/><Relationship Id="rId139" Type="http://schemas.openxmlformats.org/officeDocument/2006/relationships/hyperlink" Target="https://drive.google.com/a/scoutsdemadrid.org/file/d/12VGeYDrdLic7O0pj_jrH8SCQU_oXv-Kc/view?usp=drivesdk" TargetMode="External"/><Relationship Id="rId80" Type="http://schemas.openxmlformats.org/officeDocument/2006/relationships/hyperlink" Target="https://drive.google.com/a/scoutsdemadrid.org/file/d/1Br8Q0mZgfBAK4cVK_rDRDTLwi3wq6f4G/view?usp=drivesdk" TargetMode="External"/><Relationship Id="rId85" Type="http://schemas.openxmlformats.org/officeDocument/2006/relationships/hyperlink" Target="https://drive.google.com/a/scoutsdemadrid.org/file/d/1dlU6orqLZHslSzm77oKC89gnYufTv3g7/view?usp=drivesdk" TargetMode="External"/><Relationship Id="rId150" Type="http://schemas.openxmlformats.org/officeDocument/2006/relationships/hyperlink" Target="https://drive.google.com/a/scoutsdemadrid.org/file/d/1ZnINS0QHe7qp1RjFmOmPu5KgqwmAbafe/view?usp=drivesdk" TargetMode="External"/><Relationship Id="rId155" Type="http://schemas.openxmlformats.org/officeDocument/2006/relationships/hyperlink" Target="https://drive.google.com/a/scoutsdemadrid.org/file/d/1cuHk2Ka67O8MswD-QMTqikErNXWCNTc5/view?usp=drivesdk" TargetMode="External"/><Relationship Id="rId171" Type="http://schemas.openxmlformats.org/officeDocument/2006/relationships/hyperlink" Target="https://drive.google.com/a/scoutsdemadrid.org/file/d/1YYTnQzK0kg3NqmW4eYVOiwftxlI_-bvc/view?usp=drivesdk" TargetMode="External"/><Relationship Id="rId176" Type="http://schemas.openxmlformats.org/officeDocument/2006/relationships/hyperlink" Target="https://drive.google.com/a/scoutsdemadrid.org/file/d/1o1jwSFig7UJ-rcluyJKk4pS-hHtuDV2d/view?usp=drivesdk" TargetMode="External"/><Relationship Id="rId192" Type="http://schemas.openxmlformats.org/officeDocument/2006/relationships/hyperlink" Target="https://drive.google.com/a/scoutsdemadrid.org/file/d/1XmtZQA4r4XFrK9DNMsuDiUhB7_wMKizu/view?usp=drivesdk" TargetMode="External"/><Relationship Id="rId12" Type="http://schemas.openxmlformats.org/officeDocument/2006/relationships/hyperlink" Target="https://drive.google.com/a/scoutsdemadrid.org/file/d/1N8Rk4THQpfXMhrAclMpAkXuhGXZp1aom/view?usp=drivesdk" TargetMode="External"/><Relationship Id="rId17" Type="http://schemas.openxmlformats.org/officeDocument/2006/relationships/hyperlink" Target="https://drive.google.com/a/scoutsdemadrid.org/file/d/1HLdvNWFMINQ9DYikdO-Q5gb6VtADi5ab/view?usp=drivesdk" TargetMode="External"/><Relationship Id="rId33" Type="http://schemas.openxmlformats.org/officeDocument/2006/relationships/hyperlink" Target="https://drive.google.com/a/scoutsdemadrid.org/file/d/11-fg7m7hjz0TwKrbtFgc4Rhs2gPMe6af/view?usp=drivesdk" TargetMode="External"/><Relationship Id="rId38" Type="http://schemas.openxmlformats.org/officeDocument/2006/relationships/hyperlink" Target="http://goo.gl/maps/qMKa" TargetMode="External"/><Relationship Id="rId59" Type="http://schemas.openxmlformats.org/officeDocument/2006/relationships/hyperlink" Target="https://drive.google.com/a/scoutsdemadrid.org/file/d/1ZoHdJYkj0YToHrdmFzNYulnhlqOAm-m7/view?usp=drivesdk" TargetMode="External"/><Relationship Id="rId103" Type="http://schemas.openxmlformats.org/officeDocument/2006/relationships/hyperlink" Target="https://drive.google.com/a/scoutsdemadrid.org/file/d/1W4wfvnQ0IX77g1W5Amotkbqwrm2DncKw/view?usp=drivesdk" TargetMode="External"/><Relationship Id="rId108" Type="http://schemas.openxmlformats.org/officeDocument/2006/relationships/hyperlink" Target="https://drive.google.com/a/scoutsdemadrid.org/file/d/1HjZcqU3CArogq-09QH1YWjztgwM7xJPk/view?usp=drivesdk" TargetMode="External"/><Relationship Id="rId124" Type="http://schemas.openxmlformats.org/officeDocument/2006/relationships/hyperlink" Target="https://drive.google.com/a/scoutsdemadrid.org/file/d/1YXXkSRX56NuJcUMx3qXZn52JOlxpermA/view?usp=drivesdk" TargetMode="External"/><Relationship Id="rId129" Type="http://schemas.openxmlformats.org/officeDocument/2006/relationships/hyperlink" Target="https://drive.google.com/a/scoutsdemadrid.org/file/d/18eQI81PnrHWA-3MOlJFoTKDkXsa_pwIp/view?usp=drivesdk" TargetMode="External"/><Relationship Id="rId54" Type="http://schemas.openxmlformats.org/officeDocument/2006/relationships/hyperlink" Target="https://drive.google.com/a/scoutsdemadrid.org/file/d/1fH3nG9YAbdSQhFsvy-zNe5MG0_2S6-Xw/view?usp=drivesdk" TargetMode="External"/><Relationship Id="rId70" Type="http://schemas.openxmlformats.org/officeDocument/2006/relationships/hyperlink" Target="https://drive.google.com/a/scoutsdemadrid.org/file/d/1umbpLbD3vqN0dKpGiVMu1Orn2R2HnCIe/view?usp=drivesdk" TargetMode="External"/><Relationship Id="rId75" Type="http://schemas.openxmlformats.org/officeDocument/2006/relationships/hyperlink" Target="https://drive.google.com/a/scoutsdemadrid.org/file/d/1tv_KnSob29tJcYAsL1w1sfuYp1bQA8MN/view?usp=drivesdk" TargetMode="External"/><Relationship Id="rId91" Type="http://schemas.openxmlformats.org/officeDocument/2006/relationships/hyperlink" Target="https://drive.google.com/a/scoutsdemadrid.org/file/d/1IxofbD9pa0WGxNedbktwV4xfQtR6zdfT/view?usp=drivesdk" TargetMode="External"/><Relationship Id="rId96" Type="http://schemas.openxmlformats.org/officeDocument/2006/relationships/hyperlink" Target="https://drive.google.com/a/scoutsdemadrid.org/file/d/1qvKRKy8DbXsvrB-WYMNKZyjSWdnr2BiM/view?usp=drivesdk" TargetMode="External"/><Relationship Id="rId140" Type="http://schemas.openxmlformats.org/officeDocument/2006/relationships/hyperlink" Target="https://drive.google.com/a/scoutsdemadrid.org/file/d/1YIccC_p-na2tPhTihwatZ4-h9lxADwx1/view?usp=drivesdk" TargetMode="External"/><Relationship Id="rId145" Type="http://schemas.openxmlformats.org/officeDocument/2006/relationships/hyperlink" Target="https://drive.google.com/a/scoutsdemadrid.org/file/d/1MgcmiBxL4U1Maw-pDpOPHwldkLWXo3km/view?usp=drivesdk" TargetMode="External"/><Relationship Id="rId161" Type="http://schemas.openxmlformats.org/officeDocument/2006/relationships/hyperlink" Target="https://drive.google.com/a/scoutsdemadrid.org/file/d/1QIL5uMAfpPbtlprnEItyUVZ46a-OcUSa/view?usp=drivesdk" TargetMode="External"/><Relationship Id="rId166" Type="http://schemas.openxmlformats.org/officeDocument/2006/relationships/hyperlink" Target="https://drive.google.com/a/scoutsdemadrid.org/file/d/1Lodhy1YZp7MBeqjbHhxkY3XOZkmzs2_Z/view?usp=drivesdk" TargetMode="External"/><Relationship Id="rId182" Type="http://schemas.openxmlformats.org/officeDocument/2006/relationships/hyperlink" Target="https://drive.google.com/a/scoutsdemadrid.org/file/d/1GabpH3SG49gdTaL9LrC-DyxuZvWpd1zW/view?usp=drivesdk" TargetMode="External"/><Relationship Id="rId187" Type="http://schemas.openxmlformats.org/officeDocument/2006/relationships/hyperlink" Target="https://drive.google.com/a/scoutsdemadrid.org/file/d/1zddvLbCBLTUUltRic1a6LcOYf9js0dz2/view?usp=drivesdk" TargetMode="External"/><Relationship Id="rId1" Type="http://schemas.openxmlformats.org/officeDocument/2006/relationships/hyperlink" Target="https://drive.google.com/a/scoutsdemadrid.org/file/d/1MuM9ug8EBGhwN-rZvCpGdzyfiTG9jrfD/view?usp=drivesdk" TargetMode="External"/><Relationship Id="rId6" Type="http://schemas.openxmlformats.org/officeDocument/2006/relationships/hyperlink" Target="https://drive.google.com/a/scoutsdemadrid.org/file/d/1UTcAT1AGEHqI66c6BJ347vllXEeOGEL-/view?usp=drivesdk" TargetMode="External"/><Relationship Id="rId23" Type="http://schemas.openxmlformats.org/officeDocument/2006/relationships/hyperlink" Target="https://drive.google.com/a/scoutsdemadrid.org/file/d/1dy9_2Cd_bMYmYr2Z4MKXCYFYNWlNYEwE/view?usp=drivesdk" TargetMode="External"/><Relationship Id="rId28" Type="http://schemas.openxmlformats.org/officeDocument/2006/relationships/hyperlink" Target="https://drive.google.com/a/scoutsdemadrid.org/file/d/1LxDPv1JuqXbnDpRMUd0Z5WTyak7I76UE/view?usp=drivesdk" TargetMode="External"/><Relationship Id="rId49" Type="http://schemas.openxmlformats.org/officeDocument/2006/relationships/hyperlink" Target="https://drive.google.com/a/scoutsdemadrid.org/file/d/1Eln7ZUf3P40TsUQIngUHjwb_OTahFNEN/view?usp=drivesdk" TargetMode="External"/><Relationship Id="rId114" Type="http://schemas.openxmlformats.org/officeDocument/2006/relationships/hyperlink" Target="https://maps.google.es/maps?q=pradera+de+los+orcos+casavieja&amp;ie=UTF-8&amp;hl=es" TargetMode="External"/><Relationship Id="rId119" Type="http://schemas.openxmlformats.org/officeDocument/2006/relationships/hyperlink" Target="https://drive.google.com/a/scoutsdemadrid.org/file/d/1fYyO5-zHZNwo7Mknout5ZFfJWrFel0N8/view?usp=drivesdk" TargetMode="External"/><Relationship Id="rId44" Type="http://schemas.openxmlformats.org/officeDocument/2006/relationships/hyperlink" Target="https://drive.google.com/a/scoutsdemadrid.org/file/d/1P0OWHwdvzlnBpWQ-q9GssfA3yfBd55vx/view?usp=drivesdk" TargetMode="External"/><Relationship Id="rId60" Type="http://schemas.openxmlformats.org/officeDocument/2006/relationships/hyperlink" Target="https://drive.google.com/a/scoutsdemadrid.org/file/d/11EiXfDDE1PxYxfeteqdDUPXN9WWBW_CB/view?usp=drivesdk" TargetMode="External"/><Relationship Id="rId65" Type="http://schemas.openxmlformats.org/officeDocument/2006/relationships/hyperlink" Target="https://drive.google.com/a/scoutsdemadrid.org/file/d/1EmJUdBE7EOyCQkBrtU2jOFIE6etcz_bI/view?usp=drivesdk" TargetMode="External"/><Relationship Id="rId81" Type="http://schemas.openxmlformats.org/officeDocument/2006/relationships/hyperlink" Target="https://drive.google.com/a/scoutsdemadrid.org/file/d/1F0RDNBNyJNiECq2HUUowiXwooceqq346/view?usp=drivesdk" TargetMode="External"/><Relationship Id="rId86" Type="http://schemas.openxmlformats.org/officeDocument/2006/relationships/hyperlink" Target="https://drive.google.com/a/scoutsdemadrid.org/file/d/1aGCmzQZFiFjr2Umv1pExrQwG1ttVMYwz/view?usp=drivesdk" TargetMode="External"/><Relationship Id="rId130" Type="http://schemas.openxmlformats.org/officeDocument/2006/relationships/hyperlink" Target="https://drive.google.com/a/scoutsdemadrid.org/file/d/1ErBUqxDi5A0VuvRQKMDTkbyt6koSITub/view?usp=drivesdk" TargetMode="External"/><Relationship Id="rId135" Type="http://schemas.openxmlformats.org/officeDocument/2006/relationships/hyperlink" Target="https://drive.google.com/a/scoutsdemadrid.org/file/d/1rQeytVCgokqJtHMN7LqcJZG7ZfX6Ge0T/view?usp=drivesdk" TargetMode="External"/><Relationship Id="rId151" Type="http://schemas.openxmlformats.org/officeDocument/2006/relationships/hyperlink" Target="https://drive.google.com/a/scoutsdemadrid.org/file/d/1zm25MfdNyWRECTHjCL4NCIZy5ZJgvyWU/view?usp=drivesdk" TargetMode="External"/><Relationship Id="rId156" Type="http://schemas.openxmlformats.org/officeDocument/2006/relationships/hyperlink" Target="https://drive.google.com/a/scoutsdemadrid.org/file/d/18DS_1FgetB5u8yb_UX28cM0A_Vcod8le/view?usp=drivesdk" TargetMode="External"/><Relationship Id="rId177" Type="http://schemas.openxmlformats.org/officeDocument/2006/relationships/hyperlink" Target="https://drive.google.com/a/scoutsdemadrid.org/file/d/1ccPg8IlMo0OeIea1D5R1u6gyi6R8AexP/view?usp=drivesdk" TargetMode="External"/><Relationship Id="rId172" Type="http://schemas.openxmlformats.org/officeDocument/2006/relationships/hyperlink" Target="https://drive.google.com/a/scoutsdemadrid.org/file/d/17-0Mf0OW4gTLZcv8LJ6T8N8KyEOGkTnH/view?usp=drivesdk" TargetMode="External"/><Relationship Id="rId193" Type="http://schemas.openxmlformats.org/officeDocument/2006/relationships/hyperlink" Target="https://drive.google.com/a/scoutsdemadrid.org/file/d/1Mv7uuryE5n69CKJB8Z6fe-gEBnIkv7Nc/view?usp=drivesdk" TargetMode="External"/><Relationship Id="rId13" Type="http://schemas.openxmlformats.org/officeDocument/2006/relationships/hyperlink" Target="https://drive.google.com/a/scoutsdemadrid.org/file/d/1TX_Wb2eONbY_TUr1zzycdYCpVAERzVvB/view?usp=drivesdk" TargetMode="External"/><Relationship Id="rId18" Type="http://schemas.openxmlformats.org/officeDocument/2006/relationships/hyperlink" Target="https://maps.google.com/maps?q=Proaza&amp;hl=en&amp;ll=43.240951,-6.01759&amp;spn=0.080533,0.181103&amp;hnear=Proaza,+Asturias,+Spain&amp;t=m&amp;z=13" TargetMode="External"/><Relationship Id="rId39" Type="http://schemas.openxmlformats.org/officeDocument/2006/relationships/hyperlink" Target="https://drive.google.com/a/scoutsdemadrid.org/file/d/15pBinMiA7ksERwnIG1aRJZLBQthga_8o/view?usp=drivesdk" TargetMode="External"/><Relationship Id="rId109" Type="http://schemas.openxmlformats.org/officeDocument/2006/relationships/hyperlink" Target="https://drive.google.com/a/scoutsdemadrid.org/file/d/1vVoooUHqWf4N38az4IoQwy1sGJvQfvEv/view?usp=drivesdk" TargetMode="External"/><Relationship Id="rId34" Type="http://schemas.openxmlformats.org/officeDocument/2006/relationships/hyperlink" Target="https://drive.google.com/a/scoutsdemadrid.org/file/d/1dfYIYZUYpbcCCldzmRJ_VKvI-JiSEmQy/view?usp=drivesdk" TargetMode="External"/><Relationship Id="rId50" Type="http://schemas.openxmlformats.org/officeDocument/2006/relationships/hyperlink" Target="https://drive.google.com/a/scoutsdemadrid.org/file/d/1hPsYUHImdbi4-ZuhFaKDv38ak8w_s7wm/view?usp=drivesdk" TargetMode="External"/><Relationship Id="rId55" Type="http://schemas.openxmlformats.org/officeDocument/2006/relationships/hyperlink" Target="https://maps.google.es/maps/ms?msid=203418343783550310345.0004c1466ed55533d522c&amp;msa=0&amp;ll=41.834462,-2.743492&amp;spn=0.02785,0.066047" TargetMode="External"/><Relationship Id="rId76" Type="http://schemas.openxmlformats.org/officeDocument/2006/relationships/hyperlink" Target="https://drive.google.com/a/scoutsdemadrid.org/file/d/1043fvGJExjMkOhKgceOI2NvNjqTNGc1i/view?usp=drivesdk" TargetMode="External"/><Relationship Id="rId97" Type="http://schemas.openxmlformats.org/officeDocument/2006/relationships/hyperlink" Target="https://drive.google.com/a/scoutsdemadrid.org/file/d/1MVddqn8iTVYw25O2WE0zja8zm1oaXAkn/view?usp=drivesdk" TargetMode="External"/><Relationship Id="rId104" Type="http://schemas.openxmlformats.org/officeDocument/2006/relationships/hyperlink" Target="https://drive.google.com/a/scoutsdemadrid.org/file/d/1Hnv4osIxcPViESTeMEkvhUiWZXrWHD6m/view?usp=drivesdk" TargetMode="External"/><Relationship Id="rId120" Type="http://schemas.openxmlformats.org/officeDocument/2006/relationships/hyperlink" Target="https://drive.google.com/a/scoutsdemadrid.org/file/d/1nQUDtfHJTZz0BynK7XihoexuBVqB-zjA/view?usp=drivesdk" TargetMode="External"/><Relationship Id="rId125" Type="http://schemas.openxmlformats.org/officeDocument/2006/relationships/hyperlink" Target="https://drive.google.com/a/scoutsdemadrid.org/file/d/1kCubC2FcRmGg6IlqhEKlvOtnMydlEswJ/view?usp=drivesdk" TargetMode="External"/><Relationship Id="rId141" Type="http://schemas.openxmlformats.org/officeDocument/2006/relationships/hyperlink" Target="https://drive.google.com/a/scoutsdemadrid.org/file/d/1mFehhDVb0Hz8w7i5uc9uWMQaF3oX06Z-/view?usp=drivesdk" TargetMode="External"/><Relationship Id="rId146" Type="http://schemas.openxmlformats.org/officeDocument/2006/relationships/hyperlink" Target="https://drive.google.com/a/scoutsdemadrid.org/file/d/1ze4bDsR1oIz99k6FawRgaJ5XNoJCZFAx/view?usp=drivesdk" TargetMode="External"/><Relationship Id="rId167" Type="http://schemas.openxmlformats.org/officeDocument/2006/relationships/hyperlink" Target="https://drive.google.com/a/scoutsdemadrid.org/file/d/11WFxLJt5cYyT69r1KbBr2HW2ptfw-WQo/view?usp=drivesdk" TargetMode="External"/><Relationship Id="rId188" Type="http://schemas.openxmlformats.org/officeDocument/2006/relationships/hyperlink" Target="https://drive.google.com/a/scoutsdemadrid.org/file/d/1ahH-NsfArBwMzGdcT4Ul6xp6EQyMDjWa/view?usp=drivesdk" TargetMode="External"/><Relationship Id="rId7" Type="http://schemas.openxmlformats.org/officeDocument/2006/relationships/hyperlink" Target="https://drive.google.com/a/scoutsdemadrid.org/file/d/1ykut3flHxSBmLv8LunGeNSXnX4nPYinp/view?usp=drivesdk" TargetMode="External"/><Relationship Id="rId71" Type="http://schemas.openxmlformats.org/officeDocument/2006/relationships/hyperlink" Target="https://drive.google.com/a/scoutsdemadrid.org/file/d/19YolY921JsnJ1xE9g9jkOfFDOl-WQ2BC/view?usp=drivesdk" TargetMode="External"/><Relationship Id="rId92" Type="http://schemas.openxmlformats.org/officeDocument/2006/relationships/hyperlink" Target="https://drive.google.com/a/scoutsdemadrid.org/file/d/1Dh7zvIuCUHi7Jh5ca20cbJEPRxqPQ8gS/view?usp=drivesdk" TargetMode="External"/><Relationship Id="rId162" Type="http://schemas.openxmlformats.org/officeDocument/2006/relationships/hyperlink" Target="https://drive.google.com/a/scoutsdemadrid.org/file/d/1GrrkFQjNtAx1Jzw1_ojmSe7cx9ZPZYDm/view?usp=drivesdk" TargetMode="External"/><Relationship Id="rId183" Type="http://schemas.openxmlformats.org/officeDocument/2006/relationships/hyperlink" Target="https://drive.google.com/a/scoutsdemadrid.org/file/d/132w_CEExrfeh6QJCYteL2FpMFrsfrraH/view?usp=drivesdk" TargetMode="External"/><Relationship Id="rId2" Type="http://schemas.openxmlformats.org/officeDocument/2006/relationships/hyperlink" Target="https://drive.google.com/a/scoutsdemadrid.org/file/d/1-6UqlWiqZB6tyYD0EO1YEXOJag7egAH0/view?usp=drivesdk" TargetMode="External"/><Relationship Id="rId29" Type="http://schemas.openxmlformats.org/officeDocument/2006/relationships/hyperlink" Target="https://drive.google.com/a/scoutsdemadrid.org/file/d/1BQkEWAiOH8d-nBQ1YEXdF-UYyLq8qEr7/view?usp=drivesdk" TargetMode="External"/><Relationship Id="rId24" Type="http://schemas.openxmlformats.org/officeDocument/2006/relationships/hyperlink" Target="https://drive.google.com/a/scoutsdemadrid.org/file/d/112SStJYkY2xlYd48rHIl6ors4u_KCYGe/view?usp=drivesdk" TargetMode="External"/><Relationship Id="rId40" Type="http://schemas.openxmlformats.org/officeDocument/2006/relationships/hyperlink" Target="https://drive.google.com/a/scoutsdemadrid.org/file/d/188teyVEcSSWLOysgxm0fNsz4xJ0uHhL3/view?usp=drivesdk" TargetMode="External"/><Relationship Id="rId45" Type="http://schemas.openxmlformats.org/officeDocument/2006/relationships/hyperlink" Target="https://maps.google.es/maps?q=Los+Llazos,+La+Pern%C3%ADa&amp;hl=es&amp;ie=UTF8&amp;ll=42.979841,-4.487325&amp;spn=0.006899,0.016512&amp;sll=40.396764,-3.713379&amp;sspn=14.695835,33.815918&amp;oq=los+llazos&amp;hnear=Los+Llazos,+La+Pern%C3%ADa,+Palencia,+Castilla+y+Le%C3%B3n&amp;t=h&amp;z=17" TargetMode="External"/><Relationship Id="rId66" Type="http://schemas.openxmlformats.org/officeDocument/2006/relationships/hyperlink" Target="https://drive.google.com/a/scoutsdemadrid.org/file/d/1dlD2NobWdddlzDlhkoXT8DjmJrf-Cn20/view?usp=drivesdk" TargetMode="External"/><Relationship Id="rId87" Type="http://schemas.openxmlformats.org/officeDocument/2006/relationships/hyperlink" Target="https://drive.google.com/a/scoutsdemadrid.org/file/d/1zgWcGL98s-py8ZuaMAegdNTFjEZubZ-C/view?usp=drivesdk" TargetMode="External"/><Relationship Id="rId110" Type="http://schemas.openxmlformats.org/officeDocument/2006/relationships/hyperlink" Target="https://drive.google.com/a/scoutsdemadrid.org/file/d/10_CteG2ZZiozUYGLj7eBVacYK9jJZ5wu/view?usp=drivesdk" TargetMode="External"/><Relationship Id="rId115" Type="http://schemas.openxmlformats.org/officeDocument/2006/relationships/hyperlink" Target="https://drive.google.com/a/scoutsdemadrid.org/file/d/1QJMnyg4-uy8MSg2miv_VQfR0BXlgaDCj/view?usp=drivesdk" TargetMode="External"/><Relationship Id="rId131" Type="http://schemas.openxmlformats.org/officeDocument/2006/relationships/hyperlink" Target="https://drive.google.com/a/scoutsdemadrid.org/file/d/1m9UVZR49cWNdztmPs7jfimSwxM8vcAUr/view?usp=drivesdk" TargetMode="External"/><Relationship Id="rId136" Type="http://schemas.openxmlformats.org/officeDocument/2006/relationships/hyperlink" Target="https://drive.google.com/a/scoutsdemadrid.org/file/d/1wtnjFLwU723eDKm5DeThfhi9Mr7kkcIW/view?usp=drivesdk" TargetMode="External"/><Relationship Id="rId157" Type="http://schemas.openxmlformats.org/officeDocument/2006/relationships/hyperlink" Target="https://maps.google.es/maps?q=Fontecha,+Lantar%C3%B3n&amp;hl=es&amp;ie=UTF8&amp;ll=42.738975,-3.038508&amp;spn=0.002372,0.004823&amp;sll=42.909999,-2.698387&amp;sspn=1.211015,2.469177&amp;oq=Fontecha&amp;t=h&amp;hnear=Fontecha,+Lantar%C3%B3n,+%C3%81lava,+Pa%C3%ADs+Vasco&amp;z=18" TargetMode="External"/><Relationship Id="rId178" Type="http://schemas.openxmlformats.org/officeDocument/2006/relationships/hyperlink" Target="https://drive.google.com/a/scoutsdemadrid.org/file/d/1CefCBb_6SatXyUxHG2B2xp6mxJHmqmTW/view?usp=drivesdk" TargetMode="External"/><Relationship Id="rId61" Type="http://schemas.openxmlformats.org/officeDocument/2006/relationships/hyperlink" Target="https://drive.google.com/a/scoutsdemadrid.org/file/d/1wuXF7FO1M4I-e9yVRwADQjXBiq8eoXx_/view?usp=drivesdk" TargetMode="External"/><Relationship Id="rId82" Type="http://schemas.openxmlformats.org/officeDocument/2006/relationships/hyperlink" Target="https://drive.google.com/a/scoutsdemadrid.org/file/d/1XOXhcP44co-SBmMxYF7UbEZhgqV1pvfe/view?usp=drivesdk" TargetMode="External"/><Relationship Id="rId152" Type="http://schemas.openxmlformats.org/officeDocument/2006/relationships/hyperlink" Target="https://drive.google.com/a/scoutsdemadrid.org/file/d/1Ibs50KPK5dbv0dWqZDwuo_PN8tWisgd3/view?usp=drivesdk" TargetMode="External"/><Relationship Id="rId173" Type="http://schemas.openxmlformats.org/officeDocument/2006/relationships/hyperlink" Target="https://drive.google.com/a/scoutsdemadrid.org/file/d/150V610FTjBvEHctdH36d2URrnfBLglT5/view?usp=drivesdk" TargetMode="External"/><Relationship Id="rId194" Type="http://schemas.openxmlformats.org/officeDocument/2006/relationships/hyperlink" Target="https://drive.google.com/a/scoutsdemadrid.org/file/d/1ISRgM1czGfobewrNzunZsC6Wq_jFj-fX/view?usp=drivesdk" TargetMode="External"/><Relationship Id="rId19" Type="http://schemas.openxmlformats.org/officeDocument/2006/relationships/hyperlink" Target="https://drive.google.com/a/scoutsdemadrid.org/file/d/17NgfP5fNSu7rPdPq_uTUntDjLMmD5Qzg/view?usp=drivesdk" TargetMode="External"/><Relationship Id="rId14" Type="http://schemas.openxmlformats.org/officeDocument/2006/relationships/hyperlink" Target="https://drive.google.com/a/scoutsdemadrid.org/file/d/1JvMUGYPoJvEcecuk3EF3DnIwYo-ZEU2O/view?usp=drivesdk" TargetMode="External"/><Relationship Id="rId30" Type="http://schemas.openxmlformats.org/officeDocument/2006/relationships/hyperlink" Target="https://drive.google.com/a/scoutsdemadrid.org/file/d/1gI4jjs--jERRNcKrhrw9uh2wTy91pNqm/view?usp=drivesdk" TargetMode="External"/><Relationship Id="rId35" Type="http://schemas.openxmlformats.org/officeDocument/2006/relationships/hyperlink" Target="https://drive.google.com/a/scoutsdemadrid.org/file/d/1NfYgbXWhG_UfstoCrxWKw7SOxRUbca6N/view?usp=drivesdk" TargetMode="External"/><Relationship Id="rId56" Type="http://schemas.openxmlformats.org/officeDocument/2006/relationships/hyperlink" Target="https://drive.google.com/a/scoutsdemadrid.org/file/d/1w1IFV3b8vb-DnhGoHUoejFhAkC7ybwnH/view?usp=drivesdk" TargetMode="External"/><Relationship Id="rId77" Type="http://schemas.openxmlformats.org/officeDocument/2006/relationships/hyperlink" Target="https://drive.google.com/a/scoutsdemadrid.org/file/d/1sryoWwraFfqYVnrq3Q3vozbfD0QPIRC3/view?usp=drivesdk" TargetMode="External"/><Relationship Id="rId100" Type="http://schemas.openxmlformats.org/officeDocument/2006/relationships/hyperlink" Target="https://drive.google.com/a/scoutsdemadrid.org/file/d/1qyf5ZlfwCJbJkTJeii8eo0nZn5PrbC_P/view?usp=drivesdk" TargetMode="External"/><Relationship Id="rId105" Type="http://schemas.openxmlformats.org/officeDocument/2006/relationships/hyperlink" Target="https://drive.google.com/a/scoutsdemadrid.org/file/d/1lW4NsZU88QKQBhEBZQpJut6VAEAnUjOQ/view?usp=drivesdk" TargetMode="External"/><Relationship Id="rId126" Type="http://schemas.openxmlformats.org/officeDocument/2006/relationships/hyperlink" Target="https://maps.google.es/maps?hl=es&amp;authuser=0" TargetMode="External"/><Relationship Id="rId147" Type="http://schemas.openxmlformats.org/officeDocument/2006/relationships/hyperlink" Target="https://drive.google.com/a/scoutsdemadrid.org/file/d/1KPHJdw7HN98l3jtI9IiqvobbunPF8zCI/view?usp=drivesdk" TargetMode="External"/><Relationship Id="rId168" Type="http://schemas.openxmlformats.org/officeDocument/2006/relationships/hyperlink" Target="https://drive.google.com/a/scoutsdemadrid.org/file/d/1l-va1jw0T0ZgwMJvW217pOENpLQ5msK6/view?usp=drivesdk" TargetMode="External"/><Relationship Id="rId8" Type="http://schemas.openxmlformats.org/officeDocument/2006/relationships/hyperlink" Target="https://drive.google.com/a/scoutsdemadrid.org/file/d/1rXhnkle2iV8Z43BoFExkknPbrLw4p-jd/view?usp=drivesdk" TargetMode="External"/><Relationship Id="rId51" Type="http://schemas.openxmlformats.org/officeDocument/2006/relationships/hyperlink" Target="https://drive.google.com/a/scoutsdemadrid.org/file/d/1LNRV3EODRFd1FUKekZClCAYR3xaR-eSV/view?usp=drivesdk" TargetMode="External"/><Relationship Id="rId72" Type="http://schemas.openxmlformats.org/officeDocument/2006/relationships/hyperlink" Target="https://drive.google.com/a/scoutsdemadrid.org/file/d/1b1adGB3DdJPykz86xg1ka2HfnjHplz3I/view?usp=drivesdk" TargetMode="External"/><Relationship Id="rId93" Type="http://schemas.openxmlformats.org/officeDocument/2006/relationships/hyperlink" Target="https://drive.google.com/a/scoutsdemadrid.org/file/d/1t3xVntAHapQY5aIfyhx__39XemGINgNL/view?usp=drivesdk" TargetMode="External"/><Relationship Id="rId98" Type="http://schemas.openxmlformats.org/officeDocument/2006/relationships/hyperlink" Target="https://drive.google.com/a/scoutsdemadrid.org/file/d/1P_MowlVaWbRcTyjuqsmApGRwkZ8JS9jj/view?usp=drivesdk" TargetMode="External"/><Relationship Id="rId121" Type="http://schemas.openxmlformats.org/officeDocument/2006/relationships/hyperlink" Target="https://drive.google.com/a/scoutsdemadrid.org/file/d/1AhYfq20pWWAH7Bb0ACKkajHowI064zaG/view?usp=drivesdk" TargetMode="External"/><Relationship Id="rId142" Type="http://schemas.openxmlformats.org/officeDocument/2006/relationships/hyperlink" Target="https://drive.google.com/a/scoutsdemadrid.org/file/d/1s_J_ILHHhAcH2Y52jeoj_guKEPtBr4E5/view?usp=drivesdk" TargetMode="External"/><Relationship Id="rId163" Type="http://schemas.openxmlformats.org/officeDocument/2006/relationships/hyperlink" Target="https://drive.google.com/a/scoutsdemadrid.org/file/d/1_XXLzZgX-o2JaghB0oPUwWgHebliPnpy/view?usp=drivesdk" TargetMode="External"/><Relationship Id="rId184" Type="http://schemas.openxmlformats.org/officeDocument/2006/relationships/hyperlink" Target="https://drive.google.com/a/scoutsdemadrid.org/file/d/1paUmV8zBkosBZ0xH9DxwEpLUgatRO7k0/view?usp=drivesdk" TargetMode="External"/><Relationship Id="rId189" Type="http://schemas.openxmlformats.org/officeDocument/2006/relationships/hyperlink" Target="https://drive.google.com/a/scoutsdemadrid.org/file/d/1iPs9KdCR4ynYHaMcZCYpjCd7QSTPbjiP/view?usp=drivesdk" TargetMode="External"/><Relationship Id="rId3" Type="http://schemas.openxmlformats.org/officeDocument/2006/relationships/hyperlink" Target="https://drive.google.com/a/scoutsdemadrid.org/file/d/1gJ8MYtT8vIIXtE18E9mOjS5aCT4Vit6b/view?usp=drivesdk" TargetMode="External"/><Relationship Id="rId25" Type="http://schemas.openxmlformats.org/officeDocument/2006/relationships/hyperlink" Target="https://drive.google.com/a/scoutsdemadrid.org/file/d/1l9rR4fxUS7K3CixMQWAgeuSrNsbubseC/view?usp=drivesdk" TargetMode="External"/><Relationship Id="rId46" Type="http://schemas.openxmlformats.org/officeDocument/2006/relationships/hyperlink" Target="https://drive.google.com/a/scoutsdemadrid.org/file/d/1r5RpCUZGa-TnFYXKaMwq91UjWvSg-NmI/view?usp=drivesdk" TargetMode="External"/><Relationship Id="rId67" Type="http://schemas.openxmlformats.org/officeDocument/2006/relationships/hyperlink" Target="https://maps.google.es/maps?hl=es" TargetMode="External"/><Relationship Id="rId116" Type="http://schemas.openxmlformats.org/officeDocument/2006/relationships/hyperlink" Target="http://goo.gl/maps/mxab" TargetMode="External"/><Relationship Id="rId137" Type="http://schemas.openxmlformats.org/officeDocument/2006/relationships/hyperlink" Target="https://drive.google.com/a/scoutsdemadrid.org/file/d/1e3YyWcF2OAGxz8fbUs39p3xw01FEpdIg/view?usp=drivesdk" TargetMode="External"/><Relationship Id="rId158" Type="http://schemas.openxmlformats.org/officeDocument/2006/relationships/hyperlink" Target="https://drive.google.com/a/scoutsdemadrid.org/file/d/12nCZTnjrar6gGDtzvlJzyOxXAKIcoM3p/view?usp=drivesdk" TargetMode="External"/><Relationship Id="rId20" Type="http://schemas.openxmlformats.org/officeDocument/2006/relationships/hyperlink" Target="https://drive.google.com/a/scoutsdemadrid.org/file/d/1LXvUzOrP3vCtAdF6SEBdkW0maTu9r1aH/view?usp=drivesdk" TargetMode="External"/><Relationship Id="rId41" Type="http://schemas.openxmlformats.org/officeDocument/2006/relationships/hyperlink" Target="https://drive.google.com/a/scoutsdemadrid.org/file/d/1vNf8wuaMnLRW47TYE72bYxZFlLtjBp16/view?usp=drivesdk" TargetMode="External"/><Relationship Id="rId62" Type="http://schemas.openxmlformats.org/officeDocument/2006/relationships/hyperlink" Target="https://drive.google.com/a/scoutsdemadrid.org/file/d/1cx06ScuTkEmYT5etSZ7JCsNwua9KA3wA/view?usp=drivesdk" TargetMode="External"/><Relationship Id="rId83" Type="http://schemas.openxmlformats.org/officeDocument/2006/relationships/hyperlink" Target="https://drive.google.com/a/scoutsdemadrid.org/file/d/1WFn1hHI6DrZ5b_aNmKlDCsrTMJ5XOTlv/view?usp=drivesdk" TargetMode="External"/><Relationship Id="rId88" Type="http://schemas.openxmlformats.org/officeDocument/2006/relationships/hyperlink" Target="https://drive.google.com/a/scoutsdemadrid.org/file/d/18Hzqpcct39HO2d2hoUMWdQtUPK8QMzZ2/view?usp=drivesdk" TargetMode="External"/><Relationship Id="rId111" Type="http://schemas.openxmlformats.org/officeDocument/2006/relationships/hyperlink" Target="https://drive.google.com/a/scoutsdemadrid.org/file/d/1afHeJ9dNS4haeXSgFzEPjs-NyamAt9uA/view?usp=drivesdk" TargetMode="External"/><Relationship Id="rId132" Type="http://schemas.openxmlformats.org/officeDocument/2006/relationships/hyperlink" Target="https://drive.google.com/a/scoutsdemadrid.org/file/d/1QGeXy1Xl4hGK5F0TWnz46lFYe8S5f_yq/view?usp=drivesdk" TargetMode="External"/><Relationship Id="rId153" Type="http://schemas.openxmlformats.org/officeDocument/2006/relationships/hyperlink" Target="https://drive.google.com/a/scoutsdemadrid.org/file/d/1a-OZoe4GjssLR_MVQdHYcbszSbVE7eox/view?usp=drivesdk" TargetMode="External"/><Relationship Id="rId174" Type="http://schemas.openxmlformats.org/officeDocument/2006/relationships/hyperlink" Target="https://drive.google.com/a/scoutsdemadrid.org/file/d/1pwUwy0Czn6Lg9ZX-c9aRcZA1TbsL-eW7/view?usp=drivesdk" TargetMode="External"/><Relationship Id="rId179" Type="http://schemas.openxmlformats.org/officeDocument/2006/relationships/hyperlink" Target="https://drive.google.com/a/scoutsdemadrid.org/file/d/1GO-QK0HZaa1uTu5C4eU8DpJciKnClvtl/view?usp=drivesdk" TargetMode="External"/><Relationship Id="rId195" Type="http://schemas.openxmlformats.org/officeDocument/2006/relationships/hyperlink" Target="https://drive.google.com/a/scoutsdemadrid.org/file/d/1G_SaI5eadyzfSVhNgLcsJ3UZPHnDBxvQ/view?usp=drivesdk" TargetMode="External"/><Relationship Id="rId190" Type="http://schemas.openxmlformats.org/officeDocument/2006/relationships/hyperlink" Target="https://drive.google.com/a/scoutsdemadrid.org/file/d/1gtv6cUXXWI46u6MF3VGTfVG24lQe0L9y/view?usp=drivesdk" TargetMode="External"/><Relationship Id="rId15" Type="http://schemas.openxmlformats.org/officeDocument/2006/relationships/hyperlink" Target="https://drive.google.com/a/scoutsdemadrid.org/file/d/1WlM3OtCn3Snb6w0l2a9g5mN_4W76z9Q6/view?usp=drivesdk" TargetMode="External"/><Relationship Id="rId36" Type="http://schemas.openxmlformats.org/officeDocument/2006/relationships/hyperlink" Target="https://drive.google.com/a/scoutsdemadrid.org/file/d/1TZ-PEviYB84ebpyEpx9tljIdtvQHLCjh/view?usp=drivesdk" TargetMode="External"/><Relationship Id="rId57" Type="http://schemas.openxmlformats.org/officeDocument/2006/relationships/hyperlink" Target="https://drive.google.com/a/scoutsdemadrid.org/file/d/1UE1CHSg_G39cxPzDb-8WamdNIr7HheeX/view?usp=drivesdk" TargetMode="External"/><Relationship Id="rId106" Type="http://schemas.openxmlformats.org/officeDocument/2006/relationships/hyperlink" Target="https://drive.google.com/a/scoutsdemadrid.org/file/d/1M-ner2FCpbzDBMvGN6I_kGs7d8-GYPr9/view?usp=drivesdk" TargetMode="External"/><Relationship Id="rId127" Type="http://schemas.openxmlformats.org/officeDocument/2006/relationships/hyperlink" Target="https://drive.google.com/a/scoutsdemadrid.org/file/d/18InCMCqvqVfkJDsr0LydwHMo0pNk6Kt9/view?usp=drivesdk" TargetMode="External"/><Relationship Id="rId10" Type="http://schemas.openxmlformats.org/officeDocument/2006/relationships/hyperlink" Target="https://drive.google.com/a/scoutsdemadrid.org/file/d/1-BMGn8mpKdj54kWqIcSaNNLMULtj01H8/view?usp=drivesdk" TargetMode="External"/><Relationship Id="rId31" Type="http://schemas.openxmlformats.org/officeDocument/2006/relationships/hyperlink" Target="https://drive.google.com/a/scoutsdemadrid.org/file/d/1VYNLTDukdinE-BM7drtneoGkyGQ35JE_/view?usp=drivesdk" TargetMode="External"/><Relationship Id="rId52" Type="http://schemas.openxmlformats.org/officeDocument/2006/relationships/hyperlink" Target="https://drive.google.com/a/scoutsdemadrid.org/file/d/1che6Mlvb2fOszWeDcOF-Lw5K-cCvGt4V/view?usp=drivesdk" TargetMode="External"/><Relationship Id="rId73" Type="http://schemas.openxmlformats.org/officeDocument/2006/relationships/hyperlink" Target="https://drive.google.com/a/scoutsdemadrid.org/file/d/1eAVlmbEpggs18Tf1atZ7ZY1f_DMKEgpo/view?usp=drivesdk" TargetMode="External"/><Relationship Id="rId78" Type="http://schemas.openxmlformats.org/officeDocument/2006/relationships/hyperlink" Target="https://drive.google.com/a/scoutsdemadrid.org/file/d/1X41KHIw9OQ_0PxTi0Zpc6eVAFS9P9YwY/view?usp=drivesdk" TargetMode="External"/><Relationship Id="rId94" Type="http://schemas.openxmlformats.org/officeDocument/2006/relationships/hyperlink" Target="https://drive.google.com/a/scoutsdemadrid.org/file/d/1O-A_9LhOILQnLLKbe5Hm2j2XNObFm6OS/view?usp=drivesdk" TargetMode="External"/><Relationship Id="rId99" Type="http://schemas.openxmlformats.org/officeDocument/2006/relationships/hyperlink" Target="https://drive.google.com/a/scoutsdemadrid.org/file/d/11O_aPaZRiagoo6qD0sYBjX-S0FnhLX6H/view?usp=drivesdk" TargetMode="External"/><Relationship Id="rId101" Type="http://schemas.openxmlformats.org/officeDocument/2006/relationships/hyperlink" Target="https://drive.google.com/a/scoutsdemadrid.org/file/d/1QUFrUOxyBX8lANqUN6_EX08OIIAQVDBL/view?usp=drivesdk" TargetMode="External"/><Relationship Id="rId122" Type="http://schemas.openxmlformats.org/officeDocument/2006/relationships/hyperlink" Target="https://drive.google.com/a/scoutsdemadrid.org/file/d/1ZFAgHcRluL3aF5AiXzvR3E8EOtzFRLtB/view?usp=drivesdk" TargetMode="External"/><Relationship Id="rId143" Type="http://schemas.openxmlformats.org/officeDocument/2006/relationships/hyperlink" Target="https://drive.google.com/a/scoutsdemadrid.org/file/d/1nJnRA-H8PGgXdcXsMioZmCsBrRx1DjP6/view?usp=drivesdk" TargetMode="External"/><Relationship Id="rId148" Type="http://schemas.openxmlformats.org/officeDocument/2006/relationships/hyperlink" Target="http://ayuntamientocheca42gmail.com/" TargetMode="External"/><Relationship Id="rId164" Type="http://schemas.openxmlformats.org/officeDocument/2006/relationships/hyperlink" Target="https://drive.google.com/a/scoutsdemadrid.org/file/d/1RhWVQ44G7cBOlPVvsJg9v15ME0rYDpUg/view?usp=drivesdk" TargetMode="External"/><Relationship Id="rId169" Type="http://schemas.openxmlformats.org/officeDocument/2006/relationships/hyperlink" Target="https://drive.google.com/a/scoutsdemadrid.org/file/d/1E6FQ_vMOtr0kRnMZROt-c7r5TU4obWOQ/view?usp=drivesdk" TargetMode="External"/><Relationship Id="rId185" Type="http://schemas.openxmlformats.org/officeDocument/2006/relationships/hyperlink" Target="https://drive.google.com/a/scoutsdemadrid.org/file/d/1XA_0_OdOMgMB5XPcpz2qopbtHqDs3Wux/view?usp=drivesdk" TargetMode="External"/><Relationship Id="rId4" Type="http://schemas.openxmlformats.org/officeDocument/2006/relationships/hyperlink" Target="https://drive.google.com/a/scoutsdemadrid.org/file/d/1HK4ATS9MB4uyihqc1ISyJY6bB93lY82C/view?usp=drivesdk" TargetMode="External"/><Relationship Id="rId9" Type="http://schemas.openxmlformats.org/officeDocument/2006/relationships/hyperlink" Target="https://maps.google.es/maps?oe=utf-8&amp;client=firefox-a&amp;q=villanova&amp;ie=UTF-8&amp;hq=&amp;hnear=0x12a7d800ff9b261b:0x4018c6508cea590,Villanova&amp;gl=es&amp;ei=Bo3HT9ecDdKLhQfVxcCTCw&amp;oi=geocode_result&amp;ved=0CBoQ8gEwAQ" TargetMode="External"/><Relationship Id="rId180" Type="http://schemas.openxmlformats.org/officeDocument/2006/relationships/hyperlink" Target="https://drive.google.com/a/scoutsdemadrid.org/file/d/1WlxYPmP8Scx0RNNcXpuitSK8OrsxteIs/view?usp=drivesdk" TargetMode="External"/><Relationship Id="rId26" Type="http://schemas.openxmlformats.org/officeDocument/2006/relationships/hyperlink" Target="https://drive.google.com/a/scoutsdemadrid.org/file/d/1jzLbpvIUnKsSX3_62DkyRHlOcfRVLguz/view?usp=drivesdk"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maps.google.es/maps?oe=utf-8&amp;client=firefox-a&amp;q=villanova&amp;ie=UTF-8&amp;hq=&amp;hnear=0x12a7d800ff9b261b:0x4018c6508cea590,Villanova&amp;gl=es&amp;ei=Bo3HT9ecDdKLhQfVxcCTCw&amp;oi=geocode_result&amp;ved=0CBoQ8gEwAQ"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maps.google.com/maps?q=Proaza&amp;hl=en&amp;ll=43.240951,-6.01759&amp;spn=0.080533,0.181103&amp;hnear=Proaza,+Asturias,+Spain&amp;t=m&amp;z=13"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maps.google.es/maps?hl=es&amp;authuser=0" TargetMode="External"/><Relationship Id="rId3" Type="http://schemas.openxmlformats.org/officeDocument/2006/relationships/hyperlink" Target="https://maps.google.es/maps/ms?msid=203418343783550310345.0004c1466ed55533d522c&amp;msa=0&amp;ll=41.834462,-2.743492&amp;spn=0.02785,0.066047" TargetMode="External"/><Relationship Id="rId7" Type="http://schemas.openxmlformats.org/officeDocument/2006/relationships/hyperlink" Target="http://goo.gl/maps/mxab" TargetMode="External"/><Relationship Id="rId2" Type="http://schemas.openxmlformats.org/officeDocument/2006/relationships/hyperlink" Target="https://maps.google.es/maps?q=Los+Llazos,+La+Pern%C3%ADa&amp;hl=es&amp;ie=UTF8&amp;ll=42.979841,-4.487325&amp;spn=0.006899,0.016512&amp;sll=40.396764,-3.713379&amp;sspn=14.695835,33.815918&amp;oq=los+llazos&amp;hnear=Los+Llazos,+La+Pern%C3%ADa,+Palencia,+Castilla+y+Le%C3%B3n&amp;t=h&amp;z=17" TargetMode="External"/><Relationship Id="rId1" Type="http://schemas.openxmlformats.org/officeDocument/2006/relationships/hyperlink" Target="http://goo.gl/maps/qMKa" TargetMode="External"/><Relationship Id="rId6" Type="http://schemas.openxmlformats.org/officeDocument/2006/relationships/hyperlink" Target="https://maps.google.es/maps?q=pradera+de+los+orcos+casavieja&amp;ie=UTF-8&amp;hl=es" TargetMode="External"/><Relationship Id="rId5" Type="http://schemas.openxmlformats.org/officeDocument/2006/relationships/hyperlink" Target="http://goo.gl/maps/I4zW" TargetMode="External"/><Relationship Id="rId4" Type="http://schemas.openxmlformats.org/officeDocument/2006/relationships/hyperlink" Target="https://maps.google.es/maps?hl=es"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ayuntamientocheca42gmail.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www.google.com/maps/place/Campamento+Pe%C3%B1a+Negra+Piornal+Valle+del+Jerte/@40.1198892,-5.8320074,274m/data=!3m1!1e3!4m13!1m7!3m6!1s0xd3e36f986235c13:0xed87a1ddaa04f7cb!2s10615+Piornal,+C%C3%A1ceres!3b1!8m2!3d40.1164877!4d-5.8471434!3m4!1s0xd3e37317e7923b9:0x56703321a10940d0!8m2!3d40.1199673!4d-5.8311908"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s://maps.google.es/maps?q=Fontecha,+Lantar%C3%B3n&amp;hl=es&amp;ie=UTF8&amp;ll=42.738975,-3.038508&amp;spn=0.002372,0.004823&amp;sll=42.909999,-2.698387&amp;sspn=1.211015,2.469177&amp;oq=Fontecha&amp;t=h&amp;hnear=Fontecha,+Lantar%C3%B3n,+%C3%81lava,+Pa%C3%ADs+Vasco&amp;z=18"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storage.googleapis.com/cloudlab-images/CloudLab_Large.jpg" TargetMode="External"/><Relationship Id="rId2" Type="http://schemas.openxmlformats.org/officeDocument/2006/relationships/hyperlink" Target="http://www.newvisions.org/" TargetMode="External"/><Relationship Id="rId1" Type="http://schemas.openxmlformats.org/officeDocument/2006/relationships/hyperlink" Target="http://cloudlab.newvisions.org/" TargetMode="External"/><Relationship Id="rId5" Type="http://schemas.openxmlformats.org/officeDocument/2006/relationships/hyperlink" Target="https://docs.google.com/document/d/1FGJwTG0jzEWiGyqJecDekj2aX4w2LJifmRRKSaVmdSw/edit?usp=drivesdk" TargetMode="External"/><Relationship Id="rId4" Type="http://schemas.openxmlformats.org/officeDocument/2006/relationships/hyperlink" Target="https://docs.google.com/document/d/1EQ54HPkATBQqYVdAVw732qocFeDDTRwHccN4HQ0kQwM/edit?usp=drivesdk"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drive.google.com/a/scoutsdemadrid.org/file/d/1l9aoKJ5zV8G4iikrK1po2SYLRKG2Mp4G/view?usp=drivesdk" TargetMode="External"/><Relationship Id="rId117" Type="http://schemas.openxmlformats.org/officeDocument/2006/relationships/hyperlink" Target="https://drive.google.com/a/scoutsdemadrid.org/file/d/1CefCBb_6SatXyUxHG2B2xp6mxJHmqmTW/view?usp=drivesdk" TargetMode="External"/><Relationship Id="rId21" Type="http://schemas.openxmlformats.org/officeDocument/2006/relationships/hyperlink" Target="https://drive.google.com/a/scoutsdemadrid.org/file/d/1KgWWyyjP7kks1wxs63pb-YVnDQfXfGIO/view?usp=drivesdk" TargetMode="External"/><Relationship Id="rId42" Type="http://schemas.openxmlformats.org/officeDocument/2006/relationships/hyperlink" Target="https://drive.google.com/a/scoutsdemadrid.org/file/d/1YK9hh0m1EDKz4C-BBHHF7n36KxnSluEi/view?usp=drivesdk" TargetMode="External"/><Relationship Id="rId47" Type="http://schemas.openxmlformats.org/officeDocument/2006/relationships/hyperlink" Target="https://drive.google.com/a/scoutsdemadrid.org/file/d/16NXj3xyuWAuUCBKeUXGLDBXLxVyBRV7e/view?usp=drivesdk" TargetMode="External"/><Relationship Id="rId63" Type="http://schemas.openxmlformats.org/officeDocument/2006/relationships/hyperlink" Target="https://drive.google.com/a/scoutsdemadrid.org/file/d/1NfYgbXWhG_UfstoCrxWKw7SOxRUbca6N/view?usp=drivesdk" TargetMode="External"/><Relationship Id="rId68" Type="http://schemas.openxmlformats.org/officeDocument/2006/relationships/hyperlink" Target="https://drive.google.com/a/scoutsdemadrid.org/file/d/1pDL0twBa4Jtr8tb8maseIfK7qO_hDYSO/view?usp=drivesdk" TargetMode="External"/><Relationship Id="rId84" Type="http://schemas.openxmlformats.org/officeDocument/2006/relationships/hyperlink" Target="https://drive.google.com/a/scoutsdemadrid.org/file/d/1woSmpWwnd8LFzWfjcH2jHw-fHMRo0-BJ/view?usp=drivesdk" TargetMode="External"/><Relationship Id="rId89" Type="http://schemas.openxmlformats.org/officeDocument/2006/relationships/hyperlink" Target="https://drive.google.com/a/scoutsdemadrid.org/file/d/1gJ8MYtT8vIIXtE18E9mOjS5aCT4Vit6b/view?usp=drivesdk" TargetMode="External"/><Relationship Id="rId112" Type="http://schemas.openxmlformats.org/officeDocument/2006/relationships/hyperlink" Target="https://drive.google.com/a/scoutsdemadrid.org/file/d/1o1jwSFig7UJ-rcluyJKk4pS-hHtuDV2d/view?usp=drivesdk" TargetMode="External"/><Relationship Id="rId133" Type="http://schemas.openxmlformats.org/officeDocument/2006/relationships/hyperlink" Target="https://drive.google.com/a/scoutsdemadrid.org/file/d/1iPs9KdCR4ynYHaMcZCYpjCd7QSTPbjiP/view?usp=drivesdk" TargetMode="External"/><Relationship Id="rId138" Type="http://schemas.openxmlformats.org/officeDocument/2006/relationships/hyperlink" Target="https://drive.google.com/a/scoutsdemadrid.org/file/d/1UchMq7YpPn7yGcG0Gu-tFez54Y2OlVvW/view?usp=drivesdk" TargetMode="External"/><Relationship Id="rId154" Type="http://schemas.openxmlformats.org/officeDocument/2006/relationships/hyperlink" Target="https://drive.google.com/a/scoutsdemadrid.org/file/d/1qyf5ZlfwCJbJkTJeii8eo0nZn5PrbC_P/view?usp=drivesdk" TargetMode="External"/><Relationship Id="rId159" Type="http://schemas.openxmlformats.org/officeDocument/2006/relationships/hyperlink" Target="https://drive.google.com/a/scoutsdemadrid.org/file/d/1WlxYPmP8Scx0RNNcXpuitSK8OrsxteIs/view?usp=drivesdk" TargetMode="External"/><Relationship Id="rId16" Type="http://schemas.openxmlformats.org/officeDocument/2006/relationships/hyperlink" Target="https://drive.google.com/a/scoutsdemadrid.org/file/d/1rQeytVCgokqJtHMN7LqcJZG7ZfX6Ge0T/view?usp=drivesdk" TargetMode="External"/><Relationship Id="rId107" Type="http://schemas.openxmlformats.org/officeDocument/2006/relationships/hyperlink" Target="https://drive.google.com/a/scoutsdemadrid.org/file/d/1Ibs50KPK5dbv0dWqZDwuo_PN8tWisgd3/view?usp=drivesdk" TargetMode="External"/><Relationship Id="rId11" Type="http://schemas.openxmlformats.org/officeDocument/2006/relationships/hyperlink" Target="https://drive.google.com/a/scoutsdemadrid.org/file/d/1JvMUGYPoJvEcecuk3EF3DnIwYo-ZEU2O/view?usp=drivesdk" TargetMode="External"/><Relationship Id="rId32" Type="http://schemas.openxmlformats.org/officeDocument/2006/relationships/hyperlink" Target="https://drive.google.com/a/scoutsdemadrid.org/file/d/1gXeSU3NjA4JJZu9L5WcwQX7eWRIdMfHY/view?usp=drivesdk" TargetMode="External"/><Relationship Id="rId37" Type="http://schemas.openxmlformats.org/officeDocument/2006/relationships/hyperlink" Target="https://drive.google.com/a/scoutsdemadrid.org/file/d/18eQI81PnrHWA-3MOlJFoTKDkXsa_pwIp/view?usp=drivesdk" TargetMode="External"/><Relationship Id="rId53" Type="http://schemas.openxmlformats.org/officeDocument/2006/relationships/hyperlink" Target="https://drive.google.com/a/scoutsdemadrid.org/file/d/1fYyO5-zHZNwo7Mknout5ZFfJWrFel0N8/view?usp=drivesdk" TargetMode="External"/><Relationship Id="rId58" Type="http://schemas.openxmlformats.org/officeDocument/2006/relationships/hyperlink" Target="https://drive.google.com/a/scoutsdemadrid.org/file/d/1UNk3n7fdhkzDBPpptTmC9fZFTPWZ1FUu/view?usp=drivesdk" TargetMode="External"/><Relationship Id="rId74" Type="http://schemas.openxmlformats.org/officeDocument/2006/relationships/hyperlink" Target="https://drive.google.com/a/scoutsdemadrid.org/file/d/1zm25MfdNyWRECTHjCL4NCIZy5ZJgvyWU/view?usp=drivesdk" TargetMode="External"/><Relationship Id="rId79" Type="http://schemas.openxmlformats.org/officeDocument/2006/relationships/hyperlink" Target="https://drive.google.com/a/scoutsdemadrid.org/file/d/12VGeYDrdLic7O0pj_jrH8SCQU_oXv-Kc/view?usp=drivesdk" TargetMode="External"/><Relationship Id="rId102" Type="http://schemas.openxmlformats.org/officeDocument/2006/relationships/hyperlink" Target="https://drive.google.com/a/scoutsdemadrid.org/file/d/1Cx18LEz88nV3SZpgUg6ph9EhNObr3RNw/view?usp=drivesdk" TargetMode="External"/><Relationship Id="rId123" Type="http://schemas.openxmlformats.org/officeDocument/2006/relationships/hyperlink" Target="https://drive.google.com/a/scoutsdemadrid.org/file/d/1HoSfnGgNRXidlRrhO6HwFwku6_xHRg_z/view?usp=drivesdk" TargetMode="External"/><Relationship Id="rId128" Type="http://schemas.openxmlformats.org/officeDocument/2006/relationships/hyperlink" Target="https://drive.google.com/a/scoutsdemadrid.org/file/d/10_CteG2ZZiozUYGLj7eBVacYK9jJZ5wu/view?usp=drivesdk" TargetMode="External"/><Relationship Id="rId144" Type="http://schemas.openxmlformats.org/officeDocument/2006/relationships/hyperlink" Target="https://drive.google.com/a/scoutsdemadrid.org/file/d/1YXXkSRX56NuJcUMx3qXZn52JOlxpermA/view?usp=drivesdk" TargetMode="External"/><Relationship Id="rId149" Type="http://schemas.openxmlformats.org/officeDocument/2006/relationships/hyperlink" Target="https://drive.google.com/a/scoutsdemadrid.org/file/d/1Eln7ZUf3P40TsUQIngUHjwb_OTahFNEN/view?usp=drivesdk" TargetMode="External"/><Relationship Id="rId5" Type="http://schemas.openxmlformats.org/officeDocument/2006/relationships/hyperlink" Target="https://drive.google.com/a/scoutsdemadrid.org/file/d/1e3YyWcF2OAGxz8fbUs39p3xw01FEpdIg/view?usp=drivesdk" TargetMode="External"/><Relationship Id="rId90" Type="http://schemas.openxmlformats.org/officeDocument/2006/relationships/hyperlink" Target="https://drive.google.com/a/scoutsdemadrid.org/file/d/1-BMGn8mpKdj54kWqIcSaNNLMULtj01H8/view?usp=drivesdk" TargetMode="External"/><Relationship Id="rId95" Type="http://schemas.openxmlformats.org/officeDocument/2006/relationships/hyperlink" Target="https://drive.google.com/a/scoutsdemadrid.org/file/d/1tv_KnSob29tJcYAsL1w1sfuYp1bQA8MN/view?usp=drivesdk" TargetMode="External"/><Relationship Id="rId160" Type="http://schemas.openxmlformats.org/officeDocument/2006/relationships/hyperlink" Target="https://drive.google.com/a/scoutsdemadrid.org/file/d/1XmtZQA4r4XFrK9DNMsuDiUhB7_wMKizu/view?usp=drivesdk" TargetMode="External"/><Relationship Id="rId165" Type="http://schemas.openxmlformats.org/officeDocument/2006/relationships/hyperlink" Target="https://drive.google.com/a/scoutsdemadrid.org/file/d/1HjZcqU3CArogq-09QH1YWjztgwM7xJPk/view?usp=drivesdk" TargetMode="External"/><Relationship Id="rId22" Type="http://schemas.openxmlformats.org/officeDocument/2006/relationships/hyperlink" Target="https://drive.google.com/a/scoutsdemadrid.org/file/d/1QJMnyg4-uy8MSg2miv_VQfR0BXlgaDCj/view?usp=drivesdk" TargetMode="External"/><Relationship Id="rId27" Type="http://schemas.openxmlformats.org/officeDocument/2006/relationships/hyperlink" Target="https://drive.google.com/a/scoutsdemadrid.org/file/d/1dlD2NobWdddlzDlhkoXT8DjmJrf-Cn20/view?usp=drivesdk" TargetMode="External"/><Relationship Id="rId43" Type="http://schemas.openxmlformats.org/officeDocument/2006/relationships/hyperlink" Target="https://drive.google.com/a/scoutsdemadrid.org/file/d/1Hnv4osIxcPViESTeMEkvhUiWZXrWHD6m/view?usp=drivesdk" TargetMode="External"/><Relationship Id="rId48" Type="http://schemas.openxmlformats.org/officeDocument/2006/relationships/hyperlink" Target="https://drive.google.com/a/scoutsdemadrid.org/file/d/1W4wfvnQ0IX77g1W5Amotkbqwrm2DncKw/view?usp=drivesdk" TargetMode="External"/><Relationship Id="rId64" Type="http://schemas.openxmlformats.org/officeDocument/2006/relationships/hyperlink" Target="https://drive.google.com/a/scoutsdemadrid.org/file/d/1BQkEWAiOH8d-nBQ1YEXdF-UYyLq8qEr7/view?usp=drivesdk" TargetMode="External"/><Relationship Id="rId69" Type="http://schemas.openxmlformats.org/officeDocument/2006/relationships/hyperlink" Target="https://drive.google.com/a/scoutsdemadrid.org/file/d/1gI4jjs--jERRNcKrhrw9uh2wTy91pNqm/view?usp=drivesdk" TargetMode="External"/><Relationship Id="rId113" Type="http://schemas.openxmlformats.org/officeDocument/2006/relationships/hyperlink" Target="https://drive.google.com/a/scoutsdemadrid.org/file/d/1GO-QK0HZaa1uTu5C4eU8DpJciKnClvtl/view?usp=drivesdk" TargetMode="External"/><Relationship Id="rId118" Type="http://schemas.openxmlformats.org/officeDocument/2006/relationships/hyperlink" Target="https://drive.google.com/a/scoutsdemadrid.org/file/d/1pwUwy0Czn6Lg9ZX-c9aRcZA1TbsL-eW7/view?usp=drivesdk" TargetMode="External"/><Relationship Id="rId134" Type="http://schemas.openxmlformats.org/officeDocument/2006/relationships/hyperlink" Target="https://drive.google.com/a/scoutsdemadrid.org/file/d/1zddvLbCBLTUUltRic1a6LcOYf9js0dz2/view?usp=drivesdk" TargetMode="External"/><Relationship Id="rId139" Type="http://schemas.openxmlformats.org/officeDocument/2006/relationships/hyperlink" Target="https://drive.google.com/a/scoutsdemadrid.org/file/d/1ErBUqxDi5A0VuvRQKMDTkbyt6koSITub/view?usp=drivesdk" TargetMode="External"/><Relationship Id="rId80" Type="http://schemas.openxmlformats.org/officeDocument/2006/relationships/hyperlink" Target="https://drive.google.com/a/scoutsdemadrid.org/file/d/1uKuuQsq02Nazt1ZADgyhe07KE1VChZjw/view?usp=drivesdk" TargetMode="External"/><Relationship Id="rId85" Type="http://schemas.openxmlformats.org/officeDocument/2006/relationships/hyperlink" Target="https://drive.google.com/a/scoutsdemadrid.org/file/d/1ykut3flHxSBmLv8LunGeNSXnX4nPYinp/view?usp=drivesdk" TargetMode="External"/><Relationship Id="rId150" Type="http://schemas.openxmlformats.org/officeDocument/2006/relationships/hyperlink" Target="https://drive.google.com/a/scoutsdemadrid.org/file/d/18InCMCqvqVfkJDsr0LydwHMo0pNk6Kt9/view?usp=drivesdk" TargetMode="External"/><Relationship Id="rId155" Type="http://schemas.openxmlformats.org/officeDocument/2006/relationships/hyperlink" Target="https://drive.google.com/a/scoutsdemadrid.org/file/d/1HK4ATS9MB4uyihqc1ISyJY6bB93lY82C/view?usp=drivesdk" TargetMode="External"/><Relationship Id="rId12" Type="http://schemas.openxmlformats.org/officeDocument/2006/relationships/hyperlink" Target="https://drive.google.com/a/scoutsdemadrid.org/file/d/1JvMUGYPoJvEcecuk3EF3DnIwYo-ZEU2O/view?usp=drivesdk" TargetMode="External"/><Relationship Id="rId17" Type="http://schemas.openxmlformats.org/officeDocument/2006/relationships/hyperlink" Target="https://drive.google.com/a/scoutsdemadrid.org/file/d/1M-ner2FCpbzDBMvGN6I_kGs7d8-GYPr9/view?usp=drivesdk" TargetMode="External"/><Relationship Id="rId33" Type="http://schemas.openxmlformats.org/officeDocument/2006/relationships/hyperlink" Target="https://drive.google.com/a/scoutsdemadrid.org/file/d/17ZQcBxq5CX_b-ti0d4lcwurAygWdaZqo/view?usp=drivesdk" TargetMode="External"/><Relationship Id="rId38" Type="http://schemas.openxmlformats.org/officeDocument/2006/relationships/hyperlink" Target="https://drive.google.com/a/scoutsdemadrid.org/file/d/1IxofbD9pa0WGxNedbktwV4xfQtR6zdfT/view?usp=drivesdk" TargetMode="External"/><Relationship Id="rId59" Type="http://schemas.openxmlformats.org/officeDocument/2006/relationships/hyperlink" Target="https://drive.google.com/a/scoutsdemadrid.org/file/d/1jzLbpvIUnKsSX3_62DkyRHlOcfRVLguz/view?usp=drivesdk" TargetMode="External"/><Relationship Id="rId103" Type="http://schemas.openxmlformats.org/officeDocument/2006/relationships/hyperlink" Target="https://drive.google.com/a/scoutsdemadrid.org/file/d/1X41KHIw9OQ_0PxTi0Zpc6eVAFS9P9YwY/view?usp=drivesdk" TargetMode="External"/><Relationship Id="rId108" Type="http://schemas.openxmlformats.org/officeDocument/2006/relationships/hyperlink" Target="https://drive.google.com/a/scoutsdemadrid.org/file/d/19IU8dJg0hG06COCR9Rxx4zbLulzR-jz7/view?usp=drivesdk" TargetMode="External"/><Relationship Id="rId124" Type="http://schemas.openxmlformats.org/officeDocument/2006/relationships/hyperlink" Target="https://drive.google.com/a/scoutsdemadrid.org/file/d/1GrrkFQjNtAx1Jzw1_ojmSe7cx9ZPZYDm/view?usp=drivesdk" TargetMode="External"/><Relationship Id="rId129" Type="http://schemas.openxmlformats.org/officeDocument/2006/relationships/hyperlink" Target="https://drive.google.com/a/scoutsdemadrid.org/file/d/1paUmV8zBkosBZ0xH9DxwEpLUgatRO7k0/view?usp=drivesdk" TargetMode="External"/><Relationship Id="rId54" Type="http://schemas.openxmlformats.org/officeDocument/2006/relationships/hyperlink" Target="https://drive.google.com/a/scoutsdemadrid.org/file/d/1cuHk2Ka67O8MswD-QMTqikErNXWCNTc5/view?usp=drivesdk" TargetMode="External"/><Relationship Id="rId70" Type="http://schemas.openxmlformats.org/officeDocument/2006/relationships/hyperlink" Target="https://drive.google.com/a/scoutsdemadrid.org/file/d/1nJnRA-H8PGgXdcXsMioZmCsBrRx1DjP6/view?usp=drivesdk" TargetMode="External"/><Relationship Id="rId75" Type="http://schemas.openxmlformats.org/officeDocument/2006/relationships/hyperlink" Target="https://drive.google.com/a/scoutsdemadrid.org/file/d/1ZnINS0QHe7qp1RjFmOmPu5KgqwmAbafe/view?usp=drivesdk" TargetMode="External"/><Relationship Id="rId91" Type="http://schemas.openxmlformats.org/officeDocument/2006/relationships/hyperlink" Target="https://drive.google.com/a/scoutsdemadrid.org/file/d/1MuM9ug8EBGhwN-rZvCpGdzyfiTG9jrfD/view?usp=drivesdk" TargetMode="External"/><Relationship Id="rId96" Type="http://schemas.openxmlformats.org/officeDocument/2006/relationships/hyperlink" Target="https://drive.google.com/a/scoutsdemadrid.org/file/d/1sryoWwraFfqYVnrq3Q3vozbfD0QPIRC3/view?usp=drivesdk" TargetMode="External"/><Relationship Id="rId140" Type="http://schemas.openxmlformats.org/officeDocument/2006/relationships/hyperlink" Target="https://drive.google.com/a/scoutsdemadrid.org/file/d/1m9UVZR49cWNdztmPs7jfimSwxM8vcAUr/view?usp=drivesdk" TargetMode="External"/><Relationship Id="rId145" Type="http://schemas.openxmlformats.org/officeDocument/2006/relationships/hyperlink" Target="https://drive.google.com/a/scoutsdemadrid.org/file/d/1MGvaM1coCXwAyIx7OGOPNBriHRXOrMXP/view?usp=drivesdk" TargetMode="External"/><Relationship Id="rId161" Type="http://schemas.openxmlformats.org/officeDocument/2006/relationships/hyperlink" Target="https://drive.google.com/a/scoutsdemadrid.org/file/d/18DS_1FgetB5u8yb_UX28cM0A_Vcod8le/view?usp=drivesdk" TargetMode="External"/><Relationship Id="rId166" Type="http://schemas.openxmlformats.org/officeDocument/2006/relationships/hyperlink" Target="https://drive.google.com/a/scoutsdemadrid.org/file/d/1SX08W-o4RBdsFMMuBCUykFK52BPKCw_X/view?usp=drivesdk" TargetMode="External"/><Relationship Id="rId1" Type="http://schemas.openxmlformats.org/officeDocument/2006/relationships/pivotTable" Target="../pivotTables/pivotTable1.xml"/><Relationship Id="rId6" Type="http://schemas.openxmlformats.org/officeDocument/2006/relationships/hyperlink" Target="https://drive.google.com/a/scoutsdemadrid.org/file/d/1e3YyWcF2OAGxz8fbUs39p3xw01FEpdIg/view?usp=drivesdk" TargetMode="External"/><Relationship Id="rId15" Type="http://schemas.openxmlformats.org/officeDocument/2006/relationships/hyperlink" Target="https://drive.google.com/a/scoutsdemadrid.org/file/d/15pBinMiA7ksERwnIG1aRJZLBQthga_8o/view?usp=drivesdk" TargetMode="External"/><Relationship Id="rId23" Type="http://schemas.openxmlformats.org/officeDocument/2006/relationships/hyperlink" Target="https://drive.google.com/a/scoutsdemadrid.org/file/d/1kCubC2FcRmGg6IlqhEKlvOtnMydlEswJ/view?usp=drivesdk" TargetMode="External"/><Relationship Id="rId28" Type="http://schemas.openxmlformats.org/officeDocument/2006/relationships/hyperlink" Target="https://drive.google.com/a/scoutsdemadrid.org/file/d/1vVoooUHqWf4N38az4IoQwy1sGJvQfvEv/view?usp=drivesdk" TargetMode="External"/><Relationship Id="rId36" Type="http://schemas.openxmlformats.org/officeDocument/2006/relationships/hyperlink" Target="https://drive.google.com/a/scoutsdemadrid.org/file/d/1ZoHdJYkj0YToHrdmFzNYulnhlqOAm-m7/view?usp=drivesdk" TargetMode="External"/><Relationship Id="rId49" Type="http://schemas.openxmlformats.org/officeDocument/2006/relationships/hyperlink" Target="https://drive.google.com/a/scoutsdemadrid.org/file/d/1Br8Q0mZgfBAK4cVK_rDRDTLwi3wq6f4G/view?usp=drivesdk" TargetMode="External"/><Relationship Id="rId57" Type="http://schemas.openxmlformats.org/officeDocument/2006/relationships/hyperlink" Target="https://drive.google.com/a/scoutsdemadrid.org/file/d/1dy9_2Cd_bMYmYr2Z4MKXCYFYNWlNYEwE/view?usp=drivesdk" TargetMode="External"/><Relationship Id="rId106" Type="http://schemas.openxmlformats.org/officeDocument/2006/relationships/hyperlink" Target="https://drive.google.com/a/scoutsdemadrid.org/file/d/11EiXfDDE1PxYxfeteqdDUPXN9WWBW_CB/view?usp=drivesdk" TargetMode="External"/><Relationship Id="rId114" Type="http://schemas.openxmlformats.org/officeDocument/2006/relationships/hyperlink" Target="https://drive.google.com/a/scoutsdemadrid.org/file/d/17-0Mf0OW4gTLZcv8LJ6T8N8KyEOGkTnH/view?usp=drivesdk" TargetMode="External"/><Relationship Id="rId119" Type="http://schemas.openxmlformats.org/officeDocument/2006/relationships/hyperlink" Target="https://drive.google.com/a/scoutsdemadrid.org/file/d/1U_h5ESn-uuOiso_d-o1sX1EwMOYaICf8/view?usp=drivesdk" TargetMode="External"/><Relationship Id="rId127" Type="http://schemas.openxmlformats.org/officeDocument/2006/relationships/hyperlink" Target="https://drive.google.com/a/scoutsdemadrid.org/file/d/1r5RpCUZGa-TnFYXKaMwq91UjWvSg-NmI/view?usp=drivesdk" TargetMode="External"/><Relationship Id="rId10" Type="http://schemas.openxmlformats.org/officeDocument/2006/relationships/hyperlink" Target="https://drive.google.com/a/scoutsdemadrid.org/file/d/1EQDhT9S-i3IxtNY3sTl2dpzYDuHT7iR3/view?usp=drivesdk" TargetMode="External"/><Relationship Id="rId31" Type="http://schemas.openxmlformats.org/officeDocument/2006/relationships/hyperlink" Target="https://drive.google.com/a/scoutsdemadrid.org/file/d/1YkPMLPcZzV5YRmnIWQqRLQAW0Okxo9_u/view?usp=drivesdk" TargetMode="External"/><Relationship Id="rId44" Type="http://schemas.openxmlformats.org/officeDocument/2006/relationships/hyperlink" Target="https://drive.google.com/a/scoutsdemadrid.org/file/d/1YDm3VZDAk7gg5ffCMQPBrMK2oWwBjg_t/view?usp=drivesdk" TargetMode="External"/><Relationship Id="rId52" Type="http://schemas.openxmlformats.org/officeDocument/2006/relationships/hyperlink" Target="https://drive.google.com/a/scoutsdemadrid.org/file/d/1y-5INBLE2BMZrwj4ckr7-3t_qvbypD_R/view?usp=drivesdk" TargetMode="External"/><Relationship Id="rId60" Type="http://schemas.openxmlformats.org/officeDocument/2006/relationships/hyperlink" Target="https://drive.google.com/a/scoutsdemadrid.org/file/d/1LxDPv1JuqXbnDpRMUd0Z5WTyak7I76UE/view?usp=drivesdk" TargetMode="External"/><Relationship Id="rId65" Type="http://schemas.openxmlformats.org/officeDocument/2006/relationships/hyperlink" Target="https://drive.google.com/a/scoutsdemadrid.org/file/d/18s40oVz9hCTc0BNsfN6rgp1n_0gW44MT/view?usp=drivesdk" TargetMode="External"/><Relationship Id="rId73" Type="http://schemas.openxmlformats.org/officeDocument/2006/relationships/hyperlink" Target="https://drive.google.com/a/scoutsdemadrid.org/file/d/1YIccC_p-na2tPhTihwatZ4-h9lxADwx1/view?usp=drivesdk" TargetMode="External"/><Relationship Id="rId78" Type="http://schemas.openxmlformats.org/officeDocument/2006/relationships/hyperlink" Target="https://drive.google.com/a/scoutsdemadrid.org/file/d/1mFehhDVb0Hz8w7i5uc9uWMQaF3oX06Z-/view?usp=drivesdk" TargetMode="External"/><Relationship Id="rId81" Type="http://schemas.openxmlformats.org/officeDocument/2006/relationships/hyperlink" Target="https://drive.google.com/a/scoutsdemadrid.org/file/d/1CDIrdQEz-XImIlhmRuc6k8YsV6_qo92c/view?usp=drivesdk" TargetMode="External"/><Relationship Id="rId86" Type="http://schemas.openxmlformats.org/officeDocument/2006/relationships/hyperlink" Target="https://drive.google.com/a/scoutsdemadrid.org/file/d/1UTcAT1AGEHqI66c6BJ347vllXEeOGEL-/view?usp=drivesdk" TargetMode="External"/><Relationship Id="rId94" Type="http://schemas.openxmlformats.org/officeDocument/2006/relationships/hyperlink" Target="https://drive.google.com/a/scoutsdemadrid.org/file/d/1P_MowlVaWbRcTyjuqsmApGRwkZ8JS9jj/view?usp=drivesdk" TargetMode="External"/><Relationship Id="rId99" Type="http://schemas.openxmlformats.org/officeDocument/2006/relationships/hyperlink" Target="https://drive.google.com/a/scoutsdemadrid.org/file/d/1afHeJ9dNS4haeXSgFzEPjs-NyamAt9uA/view?usp=drivesdk" TargetMode="External"/><Relationship Id="rId101" Type="http://schemas.openxmlformats.org/officeDocument/2006/relationships/hyperlink" Target="https://drive.google.com/a/scoutsdemadrid.org/file/d/1Bjev0iZLc2kL8d5OM5nnZCY3gJo7NqfD/view?usp=drivesdk" TargetMode="External"/><Relationship Id="rId122" Type="http://schemas.openxmlformats.org/officeDocument/2006/relationships/hyperlink" Target="https://drive.google.com/a/scoutsdemadrid.org/file/d/1RhWVQ44G7cBOlPVvsJg9v15ME0rYDpUg/view?usp=drivesdk" TargetMode="External"/><Relationship Id="rId130" Type="http://schemas.openxmlformats.org/officeDocument/2006/relationships/hyperlink" Target="https://drive.google.com/a/scoutsdemadrid.org/file/d/1Mv7uuryE5n69CKJB8Z6fe-gEBnIkv7Nc/view?usp=drivesdk" TargetMode="External"/><Relationship Id="rId135" Type="http://schemas.openxmlformats.org/officeDocument/2006/relationships/hyperlink" Target="https://drive.google.com/a/scoutsdemadrid.org/file/d/1ISRgM1czGfobewrNzunZsC6Wq_jFj-fX/view?usp=drivesdk" TargetMode="External"/><Relationship Id="rId143" Type="http://schemas.openxmlformats.org/officeDocument/2006/relationships/hyperlink" Target="https://drive.google.com/a/scoutsdemadrid.org/file/d/101PvOZoGNSnSlEjkE7VEwbf-7zLIqOob/view?usp=drivesdk" TargetMode="External"/><Relationship Id="rId148" Type="http://schemas.openxmlformats.org/officeDocument/2006/relationships/hyperlink" Target="https://drive.google.com/a/scoutsdemadrid.org/file/d/1Eln7ZUf3P40TsUQIngUHjwb_OTahFNEN/view?usp=drivesdk" TargetMode="External"/><Relationship Id="rId151" Type="http://schemas.openxmlformats.org/officeDocument/2006/relationships/hyperlink" Target="https://drive.google.com/a/scoutsdemadrid.org/file/d/1w1IFV3b8vb-DnhGoHUoejFhAkC7ybwnH/view?usp=drivesdk" TargetMode="External"/><Relationship Id="rId156" Type="http://schemas.openxmlformats.org/officeDocument/2006/relationships/hyperlink" Target="https://drive.google.com/a/scoutsdemadrid.org/file/d/1G_SaI5eadyzfSVhNgLcsJ3UZPHnDBxvQ/view?usp=drivesdk" TargetMode="External"/><Relationship Id="rId164" Type="http://schemas.openxmlformats.org/officeDocument/2006/relationships/hyperlink" Target="https://drive.google.com/a/scoutsdemadrid.org/file/d/1Dh7zvIuCUHi7Jh5ca20cbJEPRxqPQ8gS/view?usp=drivesdk" TargetMode="External"/><Relationship Id="rId4" Type="http://schemas.openxmlformats.org/officeDocument/2006/relationships/hyperlink" Target="https://drive.google.com/a/scoutsdemadrid.org/file/d/12nCZTnjrar6gGDtzvlJzyOxXAKIcoM3p/view?usp=drivesdk" TargetMode="External"/><Relationship Id="rId9" Type="http://schemas.openxmlformats.org/officeDocument/2006/relationships/hyperlink" Target="https://drive.google.com/a/scoutsdemadrid.org/file/d/1HLdvNWFMINQ9DYikdO-Q5gb6VtADi5ab/view?usp=drivesdk" TargetMode="External"/><Relationship Id="rId13" Type="http://schemas.openxmlformats.org/officeDocument/2006/relationships/hyperlink" Target="https://drive.google.com/a/scoutsdemadrid.org/file/d/1YiHHiEjoUq5aYLs7h49cil7-oUJcmDXc/view?usp=drivesdk" TargetMode="External"/><Relationship Id="rId18" Type="http://schemas.openxmlformats.org/officeDocument/2006/relationships/hyperlink" Target="https://drive.google.com/a/scoutsdemadrid.org/file/d/1F0RDNBNyJNiECq2HUUowiXwooceqq346/view?usp=drivesdk" TargetMode="External"/><Relationship Id="rId39" Type="http://schemas.openxmlformats.org/officeDocument/2006/relationships/hyperlink" Target="https://drive.google.com/a/scoutsdemadrid.org/file/d/16JjFIr5h3o_1gv0VJtZM6aNmJrv2XaAY/view?usp=drivesdk" TargetMode="External"/><Relationship Id="rId109" Type="http://schemas.openxmlformats.org/officeDocument/2006/relationships/hyperlink" Target="https://drive.google.com/a/scoutsdemadrid.org/file/d/11WFxLJt5cYyT69r1KbBr2HW2ptfw-WQo/view?usp=drivesdk" TargetMode="External"/><Relationship Id="rId34" Type="http://schemas.openxmlformats.org/officeDocument/2006/relationships/hyperlink" Target="https://drive.google.com/a/scoutsdemadrid.org/file/d/1fH3nG9YAbdSQhFsvy-zNe5MG0_2S6-Xw/view?usp=drivesdk" TargetMode="External"/><Relationship Id="rId50" Type="http://schemas.openxmlformats.org/officeDocument/2006/relationships/hyperlink" Target="https://drive.google.com/a/scoutsdemadrid.org/file/d/1eAVlmbEpggs18Tf1atZ7ZY1f_DMKEgpo/view?usp=drivesdk" TargetMode="External"/><Relationship Id="rId55" Type="http://schemas.openxmlformats.org/officeDocument/2006/relationships/hyperlink" Target="https://drive.google.com/a/scoutsdemadrid.org/file/d/1a-OZoe4GjssLR_MVQdHYcbszSbVE7eox/view?usp=drivesdk" TargetMode="External"/><Relationship Id="rId76" Type="http://schemas.openxmlformats.org/officeDocument/2006/relationships/hyperlink" Target="https://drive.google.com/a/scoutsdemadrid.org/file/d/1ZnINS0QHe7qp1RjFmOmPu5KgqwmAbafe/view?usp=drivesdk" TargetMode="External"/><Relationship Id="rId97" Type="http://schemas.openxmlformats.org/officeDocument/2006/relationships/hyperlink" Target="https://drive.google.com/a/scoutsdemadrid.org/file/d/1che6Mlvb2fOszWeDcOF-Lw5K-cCvGt4V/view?usp=drivesdk" TargetMode="External"/><Relationship Id="rId104" Type="http://schemas.openxmlformats.org/officeDocument/2006/relationships/hyperlink" Target="https://drive.google.com/a/scoutsdemadrid.org/file/d/1dlU6orqLZHslSzm77oKC89gnYufTv3g7/view?usp=drivesdk" TargetMode="External"/><Relationship Id="rId120" Type="http://schemas.openxmlformats.org/officeDocument/2006/relationships/hyperlink" Target="https://drive.google.com/a/scoutsdemadrid.org/file/d/1ccPg8IlMo0OeIea1D5R1u6gyi6R8AexP/view?usp=drivesdk" TargetMode="External"/><Relationship Id="rId125" Type="http://schemas.openxmlformats.org/officeDocument/2006/relationships/hyperlink" Target="https://drive.google.com/a/scoutsdemadrid.org/file/d/1WlM3OtCn3Snb6w0l2a9g5mN_4W76z9Q6/view?usp=drivesdk" TargetMode="External"/><Relationship Id="rId141" Type="http://schemas.openxmlformats.org/officeDocument/2006/relationships/hyperlink" Target="https://drive.google.com/a/scoutsdemadrid.org/file/d/1l9rR4fxUS7K3CixMQWAgeuSrNsbubseC/view?usp=drivesdk" TargetMode="External"/><Relationship Id="rId146" Type="http://schemas.openxmlformats.org/officeDocument/2006/relationships/hyperlink" Target="https://drive.google.com/a/scoutsdemadrid.org/file/d/1ZFAgHcRluL3aF5AiXzvR3E8EOtzFRLtB/view?usp=drivesdk" TargetMode="External"/><Relationship Id="rId167" Type="http://schemas.openxmlformats.org/officeDocument/2006/relationships/hyperlink" Target="https://drive.google.com/a/scoutsdemadrid.org/file/d/11O_aPaZRiagoo6qD0sYBjX-S0FnhLX6H/view?usp=drivesdk" TargetMode="External"/><Relationship Id="rId7" Type="http://schemas.openxmlformats.org/officeDocument/2006/relationships/hyperlink" Target="https://drive.google.com/a/scoutsdemadrid.org/file/d/17NgfP5fNSu7rPdPq_uTUntDjLMmD5Qzg/view?usp=drivesdk" TargetMode="External"/><Relationship Id="rId71" Type="http://schemas.openxmlformats.org/officeDocument/2006/relationships/hyperlink" Target="https://drive.google.com/a/scoutsdemadrid.org/file/d/1s_J_ILHHhAcH2Y52jeoj_guKEPtBr4E5/view?usp=drivesdk" TargetMode="External"/><Relationship Id="rId92" Type="http://schemas.openxmlformats.org/officeDocument/2006/relationships/hyperlink" Target="https://drive.google.com/a/scoutsdemadrid.org/file/d/1E6FQ_vMOtr0kRnMZROt-c7r5TU4obWOQ/view?usp=drivesdk" TargetMode="External"/><Relationship Id="rId162" Type="http://schemas.openxmlformats.org/officeDocument/2006/relationships/hyperlink" Target="https://drive.google.com/a/scoutsdemadrid.org/file/d/1TZ-PEviYB84ebpyEpx9tljIdtvQHLCjh/view?usp=drivesdk" TargetMode="External"/><Relationship Id="rId2" Type="http://schemas.openxmlformats.org/officeDocument/2006/relationships/hyperlink" Target="https://drive.google.com/a/scoutsdemadrid.org/file/d/1l-va1jw0T0ZgwMJvW217pOENpLQ5msK6/view?usp=drivesdk" TargetMode="External"/><Relationship Id="rId29" Type="http://schemas.openxmlformats.org/officeDocument/2006/relationships/hyperlink" Target="https://drive.google.com/a/scoutsdemadrid.org/file/d/1EmJUdBE7EOyCQkBrtU2jOFIE6etcz_bI/view?usp=drivesdk" TargetMode="External"/><Relationship Id="rId24" Type="http://schemas.openxmlformats.org/officeDocument/2006/relationships/hyperlink" Target="https://drive.google.com/a/scoutsdemadrid.org/file/d/19YolY921JsnJ1xE9g9jkOfFDOl-WQ2BC/view?usp=drivesdk" TargetMode="External"/><Relationship Id="rId40" Type="http://schemas.openxmlformats.org/officeDocument/2006/relationships/hyperlink" Target="https://drive.google.com/a/scoutsdemadrid.org/file/d/1O6FvI2LTuZi5-jMRyYBnkWlUTf4ZOw01/view?usp=drivesdk" TargetMode="External"/><Relationship Id="rId45" Type="http://schemas.openxmlformats.org/officeDocument/2006/relationships/hyperlink" Target="https://drive.google.com/a/scoutsdemadrid.org/file/d/18Hzqpcct39HO2d2hoUMWdQtUPK8QMzZ2/view?usp=drivesdk" TargetMode="External"/><Relationship Id="rId66" Type="http://schemas.openxmlformats.org/officeDocument/2006/relationships/hyperlink" Target="https://drive.google.com/a/scoutsdemadrid.org/file/d/1VYNLTDukdinE-BM7drtneoGkyGQ35JE_/view?usp=drivesdk" TargetMode="External"/><Relationship Id="rId87" Type="http://schemas.openxmlformats.org/officeDocument/2006/relationships/hyperlink" Target="https://drive.google.com/a/scoutsdemadrid.org/file/d/1N8Rk4THQpfXMhrAclMpAkXuhGXZp1aom/view?usp=drivesdk" TargetMode="External"/><Relationship Id="rId110" Type="http://schemas.openxmlformats.org/officeDocument/2006/relationships/hyperlink" Target="https://drive.google.com/a/scoutsdemadrid.org/file/d/1ssfJ-b0hB8n7rQQ5_8C6m-asfvAJtPS9/view?usp=drivesdk" TargetMode="External"/><Relationship Id="rId115" Type="http://schemas.openxmlformats.org/officeDocument/2006/relationships/hyperlink" Target="https://drive.google.com/a/scoutsdemadrid.org/file/d/17-0Mf0OW4gTLZcv8LJ6T8N8KyEOGkTnH/view?usp=drivesdk" TargetMode="External"/><Relationship Id="rId131" Type="http://schemas.openxmlformats.org/officeDocument/2006/relationships/hyperlink" Target="https://drive.google.com/a/scoutsdemadrid.org/file/d/1XA_0_OdOMgMB5XPcpz2qopbtHqDs3Wux/view?usp=drivesdk" TargetMode="External"/><Relationship Id="rId136" Type="http://schemas.openxmlformats.org/officeDocument/2006/relationships/hyperlink" Target="https://drive.google.com/a/scoutsdemadrid.org/file/d/1ahH-NsfArBwMzGdcT4Ul6xp6EQyMDjWa/view?usp=drivesdk" TargetMode="External"/><Relationship Id="rId157" Type="http://schemas.openxmlformats.org/officeDocument/2006/relationships/hyperlink" Target="https://drive.google.com/a/scoutsdemadrid.org/file/d/1GabpH3SG49gdTaL9LrC-DyxuZvWpd1zW/view?usp=drivesdk" TargetMode="External"/><Relationship Id="rId61" Type="http://schemas.openxmlformats.org/officeDocument/2006/relationships/hyperlink" Target="https://drive.google.com/a/scoutsdemadrid.org/file/d/11-fg7m7hjz0TwKrbtFgc4Rhs2gPMe6af/view?usp=drivesdk" TargetMode="External"/><Relationship Id="rId82" Type="http://schemas.openxmlformats.org/officeDocument/2006/relationships/hyperlink" Target="https://drive.google.com/a/scoutsdemadrid.org/file/d/1KPHJdw7HN98l3jtI9IiqvobbunPF8zCI/view?usp=drivesdk" TargetMode="External"/><Relationship Id="rId152" Type="http://schemas.openxmlformats.org/officeDocument/2006/relationships/hyperlink" Target="https://drive.google.com/a/scoutsdemadrid.org/file/d/1h_r8IGMWHVr9giinbdFRy862Q-x5TBu3/view?usp=drivesdk" TargetMode="External"/><Relationship Id="rId19" Type="http://schemas.openxmlformats.org/officeDocument/2006/relationships/hyperlink" Target="https://drive.google.com/a/scoutsdemadrid.org/file/d/1F0RDNBNyJNiECq2HUUowiXwooceqq346/view?usp=drivesdk" TargetMode="External"/><Relationship Id="rId14" Type="http://schemas.openxmlformats.org/officeDocument/2006/relationships/hyperlink" Target="https://drive.google.com/a/scoutsdemadrid.org/file/d/1zgWcGL98s-py8ZuaMAegdNTFjEZubZ-C/view?usp=drivesdk" TargetMode="External"/><Relationship Id="rId30" Type="http://schemas.openxmlformats.org/officeDocument/2006/relationships/hyperlink" Target="https://drive.google.com/a/scoutsdemadrid.org/file/d/1wtnjFLwU723eDKm5DeThfhi9Mr7kkcIW/view?usp=drivesdk" TargetMode="External"/><Relationship Id="rId35" Type="http://schemas.openxmlformats.org/officeDocument/2006/relationships/hyperlink" Target="https://drive.google.com/a/scoutsdemadrid.org/file/d/1QUFrUOxyBX8lANqUN6_EX08OIIAQVDBL/view?usp=drivesdk" TargetMode="External"/><Relationship Id="rId56" Type="http://schemas.openxmlformats.org/officeDocument/2006/relationships/hyperlink" Target="https://drive.google.com/a/scoutsdemadrid.org/file/d/112SStJYkY2xlYd48rHIl6ors4u_KCYGe/view?usp=drivesdk" TargetMode="External"/><Relationship Id="rId77" Type="http://schemas.openxmlformats.org/officeDocument/2006/relationships/hyperlink" Target="https://drive.google.com/a/scoutsdemadrid.org/file/d/1-6UqlWiqZB6tyYD0EO1YEXOJag7egAH0/view?usp=drivesdk" TargetMode="External"/><Relationship Id="rId100" Type="http://schemas.openxmlformats.org/officeDocument/2006/relationships/hyperlink" Target="https://drive.google.com/a/scoutsdemadrid.org/file/d/1j5LR0nDOSDRx47nn19c2QVZWDGzvpW8_/view?usp=drivesdk" TargetMode="External"/><Relationship Id="rId105" Type="http://schemas.openxmlformats.org/officeDocument/2006/relationships/hyperlink" Target="https://drive.google.com/a/scoutsdemadrid.org/file/d/1MVddqn8iTVYw25O2WE0zja8zm1oaXAkn/view?usp=drivesdk" TargetMode="External"/><Relationship Id="rId126" Type="http://schemas.openxmlformats.org/officeDocument/2006/relationships/hyperlink" Target="https://drive.google.com/a/scoutsdemadrid.org/file/d/1qvKRKy8DbXsvrB-WYMNKZyjSWdnr2BiM/view?usp=drivesdk" TargetMode="External"/><Relationship Id="rId147" Type="http://schemas.openxmlformats.org/officeDocument/2006/relationships/hyperlink" Target="https://drive.google.com/a/scoutsdemadrid.org/file/d/12x0nCSKTumNI2BtROWoC2xUdWSLYcFbY/view?usp=drivesdk" TargetMode="External"/><Relationship Id="rId8" Type="http://schemas.openxmlformats.org/officeDocument/2006/relationships/hyperlink" Target="https://drive.google.com/a/scoutsdemadrid.org/file/d/1TX_Wb2eONbY_TUr1zzycdYCpVAERzVvB/view?usp=drivesdk" TargetMode="External"/><Relationship Id="rId51" Type="http://schemas.openxmlformats.org/officeDocument/2006/relationships/hyperlink" Target="https://drive.google.com/a/scoutsdemadrid.org/file/d/1mJiNtDWxWk6-WxpbA3rLkFCEP56qUsTd/view?usp=drivesdk" TargetMode="External"/><Relationship Id="rId72" Type="http://schemas.openxmlformats.org/officeDocument/2006/relationships/hyperlink" Target="https://drive.google.com/a/scoutsdemadrid.org/file/d/1ze4bDsR1oIz99k6FawRgaJ5XNoJCZFAx/view?usp=drivesdk" TargetMode="External"/><Relationship Id="rId93" Type="http://schemas.openxmlformats.org/officeDocument/2006/relationships/hyperlink" Target="https://drive.google.com/a/scoutsdemadrid.org/file/d/1LNRV3EODRFd1FUKekZClCAYR3xaR-eSV/view?usp=drivesdk" TargetMode="External"/><Relationship Id="rId98" Type="http://schemas.openxmlformats.org/officeDocument/2006/relationships/hyperlink" Target="https://drive.google.com/a/scoutsdemadrid.org/file/d/1UE1CHSg_G39cxPzDb-8WamdNIr7HheeX/view?usp=drivesdk" TargetMode="External"/><Relationship Id="rId121" Type="http://schemas.openxmlformats.org/officeDocument/2006/relationships/hyperlink" Target="https://drive.google.com/a/scoutsdemadrid.org/file/d/1Lodhy1YZp7MBeqjbHhxkY3XOZkmzs2_Z/view?usp=drivesdk" TargetMode="External"/><Relationship Id="rId142" Type="http://schemas.openxmlformats.org/officeDocument/2006/relationships/hyperlink" Target="https://drive.google.com/a/scoutsdemadrid.org/file/d/1t3xVntAHapQY5aIfyhx__39XemGINgNL/view?usp=drivesdk" TargetMode="External"/><Relationship Id="rId163" Type="http://schemas.openxmlformats.org/officeDocument/2006/relationships/hyperlink" Target="https://drive.google.com/a/scoutsdemadrid.org/file/d/1WFn1hHI6DrZ5b_aNmKlDCsrTMJ5XOTlv/view?usp=drivesdk" TargetMode="External"/><Relationship Id="rId3" Type="http://schemas.openxmlformats.org/officeDocument/2006/relationships/hyperlink" Target="https://drive.google.com/a/scoutsdemadrid.org/file/d/12E_BTcDpdoSQFAXifIwwqbRuxW7lz0A3/view?usp=drivesdk" TargetMode="External"/><Relationship Id="rId25" Type="http://schemas.openxmlformats.org/officeDocument/2006/relationships/hyperlink" Target="https://drive.google.com/a/scoutsdemadrid.org/file/d/1vNf8wuaMnLRW47TYE72bYxZFlLtjBp16/view?usp=drivesdk" TargetMode="External"/><Relationship Id="rId46" Type="http://schemas.openxmlformats.org/officeDocument/2006/relationships/hyperlink" Target="https://drive.google.com/a/scoutsdemadrid.org/file/d/1xXRTXkJFj5BORNtH1tCe3yH0v2kMp7w2/view?usp=drivesdk" TargetMode="External"/><Relationship Id="rId67" Type="http://schemas.openxmlformats.org/officeDocument/2006/relationships/hyperlink" Target="https://drive.google.com/a/scoutsdemadrid.org/file/d/1Rm6r03b2Z2CEFVF8x3e2Tq9lEbPluKoV/view?usp=drivesdk" TargetMode="External"/><Relationship Id="rId116" Type="http://schemas.openxmlformats.org/officeDocument/2006/relationships/hyperlink" Target="https://drive.google.com/a/scoutsdemadrid.org/file/d/1YYTnQzK0kg3NqmW4eYVOiwftxlI_-bvc/view?usp=drivesdk" TargetMode="External"/><Relationship Id="rId137" Type="http://schemas.openxmlformats.org/officeDocument/2006/relationships/hyperlink" Target="https://drive.google.com/a/scoutsdemadrid.org/file/d/1wO-N4g0eCnWck8aGdUuVr_crnSL0mQgJ/view?usp=drivesdk" TargetMode="External"/><Relationship Id="rId158" Type="http://schemas.openxmlformats.org/officeDocument/2006/relationships/hyperlink" Target="https://drive.google.com/a/scoutsdemadrid.org/file/d/1Zfpo2Vh19V1hanQ_YRjFcZbMWoGlQYJQ/view?usp=drivesdk" TargetMode="External"/><Relationship Id="rId20" Type="http://schemas.openxmlformats.org/officeDocument/2006/relationships/hyperlink" Target="https://drive.google.com/a/scoutsdemadrid.org/file/d/1043fvGJExjMkOhKgceOI2NvNjqTNGc1i/view?usp=drivesdk" TargetMode="External"/><Relationship Id="rId41" Type="http://schemas.openxmlformats.org/officeDocument/2006/relationships/hyperlink" Target="https://drive.google.com/a/scoutsdemadrid.org/file/d/1O6FvI2LTuZi5-jMRyYBnkWlUTf4ZOw01/view?usp=drivesdk" TargetMode="External"/><Relationship Id="rId62" Type="http://schemas.openxmlformats.org/officeDocument/2006/relationships/hyperlink" Target="https://drive.google.com/a/scoutsdemadrid.org/file/d/1dfYIYZUYpbcCCldzmRJ_VKvI-JiSEmQy/view?usp=drivesdk" TargetMode="External"/><Relationship Id="rId83" Type="http://schemas.openxmlformats.org/officeDocument/2006/relationships/hyperlink" Target="https://drive.google.com/a/scoutsdemadrid.org/file/d/1rXhnkle2iV8Z43BoFExkknPbrLw4p-jd/view?usp=drivesdk" TargetMode="External"/><Relationship Id="rId88" Type="http://schemas.openxmlformats.org/officeDocument/2006/relationships/hyperlink" Target="https://drive.google.com/a/scoutsdemadrid.org/file/d/1pjkAAiCj6tAvSFnF9oqH9bY3dkA8z0QH/view?usp=drivesdk" TargetMode="External"/><Relationship Id="rId111" Type="http://schemas.openxmlformats.org/officeDocument/2006/relationships/hyperlink" Target="https://drive.google.com/a/scoutsdemadrid.org/file/d/1QIL5uMAfpPbtlprnEItyUVZ46a-OcUSa/view?usp=drivesdk" TargetMode="External"/><Relationship Id="rId132" Type="http://schemas.openxmlformats.org/officeDocument/2006/relationships/hyperlink" Target="https://drive.google.com/a/scoutsdemadrid.org/file/d/1gtv6cUXXWI46u6MF3VGTfVG24lQe0L9y/view?usp=drivesdk" TargetMode="External"/><Relationship Id="rId153" Type="http://schemas.openxmlformats.org/officeDocument/2006/relationships/hyperlink" Target="https://drive.google.com/a/scoutsdemadrid.org/file/d/1hPsYUHImdbi4-ZuhFaKDv38ak8w_s7wm/view?usp=drivesdk"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docs.google.com/spreadsheets/d/1xoKYXsGMIFqtX4yvqrNnOSPgQdi-OQS6QffgGgSWXNo/edit" TargetMode="External"/><Relationship Id="rId3" Type="http://schemas.openxmlformats.org/officeDocument/2006/relationships/hyperlink" Target="https://docs.google.com/spreadsheets/d/1xoKYXsGMIFqtX4yvqrNnOSPgQdi-OQS6QffgGgSWXNo/edit" TargetMode="External"/><Relationship Id="rId7" Type="http://schemas.openxmlformats.org/officeDocument/2006/relationships/hyperlink" Target="https://docs.google.com/spreadsheets/d/1xoKYXsGMIFqtX4yvqrNnOSPgQdi-OQS6QffgGgSWXNo/edit" TargetMode="External"/><Relationship Id="rId2" Type="http://schemas.openxmlformats.org/officeDocument/2006/relationships/hyperlink" Target="https://docs.google.com/spreadsheets/d/1xoKYXsGMIFqtX4yvqrNnOSPgQdi-OQS6QffgGgSWXNo/edit" TargetMode="External"/><Relationship Id="rId1" Type="http://schemas.openxmlformats.org/officeDocument/2006/relationships/hyperlink" Target="https://docs.google.com/spreadsheets/d/1xoKYXsGMIFqtX4yvqrNnOSPgQdi-OQS6QffgGgSWXNo/edit" TargetMode="External"/><Relationship Id="rId6" Type="http://schemas.openxmlformats.org/officeDocument/2006/relationships/hyperlink" Target="https://docs.google.com/spreadsheets/d/1xoKYXsGMIFqtX4yvqrNnOSPgQdi-OQS6QffgGgSWXNo/edit" TargetMode="External"/><Relationship Id="rId5" Type="http://schemas.openxmlformats.org/officeDocument/2006/relationships/hyperlink" Target="https://docs.google.com/spreadsheets/d/1xoKYXsGMIFqtX4yvqrNnOSPgQdi-OQS6QffgGgSWXNo/edit" TargetMode="External"/><Relationship Id="rId10" Type="http://schemas.openxmlformats.org/officeDocument/2006/relationships/hyperlink" Target="https://docs.google.com/spreadsheets/d/1xoKYXsGMIFqtX4yvqrNnOSPgQdi-OQS6QffgGgSWXNo/edit" TargetMode="External"/><Relationship Id="rId4" Type="http://schemas.openxmlformats.org/officeDocument/2006/relationships/hyperlink" Target="https://docs.google.com/spreadsheets/d/1xoKYXsGMIFqtX4yvqrNnOSPgQdi-OQS6QffgGgSWXNo/edit" TargetMode="External"/><Relationship Id="rId9" Type="http://schemas.openxmlformats.org/officeDocument/2006/relationships/hyperlink" Target="https://docs.google.com/spreadsheets/d/1xoKYXsGMIFqtX4yvqrNnOSPgQdi-OQS6QffgGgSWXNo/edit"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https://maps.google.es/maps?q=pradera+de+los+orcos+casavieja&amp;ie=UTF-8&amp;hl=es" TargetMode="External"/><Relationship Id="rId13" Type="http://schemas.openxmlformats.org/officeDocument/2006/relationships/hyperlink" Target="https://maps.google.es/maps?q=Fontecha,+Lantar%C3%B3n&amp;hl=es&amp;ie=UTF8&amp;ll=42.738975,-3.038508&amp;spn=0.002372,0.004823&amp;sll=42.909999,-2.698387&amp;sspn=1.211015,2.469177&amp;oq=Fontecha&amp;t=h&amp;hnear=Fontecha,+Lantar%C3%B3n,+%C3%81lava,+Pa%C3%ADs+Vasco&amp;z=18" TargetMode="External"/><Relationship Id="rId3" Type="http://schemas.openxmlformats.org/officeDocument/2006/relationships/hyperlink" Target="http://goo.gl/maps/qMKa" TargetMode="External"/><Relationship Id="rId7" Type="http://schemas.openxmlformats.org/officeDocument/2006/relationships/hyperlink" Target="http://goo.gl/maps/I4zW" TargetMode="External"/><Relationship Id="rId12" Type="http://schemas.openxmlformats.org/officeDocument/2006/relationships/hyperlink" Target="https://www.google.com/maps/place/Campamento+Pe%C3%B1a+Negra+Piornal+Valle+del+Jerte/@40.1198892,-5.8320074,274m/data=!3m1!1e3!4m13!1m7!3m6!1s0xd3e36f986235c13:0xed87a1ddaa04f7cb!2s10615+Piornal,+C%C3%A1ceres!3b1!8m2!3d40.1164877!4d-5.8471434!3m4!1s0xd3e37317e7923b9:0x56703321a10940d0!8m2!3d40.1199673!4d-5.8311908" TargetMode="External"/><Relationship Id="rId2" Type="http://schemas.openxmlformats.org/officeDocument/2006/relationships/hyperlink" Target="https://maps.google.com/maps?q=Proaza&amp;hl=en&amp;ll=43.240951,-6.01759&amp;spn=0.080533,0.181103&amp;hnear=Proaza,+Asturias,+Spain&amp;t=m&amp;z=13" TargetMode="External"/><Relationship Id="rId1" Type="http://schemas.openxmlformats.org/officeDocument/2006/relationships/hyperlink" Target="https://maps.google.es/maps?oe=utf-8&amp;client=firefox-a&amp;q=villanova&amp;ie=UTF-8&amp;hq=&amp;hnear=0x12a7d800ff9b261b:0x4018c6508cea590,Villanova&amp;gl=es&amp;ei=Bo3HT9ecDdKLhQfVxcCTCw&amp;oi=geocode_result&amp;ved=0CBoQ8gEwAQ" TargetMode="External"/><Relationship Id="rId6" Type="http://schemas.openxmlformats.org/officeDocument/2006/relationships/hyperlink" Target="https://maps.google.es/maps?hl=es" TargetMode="External"/><Relationship Id="rId11" Type="http://schemas.openxmlformats.org/officeDocument/2006/relationships/hyperlink" Target="http://ayuntamientocheca42gmail.com/" TargetMode="External"/><Relationship Id="rId5" Type="http://schemas.openxmlformats.org/officeDocument/2006/relationships/hyperlink" Target="https://maps.google.es/maps/ms?msid=203418343783550310345.0004c1466ed55533d522c&amp;msa=0&amp;ll=41.834462,-2.743492&amp;spn=0.02785,0.066047" TargetMode="External"/><Relationship Id="rId10" Type="http://schemas.openxmlformats.org/officeDocument/2006/relationships/hyperlink" Target="https://maps.google.es/maps?hl=es&amp;authuser=0" TargetMode="External"/><Relationship Id="rId4" Type="http://schemas.openxmlformats.org/officeDocument/2006/relationships/hyperlink" Target="https://maps.google.es/maps?q=Los+Llazos,+La+Pern%C3%ADa&amp;hl=es&amp;ie=UTF8&amp;ll=42.979841,-4.487325&amp;spn=0.006899,0.016512&amp;sll=40.396764,-3.713379&amp;sspn=14.695835,33.815918&amp;oq=los+llazos&amp;hnear=Los+Llazos,+La+Pern%C3%ADa,+Palencia,+Castilla+y+Le%C3%B3n&amp;t=h&amp;z=17" TargetMode="External"/><Relationship Id="rId9" Type="http://schemas.openxmlformats.org/officeDocument/2006/relationships/hyperlink" Target="http://goo.gl/maps/mxab"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maps.google.es/maps?q=pradera+de+los+orcos+casavieja&amp;ie=UTF-8&amp;hl=es" TargetMode="External"/><Relationship Id="rId13" Type="http://schemas.openxmlformats.org/officeDocument/2006/relationships/hyperlink" Target="https://maps.google.es/maps?q=Fontecha,+Lantar%C3%B3n&amp;hl=es&amp;ie=UTF8&amp;ll=42.738975,-3.038508&amp;spn=0.002372,0.004823&amp;sll=42.909999,-2.698387&amp;sspn=1.211015,2.469177&amp;oq=Fontecha&amp;t=h&amp;hnear=Fontecha,+Lantar%C3%B3n,+%C3%81lava,+Pa%C3%ADs+Vasco&amp;z=18" TargetMode="External"/><Relationship Id="rId3" Type="http://schemas.openxmlformats.org/officeDocument/2006/relationships/hyperlink" Target="http://goo.gl/maps/qMKa" TargetMode="External"/><Relationship Id="rId7" Type="http://schemas.openxmlformats.org/officeDocument/2006/relationships/hyperlink" Target="http://goo.gl/maps/I4zW" TargetMode="External"/><Relationship Id="rId12" Type="http://schemas.openxmlformats.org/officeDocument/2006/relationships/hyperlink" Target="https://www.google.com/maps/place/Campamento+Pe%C3%B1a+Negra+Piornal+Valle+del+Jerte/@40.1198892,-5.8320074,274m/data=!3m1!1e3!4m13!1m7!3m6!1s0xd3e36f986235c13:0xed87a1ddaa04f7cb!2s10615+Piornal,+C%C3%A1ceres!3b1!8m2!3d40.1164877!4d-5.8471434!3m4!1s0xd3e37317e7923b9:0x56703321a10940d0!8m2!3d40.1199673!4d-5.8311908" TargetMode="External"/><Relationship Id="rId2" Type="http://schemas.openxmlformats.org/officeDocument/2006/relationships/hyperlink" Target="https://maps.google.com/maps?q=Proaza&amp;hl=en&amp;ll=43.240951,-6.01759&amp;spn=0.080533,0.181103&amp;hnear=Proaza,+Asturias,+Spain&amp;t=m&amp;z=13" TargetMode="External"/><Relationship Id="rId1" Type="http://schemas.openxmlformats.org/officeDocument/2006/relationships/hyperlink" Target="https://maps.google.es/maps?oe=utf-8&amp;client=firefox-a&amp;q=villanova&amp;ie=UTF-8&amp;hq=&amp;hnear=0x12a7d800ff9b261b:0x4018c6508cea590,Villanova&amp;gl=es&amp;ei=Bo3HT9ecDdKLhQfVxcCTCw&amp;oi=geocode_result&amp;ved=0CBoQ8gEwAQ" TargetMode="External"/><Relationship Id="rId6" Type="http://schemas.openxmlformats.org/officeDocument/2006/relationships/hyperlink" Target="https://maps.google.es/maps?hl=es" TargetMode="External"/><Relationship Id="rId11" Type="http://schemas.openxmlformats.org/officeDocument/2006/relationships/hyperlink" Target="http://ayuntamientocheca42gmail.com/" TargetMode="External"/><Relationship Id="rId5" Type="http://schemas.openxmlformats.org/officeDocument/2006/relationships/hyperlink" Target="https://maps.google.es/maps/ms?msid=203418343783550310345.0004c1466ed55533d522c&amp;msa=0&amp;ll=41.834462,-2.743492&amp;spn=0.02785,0.066047" TargetMode="External"/><Relationship Id="rId10" Type="http://schemas.openxmlformats.org/officeDocument/2006/relationships/hyperlink" Target="https://maps.google.es/maps?hl=es&amp;authuser=0" TargetMode="External"/><Relationship Id="rId4" Type="http://schemas.openxmlformats.org/officeDocument/2006/relationships/hyperlink" Target="https://maps.google.es/maps?q=Los+Llazos,+La+Pern%C3%ADa&amp;hl=es&amp;ie=UTF8&amp;ll=42.979841,-4.487325&amp;spn=0.006899,0.016512&amp;sll=40.396764,-3.713379&amp;sspn=14.695835,33.815918&amp;oq=los+llazos&amp;hnear=Los+Llazos,+La+Pern%C3%ADa,+Palencia,+Castilla+y+Le%C3%B3n&amp;t=h&amp;z=17" TargetMode="External"/><Relationship Id="rId9" Type="http://schemas.openxmlformats.org/officeDocument/2006/relationships/hyperlink" Target="http://goo.gl/maps/mxa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sheetPr>
  <dimension ref="A1:AC996"/>
  <sheetViews>
    <sheetView tabSelected="1" workbookViewId="0">
      <pane ySplit="1" topLeftCell="A2" activePane="bottomLeft" state="frozen"/>
      <selection pane="bottomLeft" activeCell="A2" sqref="A2"/>
    </sheetView>
  </sheetViews>
  <sheetFormatPr baseColWidth="10" defaultColWidth="14.42578125" defaultRowHeight="15.75" customHeight="1"/>
  <cols>
    <col min="1" max="1" width="16" customWidth="1"/>
    <col min="2" max="2" width="15.42578125" customWidth="1"/>
    <col min="3" max="3" width="14.5703125" customWidth="1"/>
    <col min="4" max="4" width="14.140625" customWidth="1"/>
    <col min="5" max="5" width="22" customWidth="1"/>
    <col min="6" max="6" width="30.42578125" customWidth="1"/>
    <col min="7" max="8" width="12.42578125" customWidth="1"/>
    <col min="9" max="9" width="24.7109375" customWidth="1"/>
    <col min="10" max="10" width="37.140625" customWidth="1"/>
    <col min="11" max="11" width="31.85546875" customWidth="1"/>
    <col min="12" max="12" width="33.85546875" customWidth="1"/>
    <col min="13" max="13" width="30.28515625" customWidth="1"/>
    <col min="14" max="14" width="22.85546875" customWidth="1"/>
    <col min="15" max="17" width="41.28515625" customWidth="1"/>
    <col min="18" max="18" width="32.140625" customWidth="1"/>
    <col min="19" max="19" width="16.7109375" customWidth="1"/>
    <col min="20" max="20" width="46.5703125" customWidth="1"/>
    <col min="21" max="21" width="31.28515625" customWidth="1"/>
    <col min="22" max="22" width="59.28515625" customWidth="1"/>
    <col min="23" max="25" width="39.42578125" customWidth="1"/>
    <col min="26" max="27" width="21.5703125" customWidth="1"/>
    <col min="28" max="28" width="72.7109375" customWidth="1"/>
    <col min="29" max="29" width="21.5703125" customWidth="1"/>
  </cols>
  <sheetData>
    <row r="1" spans="1:29" ht="15.75" customHeight="1">
      <c r="A1" s="3" t="s">
        <v>3</v>
      </c>
      <c r="B1" s="4" t="s">
        <v>14</v>
      </c>
      <c r="C1" s="5" t="s">
        <v>15</v>
      </c>
      <c r="D1" s="5" t="s">
        <v>16</v>
      </c>
      <c r="E1" s="5" t="s">
        <v>17</v>
      </c>
      <c r="F1" s="5" t="s">
        <v>18</v>
      </c>
      <c r="G1" s="6" t="s">
        <v>19</v>
      </c>
      <c r="H1" s="6" t="s">
        <v>20</v>
      </c>
      <c r="I1" s="5" t="s">
        <v>21</v>
      </c>
      <c r="J1" s="6" t="s">
        <v>22</v>
      </c>
      <c r="K1" s="6" t="s">
        <v>23</v>
      </c>
      <c r="L1" s="6" t="s">
        <v>24</v>
      </c>
      <c r="M1" s="5" t="s">
        <v>25</v>
      </c>
      <c r="N1" s="5" t="s">
        <v>26</v>
      </c>
      <c r="O1" s="5" t="s">
        <v>27</v>
      </c>
      <c r="P1" s="6" t="s">
        <v>28</v>
      </c>
      <c r="Q1" s="6" t="s">
        <v>29</v>
      </c>
      <c r="R1" s="6" t="s">
        <v>30</v>
      </c>
      <c r="S1" s="6" t="s">
        <v>31</v>
      </c>
      <c r="T1" s="6" t="s">
        <v>32</v>
      </c>
      <c r="U1" s="6" t="s">
        <v>33</v>
      </c>
      <c r="V1" s="6" t="s">
        <v>34</v>
      </c>
      <c r="W1" s="6" t="s">
        <v>35</v>
      </c>
      <c r="X1" s="6" t="s">
        <v>36</v>
      </c>
      <c r="Y1" s="5" t="s">
        <v>37</v>
      </c>
      <c r="Z1" s="3" t="s">
        <v>38</v>
      </c>
      <c r="AA1" s="3" t="s">
        <v>39</v>
      </c>
      <c r="AB1" s="3" t="s">
        <v>40</v>
      </c>
      <c r="AC1" s="3" t="s">
        <v>41</v>
      </c>
    </row>
    <row r="2" spans="1:29" ht="15.75" customHeight="1">
      <c r="A2" s="8" t="str">
        <f>HYPERLINK("https://drive.google.com/a/scoutsdemadrid.org/file/d/1MuM9ug8EBGhwN-rZvCpGdzyfiTG9jrfD/view?usp=drivesdk","Zona Campamento")</f>
        <v>Zona Campamento</v>
      </c>
      <c r="B2" s="10" t="s">
        <v>43</v>
      </c>
      <c r="C2" s="10" t="s">
        <v>45</v>
      </c>
      <c r="D2" s="12">
        <v>2017</v>
      </c>
      <c r="E2" s="13" t="s">
        <v>47</v>
      </c>
      <c r="F2" s="14" t="s">
        <v>48</v>
      </c>
      <c r="G2" s="15">
        <v>42917</v>
      </c>
      <c r="H2" s="15">
        <v>42931</v>
      </c>
      <c r="I2" s="13" t="s">
        <v>49</v>
      </c>
      <c r="J2" s="13" t="s">
        <v>50</v>
      </c>
      <c r="K2" s="13"/>
      <c r="L2" s="13" t="s">
        <v>51</v>
      </c>
      <c r="M2" s="13" t="s">
        <v>52</v>
      </c>
      <c r="N2" s="13"/>
      <c r="O2" s="13"/>
      <c r="P2" s="13" t="s">
        <v>53</v>
      </c>
      <c r="Q2" s="13"/>
      <c r="R2" s="13" t="s">
        <v>54</v>
      </c>
      <c r="S2" s="13" t="s">
        <v>55</v>
      </c>
      <c r="T2" s="13" t="s">
        <v>56</v>
      </c>
      <c r="U2" s="13"/>
      <c r="V2" s="13" t="s">
        <v>57</v>
      </c>
      <c r="W2" s="13"/>
      <c r="X2" s="13" t="s">
        <v>58</v>
      </c>
      <c r="Y2" s="13"/>
      <c r="Z2" s="14" t="s">
        <v>59</v>
      </c>
      <c r="AA2" s="19" t="s">
        <v>60</v>
      </c>
      <c r="AB2" s="14" t="s">
        <v>63</v>
      </c>
      <c r="AC2" s="14"/>
    </row>
    <row r="3" spans="1:29" ht="15.75" customHeight="1">
      <c r="A3" s="8" t="str">
        <f>HYPERLINK("https://drive.google.com/a/scoutsdemadrid.org/file/d/1-6UqlWiqZB6tyYD0EO1YEXOJag7egAH0/view?usp=drivesdk","Zona Campamento")</f>
        <v>Zona Campamento</v>
      </c>
      <c r="B3" s="10" t="s">
        <v>43</v>
      </c>
      <c r="C3" s="20" t="s">
        <v>66</v>
      </c>
      <c r="D3" s="12">
        <v>2017</v>
      </c>
      <c r="E3" s="13" t="s">
        <v>67</v>
      </c>
      <c r="F3" s="14" t="s">
        <v>68</v>
      </c>
      <c r="G3" s="15">
        <v>42931</v>
      </c>
      <c r="H3" s="15">
        <v>42946</v>
      </c>
      <c r="I3" s="13" t="s">
        <v>70</v>
      </c>
      <c r="J3" s="13" t="s">
        <v>71</v>
      </c>
      <c r="K3" s="13"/>
      <c r="L3" s="13" t="s">
        <v>72</v>
      </c>
      <c r="M3" s="13" t="s">
        <v>73</v>
      </c>
      <c r="N3" s="13" t="s">
        <v>74</v>
      </c>
      <c r="O3" s="13" t="s">
        <v>75</v>
      </c>
      <c r="P3" s="13" t="s">
        <v>76</v>
      </c>
      <c r="Q3" s="13"/>
      <c r="R3" s="13" t="s">
        <v>54</v>
      </c>
      <c r="S3" s="13" t="s">
        <v>55</v>
      </c>
      <c r="T3" s="13" t="s">
        <v>77</v>
      </c>
      <c r="U3" s="13" t="s">
        <v>78</v>
      </c>
      <c r="V3" s="13" t="s">
        <v>79</v>
      </c>
      <c r="W3" s="13" t="s">
        <v>80</v>
      </c>
      <c r="X3" s="13" t="s">
        <v>81</v>
      </c>
      <c r="Y3" s="13"/>
      <c r="Z3" s="14" t="s">
        <v>82</v>
      </c>
      <c r="AA3" s="19" t="s">
        <v>83</v>
      </c>
      <c r="AB3" s="14" t="s">
        <v>84</v>
      </c>
      <c r="AC3" s="14"/>
    </row>
    <row r="4" spans="1:29" ht="15.75" customHeight="1">
      <c r="A4" s="22" t="str">
        <f>HYPERLINK("https://drive.google.com/a/scoutsdemadrid.org/file/d/1gJ8MYtT8vIIXtE18E9mOjS5aCT4Vit6b/view?usp=drivesdk","Zona Campamento")</f>
        <v>Zona Campamento</v>
      </c>
      <c r="B4" s="10" t="s">
        <v>87</v>
      </c>
      <c r="C4" s="20" t="s">
        <v>88</v>
      </c>
      <c r="D4" s="12">
        <v>2016</v>
      </c>
      <c r="E4" s="23" t="s">
        <v>89</v>
      </c>
      <c r="F4" s="14" t="s">
        <v>90</v>
      </c>
      <c r="G4" s="24">
        <v>42563</v>
      </c>
      <c r="H4" s="24">
        <v>42581</v>
      </c>
      <c r="I4" s="23" t="s">
        <v>91</v>
      </c>
      <c r="J4" s="14" t="s">
        <v>92</v>
      </c>
      <c r="K4" s="14" t="s">
        <v>93</v>
      </c>
      <c r="L4" s="14" t="s">
        <v>94</v>
      </c>
      <c r="M4" s="14" t="s">
        <v>95</v>
      </c>
      <c r="N4" s="14" t="s">
        <v>96</v>
      </c>
      <c r="O4" s="14" t="s">
        <v>97</v>
      </c>
      <c r="P4" s="14" t="s">
        <v>98</v>
      </c>
      <c r="Q4" s="14" t="s">
        <v>99</v>
      </c>
      <c r="R4" s="14" t="s">
        <v>100</v>
      </c>
      <c r="S4" s="14" t="s">
        <v>55</v>
      </c>
      <c r="T4" s="14" t="s">
        <v>101</v>
      </c>
      <c r="U4" s="14" t="s">
        <v>102</v>
      </c>
      <c r="V4" s="14" t="s">
        <v>103</v>
      </c>
      <c r="W4" s="14" t="s">
        <v>104</v>
      </c>
      <c r="X4" s="14" t="s">
        <v>105</v>
      </c>
      <c r="Y4" s="14"/>
      <c r="Z4" s="14" t="s">
        <v>106</v>
      </c>
      <c r="AA4" s="19" t="s">
        <v>107</v>
      </c>
      <c r="AB4" s="14" t="s">
        <v>110</v>
      </c>
      <c r="AC4" s="14"/>
    </row>
    <row r="5" spans="1:29" ht="15.75" customHeight="1">
      <c r="A5" s="22" t="str">
        <f>HYPERLINK("https://drive.google.com/a/scoutsdemadrid.org/file/d/1HK4ATS9MB4uyihqc1ISyJY6bB93lY82C/view?usp=drivesdk","Zona Campamento")</f>
        <v>Zona Campamento</v>
      </c>
      <c r="B5" s="10" t="s">
        <v>87</v>
      </c>
      <c r="C5" s="20" t="s">
        <v>111</v>
      </c>
      <c r="D5" s="12">
        <v>2016</v>
      </c>
      <c r="E5" s="23" t="s">
        <v>112</v>
      </c>
      <c r="F5" s="14" t="s">
        <v>113</v>
      </c>
      <c r="G5" s="24">
        <v>42556</v>
      </c>
      <c r="H5" s="24">
        <v>42566</v>
      </c>
      <c r="I5" s="23" t="s">
        <v>114</v>
      </c>
      <c r="J5" s="14" t="s">
        <v>115</v>
      </c>
      <c r="K5" s="14" t="s">
        <v>116</v>
      </c>
      <c r="L5" s="14" t="s">
        <v>117</v>
      </c>
      <c r="M5" s="14" t="s">
        <v>118</v>
      </c>
      <c r="N5" s="14">
        <v>696288600</v>
      </c>
      <c r="O5" s="14" t="s">
        <v>119</v>
      </c>
      <c r="P5" s="14" t="s">
        <v>120</v>
      </c>
      <c r="Q5" s="14" t="s">
        <v>121</v>
      </c>
      <c r="R5" s="14" t="s">
        <v>100</v>
      </c>
      <c r="S5" s="14" t="s">
        <v>55</v>
      </c>
      <c r="T5" s="14" t="s">
        <v>122</v>
      </c>
      <c r="U5" s="14" t="s">
        <v>123</v>
      </c>
      <c r="V5" s="14" t="s">
        <v>124</v>
      </c>
      <c r="W5" s="14" t="s">
        <v>125</v>
      </c>
      <c r="X5" s="14" t="s">
        <v>126</v>
      </c>
      <c r="Y5" s="14"/>
      <c r="Z5" s="14" t="s">
        <v>127</v>
      </c>
      <c r="AA5" s="19" t="s">
        <v>128</v>
      </c>
      <c r="AB5" s="14" t="s">
        <v>131</v>
      </c>
      <c r="AC5" s="14"/>
    </row>
    <row r="6" spans="1:29" ht="15.75" customHeight="1">
      <c r="A6" s="22" t="str">
        <f>HYPERLINK("https://drive.google.com/a/scoutsdemadrid.org/file/d/1pjkAAiCj6tAvSFnF9oqH9bY3dkA8z0QH/view?usp=drivesdk","Zona Campamento")</f>
        <v>Zona Campamento</v>
      </c>
      <c r="B6" s="10" t="s">
        <v>87</v>
      </c>
      <c r="C6" s="20" t="s">
        <v>88</v>
      </c>
      <c r="D6" s="12">
        <v>2016</v>
      </c>
      <c r="E6" s="23" t="s">
        <v>132</v>
      </c>
      <c r="F6" s="14" t="s">
        <v>133</v>
      </c>
      <c r="G6" s="24">
        <v>42566</v>
      </c>
      <c r="H6" s="24">
        <v>42577</v>
      </c>
      <c r="I6" s="23" t="s">
        <v>134</v>
      </c>
      <c r="J6" s="14" t="s">
        <v>134</v>
      </c>
      <c r="K6" s="13"/>
      <c r="L6" s="13"/>
      <c r="M6" s="14" t="s">
        <v>135</v>
      </c>
      <c r="N6" s="13"/>
      <c r="O6" s="13"/>
      <c r="P6" s="13"/>
      <c r="Q6" s="14" t="s">
        <v>136</v>
      </c>
      <c r="R6" s="14" t="s">
        <v>54</v>
      </c>
      <c r="S6" s="14" t="s">
        <v>55</v>
      </c>
      <c r="T6" s="14" t="s">
        <v>137</v>
      </c>
      <c r="U6" s="14" t="s">
        <v>138</v>
      </c>
      <c r="V6" s="14" t="s">
        <v>139</v>
      </c>
      <c r="W6" s="14" t="s">
        <v>140</v>
      </c>
      <c r="X6" s="14" t="s">
        <v>141</v>
      </c>
      <c r="Y6" s="14"/>
      <c r="Z6" s="14" t="s">
        <v>142</v>
      </c>
      <c r="AA6" s="19" t="s">
        <v>143</v>
      </c>
      <c r="AB6" s="14" t="s">
        <v>146</v>
      </c>
      <c r="AC6" s="14"/>
    </row>
    <row r="7" spans="1:29" ht="15.75" customHeight="1">
      <c r="A7" s="8" t="str">
        <f>HYPERLINK("https://drive.google.com/a/scoutsdemadrid.org/file/d/1UTcAT1AGEHqI66c6BJ347vllXEeOGEL-/view?usp=drivesdk","Zona Campamento")</f>
        <v>Zona Campamento</v>
      </c>
      <c r="B7" s="25" t="s">
        <v>87</v>
      </c>
      <c r="C7" s="20" t="s">
        <v>88</v>
      </c>
      <c r="D7" s="12">
        <v>2015</v>
      </c>
      <c r="E7" s="23" t="s">
        <v>149</v>
      </c>
      <c r="F7" s="14" t="s">
        <v>150</v>
      </c>
      <c r="G7" s="15">
        <v>42200</v>
      </c>
      <c r="H7" s="15">
        <v>42215</v>
      </c>
      <c r="I7" s="23" t="s">
        <v>151</v>
      </c>
      <c r="J7" s="23" t="s">
        <v>151</v>
      </c>
      <c r="K7" s="13"/>
      <c r="L7" s="13"/>
      <c r="M7" s="23"/>
      <c r="N7" s="13"/>
      <c r="O7" s="13"/>
      <c r="P7" s="13"/>
      <c r="Q7" s="13"/>
      <c r="R7" s="23"/>
      <c r="S7" s="23"/>
      <c r="T7" s="23"/>
      <c r="U7" s="13"/>
      <c r="V7" s="23"/>
      <c r="W7" s="23"/>
      <c r="X7" s="13"/>
      <c r="Y7" s="13"/>
      <c r="Z7" s="14" t="s">
        <v>152</v>
      </c>
      <c r="AA7" s="19" t="s">
        <v>153</v>
      </c>
      <c r="AB7" s="14" t="s">
        <v>155</v>
      </c>
      <c r="AC7" s="14"/>
    </row>
    <row r="8" spans="1:29" ht="15.75" customHeight="1">
      <c r="A8" s="8" t="str">
        <f>HYPERLINK("https://drive.google.com/a/scoutsdemadrid.org/file/d/1ykut3flHxSBmLv8LunGeNSXnX4nPYinp/view?usp=drivesdk","Zona Campamento")</f>
        <v>Zona Campamento</v>
      </c>
      <c r="B8" s="10" t="s">
        <v>87</v>
      </c>
      <c r="C8" s="10" t="s">
        <v>88</v>
      </c>
      <c r="D8" s="12">
        <v>2015</v>
      </c>
      <c r="E8" s="13" t="s">
        <v>156</v>
      </c>
      <c r="F8" s="14" t="s">
        <v>157</v>
      </c>
      <c r="G8" s="15">
        <v>42201</v>
      </c>
      <c r="H8" s="15">
        <v>42216</v>
      </c>
      <c r="I8" s="13" t="s">
        <v>158</v>
      </c>
      <c r="J8" s="13" t="s">
        <v>159</v>
      </c>
      <c r="K8" s="13"/>
      <c r="L8" s="13" t="s">
        <v>161</v>
      </c>
      <c r="M8" s="13"/>
      <c r="N8" s="13"/>
      <c r="O8" s="13"/>
      <c r="P8" s="13"/>
      <c r="Q8" s="13"/>
      <c r="R8" s="13"/>
      <c r="S8" s="13"/>
      <c r="T8" s="13"/>
      <c r="U8" s="13"/>
      <c r="V8" s="13"/>
      <c r="W8" s="13"/>
      <c r="X8" s="13"/>
      <c r="Y8" s="13"/>
      <c r="Z8" s="14" t="s">
        <v>162</v>
      </c>
      <c r="AA8" s="19" t="s">
        <v>163</v>
      </c>
      <c r="AB8" s="14" t="s">
        <v>165</v>
      </c>
      <c r="AC8" s="14"/>
    </row>
    <row r="9" spans="1:29" ht="15.75" customHeight="1">
      <c r="A9" s="8" t="str">
        <f>HYPERLINK("https://drive.google.com/a/scoutsdemadrid.org/file/d/1rXhnkle2iV8Z43BoFExkknPbrLw4p-jd/view?usp=drivesdk","Zona Campamento")</f>
        <v>Zona Campamento</v>
      </c>
      <c r="B9" s="10" t="s">
        <v>87</v>
      </c>
      <c r="C9" s="10" t="s">
        <v>88</v>
      </c>
      <c r="D9" s="12">
        <v>2017</v>
      </c>
      <c r="E9" s="13" t="s">
        <v>168</v>
      </c>
      <c r="F9" s="14" t="s">
        <v>169</v>
      </c>
      <c r="G9" s="15">
        <v>42915</v>
      </c>
      <c r="H9" s="15">
        <v>42921</v>
      </c>
      <c r="I9" s="13" t="s">
        <v>170</v>
      </c>
      <c r="J9" s="13" t="s">
        <v>171</v>
      </c>
      <c r="K9" s="13"/>
      <c r="L9" s="13" t="s">
        <v>172</v>
      </c>
      <c r="M9" s="13" t="s">
        <v>173</v>
      </c>
      <c r="N9" s="13"/>
      <c r="O9" s="13"/>
      <c r="P9" s="13"/>
      <c r="Q9" s="13"/>
      <c r="R9" s="13" t="s">
        <v>100</v>
      </c>
      <c r="S9" s="13" t="s">
        <v>55</v>
      </c>
      <c r="T9" s="13"/>
      <c r="U9" s="13" t="s">
        <v>175</v>
      </c>
      <c r="V9" s="13" t="s">
        <v>176</v>
      </c>
      <c r="W9" s="13" t="s">
        <v>125</v>
      </c>
      <c r="X9" s="13"/>
      <c r="Y9" s="13"/>
      <c r="Z9" s="14" t="s">
        <v>177</v>
      </c>
      <c r="AA9" s="19" t="s">
        <v>178</v>
      </c>
      <c r="AB9" s="14" t="s">
        <v>182</v>
      </c>
      <c r="AC9" s="14"/>
    </row>
    <row r="10" spans="1:29" ht="15.75" customHeight="1">
      <c r="A10" s="8" t="str">
        <f>HYPERLINK("https://drive.google.com/a/scoutsdemadrid.org/file/d/1-BMGn8mpKdj54kWqIcSaNNLMULtj01H8/view?usp=drivesdk","Zona Campamento")</f>
        <v>Zona Campamento</v>
      </c>
      <c r="B10" s="10" t="s">
        <v>185</v>
      </c>
      <c r="C10" s="10" t="s">
        <v>88</v>
      </c>
      <c r="D10" s="12">
        <v>2012</v>
      </c>
      <c r="E10" s="13" t="s">
        <v>186</v>
      </c>
      <c r="F10" s="14" t="s">
        <v>187</v>
      </c>
      <c r="G10" s="15">
        <v>41107</v>
      </c>
      <c r="H10" s="15">
        <v>41121</v>
      </c>
      <c r="I10" s="13" t="s">
        <v>188</v>
      </c>
      <c r="J10" s="13" t="s">
        <v>188</v>
      </c>
      <c r="K10" s="13"/>
      <c r="L10" s="26" t="s">
        <v>189</v>
      </c>
      <c r="M10" s="13"/>
      <c r="N10" s="13"/>
      <c r="O10" s="13"/>
      <c r="P10" s="13"/>
      <c r="Q10" s="13"/>
      <c r="R10" s="13"/>
      <c r="S10" s="13"/>
      <c r="T10" s="13"/>
      <c r="U10" s="13"/>
      <c r="V10" s="13"/>
      <c r="W10" s="13"/>
      <c r="X10" s="13"/>
      <c r="Y10" s="13"/>
      <c r="Z10" s="14" t="s">
        <v>196</v>
      </c>
      <c r="AA10" s="19" t="s">
        <v>197</v>
      </c>
      <c r="AB10" s="14" t="s">
        <v>201</v>
      </c>
      <c r="AC10" s="14"/>
    </row>
    <row r="11" spans="1:29" ht="15.75" customHeight="1">
      <c r="A11" s="8" t="str">
        <f>HYPERLINK("https://drive.google.com/a/scoutsdemadrid.org/file/d/1woSmpWwnd8LFzWfjcH2jHw-fHMRo0-BJ/view?usp=drivesdk","Zona Campamento")</f>
        <v>Zona Campamento</v>
      </c>
      <c r="B11" s="10" t="s">
        <v>87</v>
      </c>
      <c r="C11" s="10" t="s">
        <v>88</v>
      </c>
      <c r="D11" s="12">
        <v>2018</v>
      </c>
      <c r="E11" s="13" t="s">
        <v>149</v>
      </c>
      <c r="F11" s="14" t="s">
        <v>150</v>
      </c>
      <c r="G11" s="15">
        <v>43327</v>
      </c>
      <c r="H11" s="15">
        <v>43281</v>
      </c>
      <c r="I11" s="13" t="s">
        <v>204</v>
      </c>
      <c r="J11" s="13" t="s">
        <v>205</v>
      </c>
      <c r="K11" s="13">
        <v>22390005384</v>
      </c>
      <c r="L11" s="13" t="s">
        <v>206</v>
      </c>
      <c r="M11" s="13" t="s">
        <v>207</v>
      </c>
      <c r="N11" s="13">
        <v>618644650</v>
      </c>
      <c r="O11" s="13" t="s">
        <v>208</v>
      </c>
      <c r="P11" s="13" t="s">
        <v>209</v>
      </c>
      <c r="Q11" s="13" t="s">
        <v>210</v>
      </c>
      <c r="R11" s="13" t="s">
        <v>54</v>
      </c>
      <c r="S11" s="13" t="s">
        <v>55</v>
      </c>
      <c r="T11" s="13" t="s">
        <v>211</v>
      </c>
      <c r="U11" s="13" t="s">
        <v>212</v>
      </c>
      <c r="V11" s="13" t="s">
        <v>213</v>
      </c>
      <c r="W11" s="13" t="s">
        <v>210</v>
      </c>
      <c r="X11" s="13" t="s">
        <v>214</v>
      </c>
      <c r="Y11" s="13"/>
      <c r="Z11" s="14" t="s">
        <v>215</v>
      </c>
      <c r="AA11" s="19" t="s">
        <v>216</v>
      </c>
      <c r="AB11" s="14" t="s">
        <v>217</v>
      </c>
      <c r="AC11" s="14"/>
    </row>
    <row r="12" spans="1:29" ht="15.75" customHeight="1">
      <c r="A12" s="8" t="str">
        <f>HYPERLINK("https://drive.google.com/a/scoutsdemadrid.org/file/d/1N8Rk4THQpfXMhrAclMpAkXuhGXZp1aom/view?usp=drivesdk","Zona Campamento")</f>
        <v>Zona Campamento</v>
      </c>
      <c r="B12" s="10" t="s">
        <v>87</v>
      </c>
      <c r="C12" s="10" t="s">
        <v>88</v>
      </c>
      <c r="D12" s="12">
        <v>2018</v>
      </c>
      <c r="E12" s="13" t="s">
        <v>218</v>
      </c>
      <c r="F12" s="14" t="s">
        <v>219</v>
      </c>
      <c r="G12" s="15">
        <v>43295</v>
      </c>
      <c r="H12" s="15">
        <v>43311</v>
      </c>
      <c r="I12" s="13" t="s">
        <v>220</v>
      </c>
      <c r="J12" s="13" t="s">
        <v>221</v>
      </c>
      <c r="K12" s="13" t="s">
        <v>222</v>
      </c>
      <c r="L12" s="13" t="s">
        <v>223</v>
      </c>
      <c r="M12" s="13" t="s">
        <v>224</v>
      </c>
      <c r="N12" s="13">
        <v>699261137</v>
      </c>
      <c r="O12" s="13" t="s">
        <v>225</v>
      </c>
      <c r="P12" s="27">
        <v>150</v>
      </c>
      <c r="Q12" s="13" t="s">
        <v>226</v>
      </c>
      <c r="R12" s="13" t="s">
        <v>54</v>
      </c>
      <c r="S12" s="13" t="s">
        <v>55</v>
      </c>
      <c r="T12" s="13" t="s">
        <v>227</v>
      </c>
      <c r="U12" s="13" t="s">
        <v>228</v>
      </c>
      <c r="V12" s="13" t="s">
        <v>229</v>
      </c>
      <c r="W12" s="13" t="s">
        <v>230</v>
      </c>
      <c r="X12" s="13" t="s">
        <v>231</v>
      </c>
      <c r="Y12" s="13"/>
      <c r="Z12" s="14" t="s">
        <v>232</v>
      </c>
      <c r="AA12" s="19" t="s">
        <v>233</v>
      </c>
      <c r="AB12" s="14" t="s">
        <v>234</v>
      </c>
      <c r="AC12" s="14"/>
    </row>
    <row r="13" spans="1:29" ht="15.75" customHeight="1">
      <c r="A13" s="8" t="str">
        <f>HYPERLINK("https://drive.google.com/a/scoutsdemadrid.org/file/d/1TX_Wb2eONbY_TUr1zzycdYCpVAERzVvB/view?usp=drivesdk","Zona Campamento")</f>
        <v>Zona Campamento</v>
      </c>
      <c r="B13" s="10" t="s">
        <v>235</v>
      </c>
      <c r="C13" s="20" t="s">
        <v>69</v>
      </c>
      <c r="D13" s="12">
        <v>2016</v>
      </c>
      <c r="E13" s="23" t="s">
        <v>236</v>
      </c>
      <c r="F13" s="14" t="s">
        <v>237</v>
      </c>
      <c r="G13" s="24">
        <v>42560</v>
      </c>
      <c r="H13" s="24">
        <v>42581</v>
      </c>
      <c r="I13" s="23" t="s">
        <v>238</v>
      </c>
      <c r="J13" s="14" t="s">
        <v>239</v>
      </c>
      <c r="K13" s="14" t="s">
        <v>240</v>
      </c>
      <c r="L13" s="14" t="s">
        <v>241</v>
      </c>
      <c r="M13" s="14" t="s">
        <v>242</v>
      </c>
      <c r="N13" s="14">
        <v>650785463</v>
      </c>
      <c r="O13" s="13"/>
      <c r="P13" s="28">
        <v>530</v>
      </c>
      <c r="Q13" s="13"/>
      <c r="R13" s="14" t="s">
        <v>54</v>
      </c>
      <c r="S13" s="14" t="s">
        <v>55</v>
      </c>
      <c r="T13" s="14" t="s">
        <v>243</v>
      </c>
      <c r="U13" s="14" t="s">
        <v>244</v>
      </c>
      <c r="V13" s="14" t="s">
        <v>103</v>
      </c>
      <c r="W13" s="14" t="s">
        <v>55</v>
      </c>
      <c r="X13" s="13"/>
      <c r="Y13" s="13"/>
      <c r="Z13" s="14" t="s">
        <v>245</v>
      </c>
      <c r="AA13" s="19" t="s">
        <v>246</v>
      </c>
      <c r="AB13" s="14" t="s">
        <v>247</v>
      </c>
      <c r="AC13" s="14"/>
    </row>
    <row r="14" spans="1:29" ht="15.75" customHeight="1">
      <c r="A14" s="8" t="str">
        <f>HYPERLINK("https://drive.google.com/a/scoutsdemadrid.org/file/d/1JvMUGYPoJvEcecuk3EF3DnIwYo-ZEU2O/view?usp=drivesdk","Zona Campamento")</f>
        <v>Zona Campamento</v>
      </c>
      <c r="B14" s="10" t="s">
        <v>235</v>
      </c>
      <c r="C14" s="20" t="s">
        <v>69</v>
      </c>
      <c r="D14" s="12">
        <v>2016</v>
      </c>
      <c r="E14" s="23" t="s">
        <v>236</v>
      </c>
      <c r="F14" s="14" t="s">
        <v>237</v>
      </c>
      <c r="G14" s="24">
        <v>42566</v>
      </c>
      <c r="H14" s="24">
        <v>42578</v>
      </c>
      <c r="I14" s="29" t="s">
        <v>239</v>
      </c>
      <c r="J14" s="29" t="s">
        <v>239</v>
      </c>
      <c r="K14" s="13"/>
      <c r="L14" s="13"/>
      <c r="M14" s="14"/>
      <c r="N14" s="13"/>
      <c r="O14" s="13"/>
      <c r="P14" s="13"/>
      <c r="Q14" s="13"/>
      <c r="R14" s="13"/>
      <c r="S14" s="13"/>
      <c r="T14" s="13"/>
      <c r="U14" s="13"/>
      <c r="V14" s="13"/>
      <c r="W14" s="13"/>
      <c r="X14" s="13"/>
      <c r="Y14" s="13"/>
      <c r="Z14" s="14" t="s">
        <v>248</v>
      </c>
      <c r="AA14" s="19" t="s">
        <v>249</v>
      </c>
      <c r="AB14" s="14" t="s">
        <v>250</v>
      </c>
      <c r="AC14" s="14"/>
    </row>
    <row r="15" spans="1:29" ht="15.75" customHeight="1">
      <c r="A15" s="22" t="str">
        <f>HYPERLINK("https://drive.google.com/a/scoutsdemadrid.org/file/d/1WlM3OtCn3Snb6w0l2a9g5mN_4W76z9Q6/view?usp=drivesdk","Zona Campamento")</f>
        <v>Zona Campamento</v>
      </c>
      <c r="B15" s="10" t="s">
        <v>235</v>
      </c>
      <c r="C15" s="20" t="s">
        <v>184</v>
      </c>
      <c r="D15" s="12">
        <v>2016</v>
      </c>
      <c r="E15" s="23" t="s">
        <v>251</v>
      </c>
      <c r="F15" s="14" t="s">
        <v>252</v>
      </c>
      <c r="G15" s="24">
        <v>42580</v>
      </c>
      <c r="H15" s="24">
        <v>42589</v>
      </c>
      <c r="I15" s="23" t="s">
        <v>253</v>
      </c>
      <c r="J15" s="14" t="s">
        <v>254</v>
      </c>
      <c r="K15" s="14" t="s">
        <v>255</v>
      </c>
      <c r="L15" s="14" t="s">
        <v>256</v>
      </c>
      <c r="M15" s="14" t="s">
        <v>257</v>
      </c>
      <c r="N15" s="14">
        <v>605966487</v>
      </c>
      <c r="O15" s="14" t="s">
        <v>258</v>
      </c>
      <c r="P15" s="14" t="s">
        <v>259</v>
      </c>
      <c r="Q15" s="14" t="s">
        <v>260</v>
      </c>
      <c r="R15" s="14" t="s">
        <v>54</v>
      </c>
      <c r="S15" s="14" t="s">
        <v>55</v>
      </c>
      <c r="T15" s="14" t="s">
        <v>261</v>
      </c>
      <c r="U15" s="14" t="s">
        <v>262</v>
      </c>
      <c r="V15" s="14" t="s">
        <v>103</v>
      </c>
      <c r="W15" s="14" t="s">
        <v>263</v>
      </c>
      <c r="X15" s="14" t="s">
        <v>264</v>
      </c>
      <c r="Y15" s="14"/>
      <c r="Z15" s="14" t="s">
        <v>265</v>
      </c>
      <c r="AA15" s="19" t="s">
        <v>266</v>
      </c>
      <c r="AB15" s="14" t="s">
        <v>267</v>
      </c>
      <c r="AC15" s="14"/>
    </row>
    <row r="16" spans="1:29" ht="15.75" customHeight="1">
      <c r="A16" s="8" t="str">
        <f>HYPERLINK("https://drive.google.com/a/scoutsdemadrid.org/file/d/1EQDhT9S-i3IxtNY3sTl2dpzYDuHT7iR3/view?usp=drivesdk","Zona Campamento")</f>
        <v>Zona Campamento</v>
      </c>
      <c r="B16" s="10" t="s">
        <v>235</v>
      </c>
      <c r="C16" s="10" t="s">
        <v>69</v>
      </c>
      <c r="D16" s="12">
        <v>2015</v>
      </c>
      <c r="E16" s="13" t="s">
        <v>268</v>
      </c>
      <c r="F16" s="14" t="s">
        <v>269</v>
      </c>
      <c r="G16" s="15">
        <v>42200</v>
      </c>
      <c r="H16" s="15">
        <v>42215</v>
      </c>
      <c r="I16" s="13" t="s">
        <v>270</v>
      </c>
      <c r="J16" s="13" t="s">
        <v>271</v>
      </c>
      <c r="K16" s="13"/>
      <c r="L16" s="13"/>
      <c r="M16" s="13"/>
      <c r="N16" s="13"/>
      <c r="O16" s="13"/>
      <c r="P16" s="13"/>
      <c r="Q16" s="13"/>
      <c r="R16" s="13"/>
      <c r="S16" s="13"/>
      <c r="T16" s="13"/>
      <c r="U16" s="13"/>
      <c r="V16" s="13"/>
      <c r="W16" s="13"/>
      <c r="X16" s="13"/>
      <c r="Y16" s="13"/>
      <c r="Z16" s="14" t="s">
        <v>272</v>
      </c>
      <c r="AA16" s="19" t="s">
        <v>273</v>
      </c>
      <c r="AB16" s="14" t="s">
        <v>274</v>
      </c>
      <c r="AC16" s="14"/>
    </row>
    <row r="17" spans="1:29" ht="15.75" customHeight="1">
      <c r="A17" s="8" t="str">
        <f>HYPERLINK("https://drive.google.com/a/scoutsdemadrid.org/file/d/1HLdvNWFMINQ9DYikdO-Q5gb6VtADi5ab/view?usp=drivesdk","Zona Campamento")</f>
        <v>Zona Campamento</v>
      </c>
      <c r="B17" s="10" t="s">
        <v>69</v>
      </c>
      <c r="C17" s="10" t="s">
        <v>69</v>
      </c>
      <c r="D17" s="12">
        <v>2012</v>
      </c>
      <c r="E17" s="13" t="s">
        <v>236</v>
      </c>
      <c r="F17" s="14" t="s">
        <v>237</v>
      </c>
      <c r="G17" s="15">
        <v>41106</v>
      </c>
      <c r="H17" s="15">
        <v>41120</v>
      </c>
      <c r="I17" s="13" t="s">
        <v>275</v>
      </c>
      <c r="J17" s="13" t="s">
        <v>276</v>
      </c>
      <c r="K17" s="13"/>
      <c r="L17" s="13"/>
      <c r="M17" s="13"/>
      <c r="N17" s="13"/>
      <c r="O17" s="13"/>
      <c r="P17" s="13"/>
      <c r="Q17" s="13"/>
      <c r="R17" s="13"/>
      <c r="S17" s="13"/>
      <c r="T17" s="13"/>
      <c r="U17" s="13"/>
      <c r="V17" s="13"/>
      <c r="W17" s="13"/>
      <c r="X17" s="13"/>
      <c r="Y17" s="13"/>
      <c r="Z17" s="14" t="s">
        <v>277</v>
      </c>
      <c r="AA17" s="19" t="s">
        <v>278</v>
      </c>
      <c r="AB17" s="14" t="s">
        <v>279</v>
      </c>
      <c r="AC17" s="14"/>
    </row>
    <row r="18" spans="1:29" ht="15.75" customHeight="1">
      <c r="A18" s="8" t="str">
        <f>HYPERLINK("https://drive.google.com/a/scoutsdemadrid.org/file/d/17NgfP5fNSu7rPdPq_uTUntDjLMmD5Qzg/view?usp=drivesdk","Zona Campamento")</f>
        <v>Zona Campamento</v>
      </c>
      <c r="B18" s="10" t="s">
        <v>69</v>
      </c>
      <c r="C18" s="10" t="s">
        <v>69</v>
      </c>
      <c r="D18" s="12">
        <v>2012</v>
      </c>
      <c r="E18" s="13" t="s">
        <v>236</v>
      </c>
      <c r="F18" s="14" t="s">
        <v>237</v>
      </c>
      <c r="G18" s="15">
        <v>41103</v>
      </c>
      <c r="H18" s="15">
        <v>41120</v>
      </c>
      <c r="I18" s="13" t="s">
        <v>69</v>
      </c>
      <c r="J18" s="13" t="s">
        <v>280</v>
      </c>
      <c r="K18" s="13"/>
      <c r="L18" s="26" t="s">
        <v>281</v>
      </c>
      <c r="M18" s="13"/>
      <c r="N18" s="13"/>
      <c r="O18" s="13"/>
      <c r="P18" s="13"/>
      <c r="Q18" s="13"/>
      <c r="R18" s="13"/>
      <c r="S18" s="13"/>
      <c r="T18" s="13"/>
      <c r="U18" s="13"/>
      <c r="V18" s="13"/>
      <c r="W18" s="13"/>
      <c r="X18" s="13"/>
      <c r="Y18" s="13"/>
      <c r="Z18" s="14" t="s">
        <v>282</v>
      </c>
      <c r="AA18" s="19" t="s">
        <v>283</v>
      </c>
      <c r="AB18" s="14" t="s">
        <v>284</v>
      </c>
      <c r="AC18" s="14"/>
    </row>
    <row r="19" spans="1:29" ht="15.75" customHeight="1">
      <c r="A19" s="8" t="str">
        <f>HYPERLINK("https://drive.google.com/a/scoutsdemadrid.org/file/d/1LXvUzOrP3vCtAdF6SEBdkW0maTu9r1aH/view?usp=drivesdk","Zona Campamento")</f>
        <v>Zona Campamento</v>
      </c>
      <c r="B19" s="10" t="s">
        <v>235</v>
      </c>
      <c r="C19" s="10" t="s">
        <v>69</v>
      </c>
      <c r="D19" s="12">
        <v>2019</v>
      </c>
      <c r="E19" s="13" t="s">
        <v>132</v>
      </c>
      <c r="F19" s="14" t="s">
        <v>285</v>
      </c>
      <c r="G19" s="15">
        <v>43663</v>
      </c>
      <c r="H19" s="15">
        <v>43674</v>
      </c>
      <c r="I19" s="13" t="s">
        <v>239</v>
      </c>
      <c r="J19" s="13" t="s">
        <v>239</v>
      </c>
      <c r="K19" s="13" t="s">
        <v>240</v>
      </c>
      <c r="L19" s="26" t="s">
        <v>286</v>
      </c>
      <c r="M19" s="13" t="s">
        <v>287</v>
      </c>
      <c r="N19" s="13">
        <v>650785463</v>
      </c>
      <c r="O19" s="13" t="s">
        <v>288</v>
      </c>
      <c r="P19" s="13" t="s">
        <v>289</v>
      </c>
      <c r="Q19" s="13" t="s">
        <v>290</v>
      </c>
      <c r="R19" s="13" t="s">
        <v>100</v>
      </c>
      <c r="S19" s="13" t="s">
        <v>55</v>
      </c>
      <c r="T19" s="13" t="s">
        <v>101</v>
      </c>
      <c r="U19" s="13" t="s">
        <v>291</v>
      </c>
      <c r="V19" s="13" t="s">
        <v>292</v>
      </c>
      <c r="W19" s="13" t="s">
        <v>293</v>
      </c>
      <c r="X19" s="13" t="s">
        <v>294</v>
      </c>
      <c r="Y19" s="13" t="s">
        <v>55</v>
      </c>
      <c r="Z19" s="14" t="s">
        <v>295</v>
      </c>
      <c r="AA19" s="19" t="s">
        <v>296</v>
      </c>
      <c r="AB19" s="14" t="s">
        <v>297</v>
      </c>
      <c r="AC19" s="14"/>
    </row>
    <row r="20" spans="1:29" ht="15.75" customHeight="1">
      <c r="A20" s="8" t="str">
        <f>HYPERLINK("https://drive.google.com/a/scoutsdemadrid.org/file/d/18s40oVz9hCTc0BNsfN6rgp1n_0gW44MT/view?usp=drivesdk","Zona Campamento")</f>
        <v>Zona Campamento</v>
      </c>
      <c r="B20" s="10" t="s">
        <v>144</v>
      </c>
      <c r="C20" s="10" t="s">
        <v>144</v>
      </c>
      <c r="D20" s="12">
        <v>2015</v>
      </c>
      <c r="E20" s="13" t="s">
        <v>298</v>
      </c>
      <c r="F20" s="14" t="s">
        <v>299</v>
      </c>
      <c r="G20" s="15">
        <v>42187</v>
      </c>
      <c r="H20" s="15">
        <v>42197</v>
      </c>
      <c r="I20" s="13" t="s">
        <v>300</v>
      </c>
      <c r="J20" s="13" t="s">
        <v>301</v>
      </c>
      <c r="K20" s="13"/>
      <c r="L20" s="13"/>
      <c r="M20" s="13"/>
      <c r="N20" s="13"/>
      <c r="O20" s="13"/>
      <c r="P20" s="13"/>
      <c r="Q20" s="13"/>
      <c r="R20" s="13"/>
      <c r="S20" s="13"/>
      <c r="T20" s="13"/>
      <c r="U20" s="13"/>
      <c r="V20" s="13"/>
      <c r="W20" s="13"/>
      <c r="X20" s="13"/>
      <c r="Y20" s="13"/>
      <c r="Z20" s="14" t="s">
        <v>302</v>
      </c>
      <c r="AA20" s="19" t="s">
        <v>303</v>
      </c>
      <c r="AB20" s="14" t="s">
        <v>304</v>
      </c>
      <c r="AC20" s="14"/>
    </row>
    <row r="21" spans="1:29" ht="15.75" customHeight="1">
      <c r="A21" s="8" t="str">
        <f>HYPERLINK("https://drive.google.com/a/scoutsdemadrid.org/file/d/1Rm6r03b2Z2CEFVF8x3e2Tq9lEbPluKoV/view?usp=drivesdk","Zona Campamento")</f>
        <v>Zona Campamento</v>
      </c>
      <c r="B21" s="10" t="s">
        <v>144</v>
      </c>
      <c r="C21" s="20" t="s">
        <v>144</v>
      </c>
      <c r="D21" s="12">
        <v>2015</v>
      </c>
      <c r="E21" s="23" t="s">
        <v>305</v>
      </c>
      <c r="F21" s="14" t="s">
        <v>306</v>
      </c>
      <c r="G21" s="15">
        <v>42199</v>
      </c>
      <c r="H21" s="15">
        <v>42215</v>
      </c>
      <c r="I21" s="23" t="s">
        <v>307</v>
      </c>
      <c r="J21" s="23" t="s">
        <v>307</v>
      </c>
      <c r="K21" s="13"/>
      <c r="L21" s="13" t="s">
        <v>308</v>
      </c>
      <c r="M21" s="23"/>
      <c r="N21" s="13"/>
      <c r="O21" s="13"/>
      <c r="P21" s="13"/>
      <c r="Q21" s="13"/>
      <c r="R21" s="23"/>
      <c r="S21" s="23"/>
      <c r="T21" s="23"/>
      <c r="U21" s="13"/>
      <c r="V21" s="23"/>
      <c r="W21" s="23"/>
      <c r="X21" s="13"/>
      <c r="Y21" s="13"/>
      <c r="Z21" s="14" t="s">
        <v>309</v>
      </c>
      <c r="AA21" s="19" t="s">
        <v>310</v>
      </c>
      <c r="AB21" s="14" t="s">
        <v>311</v>
      </c>
      <c r="AC21" s="14"/>
    </row>
    <row r="22" spans="1:29" ht="15.75" customHeight="1">
      <c r="A22" s="8" t="str">
        <f>HYPERLINK("https://drive.google.com/a/scoutsdemadrid.org/file/d/1dy9_2Cd_bMYmYr2Z4MKXCYFYNWlNYEwE/view?usp=drivesdk","Zona Campamento")</f>
        <v>Zona Campamento</v>
      </c>
      <c r="B22" s="10" t="s">
        <v>144</v>
      </c>
      <c r="C22" s="20" t="s">
        <v>144</v>
      </c>
      <c r="D22" s="12">
        <v>2016</v>
      </c>
      <c r="E22" s="23" t="s">
        <v>312</v>
      </c>
      <c r="F22" s="14" t="s">
        <v>313</v>
      </c>
      <c r="G22" s="15">
        <v>42181</v>
      </c>
      <c r="H22" s="15">
        <v>42185</v>
      </c>
      <c r="I22" s="23" t="s">
        <v>314</v>
      </c>
      <c r="J22" s="23" t="s">
        <v>315</v>
      </c>
      <c r="K22" s="13"/>
      <c r="L22" s="13"/>
      <c r="M22" s="23"/>
      <c r="N22" s="13"/>
      <c r="O22" s="13"/>
      <c r="P22" s="13"/>
      <c r="Q22" s="13"/>
      <c r="R22" s="23"/>
      <c r="S22" s="23"/>
      <c r="T22" s="23"/>
      <c r="U22" s="13"/>
      <c r="V22" s="23"/>
      <c r="W22" s="23"/>
      <c r="X22" s="13"/>
      <c r="Y22" s="13"/>
      <c r="Z22" s="14" t="s">
        <v>316</v>
      </c>
      <c r="AA22" s="19" t="s">
        <v>317</v>
      </c>
      <c r="AB22" s="14" t="s">
        <v>318</v>
      </c>
      <c r="AC22" s="14"/>
    </row>
    <row r="23" spans="1:29" ht="15.75" customHeight="1">
      <c r="A23" s="22" t="str">
        <f>HYPERLINK("https://drive.google.com/a/scoutsdemadrid.org/file/d/112SStJYkY2xlYd48rHIl6ors4u_KCYGe/view?usp=drivesdk","Zona Campamento")</f>
        <v>Zona Campamento</v>
      </c>
      <c r="B23" s="10" t="s">
        <v>144</v>
      </c>
      <c r="C23" s="20" t="s">
        <v>144</v>
      </c>
      <c r="D23" s="12">
        <v>2016</v>
      </c>
      <c r="E23" s="23" t="s">
        <v>298</v>
      </c>
      <c r="F23" s="14" t="s">
        <v>299</v>
      </c>
      <c r="G23" s="24">
        <v>42555</v>
      </c>
      <c r="H23" s="24">
        <v>42562</v>
      </c>
      <c r="I23" s="23" t="s">
        <v>319</v>
      </c>
      <c r="J23" s="14" t="s">
        <v>320</v>
      </c>
      <c r="K23" s="13"/>
      <c r="L23" s="13"/>
      <c r="M23" s="14" t="s">
        <v>321</v>
      </c>
      <c r="N23" s="14" t="s">
        <v>322</v>
      </c>
      <c r="O23" s="14" t="s">
        <v>323</v>
      </c>
      <c r="P23" s="14" t="s">
        <v>324</v>
      </c>
      <c r="Q23" s="14" t="s">
        <v>325</v>
      </c>
      <c r="R23" s="14" t="s">
        <v>54</v>
      </c>
      <c r="S23" s="14" t="s">
        <v>55</v>
      </c>
      <c r="T23" s="14" t="s">
        <v>326</v>
      </c>
      <c r="U23" s="14" t="s">
        <v>327</v>
      </c>
      <c r="V23" s="14" t="s">
        <v>328</v>
      </c>
      <c r="W23" s="14" t="s">
        <v>329</v>
      </c>
      <c r="X23" s="14" t="s">
        <v>330</v>
      </c>
      <c r="Y23" s="14"/>
      <c r="Z23" s="14" t="s">
        <v>331</v>
      </c>
      <c r="AA23" s="19" t="s">
        <v>332</v>
      </c>
      <c r="AB23" s="14" t="s">
        <v>333</v>
      </c>
      <c r="AC23" s="14"/>
    </row>
    <row r="24" spans="1:29" ht="15.75" customHeight="1">
      <c r="A24" s="8" t="str">
        <f>HYPERLINK("https://drive.google.com/a/scoutsdemadrid.org/file/d/1l9rR4fxUS7K3CixMQWAgeuSrNsbubseC/view?usp=drivesdk","Zona Campamento")</f>
        <v>Zona Campamento</v>
      </c>
      <c r="B24" s="10" t="s">
        <v>144</v>
      </c>
      <c r="C24" s="20" t="s">
        <v>193</v>
      </c>
      <c r="D24" s="12">
        <v>2016</v>
      </c>
      <c r="E24" s="23" t="s">
        <v>334</v>
      </c>
      <c r="F24" s="14" t="s">
        <v>335</v>
      </c>
      <c r="G24" s="24">
        <v>42552</v>
      </c>
      <c r="H24" s="24">
        <v>42566</v>
      </c>
      <c r="I24" s="23" t="s">
        <v>336</v>
      </c>
      <c r="J24" s="14" t="s">
        <v>337</v>
      </c>
      <c r="K24" s="13"/>
      <c r="L24" s="13"/>
      <c r="M24" s="14" t="s">
        <v>338</v>
      </c>
      <c r="N24" s="13"/>
      <c r="O24" s="13"/>
      <c r="P24" s="13"/>
      <c r="Q24" s="13"/>
      <c r="R24" s="13"/>
      <c r="S24" s="13"/>
      <c r="T24" s="13"/>
      <c r="U24" s="13"/>
      <c r="V24" s="13"/>
      <c r="W24" s="13"/>
      <c r="X24" s="13"/>
      <c r="Y24" s="13"/>
      <c r="Z24" s="14" t="s">
        <v>339</v>
      </c>
      <c r="AA24" s="19" t="s">
        <v>340</v>
      </c>
      <c r="AB24" s="14" t="s">
        <v>341</v>
      </c>
      <c r="AC24" s="14"/>
    </row>
    <row r="25" spans="1:29" ht="15.75" customHeight="1">
      <c r="A25" s="22" t="str">
        <f>HYPERLINK("https://drive.google.com/a/scoutsdemadrid.org/file/d/1jzLbpvIUnKsSX3_62DkyRHlOcfRVLguz/view?usp=drivesdk","Zona Campamento")</f>
        <v>Zona Campamento</v>
      </c>
      <c r="B25" s="10" t="s">
        <v>144</v>
      </c>
      <c r="C25" s="20" t="s">
        <v>144</v>
      </c>
      <c r="D25" s="12">
        <v>2016</v>
      </c>
      <c r="E25" s="23" t="s">
        <v>149</v>
      </c>
      <c r="F25" s="14" t="s">
        <v>150</v>
      </c>
      <c r="G25" s="24">
        <v>42566</v>
      </c>
      <c r="H25" s="24">
        <v>42581</v>
      </c>
      <c r="I25" s="23" t="s">
        <v>342</v>
      </c>
      <c r="J25" s="14" t="s">
        <v>343</v>
      </c>
      <c r="K25" s="14" t="s">
        <v>344</v>
      </c>
      <c r="L25" s="14" t="s">
        <v>345</v>
      </c>
      <c r="M25" s="14" t="s">
        <v>346</v>
      </c>
      <c r="N25" s="13"/>
      <c r="O25" s="13"/>
      <c r="P25" s="13"/>
      <c r="Q25" s="13"/>
      <c r="R25" s="14" t="s">
        <v>54</v>
      </c>
      <c r="S25" s="14" t="s">
        <v>55</v>
      </c>
      <c r="T25" s="14" t="s">
        <v>347</v>
      </c>
      <c r="U25" s="14" t="s">
        <v>348</v>
      </c>
      <c r="V25" s="14" t="s">
        <v>103</v>
      </c>
      <c r="W25" s="14" t="s">
        <v>103</v>
      </c>
      <c r="X25" s="14" t="s">
        <v>349</v>
      </c>
      <c r="Y25" s="14"/>
      <c r="Z25" s="14" t="s">
        <v>350</v>
      </c>
      <c r="AA25" s="19" t="s">
        <v>351</v>
      </c>
      <c r="AB25" s="14" t="s">
        <v>352</v>
      </c>
      <c r="AC25" s="14"/>
    </row>
    <row r="26" spans="1:29" ht="15.75" customHeight="1">
      <c r="A26" s="8" t="str">
        <f>HYPERLINK("https://drive.google.com/a/scoutsdemadrid.org/file/d/1UNk3n7fdhkzDBPpptTmC9fZFTPWZ1FUu/view?usp=drivesdk","Zona Campamento")</f>
        <v>Zona Campamento</v>
      </c>
      <c r="B26" s="10" t="s">
        <v>144</v>
      </c>
      <c r="C26" s="10" t="s">
        <v>144</v>
      </c>
      <c r="D26" s="12">
        <v>2017</v>
      </c>
      <c r="E26" s="13" t="s">
        <v>305</v>
      </c>
      <c r="F26" s="14" t="s">
        <v>306</v>
      </c>
      <c r="G26" s="15">
        <v>42931</v>
      </c>
      <c r="H26" s="15">
        <v>42944</v>
      </c>
      <c r="I26" s="13" t="s">
        <v>342</v>
      </c>
      <c r="J26" s="13" t="s">
        <v>353</v>
      </c>
      <c r="K26" s="13" t="s">
        <v>354</v>
      </c>
      <c r="L26" s="13" t="s">
        <v>355</v>
      </c>
      <c r="M26" s="13" t="s">
        <v>356</v>
      </c>
      <c r="N26" s="13"/>
      <c r="O26" s="13"/>
      <c r="P26" s="13"/>
      <c r="Q26" s="13"/>
      <c r="R26" s="13"/>
      <c r="S26" s="13" t="s">
        <v>55</v>
      </c>
      <c r="T26" s="13"/>
      <c r="U26" s="13"/>
      <c r="V26" s="13" t="s">
        <v>357</v>
      </c>
      <c r="W26" s="13"/>
      <c r="X26" s="13"/>
      <c r="Y26" s="13"/>
      <c r="Z26" s="14" t="s">
        <v>358</v>
      </c>
      <c r="AA26" s="19" t="s">
        <v>359</v>
      </c>
      <c r="AB26" s="14" t="s">
        <v>352</v>
      </c>
      <c r="AC26" s="14"/>
    </row>
    <row r="27" spans="1:29" ht="15.75" customHeight="1">
      <c r="A27" s="8" t="str">
        <f>HYPERLINK("https://drive.google.com/a/scoutsdemadrid.org/file/d/1LxDPv1JuqXbnDpRMUd0Z5WTyak7I76UE/view?usp=drivesdk","Zona Campamento")</f>
        <v>Zona Campamento</v>
      </c>
      <c r="B27" s="10" t="s">
        <v>144</v>
      </c>
      <c r="C27" s="10" t="s">
        <v>144</v>
      </c>
      <c r="D27" s="12">
        <v>2017</v>
      </c>
      <c r="E27" s="13" t="s">
        <v>360</v>
      </c>
      <c r="F27" s="14" t="s">
        <v>361</v>
      </c>
      <c r="G27" s="15">
        <v>42929</v>
      </c>
      <c r="H27" s="15">
        <v>42946</v>
      </c>
      <c r="I27" s="13" t="s">
        <v>362</v>
      </c>
      <c r="J27" s="13" t="s">
        <v>363</v>
      </c>
      <c r="K27" s="13" t="s">
        <v>364</v>
      </c>
      <c r="L27" s="13" t="s">
        <v>365</v>
      </c>
      <c r="M27" s="13" t="s">
        <v>366</v>
      </c>
      <c r="N27" s="13">
        <v>610259490</v>
      </c>
      <c r="O27" s="13" t="s">
        <v>367</v>
      </c>
      <c r="P27" s="13" t="s">
        <v>368</v>
      </c>
      <c r="Q27" s="13" t="s">
        <v>369</v>
      </c>
      <c r="R27" s="13" t="s">
        <v>54</v>
      </c>
      <c r="S27" s="13" t="s">
        <v>55</v>
      </c>
      <c r="T27" s="13" t="s">
        <v>370</v>
      </c>
      <c r="U27" s="13" t="s">
        <v>371</v>
      </c>
      <c r="V27" s="13" t="s">
        <v>103</v>
      </c>
      <c r="W27" s="13" t="s">
        <v>372</v>
      </c>
      <c r="X27" s="13" t="s">
        <v>373</v>
      </c>
      <c r="Y27" s="13"/>
      <c r="Z27" s="14" t="s">
        <v>374</v>
      </c>
      <c r="AA27" s="19" t="s">
        <v>375</v>
      </c>
      <c r="AB27" s="14" t="s">
        <v>376</v>
      </c>
      <c r="AC27" s="14"/>
    </row>
    <row r="28" spans="1:29" ht="15.75" customHeight="1">
      <c r="A28" s="8" t="str">
        <f>HYPERLINK("https://drive.google.com/a/scoutsdemadrid.org/file/d/1BQkEWAiOH8d-nBQ1YEXdF-UYyLq8qEr7/view?usp=drivesdk","Zona Campamento")</f>
        <v>Zona Campamento</v>
      </c>
      <c r="B28" s="10" t="s">
        <v>144</v>
      </c>
      <c r="C28" s="20" t="s">
        <v>144</v>
      </c>
      <c r="D28" s="12">
        <v>2018</v>
      </c>
      <c r="E28" s="23" t="s">
        <v>132</v>
      </c>
      <c r="F28" s="14" t="s">
        <v>133</v>
      </c>
      <c r="G28" s="15">
        <v>43299</v>
      </c>
      <c r="H28" s="15">
        <v>43310</v>
      </c>
      <c r="I28" s="23" t="s">
        <v>377</v>
      </c>
      <c r="J28" s="23" t="s">
        <v>378</v>
      </c>
      <c r="K28" s="13" t="s">
        <v>379</v>
      </c>
      <c r="L28" s="13" t="s">
        <v>380</v>
      </c>
      <c r="M28" s="23" t="s">
        <v>381</v>
      </c>
      <c r="N28" s="13" t="s">
        <v>382</v>
      </c>
      <c r="O28" s="13" t="s">
        <v>383</v>
      </c>
      <c r="P28" s="13" t="s">
        <v>384</v>
      </c>
      <c r="Q28" s="13" t="s">
        <v>385</v>
      </c>
      <c r="R28" s="23" t="s">
        <v>54</v>
      </c>
      <c r="S28" s="23" t="s">
        <v>55</v>
      </c>
      <c r="T28" s="23" t="s">
        <v>386</v>
      </c>
      <c r="U28" s="13" t="s">
        <v>387</v>
      </c>
      <c r="V28" s="23" t="s">
        <v>388</v>
      </c>
      <c r="W28" s="23" t="s">
        <v>372</v>
      </c>
      <c r="X28" s="13" t="s">
        <v>389</v>
      </c>
      <c r="Y28" s="13"/>
      <c r="Z28" s="14" t="s">
        <v>390</v>
      </c>
      <c r="AA28" s="19" t="s">
        <v>391</v>
      </c>
      <c r="AB28" s="14" t="s">
        <v>392</v>
      </c>
      <c r="AC28" s="14"/>
    </row>
    <row r="29" spans="1:29" ht="15.75" customHeight="1">
      <c r="A29" s="8" t="str">
        <f>HYPERLINK("https://drive.google.com/a/scoutsdemadrid.org/file/d/1gI4jjs--jERRNcKrhrw9uh2wTy91pNqm/view?usp=drivesdk","Zona Campamento")</f>
        <v>Zona Campamento</v>
      </c>
      <c r="B29" s="10" t="s">
        <v>393</v>
      </c>
      <c r="C29" s="20" t="s">
        <v>393</v>
      </c>
      <c r="D29" s="12">
        <v>2016</v>
      </c>
      <c r="E29" s="23" t="s">
        <v>236</v>
      </c>
      <c r="F29" s="14" t="s">
        <v>237</v>
      </c>
      <c r="G29" s="15">
        <v>42567</v>
      </c>
      <c r="H29" s="15">
        <v>42577</v>
      </c>
      <c r="I29" s="23" t="s">
        <v>394</v>
      </c>
      <c r="J29" s="23" t="s">
        <v>395</v>
      </c>
      <c r="K29" s="13"/>
      <c r="L29" s="13"/>
      <c r="M29" s="23"/>
      <c r="N29" s="13"/>
      <c r="O29" s="13"/>
      <c r="P29" s="13"/>
      <c r="Q29" s="13"/>
      <c r="R29" s="23"/>
      <c r="S29" s="23"/>
      <c r="T29" s="23"/>
      <c r="U29" s="13"/>
      <c r="V29" s="23"/>
      <c r="W29" s="23"/>
      <c r="X29" s="13"/>
      <c r="Y29" s="13"/>
      <c r="Z29" s="14" t="s">
        <v>396</v>
      </c>
      <c r="AA29" s="19" t="s">
        <v>397</v>
      </c>
      <c r="AB29" s="14" t="s">
        <v>398</v>
      </c>
      <c r="AC29" s="14"/>
    </row>
    <row r="30" spans="1:29" ht="15.75" customHeight="1">
      <c r="A30" s="8" t="str">
        <f>HYPERLINK("https://drive.google.com/a/scoutsdemadrid.org/file/d/1VYNLTDukdinE-BM7drtneoGkyGQ35JE_/view?usp=drivesdk","Zona Campamento")</f>
        <v>Zona Campamento</v>
      </c>
      <c r="B30" s="10" t="s">
        <v>144</v>
      </c>
      <c r="C30" s="20" t="s">
        <v>144</v>
      </c>
      <c r="D30" s="12">
        <v>2012</v>
      </c>
      <c r="E30" s="23" t="s">
        <v>305</v>
      </c>
      <c r="F30" s="14" t="s">
        <v>306</v>
      </c>
      <c r="G30" s="15">
        <v>41106</v>
      </c>
      <c r="H30" s="15">
        <v>41119</v>
      </c>
      <c r="I30" s="23" t="s">
        <v>307</v>
      </c>
      <c r="J30" s="23" t="s">
        <v>399</v>
      </c>
      <c r="K30" s="13"/>
      <c r="L30" s="13"/>
      <c r="M30" s="23"/>
      <c r="N30" s="13"/>
      <c r="O30" s="13"/>
      <c r="P30" s="13"/>
      <c r="Q30" s="13"/>
      <c r="R30" s="23"/>
      <c r="S30" s="23"/>
      <c r="T30" s="23"/>
      <c r="U30" s="13"/>
      <c r="V30" s="23"/>
      <c r="W30" s="23"/>
      <c r="X30" s="13"/>
      <c r="Y30" s="13"/>
      <c r="Z30" s="14" t="s">
        <v>400</v>
      </c>
      <c r="AA30" s="19" t="s">
        <v>401</v>
      </c>
      <c r="AB30" s="14" t="s">
        <v>402</v>
      </c>
      <c r="AC30" s="14"/>
    </row>
    <row r="31" spans="1:29" ht="15.75" customHeight="1">
      <c r="A31" s="8" t="str">
        <f>HYPERLINK("https://drive.google.com/a/scoutsdemadrid.org/file/d/1pDL0twBa4Jtr8tb8maseIfK7qO_hDYSO/view?usp=drivesdk","Zona Campamento")</f>
        <v>Zona Campamento</v>
      </c>
      <c r="B31" s="10" t="s">
        <v>144</v>
      </c>
      <c r="C31" s="20" t="s">
        <v>144</v>
      </c>
      <c r="D31" s="12">
        <v>2019</v>
      </c>
      <c r="E31" s="23" t="s">
        <v>89</v>
      </c>
      <c r="F31" s="14" t="s">
        <v>403</v>
      </c>
      <c r="G31" s="15">
        <v>43659</v>
      </c>
      <c r="H31" s="15">
        <v>43676</v>
      </c>
      <c r="I31" s="23" t="s">
        <v>404</v>
      </c>
      <c r="J31" s="23" t="s">
        <v>405</v>
      </c>
      <c r="K31" s="13" t="s">
        <v>406</v>
      </c>
      <c r="L31" s="13" t="s">
        <v>407</v>
      </c>
      <c r="M31" s="23" t="s">
        <v>408</v>
      </c>
      <c r="N31" s="13" t="s">
        <v>409</v>
      </c>
      <c r="O31" s="13" t="s">
        <v>410</v>
      </c>
      <c r="P31" s="13" t="s">
        <v>411</v>
      </c>
      <c r="Q31" s="13" t="s">
        <v>412</v>
      </c>
      <c r="R31" s="23" t="s">
        <v>54</v>
      </c>
      <c r="S31" s="23" t="s">
        <v>55</v>
      </c>
      <c r="T31" s="23" t="s">
        <v>413</v>
      </c>
      <c r="U31" s="13" t="s">
        <v>414</v>
      </c>
      <c r="V31" s="23" t="s">
        <v>415</v>
      </c>
      <c r="W31" s="23" t="s">
        <v>416</v>
      </c>
      <c r="X31" s="13" t="s">
        <v>417</v>
      </c>
      <c r="Y31" s="13" t="s">
        <v>103</v>
      </c>
      <c r="Z31" s="14" t="s">
        <v>418</v>
      </c>
      <c r="AA31" s="19" t="s">
        <v>419</v>
      </c>
      <c r="AB31" s="14" t="s">
        <v>420</v>
      </c>
      <c r="AC31" s="14"/>
    </row>
    <row r="32" spans="1:29" ht="15.75" customHeight="1">
      <c r="A32" s="8" t="str">
        <f>HYPERLINK("https://drive.google.com/a/scoutsdemadrid.org/file/d/11-fg7m7hjz0TwKrbtFgc4Rhs2gPMe6af/view?usp=drivesdk","Zona Campamento")</f>
        <v>Zona Campamento</v>
      </c>
      <c r="B32" s="10" t="s">
        <v>144</v>
      </c>
      <c r="C32" s="20" t="s">
        <v>144</v>
      </c>
      <c r="D32" s="12">
        <v>2019</v>
      </c>
      <c r="E32" s="23" t="s">
        <v>360</v>
      </c>
      <c r="F32" s="14" t="s">
        <v>361</v>
      </c>
      <c r="G32" s="15">
        <v>43659</v>
      </c>
      <c r="H32" s="15">
        <v>43676</v>
      </c>
      <c r="I32" s="23" t="s">
        <v>421</v>
      </c>
      <c r="J32" s="23" t="s">
        <v>422</v>
      </c>
      <c r="K32" s="13" t="s">
        <v>423</v>
      </c>
      <c r="L32" s="13" t="s">
        <v>424</v>
      </c>
      <c r="M32" s="23" t="s">
        <v>425</v>
      </c>
      <c r="N32" s="13">
        <v>616302131</v>
      </c>
      <c r="O32" s="13" t="s">
        <v>426</v>
      </c>
      <c r="P32" s="13" t="s">
        <v>427</v>
      </c>
      <c r="Q32" s="13" t="s">
        <v>428</v>
      </c>
      <c r="R32" s="23" t="s">
        <v>54</v>
      </c>
      <c r="S32" s="23" t="s">
        <v>103</v>
      </c>
      <c r="T32" s="23" t="s">
        <v>429</v>
      </c>
      <c r="U32" s="13" t="s">
        <v>430</v>
      </c>
      <c r="V32" s="23" t="s">
        <v>103</v>
      </c>
      <c r="W32" s="23" t="s">
        <v>431</v>
      </c>
      <c r="X32" s="13" t="s">
        <v>432</v>
      </c>
      <c r="Y32" s="13" t="s">
        <v>55</v>
      </c>
      <c r="Z32" s="14" t="s">
        <v>433</v>
      </c>
      <c r="AA32" s="19" t="s">
        <v>434</v>
      </c>
      <c r="AB32" s="14" t="s">
        <v>435</v>
      </c>
      <c r="AC32" s="14"/>
    </row>
    <row r="33" spans="1:29" ht="15.75" customHeight="1">
      <c r="A33" s="8" t="str">
        <f>HYPERLINK("https://drive.google.com/a/scoutsdemadrid.org/file/d/1dfYIYZUYpbcCCldzmRJ_VKvI-JiSEmQy/view?usp=drivesdk","Zona Campamento")</f>
        <v>Zona Campamento</v>
      </c>
      <c r="B33" s="10" t="s">
        <v>144</v>
      </c>
      <c r="C33" s="20" t="s">
        <v>144</v>
      </c>
      <c r="D33" s="12">
        <v>2019</v>
      </c>
      <c r="E33" s="23" t="s">
        <v>268</v>
      </c>
      <c r="F33" s="14" t="s">
        <v>436</v>
      </c>
      <c r="G33" s="15">
        <v>43661</v>
      </c>
      <c r="H33" s="15">
        <v>43676</v>
      </c>
      <c r="I33" s="23" t="s">
        <v>437</v>
      </c>
      <c r="J33" s="23" t="s">
        <v>438</v>
      </c>
      <c r="K33" s="13" t="s">
        <v>439</v>
      </c>
      <c r="L33" s="13" t="s">
        <v>440</v>
      </c>
      <c r="M33" s="23" t="s">
        <v>441</v>
      </c>
      <c r="N33" s="13">
        <v>942727550</v>
      </c>
      <c r="O33" s="13" t="s">
        <v>442</v>
      </c>
      <c r="P33" s="13" t="s">
        <v>443</v>
      </c>
      <c r="Q33" s="13" t="s">
        <v>136</v>
      </c>
      <c r="R33" s="23" t="s">
        <v>54</v>
      </c>
      <c r="S33" s="23" t="s">
        <v>55</v>
      </c>
      <c r="T33" s="23" t="s">
        <v>444</v>
      </c>
      <c r="U33" s="13" t="s">
        <v>445</v>
      </c>
      <c r="V33" s="23" t="s">
        <v>103</v>
      </c>
      <c r="W33" s="23" t="s">
        <v>55</v>
      </c>
      <c r="X33" s="13" t="s">
        <v>446</v>
      </c>
      <c r="Y33" s="13" t="s">
        <v>55</v>
      </c>
      <c r="Z33" s="14" t="s">
        <v>447</v>
      </c>
      <c r="AA33" s="19" t="s">
        <v>448</v>
      </c>
      <c r="AB33" s="14" t="s">
        <v>449</v>
      </c>
      <c r="AC33" s="14"/>
    </row>
    <row r="34" spans="1:29" ht="15.75" customHeight="1">
      <c r="A34" s="8" t="str">
        <f>HYPERLINK("https://drive.google.com/a/scoutsdemadrid.org/file/d/1NfYgbXWhG_UfstoCrxWKw7SOxRUbca6N/view?usp=drivesdk","Zona Campamento")</f>
        <v>Zona Campamento</v>
      </c>
      <c r="B34" s="10" t="s">
        <v>144</v>
      </c>
      <c r="C34" s="20" t="s">
        <v>144</v>
      </c>
      <c r="D34" s="12">
        <v>2019</v>
      </c>
      <c r="E34" s="23" t="s">
        <v>236</v>
      </c>
      <c r="F34" s="14" t="s">
        <v>450</v>
      </c>
      <c r="G34" s="15">
        <v>43662</v>
      </c>
      <c r="H34" s="15">
        <v>43676</v>
      </c>
      <c r="I34" s="23" t="s">
        <v>451</v>
      </c>
      <c r="J34" s="23" t="s">
        <v>452</v>
      </c>
      <c r="K34" s="13" t="s">
        <v>453</v>
      </c>
      <c r="L34" s="13" t="s">
        <v>454</v>
      </c>
      <c r="M34" s="23" t="s">
        <v>455</v>
      </c>
      <c r="N34" s="13">
        <v>656800040</v>
      </c>
      <c r="O34" s="13" t="s">
        <v>456</v>
      </c>
      <c r="P34" s="13" t="s">
        <v>457</v>
      </c>
      <c r="Q34" s="13" t="s">
        <v>458</v>
      </c>
      <c r="R34" s="23" t="s">
        <v>100</v>
      </c>
      <c r="S34" s="23" t="s">
        <v>55</v>
      </c>
      <c r="T34" s="23" t="s">
        <v>459</v>
      </c>
      <c r="U34" s="13" t="s">
        <v>460</v>
      </c>
      <c r="V34" s="23" t="s">
        <v>103</v>
      </c>
      <c r="W34" s="23" t="s">
        <v>461</v>
      </c>
      <c r="X34" s="13" t="s">
        <v>462</v>
      </c>
      <c r="Y34" s="13" t="s">
        <v>55</v>
      </c>
      <c r="Z34" s="14" t="s">
        <v>463</v>
      </c>
      <c r="AA34" s="19" t="s">
        <v>464</v>
      </c>
      <c r="AB34" s="14" t="s">
        <v>465</v>
      </c>
      <c r="AC34" s="14"/>
    </row>
    <row r="35" spans="1:29" ht="15.75" customHeight="1">
      <c r="A35" s="8" t="str">
        <f>HYPERLINK("https://drive.google.com/a/scoutsdemadrid.org/file/d/1TZ-PEviYB84ebpyEpx9tljIdtvQHLCjh/view?usp=drivesdk","Zona Campamento")</f>
        <v>Zona Campamento</v>
      </c>
      <c r="B35" s="25" t="s">
        <v>466</v>
      </c>
      <c r="C35" s="10" t="s">
        <v>203</v>
      </c>
      <c r="D35" s="12">
        <v>2015</v>
      </c>
      <c r="E35" s="13" t="s">
        <v>467</v>
      </c>
      <c r="F35" s="14" t="s">
        <v>468</v>
      </c>
      <c r="G35" s="15">
        <v>42201</v>
      </c>
      <c r="H35" s="15">
        <v>42215</v>
      </c>
      <c r="I35" s="13" t="s">
        <v>469</v>
      </c>
      <c r="J35" s="13" t="s">
        <v>470</v>
      </c>
      <c r="K35" s="13"/>
      <c r="L35" s="13" t="s">
        <v>471</v>
      </c>
      <c r="M35" s="13"/>
      <c r="N35" s="13"/>
      <c r="O35" s="13"/>
      <c r="P35" s="13"/>
      <c r="Q35" s="13"/>
      <c r="R35" s="13"/>
      <c r="S35" s="13"/>
      <c r="T35" s="13"/>
      <c r="U35" s="13"/>
      <c r="V35" s="13"/>
      <c r="W35" s="13"/>
      <c r="X35" s="13"/>
      <c r="Y35" s="13"/>
      <c r="Z35" s="14" t="s">
        <v>472</v>
      </c>
      <c r="AA35" s="19" t="s">
        <v>473</v>
      </c>
      <c r="AB35" s="14" t="s">
        <v>474</v>
      </c>
      <c r="AC35" s="14"/>
    </row>
    <row r="36" spans="1:29" ht="15.75" customHeight="1">
      <c r="A36" s="8" t="str">
        <f>HYPERLINK("https://drive.google.com/a/scoutsdemadrid.org/file/d/1gXeSU3NjA4JJZu9L5WcwQX7eWRIdMfHY/view?usp=drivesdk","Zona Campamento")</f>
        <v>Zona Campamento</v>
      </c>
      <c r="B36" s="25" t="s">
        <v>466</v>
      </c>
      <c r="C36" s="10" t="s">
        <v>85</v>
      </c>
      <c r="D36" s="12">
        <v>2017</v>
      </c>
      <c r="E36" s="13" t="s">
        <v>467</v>
      </c>
      <c r="F36" s="14" t="s">
        <v>468</v>
      </c>
      <c r="G36" s="15">
        <v>42932</v>
      </c>
      <c r="H36" s="15">
        <v>42946</v>
      </c>
      <c r="I36" s="13" t="s">
        <v>475</v>
      </c>
      <c r="J36" s="13" t="s">
        <v>476</v>
      </c>
      <c r="K36" s="13"/>
      <c r="L36" s="13"/>
      <c r="M36" s="13" t="s">
        <v>477</v>
      </c>
      <c r="N36" s="13"/>
      <c r="O36" s="13"/>
      <c r="P36" s="13"/>
      <c r="Q36" s="13"/>
      <c r="R36" s="13" t="s">
        <v>54</v>
      </c>
      <c r="S36" s="13" t="s">
        <v>55</v>
      </c>
      <c r="T36" s="13"/>
      <c r="U36" s="13" t="s">
        <v>478</v>
      </c>
      <c r="V36" s="13" t="s">
        <v>479</v>
      </c>
      <c r="W36" s="13" t="s">
        <v>103</v>
      </c>
      <c r="X36" s="13"/>
      <c r="Y36" s="13"/>
      <c r="Z36" s="14" t="s">
        <v>480</v>
      </c>
      <c r="AA36" s="19" t="s">
        <v>481</v>
      </c>
      <c r="AB36" s="14" t="s">
        <v>482</v>
      </c>
      <c r="AC36" s="14"/>
    </row>
    <row r="37" spans="1:29" ht="15.75" customHeight="1">
      <c r="A37" s="8" t="str">
        <f>HYPERLINK("https://drive.google.com/a/scoutsdemadrid.org/file/d/15pBinMiA7ksERwnIG1aRJZLBQthga_8o/view?usp=drivesdk","Zona Campamento")</f>
        <v>Zona Campamento</v>
      </c>
      <c r="B37" s="25" t="s">
        <v>466</v>
      </c>
      <c r="C37" s="10" t="s">
        <v>85</v>
      </c>
      <c r="D37" s="12">
        <v>2012</v>
      </c>
      <c r="E37" s="13" t="s">
        <v>483</v>
      </c>
      <c r="F37" s="14" t="s">
        <v>484</v>
      </c>
      <c r="G37" s="15">
        <v>41104</v>
      </c>
      <c r="H37" s="15">
        <v>41119</v>
      </c>
      <c r="I37" s="13" t="s">
        <v>485</v>
      </c>
      <c r="J37" s="13" t="s">
        <v>486</v>
      </c>
      <c r="K37" s="13"/>
      <c r="L37" s="26" t="s">
        <v>487</v>
      </c>
      <c r="M37" s="13"/>
      <c r="N37" s="13"/>
      <c r="O37" s="13"/>
      <c r="P37" s="13"/>
      <c r="Q37" s="13"/>
      <c r="R37" s="13"/>
      <c r="S37" s="13"/>
      <c r="T37" s="13"/>
      <c r="U37" s="13"/>
      <c r="V37" s="13"/>
      <c r="W37" s="13"/>
      <c r="X37" s="13"/>
      <c r="Y37" s="13"/>
      <c r="Z37" s="14" t="s">
        <v>488</v>
      </c>
      <c r="AA37" s="19" t="s">
        <v>489</v>
      </c>
      <c r="AB37" s="14" t="s">
        <v>490</v>
      </c>
      <c r="AC37" s="14"/>
    </row>
    <row r="38" spans="1:29" ht="15.75" customHeight="1">
      <c r="A38" s="8" t="str">
        <f>HYPERLINK("https://drive.google.com/a/scoutsdemadrid.org/file/d/188teyVEcSSWLOysgxm0fNsz4xJ0uHhL3/view?usp=drivesdk","Zona Campamento")</f>
        <v>Zona Campamento</v>
      </c>
      <c r="B38" s="25" t="s">
        <v>466</v>
      </c>
      <c r="C38" s="10" t="s">
        <v>85</v>
      </c>
      <c r="D38" s="12">
        <v>2015</v>
      </c>
      <c r="E38" s="13" t="s">
        <v>483</v>
      </c>
      <c r="F38" s="14" t="s">
        <v>484</v>
      </c>
      <c r="G38" s="15">
        <v>42200</v>
      </c>
      <c r="H38" s="15">
        <v>42215</v>
      </c>
      <c r="I38" s="13" t="s">
        <v>491</v>
      </c>
      <c r="J38" s="13" t="s">
        <v>492</v>
      </c>
      <c r="K38" s="13"/>
      <c r="L38" s="13"/>
      <c r="M38" s="13"/>
      <c r="N38" s="13"/>
      <c r="O38" s="13"/>
      <c r="P38" s="13"/>
      <c r="Q38" s="13"/>
      <c r="R38" s="13"/>
      <c r="S38" s="13"/>
      <c r="T38" s="13"/>
      <c r="U38" s="13"/>
      <c r="V38" s="13"/>
      <c r="W38" s="13"/>
      <c r="X38" s="13"/>
      <c r="Y38" s="13"/>
      <c r="Z38" s="14" t="s">
        <v>493</v>
      </c>
      <c r="AA38" s="19" t="s">
        <v>494</v>
      </c>
      <c r="AB38" s="14" t="s">
        <v>495</v>
      </c>
      <c r="AC38" s="14"/>
    </row>
    <row r="39" spans="1:29" ht="15.75" customHeight="1">
      <c r="A39" s="8" t="str">
        <f>HYPERLINK("https://drive.google.com/a/scoutsdemadrid.org/file/d/1vNf8wuaMnLRW47TYE72bYxZFlLtjBp16/view?usp=drivesdk","Zona Campamento")</f>
        <v>Zona Campamento</v>
      </c>
      <c r="B39" s="25" t="s">
        <v>466</v>
      </c>
      <c r="C39" s="10" t="s">
        <v>85</v>
      </c>
      <c r="D39" s="12">
        <v>2015</v>
      </c>
      <c r="E39" s="13" t="s">
        <v>496</v>
      </c>
      <c r="F39" s="14" t="s">
        <v>497</v>
      </c>
      <c r="G39" s="15">
        <v>42201</v>
      </c>
      <c r="H39" s="15">
        <v>42215</v>
      </c>
      <c r="I39" s="13" t="s">
        <v>498</v>
      </c>
      <c r="J39" s="13" t="s">
        <v>499</v>
      </c>
      <c r="K39" s="13"/>
      <c r="L39" s="13" t="s">
        <v>500</v>
      </c>
      <c r="M39" s="13"/>
      <c r="N39" s="13"/>
      <c r="O39" s="13"/>
      <c r="P39" s="13"/>
      <c r="Q39" s="13"/>
      <c r="R39" s="13"/>
      <c r="S39" s="13"/>
      <c r="T39" s="13"/>
      <c r="U39" s="13"/>
      <c r="V39" s="13"/>
      <c r="W39" s="13"/>
      <c r="X39" s="13"/>
      <c r="Y39" s="13"/>
      <c r="Z39" s="14" t="s">
        <v>501</v>
      </c>
      <c r="AA39" s="19" t="s">
        <v>502</v>
      </c>
      <c r="AB39" s="14" t="s">
        <v>503</v>
      </c>
      <c r="AC39" s="14"/>
    </row>
    <row r="40" spans="1:29" ht="60">
      <c r="A40" s="8" t="str">
        <f>HYPERLINK("https://drive.google.com/a/scoutsdemadrid.org/file/d/12x0nCSKTumNI2BtROWoC2xUdWSLYcFbY/view?usp=drivesdk","Zona Campamento")</f>
        <v>Zona Campamento</v>
      </c>
      <c r="B40" s="25" t="s">
        <v>466</v>
      </c>
      <c r="C40" s="10" t="s">
        <v>195</v>
      </c>
      <c r="D40" s="12">
        <v>2017</v>
      </c>
      <c r="E40" s="13" t="s">
        <v>496</v>
      </c>
      <c r="F40" s="13" t="str">
        <f t="shared" ref="F40:F42" si="0">F39</f>
        <v xml:space="preserve">gs.alud@scoutsdemadrid.org </v>
      </c>
      <c r="G40" s="15">
        <v>42938</v>
      </c>
      <c r="H40" s="15">
        <v>42946</v>
      </c>
      <c r="I40" s="13" t="s">
        <v>504</v>
      </c>
      <c r="J40" s="13" t="s">
        <v>504</v>
      </c>
      <c r="K40" s="13"/>
      <c r="L40" s="13"/>
      <c r="M40" s="13" t="s">
        <v>505</v>
      </c>
      <c r="N40" s="13"/>
      <c r="O40" s="13"/>
      <c r="P40" s="13"/>
      <c r="Q40" s="13"/>
      <c r="R40" s="13"/>
      <c r="S40" s="13"/>
      <c r="T40" s="13"/>
      <c r="U40" s="13"/>
      <c r="V40" s="13"/>
      <c r="W40" s="13"/>
      <c r="X40" s="13"/>
      <c r="Y40" s="14" t="s">
        <v>506</v>
      </c>
      <c r="Z40" s="19" t="s">
        <v>507</v>
      </c>
      <c r="AA40" s="30" t="str">
        <f>HYPERLINK("https://drive.google.com/a/scoutsdemadrid.org/file/d/12x0nCSKTumNI2BtROWoC2xUdWSLYcFbY/view?usp=drivesdk","Zona Campamento")</f>
        <v>Zona Campamento</v>
      </c>
      <c r="AB40" s="14" t="s">
        <v>508</v>
      </c>
      <c r="AC40" s="14"/>
    </row>
    <row r="41" spans="1:29" ht="60">
      <c r="A41" s="8" t="str">
        <f>HYPERLINK("https://drive.google.com/a/scoutsdemadrid.org/file/d/1YK9hh0m1EDKz4C-BBHHF7n36KxnSluEi/view?usp=drivesdk","Zona Campamento")</f>
        <v>Zona Campamento</v>
      </c>
      <c r="B41" s="25" t="s">
        <v>466</v>
      </c>
      <c r="C41" s="10" t="s">
        <v>85</v>
      </c>
      <c r="D41" s="12">
        <v>2018</v>
      </c>
      <c r="E41" s="13" t="s">
        <v>496</v>
      </c>
      <c r="F41" s="13" t="str">
        <f t="shared" si="0"/>
        <v xml:space="preserve">gs.alud@scoutsdemadrid.org </v>
      </c>
      <c r="G41" s="15">
        <v>43297</v>
      </c>
      <c r="H41" s="15">
        <v>43311</v>
      </c>
      <c r="I41" s="13" t="s">
        <v>509</v>
      </c>
      <c r="J41" s="13" t="s">
        <v>510</v>
      </c>
      <c r="K41" s="13" t="s">
        <v>511</v>
      </c>
      <c r="L41" s="13" t="s">
        <v>512</v>
      </c>
      <c r="M41" s="13" t="s">
        <v>513</v>
      </c>
      <c r="N41" s="13" t="s">
        <v>514</v>
      </c>
      <c r="O41" s="13" t="s">
        <v>515</v>
      </c>
      <c r="P41" s="27">
        <v>364</v>
      </c>
      <c r="Q41" s="13" t="s">
        <v>511</v>
      </c>
      <c r="R41" s="13" t="s">
        <v>54</v>
      </c>
      <c r="S41" s="13" t="s">
        <v>55</v>
      </c>
      <c r="T41" s="13" t="s">
        <v>516</v>
      </c>
      <c r="U41" s="13" t="s">
        <v>517</v>
      </c>
      <c r="V41" s="13" t="s">
        <v>518</v>
      </c>
      <c r="W41" s="13" t="s">
        <v>519</v>
      </c>
      <c r="X41" s="13" t="s">
        <v>520</v>
      </c>
      <c r="Y41" s="14" t="s">
        <v>521</v>
      </c>
      <c r="Z41" s="19" t="s">
        <v>522</v>
      </c>
      <c r="AA41" s="30" t="str">
        <f>HYPERLINK("https://drive.google.com/a/scoutsdemadrid.org/file/d/1YK9hh0m1EDKz4C-BBHHF7n36KxnSluEi/view?usp=drivesdk","Zona Campamento")</f>
        <v>Zona Campamento</v>
      </c>
      <c r="AB41" s="14" t="s">
        <v>523</v>
      </c>
      <c r="AC41" s="14"/>
    </row>
    <row r="42" spans="1:29" ht="60">
      <c r="A42" s="8" t="str">
        <f>HYPERLINK("https://drive.google.com/a/scoutsdemadrid.org/file/d/1P0OWHwdvzlnBpWQ-q9GssfA3yfBd55vx/view?usp=drivesdk","Zona Campamento")</f>
        <v>Zona Campamento</v>
      </c>
      <c r="B42" s="25" t="s">
        <v>466</v>
      </c>
      <c r="C42" s="10" t="s">
        <v>85</v>
      </c>
      <c r="D42" s="12">
        <v>2018</v>
      </c>
      <c r="E42" s="13" t="s">
        <v>496</v>
      </c>
      <c r="F42" s="13" t="str">
        <f t="shared" si="0"/>
        <v xml:space="preserve">gs.alud@scoutsdemadrid.org </v>
      </c>
      <c r="G42" s="15">
        <v>43297</v>
      </c>
      <c r="H42" s="15">
        <v>43311</v>
      </c>
      <c r="I42" s="13" t="s">
        <v>509</v>
      </c>
      <c r="J42" s="13" t="s">
        <v>510</v>
      </c>
      <c r="K42" s="13" t="s">
        <v>511</v>
      </c>
      <c r="L42" s="13" t="s">
        <v>512</v>
      </c>
      <c r="M42" s="13" t="s">
        <v>513</v>
      </c>
      <c r="N42" s="13" t="s">
        <v>514</v>
      </c>
      <c r="O42" s="13" t="s">
        <v>515</v>
      </c>
      <c r="P42" s="27">
        <v>364</v>
      </c>
      <c r="Q42" s="13" t="s">
        <v>511</v>
      </c>
      <c r="R42" s="13" t="s">
        <v>54</v>
      </c>
      <c r="S42" s="13" t="s">
        <v>55</v>
      </c>
      <c r="T42" s="13" t="s">
        <v>516</v>
      </c>
      <c r="U42" s="13" t="s">
        <v>517</v>
      </c>
      <c r="V42" s="13" t="s">
        <v>518</v>
      </c>
      <c r="W42" s="13" t="s">
        <v>519</v>
      </c>
      <c r="X42" s="13" t="s">
        <v>520</v>
      </c>
      <c r="Y42" s="14" t="s">
        <v>524</v>
      </c>
      <c r="Z42" s="19" t="s">
        <v>525</v>
      </c>
      <c r="AA42" s="30" t="str">
        <f>HYPERLINK("https://drive.google.com/a/scoutsdemadrid.org/file/d/1P0OWHwdvzlnBpWQ-q9GssfA3yfBd55vx/view?usp=drivesdk","Zona Campamento")</f>
        <v>Zona Campamento</v>
      </c>
      <c r="AB42" s="14" t="s">
        <v>523</v>
      </c>
      <c r="AC42" s="14"/>
    </row>
    <row r="43" spans="1:29" ht="108">
      <c r="A43" s="8" t="str">
        <f>HYPERLINK("https://drive.google.com/a/scoutsdemadrid.org/file/d/1r5RpCUZGa-TnFYXKaMwq91UjWvSg-NmI/view?usp=drivesdk","Zona Campamento")</f>
        <v>Zona Campamento</v>
      </c>
      <c r="B43" s="25" t="s">
        <v>466</v>
      </c>
      <c r="C43" s="10" t="s">
        <v>190</v>
      </c>
      <c r="D43" s="12">
        <v>2012</v>
      </c>
      <c r="E43" s="13" t="s">
        <v>236</v>
      </c>
      <c r="F43" s="14" t="s">
        <v>237</v>
      </c>
      <c r="G43" s="15">
        <v>41106</v>
      </c>
      <c r="H43" s="15">
        <v>41120</v>
      </c>
      <c r="I43" s="13" t="s">
        <v>526</v>
      </c>
      <c r="J43" s="13" t="s">
        <v>527</v>
      </c>
      <c r="K43" s="13"/>
      <c r="L43" s="26" t="s">
        <v>528</v>
      </c>
      <c r="M43" s="13"/>
      <c r="N43" s="13"/>
      <c r="O43" s="13"/>
      <c r="P43" s="13"/>
      <c r="Q43" s="13"/>
      <c r="R43" s="13"/>
      <c r="S43" s="13"/>
      <c r="T43" s="13"/>
      <c r="U43" s="13"/>
      <c r="V43" s="13"/>
      <c r="W43" s="13"/>
      <c r="X43" s="13"/>
      <c r="Y43" s="14" t="s">
        <v>529</v>
      </c>
      <c r="Z43" s="19" t="s">
        <v>530</v>
      </c>
      <c r="AA43" s="30" t="str">
        <f>HYPERLINK("https://drive.google.com/a/scoutsdemadrid.org/file/d/1r5RpCUZGa-TnFYXKaMwq91UjWvSg-NmI/view?usp=drivesdk","Zona Campamento")</f>
        <v>Zona Campamento</v>
      </c>
      <c r="AB43" s="14" t="s">
        <v>531</v>
      </c>
      <c r="AC43" s="14"/>
    </row>
    <row r="44" spans="1:29" ht="60">
      <c r="A44" s="8" t="str">
        <f>HYPERLINK("https://drive.google.com/a/scoutsdemadrid.org/file/d/16NXj3xyuWAuUCBKeUXGLDBXLxVyBRV7e/view?usp=drivesdk","Zona Campamento")</f>
        <v>Zona Campamento</v>
      </c>
      <c r="B44" s="25" t="s">
        <v>466</v>
      </c>
      <c r="C44" s="10" t="s">
        <v>108</v>
      </c>
      <c r="D44" s="12">
        <v>2015</v>
      </c>
      <c r="E44" s="13" t="s">
        <v>236</v>
      </c>
      <c r="F44" s="13" t="str">
        <f t="shared" ref="F44:F47" si="1">F43</f>
        <v xml:space="preserve">gs.amoros@scoutsdemadrid.org </v>
      </c>
      <c r="G44" s="15">
        <v>42198</v>
      </c>
      <c r="H44" s="15">
        <v>42215</v>
      </c>
      <c r="I44" s="13" t="s">
        <v>532</v>
      </c>
      <c r="J44" s="13" t="s">
        <v>533</v>
      </c>
      <c r="K44" s="13"/>
      <c r="L44" s="13"/>
      <c r="M44" s="13"/>
      <c r="N44" s="13"/>
      <c r="O44" s="13"/>
      <c r="P44" s="13"/>
      <c r="Q44" s="13"/>
      <c r="R44" s="13"/>
      <c r="S44" s="13"/>
      <c r="T44" s="13"/>
      <c r="U44" s="13"/>
      <c r="V44" s="13"/>
      <c r="W44" s="13"/>
      <c r="X44" s="13"/>
      <c r="Y44" s="14" t="s">
        <v>534</v>
      </c>
      <c r="Z44" s="19" t="s">
        <v>535</v>
      </c>
      <c r="AA44" s="30" t="str">
        <f>HYPERLINK("https://drive.google.com/a/scoutsdemadrid.org/file/d/16NXj3xyuWAuUCBKeUXGLDBXLxVyBRV7e/view?usp=drivesdk","Zona Campamento")</f>
        <v>Zona Campamento</v>
      </c>
      <c r="AB44" s="14" t="s">
        <v>503</v>
      </c>
      <c r="AC44" s="14"/>
    </row>
    <row r="45" spans="1:29" ht="60">
      <c r="A45" s="8" t="str">
        <f>HYPERLINK("https://drive.google.com/a/scoutsdemadrid.org/file/d/1xXRTXkJFj5BORNtH1tCe3yH0v2kMp7w2/view?usp=drivesdk","Zona Campamento")</f>
        <v>Zona Campamento</v>
      </c>
      <c r="B45" s="25" t="s">
        <v>466</v>
      </c>
      <c r="C45" s="10" t="s">
        <v>85</v>
      </c>
      <c r="D45" s="12">
        <v>2017</v>
      </c>
      <c r="E45" s="13" t="s">
        <v>236</v>
      </c>
      <c r="F45" s="13" t="str">
        <f t="shared" si="1"/>
        <v xml:space="preserve">gs.amoros@scoutsdemadrid.org </v>
      </c>
      <c r="G45" s="15">
        <v>42930</v>
      </c>
      <c r="H45" s="15">
        <v>42946</v>
      </c>
      <c r="I45" s="13" t="s">
        <v>536</v>
      </c>
      <c r="J45" s="13" t="s">
        <v>536</v>
      </c>
      <c r="K45" s="13"/>
      <c r="L45" s="13"/>
      <c r="M45" s="13" t="s">
        <v>537</v>
      </c>
      <c r="N45" s="13"/>
      <c r="O45" s="13"/>
      <c r="P45" s="13"/>
      <c r="Q45" s="13"/>
      <c r="R45" s="13"/>
      <c r="S45" s="13"/>
      <c r="T45" s="13"/>
      <c r="U45" s="13"/>
      <c r="V45" s="13"/>
      <c r="W45" s="13"/>
      <c r="X45" s="13"/>
      <c r="Y45" s="14" t="s">
        <v>538</v>
      </c>
      <c r="Z45" s="19" t="s">
        <v>539</v>
      </c>
      <c r="AA45" s="30" t="str">
        <f>HYPERLINK("https://drive.google.com/a/scoutsdemadrid.org/file/d/1xXRTXkJFj5BORNtH1tCe3yH0v2kMp7w2/view?usp=drivesdk","Zona Campamento")</f>
        <v>Zona Campamento</v>
      </c>
      <c r="AB45" s="14" t="s">
        <v>540</v>
      </c>
      <c r="AC45" s="14"/>
    </row>
    <row r="46" spans="1:29" ht="60">
      <c r="A46" s="8" t="str">
        <f>HYPERLINK("https://drive.google.com/a/scoutsdemadrid.org/file/d/1Eln7ZUf3P40TsUQIngUHjwb_OTahFNEN/view?usp=drivesdk","Zona Campamento")</f>
        <v>Zona Campamento</v>
      </c>
      <c r="B46" s="25" t="s">
        <v>466</v>
      </c>
      <c r="C46" s="10" t="s">
        <v>195</v>
      </c>
      <c r="D46" s="12">
        <v>2017</v>
      </c>
      <c r="E46" s="13" t="s">
        <v>236</v>
      </c>
      <c r="F46" s="13" t="str">
        <f t="shared" si="1"/>
        <v xml:space="preserve">gs.amoros@scoutsdemadrid.org </v>
      </c>
      <c r="G46" s="15">
        <v>42932</v>
      </c>
      <c r="H46" s="15">
        <v>42946</v>
      </c>
      <c r="I46" s="13" t="s">
        <v>504</v>
      </c>
      <c r="J46" s="13" t="s">
        <v>541</v>
      </c>
      <c r="K46" s="13"/>
      <c r="L46" s="13"/>
      <c r="M46" s="13" t="s">
        <v>542</v>
      </c>
      <c r="N46" s="13"/>
      <c r="O46" s="13"/>
      <c r="P46" s="13"/>
      <c r="Q46" s="13"/>
      <c r="R46" s="13"/>
      <c r="S46" s="13"/>
      <c r="T46" s="13"/>
      <c r="U46" s="13"/>
      <c r="V46" s="13"/>
      <c r="W46" s="13"/>
      <c r="X46" s="13" t="s">
        <v>543</v>
      </c>
      <c r="Y46" s="14" t="s">
        <v>544</v>
      </c>
      <c r="Z46" s="19" t="s">
        <v>545</v>
      </c>
      <c r="AA46" s="30" t="str">
        <f>HYPERLINK("https://drive.google.com/a/scoutsdemadrid.org/file/d/1Eln7ZUf3P40TsUQIngUHjwb_OTahFNEN/view?usp=drivesdk","Zona Campamento")</f>
        <v>Zona Campamento</v>
      </c>
      <c r="AB46" s="14" t="s">
        <v>546</v>
      </c>
      <c r="AC46" s="14"/>
    </row>
    <row r="47" spans="1:29" ht="60">
      <c r="A47" s="8" t="str">
        <f>HYPERLINK("https://drive.google.com/a/scoutsdemadrid.org/file/d/1hPsYUHImdbi4-ZuhFaKDv38ak8w_s7wm/view?usp=drivesdk","Zona Campamento")</f>
        <v>Zona Campamento</v>
      </c>
      <c r="B47" s="25" t="s">
        <v>466</v>
      </c>
      <c r="C47" s="10" t="s">
        <v>195</v>
      </c>
      <c r="D47" s="12">
        <v>2018</v>
      </c>
      <c r="E47" s="13" t="s">
        <v>236</v>
      </c>
      <c r="F47" s="13" t="str">
        <f t="shared" si="1"/>
        <v xml:space="preserve">gs.amoros@scoutsdemadrid.org </v>
      </c>
      <c r="G47" s="15">
        <v>43294</v>
      </c>
      <c r="H47" s="15">
        <v>43342</v>
      </c>
      <c r="I47" s="13" t="s">
        <v>547</v>
      </c>
      <c r="J47" s="13" t="s">
        <v>548</v>
      </c>
      <c r="K47" s="13" t="s">
        <v>549</v>
      </c>
      <c r="L47" s="13" t="s">
        <v>550</v>
      </c>
      <c r="M47" s="13" t="s">
        <v>551</v>
      </c>
      <c r="N47" s="13">
        <v>975371250</v>
      </c>
      <c r="O47" s="13" t="s">
        <v>552</v>
      </c>
      <c r="P47" s="31">
        <v>7.8</v>
      </c>
      <c r="Q47" s="13" t="s">
        <v>553</v>
      </c>
      <c r="R47" s="13" t="s">
        <v>54</v>
      </c>
      <c r="S47" s="13" t="s">
        <v>55</v>
      </c>
      <c r="T47" s="13" t="s">
        <v>211</v>
      </c>
      <c r="U47" s="13" t="s">
        <v>554</v>
      </c>
      <c r="V47" s="13" t="s">
        <v>555</v>
      </c>
      <c r="W47" s="13" t="s">
        <v>556</v>
      </c>
      <c r="X47" s="13" t="s">
        <v>557</v>
      </c>
      <c r="Y47" s="14" t="s">
        <v>558</v>
      </c>
      <c r="Z47" s="19" t="s">
        <v>559</v>
      </c>
      <c r="AA47" s="30" t="str">
        <f>HYPERLINK("https://drive.google.com/a/scoutsdemadrid.org/file/d/1hPsYUHImdbi4-ZuhFaKDv38ak8w_s7wm/view?usp=drivesdk","Zona Campamento")</f>
        <v>Zona Campamento</v>
      </c>
      <c r="AB47" s="14" t="s">
        <v>560</v>
      </c>
      <c r="AC47" s="14"/>
    </row>
    <row r="48" spans="1:29" ht="60">
      <c r="A48" s="8" t="str">
        <f>HYPERLINK("https://drive.google.com/a/scoutsdemadrid.org/file/d/1LNRV3EODRFd1FUKekZClCAYR3xaR-eSV/view?usp=drivesdk","Zona Campamento")</f>
        <v>Zona Campamento</v>
      </c>
      <c r="B48" s="25" t="s">
        <v>466</v>
      </c>
      <c r="C48" s="20" t="s">
        <v>166</v>
      </c>
      <c r="D48" s="12">
        <v>2015</v>
      </c>
      <c r="E48" s="23" t="s">
        <v>89</v>
      </c>
      <c r="F48" s="14" t="s">
        <v>90</v>
      </c>
      <c r="G48" s="15">
        <v>42186</v>
      </c>
      <c r="H48" s="15">
        <v>42169</v>
      </c>
      <c r="I48" s="23" t="s">
        <v>561</v>
      </c>
      <c r="J48" s="23" t="s">
        <v>561</v>
      </c>
      <c r="K48" s="13"/>
      <c r="L48" s="13"/>
      <c r="M48" s="23"/>
      <c r="N48" s="13"/>
      <c r="O48" s="13"/>
      <c r="P48" s="13"/>
      <c r="Q48" s="13"/>
      <c r="R48" s="23"/>
      <c r="S48" s="23"/>
      <c r="T48" s="23"/>
      <c r="U48" s="13"/>
      <c r="V48" s="23"/>
      <c r="W48" s="23"/>
      <c r="X48" s="13"/>
      <c r="Y48" s="14" t="s">
        <v>562</v>
      </c>
      <c r="Z48" s="19" t="s">
        <v>563</v>
      </c>
      <c r="AA48" s="30" t="str">
        <f>HYPERLINK("https://drive.google.com/a/scoutsdemadrid.org/file/d/1LNRV3EODRFd1FUKekZClCAYR3xaR-eSV/view?usp=drivesdk","Zona Campamento")</f>
        <v>Zona Campamento</v>
      </c>
      <c r="AB48" s="14" t="s">
        <v>564</v>
      </c>
      <c r="AC48" s="14"/>
    </row>
    <row r="49" spans="1:29" ht="72">
      <c r="A49" s="8" t="str">
        <f>HYPERLINK("https://drive.google.com/a/scoutsdemadrid.org/file/d/1che6Mlvb2fOszWeDcOF-Lw5K-cCvGt4V/view?usp=drivesdk","Zona Campamento")</f>
        <v>Zona Campamento</v>
      </c>
      <c r="B49" s="25" t="s">
        <v>466</v>
      </c>
      <c r="C49" s="20" t="s">
        <v>166</v>
      </c>
      <c r="D49" s="12">
        <v>2018</v>
      </c>
      <c r="E49" s="13" t="s">
        <v>89</v>
      </c>
      <c r="F49" s="13" t="str">
        <f>F48</f>
        <v xml:space="preserve">gs.buenpastor@scoutsdemadrid.org </v>
      </c>
      <c r="G49" s="15">
        <v>43294</v>
      </c>
      <c r="H49" s="15">
        <v>43311</v>
      </c>
      <c r="I49" s="13" t="s">
        <v>565</v>
      </c>
      <c r="J49" s="13" t="s">
        <v>566</v>
      </c>
      <c r="K49" s="13" t="s">
        <v>567</v>
      </c>
      <c r="L49" s="13" t="s">
        <v>568</v>
      </c>
      <c r="M49" s="13" t="s">
        <v>569</v>
      </c>
      <c r="N49" s="13">
        <v>605670665</v>
      </c>
      <c r="O49" s="13" t="s">
        <v>570</v>
      </c>
      <c r="P49" s="13" t="s">
        <v>571</v>
      </c>
      <c r="Q49" s="13" t="s">
        <v>572</v>
      </c>
      <c r="R49" s="13" t="s">
        <v>54</v>
      </c>
      <c r="S49" s="13" t="s">
        <v>55</v>
      </c>
      <c r="T49" s="13" t="s">
        <v>573</v>
      </c>
      <c r="U49" s="13" t="s">
        <v>574</v>
      </c>
      <c r="V49" s="13" t="s">
        <v>575</v>
      </c>
      <c r="W49" s="13" t="s">
        <v>372</v>
      </c>
      <c r="X49" s="13" t="s">
        <v>576</v>
      </c>
      <c r="Y49" s="14" t="s">
        <v>577</v>
      </c>
      <c r="Z49" s="19" t="s">
        <v>578</v>
      </c>
      <c r="AA49" s="30" t="str">
        <f>HYPERLINK("https://drive.google.com/a/scoutsdemadrid.org/file/d/1che6Mlvb2fOszWeDcOF-Lw5K-cCvGt4V/view?usp=drivesdk","Zona Campamento")</f>
        <v>Zona Campamento</v>
      </c>
      <c r="AB49" s="14" t="s">
        <v>579</v>
      </c>
      <c r="AC49" s="14"/>
    </row>
    <row r="50" spans="1:29" ht="60">
      <c r="A50" s="22" t="str">
        <f>HYPERLINK("https://drive.google.com/a/scoutsdemadrid.org/file/d/1Cx18LEz88nV3SZpgUg6ph9EhNObr3RNw/view?usp=drivesdk","Zona Campamento")</f>
        <v>Zona Campamento</v>
      </c>
      <c r="B50" s="25" t="s">
        <v>466</v>
      </c>
      <c r="C50" s="20" t="s">
        <v>166</v>
      </c>
      <c r="D50" s="12">
        <v>2019</v>
      </c>
      <c r="E50" s="23" t="s">
        <v>580</v>
      </c>
      <c r="F50" s="14" t="s">
        <v>581</v>
      </c>
      <c r="G50" s="14">
        <v>43647</v>
      </c>
      <c r="H50" s="14">
        <v>43661</v>
      </c>
      <c r="I50" s="23" t="s">
        <v>582</v>
      </c>
      <c r="J50" s="14" t="s">
        <v>583</v>
      </c>
      <c r="K50" s="14" t="s">
        <v>584</v>
      </c>
      <c r="L50" s="14" t="s">
        <v>585</v>
      </c>
      <c r="M50" s="14" t="s">
        <v>586</v>
      </c>
      <c r="N50" s="14" t="s">
        <v>587</v>
      </c>
      <c r="O50" s="14" t="s">
        <v>588</v>
      </c>
      <c r="P50" s="14" t="s">
        <v>589</v>
      </c>
      <c r="Q50" s="14" t="s">
        <v>590</v>
      </c>
      <c r="R50" s="14" t="s">
        <v>54</v>
      </c>
      <c r="S50" s="14" t="s">
        <v>103</v>
      </c>
      <c r="T50" s="14" t="s">
        <v>591</v>
      </c>
      <c r="U50" s="14" t="s">
        <v>592</v>
      </c>
      <c r="V50" s="14" t="s">
        <v>593</v>
      </c>
      <c r="W50" s="14" t="s">
        <v>590</v>
      </c>
      <c r="X50" s="14" t="s">
        <v>594</v>
      </c>
      <c r="Y50" s="14" t="s">
        <v>595</v>
      </c>
      <c r="Z50" s="19" t="s">
        <v>596</v>
      </c>
      <c r="AA50" s="19" t="str">
        <f>HYPERLINK("https://drive.google.com/a/scoutsdemadrid.org/file/d/1Cx18LEz88nV3SZpgUg6ph9EhNObr3RNw/view?usp=drivesdk","Zona Campamento")</f>
        <v>Zona Campamento</v>
      </c>
      <c r="AB50" s="14" t="s">
        <v>597</v>
      </c>
      <c r="AC50" s="14"/>
    </row>
    <row r="51" spans="1:29" ht="60">
      <c r="A51" s="8" t="str">
        <f>HYPERLINK("https://drive.google.com/a/scoutsdemadrid.org/file/d/1fH3nG9YAbdSQhFsvy-zNe5MG0_2S6-Xw/view?usp=drivesdk","Zona Campamento")</f>
        <v>Zona Campamento</v>
      </c>
      <c r="B51" s="25" t="s">
        <v>466</v>
      </c>
      <c r="C51" s="10" t="s">
        <v>85</v>
      </c>
      <c r="D51" s="12">
        <v>2012</v>
      </c>
      <c r="E51" s="13" t="s">
        <v>598</v>
      </c>
      <c r="F51" s="14" t="s">
        <v>581</v>
      </c>
      <c r="G51" s="15">
        <v>41091</v>
      </c>
      <c r="H51" s="15">
        <v>41115</v>
      </c>
      <c r="I51" s="13" t="s">
        <v>599</v>
      </c>
      <c r="J51" s="13" t="s">
        <v>600</v>
      </c>
      <c r="K51" s="13"/>
      <c r="L51" s="13"/>
      <c r="M51" s="13"/>
      <c r="N51" s="13"/>
      <c r="O51" s="13"/>
      <c r="P51" s="13"/>
      <c r="Q51" s="13"/>
      <c r="R51" s="13"/>
      <c r="S51" s="13"/>
      <c r="T51" s="13"/>
      <c r="U51" s="13"/>
      <c r="V51" s="13"/>
      <c r="W51" s="13"/>
      <c r="X51" s="13"/>
      <c r="Y51" s="14" t="s">
        <v>601</v>
      </c>
      <c r="Z51" s="19" t="s">
        <v>602</v>
      </c>
      <c r="AA51" s="30" t="str">
        <f>HYPERLINK("https://drive.google.com/a/scoutsdemadrid.org/file/d/1fH3nG9YAbdSQhFsvy-zNe5MG0_2S6-Xw/view?usp=drivesdk","Zona Campamento")</f>
        <v>Zona Campamento</v>
      </c>
      <c r="AB51" s="14" t="s">
        <v>603</v>
      </c>
      <c r="AC51" s="14"/>
    </row>
    <row r="52" spans="1:29" ht="60">
      <c r="A52" s="8" t="str">
        <f>HYPERLINK("https://drive.google.com/a/scoutsdemadrid.org/file/d/1w1IFV3b8vb-DnhGoHUoejFhAkC7ybwnH/view?usp=drivesdk","Zona Campamento")</f>
        <v>Zona Campamento</v>
      </c>
      <c r="B52" s="25" t="s">
        <v>466</v>
      </c>
      <c r="C52" s="10" t="s">
        <v>195</v>
      </c>
      <c r="D52" s="12">
        <v>2016</v>
      </c>
      <c r="E52" s="13" t="s">
        <v>268</v>
      </c>
      <c r="F52" s="14" t="s">
        <v>269</v>
      </c>
      <c r="G52" s="15">
        <v>41101</v>
      </c>
      <c r="H52" s="15">
        <v>41120</v>
      </c>
      <c r="I52" s="13" t="s">
        <v>604</v>
      </c>
      <c r="J52" s="13" t="s">
        <v>605</v>
      </c>
      <c r="K52" s="13"/>
      <c r="L52" s="26" t="s">
        <v>606</v>
      </c>
      <c r="M52" s="13"/>
      <c r="N52" s="13"/>
      <c r="O52" s="13"/>
      <c r="P52" s="13"/>
      <c r="Q52" s="13"/>
      <c r="R52" s="13"/>
      <c r="S52" s="13"/>
      <c r="T52" s="13"/>
      <c r="U52" s="13"/>
      <c r="V52" s="13"/>
      <c r="W52" s="13"/>
      <c r="X52" s="13"/>
      <c r="Y52" s="14" t="s">
        <v>607</v>
      </c>
      <c r="Z52" s="19" t="s">
        <v>608</v>
      </c>
      <c r="AA52" s="30" t="str">
        <f>HYPERLINK("https://drive.google.com/a/scoutsdemadrid.org/file/d/1w1IFV3b8vb-DnhGoHUoejFhAkC7ybwnH/view?usp=drivesdk","Zona Campamento")</f>
        <v>Zona Campamento</v>
      </c>
      <c r="AB52" s="14" t="s">
        <v>609</v>
      </c>
      <c r="AC52" s="14"/>
    </row>
    <row r="53" spans="1:29" ht="72">
      <c r="A53" s="22" t="str">
        <f>HYPERLINK("https://drive.google.com/a/scoutsdemadrid.org/file/d/1UE1CHSg_G39cxPzDb-8WamdNIr7HheeX/view?usp=drivesdk","Zona Campamento")</f>
        <v>Zona Campamento</v>
      </c>
      <c r="B53" s="25" t="s">
        <v>466</v>
      </c>
      <c r="C53" s="20" t="s">
        <v>166</v>
      </c>
      <c r="D53" s="12">
        <v>2016</v>
      </c>
      <c r="E53" s="23" t="s">
        <v>268</v>
      </c>
      <c r="F53" s="14" t="str">
        <f t="shared" ref="F53:F56" si="2">F52</f>
        <v xml:space="preserve">gs.claret@scoutsdemadrid.org </v>
      </c>
      <c r="G53" s="24">
        <v>42566</v>
      </c>
      <c r="H53" s="24">
        <v>42581</v>
      </c>
      <c r="I53" s="23" t="s">
        <v>610</v>
      </c>
      <c r="J53" s="14" t="s">
        <v>611</v>
      </c>
      <c r="K53" s="13"/>
      <c r="L53" s="14" t="s">
        <v>612</v>
      </c>
      <c r="M53" s="14" t="s">
        <v>569</v>
      </c>
      <c r="N53" s="14">
        <v>605670665</v>
      </c>
      <c r="O53" s="13"/>
      <c r="P53" s="14" t="s">
        <v>613</v>
      </c>
      <c r="Q53" s="14" t="s">
        <v>136</v>
      </c>
      <c r="R53" s="14" t="s">
        <v>54</v>
      </c>
      <c r="S53" s="14" t="s">
        <v>55</v>
      </c>
      <c r="T53" s="14" t="s">
        <v>614</v>
      </c>
      <c r="U53" s="14" t="s">
        <v>615</v>
      </c>
      <c r="V53" s="14" t="s">
        <v>616</v>
      </c>
      <c r="W53" s="14" t="s">
        <v>230</v>
      </c>
      <c r="X53" s="14" t="s">
        <v>617</v>
      </c>
      <c r="Y53" s="14" t="s">
        <v>618</v>
      </c>
      <c r="Z53" s="19" t="s">
        <v>619</v>
      </c>
      <c r="AA53" s="19" t="str">
        <f>HYPERLINK("https://drive.google.com/a/scoutsdemadrid.org/file/d/1UE1CHSg_G39cxPzDb-8WamdNIr7HheeX/view?usp=drivesdk","Zona Campamento")</f>
        <v>Zona Campamento</v>
      </c>
      <c r="AB53" s="14" t="s">
        <v>620</v>
      </c>
      <c r="AC53" s="14"/>
    </row>
    <row r="54" spans="1:29" ht="60">
      <c r="A54" s="22" t="str">
        <f>HYPERLINK("https://drive.google.com/a/scoutsdemadrid.org/file/d/14JkLen43XrgHPDIsooKZAk75IjzY2w50/view?usp=drivesdk","Zona Campamento")</f>
        <v>Zona Campamento</v>
      </c>
      <c r="B54" s="25" t="s">
        <v>466</v>
      </c>
      <c r="C54" s="20" t="s">
        <v>166</v>
      </c>
      <c r="D54" s="12">
        <v>2016</v>
      </c>
      <c r="E54" s="23" t="s">
        <v>268</v>
      </c>
      <c r="F54" s="14" t="str">
        <f t="shared" si="2"/>
        <v xml:space="preserve">gs.claret@scoutsdemadrid.org </v>
      </c>
      <c r="G54" s="24">
        <v>42566</v>
      </c>
      <c r="H54" s="24">
        <v>42581</v>
      </c>
      <c r="I54" s="23" t="s">
        <v>610</v>
      </c>
      <c r="J54" s="14" t="s">
        <v>611</v>
      </c>
      <c r="K54" s="13"/>
      <c r="L54" s="14" t="s">
        <v>612</v>
      </c>
      <c r="M54" s="14" t="s">
        <v>569</v>
      </c>
      <c r="N54" s="14">
        <v>605670665</v>
      </c>
      <c r="O54" s="13"/>
      <c r="P54" s="14" t="s">
        <v>613</v>
      </c>
      <c r="Q54" s="14" t="s">
        <v>136</v>
      </c>
      <c r="R54" s="14" t="s">
        <v>54</v>
      </c>
      <c r="S54" s="14" t="s">
        <v>55</v>
      </c>
      <c r="T54" s="14" t="s">
        <v>614</v>
      </c>
      <c r="U54" s="14" t="s">
        <v>615</v>
      </c>
      <c r="V54" s="14" t="s">
        <v>616</v>
      </c>
      <c r="W54" s="14" t="s">
        <v>230</v>
      </c>
      <c r="X54" s="14" t="s">
        <v>617</v>
      </c>
      <c r="Y54" s="14" t="s">
        <v>621</v>
      </c>
      <c r="Z54" s="19" t="s">
        <v>622</v>
      </c>
      <c r="AA54" s="19" t="str">
        <f>HYPERLINK("https://drive.google.com/a/scoutsdemadrid.org/file/d/14JkLen43XrgHPDIsooKZAk75IjzY2w50/view?usp=drivesdk","Zona Campamento")</f>
        <v>Zona Campamento</v>
      </c>
      <c r="AB54" s="14" t="s">
        <v>620</v>
      </c>
      <c r="AC54" s="14"/>
    </row>
    <row r="55" spans="1:29" ht="60">
      <c r="A55" s="8" t="str">
        <f>HYPERLINK("https://drive.google.com/a/scoutsdemadrid.org/file/d/1ZoHdJYkj0YToHrdmFzNYulnhlqOAm-m7/view?usp=drivesdk","Zona Campamento")</f>
        <v>Zona Campamento</v>
      </c>
      <c r="B55" s="25" t="s">
        <v>466</v>
      </c>
      <c r="C55" s="10" t="s">
        <v>85</v>
      </c>
      <c r="D55" s="12">
        <v>2017</v>
      </c>
      <c r="E55" s="13" t="s">
        <v>268</v>
      </c>
      <c r="F55" s="13" t="str">
        <f t="shared" si="2"/>
        <v xml:space="preserve">gs.claret@scoutsdemadrid.org </v>
      </c>
      <c r="G55" s="15">
        <v>42931</v>
      </c>
      <c r="H55" s="15">
        <v>42916</v>
      </c>
      <c r="I55" s="13" t="s">
        <v>623</v>
      </c>
      <c r="J55" s="13" t="s">
        <v>624</v>
      </c>
      <c r="K55" s="13" t="s">
        <v>625</v>
      </c>
      <c r="L55" s="13" t="s">
        <v>626</v>
      </c>
      <c r="M55" s="13" t="s">
        <v>627</v>
      </c>
      <c r="N55" s="13">
        <v>647711306</v>
      </c>
      <c r="O55" s="13"/>
      <c r="P55" s="13" t="s">
        <v>628</v>
      </c>
      <c r="Q55" s="13" t="s">
        <v>629</v>
      </c>
      <c r="R55" s="13" t="s">
        <v>54</v>
      </c>
      <c r="S55" s="13" t="s">
        <v>55</v>
      </c>
      <c r="T55" s="13" t="s">
        <v>630</v>
      </c>
      <c r="U55" s="13" t="s">
        <v>631</v>
      </c>
      <c r="V55" s="13" t="s">
        <v>103</v>
      </c>
      <c r="W55" s="13" t="s">
        <v>55</v>
      </c>
      <c r="X55" s="13" t="s">
        <v>632</v>
      </c>
      <c r="Y55" s="14" t="s">
        <v>633</v>
      </c>
      <c r="Z55" s="19" t="s">
        <v>634</v>
      </c>
      <c r="AA55" s="30" t="str">
        <f>HYPERLINK("https://drive.google.com/a/scoutsdemadrid.org/file/d/1ZoHdJYkj0YToHrdmFzNYulnhlqOAm-m7/view?usp=drivesdk","Zona Campamento")</f>
        <v>Zona Campamento</v>
      </c>
      <c r="AB55" s="14" t="s">
        <v>635</v>
      </c>
      <c r="AC55" s="14"/>
    </row>
    <row r="56" spans="1:29" ht="60">
      <c r="A56" s="8" t="str">
        <f>HYPERLINK("https://drive.google.com/a/scoutsdemadrid.org/file/d/11EiXfDDE1PxYxfeteqdDUPXN9WWBW_CB/view?usp=drivesdk","Zona Campamento")</f>
        <v>Zona Campamento</v>
      </c>
      <c r="B56" s="25" t="s">
        <v>466</v>
      </c>
      <c r="C56" s="20" t="s">
        <v>166</v>
      </c>
      <c r="D56" s="12">
        <v>2018</v>
      </c>
      <c r="E56" s="13" t="s">
        <v>268</v>
      </c>
      <c r="F56" s="13" t="str">
        <f t="shared" si="2"/>
        <v xml:space="preserve">gs.claret@scoutsdemadrid.org </v>
      </c>
      <c r="G56" s="15">
        <v>43296</v>
      </c>
      <c r="H56" s="15">
        <v>43311</v>
      </c>
      <c r="I56" s="13" t="s">
        <v>636</v>
      </c>
      <c r="J56" s="13" t="s">
        <v>637</v>
      </c>
      <c r="K56" s="13" t="s">
        <v>638</v>
      </c>
      <c r="L56" s="13" t="s">
        <v>639</v>
      </c>
      <c r="M56" s="13" t="s">
        <v>640</v>
      </c>
      <c r="N56" s="13">
        <v>987741310</v>
      </c>
      <c r="O56" s="13" t="s">
        <v>641</v>
      </c>
      <c r="P56" s="13" t="s">
        <v>642</v>
      </c>
      <c r="Q56" s="13">
        <v>1</v>
      </c>
      <c r="R56" s="13" t="s">
        <v>54</v>
      </c>
      <c r="S56" s="13" t="s">
        <v>55</v>
      </c>
      <c r="T56" s="13" t="s">
        <v>643</v>
      </c>
      <c r="U56" s="13" t="s">
        <v>644</v>
      </c>
      <c r="V56" s="13" t="s">
        <v>103</v>
      </c>
      <c r="W56" s="13" t="s">
        <v>372</v>
      </c>
      <c r="X56" s="13" t="s">
        <v>645</v>
      </c>
      <c r="Y56" s="14" t="s">
        <v>646</v>
      </c>
      <c r="Z56" s="19" t="s">
        <v>647</v>
      </c>
      <c r="AA56" s="30" t="str">
        <f>HYPERLINK("https://drive.google.com/a/scoutsdemadrid.org/file/d/11EiXfDDE1PxYxfeteqdDUPXN9WWBW_CB/view?usp=drivesdk","Zona Campamento")</f>
        <v>Zona Campamento</v>
      </c>
      <c r="AB56" s="14" t="s">
        <v>648</v>
      </c>
      <c r="AC56" s="14"/>
    </row>
    <row r="57" spans="1:29" ht="60">
      <c r="A57" s="8" t="str">
        <f>HYPERLINK("https://drive.google.com/a/scoutsdemadrid.org/file/d/1wuXF7FO1M4I-e9yVRwADQjXBiq8eoXx_/view?usp=drivesdk","Zona Campamento")</f>
        <v>Zona Campamento</v>
      </c>
      <c r="B57" s="25" t="s">
        <v>466</v>
      </c>
      <c r="C57" s="20" t="s">
        <v>195</v>
      </c>
      <c r="D57" s="12">
        <v>2016</v>
      </c>
      <c r="E57" s="23" t="s">
        <v>649</v>
      </c>
      <c r="F57" s="14" t="s">
        <v>650</v>
      </c>
      <c r="G57" s="24">
        <v>42573</v>
      </c>
      <c r="H57" s="24">
        <v>42577</v>
      </c>
      <c r="I57" s="23" t="s">
        <v>504</v>
      </c>
      <c r="J57" s="14" t="s">
        <v>541</v>
      </c>
      <c r="K57" s="13"/>
      <c r="L57" s="13"/>
      <c r="M57" s="14" t="s">
        <v>651</v>
      </c>
      <c r="N57" s="13"/>
      <c r="O57" s="13"/>
      <c r="P57" s="13"/>
      <c r="Q57" s="13"/>
      <c r="R57" s="14" t="s">
        <v>54</v>
      </c>
      <c r="S57" s="14" t="s">
        <v>55</v>
      </c>
      <c r="T57" s="13"/>
      <c r="U57" s="13"/>
      <c r="V57" s="13"/>
      <c r="W57" s="13"/>
      <c r="X57" s="13"/>
      <c r="Y57" s="14" t="s">
        <v>652</v>
      </c>
      <c r="Z57" s="19" t="s">
        <v>653</v>
      </c>
      <c r="AA57" s="30" t="str">
        <f>HYPERLINK("https://drive.google.com/a/scoutsdemadrid.org/file/d/1wuXF7FO1M4I-e9yVRwADQjXBiq8eoXx_/view?usp=drivesdk","Zona Campamento")</f>
        <v>Zona Campamento</v>
      </c>
      <c r="AB57" s="14" t="s">
        <v>654</v>
      </c>
      <c r="AC57" s="14"/>
    </row>
    <row r="58" spans="1:29" ht="60">
      <c r="A58" s="8" t="str">
        <f>HYPERLINK("https://drive.google.com/a/scoutsdemadrid.org/file/d/1cx06ScuTkEmYT5etSZ7JCsNwua9KA3wA/view?usp=drivesdk","Zona Campamento")</f>
        <v>Zona Campamento</v>
      </c>
      <c r="B58" s="25" t="s">
        <v>466</v>
      </c>
      <c r="C58" s="20" t="s">
        <v>195</v>
      </c>
      <c r="D58" s="12">
        <v>2016</v>
      </c>
      <c r="E58" s="23" t="s">
        <v>649</v>
      </c>
      <c r="F58" s="14" t="str">
        <f>F57</f>
        <v xml:space="preserve">gs.elremolino@scoutsdemadrid.org </v>
      </c>
      <c r="G58" s="24">
        <v>42573</v>
      </c>
      <c r="H58" s="24">
        <v>42577</v>
      </c>
      <c r="I58" s="23" t="s">
        <v>504</v>
      </c>
      <c r="J58" s="14" t="s">
        <v>541</v>
      </c>
      <c r="K58" s="13"/>
      <c r="L58" s="13"/>
      <c r="M58" s="14" t="s">
        <v>651</v>
      </c>
      <c r="N58" s="13"/>
      <c r="O58" s="13"/>
      <c r="P58" s="13"/>
      <c r="Q58" s="13"/>
      <c r="R58" s="14" t="s">
        <v>54</v>
      </c>
      <c r="S58" s="14" t="s">
        <v>55</v>
      </c>
      <c r="T58" s="13"/>
      <c r="U58" s="13"/>
      <c r="V58" s="13"/>
      <c r="W58" s="13"/>
      <c r="X58" s="13"/>
      <c r="Y58" s="14" t="s">
        <v>655</v>
      </c>
      <c r="Z58" s="19" t="s">
        <v>656</v>
      </c>
      <c r="AA58" s="30" t="str">
        <f>HYPERLINK("https://drive.google.com/a/scoutsdemadrid.org/file/d/1cx06ScuTkEmYT5etSZ7JCsNwua9KA3wA/view?usp=drivesdk","Zona Campamento")</f>
        <v>Zona Campamento</v>
      </c>
      <c r="AB58" s="14" t="s">
        <v>654</v>
      </c>
      <c r="AC58" s="14"/>
    </row>
    <row r="59" spans="1:29" ht="72">
      <c r="A59" s="8" t="str">
        <f>HYPERLINK("https://drive.google.com/a/scoutsdemadrid.org/file/d/1YiHHiEjoUq5aYLs7h49cil7-oUJcmDXc/view?usp=drivesdk","Zona Campamento")</f>
        <v>Zona Campamento</v>
      </c>
      <c r="B59" s="25" t="s">
        <v>466</v>
      </c>
      <c r="C59" s="10" t="s">
        <v>85</v>
      </c>
      <c r="D59" s="12">
        <v>2012</v>
      </c>
      <c r="E59" s="13" t="s">
        <v>657</v>
      </c>
      <c r="F59" s="14" t="s">
        <v>658</v>
      </c>
      <c r="G59" s="15">
        <v>41121</v>
      </c>
      <c r="H59" s="15">
        <v>41133</v>
      </c>
      <c r="I59" s="13" t="s">
        <v>659</v>
      </c>
      <c r="J59" s="13" t="s">
        <v>660</v>
      </c>
      <c r="K59" s="13"/>
      <c r="L59" s="13"/>
      <c r="M59" s="13"/>
      <c r="N59" s="13"/>
      <c r="O59" s="13"/>
      <c r="P59" s="13"/>
      <c r="Q59" s="13"/>
      <c r="R59" s="13"/>
      <c r="S59" s="13"/>
      <c r="T59" s="13"/>
      <c r="U59" s="13"/>
      <c r="V59" s="13"/>
      <c r="W59" s="13"/>
      <c r="X59" s="13"/>
      <c r="Y59" s="14" t="s">
        <v>661</v>
      </c>
      <c r="Z59" s="19" t="s">
        <v>662</v>
      </c>
      <c r="AA59" s="30" t="str">
        <f>HYPERLINK("https://drive.google.com/a/scoutsdemadrid.org/file/d/1YiHHiEjoUq5aYLs7h49cil7-oUJcmDXc/view?usp=drivesdk","Zona Campamento")</f>
        <v>Zona Campamento</v>
      </c>
      <c r="AB59" s="14" t="s">
        <v>663</v>
      </c>
      <c r="AC59" s="14"/>
    </row>
    <row r="60" spans="1:29" ht="72">
      <c r="A60" s="8" t="str">
        <f>HYPERLINK("https://drive.google.com/a/scoutsdemadrid.org/file/d/1y-5INBLE2BMZrwj4ckr7-3t_qvbypD_R/view?usp=drivesdk","Zona Campamento")</f>
        <v>Zona Campamento</v>
      </c>
      <c r="B60" s="25" t="s">
        <v>466</v>
      </c>
      <c r="C60" s="10" t="s">
        <v>108</v>
      </c>
      <c r="D60" s="12">
        <v>2015</v>
      </c>
      <c r="E60" s="13" t="s">
        <v>657</v>
      </c>
      <c r="F60" s="13" t="str">
        <f t="shared" ref="F60:F61" si="3">F59</f>
        <v xml:space="preserve">gs.encuentro@scoutsdemadrid.org </v>
      </c>
      <c r="G60" s="15">
        <v>42219</v>
      </c>
      <c r="H60" s="15">
        <v>42232</v>
      </c>
      <c r="I60" s="13" t="s">
        <v>664</v>
      </c>
      <c r="J60" s="13" t="s">
        <v>665</v>
      </c>
      <c r="K60" s="13"/>
      <c r="L60" s="13" t="s">
        <v>666</v>
      </c>
      <c r="M60" s="13"/>
      <c r="N60" s="13"/>
      <c r="O60" s="13"/>
      <c r="P60" s="13"/>
      <c r="Q60" s="13"/>
      <c r="R60" s="13"/>
      <c r="S60" s="13"/>
      <c r="T60" s="13"/>
      <c r="U60" s="13"/>
      <c r="V60" s="13"/>
      <c r="W60" s="13"/>
      <c r="X60" s="13"/>
      <c r="Y60" s="14" t="s">
        <v>667</v>
      </c>
      <c r="Z60" s="19" t="s">
        <v>668</v>
      </c>
      <c r="AA60" s="30" t="str">
        <f>HYPERLINK("https://drive.google.com/a/scoutsdemadrid.org/file/d/1y-5INBLE2BMZrwj4ckr7-3t_qvbypD_R/view?usp=drivesdk","Zona Campamento")</f>
        <v>Zona Campamento</v>
      </c>
      <c r="AB60" s="14" t="s">
        <v>669</v>
      </c>
      <c r="AC60" s="14"/>
    </row>
    <row r="61" spans="1:29" ht="60">
      <c r="A61" s="22" t="str">
        <f>HYPERLINK("https://drive.google.com/a/scoutsdemadrid.org/file/d/1EmJUdBE7EOyCQkBrtU2jOFIE6etcz_bI/view?usp=drivesdk","Zona Campamento")</f>
        <v>Zona Campamento</v>
      </c>
      <c r="B61" s="25" t="s">
        <v>466</v>
      </c>
      <c r="C61" s="10" t="s">
        <v>85</v>
      </c>
      <c r="D61" s="12">
        <v>2019</v>
      </c>
      <c r="E61" s="23" t="s">
        <v>657</v>
      </c>
      <c r="F61" s="13" t="str">
        <f t="shared" si="3"/>
        <v xml:space="preserve">gs.encuentro@scoutsdemadrid.org </v>
      </c>
      <c r="G61" s="14">
        <v>43679</v>
      </c>
      <c r="H61" s="14">
        <v>43688</v>
      </c>
      <c r="I61" s="23" t="s">
        <v>670</v>
      </c>
      <c r="J61" s="14" t="s">
        <v>671</v>
      </c>
      <c r="K61" s="14" t="s">
        <v>672</v>
      </c>
      <c r="L61" s="14" t="s">
        <v>673</v>
      </c>
      <c r="M61" s="14" t="s">
        <v>674</v>
      </c>
      <c r="N61" s="14" t="s">
        <v>675</v>
      </c>
      <c r="O61" s="14" t="s">
        <v>672</v>
      </c>
      <c r="P61" s="14" t="s">
        <v>676</v>
      </c>
      <c r="Q61" s="14" t="s">
        <v>677</v>
      </c>
      <c r="R61" s="14" t="s">
        <v>54</v>
      </c>
      <c r="S61" s="14" t="s">
        <v>55</v>
      </c>
      <c r="T61" s="14" t="s">
        <v>678</v>
      </c>
      <c r="U61" s="14" t="s">
        <v>679</v>
      </c>
      <c r="V61" s="14" t="s">
        <v>680</v>
      </c>
      <c r="W61" s="14" t="s">
        <v>103</v>
      </c>
      <c r="X61" s="14" t="s">
        <v>681</v>
      </c>
      <c r="Y61" s="14" t="s">
        <v>682</v>
      </c>
      <c r="Z61" s="19" t="s">
        <v>683</v>
      </c>
      <c r="AA61" s="19" t="str">
        <f>HYPERLINK("https://drive.google.com/a/scoutsdemadrid.org/file/d/1EmJUdBE7EOyCQkBrtU2jOFIE6etcz_bI/view?usp=drivesdk","Zona Campamento")</f>
        <v>Zona Campamento</v>
      </c>
      <c r="AB61" s="14" t="s">
        <v>684</v>
      </c>
      <c r="AC61" s="14"/>
    </row>
    <row r="62" spans="1:29" ht="60">
      <c r="A62" s="8" t="str">
        <f>HYPERLINK("https://drive.google.com/a/scoutsdemadrid.org/file/d/1dlD2NobWdddlzDlhkoXT8DjmJrf-Cn20/view?usp=drivesdk","Zona Campamento")</f>
        <v>Zona Campamento</v>
      </c>
      <c r="B62" s="25" t="s">
        <v>466</v>
      </c>
      <c r="C62" s="25" t="s">
        <v>85</v>
      </c>
      <c r="D62" s="12">
        <v>2012</v>
      </c>
      <c r="E62" s="13" t="s">
        <v>67</v>
      </c>
      <c r="F62" s="14" t="s">
        <v>68</v>
      </c>
      <c r="G62" s="13"/>
      <c r="H62" s="13"/>
      <c r="I62" s="14" t="s">
        <v>498</v>
      </c>
      <c r="J62" s="13" t="s">
        <v>498</v>
      </c>
      <c r="K62" s="13"/>
      <c r="L62" s="13"/>
      <c r="M62" s="13"/>
      <c r="N62" s="13"/>
      <c r="O62" s="13"/>
      <c r="P62" s="13"/>
      <c r="Q62" s="13"/>
      <c r="R62" s="13"/>
      <c r="S62" s="13"/>
      <c r="T62" s="13"/>
      <c r="U62" s="13"/>
      <c r="V62" s="13"/>
      <c r="W62" s="13"/>
      <c r="X62" s="13"/>
      <c r="Y62" s="14" t="s">
        <v>685</v>
      </c>
      <c r="Z62" s="19" t="s">
        <v>686</v>
      </c>
      <c r="AA62" s="30" t="str">
        <f>HYPERLINK("https://drive.google.com/a/scoutsdemadrid.org/file/d/1dlD2NobWdddlzDlhkoXT8DjmJrf-Cn20/view?usp=drivesdk","Zona Campamento")</f>
        <v>Zona Campamento</v>
      </c>
      <c r="AB62" s="14" t="s">
        <v>663</v>
      </c>
      <c r="AC62" s="14"/>
    </row>
    <row r="63" spans="1:29" ht="60">
      <c r="A63" s="8" t="str">
        <f>HYPERLINK("https://drive.google.com/a/scoutsdemadrid.org/file/d/1l9aoKJ5zV8G4iikrK1po2SYLRKG2Mp4G/view?usp=drivesdk","Zona Campamento")</f>
        <v>Zona Campamento</v>
      </c>
      <c r="B63" s="25" t="s">
        <v>466</v>
      </c>
      <c r="C63" s="10" t="s">
        <v>85</v>
      </c>
      <c r="D63" s="12">
        <v>2016</v>
      </c>
      <c r="E63" s="13" t="s">
        <v>67</v>
      </c>
      <c r="F63" s="13" t="str">
        <f t="shared" ref="F63:F66" si="4">F62</f>
        <v xml:space="preserve">gs.fatima@scoutsdemadrid.org </v>
      </c>
      <c r="G63" s="15">
        <v>41109</v>
      </c>
      <c r="H63" s="15">
        <v>41121</v>
      </c>
      <c r="I63" s="13" t="s">
        <v>498</v>
      </c>
      <c r="J63" s="13" t="s">
        <v>687</v>
      </c>
      <c r="K63" s="13"/>
      <c r="L63" s="26" t="s">
        <v>688</v>
      </c>
      <c r="M63" s="13"/>
      <c r="N63" s="13"/>
      <c r="O63" s="13"/>
      <c r="P63" s="13"/>
      <c r="Q63" s="13"/>
      <c r="R63" s="13"/>
      <c r="S63" s="13"/>
      <c r="T63" s="13"/>
      <c r="U63" s="13"/>
      <c r="V63" s="13"/>
      <c r="W63" s="13"/>
      <c r="X63" s="13"/>
      <c r="Y63" s="14" t="s">
        <v>689</v>
      </c>
      <c r="Z63" s="19" t="s">
        <v>690</v>
      </c>
      <c r="AA63" s="30" t="str">
        <f>HYPERLINK("https://drive.google.com/a/scoutsdemadrid.org/file/d/1l9aoKJ5zV8G4iikrK1po2SYLRKG2Mp4G/view?usp=drivesdk","Zona Campamento")</f>
        <v>Zona Campamento</v>
      </c>
      <c r="AB63" s="14" t="s">
        <v>691</v>
      </c>
      <c r="AC63" s="14"/>
    </row>
    <row r="64" spans="1:29" ht="60">
      <c r="A64" s="22" t="str">
        <f>HYPERLINK("https://drive.google.com/a/scoutsdemadrid.org/file/d/1O6FvI2LTuZi5-jMRyYBnkWlUTf4ZOw01/view?usp=drivesdk","Zona Campamento")</f>
        <v>Zona Campamento</v>
      </c>
      <c r="B64" s="25" t="s">
        <v>466</v>
      </c>
      <c r="C64" s="10" t="s">
        <v>85</v>
      </c>
      <c r="D64" s="12">
        <v>2016</v>
      </c>
      <c r="E64" s="23" t="s">
        <v>67</v>
      </c>
      <c r="F64" s="14" t="str">
        <f t="shared" si="4"/>
        <v xml:space="preserve">gs.fatima@scoutsdemadrid.org </v>
      </c>
      <c r="G64" s="24">
        <v>42554</v>
      </c>
      <c r="H64" s="24">
        <v>42566</v>
      </c>
      <c r="I64" s="23" t="s">
        <v>491</v>
      </c>
      <c r="J64" s="14" t="s">
        <v>692</v>
      </c>
      <c r="K64" s="14" t="s">
        <v>693</v>
      </c>
      <c r="L64" s="14" t="s">
        <v>694</v>
      </c>
      <c r="M64" s="14" t="s">
        <v>695</v>
      </c>
      <c r="N64" s="14">
        <v>638233456</v>
      </c>
      <c r="O64" s="14" t="s">
        <v>696</v>
      </c>
      <c r="P64" s="14" t="s">
        <v>697</v>
      </c>
      <c r="Q64" s="14" t="s">
        <v>698</v>
      </c>
      <c r="R64" s="14" t="s">
        <v>54</v>
      </c>
      <c r="S64" s="14" t="s">
        <v>55</v>
      </c>
      <c r="T64" s="14" t="s">
        <v>699</v>
      </c>
      <c r="U64" s="14" t="s">
        <v>700</v>
      </c>
      <c r="V64" s="14" t="s">
        <v>701</v>
      </c>
      <c r="W64" s="14" t="s">
        <v>702</v>
      </c>
      <c r="X64" s="14" t="s">
        <v>703</v>
      </c>
      <c r="Y64" s="14" t="s">
        <v>704</v>
      </c>
      <c r="Z64" s="19" t="s">
        <v>705</v>
      </c>
      <c r="AA64" s="19" t="str">
        <f>HYPERLINK("https://drive.google.com/a/scoutsdemadrid.org/file/d/1O6FvI2LTuZi5-jMRyYBnkWlUTf4ZOw01/view?usp=drivesdk","Zona Campamento")</f>
        <v>Zona Campamento</v>
      </c>
      <c r="AB64" s="14" t="s">
        <v>706</v>
      </c>
      <c r="AC64" s="14"/>
    </row>
    <row r="65" spans="1:29" ht="60">
      <c r="A65" s="22" t="str">
        <f>HYPERLINK("https://drive.google.com/a/scoutsdemadrid.org/file/d/1umbpLbD3vqN0dKpGiVMu1Orn2R2HnCIe/view?usp=drivesdk","Zona Campamento")</f>
        <v>Zona Campamento</v>
      </c>
      <c r="B65" s="25" t="s">
        <v>466</v>
      </c>
      <c r="C65" s="10" t="s">
        <v>85</v>
      </c>
      <c r="D65" s="12">
        <v>2016</v>
      </c>
      <c r="E65" s="23" t="s">
        <v>67</v>
      </c>
      <c r="F65" s="14" t="str">
        <f t="shared" si="4"/>
        <v xml:space="preserve">gs.fatima@scoutsdemadrid.org </v>
      </c>
      <c r="G65" s="24">
        <v>42554</v>
      </c>
      <c r="H65" s="24">
        <v>42566</v>
      </c>
      <c r="I65" s="23" t="s">
        <v>491</v>
      </c>
      <c r="J65" s="14" t="s">
        <v>692</v>
      </c>
      <c r="K65" s="14" t="s">
        <v>693</v>
      </c>
      <c r="L65" s="14" t="s">
        <v>694</v>
      </c>
      <c r="M65" s="14" t="s">
        <v>695</v>
      </c>
      <c r="N65" s="14">
        <v>638233456</v>
      </c>
      <c r="O65" s="14" t="s">
        <v>696</v>
      </c>
      <c r="P65" s="14" t="s">
        <v>697</v>
      </c>
      <c r="Q65" s="14" t="s">
        <v>698</v>
      </c>
      <c r="R65" s="14" t="s">
        <v>54</v>
      </c>
      <c r="S65" s="14" t="s">
        <v>55</v>
      </c>
      <c r="T65" s="14" t="s">
        <v>699</v>
      </c>
      <c r="U65" s="14" t="s">
        <v>700</v>
      </c>
      <c r="V65" s="14" t="s">
        <v>701</v>
      </c>
      <c r="W65" s="14" t="s">
        <v>702</v>
      </c>
      <c r="X65" s="14" t="s">
        <v>703</v>
      </c>
      <c r="Y65" s="14" t="s">
        <v>707</v>
      </c>
      <c r="Z65" s="19" t="s">
        <v>708</v>
      </c>
      <c r="AA65" s="19" t="str">
        <f>HYPERLINK("https://drive.google.com/a/scoutsdemadrid.org/file/d/1umbpLbD3vqN0dKpGiVMu1Orn2R2HnCIe/view?usp=drivesdk","Zona Campamento")</f>
        <v>Zona Campamento</v>
      </c>
      <c r="AB65" s="14" t="s">
        <v>706</v>
      </c>
      <c r="AC65" s="14"/>
    </row>
    <row r="66" spans="1:29" ht="72">
      <c r="A66" s="8" t="str">
        <f>HYPERLINK("https://drive.google.com/a/scoutsdemadrid.org/file/d/19YolY921JsnJ1xE9g9jkOfFDOl-WQ2BC/view?usp=drivesdk","Zona Campamento")</f>
        <v>Zona Campamento</v>
      </c>
      <c r="B66" s="25" t="s">
        <v>466</v>
      </c>
      <c r="C66" s="10" t="s">
        <v>85</v>
      </c>
      <c r="D66" s="12">
        <v>2018</v>
      </c>
      <c r="E66" s="13" t="s">
        <v>67</v>
      </c>
      <c r="F66" s="13" t="str">
        <f t="shared" si="4"/>
        <v xml:space="preserve">gs.fatima@scoutsdemadrid.org </v>
      </c>
      <c r="G66" s="15">
        <v>43297</v>
      </c>
      <c r="H66" s="15">
        <v>43307</v>
      </c>
      <c r="I66" s="13" t="s">
        <v>498</v>
      </c>
      <c r="J66" s="13" t="s">
        <v>709</v>
      </c>
      <c r="K66" s="13" t="s">
        <v>710</v>
      </c>
      <c r="L66" s="13" t="s">
        <v>711</v>
      </c>
      <c r="M66" s="13" t="s">
        <v>712</v>
      </c>
      <c r="N66" s="13">
        <v>609212260</v>
      </c>
      <c r="O66" s="32" t="s">
        <v>713</v>
      </c>
      <c r="P66" s="13" t="s">
        <v>714</v>
      </c>
      <c r="Q66" s="13" t="s">
        <v>715</v>
      </c>
      <c r="R66" s="13" t="s">
        <v>100</v>
      </c>
      <c r="S66" s="13" t="s">
        <v>55</v>
      </c>
      <c r="T66" s="13" t="s">
        <v>716</v>
      </c>
      <c r="U66" s="13" t="s">
        <v>717</v>
      </c>
      <c r="V66" s="13" t="s">
        <v>718</v>
      </c>
      <c r="W66" s="13" t="s">
        <v>372</v>
      </c>
      <c r="X66" s="13" t="s">
        <v>719</v>
      </c>
      <c r="Y66" s="14" t="s">
        <v>720</v>
      </c>
      <c r="Z66" s="19" t="s">
        <v>721</v>
      </c>
      <c r="AA66" s="30" t="str">
        <f>HYPERLINK("https://drive.google.com/a/scoutsdemadrid.org/file/d/19YolY921JsnJ1xE9g9jkOfFDOl-WQ2BC/view?usp=drivesdk","Zona Campamento")</f>
        <v>Zona Campamento</v>
      </c>
      <c r="AB66" s="14" t="s">
        <v>722</v>
      </c>
      <c r="AC66" s="14"/>
    </row>
    <row r="67" spans="1:29" ht="60">
      <c r="A67" s="8" t="str">
        <f>HYPERLINK("https://drive.google.com/a/scoutsdemadrid.org/file/d/1b1adGB3DdJPykz86xg1ka2HfnjHplz3I/view?usp=drivesdk","Zona Campamento")</f>
        <v>Zona Campamento</v>
      </c>
      <c r="B67" s="25" t="s">
        <v>466</v>
      </c>
      <c r="C67" s="20" t="s">
        <v>166</v>
      </c>
      <c r="D67" s="12">
        <v>2015</v>
      </c>
      <c r="E67" s="23" t="s">
        <v>723</v>
      </c>
      <c r="F67" s="14" t="s">
        <v>187</v>
      </c>
      <c r="G67" s="15">
        <v>42201</v>
      </c>
      <c r="H67" s="15">
        <v>42216</v>
      </c>
      <c r="I67" s="23" t="s">
        <v>561</v>
      </c>
      <c r="J67" s="23" t="s">
        <v>561</v>
      </c>
      <c r="K67" s="13"/>
      <c r="L67" s="13" t="s">
        <v>724</v>
      </c>
      <c r="M67" s="33"/>
      <c r="N67" s="13"/>
      <c r="O67" s="13"/>
      <c r="P67" s="13"/>
      <c r="Q67" s="13"/>
      <c r="R67" s="23"/>
      <c r="S67" s="23"/>
      <c r="T67" s="23"/>
      <c r="U67" s="13"/>
      <c r="V67" s="23"/>
      <c r="W67" s="23"/>
      <c r="X67" s="13"/>
      <c r="Y67" s="13"/>
      <c r="Z67" s="14" t="s">
        <v>725</v>
      </c>
      <c r="AA67" s="19" t="s">
        <v>726</v>
      </c>
      <c r="AB67" s="14" t="s">
        <v>727</v>
      </c>
      <c r="AC67" s="14"/>
    </row>
    <row r="68" spans="1:29" ht="60">
      <c r="A68" s="8" t="str">
        <f>HYPERLINK("https://drive.google.com/a/scoutsdemadrid.org/file/d/1eAVlmbEpggs18Tf1atZ7ZY1f_DMKEgpo/view?usp=drivesdk","Zona Campamento")</f>
        <v>Zona Campamento</v>
      </c>
      <c r="B68" s="25" t="s">
        <v>466</v>
      </c>
      <c r="C68" s="10" t="s">
        <v>108</v>
      </c>
      <c r="D68" s="12">
        <v>2015</v>
      </c>
      <c r="E68" s="13" t="s">
        <v>728</v>
      </c>
      <c r="F68" s="14" t="s">
        <v>729</v>
      </c>
      <c r="G68" s="15">
        <v>42200</v>
      </c>
      <c r="H68" s="15">
        <v>42215</v>
      </c>
      <c r="I68" s="13" t="s">
        <v>730</v>
      </c>
      <c r="J68" s="32" t="s">
        <v>731</v>
      </c>
      <c r="K68" s="13"/>
      <c r="L68" s="13" t="s">
        <v>732</v>
      </c>
      <c r="M68" s="13"/>
      <c r="N68" s="13"/>
      <c r="O68" s="13"/>
      <c r="P68" s="13"/>
      <c r="Q68" s="13"/>
      <c r="R68" s="13"/>
      <c r="S68" s="13"/>
      <c r="T68" s="13"/>
      <c r="U68" s="13"/>
      <c r="V68" s="32"/>
      <c r="W68" s="32"/>
      <c r="X68" s="13"/>
      <c r="Y68" s="13"/>
      <c r="Z68" s="14" t="s">
        <v>733</v>
      </c>
      <c r="AA68" s="19" t="s">
        <v>734</v>
      </c>
      <c r="AB68" s="14" t="s">
        <v>735</v>
      </c>
      <c r="AC68" s="14"/>
    </row>
    <row r="69" spans="1:29" ht="60">
      <c r="A69" s="8" t="str">
        <f>HYPERLINK("https://drive.google.com/a/scoutsdemadrid.org/file/d/1mJiNtDWxWk6-WxpbA3rLkFCEP56qUsTd/view?usp=drivesdk","Zona Campamento")</f>
        <v>Zona Campamento</v>
      </c>
      <c r="B69" s="25" t="s">
        <v>466</v>
      </c>
      <c r="C69" s="10" t="s">
        <v>108</v>
      </c>
      <c r="D69" s="12">
        <v>2015</v>
      </c>
      <c r="E69" s="13" t="s">
        <v>728</v>
      </c>
      <c r="F69" s="14" t="s">
        <v>729</v>
      </c>
      <c r="G69" s="15">
        <v>42201</v>
      </c>
      <c r="H69" s="15">
        <v>42215</v>
      </c>
      <c r="I69" s="13" t="s">
        <v>736</v>
      </c>
      <c r="J69" s="13" t="s">
        <v>737</v>
      </c>
      <c r="K69" s="13"/>
      <c r="L69" s="13"/>
      <c r="M69" s="13"/>
      <c r="N69" s="13"/>
      <c r="O69" s="13"/>
      <c r="P69" s="13"/>
      <c r="Q69" s="13"/>
      <c r="R69" s="13"/>
      <c r="S69" s="13"/>
      <c r="T69" s="13"/>
      <c r="U69" s="13"/>
      <c r="V69" s="13"/>
      <c r="W69" s="13"/>
      <c r="X69" s="13"/>
      <c r="Y69" s="13"/>
      <c r="Z69" s="14" t="s">
        <v>738</v>
      </c>
      <c r="AA69" s="19" t="s">
        <v>739</v>
      </c>
      <c r="AB69" s="14" t="s">
        <v>740</v>
      </c>
      <c r="AC69" s="14"/>
    </row>
    <row r="70" spans="1:29" ht="60">
      <c r="A70" s="22" t="str">
        <f>HYPERLINK("https://drive.google.com/a/scoutsdemadrid.org/file/d/1tv_KnSob29tJcYAsL1w1sfuYp1bQA8MN/view?usp=drivesdk","Zona Campamento")</f>
        <v>Zona Campamento</v>
      </c>
      <c r="B70" s="25" t="s">
        <v>466</v>
      </c>
      <c r="C70" s="20" t="s">
        <v>166</v>
      </c>
      <c r="D70" s="12">
        <v>2016</v>
      </c>
      <c r="E70" s="23" t="s">
        <v>728</v>
      </c>
      <c r="F70" s="14" t="str">
        <f t="shared" ref="F70:F73" si="5">F69</f>
        <v xml:space="preserve">gs.goa@scoutsdemadrid.org </v>
      </c>
      <c r="G70" s="24">
        <v>42567</v>
      </c>
      <c r="H70" s="24">
        <v>42581</v>
      </c>
      <c r="I70" s="23" t="s">
        <v>741</v>
      </c>
      <c r="J70" s="14" t="s">
        <v>742</v>
      </c>
      <c r="K70" s="14" t="s">
        <v>743</v>
      </c>
      <c r="L70" s="14" t="s">
        <v>744</v>
      </c>
      <c r="M70" s="14" t="s">
        <v>745</v>
      </c>
      <c r="N70" s="13"/>
      <c r="O70" s="13"/>
      <c r="P70" s="14" t="s">
        <v>746</v>
      </c>
      <c r="Q70" s="14" t="s">
        <v>747</v>
      </c>
      <c r="R70" s="14" t="s">
        <v>100</v>
      </c>
      <c r="S70" s="14" t="s">
        <v>103</v>
      </c>
      <c r="T70" s="14" t="s">
        <v>748</v>
      </c>
      <c r="U70" s="14" t="s">
        <v>749</v>
      </c>
      <c r="V70" s="14" t="s">
        <v>616</v>
      </c>
      <c r="W70" s="14" t="s">
        <v>55</v>
      </c>
      <c r="X70" s="14" t="s">
        <v>750</v>
      </c>
      <c r="Y70" s="14"/>
      <c r="Z70" s="14" t="s">
        <v>751</v>
      </c>
      <c r="AA70" s="19" t="s">
        <v>752</v>
      </c>
      <c r="AB70" s="14" t="s">
        <v>753</v>
      </c>
      <c r="AC70" s="14"/>
    </row>
    <row r="71" spans="1:29" ht="60">
      <c r="A71" s="8" t="str">
        <f>HYPERLINK("https://drive.google.com/a/scoutsdemadrid.org/file/d/1043fvGJExjMkOhKgceOI2NvNjqTNGc1i/view?usp=drivesdk","Zona Campamento")</f>
        <v>Zona Campamento</v>
      </c>
      <c r="B71" s="25" t="s">
        <v>466</v>
      </c>
      <c r="C71" s="10" t="s">
        <v>85</v>
      </c>
      <c r="D71" s="12">
        <v>2017</v>
      </c>
      <c r="E71" s="13" t="s">
        <v>728</v>
      </c>
      <c r="F71" s="13" t="str">
        <f t="shared" si="5"/>
        <v xml:space="preserve">gs.goa@scoutsdemadrid.org </v>
      </c>
      <c r="G71" s="15">
        <v>42932</v>
      </c>
      <c r="H71" s="15">
        <v>42938</v>
      </c>
      <c r="I71" s="13" t="s">
        <v>754</v>
      </c>
      <c r="J71" s="13" t="s">
        <v>755</v>
      </c>
      <c r="K71" s="13" t="s">
        <v>756</v>
      </c>
      <c r="L71" s="13"/>
      <c r="M71" s="13" t="s">
        <v>757</v>
      </c>
      <c r="N71" s="13">
        <v>630881829</v>
      </c>
      <c r="O71" s="13" t="s">
        <v>758</v>
      </c>
      <c r="P71" s="13" t="s">
        <v>759</v>
      </c>
      <c r="Q71" s="13" t="s">
        <v>760</v>
      </c>
      <c r="R71" s="13" t="s">
        <v>54</v>
      </c>
      <c r="S71" s="13" t="s">
        <v>55</v>
      </c>
      <c r="T71" s="13" t="s">
        <v>761</v>
      </c>
      <c r="U71" s="13" t="s">
        <v>762</v>
      </c>
      <c r="V71" s="13" t="s">
        <v>763</v>
      </c>
      <c r="W71" s="13" t="s">
        <v>764</v>
      </c>
      <c r="X71" s="13" t="s">
        <v>765</v>
      </c>
      <c r="Y71" s="13"/>
      <c r="Z71" s="14" t="s">
        <v>766</v>
      </c>
      <c r="AA71" s="19" t="s">
        <v>767</v>
      </c>
      <c r="AB71" s="14" t="s">
        <v>768</v>
      </c>
      <c r="AC71" s="14"/>
    </row>
    <row r="72" spans="1:29" ht="60">
      <c r="A72" s="8" t="str">
        <f>HYPERLINK("https://drive.google.com/a/scoutsdemadrid.org/file/d/1sryoWwraFfqYVnrq3Q3vozbfD0QPIRC3/view?usp=drivesdk","Zona Campamento")</f>
        <v>Zona Campamento</v>
      </c>
      <c r="B72" s="25" t="s">
        <v>466</v>
      </c>
      <c r="C72" s="20" t="s">
        <v>166</v>
      </c>
      <c r="D72" s="12">
        <v>2018</v>
      </c>
      <c r="E72" s="13" t="s">
        <v>728</v>
      </c>
      <c r="F72" s="13" t="str">
        <f t="shared" si="5"/>
        <v xml:space="preserve">gs.goa@scoutsdemadrid.org </v>
      </c>
      <c r="G72" s="15">
        <v>43297</v>
      </c>
      <c r="H72" s="15">
        <v>43311</v>
      </c>
      <c r="I72" s="13" t="s">
        <v>769</v>
      </c>
      <c r="J72" s="13" t="s">
        <v>770</v>
      </c>
      <c r="K72" s="13" t="s">
        <v>771</v>
      </c>
      <c r="L72" s="13" t="s">
        <v>772</v>
      </c>
      <c r="M72" s="13" t="s">
        <v>773</v>
      </c>
      <c r="N72" s="13">
        <v>626749450</v>
      </c>
      <c r="O72" s="13" t="s">
        <v>774</v>
      </c>
      <c r="P72" s="13" t="s">
        <v>259</v>
      </c>
      <c r="Q72" s="13" t="s">
        <v>775</v>
      </c>
      <c r="R72" s="13" t="s">
        <v>54</v>
      </c>
      <c r="S72" s="13" t="s">
        <v>55</v>
      </c>
      <c r="T72" s="13" t="s">
        <v>776</v>
      </c>
      <c r="U72" s="13" t="s">
        <v>777</v>
      </c>
      <c r="V72" s="13" t="s">
        <v>103</v>
      </c>
      <c r="W72" s="13" t="s">
        <v>778</v>
      </c>
      <c r="X72" s="13" t="s">
        <v>779</v>
      </c>
      <c r="Y72" s="13"/>
      <c r="Z72" s="14" t="s">
        <v>780</v>
      </c>
      <c r="AA72" s="19" t="s">
        <v>781</v>
      </c>
      <c r="AB72" s="14" t="s">
        <v>782</v>
      </c>
      <c r="AC72" s="14"/>
    </row>
    <row r="73" spans="1:29" ht="60">
      <c r="A73" s="22" t="str">
        <f>HYPERLINK("https://drive.google.com/a/scoutsdemadrid.org/file/d/1X41KHIw9OQ_0PxTi0Zpc6eVAFS9P9YwY/view?usp=drivesdk","Zona Campamento")</f>
        <v>Zona Campamento</v>
      </c>
      <c r="B73" s="25" t="s">
        <v>466</v>
      </c>
      <c r="C73" s="20" t="s">
        <v>166</v>
      </c>
      <c r="D73" s="12">
        <v>2019</v>
      </c>
      <c r="E73" s="23" t="s">
        <v>728</v>
      </c>
      <c r="F73" s="13" t="str">
        <f t="shared" si="5"/>
        <v xml:space="preserve">gs.goa@scoutsdemadrid.org </v>
      </c>
      <c r="G73" s="14">
        <v>43662</v>
      </c>
      <c r="H73" s="14">
        <v>43676</v>
      </c>
      <c r="I73" s="23" t="s">
        <v>783</v>
      </c>
      <c r="J73" s="14" t="s">
        <v>784</v>
      </c>
      <c r="K73" s="14" t="s">
        <v>785</v>
      </c>
      <c r="L73" s="14" t="s">
        <v>786</v>
      </c>
      <c r="M73" s="14" t="s">
        <v>787</v>
      </c>
      <c r="N73" s="14">
        <v>645924866</v>
      </c>
      <c r="O73" s="14" t="s">
        <v>785</v>
      </c>
      <c r="P73" s="14" t="s">
        <v>788</v>
      </c>
      <c r="Q73" s="14" t="s">
        <v>789</v>
      </c>
      <c r="R73" s="14" t="s">
        <v>54</v>
      </c>
      <c r="S73" s="14" t="s">
        <v>55</v>
      </c>
      <c r="T73" s="14" t="s">
        <v>790</v>
      </c>
      <c r="U73" s="14" t="s">
        <v>791</v>
      </c>
      <c r="V73" s="14" t="s">
        <v>103</v>
      </c>
      <c r="W73" s="14" t="s">
        <v>55</v>
      </c>
      <c r="X73" s="14" t="s">
        <v>792</v>
      </c>
      <c r="Y73" s="14" t="s">
        <v>55</v>
      </c>
      <c r="Z73" s="14" t="s">
        <v>793</v>
      </c>
      <c r="AA73" s="19" t="s">
        <v>794</v>
      </c>
      <c r="AB73" s="14" t="s">
        <v>795</v>
      </c>
      <c r="AC73" s="14"/>
    </row>
    <row r="74" spans="1:29" ht="72">
      <c r="A74" s="22" t="str">
        <f>HYPERLINK("https://drive.google.com/a/scoutsdemadrid.org/file/d/1u-Yivag37twVKa_zYLEvgrwdMpUO59_y/view?usp=drivesdk","Zona Campamento")</f>
        <v>Zona Campamento</v>
      </c>
      <c r="B74" s="25" t="s">
        <v>466</v>
      </c>
      <c r="C74" s="20" t="s">
        <v>195</v>
      </c>
      <c r="D74" s="12">
        <v>2016</v>
      </c>
      <c r="E74" s="23" t="s">
        <v>796</v>
      </c>
      <c r="F74" s="14" t="s">
        <v>797</v>
      </c>
      <c r="G74" s="24">
        <v>42560</v>
      </c>
      <c r="H74" s="24">
        <v>42566</v>
      </c>
      <c r="I74" s="23" t="s">
        <v>504</v>
      </c>
      <c r="J74" s="14" t="s">
        <v>541</v>
      </c>
      <c r="K74" s="13"/>
      <c r="L74" s="14" t="s">
        <v>798</v>
      </c>
      <c r="M74" s="14" t="s">
        <v>651</v>
      </c>
      <c r="N74" s="14">
        <v>975370000</v>
      </c>
      <c r="O74" s="13"/>
      <c r="P74" s="14" t="s">
        <v>799</v>
      </c>
      <c r="Q74" s="13"/>
      <c r="R74" s="14" t="s">
        <v>54</v>
      </c>
      <c r="S74" s="14" t="s">
        <v>55</v>
      </c>
      <c r="T74" s="14" t="s">
        <v>800</v>
      </c>
      <c r="U74" s="14" t="s">
        <v>801</v>
      </c>
      <c r="V74" s="14" t="s">
        <v>802</v>
      </c>
      <c r="W74" s="14" t="s">
        <v>125</v>
      </c>
      <c r="X74" s="14" t="s">
        <v>803</v>
      </c>
      <c r="Y74" s="14"/>
      <c r="Z74" s="14" t="s">
        <v>804</v>
      </c>
      <c r="AA74" s="19" t="s">
        <v>805</v>
      </c>
      <c r="AB74" s="14" t="s">
        <v>806</v>
      </c>
      <c r="AC74" s="14"/>
    </row>
    <row r="75" spans="1:29" ht="60">
      <c r="A75" s="8" t="str">
        <f>HYPERLINK("https://drive.google.com/a/scoutsdemadrid.org/file/d/1Br8Q0mZgfBAK4cVK_rDRDTLwi3wq6f4G/view?usp=drivesdk","Zona Campamento")</f>
        <v>Zona Campamento</v>
      </c>
      <c r="B75" s="25" t="s">
        <v>466</v>
      </c>
      <c r="C75" s="10" t="s">
        <v>108</v>
      </c>
      <c r="D75" s="12">
        <v>2015</v>
      </c>
      <c r="E75" s="13" t="s">
        <v>807</v>
      </c>
      <c r="F75" s="14" t="s">
        <v>808</v>
      </c>
      <c r="G75" s="15">
        <v>42189</v>
      </c>
      <c r="H75" s="15">
        <v>42197</v>
      </c>
      <c r="I75" s="13" t="s">
        <v>809</v>
      </c>
      <c r="J75" s="13" t="s">
        <v>810</v>
      </c>
      <c r="K75" s="13"/>
      <c r="L75" s="13"/>
      <c r="M75" s="13"/>
      <c r="N75" s="13"/>
      <c r="O75" s="13"/>
      <c r="P75" s="13"/>
      <c r="Q75" s="13"/>
      <c r="R75" s="13"/>
      <c r="S75" s="13"/>
      <c r="T75" s="13"/>
      <c r="U75" s="13"/>
      <c r="V75" s="13"/>
      <c r="W75" s="13"/>
      <c r="X75" s="13"/>
      <c r="Y75" s="13"/>
      <c r="Z75" s="14" t="s">
        <v>811</v>
      </c>
      <c r="AA75" s="19" t="s">
        <v>812</v>
      </c>
      <c r="AB75" s="14" t="s">
        <v>813</v>
      </c>
      <c r="AC75" s="14"/>
    </row>
    <row r="76" spans="1:29" ht="60">
      <c r="A76" s="8" t="str">
        <f>HYPERLINK("https://drive.google.com/a/scoutsdemadrid.org/file/d/1F0RDNBNyJNiECq2HUUowiXwooceqq346/view?usp=drivesdk","Zona Campamento")</f>
        <v>Zona Campamento</v>
      </c>
      <c r="B76" s="25" t="s">
        <v>466</v>
      </c>
      <c r="C76" s="10" t="s">
        <v>85</v>
      </c>
      <c r="D76" s="12">
        <v>2018</v>
      </c>
      <c r="E76" s="13" t="s">
        <v>807</v>
      </c>
      <c r="F76" s="14" t="s">
        <v>808</v>
      </c>
      <c r="G76" s="15">
        <v>43281</v>
      </c>
      <c r="H76" s="15">
        <v>43289</v>
      </c>
      <c r="I76" s="13" t="s">
        <v>754</v>
      </c>
      <c r="J76" s="13" t="s">
        <v>814</v>
      </c>
      <c r="K76" s="13" t="s">
        <v>815</v>
      </c>
      <c r="L76" s="13" t="s">
        <v>816</v>
      </c>
      <c r="M76" s="13" t="s">
        <v>817</v>
      </c>
      <c r="N76" s="13">
        <v>630881829</v>
      </c>
      <c r="O76" s="13" t="s">
        <v>818</v>
      </c>
      <c r="P76" s="13" t="s">
        <v>819</v>
      </c>
      <c r="Q76" s="13" t="s">
        <v>820</v>
      </c>
      <c r="R76" s="13" t="s">
        <v>54</v>
      </c>
      <c r="S76" s="13" t="s">
        <v>55</v>
      </c>
      <c r="T76" s="13" t="s">
        <v>821</v>
      </c>
      <c r="U76" s="13" t="s">
        <v>822</v>
      </c>
      <c r="V76" s="13" t="s">
        <v>823</v>
      </c>
      <c r="W76" s="13" t="s">
        <v>55</v>
      </c>
      <c r="X76" s="13" t="s">
        <v>824</v>
      </c>
      <c r="Y76" s="13"/>
      <c r="Z76" s="14" t="s">
        <v>825</v>
      </c>
      <c r="AA76" s="19" t="s">
        <v>826</v>
      </c>
      <c r="AB76" s="14" t="s">
        <v>827</v>
      </c>
      <c r="AC76" s="14"/>
    </row>
    <row r="77" spans="1:29" ht="60">
      <c r="A77" s="22" t="str">
        <f>HYPERLINK("https://drive.google.com/a/scoutsdemadrid.org/file/d/1XOXhcP44co-SBmMxYF7UbEZhgqV1pvfe/view?usp=drivesdk","Zona Campamento")</f>
        <v>Zona Campamento</v>
      </c>
      <c r="B77" s="25" t="s">
        <v>466</v>
      </c>
      <c r="C77" s="10" t="s">
        <v>85</v>
      </c>
      <c r="D77" s="12">
        <v>2019</v>
      </c>
      <c r="E77" s="23" t="s">
        <v>807</v>
      </c>
      <c r="F77" s="14" t="s">
        <v>808</v>
      </c>
      <c r="G77" s="14">
        <v>43652</v>
      </c>
      <c r="H77" s="14">
        <v>43660</v>
      </c>
      <c r="I77" s="23" t="s">
        <v>754</v>
      </c>
      <c r="J77" s="14" t="s">
        <v>814</v>
      </c>
      <c r="K77" s="14" t="s">
        <v>828</v>
      </c>
      <c r="L77" s="14" t="s">
        <v>829</v>
      </c>
      <c r="M77" s="14" t="s">
        <v>830</v>
      </c>
      <c r="N77" s="14">
        <v>630881829</v>
      </c>
      <c r="O77" s="14" t="s">
        <v>831</v>
      </c>
      <c r="P77" s="14" t="s">
        <v>832</v>
      </c>
      <c r="Q77" s="14" t="s">
        <v>833</v>
      </c>
      <c r="R77" s="14" t="s">
        <v>100</v>
      </c>
      <c r="S77" s="14" t="s">
        <v>55</v>
      </c>
      <c r="T77" s="14" t="s">
        <v>444</v>
      </c>
      <c r="U77" s="14" t="s">
        <v>834</v>
      </c>
      <c r="V77" s="14" t="s">
        <v>835</v>
      </c>
      <c r="W77" s="14" t="s">
        <v>836</v>
      </c>
      <c r="X77" s="14" t="s">
        <v>837</v>
      </c>
      <c r="Y77" s="14" t="s">
        <v>103</v>
      </c>
      <c r="Z77" s="14" t="s">
        <v>838</v>
      </c>
      <c r="AA77" s="19" t="s">
        <v>839</v>
      </c>
      <c r="AB77" s="14" t="s">
        <v>827</v>
      </c>
      <c r="AC77" s="14"/>
    </row>
    <row r="78" spans="1:29" ht="84">
      <c r="A78" s="8" t="str">
        <f>HYPERLINK("https://drive.google.com/a/scoutsdemadrid.org/file/d/1WFn1hHI6DrZ5b_aNmKlDCsrTMJ5XOTlv/view?usp=drivesdk","Zona Campamento")</f>
        <v>Zona Campamento</v>
      </c>
      <c r="B78" s="25" t="s">
        <v>466</v>
      </c>
      <c r="C78" s="10" t="s">
        <v>203</v>
      </c>
      <c r="D78" s="12">
        <v>2017</v>
      </c>
      <c r="E78" s="13" t="s">
        <v>112</v>
      </c>
      <c r="F78" s="14" t="s">
        <v>840</v>
      </c>
      <c r="G78" s="15">
        <v>42932</v>
      </c>
      <c r="H78" s="15">
        <v>42946</v>
      </c>
      <c r="I78" s="13" t="s">
        <v>841</v>
      </c>
      <c r="J78" s="13" t="s">
        <v>842</v>
      </c>
      <c r="K78" s="13"/>
      <c r="L78" s="13"/>
      <c r="M78" s="13" t="s">
        <v>843</v>
      </c>
      <c r="N78" s="13"/>
      <c r="O78" s="13"/>
      <c r="P78" s="13" t="s">
        <v>844</v>
      </c>
      <c r="Q78" s="13"/>
      <c r="R78" s="13" t="s">
        <v>54</v>
      </c>
      <c r="S78" s="13" t="s">
        <v>103</v>
      </c>
      <c r="T78" s="13" t="s">
        <v>845</v>
      </c>
      <c r="U78" s="13"/>
      <c r="V78" s="13" t="s">
        <v>846</v>
      </c>
      <c r="W78" s="13" t="s">
        <v>847</v>
      </c>
      <c r="X78" s="13" t="s">
        <v>848</v>
      </c>
      <c r="Y78" s="13"/>
      <c r="Z78" s="14" t="s">
        <v>849</v>
      </c>
      <c r="AA78" s="19" t="s">
        <v>850</v>
      </c>
      <c r="AB78" s="14" t="s">
        <v>851</v>
      </c>
      <c r="AC78" s="14"/>
    </row>
    <row r="79" spans="1:29" ht="60">
      <c r="A79" s="8" t="str">
        <f>HYPERLINK("https://drive.google.com/a/scoutsdemadrid.org/file/d/1j5LR0nDOSDRx47nn19c2QVZWDGzvpW8_/view?usp=drivesdk","Zona Campamento")</f>
        <v>Zona Campamento</v>
      </c>
      <c r="B79" s="25" t="s">
        <v>466</v>
      </c>
      <c r="C79" s="20" t="s">
        <v>166</v>
      </c>
      <c r="D79" s="12">
        <v>2018</v>
      </c>
      <c r="E79" s="13" t="s">
        <v>112</v>
      </c>
      <c r="F79" s="14" t="s">
        <v>840</v>
      </c>
      <c r="G79" s="15">
        <v>43297</v>
      </c>
      <c r="H79" s="15">
        <v>43311</v>
      </c>
      <c r="I79" s="13" t="s">
        <v>852</v>
      </c>
      <c r="J79" s="13" t="s">
        <v>853</v>
      </c>
      <c r="K79" s="13" t="s">
        <v>854</v>
      </c>
      <c r="L79" s="13" t="s">
        <v>855</v>
      </c>
      <c r="M79" s="13" t="s">
        <v>856</v>
      </c>
      <c r="N79" s="13" t="s">
        <v>857</v>
      </c>
      <c r="O79" s="13" t="s">
        <v>858</v>
      </c>
      <c r="P79" s="13" t="s">
        <v>859</v>
      </c>
      <c r="Q79" s="13" t="s">
        <v>860</v>
      </c>
      <c r="R79" s="13" t="s">
        <v>100</v>
      </c>
      <c r="S79" s="13" t="s">
        <v>55</v>
      </c>
      <c r="T79" s="13" t="s">
        <v>861</v>
      </c>
      <c r="U79" s="13" t="s">
        <v>862</v>
      </c>
      <c r="V79" s="13" t="s">
        <v>863</v>
      </c>
      <c r="W79" s="13" t="s">
        <v>372</v>
      </c>
      <c r="X79" s="13" t="s">
        <v>864</v>
      </c>
      <c r="Y79" s="13"/>
      <c r="Z79" s="14" t="s">
        <v>865</v>
      </c>
      <c r="AA79" s="19" t="s">
        <v>866</v>
      </c>
      <c r="AB79" s="14" t="s">
        <v>867</v>
      </c>
      <c r="AC79" s="14"/>
    </row>
    <row r="80" spans="1:29" ht="60">
      <c r="A80" s="8" t="str">
        <f>HYPERLINK("https://drive.google.com/a/scoutsdemadrid.org/file/d/1dlU6orqLZHslSzm77oKC89gnYufTv3g7/view?usp=drivesdk","Zona Campamento")</f>
        <v>Zona Campamento</v>
      </c>
      <c r="B80" s="25" t="s">
        <v>466</v>
      </c>
      <c r="C80" s="20" t="s">
        <v>166</v>
      </c>
      <c r="D80" s="12">
        <v>2015</v>
      </c>
      <c r="E80" s="13" t="s">
        <v>868</v>
      </c>
      <c r="F80" s="14" t="s">
        <v>869</v>
      </c>
      <c r="G80" s="15">
        <v>42201</v>
      </c>
      <c r="H80" s="15">
        <v>42215</v>
      </c>
      <c r="I80" s="13" t="s">
        <v>870</v>
      </c>
      <c r="J80" s="13" t="s">
        <v>565</v>
      </c>
      <c r="K80" s="13"/>
      <c r="L80" s="13"/>
      <c r="M80" s="13"/>
      <c r="N80" s="13"/>
      <c r="O80" s="13"/>
      <c r="P80" s="13"/>
      <c r="Q80" s="13"/>
      <c r="R80" s="13"/>
      <c r="S80" s="13"/>
      <c r="T80" s="13"/>
      <c r="U80" s="13"/>
      <c r="V80" s="13"/>
      <c r="W80" s="13"/>
      <c r="X80" s="13"/>
      <c r="Y80" s="13"/>
      <c r="Z80" s="14" t="s">
        <v>871</v>
      </c>
      <c r="AA80" s="19" t="s">
        <v>872</v>
      </c>
      <c r="AB80" s="14" t="s">
        <v>873</v>
      </c>
      <c r="AC80" s="14"/>
    </row>
    <row r="81" spans="1:29" ht="60">
      <c r="A81" s="8" t="str">
        <f>HYPERLINK("https://drive.google.com/a/scoutsdemadrid.org/file/d/1aGCmzQZFiFjr2Umv1pExrQwG1ttVMYwz/view?usp=drivesdk","Zona Campamento")</f>
        <v>Zona Campamento</v>
      </c>
      <c r="B81" s="25" t="s">
        <v>466</v>
      </c>
      <c r="C81" s="20" t="s">
        <v>195</v>
      </c>
      <c r="D81" s="12">
        <v>2016</v>
      </c>
      <c r="E81" s="23" t="s">
        <v>868</v>
      </c>
      <c r="F81" s="14" t="s">
        <v>869</v>
      </c>
      <c r="G81" s="24">
        <v>42567</v>
      </c>
      <c r="H81" s="24">
        <v>42581</v>
      </c>
      <c r="I81" s="23" t="s">
        <v>504</v>
      </c>
      <c r="J81" s="14" t="s">
        <v>541</v>
      </c>
      <c r="K81" s="13"/>
      <c r="L81" s="13"/>
      <c r="M81" s="14" t="s">
        <v>651</v>
      </c>
      <c r="N81" s="13"/>
      <c r="O81" s="13"/>
      <c r="P81" s="13"/>
      <c r="Q81" s="13"/>
      <c r="R81" s="14" t="s">
        <v>54</v>
      </c>
      <c r="S81" s="14" t="s">
        <v>55</v>
      </c>
      <c r="T81" s="13"/>
      <c r="U81" s="13"/>
      <c r="V81" s="13"/>
      <c r="W81" s="13"/>
      <c r="X81" s="13"/>
      <c r="Y81" s="13"/>
      <c r="Z81" s="14" t="s">
        <v>874</v>
      </c>
      <c r="AA81" s="19" t="s">
        <v>875</v>
      </c>
      <c r="AB81" s="14" t="s">
        <v>876</v>
      </c>
      <c r="AC81" s="14"/>
    </row>
    <row r="82" spans="1:29" ht="60">
      <c r="A82" s="22" t="str">
        <f>HYPERLINK("https://drive.google.com/a/scoutsdemadrid.org/file/d/1zgWcGL98s-py8ZuaMAegdNTFjEZubZ-C/view?usp=drivesdk","Zona Campamento")</f>
        <v>Zona Campamento</v>
      </c>
      <c r="B82" s="25" t="s">
        <v>466</v>
      </c>
      <c r="C82" s="10" t="s">
        <v>85</v>
      </c>
      <c r="D82" s="12">
        <v>2019</v>
      </c>
      <c r="E82" s="23" t="s">
        <v>868</v>
      </c>
      <c r="F82" s="14" t="s">
        <v>869</v>
      </c>
      <c r="G82" s="14">
        <v>43658</v>
      </c>
      <c r="H82" s="14">
        <v>43676</v>
      </c>
      <c r="I82" s="23" t="s">
        <v>659</v>
      </c>
      <c r="J82" s="14" t="s">
        <v>877</v>
      </c>
      <c r="K82" s="14" t="s">
        <v>878</v>
      </c>
      <c r="L82" s="14" t="s">
        <v>879</v>
      </c>
      <c r="M82" s="14" t="s">
        <v>880</v>
      </c>
      <c r="N82" s="14">
        <v>920207441</v>
      </c>
      <c r="O82" s="14" t="s">
        <v>881</v>
      </c>
      <c r="P82" s="14" t="s">
        <v>882</v>
      </c>
      <c r="Q82" s="14">
        <v>14</v>
      </c>
      <c r="R82" s="14" t="s">
        <v>54</v>
      </c>
      <c r="S82" s="14" t="s">
        <v>55</v>
      </c>
      <c r="T82" s="14" t="s">
        <v>883</v>
      </c>
      <c r="U82" s="14" t="s">
        <v>884</v>
      </c>
      <c r="V82" s="14" t="s">
        <v>103</v>
      </c>
      <c r="W82" s="14" t="s">
        <v>885</v>
      </c>
      <c r="X82" s="14" t="s">
        <v>886</v>
      </c>
      <c r="Y82" s="14" t="s">
        <v>55</v>
      </c>
      <c r="Z82" s="14" t="s">
        <v>887</v>
      </c>
      <c r="AA82" s="19" t="s">
        <v>888</v>
      </c>
      <c r="AB82" s="14" t="s">
        <v>889</v>
      </c>
      <c r="AC82" s="14"/>
    </row>
    <row r="83" spans="1:29" ht="60">
      <c r="A83" s="22" t="str">
        <f>HYPERLINK("https://drive.google.com/a/scoutsdemadrid.org/file/d/18Hzqpcct39HO2d2hoUMWdQtUPK8QMzZ2/view?usp=drivesdk","Zona Campamento")</f>
        <v>Zona Campamento</v>
      </c>
      <c r="B83" s="25" t="s">
        <v>466</v>
      </c>
      <c r="C83" s="10" t="s">
        <v>85</v>
      </c>
      <c r="D83" s="12">
        <v>2019</v>
      </c>
      <c r="E83" s="23" t="s">
        <v>903</v>
      </c>
      <c r="F83" s="14" t="s">
        <v>904</v>
      </c>
      <c r="G83" s="14">
        <v>43639</v>
      </c>
      <c r="H83" s="14">
        <v>43645</v>
      </c>
      <c r="I83" s="23" t="s">
        <v>906</v>
      </c>
      <c r="J83" s="14" t="s">
        <v>907</v>
      </c>
      <c r="K83" s="14" t="s">
        <v>909</v>
      </c>
      <c r="L83" s="14" t="s">
        <v>910</v>
      </c>
      <c r="M83" s="14" t="s">
        <v>911</v>
      </c>
      <c r="N83" s="14">
        <v>918983176</v>
      </c>
      <c r="O83" s="14" t="s">
        <v>913</v>
      </c>
      <c r="P83" s="14" t="s">
        <v>714</v>
      </c>
      <c r="Q83" s="14">
        <v>9</v>
      </c>
      <c r="R83" s="14" t="s">
        <v>54</v>
      </c>
      <c r="S83" s="14" t="s">
        <v>55</v>
      </c>
      <c r="T83" s="14" t="s">
        <v>883</v>
      </c>
      <c r="U83" s="14" t="s">
        <v>914</v>
      </c>
      <c r="V83" s="14" t="s">
        <v>915</v>
      </c>
      <c r="W83" s="14" t="s">
        <v>916</v>
      </c>
      <c r="X83" s="14" t="s">
        <v>918</v>
      </c>
      <c r="Y83" s="14" t="s">
        <v>103</v>
      </c>
      <c r="Z83" s="14" t="s">
        <v>919</v>
      </c>
      <c r="AA83" s="19" t="s">
        <v>921</v>
      </c>
      <c r="AB83" s="14" t="s">
        <v>930</v>
      </c>
      <c r="AC83" s="14"/>
    </row>
    <row r="84" spans="1:29" ht="72">
      <c r="A84" s="8" t="str">
        <f>HYPERLINK("https://drive.google.com/a/scoutsdemadrid.org/file/d/1KgWWyyjP7kks1wxs63pb-YVnDQfXfGIO/view?usp=drivesdk","Zona Campamento")</f>
        <v>Zona Campamento</v>
      </c>
      <c r="B84" s="25" t="s">
        <v>466</v>
      </c>
      <c r="C84" s="10" t="s">
        <v>85</v>
      </c>
      <c r="D84" s="12">
        <v>2012</v>
      </c>
      <c r="E84" s="13" t="s">
        <v>933</v>
      </c>
      <c r="F84" s="14" t="s">
        <v>934</v>
      </c>
      <c r="G84" s="15">
        <v>41106</v>
      </c>
      <c r="H84" s="15">
        <v>41117</v>
      </c>
      <c r="I84" s="13" t="s">
        <v>935</v>
      </c>
      <c r="J84" s="13" t="s">
        <v>936</v>
      </c>
      <c r="K84" s="13"/>
      <c r="L84" s="26" t="s">
        <v>937</v>
      </c>
      <c r="M84" s="32"/>
      <c r="N84" s="13"/>
      <c r="O84" s="13"/>
      <c r="P84" s="13"/>
      <c r="Q84" s="13"/>
      <c r="R84" s="13"/>
      <c r="S84" s="13"/>
      <c r="T84" s="13"/>
      <c r="U84" s="13"/>
      <c r="V84" s="13"/>
      <c r="W84" s="13"/>
      <c r="X84" s="13"/>
      <c r="Y84" s="13"/>
      <c r="Z84" s="14" t="s">
        <v>938</v>
      </c>
      <c r="AA84" s="19" t="s">
        <v>939</v>
      </c>
      <c r="AB84" s="14" t="s">
        <v>940</v>
      </c>
      <c r="AC84" s="14"/>
    </row>
    <row r="85" spans="1:29" ht="60">
      <c r="A85" s="8" t="str">
        <f>HYPERLINK("https://drive.google.com/a/scoutsdemadrid.org/file/d/1IxofbD9pa0WGxNedbktwV4xfQtR6zdfT/view?usp=drivesdk","Zona Campamento")</f>
        <v>Zona Campamento</v>
      </c>
      <c r="B85" s="25" t="s">
        <v>466</v>
      </c>
      <c r="C85" s="10" t="s">
        <v>85</v>
      </c>
      <c r="D85" s="12">
        <v>2017</v>
      </c>
      <c r="E85" s="13" t="s">
        <v>941</v>
      </c>
      <c r="F85" s="14" t="s">
        <v>934</v>
      </c>
      <c r="G85" s="15">
        <v>42933</v>
      </c>
      <c r="H85" s="15">
        <v>42946</v>
      </c>
      <c r="I85" s="13" t="s">
        <v>942</v>
      </c>
      <c r="J85" s="13" t="s">
        <v>943</v>
      </c>
      <c r="K85" s="13"/>
      <c r="L85" s="13" t="s">
        <v>944</v>
      </c>
      <c r="M85" s="13" t="s">
        <v>945</v>
      </c>
      <c r="N85" s="13">
        <v>920386061</v>
      </c>
      <c r="O85" s="13" t="s">
        <v>946</v>
      </c>
      <c r="P85" s="13" t="s">
        <v>947</v>
      </c>
      <c r="Q85" s="13"/>
      <c r="R85" s="13" t="s">
        <v>54</v>
      </c>
      <c r="S85" s="13" t="s">
        <v>55</v>
      </c>
      <c r="T85" s="13" t="s">
        <v>948</v>
      </c>
      <c r="U85" s="13" t="s">
        <v>949</v>
      </c>
      <c r="V85" s="13" t="s">
        <v>950</v>
      </c>
      <c r="W85" s="13" t="s">
        <v>55</v>
      </c>
      <c r="X85" s="13" t="s">
        <v>951</v>
      </c>
      <c r="Y85" s="13"/>
      <c r="Z85" s="14" t="s">
        <v>952</v>
      </c>
      <c r="AA85" s="19" t="s">
        <v>953</v>
      </c>
      <c r="AB85" s="14" t="s">
        <v>954</v>
      </c>
      <c r="AC85" s="14"/>
    </row>
    <row r="86" spans="1:29" ht="60">
      <c r="A86" s="8" t="str">
        <f>HYPERLINK("https://drive.google.com/a/scoutsdemadrid.org/file/d/1Dh7zvIuCUHi7Jh5ca20cbJEPRxqPQ8gS/view?usp=drivesdk","Zona Campamento")</f>
        <v>Zona Campamento</v>
      </c>
      <c r="B86" s="25" t="s">
        <v>466</v>
      </c>
      <c r="C86" s="20" t="s">
        <v>203</v>
      </c>
      <c r="D86" s="12">
        <v>2015</v>
      </c>
      <c r="E86" s="23" t="s">
        <v>955</v>
      </c>
      <c r="F86" s="23"/>
      <c r="G86" s="15">
        <v>42201</v>
      </c>
      <c r="H86" s="15">
        <v>42215</v>
      </c>
      <c r="I86" s="23" t="s">
        <v>956</v>
      </c>
      <c r="J86" s="23" t="s">
        <v>957</v>
      </c>
      <c r="K86" s="13"/>
      <c r="L86" s="13" t="s">
        <v>958</v>
      </c>
      <c r="M86" s="23"/>
      <c r="N86" s="13"/>
      <c r="O86" s="13"/>
      <c r="P86" s="13"/>
      <c r="Q86" s="13"/>
      <c r="R86" s="23"/>
      <c r="S86" s="23"/>
      <c r="T86" s="23"/>
      <c r="U86" s="13"/>
      <c r="V86" s="23"/>
      <c r="W86" s="23"/>
      <c r="X86" s="13"/>
      <c r="Y86" s="13"/>
      <c r="Z86" s="14" t="s">
        <v>959</v>
      </c>
      <c r="AA86" s="19" t="s">
        <v>960</v>
      </c>
      <c r="AB86" s="14" t="s">
        <v>961</v>
      </c>
      <c r="AC86" s="14"/>
    </row>
    <row r="87" spans="1:29" ht="60">
      <c r="A87" s="22" t="str">
        <f>HYPERLINK("https://drive.google.com/a/scoutsdemadrid.org/file/d/1t3xVntAHapQY5aIfyhx__39XemGINgNL/view?usp=drivesdk","Zona Campamento")</f>
        <v>Zona Campamento</v>
      </c>
      <c r="B87" s="25" t="s">
        <v>466</v>
      </c>
      <c r="C87" s="20" t="s">
        <v>194</v>
      </c>
      <c r="D87" s="12">
        <v>2016</v>
      </c>
      <c r="E87" s="23" t="s">
        <v>955</v>
      </c>
      <c r="F87" s="14"/>
      <c r="G87" s="24">
        <v>42567</v>
      </c>
      <c r="H87" s="24">
        <v>42581</v>
      </c>
      <c r="I87" s="23" t="s">
        <v>962</v>
      </c>
      <c r="J87" s="14" t="s">
        <v>963</v>
      </c>
      <c r="K87" s="13"/>
      <c r="L87" s="14" t="s">
        <v>964</v>
      </c>
      <c r="M87" s="14" t="s">
        <v>965</v>
      </c>
      <c r="N87" s="14">
        <v>620870024</v>
      </c>
      <c r="O87" s="14" t="s">
        <v>967</v>
      </c>
      <c r="P87" s="13"/>
      <c r="Q87" s="13"/>
      <c r="R87" s="14" t="s">
        <v>54</v>
      </c>
      <c r="S87" s="14" t="s">
        <v>55</v>
      </c>
      <c r="T87" s="14" t="s">
        <v>968</v>
      </c>
      <c r="U87" s="14" t="s">
        <v>969</v>
      </c>
      <c r="V87" s="14" t="s">
        <v>971</v>
      </c>
      <c r="W87" s="14" t="s">
        <v>972</v>
      </c>
      <c r="X87" s="14" t="s">
        <v>973</v>
      </c>
      <c r="Y87" s="14"/>
      <c r="Z87" s="14" t="s">
        <v>974</v>
      </c>
      <c r="AA87" s="19" t="s">
        <v>975</v>
      </c>
      <c r="AB87" s="14" t="s">
        <v>985</v>
      </c>
      <c r="AC87" s="14"/>
    </row>
    <row r="88" spans="1:29" ht="72">
      <c r="A88" s="22" t="str">
        <f>HYPERLINK("https://drive.google.com/a/scoutsdemadrid.org/file/d/1O-A_9LhOILQnLLKbe5Hm2j2XNObFm6OS/view?usp=drivesdk","Zona Campamento")</f>
        <v>Zona Campamento</v>
      </c>
      <c r="B88" s="25" t="s">
        <v>466</v>
      </c>
      <c r="C88" s="20" t="s">
        <v>194</v>
      </c>
      <c r="D88" s="12">
        <v>2016</v>
      </c>
      <c r="E88" s="23" t="s">
        <v>955</v>
      </c>
      <c r="F88" s="14"/>
      <c r="G88" s="24">
        <v>42567</v>
      </c>
      <c r="H88" s="24">
        <v>42581</v>
      </c>
      <c r="I88" s="23" t="s">
        <v>962</v>
      </c>
      <c r="J88" s="14" t="s">
        <v>963</v>
      </c>
      <c r="K88" s="13"/>
      <c r="L88" s="14" t="s">
        <v>964</v>
      </c>
      <c r="M88" s="14" t="s">
        <v>965</v>
      </c>
      <c r="N88" s="14">
        <v>620870024</v>
      </c>
      <c r="O88" s="14" t="s">
        <v>967</v>
      </c>
      <c r="P88" s="13"/>
      <c r="Q88" s="13"/>
      <c r="R88" s="14" t="s">
        <v>54</v>
      </c>
      <c r="S88" s="14" t="s">
        <v>55</v>
      </c>
      <c r="T88" s="14" t="s">
        <v>968</v>
      </c>
      <c r="U88" s="14" t="s">
        <v>969</v>
      </c>
      <c r="V88" s="14" t="s">
        <v>971</v>
      </c>
      <c r="W88" s="14" t="s">
        <v>972</v>
      </c>
      <c r="X88" s="14" t="s">
        <v>973</v>
      </c>
      <c r="Y88" s="14"/>
      <c r="Z88" s="14" t="s">
        <v>986</v>
      </c>
      <c r="AA88" s="19" t="s">
        <v>987</v>
      </c>
      <c r="AB88" s="14" t="s">
        <v>985</v>
      </c>
      <c r="AC88" s="14"/>
    </row>
    <row r="89" spans="1:29" ht="60">
      <c r="A89" s="8" t="str">
        <f>HYPERLINK("https://drive.google.com/a/scoutsdemadrid.org/file/d/17ZQcBxq5CX_b-ti0d4lcwurAygWdaZqo/view?usp=drivesdk","Zona Campamento")</f>
        <v>Zona Campamento</v>
      </c>
      <c r="B89" s="25" t="s">
        <v>466</v>
      </c>
      <c r="C89" s="10" t="s">
        <v>85</v>
      </c>
      <c r="D89" s="12">
        <v>2017</v>
      </c>
      <c r="E89" s="13" t="s">
        <v>955</v>
      </c>
      <c r="F89" s="13"/>
      <c r="G89" s="15">
        <v>42932</v>
      </c>
      <c r="H89" s="15">
        <v>42946</v>
      </c>
      <c r="I89" s="13" t="s">
        <v>475</v>
      </c>
      <c r="J89" s="13" t="s">
        <v>988</v>
      </c>
      <c r="K89" s="13"/>
      <c r="L89" s="13"/>
      <c r="M89" s="13" t="s">
        <v>989</v>
      </c>
      <c r="N89" s="13">
        <v>607909418</v>
      </c>
      <c r="O89" s="13" t="s">
        <v>990</v>
      </c>
      <c r="P89" s="13"/>
      <c r="Q89" s="13"/>
      <c r="R89" s="13" t="s">
        <v>54</v>
      </c>
      <c r="S89" s="13" t="s">
        <v>55</v>
      </c>
      <c r="T89" s="13" t="s">
        <v>991</v>
      </c>
      <c r="U89" s="13" t="s">
        <v>992</v>
      </c>
      <c r="V89" s="13" t="s">
        <v>993</v>
      </c>
      <c r="W89" s="13"/>
      <c r="X89" s="13" t="s">
        <v>994</v>
      </c>
      <c r="Y89" s="13"/>
      <c r="Z89" s="14" t="s">
        <v>995</v>
      </c>
      <c r="AA89" s="19" t="s">
        <v>996</v>
      </c>
      <c r="AB89" s="14" t="s">
        <v>997</v>
      </c>
      <c r="AC89" s="14"/>
    </row>
    <row r="90" spans="1:29" ht="60">
      <c r="A90" s="8" t="str">
        <f>HYPERLINK("https://drive.google.com/a/scoutsdemadrid.org/file/d/1qvKRKy8DbXsvrB-WYMNKZyjSWdnr2BiM/view?usp=drivesdk","Zona Campamento")</f>
        <v>Zona Campamento</v>
      </c>
      <c r="B90" s="25" t="s">
        <v>466</v>
      </c>
      <c r="C90" s="10" t="s">
        <v>190</v>
      </c>
      <c r="D90" s="12">
        <v>2018</v>
      </c>
      <c r="E90" s="13" t="s">
        <v>955</v>
      </c>
      <c r="F90" s="13"/>
      <c r="G90" s="15">
        <v>43297</v>
      </c>
      <c r="H90" s="15">
        <v>43311</v>
      </c>
      <c r="I90" s="13" t="s">
        <v>998</v>
      </c>
      <c r="J90" s="13" t="s">
        <v>999</v>
      </c>
      <c r="K90" s="13" t="s">
        <v>1000</v>
      </c>
      <c r="L90" s="13" t="s">
        <v>1001</v>
      </c>
      <c r="M90" s="13" t="s">
        <v>1002</v>
      </c>
      <c r="N90" s="13">
        <v>632724526</v>
      </c>
      <c r="O90" s="13" t="s">
        <v>1003</v>
      </c>
      <c r="P90" s="13" t="s">
        <v>1004</v>
      </c>
      <c r="Q90" s="13" t="s">
        <v>1005</v>
      </c>
      <c r="R90" s="13" t="s">
        <v>54</v>
      </c>
      <c r="S90" s="13" t="s">
        <v>55</v>
      </c>
      <c r="T90" s="13" t="s">
        <v>1006</v>
      </c>
      <c r="U90" s="13" t="s">
        <v>1007</v>
      </c>
      <c r="V90" s="13" t="s">
        <v>1008</v>
      </c>
      <c r="W90" s="13" t="s">
        <v>55</v>
      </c>
      <c r="X90" s="13" t="s">
        <v>1009</v>
      </c>
      <c r="Y90" s="13"/>
      <c r="Z90" s="14" t="s">
        <v>1010</v>
      </c>
      <c r="AA90" s="19" t="s">
        <v>1011</v>
      </c>
      <c r="AB90" s="14" t="s">
        <v>1012</v>
      </c>
      <c r="AC90" s="14"/>
    </row>
    <row r="91" spans="1:29" ht="60">
      <c r="A91" s="8" t="str">
        <f>HYPERLINK("https://drive.google.com/a/scoutsdemadrid.org/file/d/1MVddqn8iTVYw25O2WE0zja8zm1oaXAkn/view?usp=drivesdk","Zona Campamento")</f>
        <v>Zona Campamento</v>
      </c>
      <c r="B91" s="25" t="s">
        <v>466</v>
      </c>
      <c r="C91" s="20" t="s">
        <v>166</v>
      </c>
      <c r="D91" s="12">
        <v>2015</v>
      </c>
      <c r="E91" s="23" t="s">
        <v>132</v>
      </c>
      <c r="F91" s="14" t="s">
        <v>133</v>
      </c>
      <c r="G91" s="15">
        <v>42201</v>
      </c>
      <c r="H91" s="15">
        <v>42212</v>
      </c>
      <c r="I91" s="23" t="s">
        <v>1013</v>
      </c>
      <c r="J91" s="23" t="s">
        <v>1014</v>
      </c>
      <c r="K91" s="13"/>
      <c r="L91" s="13"/>
      <c r="M91" s="23"/>
      <c r="N91" s="13"/>
      <c r="O91" s="13"/>
      <c r="P91" s="13"/>
      <c r="Q91" s="13"/>
      <c r="R91" s="23"/>
      <c r="S91" s="23"/>
      <c r="T91" s="23"/>
      <c r="U91" s="13"/>
      <c r="V91" s="23"/>
      <c r="W91" s="23"/>
      <c r="X91" s="13"/>
      <c r="Y91" s="13"/>
      <c r="Z91" s="14" t="s">
        <v>1015</v>
      </c>
      <c r="AA91" s="19" t="s">
        <v>1016</v>
      </c>
      <c r="AB91" s="14" t="s">
        <v>1017</v>
      </c>
      <c r="AC91" s="14"/>
    </row>
    <row r="92" spans="1:29" ht="60">
      <c r="A92" s="8" t="str">
        <f>HYPERLINK("https://drive.google.com/a/scoutsdemadrid.org/file/d/1P_MowlVaWbRcTyjuqsmApGRwkZ8JS9jj/view?usp=drivesdk","Zona Campamento")</f>
        <v>Zona Campamento</v>
      </c>
      <c r="B92" s="25" t="s">
        <v>466</v>
      </c>
      <c r="C92" s="20" t="s">
        <v>166</v>
      </c>
      <c r="D92" s="12">
        <v>2012</v>
      </c>
      <c r="E92" s="13" t="s">
        <v>1018</v>
      </c>
      <c r="F92" s="13"/>
      <c r="G92" s="15">
        <v>41105</v>
      </c>
      <c r="H92" s="15">
        <v>41120</v>
      </c>
      <c r="I92" s="13" t="s">
        <v>561</v>
      </c>
      <c r="J92" s="13" t="s">
        <v>1019</v>
      </c>
      <c r="K92" s="13"/>
      <c r="L92" s="13"/>
      <c r="M92" s="13"/>
      <c r="N92" s="13"/>
      <c r="O92" s="13"/>
      <c r="P92" s="13"/>
      <c r="Q92" s="13"/>
      <c r="R92" s="13"/>
      <c r="S92" s="13"/>
      <c r="T92" s="13"/>
      <c r="U92" s="13"/>
      <c r="V92" s="13"/>
      <c r="W92" s="13"/>
      <c r="X92" s="13"/>
      <c r="Y92" s="13"/>
      <c r="Z92" s="14" t="s">
        <v>1020</v>
      </c>
      <c r="AA92" s="19" t="s">
        <v>1021</v>
      </c>
      <c r="AB92" s="14" t="s">
        <v>1022</v>
      </c>
      <c r="AC92" s="14"/>
    </row>
    <row r="93" spans="1:29" ht="72">
      <c r="A93" s="8" t="str">
        <f>HYPERLINK("https://drive.google.com/a/scoutsdemadrid.org/file/d/11O_aPaZRiagoo6qD0sYBjX-S0FnhLX6H/view?usp=drivesdk","Zona Campamento")</f>
        <v>Zona Campamento</v>
      </c>
      <c r="B93" s="25" t="s">
        <v>466</v>
      </c>
      <c r="C93" s="20" t="s">
        <v>203</v>
      </c>
      <c r="D93" s="12">
        <v>2015</v>
      </c>
      <c r="E93" s="23" t="s">
        <v>1023</v>
      </c>
      <c r="F93" s="14" t="s">
        <v>1024</v>
      </c>
      <c r="G93" s="15">
        <v>42204</v>
      </c>
      <c r="H93" s="15">
        <v>42218</v>
      </c>
      <c r="I93" s="23" t="s">
        <v>1025</v>
      </c>
      <c r="J93" s="23" t="s">
        <v>1026</v>
      </c>
      <c r="K93" s="13"/>
      <c r="L93" s="13"/>
      <c r="M93" s="23"/>
      <c r="N93" s="13"/>
      <c r="O93" s="13"/>
      <c r="P93" s="13"/>
      <c r="Q93" s="13"/>
      <c r="R93" s="23"/>
      <c r="S93" s="23"/>
      <c r="T93" s="23"/>
      <c r="U93" s="13"/>
      <c r="V93" s="23"/>
      <c r="W93" s="23"/>
      <c r="X93" s="13"/>
      <c r="Y93" s="13"/>
      <c r="Z93" s="14" t="s">
        <v>1027</v>
      </c>
      <c r="AA93" s="19" t="s">
        <v>1028</v>
      </c>
      <c r="AB93" s="14" t="s">
        <v>1029</v>
      </c>
      <c r="AC93" s="14"/>
    </row>
    <row r="94" spans="1:29" ht="60">
      <c r="A94" s="8" t="str">
        <f>HYPERLINK("https://drive.google.com/a/scoutsdemadrid.org/file/d/1qyf5ZlfwCJbJkTJeii8eo0nZn5PrbC_P/view?usp=drivesdk","Zona Campamento")</f>
        <v>Zona Campamento</v>
      </c>
      <c r="B94" s="25" t="s">
        <v>466</v>
      </c>
      <c r="C94" s="20" t="s">
        <v>195</v>
      </c>
      <c r="D94" s="12">
        <v>2016</v>
      </c>
      <c r="E94" s="23" t="s">
        <v>186</v>
      </c>
      <c r="F94" s="14" t="s">
        <v>1030</v>
      </c>
      <c r="G94" s="24">
        <v>42568</v>
      </c>
      <c r="H94" s="24">
        <v>42581</v>
      </c>
      <c r="I94" s="23" t="s">
        <v>1031</v>
      </c>
      <c r="J94" s="23" t="s">
        <v>1031</v>
      </c>
      <c r="K94" s="13"/>
      <c r="L94" s="14" t="s">
        <v>1032</v>
      </c>
      <c r="M94" s="14" t="s">
        <v>1033</v>
      </c>
      <c r="N94" s="13"/>
      <c r="O94" s="13"/>
      <c r="P94" s="13"/>
      <c r="Q94" s="13"/>
      <c r="R94" s="14" t="s">
        <v>54</v>
      </c>
      <c r="S94" s="14" t="s">
        <v>55</v>
      </c>
      <c r="T94" s="13"/>
      <c r="U94" s="13"/>
      <c r="V94" s="14" t="s">
        <v>103</v>
      </c>
      <c r="W94" s="13"/>
      <c r="X94" s="13"/>
      <c r="Y94" s="13"/>
      <c r="Z94" s="14" t="s">
        <v>1034</v>
      </c>
      <c r="AA94" s="19" t="s">
        <v>1035</v>
      </c>
      <c r="AB94" s="14" t="s">
        <v>1036</v>
      </c>
      <c r="AC94" s="14"/>
    </row>
    <row r="95" spans="1:29" ht="72">
      <c r="A95" s="8" t="str">
        <f>HYPERLINK("https://drive.google.com/a/scoutsdemadrid.org/file/d/1QUFrUOxyBX8lANqUN6_EX08OIIAQVDBL/view?usp=drivesdk","Zona Campamento")</f>
        <v>Zona Campamento</v>
      </c>
      <c r="B95" s="25" t="s">
        <v>466</v>
      </c>
      <c r="C95" s="10" t="s">
        <v>85</v>
      </c>
      <c r="D95" s="12">
        <v>2018</v>
      </c>
      <c r="E95" s="13" t="s">
        <v>186</v>
      </c>
      <c r="F95" s="14" t="s">
        <v>1030</v>
      </c>
      <c r="G95" s="15">
        <v>43294</v>
      </c>
      <c r="H95" s="15">
        <v>43310</v>
      </c>
      <c r="I95" s="13" t="s">
        <v>1037</v>
      </c>
      <c r="J95" s="13" t="s">
        <v>1038</v>
      </c>
      <c r="K95" s="13" t="s">
        <v>878</v>
      </c>
      <c r="L95" s="13" t="s">
        <v>1039</v>
      </c>
      <c r="M95" s="13" t="s">
        <v>1040</v>
      </c>
      <c r="N95" s="13">
        <v>696635580</v>
      </c>
      <c r="O95" s="13" t="s">
        <v>1041</v>
      </c>
      <c r="P95" s="13" t="s">
        <v>1042</v>
      </c>
      <c r="Q95" s="13" t="s">
        <v>1043</v>
      </c>
      <c r="R95" s="13" t="s">
        <v>54</v>
      </c>
      <c r="S95" s="13" t="s">
        <v>55</v>
      </c>
      <c r="T95" s="13" t="s">
        <v>1044</v>
      </c>
      <c r="U95" s="13" t="s">
        <v>1045</v>
      </c>
      <c r="V95" s="13" t="s">
        <v>616</v>
      </c>
      <c r="W95" s="13" t="s">
        <v>230</v>
      </c>
      <c r="X95" s="13" t="s">
        <v>1046</v>
      </c>
      <c r="Y95" s="13"/>
      <c r="Z95" s="14" t="s">
        <v>1047</v>
      </c>
      <c r="AA95" s="19" t="s">
        <v>1048</v>
      </c>
      <c r="AB95" s="14" t="s">
        <v>1049</v>
      </c>
      <c r="AC95" s="14"/>
    </row>
    <row r="96" spans="1:29" ht="60">
      <c r="A96" s="22" t="str">
        <f>HYPERLINK("https://drive.google.com/a/scoutsdemadrid.org/file/d/1YDm3VZDAk7gg5ffCMQPBrMK2oWwBjg_t/view?usp=drivesdk","Zona Campamento")</f>
        <v>Zona Campamento</v>
      </c>
      <c r="B96" s="25" t="s">
        <v>466</v>
      </c>
      <c r="C96" s="10" t="s">
        <v>85</v>
      </c>
      <c r="D96" s="12">
        <v>2019</v>
      </c>
      <c r="E96" s="23" t="s">
        <v>186</v>
      </c>
      <c r="F96" s="14" t="s">
        <v>1030</v>
      </c>
      <c r="G96" s="14">
        <v>43666</v>
      </c>
      <c r="H96" s="14">
        <v>43675</v>
      </c>
      <c r="I96" s="23" t="s">
        <v>1050</v>
      </c>
      <c r="J96" s="14" t="s">
        <v>1051</v>
      </c>
      <c r="K96" s="14" t="s">
        <v>1052</v>
      </c>
      <c r="L96" s="14" t="s">
        <v>1053</v>
      </c>
      <c r="M96" s="14" t="s">
        <v>1054</v>
      </c>
      <c r="N96" s="14" t="s">
        <v>1055</v>
      </c>
      <c r="O96" s="14" t="s">
        <v>1056</v>
      </c>
      <c r="P96" s="14" t="s">
        <v>1057</v>
      </c>
      <c r="Q96" s="14" t="s">
        <v>1058</v>
      </c>
      <c r="R96" s="14" t="s">
        <v>54</v>
      </c>
      <c r="S96" s="14" t="s">
        <v>55</v>
      </c>
      <c r="T96" s="14" t="s">
        <v>1059</v>
      </c>
      <c r="U96" s="14" t="s">
        <v>1060</v>
      </c>
      <c r="V96" s="14" t="s">
        <v>1061</v>
      </c>
      <c r="W96" s="14" t="s">
        <v>55</v>
      </c>
      <c r="X96" s="14" t="s">
        <v>1062</v>
      </c>
      <c r="Y96" s="14" t="s">
        <v>55</v>
      </c>
      <c r="Z96" s="14" t="s">
        <v>1063</v>
      </c>
      <c r="AA96" s="19" t="s">
        <v>1064</v>
      </c>
      <c r="AB96" s="14" t="s">
        <v>1065</v>
      </c>
      <c r="AC96" s="14"/>
    </row>
    <row r="97" spans="1:29" ht="60">
      <c r="A97" s="8" t="str">
        <f>HYPERLINK("https://drive.google.com/a/scoutsdemadrid.org/file/d/1W4wfvnQ0IX77g1W5Amotkbqwrm2DncKw/view?usp=drivesdk","Zona Campamento")</f>
        <v>Zona Campamento</v>
      </c>
      <c r="B97" s="25" t="s">
        <v>466</v>
      </c>
      <c r="C97" s="10" t="s">
        <v>108</v>
      </c>
      <c r="D97" s="12">
        <v>2018</v>
      </c>
      <c r="E97" s="13" t="s">
        <v>1066</v>
      </c>
      <c r="F97" s="14" t="s">
        <v>313</v>
      </c>
      <c r="G97" s="15">
        <v>43277</v>
      </c>
      <c r="H97" s="15">
        <v>43281</v>
      </c>
      <c r="I97" s="13" t="s">
        <v>1067</v>
      </c>
      <c r="J97" s="13" t="s">
        <v>1068</v>
      </c>
      <c r="K97" s="13" t="s">
        <v>1069</v>
      </c>
      <c r="L97" s="13" t="s">
        <v>1069</v>
      </c>
      <c r="M97" s="13" t="s">
        <v>1070</v>
      </c>
      <c r="N97" s="13">
        <v>947131168</v>
      </c>
      <c r="O97" s="13" t="s">
        <v>1071</v>
      </c>
      <c r="P97" s="13" t="s">
        <v>1072</v>
      </c>
      <c r="Q97" s="13" t="s">
        <v>136</v>
      </c>
      <c r="R97" s="13" t="s">
        <v>54</v>
      </c>
      <c r="S97" s="13" t="s">
        <v>55</v>
      </c>
      <c r="T97" s="13" t="s">
        <v>386</v>
      </c>
      <c r="U97" s="13" t="s">
        <v>1073</v>
      </c>
      <c r="V97" s="13" t="s">
        <v>1074</v>
      </c>
      <c r="W97" s="13" t="s">
        <v>1075</v>
      </c>
      <c r="X97" s="13" t="s">
        <v>1076</v>
      </c>
      <c r="Y97" s="13"/>
      <c r="Z97" s="14" t="s">
        <v>1077</v>
      </c>
      <c r="AA97" s="19" t="s">
        <v>1078</v>
      </c>
      <c r="AB97" s="14" t="s">
        <v>1079</v>
      </c>
      <c r="AC97" s="14"/>
    </row>
    <row r="98" spans="1:29" ht="60">
      <c r="A98" s="8" t="str">
        <f>HYPERLINK("https://drive.google.com/a/scoutsdemadrid.org/file/d/1Hnv4osIxcPViESTeMEkvhUiWZXrWHD6m/view?usp=drivesdk","Zona Campamento")</f>
        <v>Zona Campamento</v>
      </c>
      <c r="B98" s="25" t="s">
        <v>466</v>
      </c>
      <c r="C98" s="10" t="s">
        <v>85</v>
      </c>
      <c r="D98" s="12">
        <v>2017</v>
      </c>
      <c r="E98" s="13" t="s">
        <v>1080</v>
      </c>
      <c r="F98" s="14" t="s">
        <v>1081</v>
      </c>
      <c r="G98" s="15">
        <v>42936</v>
      </c>
      <c r="H98" s="15">
        <v>42946</v>
      </c>
      <c r="I98" s="13" t="s">
        <v>1082</v>
      </c>
      <c r="J98" s="13" t="s">
        <v>1083</v>
      </c>
      <c r="K98" s="13"/>
      <c r="L98" s="13"/>
      <c r="M98" s="13" t="s">
        <v>1084</v>
      </c>
      <c r="N98" s="13"/>
      <c r="O98" s="13"/>
      <c r="P98" s="13"/>
      <c r="Q98" s="13"/>
      <c r="R98" s="13" t="s">
        <v>54</v>
      </c>
      <c r="S98" s="13" t="s">
        <v>55</v>
      </c>
      <c r="T98" s="13">
        <v>50</v>
      </c>
      <c r="U98" s="13" t="s">
        <v>1085</v>
      </c>
      <c r="V98" s="13" t="s">
        <v>1086</v>
      </c>
      <c r="W98" s="13" t="s">
        <v>372</v>
      </c>
      <c r="X98" s="13"/>
      <c r="Y98" s="13"/>
      <c r="Z98" s="14" t="s">
        <v>1087</v>
      </c>
      <c r="AA98" s="19" t="s">
        <v>1088</v>
      </c>
      <c r="AB98" s="14" t="s">
        <v>1089</v>
      </c>
      <c r="AC98" s="14"/>
    </row>
    <row r="99" spans="1:29" ht="60">
      <c r="A99" s="8" t="str">
        <f>HYPERLINK("https://drive.google.com/a/scoutsdemadrid.org/file/d/1lW4NsZU88QKQBhEBZQpJut6VAEAnUjOQ/view?usp=drivesdk","Zona Campamento")</f>
        <v>Zona Campamento</v>
      </c>
      <c r="B99" s="25" t="s">
        <v>466</v>
      </c>
      <c r="C99" s="10" t="s">
        <v>85</v>
      </c>
      <c r="D99" s="12">
        <v>2017</v>
      </c>
      <c r="E99" s="13" t="s">
        <v>1080</v>
      </c>
      <c r="F99" s="14" t="s">
        <v>1081</v>
      </c>
      <c r="G99" s="15">
        <v>42936</v>
      </c>
      <c r="H99" s="15">
        <v>42946</v>
      </c>
      <c r="I99" s="13" t="s">
        <v>1082</v>
      </c>
      <c r="J99" s="13" t="s">
        <v>1083</v>
      </c>
      <c r="K99" s="13"/>
      <c r="L99" s="13"/>
      <c r="M99" s="13" t="s">
        <v>1084</v>
      </c>
      <c r="N99" s="13"/>
      <c r="O99" s="13"/>
      <c r="P99" s="13"/>
      <c r="Q99" s="13"/>
      <c r="R99" s="13" t="s">
        <v>54</v>
      </c>
      <c r="S99" s="13" t="s">
        <v>55</v>
      </c>
      <c r="T99" s="13">
        <v>50</v>
      </c>
      <c r="U99" s="13" t="s">
        <v>1085</v>
      </c>
      <c r="V99" s="13" t="s">
        <v>1086</v>
      </c>
      <c r="W99" s="13" t="s">
        <v>372</v>
      </c>
      <c r="X99" s="13"/>
      <c r="Y99" s="13"/>
      <c r="Z99" s="14" t="s">
        <v>1090</v>
      </c>
      <c r="AA99" s="19" t="s">
        <v>1091</v>
      </c>
      <c r="AB99" s="14" t="s">
        <v>1089</v>
      </c>
      <c r="AC99" s="14"/>
    </row>
    <row r="100" spans="1:29" ht="84">
      <c r="A100" s="22" t="str">
        <f>HYPERLINK("https://drive.google.com/a/scoutsdemadrid.org/file/d/1M-ner2FCpbzDBMvGN6I_kGs7d8-GYPr9/view?usp=drivesdk","Zona Campamento")</f>
        <v>Zona Campamento</v>
      </c>
      <c r="B100" s="25" t="s">
        <v>466</v>
      </c>
      <c r="C100" s="10" t="s">
        <v>85</v>
      </c>
      <c r="D100" s="12">
        <v>2019</v>
      </c>
      <c r="E100" s="23" t="s">
        <v>1080</v>
      </c>
      <c r="F100" s="14" t="s">
        <v>1081</v>
      </c>
      <c r="G100" s="14">
        <v>43666</v>
      </c>
      <c r="H100" s="14">
        <v>43676</v>
      </c>
      <c r="I100" s="23" t="s">
        <v>754</v>
      </c>
      <c r="J100" s="14" t="s">
        <v>1092</v>
      </c>
      <c r="K100" s="14" t="s">
        <v>1093</v>
      </c>
      <c r="L100" s="14" t="s">
        <v>1094</v>
      </c>
      <c r="M100" s="14" t="s">
        <v>1095</v>
      </c>
      <c r="N100" s="14">
        <v>666688206</v>
      </c>
      <c r="O100" s="14" t="s">
        <v>1096</v>
      </c>
      <c r="P100" s="14" t="s">
        <v>1097</v>
      </c>
      <c r="Q100" s="14" t="s">
        <v>1098</v>
      </c>
      <c r="R100" s="14" t="s">
        <v>54</v>
      </c>
      <c r="S100" s="14" t="s">
        <v>55</v>
      </c>
      <c r="T100" s="14" t="s">
        <v>1099</v>
      </c>
      <c r="U100" s="14" t="s">
        <v>1100</v>
      </c>
      <c r="V100" s="14" t="s">
        <v>1101</v>
      </c>
      <c r="W100" s="14" t="s">
        <v>1102</v>
      </c>
      <c r="X100" s="14" t="s">
        <v>1103</v>
      </c>
      <c r="Y100" s="14" t="s">
        <v>55</v>
      </c>
      <c r="Z100" s="14" t="s">
        <v>1104</v>
      </c>
      <c r="AA100" s="19" t="s">
        <v>1105</v>
      </c>
      <c r="AB100" s="14" t="s">
        <v>1106</v>
      </c>
      <c r="AC100" s="14"/>
    </row>
    <row r="101" spans="1:29" ht="72">
      <c r="A101" s="8" t="str">
        <f>HYPERLINK("https://drive.google.com/a/scoutsdemadrid.org/file/d/1SX08W-o4RBdsFMMuBCUykFK52BPKCw_X/view?usp=drivesdk","Zona Campamento")</f>
        <v>Zona Campamento</v>
      </c>
      <c r="B101" s="25" t="s">
        <v>466</v>
      </c>
      <c r="C101" s="20" t="s">
        <v>203</v>
      </c>
      <c r="D101" s="12">
        <v>2016</v>
      </c>
      <c r="E101" s="23" t="s">
        <v>1107</v>
      </c>
      <c r="F101" s="14" t="s">
        <v>1108</v>
      </c>
      <c r="G101" s="24">
        <v>42566</v>
      </c>
      <c r="H101" s="24">
        <v>42581</v>
      </c>
      <c r="I101" s="23" t="s">
        <v>1109</v>
      </c>
      <c r="J101" s="23" t="s">
        <v>1109</v>
      </c>
      <c r="K101" s="13"/>
      <c r="L101" s="13"/>
      <c r="M101" s="14" t="s">
        <v>1110</v>
      </c>
      <c r="N101" s="13"/>
      <c r="O101" s="13"/>
      <c r="P101" s="13"/>
      <c r="Q101" s="13"/>
      <c r="R101" s="14" t="s">
        <v>54</v>
      </c>
      <c r="S101" s="14" t="s">
        <v>55</v>
      </c>
      <c r="T101" s="14" t="s">
        <v>386</v>
      </c>
      <c r="U101" s="14" t="s">
        <v>1111</v>
      </c>
      <c r="V101" s="14" t="s">
        <v>1112</v>
      </c>
      <c r="W101" s="14" t="s">
        <v>293</v>
      </c>
      <c r="X101" s="13"/>
      <c r="Y101" s="13"/>
      <c r="Z101" s="14" t="s">
        <v>1113</v>
      </c>
      <c r="AA101" s="19" t="s">
        <v>1114</v>
      </c>
      <c r="AB101" s="14" t="s">
        <v>1115</v>
      </c>
      <c r="AC101" s="14"/>
    </row>
    <row r="102" spans="1:29" ht="60">
      <c r="A102" s="37" t="str">
        <f>HYPERLINK("https://drive.google.com/a/scoutsdemadrid.org/file/d/1HjZcqU3CArogq-09QH1YWjztgwM7xJPk/view?usp=drivesdk","Zona Campamento")</f>
        <v>Zona Campamento</v>
      </c>
      <c r="B102" s="25" t="s">
        <v>466</v>
      </c>
      <c r="C102" s="20" t="s">
        <v>203</v>
      </c>
      <c r="D102" s="12">
        <v>2016</v>
      </c>
      <c r="E102" s="23" t="s">
        <v>1107</v>
      </c>
      <c r="F102" s="14" t="s">
        <v>1108</v>
      </c>
      <c r="G102" s="24">
        <v>42566</v>
      </c>
      <c r="H102" s="24">
        <v>42581</v>
      </c>
      <c r="I102" s="23" t="s">
        <v>1109</v>
      </c>
      <c r="J102" s="38" t="s">
        <v>1116</v>
      </c>
      <c r="K102" s="38" t="s">
        <v>1117</v>
      </c>
      <c r="L102" s="39"/>
      <c r="M102" s="38" t="s">
        <v>1110</v>
      </c>
      <c r="N102" s="38">
        <v>660166209</v>
      </c>
      <c r="O102" s="38" t="s">
        <v>1118</v>
      </c>
      <c r="P102" s="39"/>
      <c r="Q102" s="38" t="s">
        <v>1119</v>
      </c>
      <c r="R102" s="38" t="s">
        <v>54</v>
      </c>
      <c r="S102" s="38" t="s">
        <v>55</v>
      </c>
      <c r="T102" s="38" t="s">
        <v>386</v>
      </c>
      <c r="U102" s="38" t="s">
        <v>1111</v>
      </c>
      <c r="V102" s="38" t="s">
        <v>1112</v>
      </c>
      <c r="W102" s="38" t="s">
        <v>293</v>
      </c>
      <c r="X102" s="39"/>
      <c r="Y102" s="39"/>
      <c r="Z102" s="38" t="s">
        <v>1120</v>
      </c>
      <c r="AA102" s="40" t="s">
        <v>1121</v>
      </c>
      <c r="AB102" s="38" t="s">
        <v>1115</v>
      </c>
      <c r="AC102" s="38"/>
    </row>
    <row r="103" spans="1:29" ht="60">
      <c r="A103" s="8" t="str">
        <f>HYPERLINK("https://drive.google.com/a/scoutsdemadrid.org/file/d/1vVoooUHqWf4N38az4IoQwy1sGJvQfvEv/view?usp=drivesdk","Zona Campamento")</f>
        <v>Zona Campamento</v>
      </c>
      <c r="B103" s="25" t="s">
        <v>466</v>
      </c>
      <c r="C103" s="10" t="s">
        <v>85</v>
      </c>
      <c r="D103" s="12">
        <v>2018</v>
      </c>
      <c r="E103" s="13" t="s">
        <v>1107</v>
      </c>
      <c r="F103" s="14" t="s">
        <v>1108</v>
      </c>
      <c r="G103" s="15">
        <v>43295</v>
      </c>
      <c r="H103" s="15">
        <v>43309</v>
      </c>
      <c r="I103" s="13" t="s">
        <v>498</v>
      </c>
      <c r="J103" s="13" t="s">
        <v>1122</v>
      </c>
      <c r="K103" s="13" t="s">
        <v>1123</v>
      </c>
      <c r="L103" s="13" t="s">
        <v>1124</v>
      </c>
      <c r="M103" s="13" t="s">
        <v>1125</v>
      </c>
      <c r="N103" s="13">
        <v>647711306</v>
      </c>
      <c r="O103" s="13" t="s">
        <v>1126</v>
      </c>
      <c r="P103" s="13" t="s">
        <v>1127</v>
      </c>
      <c r="Q103" s="13" t="s">
        <v>1128</v>
      </c>
      <c r="R103" s="13" t="s">
        <v>54</v>
      </c>
      <c r="S103" s="13" t="s">
        <v>55</v>
      </c>
      <c r="T103" s="13">
        <v>500</v>
      </c>
      <c r="U103" s="13" t="s">
        <v>1129</v>
      </c>
      <c r="V103" s="13" t="s">
        <v>1112</v>
      </c>
      <c r="W103" s="13" t="s">
        <v>125</v>
      </c>
      <c r="X103" s="13" t="s">
        <v>1130</v>
      </c>
      <c r="Y103" s="13"/>
      <c r="Z103" s="14" t="s">
        <v>1131</v>
      </c>
      <c r="AA103" s="19" t="s">
        <v>1132</v>
      </c>
      <c r="AB103" s="14" t="s">
        <v>1133</v>
      </c>
      <c r="AC103" s="14"/>
    </row>
    <row r="104" spans="1:29" ht="60">
      <c r="A104" s="8" t="str">
        <f>HYPERLINK("https://drive.google.com/a/scoutsdemadrid.org/file/d/10_CteG2ZZiozUYGLj7eBVacYK9jJZ5wu/view?usp=drivesdk","Zona Campamento")</f>
        <v>Zona Campamento</v>
      </c>
      <c r="B104" s="25" t="s">
        <v>466</v>
      </c>
      <c r="C104" s="10" t="s">
        <v>190</v>
      </c>
      <c r="D104" s="12">
        <v>2017</v>
      </c>
      <c r="E104" s="13" t="s">
        <v>149</v>
      </c>
      <c r="F104" s="14" t="s">
        <v>150</v>
      </c>
      <c r="G104" s="15">
        <v>42931</v>
      </c>
      <c r="H104" s="15">
        <v>42946</v>
      </c>
      <c r="I104" s="13" t="s">
        <v>1134</v>
      </c>
      <c r="J104" s="13" t="s">
        <v>1135</v>
      </c>
      <c r="K104" s="13"/>
      <c r="L104" s="13" t="s">
        <v>1136</v>
      </c>
      <c r="M104" s="13" t="s">
        <v>1137</v>
      </c>
      <c r="N104" s="13"/>
      <c r="O104" s="13"/>
      <c r="P104" s="13"/>
      <c r="Q104" s="13"/>
      <c r="R104" s="13" t="s">
        <v>100</v>
      </c>
      <c r="S104" s="13" t="s">
        <v>55</v>
      </c>
      <c r="T104" s="13" t="s">
        <v>211</v>
      </c>
      <c r="U104" s="13" t="s">
        <v>1138</v>
      </c>
      <c r="V104" s="13"/>
      <c r="W104" s="13"/>
      <c r="X104" s="13"/>
      <c r="Y104" s="13"/>
      <c r="Z104" s="14" t="s">
        <v>1139</v>
      </c>
      <c r="AA104" s="19" t="s">
        <v>1140</v>
      </c>
      <c r="AB104" s="14" t="s">
        <v>1141</v>
      </c>
      <c r="AC104" s="14"/>
    </row>
    <row r="105" spans="1:29" ht="72">
      <c r="A105" s="22" t="str">
        <f>HYPERLINK("https://drive.google.com/a/scoutsdemadrid.org/file/d/1afHeJ9dNS4haeXSgFzEPjs-NyamAt9uA/view?usp=drivesdk","Zona Campamento")</f>
        <v>Zona Campamento</v>
      </c>
      <c r="B105" s="25" t="s">
        <v>466</v>
      </c>
      <c r="C105" s="20" t="s">
        <v>166</v>
      </c>
      <c r="D105" s="12">
        <v>2019</v>
      </c>
      <c r="E105" s="23" t="s">
        <v>149</v>
      </c>
      <c r="F105" s="14" t="s">
        <v>150</v>
      </c>
      <c r="G105" s="14">
        <v>43662</v>
      </c>
      <c r="H105" s="14">
        <v>43677</v>
      </c>
      <c r="I105" s="23" t="s">
        <v>1142</v>
      </c>
      <c r="J105" s="14" t="s">
        <v>1143</v>
      </c>
      <c r="K105" s="14" t="s">
        <v>1144</v>
      </c>
      <c r="L105" s="14" t="s">
        <v>1145</v>
      </c>
      <c r="M105" s="14" t="s">
        <v>1146</v>
      </c>
      <c r="N105" s="14">
        <v>987488364</v>
      </c>
      <c r="O105" s="14" t="s">
        <v>641</v>
      </c>
      <c r="P105" s="14">
        <v>600</v>
      </c>
      <c r="Q105" s="14" t="s">
        <v>1147</v>
      </c>
      <c r="R105" s="14" t="s">
        <v>100</v>
      </c>
      <c r="S105" s="14" t="s">
        <v>55</v>
      </c>
      <c r="T105" s="14" t="s">
        <v>1148</v>
      </c>
      <c r="U105" s="14" t="s">
        <v>1148</v>
      </c>
      <c r="V105" s="14" t="s">
        <v>103</v>
      </c>
      <c r="W105" s="14" t="s">
        <v>210</v>
      </c>
      <c r="X105" s="14" t="s">
        <v>1149</v>
      </c>
      <c r="Y105" s="14" t="s">
        <v>55</v>
      </c>
      <c r="Z105" s="14" t="s">
        <v>1150</v>
      </c>
      <c r="AA105" s="19" t="s">
        <v>1151</v>
      </c>
      <c r="AB105" s="14" t="s">
        <v>1152</v>
      </c>
      <c r="AC105" s="14"/>
    </row>
    <row r="106" spans="1:29" ht="60">
      <c r="A106" s="8" t="str">
        <f>HYPERLINK("https://drive.google.com/a/scoutsdemadrid.org/file/d/16JjFIr5h3o_1gv0VJtZM6aNmJrv2XaAY/view?usp=drivesdk","Zona Campamento")</f>
        <v>Zona Campamento</v>
      </c>
      <c r="B106" s="25" t="s">
        <v>466</v>
      </c>
      <c r="C106" s="10" t="s">
        <v>85</v>
      </c>
      <c r="D106" s="12">
        <v>2016</v>
      </c>
      <c r="E106" s="23" t="s">
        <v>1153</v>
      </c>
      <c r="F106" s="14"/>
      <c r="G106" s="24">
        <v>42569</v>
      </c>
      <c r="H106" s="24">
        <v>42582</v>
      </c>
      <c r="I106" s="23" t="s">
        <v>1154</v>
      </c>
      <c r="J106" s="14" t="s">
        <v>1155</v>
      </c>
      <c r="K106" s="13"/>
      <c r="L106" s="13"/>
      <c r="M106" s="14" t="s">
        <v>1156</v>
      </c>
      <c r="N106" s="13"/>
      <c r="O106" s="14" t="s">
        <v>1157</v>
      </c>
      <c r="P106" s="13"/>
      <c r="Q106" s="13"/>
      <c r="R106" s="14" t="s">
        <v>54</v>
      </c>
      <c r="S106" s="14" t="s">
        <v>55</v>
      </c>
      <c r="T106" s="13"/>
      <c r="U106" s="13"/>
      <c r="V106" s="13"/>
      <c r="W106" s="13"/>
      <c r="X106" s="13"/>
      <c r="Y106" s="13"/>
      <c r="Z106" s="14" t="s">
        <v>1158</v>
      </c>
      <c r="AA106" s="19" t="s">
        <v>1159</v>
      </c>
      <c r="AB106" s="14" t="s">
        <v>1160</v>
      </c>
      <c r="AC106" s="14"/>
    </row>
    <row r="107" spans="1:29" ht="60">
      <c r="A107" s="8" t="str">
        <f>HYPERLINK("https://drive.google.com/a/scoutsdemadrid.org/file/d/1VvucP_O55Lg44pToKwLvqBufdg1ft9rF/view?usp=drivesdk","Zona Campamento")</f>
        <v>Zona Campamento</v>
      </c>
      <c r="B107" s="25" t="s">
        <v>466</v>
      </c>
      <c r="C107" s="10" t="s">
        <v>85</v>
      </c>
      <c r="D107" s="12">
        <v>2016</v>
      </c>
      <c r="E107" s="23" t="s">
        <v>1153</v>
      </c>
      <c r="F107" s="14"/>
      <c r="G107" s="24">
        <v>42569</v>
      </c>
      <c r="H107" s="24">
        <v>42582</v>
      </c>
      <c r="I107" s="23" t="s">
        <v>1154</v>
      </c>
      <c r="J107" s="14" t="s">
        <v>1155</v>
      </c>
      <c r="K107" s="13"/>
      <c r="L107" s="13"/>
      <c r="M107" s="14" t="s">
        <v>1156</v>
      </c>
      <c r="N107" s="13"/>
      <c r="O107" s="14" t="s">
        <v>1157</v>
      </c>
      <c r="P107" s="13"/>
      <c r="Q107" s="13"/>
      <c r="R107" s="14" t="s">
        <v>54</v>
      </c>
      <c r="S107" s="14" t="s">
        <v>55</v>
      </c>
      <c r="T107" s="13"/>
      <c r="U107" s="13"/>
      <c r="V107" s="13"/>
      <c r="W107" s="13"/>
      <c r="X107" s="13"/>
      <c r="Y107" s="13"/>
      <c r="Z107" s="14" t="s">
        <v>1161</v>
      </c>
      <c r="AA107" s="19" t="s">
        <v>1162</v>
      </c>
      <c r="AB107" s="14" t="s">
        <v>1160</v>
      </c>
      <c r="AC107" s="14"/>
    </row>
    <row r="108" spans="1:29" ht="60">
      <c r="A108" s="8" t="str">
        <f>HYPERLINK("https://drive.google.com/a/scoutsdemadrid.org/file/d/1QJMnyg4-uy8MSg2miv_VQfR0BXlgaDCj/view?usp=drivesdk","Zona Campamento")</f>
        <v>Zona Campamento</v>
      </c>
      <c r="B108" s="25" t="s">
        <v>466</v>
      </c>
      <c r="C108" s="10" t="s">
        <v>85</v>
      </c>
      <c r="D108" s="12">
        <v>2012</v>
      </c>
      <c r="E108" s="13" t="s">
        <v>1163</v>
      </c>
      <c r="F108" s="13"/>
      <c r="G108" s="15">
        <v>41091</v>
      </c>
      <c r="H108" s="15">
        <v>41105</v>
      </c>
      <c r="I108" s="13" t="s">
        <v>1164</v>
      </c>
      <c r="J108" s="13" t="s">
        <v>1165</v>
      </c>
      <c r="K108" s="13"/>
      <c r="L108" s="26" t="s">
        <v>1166</v>
      </c>
      <c r="M108" s="13"/>
      <c r="N108" s="13"/>
      <c r="O108" s="13"/>
      <c r="P108" s="13"/>
      <c r="Q108" s="13"/>
      <c r="R108" s="13"/>
      <c r="S108" s="13"/>
      <c r="T108" s="13"/>
      <c r="U108" s="13"/>
      <c r="V108" s="13"/>
      <c r="W108" s="13"/>
      <c r="X108" s="13"/>
      <c r="Y108" s="13"/>
      <c r="Z108" s="14" t="s">
        <v>1167</v>
      </c>
      <c r="AA108" s="19" t="s">
        <v>1168</v>
      </c>
      <c r="AB108" s="14" t="s">
        <v>1169</v>
      </c>
      <c r="AC108" s="14"/>
    </row>
    <row r="109" spans="1:29" ht="60">
      <c r="A109" s="8" t="str">
        <f>HYPERLINK("https://drive.google.com/a/scoutsdemadrid.org/file/d/1MGvaM1coCXwAyIx7OGOPNBriHRXOrMXP/view?usp=drivesdk","Zona Campamento")</f>
        <v>Zona Campamento</v>
      </c>
      <c r="B109" s="25" t="s">
        <v>466</v>
      </c>
      <c r="C109" s="10" t="s">
        <v>195</v>
      </c>
      <c r="D109" s="12">
        <v>2012</v>
      </c>
      <c r="E109" s="23" t="s">
        <v>1170</v>
      </c>
      <c r="F109" s="14" t="s">
        <v>1171</v>
      </c>
      <c r="G109" s="15">
        <v>41099</v>
      </c>
      <c r="H109" s="15">
        <v>369836</v>
      </c>
      <c r="I109" s="13" t="s">
        <v>1172</v>
      </c>
      <c r="J109" s="13" t="s">
        <v>1173</v>
      </c>
      <c r="K109" s="13"/>
      <c r="L109" s="26" t="s">
        <v>1174</v>
      </c>
      <c r="M109" s="13"/>
      <c r="N109" s="13"/>
      <c r="O109" s="13"/>
      <c r="P109" s="13"/>
      <c r="Q109" s="13"/>
      <c r="R109" s="13"/>
      <c r="S109" s="13"/>
      <c r="T109" s="13"/>
      <c r="U109" s="13"/>
      <c r="V109" s="13"/>
      <c r="W109" s="13"/>
      <c r="X109" s="13"/>
      <c r="Y109" s="13"/>
      <c r="Z109" s="14" t="s">
        <v>1175</v>
      </c>
      <c r="AA109" s="19" t="s">
        <v>1176</v>
      </c>
      <c r="AB109" s="14" t="s">
        <v>1169</v>
      </c>
      <c r="AC109" s="14"/>
    </row>
    <row r="110" spans="1:29" ht="72">
      <c r="A110" s="8" t="str">
        <f>HYPERLINK("https://drive.google.com/a/scoutsdemadrid.org/file/d/1h_r8IGMWHVr9giinbdFRy862Q-x5TBu3/view?usp=drivesdk","Zona Campamento")</f>
        <v>Zona Campamento</v>
      </c>
      <c r="B110" s="25" t="s">
        <v>466</v>
      </c>
      <c r="C110" s="10" t="s">
        <v>195</v>
      </c>
      <c r="D110" s="12">
        <v>2015</v>
      </c>
      <c r="E110" s="23" t="s">
        <v>1170</v>
      </c>
      <c r="F110" s="14" t="s">
        <v>1171</v>
      </c>
      <c r="G110" s="15">
        <v>42189</v>
      </c>
      <c r="H110" s="15">
        <v>42210</v>
      </c>
      <c r="I110" s="13" t="s">
        <v>1177</v>
      </c>
      <c r="J110" s="13" t="s">
        <v>1178</v>
      </c>
      <c r="K110" s="13"/>
      <c r="L110" s="13" t="s">
        <v>1179</v>
      </c>
      <c r="M110" s="13"/>
      <c r="N110" s="13"/>
      <c r="O110" s="13"/>
      <c r="P110" s="13"/>
      <c r="Q110" s="13"/>
      <c r="R110" s="13"/>
      <c r="S110" s="13"/>
      <c r="T110" s="13"/>
      <c r="U110" s="13"/>
      <c r="V110" s="13"/>
      <c r="W110" s="13"/>
      <c r="X110" s="13"/>
      <c r="Y110" s="13"/>
      <c r="Z110" s="14" t="s">
        <v>1180</v>
      </c>
      <c r="AA110" s="19" t="s">
        <v>1181</v>
      </c>
      <c r="AB110" s="14" t="s">
        <v>1182</v>
      </c>
      <c r="AC110" s="14"/>
    </row>
    <row r="111" spans="1:29" ht="72">
      <c r="A111" s="8" t="str">
        <f>HYPERLINK("https://drive.google.com/a/scoutsdemadrid.org/file/d/1fYyO5-zHZNwo7Mknout5ZFfJWrFel0N8/view?usp=drivesdk","Zona Campamento")</f>
        <v>Zona Campamento</v>
      </c>
      <c r="B111" s="25" t="s">
        <v>466</v>
      </c>
      <c r="C111" s="10" t="s">
        <v>108</v>
      </c>
      <c r="D111" s="12">
        <v>2016</v>
      </c>
      <c r="E111" s="23" t="s">
        <v>1170</v>
      </c>
      <c r="F111" s="14" t="s">
        <v>1171</v>
      </c>
      <c r="G111" s="24">
        <v>42565</v>
      </c>
      <c r="H111" s="24">
        <v>42582</v>
      </c>
      <c r="I111" s="23" t="s">
        <v>1183</v>
      </c>
      <c r="J111" s="14" t="s">
        <v>1184</v>
      </c>
      <c r="K111" s="13"/>
      <c r="L111" s="14" t="s">
        <v>1185</v>
      </c>
      <c r="M111" s="14" t="s">
        <v>1186</v>
      </c>
      <c r="N111" s="14">
        <v>622363650</v>
      </c>
      <c r="O111" s="14" t="s">
        <v>1187</v>
      </c>
      <c r="P111" s="28">
        <v>1000</v>
      </c>
      <c r="Q111" s="13"/>
      <c r="R111" s="14" t="s">
        <v>54</v>
      </c>
      <c r="S111" s="14" t="s">
        <v>55</v>
      </c>
      <c r="T111" s="14" t="s">
        <v>101</v>
      </c>
      <c r="U111" s="14" t="s">
        <v>1188</v>
      </c>
      <c r="V111" s="14" t="s">
        <v>103</v>
      </c>
      <c r="W111" s="14" t="s">
        <v>55</v>
      </c>
      <c r="X111" s="13"/>
      <c r="Y111" s="13"/>
      <c r="Z111" s="14" t="s">
        <v>1189</v>
      </c>
      <c r="AA111" s="19" t="s">
        <v>1190</v>
      </c>
      <c r="AB111" s="14" t="s">
        <v>1191</v>
      </c>
      <c r="AC111" s="14"/>
    </row>
    <row r="112" spans="1:29" ht="60">
      <c r="A112" s="8" t="str">
        <f>HYPERLINK("https://drive.google.com/a/scoutsdemadrid.org/file/d/1nQUDtfHJTZz0BynK7XihoexuBVqB-zjA/view?usp=drivesdk","Zona Campamento")</f>
        <v>Zona Campamento</v>
      </c>
      <c r="B112" s="25" t="s">
        <v>466</v>
      </c>
      <c r="C112" s="10" t="s">
        <v>108</v>
      </c>
      <c r="D112" s="12">
        <v>2016</v>
      </c>
      <c r="E112" s="23" t="s">
        <v>1170</v>
      </c>
      <c r="F112" s="14" t="s">
        <v>1171</v>
      </c>
      <c r="G112" s="24">
        <v>42565</v>
      </c>
      <c r="H112" s="24">
        <v>42582</v>
      </c>
      <c r="I112" s="23" t="s">
        <v>1183</v>
      </c>
      <c r="J112" s="14" t="s">
        <v>1184</v>
      </c>
      <c r="K112" s="13"/>
      <c r="L112" s="14" t="s">
        <v>1185</v>
      </c>
      <c r="M112" s="14" t="s">
        <v>1186</v>
      </c>
      <c r="N112" s="14">
        <v>622363650</v>
      </c>
      <c r="O112" s="14" t="s">
        <v>1187</v>
      </c>
      <c r="P112" s="28">
        <v>1000</v>
      </c>
      <c r="Q112" s="13"/>
      <c r="R112" s="14" t="s">
        <v>54</v>
      </c>
      <c r="S112" s="14" t="s">
        <v>55</v>
      </c>
      <c r="T112" s="14" t="s">
        <v>101</v>
      </c>
      <c r="U112" s="14" t="s">
        <v>1188</v>
      </c>
      <c r="V112" s="14" t="s">
        <v>103</v>
      </c>
      <c r="W112" s="14" t="s">
        <v>55</v>
      </c>
      <c r="X112" s="13"/>
      <c r="Y112" s="13"/>
      <c r="Z112" s="14" t="s">
        <v>1192</v>
      </c>
      <c r="AA112" s="19" t="s">
        <v>1193</v>
      </c>
      <c r="AB112" s="14" t="s">
        <v>1191</v>
      </c>
      <c r="AC112" s="14"/>
    </row>
    <row r="113" spans="1:29" ht="60">
      <c r="A113" s="22" t="str">
        <f>HYPERLINK("https://drive.google.com/a/scoutsdemadrid.org/file/d/1AhYfq20pWWAH7Bb0ACKkajHowI064zaG/view?usp=drivesdk","Zona Campamento")</f>
        <v>Zona Campamento</v>
      </c>
      <c r="B113" s="25" t="s">
        <v>466</v>
      </c>
      <c r="C113" s="20" t="s">
        <v>195</v>
      </c>
      <c r="D113" s="12">
        <v>2016</v>
      </c>
      <c r="E113" s="23" t="s">
        <v>1170</v>
      </c>
      <c r="F113" s="14" t="s">
        <v>1171</v>
      </c>
      <c r="G113" s="24">
        <v>42560</v>
      </c>
      <c r="H113" s="24">
        <v>42566</v>
      </c>
      <c r="I113" s="23" t="s">
        <v>504</v>
      </c>
      <c r="J113" s="14" t="s">
        <v>541</v>
      </c>
      <c r="K113" s="13"/>
      <c r="L113" s="14" t="s">
        <v>798</v>
      </c>
      <c r="M113" s="14" t="s">
        <v>651</v>
      </c>
      <c r="N113" s="14">
        <v>975370000</v>
      </c>
      <c r="O113" s="13"/>
      <c r="P113" s="14" t="s">
        <v>799</v>
      </c>
      <c r="Q113" s="13"/>
      <c r="R113" s="14" t="s">
        <v>54</v>
      </c>
      <c r="S113" s="14" t="s">
        <v>55</v>
      </c>
      <c r="T113" s="14" t="s">
        <v>800</v>
      </c>
      <c r="U113" s="14" t="s">
        <v>801</v>
      </c>
      <c r="V113" s="14" t="s">
        <v>802</v>
      </c>
      <c r="W113" s="14" t="s">
        <v>125</v>
      </c>
      <c r="X113" s="14" t="s">
        <v>803</v>
      </c>
      <c r="Y113" s="14"/>
      <c r="Z113" s="14" t="s">
        <v>1194</v>
      </c>
      <c r="AA113" s="19" t="s">
        <v>1195</v>
      </c>
      <c r="AB113" s="14" t="s">
        <v>1196</v>
      </c>
      <c r="AC113" s="14"/>
    </row>
    <row r="114" spans="1:29" ht="60">
      <c r="A114" s="8" t="str">
        <f>HYPERLINK("https://drive.google.com/a/scoutsdemadrid.org/file/d/1ZFAgHcRluL3aF5AiXzvR3E8EOtzFRLtB/view?usp=drivesdk","Zona Campamento")</f>
        <v>Zona Campamento</v>
      </c>
      <c r="B114" s="25" t="s">
        <v>466</v>
      </c>
      <c r="C114" s="10" t="s">
        <v>195</v>
      </c>
      <c r="D114" s="12">
        <v>2017</v>
      </c>
      <c r="E114" s="13" t="s">
        <v>1170</v>
      </c>
      <c r="F114" s="14" t="s">
        <v>1171</v>
      </c>
      <c r="G114" s="15">
        <v>42929</v>
      </c>
      <c r="H114" s="15">
        <v>42935</v>
      </c>
      <c r="I114" s="13" t="s">
        <v>1197</v>
      </c>
      <c r="J114" s="13" t="s">
        <v>1198</v>
      </c>
      <c r="K114" s="13"/>
      <c r="L114" s="13" t="s">
        <v>1199</v>
      </c>
      <c r="M114" s="13" t="s">
        <v>1200</v>
      </c>
      <c r="N114" s="13"/>
      <c r="O114" s="13"/>
      <c r="P114" s="13"/>
      <c r="Q114" s="13"/>
      <c r="R114" s="13" t="s">
        <v>54</v>
      </c>
      <c r="S114" s="13" t="s">
        <v>55</v>
      </c>
      <c r="T114" s="13" t="s">
        <v>1201</v>
      </c>
      <c r="U114" s="13" t="s">
        <v>1202</v>
      </c>
      <c r="V114" s="13" t="s">
        <v>1203</v>
      </c>
      <c r="W114" s="13" t="s">
        <v>1204</v>
      </c>
      <c r="X114" s="13"/>
      <c r="Y114" s="13"/>
      <c r="Z114" s="14" t="s">
        <v>1205</v>
      </c>
      <c r="AA114" s="19" t="s">
        <v>1206</v>
      </c>
      <c r="AB114" s="14" t="s">
        <v>1207</v>
      </c>
      <c r="AC114" s="14"/>
    </row>
    <row r="115" spans="1:29" ht="72">
      <c r="A115" s="8" t="str">
        <f>HYPERLINK("https://drive.google.com/a/scoutsdemadrid.org/file/d/101PvOZoGNSnSlEjkE7VEwbf-7zLIqOob/view?usp=drivesdk","Zona Campamento")</f>
        <v>Zona Campamento</v>
      </c>
      <c r="B115" s="25" t="s">
        <v>466</v>
      </c>
      <c r="C115" s="10" t="s">
        <v>195</v>
      </c>
      <c r="D115" s="12">
        <v>2018</v>
      </c>
      <c r="E115" s="13" t="s">
        <v>1170</v>
      </c>
      <c r="F115" s="14" t="s">
        <v>1171</v>
      </c>
      <c r="G115" s="15">
        <v>43293</v>
      </c>
      <c r="H115" s="15">
        <v>43309</v>
      </c>
      <c r="I115" s="13" t="s">
        <v>1172</v>
      </c>
      <c r="J115" s="13" t="s">
        <v>1208</v>
      </c>
      <c r="K115" s="13">
        <v>0</v>
      </c>
      <c r="L115" s="13" t="s">
        <v>1209</v>
      </c>
      <c r="M115" s="13" t="s">
        <v>1210</v>
      </c>
      <c r="N115" s="13" t="s">
        <v>1211</v>
      </c>
      <c r="O115" s="13" t="s">
        <v>1212</v>
      </c>
      <c r="P115" s="27">
        <v>2018</v>
      </c>
      <c r="Q115" s="13">
        <v>2</v>
      </c>
      <c r="R115" s="13" t="s">
        <v>54</v>
      </c>
      <c r="S115" s="13" t="s">
        <v>55</v>
      </c>
      <c r="T115" s="13" t="s">
        <v>1213</v>
      </c>
      <c r="U115" s="13" t="s">
        <v>672</v>
      </c>
      <c r="V115" s="13" t="s">
        <v>103</v>
      </c>
      <c r="W115" s="13" t="s">
        <v>55</v>
      </c>
      <c r="X115" s="13" t="s">
        <v>672</v>
      </c>
      <c r="Y115" s="13"/>
      <c r="Z115" s="14" t="s">
        <v>1214</v>
      </c>
      <c r="AA115" s="19" t="s">
        <v>1215</v>
      </c>
      <c r="AB115" s="14" t="s">
        <v>1216</v>
      </c>
      <c r="AC115" s="14"/>
    </row>
    <row r="116" spans="1:29" ht="60">
      <c r="A116" s="22" t="str">
        <f>HYPERLINK("https://drive.google.com/a/scoutsdemadrid.org/file/d/1YXXkSRX56NuJcUMx3qXZn52JOlxpermA/view?usp=drivesdk","Zona Campamento")</f>
        <v>Zona Campamento</v>
      </c>
      <c r="B116" s="25" t="s">
        <v>466</v>
      </c>
      <c r="C116" s="20" t="s">
        <v>195</v>
      </c>
      <c r="D116" s="12">
        <v>2019</v>
      </c>
      <c r="E116" s="23" t="s">
        <v>1170</v>
      </c>
      <c r="F116" s="14" t="s">
        <v>1171</v>
      </c>
      <c r="G116" s="14">
        <v>43657</v>
      </c>
      <c r="H116" s="15">
        <v>43673</v>
      </c>
      <c r="I116" s="23" t="s">
        <v>1172</v>
      </c>
      <c r="J116" s="14" t="s">
        <v>1217</v>
      </c>
      <c r="K116" s="14" t="s">
        <v>1218</v>
      </c>
      <c r="L116" s="14" t="s">
        <v>1219</v>
      </c>
      <c r="M116" s="14" t="s">
        <v>1220</v>
      </c>
      <c r="N116" s="14">
        <v>975226634</v>
      </c>
      <c r="O116" s="14" t="s">
        <v>1221</v>
      </c>
      <c r="P116" s="14" t="s">
        <v>1222</v>
      </c>
      <c r="Q116" s="14" t="s">
        <v>1223</v>
      </c>
      <c r="R116" s="14" t="s">
        <v>54</v>
      </c>
      <c r="S116" s="14" t="s">
        <v>55</v>
      </c>
      <c r="T116" s="14" t="s">
        <v>1224</v>
      </c>
      <c r="U116" s="14" t="s">
        <v>1225</v>
      </c>
      <c r="V116" s="14" t="s">
        <v>103</v>
      </c>
      <c r="W116" s="14" t="s">
        <v>55</v>
      </c>
      <c r="X116" s="14" t="s">
        <v>1226</v>
      </c>
      <c r="Y116" s="14" t="s">
        <v>55</v>
      </c>
      <c r="Z116" s="14" t="s">
        <v>1227</v>
      </c>
      <c r="AA116" s="19" t="s">
        <v>1228</v>
      </c>
      <c r="AB116" s="14" t="s">
        <v>1229</v>
      </c>
      <c r="AC116" s="14"/>
    </row>
    <row r="117" spans="1:29" ht="72">
      <c r="A117" s="8" t="str">
        <f>HYPERLINK("https://drive.google.com/a/scoutsdemadrid.org/file/d/1kCubC2FcRmGg6IlqhEKlvOtnMydlEswJ/view?usp=drivesdk","Zona Campamento")</f>
        <v>Zona Campamento</v>
      </c>
      <c r="B117" s="25" t="s">
        <v>466</v>
      </c>
      <c r="C117" s="10" t="s">
        <v>85</v>
      </c>
      <c r="D117" s="12">
        <v>2015</v>
      </c>
      <c r="E117" s="13" t="s">
        <v>1230</v>
      </c>
      <c r="F117" s="14" t="s">
        <v>1231</v>
      </c>
      <c r="G117" s="15">
        <v>42188</v>
      </c>
      <c r="H117" s="15">
        <v>42197</v>
      </c>
      <c r="I117" s="13" t="s">
        <v>1232</v>
      </c>
      <c r="J117" s="13" t="s">
        <v>1233</v>
      </c>
      <c r="K117" s="13"/>
      <c r="L117" s="13"/>
      <c r="M117" s="13"/>
      <c r="N117" s="13"/>
      <c r="O117" s="13"/>
      <c r="P117" s="13"/>
      <c r="Q117" s="13"/>
      <c r="R117" s="13"/>
      <c r="S117" s="13"/>
      <c r="T117" s="13"/>
      <c r="U117" s="13"/>
      <c r="V117" s="13"/>
      <c r="W117" s="13"/>
      <c r="X117" s="13"/>
      <c r="Y117" s="13"/>
      <c r="Z117" s="14" t="s">
        <v>1234</v>
      </c>
      <c r="AA117" s="19" t="s">
        <v>1235</v>
      </c>
      <c r="AB117" s="14" t="s">
        <v>1236</v>
      </c>
      <c r="AC117" s="14"/>
    </row>
    <row r="118" spans="1:29" ht="60">
      <c r="A118" s="8" t="str">
        <f>HYPERLINK("https://drive.google.com/a/scoutsdemadrid.org/file/d/18InCMCqvqVfkJDsr0LydwHMo0pNk6Kt9/view?usp=drivesdk","Zona Campamento")</f>
        <v>Zona Campamento</v>
      </c>
      <c r="B118" s="25" t="s">
        <v>466</v>
      </c>
      <c r="C118" s="10" t="s">
        <v>195</v>
      </c>
      <c r="D118" s="12">
        <v>2012</v>
      </c>
      <c r="E118" s="13" t="s">
        <v>334</v>
      </c>
      <c r="F118" s="14" t="s">
        <v>335</v>
      </c>
      <c r="G118" s="15">
        <v>41091</v>
      </c>
      <c r="H118" s="15">
        <v>41105</v>
      </c>
      <c r="I118" s="13" t="s">
        <v>1237</v>
      </c>
      <c r="J118" s="13" t="s">
        <v>1238</v>
      </c>
      <c r="K118" s="13"/>
      <c r="L118" s="26" t="s">
        <v>1239</v>
      </c>
      <c r="M118" s="13"/>
      <c r="N118" s="13"/>
      <c r="O118" s="13"/>
      <c r="P118" s="13"/>
      <c r="Q118" s="13"/>
      <c r="R118" s="13"/>
      <c r="S118" s="13"/>
      <c r="T118" s="13"/>
      <c r="U118" s="13"/>
      <c r="V118" s="13"/>
      <c r="W118" s="13"/>
      <c r="X118" s="13"/>
      <c r="Y118" s="13"/>
      <c r="Z118" s="14" t="s">
        <v>1240</v>
      </c>
      <c r="AA118" s="19" t="s">
        <v>1241</v>
      </c>
      <c r="AB118" s="14" t="s">
        <v>1242</v>
      </c>
      <c r="AC118" s="14"/>
    </row>
    <row r="119" spans="1:29" ht="60">
      <c r="A119" s="22" t="str">
        <f>HYPERLINK("https://drive.google.com/a/scoutsdemadrid.org/file/d/1Bjev0iZLc2kL8d5OM5nnZCY3gJo7NqfD/view?usp=drivesdk","Zona Campamento")</f>
        <v>Zona Campamento</v>
      </c>
      <c r="B119" s="25" t="s">
        <v>466</v>
      </c>
      <c r="C119" s="20" t="s">
        <v>166</v>
      </c>
      <c r="D119" s="12">
        <v>2019</v>
      </c>
      <c r="E119" s="23" t="s">
        <v>334</v>
      </c>
      <c r="F119" s="14" t="s">
        <v>335</v>
      </c>
      <c r="G119" s="14">
        <v>43647</v>
      </c>
      <c r="H119" s="15">
        <v>43661</v>
      </c>
      <c r="I119" s="23" t="s">
        <v>166</v>
      </c>
      <c r="J119" s="14" t="s">
        <v>1243</v>
      </c>
      <c r="K119" s="14" t="s">
        <v>1244</v>
      </c>
      <c r="L119" s="14" t="s">
        <v>1245</v>
      </c>
      <c r="M119" s="14" t="s">
        <v>1246</v>
      </c>
      <c r="N119" s="14" t="s">
        <v>1247</v>
      </c>
      <c r="O119" s="14" t="s">
        <v>382</v>
      </c>
      <c r="P119" s="14">
        <v>260</v>
      </c>
      <c r="Q119" s="14" t="s">
        <v>1248</v>
      </c>
      <c r="R119" s="14" t="s">
        <v>54</v>
      </c>
      <c r="S119" s="14" t="s">
        <v>103</v>
      </c>
      <c r="T119" s="14" t="s">
        <v>516</v>
      </c>
      <c r="U119" s="14" t="s">
        <v>1249</v>
      </c>
      <c r="V119" s="14" t="s">
        <v>103</v>
      </c>
      <c r="W119" s="14" t="s">
        <v>103</v>
      </c>
      <c r="X119" s="14" t="s">
        <v>1250</v>
      </c>
      <c r="Y119" s="14" t="s">
        <v>55</v>
      </c>
      <c r="Z119" s="14" t="s">
        <v>1251</v>
      </c>
      <c r="AA119" s="19" t="s">
        <v>1252</v>
      </c>
      <c r="AB119" s="14" t="s">
        <v>1253</v>
      </c>
      <c r="AC119" s="14"/>
    </row>
    <row r="120" spans="1:29" ht="60">
      <c r="A120" s="8" t="str">
        <f>HYPERLINK("https://drive.google.com/a/scoutsdemadrid.org/file/d/18eQI81PnrHWA-3MOlJFoTKDkXsa_pwIp/view?usp=drivesdk","Zona Campamento")</f>
        <v>Zona Campamento</v>
      </c>
      <c r="B120" s="25" t="s">
        <v>466</v>
      </c>
      <c r="C120" s="10" t="s">
        <v>85</v>
      </c>
      <c r="D120" s="12">
        <v>2017</v>
      </c>
      <c r="E120" s="13" t="s">
        <v>1254</v>
      </c>
      <c r="F120" s="14" t="s">
        <v>1255</v>
      </c>
      <c r="G120" s="15">
        <v>42924</v>
      </c>
      <c r="H120" s="15">
        <v>42932</v>
      </c>
      <c r="I120" s="13" t="s">
        <v>942</v>
      </c>
      <c r="J120" s="13" t="s">
        <v>1256</v>
      </c>
      <c r="K120" s="13"/>
      <c r="L120" s="13"/>
      <c r="M120" s="13" t="s">
        <v>1257</v>
      </c>
      <c r="N120" s="13"/>
      <c r="O120" s="13"/>
      <c r="P120" s="13"/>
      <c r="Q120" s="13"/>
      <c r="R120" s="13" t="s">
        <v>54</v>
      </c>
      <c r="S120" s="13" t="s">
        <v>55</v>
      </c>
      <c r="T120" s="13" t="s">
        <v>1258</v>
      </c>
      <c r="U120" s="13"/>
      <c r="V120" s="13" t="s">
        <v>1259</v>
      </c>
      <c r="W120" s="13" t="s">
        <v>1260</v>
      </c>
      <c r="X120" s="13"/>
      <c r="Y120" s="13"/>
      <c r="Z120" s="14" t="s">
        <v>1261</v>
      </c>
      <c r="AA120" s="19" t="s">
        <v>1262</v>
      </c>
      <c r="AB120" s="14" t="s">
        <v>1263</v>
      </c>
      <c r="AC120" s="14"/>
    </row>
    <row r="121" spans="1:29" ht="60">
      <c r="A121" s="8" t="str">
        <f>HYPERLINK("https://drive.google.com/a/scoutsdemadrid.org/file/d/1ErBUqxDi5A0VuvRQKMDTkbyt6koSITub/view?usp=drivesdk","Zona Campamento")</f>
        <v>Zona Campamento</v>
      </c>
      <c r="B121" s="25" t="s">
        <v>466</v>
      </c>
      <c r="C121" s="10" t="s">
        <v>192</v>
      </c>
      <c r="D121" s="12">
        <v>2018</v>
      </c>
      <c r="E121" s="13" t="s">
        <v>1254</v>
      </c>
      <c r="F121" s="14" t="s">
        <v>1255</v>
      </c>
      <c r="G121" s="15">
        <v>43282</v>
      </c>
      <c r="H121" s="15">
        <v>43288</v>
      </c>
      <c r="I121" s="13" t="s">
        <v>1264</v>
      </c>
      <c r="J121" s="13" t="s">
        <v>1265</v>
      </c>
      <c r="K121" s="13">
        <v>0</v>
      </c>
      <c r="L121" s="13" t="s">
        <v>1266</v>
      </c>
      <c r="M121" s="13" t="s">
        <v>1267</v>
      </c>
      <c r="N121" s="13" t="s">
        <v>1268</v>
      </c>
      <c r="O121" s="13" t="s">
        <v>1269</v>
      </c>
      <c r="P121" s="13" t="s">
        <v>1270</v>
      </c>
      <c r="Q121" s="13" t="s">
        <v>136</v>
      </c>
      <c r="R121" s="13" t="s">
        <v>1271</v>
      </c>
      <c r="S121" s="13" t="s">
        <v>55</v>
      </c>
      <c r="T121" s="13" t="s">
        <v>821</v>
      </c>
      <c r="U121" s="13" t="s">
        <v>1272</v>
      </c>
      <c r="V121" s="13" t="s">
        <v>1273</v>
      </c>
      <c r="W121" s="13" t="s">
        <v>1112</v>
      </c>
      <c r="X121" s="13" t="s">
        <v>1274</v>
      </c>
      <c r="Y121" s="13"/>
      <c r="Z121" s="14" t="s">
        <v>1275</v>
      </c>
      <c r="AA121" s="19" t="s">
        <v>1276</v>
      </c>
      <c r="AB121" s="14" t="s">
        <v>1277</v>
      </c>
      <c r="AC121" s="14"/>
    </row>
    <row r="122" spans="1:29" ht="60">
      <c r="A122" s="22" t="str">
        <f>HYPERLINK("https://drive.google.com/a/scoutsdemadrid.org/file/d/1m9UVZR49cWNdztmPs7jfimSwxM8vcAUr/view?usp=drivesdk","Zona Campamento")</f>
        <v>Zona Campamento</v>
      </c>
      <c r="B122" s="25" t="s">
        <v>466</v>
      </c>
      <c r="C122" s="20" t="s">
        <v>192</v>
      </c>
      <c r="D122" s="12">
        <v>2019</v>
      </c>
      <c r="E122" s="23" t="s">
        <v>1254</v>
      </c>
      <c r="F122" s="14" t="s">
        <v>1255</v>
      </c>
      <c r="G122" s="14">
        <v>43646</v>
      </c>
      <c r="H122" s="15">
        <v>43650</v>
      </c>
      <c r="I122" s="23" t="s">
        <v>1278</v>
      </c>
      <c r="J122" s="14" t="s">
        <v>1279</v>
      </c>
      <c r="K122" s="14" t="s">
        <v>1280</v>
      </c>
      <c r="L122" s="14" t="s">
        <v>1281</v>
      </c>
      <c r="M122" s="14" t="s">
        <v>1282</v>
      </c>
      <c r="N122" s="14" t="s">
        <v>1283</v>
      </c>
      <c r="O122" s="14" t="s">
        <v>1284</v>
      </c>
      <c r="P122" s="14" t="s">
        <v>1285</v>
      </c>
      <c r="Q122" s="14" t="s">
        <v>136</v>
      </c>
      <c r="R122" s="14" t="s">
        <v>54</v>
      </c>
      <c r="S122" s="14" t="s">
        <v>55</v>
      </c>
      <c r="T122" s="14" t="s">
        <v>382</v>
      </c>
      <c r="U122" s="14" t="s">
        <v>382</v>
      </c>
      <c r="V122" s="14" t="s">
        <v>1286</v>
      </c>
      <c r="W122" s="14" t="s">
        <v>125</v>
      </c>
      <c r="X122" s="14" t="s">
        <v>1287</v>
      </c>
      <c r="Y122" s="14" t="s">
        <v>103</v>
      </c>
      <c r="Z122" s="14" t="s">
        <v>1288</v>
      </c>
      <c r="AA122" s="19" t="s">
        <v>1289</v>
      </c>
      <c r="AB122" s="14" t="s">
        <v>1290</v>
      </c>
      <c r="AC122" s="14"/>
    </row>
    <row r="123" spans="1:29" ht="60">
      <c r="A123" s="8" t="str">
        <f>HYPERLINK("https://drive.google.com/a/scoutsdemadrid.org/file/d/1QGeXy1Xl4hGK5F0TWnz46lFYe8S5f_yq/view?usp=drivesdk","Zona Campamento")</f>
        <v>Zona Campamento</v>
      </c>
      <c r="B123" s="25" t="s">
        <v>466</v>
      </c>
      <c r="C123" s="10" t="s">
        <v>85</v>
      </c>
      <c r="D123" s="12">
        <v>2016</v>
      </c>
      <c r="E123" s="23" t="s">
        <v>305</v>
      </c>
      <c r="F123" s="14" t="s">
        <v>306</v>
      </c>
      <c r="G123" s="24">
        <v>42564</v>
      </c>
      <c r="H123" s="15">
        <v>42581</v>
      </c>
      <c r="I123" s="23" t="s">
        <v>491</v>
      </c>
      <c r="J123" s="14" t="s">
        <v>492</v>
      </c>
      <c r="K123" s="14">
        <v>1043</v>
      </c>
      <c r="L123" s="14" t="s">
        <v>1291</v>
      </c>
      <c r="M123" s="14" t="s">
        <v>1292</v>
      </c>
      <c r="N123" s="14">
        <v>638233456</v>
      </c>
      <c r="O123" s="14" t="s">
        <v>696</v>
      </c>
      <c r="P123" s="14" t="s">
        <v>1293</v>
      </c>
      <c r="Q123" s="14" t="s">
        <v>1294</v>
      </c>
      <c r="R123" s="14" t="s">
        <v>54</v>
      </c>
      <c r="S123" s="14" t="s">
        <v>55</v>
      </c>
      <c r="T123" s="14" t="s">
        <v>1295</v>
      </c>
      <c r="U123" s="14" t="s">
        <v>1296</v>
      </c>
      <c r="V123" s="14" t="s">
        <v>1297</v>
      </c>
      <c r="W123" s="14" t="s">
        <v>103</v>
      </c>
      <c r="X123" s="13"/>
      <c r="Y123" s="13"/>
      <c r="Z123" s="14" t="s">
        <v>1298</v>
      </c>
      <c r="AA123" s="19" t="s">
        <v>1299</v>
      </c>
      <c r="AB123" s="14" t="s">
        <v>1300</v>
      </c>
      <c r="AC123" s="14"/>
    </row>
    <row r="124" spans="1:29" ht="60">
      <c r="A124" s="8" t="str">
        <f>HYPERLINK("https://drive.google.com/a/scoutsdemadrid.org/file/d/1bHhZ8xcHSprKNsoTHwmNYvlxBdVNB0xb/view?usp=drivesdk","Zona Campamento")</f>
        <v>Zona Campamento</v>
      </c>
      <c r="B124" s="25" t="s">
        <v>466</v>
      </c>
      <c r="C124" s="10" t="s">
        <v>85</v>
      </c>
      <c r="D124" s="12">
        <v>2016</v>
      </c>
      <c r="E124" s="23" t="s">
        <v>305</v>
      </c>
      <c r="F124" s="14" t="s">
        <v>306</v>
      </c>
      <c r="G124" s="24">
        <v>42564</v>
      </c>
      <c r="H124" s="15">
        <v>42581</v>
      </c>
      <c r="I124" s="23" t="s">
        <v>491</v>
      </c>
      <c r="J124" s="14" t="s">
        <v>492</v>
      </c>
      <c r="K124" s="14">
        <v>1043</v>
      </c>
      <c r="L124" s="14" t="s">
        <v>1291</v>
      </c>
      <c r="M124" s="14" t="s">
        <v>1292</v>
      </c>
      <c r="N124" s="14">
        <v>638233456</v>
      </c>
      <c r="O124" s="14" t="s">
        <v>696</v>
      </c>
      <c r="P124" s="14" t="s">
        <v>1293</v>
      </c>
      <c r="Q124" s="14" t="s">
        <v>1294</v>
      </c>
      <c r="R124" s="14" t="s">
        <v>54</v>
      </c>
      <c r="S124" s="14" t="s">
        <v>55</v>
      </c>
      <c r="T124" s="14" t="s">
        <v>1295</v>
      </c>
      <c r="U124" s="14" t="s">
        <v>1296</v>
      </c>
      <c r="V124" s="14" t="s">
        <v>1297</v>
      </c>
      <c r="W124" s="14" t="s">
        <v>103</v>
      </c>
      <c r="X124" s="13"/>
      <c r="Y124" s="13"/>
      <c r="Z124" s="14" t="s">
        <v>1301</v>
      </c>
      <c r="AA124" s="19" t="s">
        <v>1302</v>
      </c>
      <c r="AB124" s="14" t="s">
        <v>1300</v>
      </c>
      <c r="AC124" s="14"/>
    </row>
    <row r="125" spans="1:29" ht="60">
      <c r="A125" s="8" t="str">
        <f>HYPERLINK("https://drive.google.com/a/scoutsdemadrid.org/file/d/1YkPMLPcZzV5YRmnIWQqRLQAW0Okxo9_u/view?usp=drivesdk","Zona Campamento")</f>
        <v>Zona Campamento</v>
      </c>
      <c r="B125" s="25" t="s">
        <v>466</v>
      </c>
      <c r="C125" s="10" t="s">
        <v>85</v>
      </c>
      <c r="D125" s="12">
        <v>2015</v>
      </c>
      <c r="E125" s="13" t="s">
        <v>168</v>
      </c>
      <c r="F125" s="14" t="s">
        <v>1303</v>
      </c>
      <c r="G125" s="15">
        <v>42188</v>
      </c>
      <c r="H125" s="15">
        <v>42199</v>
      </c>
      <c r="I125" s="13" t="s">
        <v>670</v>
      </c>
      <c r="J125" s="13" t="s">
        <v>1304</v>
      </c>
      <c r="K125" s="13"/>
      <c r="L125" s="13" t="s">
        <v>1305</v>
      </c>
      <c r="M125" s="13"/>
      <c r="N125" s="13"/>
      <c r="O125" s="13"/>
      <c r="P125" s="13"/>
      <c r="Q125" s="13"/>
      <c r="R125" s="13"/>
      <c r="S125" s="13"/>
      <c r="T125" s="13"/>
      <c r="U125" s="13"/>
      <c r="V125" s="13"/>
      <c r="W125" s="13"/>
      <c r="X125" s="13"/>
      <c r="Y125" s="13"/>
      <c r="Z125" s="14" t="s">
        <v>1306</v>
      </c>
      <c r="AA125" s="19" t="s">
        <v>1307</v>
      </c>
      <c r="AB125" s="14" t="s">
        <v>1308</v>
      </c>
      <c r="AC125" s="14"/>
    </row>
    <row r="126" spans="1:29" ht="60">
      <c r="A126" s="8" t="str">
        <f>HYPERLINK("https://drive.google.com/a/scoutsdemadrid.org/file/d/1rQeytVCgokqJtHMN7LqcJZG7ZfX6Ge0T/view?usp=drivesdk","Zona Campamento")</f>
        <v>Zona Campamento</v>
      </c>
      <c r="B126" s="25" t="s">
        <v>466</v>
      </c>
      <c r="C126" s="10" t="s">
        <v>85</v>
      </c>
      <c r="D126" s="12">
        <v>2017</v>
      </c>
      <c r="E126" s="13" t="s">
        <v>168</v>
      </c>
      <c r="F126" s="14" t="s">
        <v>1303</v>
      </c>
      <c r="G126" s="15">
        <v>42938</v>
      </c>
      <c r="H126" s="15">
        <v>42946</v>
      </c>
      <c r="I126" s="13" t="s">
        <v>754</v>
      </c>
      <c r="J126" s="13" t="s">
        <v>1309</v>
      </c>
      <c r="K126" s="13"/>
      <c r="L126" s="13"/>
      <c r="M126" s="13" t="s">
        <v>1310</v>
      </c>
      <c r="N126" s="13">
        <v>630881829</v>
      </c>
      <c r="O126" s="13"/>
      <c r="P126" s="13"/>
      <c r="Q126" s="13"/>
      <c r="R126" s="13" t="s">
        <v>54</v>
      </c>
      <c r="S126" s="13" t="s">
        <v>55</v>
      </c>
      <c r="T126" s="13" t="s">
        <v>1311</v>
      </c>
      <c r="U126" s="13"/>
      <c r="V126" s="13" t="s">
        <v>1312</v>
      </c>
      <c r="W126" s="13"/>
      <c r="X126" s="13"/>
      <c r="Y126" s="13"/>
      <c r="Z126" s="14" t="s">
        <v>1313</v>
      </c>
      <c r="AA126" s="19" t="s">
        <v>1314</v>
      </c>
      <c r="AB126" s="14" t="s">
        <v>1315</v>
      </c>
      <c r="AC126" s="14"/>
    </row>
    <row r="127" spans="1:29" ht="60">
      <c r="A127" s="8" t="str">
        <f>HYPERLINK("https://drive.google.com/a/scoutsdemadrid.org/file/d/1wtnjFLwU723eDKm5DeThfhi9Mr7kkcIW/view?usp=drivesdk","Zona Campamento")</f>
        <v>Zona Campamento</v>
      </c>
      <c r="B127" s="25" t="s">
        <v>466</v>
      </c>
      <c r="C127" s="10" t="s">
        <v>85</v>
      </c>
      <c r="D127" s="12">
        <v>2018</v>
      </c>
      <c r="E127" s="13" t="s">
        <v>168</v>
      </c>
      <c r="F127" s="14" t="s">
        <v>1303</v>
      </c>
      <c r="G127" s="15">
        <v>43281</v>
      </c>
      <c r="H127" s="15">
        <v>43289</v>
      </c>
      <c r="I127" s="13" t="s">
        <v>670</v>
      </c>
      <c r="J127" s="13" t="s">
        <v>1316</v>
      </c>
      <c r="K127" s="13" t="s">
        <v>1317</v>
      </c>
      <c r="L127" s="13" t="s">
        <v>1318</v>
      </c>
      <c r="M127" s="13" t="s">
        <v>1319</v>
      </c>
      <c r="N127" s="13">
        <v>920374030</v>
      </c>
      <c r="O127" s="13" t="s">
        <v>1320</v>
      </c>
      <c r="P127" s="13">
        <v>70</v>
      </c>
      <c r="Q127" s="13" t="s">
        <v>1321</v>
      </c>
      <c r="R127" s="13" t="s">
        <v>54</v>
      </c>
      <c r="S127" s="13" t="s">
        <v>55</v>
      </c>
      <c r="T127" s="13" t="s">
        <v>1099</v>
      </c>
      <c r="U127" s="13" t="s">
        <v>1322</v>
      </c>
      <c r="V127" s="13" t="s">
        <v>1323</v>
      </c>
      <c r="W127" s="13" t="s">
        <v>125</v>
      </c>
      <c r="X127" s="13" t="s">
        <v>1324</v>
      </c>
      <c r="Y127" s="13"/>
      <c r="Z127" s="14" t="s">
        <v>1325</v>
      </c>
      <c r="AA127" s="19" t="s">
        <v>1326</v>
      </c>
      <c r="AB127" s="14" t="s">
        <v>1327</v>
      </c>
      <c r="AC127" s="14"/>
    </row>
    <row r="128" spans="1:29" ht="60">
      <c r="A128" s="8" t="str">
        <f>HYPERLINK("https://drive.google.com/a/scoutsdemadrid.org/file/d/1e3YyWcF2OAGxz8fbUs39p3xw01FEpdIg/view?usp=drivesdk","Zona Campamento")</f>
        <v>Zona Campamento</v>
      </c>
      <c r="B128" s="10" t="s">
        <v>976</v>
      </c>
      <c r="C128" s="20" t="s">
        <v>64</v>
      </c>
      <c r="D128" s="12">
        <v>2016</v>
      </c>
      <c r="E128" s="23" t="s">
        <v>580</v>
      </c>
      <c r="F128" s="14" t="s">
        <v>1328</v>
      </c>
      <c r="G128" s="24">
        <v>42552</v>
      </c>
      <c r="H128" s="24">
        <v>42566</v>
      </c>
      <c r="I128" s="23" t="s">
        <v>1329</v>
      </c>
      <c r="J128" s="14" t="s">
        <v>1330</v>
      </c>
      <c r="K128" s="13"/>
      <c r="L128" s="14" t="s">
        <v>1331</v>
      </c>
      <c r="M128" s="14" t="s">
        <v>1332</v>
      </c>
      <c r="N128" s="14">
        <v>967382521</v>
      </c>
      <c r="O128" s="13"/>
      <c r="P128" s="14" t="s">
        <v>1333</v>
      </c>
      <c r="Q128" s="13"/>
      <c r="R128" s="14" t="s">
        <v>54</v>
      </c>
      <c r="S128" s="14" t="s">
        <v>55</v>
      </c>
      <c r="T128" s="14" t="s">
        <v>1334</v>
      </c>
      <c r="U128" s="14" t="s">
        <v>1335</v>
      </c>
      <c r="V128" s="14" t="s">
        <v>1336</v>
      </c>
      <c r="W128" s="14" t="s">
        <v>372</v>
      </c>
      <c r="X128" s="13"/>
      <c r="Y128" s="13"/>
      <c r="Z128" s="14" t="s">
        <v>1337</v>
      </c>
      <c r="AA128" s="19" t="s">
        <v>1338</v>
      </c>
      <c r="AB128" s="14" t="s">
        <v>1339</v>
      </c>
      <c r="AC128" s="14"/>
    </row>
    <row r="129" spans="1:29" ht="60">
      <c r="A129" s="8" t="str">
        <f>HYPERLINK("https://drive.google.com/a/scoutsdemadrid.org/file/d/176wpzKDI5MSbLza6RbCpPLGiW_NA_1U0/view?usp=drivesdk","Zona Campamento")</f>
        <v>Zona Campamento</v>
      </c>
      <c r="B129" s="10" t="s">
        <v>976</v>
      </c>
      <c r="C129" s="10" t="s">
        <v>64</v>
      </c>
      <c r="D129" s="12">
        <v>2017</v>
      </c>
      <c r="E129" s="13" t="s">
        <v>580</v>
      </c>
      <c r="F129" s="13" t="str">
        <f>F128</f>
        <v xml:space="preserve">gs.calasanzval@scoutsdemadrid.org </v>
      </c>
      <c r="G129" s="15">
        <v>42917</v>
      </c>
      <c r="H129" s="15">
        <v>42931</v>
      </c>
      <c r="I129" s="13" t="s">
        <v>1329</v>
      </c>
      <c r="J129" s="13" t="s">
        <v>1330</v>
      </c>
      <c r="K129" s="13"/>
      <c r="L129" s="13"/>
      <c r="M129" s="13" t="s">
        <v>1330</v>
      </c>
      <c r="N129" s="13">
        <v>639374495</v>
      </c>
      <c r="O129" s="13" t="s">
        <v>1340</v>
      </c>
      <c r="P129" s="13" t="s">
        <v>1341</v>
      </c>
      <c r="Q129" s="13"/>
      <c r="R129" s="13" t="s">
        <v>54</v>
      </c>
      <c r="S129" s="13" t="s">
        <v>55</v>
      </c>
      <c r="T129" s="13" t="s">
        <v>1342</v>
      </c>
      <c r="U129" s="13"/>
      <c r="V129" s="13" t="s">
        <v>1343</v>
      </c>
      <c r="W129" s="13" t="s">
        <v>103</v>
      </c>
      <c r="X129" s="13" t="s">
        <v>1344</v>
      </c>
      <c r="Y129" s="13"/>
      <c r="Z129" s="14" t="s">
        <v>1345</v>
      </c>
      <c r="AA129" s="19" t="s">
        <v>1346</v>
      </c>
      <c r="AB129" s="14" t="s">
        <v>1339</v>
      </c>
      <c r="AC129" s="14"/>
    </row>
    <row r="130" spans="1:29" ht="60">
      <c r="A130" s="8" t="str">
        <f>HYPERLINK("https://drive.google.com/a/scoutsdemadrid.org/file/d/12VGeYDrdLic7O0pj_jrH8SCQU_oXv-Kc/view?usp=drivesdk","Zona Campamento")</f>
        <v>Zona Campamento</v>
      </c>
      <c r="B130" s="10" t="s">
        <v>976</v>
      </c>
      <c r="C130" s="10" t="s">
        <v>160</v>
      </c>
      <c r="D130" s="12">
        <v>2018</v>
      </c>
      <c r="E130" s="13" t="s">
        <v>47</v>
      </c>
      <c r="F130" s="14" t="s">
        <v>48</v>
      </c>
      <c r="G130" s="15">
        <v>43297</v>
      </c>
      <c r="H130" s="15">
        <v>43311</v>
      </c>
      <c r="I130" s="13" t="s">
        <v>1347</v>
      </c>
      <c r="J130" s="13" t="s">
        <v>1348</v>
      </c>
      <c r="K130" s="13" t="s">
        <v>1349</v>
      </c>
      <c r="L130" s="13" t="s">
        <v>1350</v>
      </c>
      <c r="M130" s="13" t="s">
        <v>1351</v>
      </c>
      <c r="N130" s="13">
        <v>638618753</v>
      </c>
      <c r="O130" s="13" t="s">
        <v>1352</v>
      </c>
      <c r="P130" s="13">
        <v>0</v>
      </c>
      <c r="Q130" s="13" t="s">
        <v>1353</v>
      </c>
      <c r="R130" s="13" t="s">
        <v>54</v>
      </c>
      <c r="S130" s="13" t="s">
        <v>55</v>
      </c>
      <c r="T130" s="13" t="s">
        <v>1354</v>
      </c>
      <c r="U130" s="13" t="s">
        <v>1355</v>
      </c>
      <c r="V130" s="13" t="s">
        <v>1112</v>
      </c>
      <c r="W130" s="13" t="s">
        <v>125</v>
      </c>
      <c r="X130" s="13" t="s">
        <v>1356</v>
      </c>
      <c r="Y130" s="13"/>
      <c r="Z130" s="14" t="s">
        <v>1357</v>
      </c>
      <c r="AA130" s="19" t="s">
        <v>1358</v>
      </c>
      <c r="AB130" s="14" t="s">
        <v>1359</v>
      </c>
      <c r="AC130" s="14"/>
    </row>
    <row r="131" spans="1:29" ht="336">
      <c r="A131" s="8" t="str">
        <f>HYPERLINK("https://drive.google.com/a/scoutsdemadrid.org/file/d/1YIccC_p-na2tPhTihwatZ4-h9lxADwx1/view?usp=drivesdk","Zona Campamento")</f>
        <v>Zona Campamento</v>
      </c>
      <c r="B131" s="10" t="s">
        <v>976</v>
      </c>
      <c r="C131" s="10" t="s">
        <v>147</v>
      </c>
      <c r="D131" s="12">
        <v>2019</v>
      </c>
      <c r="E131" s="13" t="s">
        <v>47</v>
      </c>
      <c r="F131" s="14" t="s">
        <v>48</v>
      </c>
      <c r="G131" s="15">
        <v>43647</v>
      </c>
      <c r="H131" s="15">
        <v>43661</v>
      </c>
      <c r="I131" s="13" t="s">
        <v>1360</v>
      </c>
      <c r="J131" s="32" t="s">
        <v>1361</v>
      </c>
      <c r="K131" s="13" t="s">
        <v>1362</v>
      </c>
      <c r="L131" s="13" t="s">
        <v>1363</v>
      </c>
      <c r="M131" s="13" t="s">
        <v>1364</v>
      </c>
      <c r="N131" s="13" t="s">
        <v>1365</v>
      </c>
      <c r="O131" s="13" t="s">
        <v>1366</v>
      </c>
      <c r="P131" s="13" t="s">
        <v>1367</v>
      </c>
      <c r="Q131" s="13" t="s">
        <v>1368</v>
      </c>
      <c r="R131" s="13" t="s">
        <v>54</v>
      </c>
      <c r="S131" s="13" t="s">
        <v>55</v>
      </c>
      <c r="T131" s="32" t="s">
        <v>821</v>
      </c>
      <c r="U131" s="13" t="s">
        <v>1369</v>
      </c>
      <c r="V131" s="32" t="s">
        <v>1370</v>
      </c>
      <c r="W131" s="13" t="s">
        <v>210</v>
      </c>
      <c r="X131" s="13" t="s">
        <v>1371</v>
      </c>
      <c r="Y131" s="13" t="s">
        <v>55</v>
      </c>
      <c r="Z131" s="14" t="s">
        <v>1372</v>
      </c>
      <c r="AA131" s="19" t="s">
        <v>1373</v>
      </c>
      <c r="AB131" s="14" t="s">
        <v>1374</v>
      </c>
      <c r="AC131" s="14"/>
    </row>
    <row r="132" spans="1:29" ht="60">
      <c r="A132" s="8" t="str">
        <f>HYPERLINK("https://drive.google.com/a/scoutsdemadrid.org/file/d/1mFehhDVb0Hz8w7i5uc9uWMQaF3oX06Z-/view?usp=drivesdk","Zona Campamento")</f>
        <v>Zona Campamento</v>
      </c>
      <c r="B132" s="10" t="s">
        <v>976</v>
      </c>
      <c r="C132" s="10" t="s">
        <v>160</v>
      </c>
      <c r="D132" s="12">
        <v>2019</v>
      </c>
      <c r="E132" s="13" t="s">
        <v>1375</v>
      </c>
      <c r="F132" s="14" t="s">
        <v>1376</v>
      </c>
      <c r="G132" s="15">
        <v>43639</v>
      </c>
      <c r="H132" s="15">
        <v>43646</v>
      </c>
      <c r="I132" s="13" t="s">
        <v>1377</v>
      </c>
      <c r="J132" s="13" t="s">
        <v>1378</v>
      </c>
      <c r="K132" s="13" t="s">
        <v>1379</v>
      </c>
      <c r="L132" s="13" t="s">
        <v>160</v>
      </c>
      <c r="M132" s="13" t="s">
        <v>1380</v>
      </c>
      <c r="N132" s="13" t="s">
        <v>1381</v>
      </c>
      <c r="O132" s="13"/>
      <c r="P132" s="13" t="s">
        <v>1382</v>
      </c>
      <c r="Q132" s="13" t="s">
        <v>1383</v>
      </c>
      <c r="R132" s="13" t="s">
        <v>54</v>
      </c>
      <c r="S132" s="13" t="s">
        <v>55</v>
      </c>
      <c r="T132" s="13" t="s">
        <v>1295</v>
      </c>
      <c r="U132" s="13" t="s">
        <v>1384</v>
      </c>
      <c r="V132" s="13" t="s">
        <v>1385</v>
      </c>
      <c r="W132" s="13" t="s">
        <v>1112</v>
      </c>
      <c r="X132" s="13" t="s">
        <v>1386</v>
      </c>
      <c r="Y132" s="13" t="s">
        <v>103</v>
      </c>
      <c r="Z132" s="14" t="s">
        <v>1387</v>
      </c>
      <c r="AA132" s="19" t="s">
        <v>1388</v>
      </c>
      <c r="AB132" s="14" t="s">
        <v>1389</v>
      </c>
      <c r="AC132" s="14"/>
    </row>
    <row r="133" spans="1:29" ht="60">
      <c r="A133" s="8" t="str">
        <f>HYPERLINK("https://drive.google.com/a/scoutsdemadrid.org/file/d/1s_J_ILHHhAcH2Y52jeoj_guKEPtBr4E5/view?usp=drivesdk","Zona Campamento")</f>
        <v>Zona Campamento</v>
      </c>
      <c r="B133" s="10" t="s">
        <v>976</v>
      </c>
      <c r="C133" s="20" t="s">
        <v>147</v>
      </c>
      <c r="D133" s="12">
        <v>2019</v>
      </c>
      <c r="E133" s="23" t="s">
        <v>67</v>
      </c>
      <c r="F133" s="14" t="s">
        <v>68</v>
      </c>
      <c r="G133" s="24">
        <v>43661</v>
      </c>
      <c r="H133" s="24">
        <v>43674</v>
      </c>
      <c r="I133" s="23" t="s">
        <v>1390</v>
      </c>
      <c r="J133" s="14" t="s">
        <v>1391</v>
      </c>
      <c r="K133" s="13" t="s">
        <v>1392</v>
      </c>
      <c r="L133" s="14" t="s">
        <v>1393</v>
      </c>
      <c r="M133" s="14" t="s">
        <v>1394</v>
      </c>
      <c r="N133" s="13">
        <v>635864030</v>
      </c>
      <c r="O133" s="13" t="s">
        <v>1395</v>
      </c>
      <c r="P133" s="13" t="s">
        <v>1396</v>
      </c>
      <c r="Q133" s="13" t="s">
        <v>1397</v>
      </c>
      <c r="R133" s="13" t="s">
        <v>100</v>
      </c>
      <c r="S133" s="13" t="s">
        <v>55</v>
      </c>
      <c r="T133" s="13" t="s">
        <v>444</v>
      </c>
      <c r="U133" s="13" t="s">
        <v>1398</v>
      </c>
      <c r="V133" s="13" t="s">
        <v>1399</v>
      </c>
      <c r="W133" s="13" t="s">
        <v>55</v>
      </c>
      <c r="X133" s="13" t="s">
        <v>1400</v>
      </c>
      <c r="Y133" s="13" t="s">
        <v>55</v>
      </c>
      <c r="Z133" s="14" t="s">
        <v>1401</v>
      </c>
      <c r="AA133" s="19" t="s">
        <v>1402</v>
      </c>
      <c r="AB133" s="14" t="s">
        <v>1403</v>
      </c>
      <c r="AC133" s="14"/>
    </row>
    <row r="134" spans="1:29" ht="72">
      <c r="A134" s="8" t="str">
        <f>HYPERLINK("https://drive.google.com/a/scoutsdemadrid.org/file/d/1nJnRA-H8PGgXdcXsMioZmCsBrRx1DjP6/view?usp=drivesdk","Zona Campamento")</f>
        <v>Zona Campamento</v>
      </c>
      <c r="B134" s="10" t="s">
        <v>976</v>
      </c>
      <c r="C134" s="10" t="s">
        <v>147</v>
      </c>
      <c r="D134" s="12">
        <v>2015</v>
      </c>
      <c r="E134" s="13" t="s">
        <v>933</v>
      </c>
      <c r="F134" s="14" t="s">
        <v>934</v>
      </c>
      <c r="G134" s="15">
        <v>42203</v>
      </c>
      <c r="H134" s="15">
        <v>42215</v>
      </c>
      <c r="I134" s="13" t="s">
        <v>1404</v>
      </c>
      <c r="J134" s="13" t="s">
        <v>1405</v>
      </c>
      <c r="K134" s="13"/>
      <c r="L134" s="13"/>
      <c r="M134" s="13"/>
      <c r="N134" s="13"/>
      <c r="O134" s="13"/>
      <c r="P134" s="13"/>
      <c r="Q134" s="13"/>
      <c r="R134" s="13"/>
      <c r="S134" s="13"/>
      <c r="T134" s="13"/>
      <c r="U134" s="13"/>
      <c r="V134" s="13"/>
      <c r="W134" s="13"/>
      <c r="X134" s="13"/>
      <c r="Y134" s="13"/>
      <c r="Z134" s="14" t="s">
        <v>1406</v>
      </c>
      <c r="AA134" s="19" t="s">
        <v>1407</v>
      </c>
      <c r="AB134" s="14" t="s">
        <v>1408</v>
      </c>
      <c r="AC134" s="14"/>
    </row>
    <row r="135" spans="1:29" ht="60">
      <c r="A135" s="8" t="str">
        <f>HYPERLINK("https://drive.google.com/a/scoutsdemadrid.org/file/d/1CDIrdQEz-XImIlhmRuc6k8YsV6_qo92c/view?usp=drivesdk","Zona Campamento")</f>
        <v>Zona Campamento</v>
      </c>
      <c r="B135" s="10" t="s">
        <v>976</v>
      </c>
      <c r="C135" s="20" t="s">
        <v>160</v>
      </c>
      <c r="D135" s="12">
        <v>2016</v>
      </c>
      <c r="E135" s="23" t="s">
        <v>941</v>
      </c>
      <c r="F135" s="14" t="str">
        <f t="shared" ref="F135:F136" si="6">F134</f>
        <v xml:space="preserve">gs.orion@scoutsdemadrid.org </v>
      </c>
      <c r="G135" s="24">
        <v>42568</v>
      </c>
      <c r="H135" s="24">
        <v>42581</v>
      </c>
      <c r="I135" s="23" t="s">
        <v>1409</v>
      </c>
      <c r="J135" s="14" t="s">
        <v>1410</v>
      </c>
      <c r="K135" s="14" t="s">
        <v>1411</v>
      </c>
      <c r="L135" s="14" t="s">
        <v>1412</v>
      </c>
      <c r="M135" s="14" t="s">
        <v>1413</v>
      </c>
      <c r="N135" s="14">
        <v>637464385</v>
      </c>
      <c r="O135" s="14" t="s">
        <v>1414</v>
      </c>
      <c r="P135" s="14" t="s">
        <v>1415</v>
      </c>
      <c r="Q135" s="14" t="s">
        <v>1411</v>
      </c>
      <c r="R135" s="14" t="s">
        <v>54</v>
      </c>
      <c r="S135" s="14" t="s">
        <v>55</v>
      </c>
      <c r="T135" s="14">
        <v>0</v>
      </c>
      <c r="U135" s="14" t="s">
        <v>949</v>
      </c>
      <c r="V135" s="14" t="s">
        <v>1416</v>
      </c>
      <c r="W135" s="14" t="s">
        <v>1411</v>
      </c>
      <c r="X135" s="13"/>
      <c r="Y135" s="13"/>
      <c r="Z135" s="14" t="s">
        <v>1417</v>
      </c>
      <c r="AA135" s="19" t="s">
        <v>1418</v>
      </c>
      <c r="AB135" s="14" t="s">
        <v>1419</v>
      </c>
      <c r="AC135" s="14"/>
    </row>
    <row r="136" spans="1:29" ht="60">
      <c r="A136" s="8" t="str">
        <f>HYPERLINK("https://drive.google.com/a/scoutsdemadrid.org/file/d/1MgcmiBxL4U1Maw-pDpOPHwldkLWXo3km/view?usp=drivesdk","Zona Campamento")</f>
        <v>Zona Campamento</v>
      </c>
      <c r="B136" s="10" t="s">
        <v>976</v>
      </c>
      <c r="C136" s="20" t="s">
        <v>147</v>
      </c>
      <c r="D136" s="12">
        <v>2019</v>
      </c>
      <c r="E136" s="23" t="s">
        <v>941</v>
      </c>
      <c r="F136" s="14" t="str">
        <f t="shared" si="6"/>
        <v xml:space="preserve">gs.orion@scoutsdemadrid.org </v>
      </c>
      <c r="G136" s="24">
        <v>43662</v>
      </c>
      <c r="H136" s="24">
        <v>43676</v>
      </c>
      <c r="I136" s="23" t="s">
        <v>1420</v>
      </c>
      <c r="J136" s="14" t="s">
        <v>1421</v>
      </c>
      <c r="K136" s="13" t="s">
        <v>1422</v>
      </c>
      <c r="L136" s="14" t="s">
        <v>1423</v>
      </c>
      <c r="M136" s="14" t="s">
        <v>1424</v>
      </c>
      <c r="N136" s="14">
        <v>639828628</v>
      </c>
      <c r="O136" s="13" t="s">
        <v>382</v>
      </c>
      <c r="P136" s="14" t="s">
        <v>1425</v>
      </c>
      <c r="Q136" s="13" t="s">
        <v>1426</v>
      </c>
      <c r="R136" s="14" t="s">
        <v>54</v>
      </c>
      <c r="S136" s="14" t="s">
        <v>55</v>
      </c>
      <c r="T136" s="14" t="s">
        <v>1427</v>
      </c>
      <c r="U136" s="14" t="s">
        <v>1428</v>
      </c>
      <c r="V136" s="14" t="s">
        <v>1429</v>
      </c>
      <c r="W136" s="14" t="s">
        <v>55</v>
      </c>
      <c r="X136" s="13" t="s">
        <v>1430</v>
      </c>
      <c r="Y136" s="13" t="s">
        <v>103</v>
      </c>
      <c r="Z136" s="14" t="s">
        <v>1431</v>
      </c>
      <c r="AA136" s="19" t="s">
        <v>1432</v>
      </c>
      <c r="AB136" s="14" t="s">
        <v>1433</v>
      </c>
      <c r="AC136" s="14"/>
    </row>
    <row r="137" spans="1:29" ht="60">
      <c r="A137" s="8" t="str">
        <f>HYPERLINK("https://drive.google.com/a/scoutsdemadrid.org/file/d/1ze4bDsR1oIz99k6FawRgaJ5XNoJCZFAx/view?usp=drivesdk","Zona Campamento")</f>
        <v>Zona Campamento</v>
      </c>
      <c r="B137" s="10" t="s">
        <v>976</v>
      </c>
      <c r="C137" s="20" t="s">
        <v>147</v>
      </c>
      <c r="D137" s="12">
        <v>2019</v>
      </c>
      <c r="E137" s="23" t="s">
        <v>1066</v>
      </c>
      <c r="F137" s="14" t="s">
        <v>313</v>
      </c>
      <c r="G137" s="24">
        <v>43640</v>
      </c>
      <c r="H137" s="24">
        <v>43644</v>
      </c>
      <c r="I137" s="23" t="s">
        <v>1434</v>
      </c>
      <c r="J137" s="14" t="s">
        <v>1435</v>
      </c>
      <c r="K137" s="13" t="s">
        <v>1436</v>
      </c>
      <c r="L137" s="14" t="s">
        <v>1436</v>
      </c>
      <c r="M137" s="14" t="s">
        <v>1437</v>
      </c>
      <c r="N137" s="14">
        <v>605897209</v>
      </c>
      <c r="O137" s="13" t="s">
        <v>1438</v>
      </c>
      <c r="P137" s="14" t="s">
        <v>1439</v>
      </c>
      <c r="Q137" s="13" t="s">
        <v>136</v>
      </c>
      <c r="R137" s="14" t="s">
        <v>54</v>
      </c>
      <c r="S137" s="14" t="s">
        <v>55</v>
      </c>
      <c r="T137" s="14" t="s">
        <v>386</v>
      </c>
      <c r="U137" s="14" t="s">
        <v>1440</v>
      </c>
      <c r="V137" s="14" t="s">
        <v>1441</v>
      </c>
      <c r="W137" s="14" t="s">
        <v>1442</v>
      </c>
      <c r="X137" s="13" t="s">
        <v>1443</v>
      </c>
      <c r="Y137" s="13" t="s">
        <v>103</v>
      </c>
      <c r="Z137" s="14" t="s">
        <v>1444</v>
      </c>
      <c r="AA137" s="19" t="s">
        <v>1445</v>
      </c>
      <c r="AB137" s="14" t="s">
        <v>1446</v>
      </c>
      <c r="AC137" s="14"/>
    </row>
    <row r="138" spans="1:29" ht="60">
      <c r="A138" s="8" t="str">
        <f>HYPERLINK("https://drive.google.com/a/scoutsdemadrid.org/file/d/1KPHJdw7HN98l3jtI9IiqvobbunPF8zCI/view?usp=drivesdk","Zona Campamento")</f>
        <v>Zona Campamento</v>
      </c>
      <c r="B138" s="10" t="s">
        <v>976</v>
      </c>
      <c r="C138" s="10" t="s">
        <v>160</v>
      </c>
      <c r="D138" s="12">
        <v>2018</v>
      </c>
      <c r="E138" s="13" t="s">
        <v>1080</v>
      </c>
      <c r="F138" s="14" t="s">
        <v>1081</v>
      </c>
      <c r="G138" s="15">
        <v>43301</v>
      </c>
      <c r="H138" s="15">
        <v>43311</v>
      </c>
      <c r="I138" s="13" t="s">
        <v>1447</v>
      </c>
      <c r="J138" s="13" t="s">
        <v>1448</v>
      </c>
      <c r="K138" s="13" t="s">
        <v>1449</v>
      </c>
      <c r="L138" s="13" t="s">
        <v>1450</v>
      </c>
      <c r="M138" s="13" t="s">
        <v>1451</v>
      </c>
      <c r="N138" s="13" t="s">
        <v>1452</v>
      </c>
      <c r="O138" s="13" t="s">
        <v>1453</v>
      </c>
      <c r="P138" s="13" t="s">
        <v>1454</v>
      </c>
      <c r="Q138" s="13">
        <v>500</v>
      </c>
      <c r="R138" s="13" t="s">
        <v>54</v>
      </c>
      <c r="S138" s="13" t="s">
        <v>55</v>
      </c>
      <c r="T138" s="13" t="s">
        <v>1455</v>
      </c>
      <c r="U138" s="13" t="s">
        <v>1456</v>
      </c>
      <c r="V138" s="13" t="s">
        <v>1457</v>
      </c>
      <c r="W138" s="13" t="s">
        <v>55</v>
      </c>
      <c r="X138" s="13" t="s">
        <v>1458</v>
      </c>
      <c r="Y138" s="13"/>
      <c r="Z138" s="14" t="s">
        <v>1459</v>
      </c>
      <c r="AA138" s="19" t="s">
        <v>1460</v>
      </c>
      <c r="AB138" s="14" t="s">
        <v>1461</v>
      </c>
      <c r="AC138" s="14"/>
    </row>
    <row r="139" spans="1:29" ht="60">
      <c r="A139" s="8" t="str">
        <f>HYPERLINK("https://drive.google.com/a/scoutsdemadrid.org/file/d/1uKuuQsq02Nazt1ZADgyhe07KE1VChZjw/view?usp=drivesdk","Zona Campamento")</f>
        <v>Zona Campamento</v>
      </c>
      <c r="B139" s="10" t="s">
        <v>976</v>
      </c>
      <c r="C139" s="20" t="s">
        <v>160</v>
      </c>
      <c r="D139" s="12">
        <v>2019</v>
      </c>
      <c r="E139" s="23" t="s">
        <v>218</v>
      </c>
      <c r="F139" s="14" t="s">
        <v>219</v>
      </c>
      <c r="G139" s="24">
        <v>43658</v>
      </c>
      <c r="H139" s="24">
        <v>43675</v>
      </c>
      <c r="I139" s="23" t="s">
        <v>1462</v>
      </c>
      <c r="J139" s="14" t="s">
        <v>1463</v>
      </c>
      <c r="K139" s="41" t="s">
        <v>1464</v>
      </c>
      <c r="L139" s="14" t="s">
        <v>1465</v>
      </c>
      <c r="M139" s="14" t="s">
        <v>1466</v>
      </c>
      <c r="N139" s="13">
        <v>645782663</v>
      </c>
      <c r="O139" s="30" t="s">
        <v>1467</v>
      </c>
      <c r="P139" s="13" t="s">
        <v>672</v>
      </c>
      <c r="Q139" s="13" t="s">
        <v>1468</v>
      </c>
      <c r="R139" s="13" t="s">
        <v>54</v>
      </c>
      <c r="S139" s="13" t="s">
        <v>55</v>
      </c>
      <c r="T139" s="13" t="s">
        <v>1469</v>
      </c>
      <c r="U139" s="13" t="s">
        <v>1470</v>
      </c>
      <c r="V139" s="13" t="s">
        <v>1112</v>
      </c>
      <c r="W139" s="13" t="s">
        <v>125</v>
      </c>
      <c r="X139" s="13" t="s">
        <v>1471</v>
      </c>
      <c r="Y139" s="13" t="s">
        <v>55</v>
      </c>
      <c r="Z139" s="14" t="s">
        <v>1472</v>
      </c>
      <c r="AA139" s="19" t="s">
        <v>1473</v>
      </c>
      <c r="AB139" s="14" t="s">
        <v>1474</v>
      </c>
      <c r="AC139" s="14"/>
    </row>
    <row r="140" spans="1:29" ht="60">
      <c r="A140" s="8" t="str">
        <f>HYPERLINK("https://drive.google.com/a/scoutsdemadrid.org/file/d/1ZnINS0QHe7qp1RjFmOmPu5KgqwmAbafe/view?usp=drivesdk","Zona Campamento")</f>
        <v>Zona Campamento</v>
      </c>
      <c r="B140" s="10" t="s">
        <v>976</v>
      </c>
      <c r="C140" s="10" t="s">
        <v>147</v>
      </c>
      <c r="D140" s="12">
        <v>2018</v>
      </c>
      <c r="E140" s="13" t="s">
        <v>334</v>
      </c>
      <c r="F140" s="14" t="s">
        <v>335</v>
      </c>
      <c r="G140" s="15">
        <v>43282</v>
      </c>
      <c r="H140" s="15">
        <v>43296</v>
      </c>
      <c r="I140" s="13" t="s">
        <v>1420</v>
      </c>
      <c r="J140" s="13" t="s">
        <v>1421</v>
      </c>
      <c r="K140" s="13" t="s">
        <v>1075</v>
      </c>
      <c r="L140" s="13" t="s">
        <v>1475</v>
      </c>
      <c r="M140" s="13" t="s">
        <v>1476</v>
      </c>
      <c r="N140" s="13">
        <v>639828628</v>
      </c>
      <c r="O140" s="13" t="s">
        <v>1112</v>
      </c>
      <c r="P140" s="42">
        <v>2500</v>
      </c>
      <c r="Q140" s="13" t="s">
        <v>1477</v>
      </c>
      <c r="R140" s="13" t="s">
        <v>54</v>
      </c>
      <c r="S140" s="13" t="s">
        <v>55</v>
      </c>
      <c r="T140" s="13" t="s">
        <v>821</v>
      </c>
      <c r="U140" s="13" t="s">
        <v>1478</v>
      </c>
      <c r="V140" s="13" t="s">
        <v>1479</v>
      </c>
      <c r="W140" s="13" t="s">
        <v>1480</v>
      </c>
      <c r="X140" s="13" t="s">
        <v>1481</v>
      </c>
      <c r="Y140" s="13"/>
      <c r="Z140" s="14" t="s">
        <v>1482</v>
      </c>
      <c r="AA140" s="19" t="s">
        <v>1483</v>
      </c>
      <c r="AB140" s="14" t="s">
        <v>1484</v>
      </c>
      <c r="AC140" s="14"/>
    </row>
    <row r="141" spans="1:29" ht="60">
      <c r="A141" s="8" t="str">
        <f>HYPERLINK("https://drive.google.com/a/scoutsdemadrid.org/file/d/1zm25MfdNyWRECTHjCL4NCIZy5ZJgvyWU/view?usp=drivesdk","Zona Campamento")</f>
        <v>Zona Campamento</v>
      </c>
      <c r="B141" s="10" t="s">
        <v>976</v>
      </c>
      <c r="C141" s="20" t="s">
        <v>147</v>
      </c>
      <c r="D141" s="12">
        <v>2016</v>
      </c>
      <c r="E141" s="23" t="s">
        <v>1254</v>
      </c>
      <c r="F141" s="14" t="s">
        <v>1255</v>
      </c>
      <c r="G141" s="24">
        <v>42553</v>
      </c>
      <c r="H141" s="24">
        <v>42561</v>
      </c>
      <c r="I141" s="23" t="s">
        <v>1485</v>
      </c>
      <c r="J141" s="14" t="s">
        <v>1486</v>
      </c>
      <c r="K141" s="13"/>
      <c r="L141" s="14" t="s">
        <v>1487</v>
      </c>
      <c r="M141" s="14" t="s">
        <v>1488</v>
      </c>
      <c r="N141" s="13"/>
      <c r="O141" s="13"/>
      <c r="P141" s="13"/>
      <c r="Q141" s="13"/>
      <c r="R141" s="13"/>
      <c r="S141" s="13"/>
      <c r="T141" s="13"/>
      <c r="U141" s="13"/>
      <c r="V141" s="13"/>
      <c r="W141" s="13"/>
      <c r="X141" s="13"/>
      <c r="Y141" s="13"/>
      <c r="Z141" s="14" t="s">
        <v>1489</v>
      </c>
      <c r="AA141" s="19" t="s">
        <v>1490</v>
      </c>
      <c r="AB141" s="14" t="s">
        <v>1491</v>
      </c>
      <c r="AC141" s="14"/>
    </row>
    <row r="142" spans="1:29" ht="60">
      <c r="A142" s="8" t="str">
        <f>HYPERLINK("https://drive.google.com/a/scoutsdemadrid.org/file/d/1Ibs50KPK5dbv0dWqZDwuo_PN8tWisgd3/view?usp=drivesdk","Zona Campamento")</f>
        <v>Zona Campamento</v>
      </c>
      <c r="B142" s="10" t="s">
        <v>977</v>
      </c>
      <c r="C142" s="10" t="s">
        <v>167</v>
      </c>
      <c r="D142" s="12">
        <v>2019</v>
      </c>
      <c r="E142" s="13" t="s">
        <v>1107</v>
      </c>
      <c r="F142" s="14" t="s">
        <v>1108</v>
      </c>
      <c r="G142" s="15">
        <v>43659</v>
      </c>
      <c r="H142" s="15">
        <v>43677</v>
      </c>
      <c r="I142" s="13" t="s">
        <v>1492</v>
      </c>
      <c r="J142" s="13" t="s">
        <v>1493</v>
      </c>
      <c r="K142" s="13" t="s">
        <v>1494</v>
      </c>
      <c r="L142" s="13" t="s">
        <v>1495</v>
      </c>
      <c r="M142" s="13" t="s">
        <v>1496</v>
      </c>
      <c r="N142" s="13">
        <v>649339377</v>
      </c>
      <c r="O142" s="13" t="s">
        <v>1497</v>
      </c>
      <c r="P142" s="13">
        <v>2700</v>
      </c>
      <c r="Q142" s="13" t="s">
        <v>1498</v>
      </c>
      <c r="R142" s="13" t="s">
        <v>100</v>
      </c>
      <c r="S142" s="13" t="s">
        <v>55</v>
      </c>
      <c r="T142" s="13" t="s">
        <v>1499</v>
      </c>
      <c r="U142" s="13" t="s">
        <v>1272</v>
      </c>
      <c r="V142" s="13" t="s">
        <v>1500</v>
      </c>
      <c r="W142" s="13" t="s">
        <v>230</v>
      </c>
      <c r="X142" s="13" t="s">
        <v>1501</v>
      </c>
      <c r="Y142" s="13" t="s">
        <v>55</v>
      </c>
      <c r="Z142" s="14" t="s">
        <v>1502</v>
      </c>
      <c r="AA142" s="19" t="s">
        <v>1503</v>
      </c>
      <c r="AB142" s="14" t="s">
        <v>1504</v>
      </c>
      <c r="AC142" s="14"/>
    </row>
    <row r="143" spans="1:29" ht="72">
      <c r="A143" s="8" t="str">
        <f>HYPERLINK("https://drive.google.com/a/scoutsdemadrid.org/file/d/1a-OZoe4GjssLR_MVQdHYcbszSbVE7eox/view?usp=drivesdk","Zona Campamento")</f>
        <v>Zona Campamento</v>
      </c>
      <c r="B143" s="10" t="s">
        <v>978</v>
      </c>
      <c r="C143" s="10" t="s">
        <v>129</v>
      </c>
      <c r="D143" s="12">
        <v>2015</v>
      </c>
      <c r="E143" s="13" t="s">
        <v>67</v>
      </c>
      <c r="F143" s="43" t="s">
        <v>68</v>
      </c>
      <c r="G143" s="15">
        <v>42188</v>
      </c>
      <c r="H143" s="15">
        <v>42200</v>
      </c>
      <c r="I143" s="13" t="s">
        <v>1505</v>
      </c>
      <c r="J143" s="13" t="s">
        <v>1506</v>
      </c>
      <c r="K143" s="13"/>
      <c r="L143" s="13"/>
      <c r="M143" s="13"/>
      <c r="N143" s="13"/>
      <c r="O143" s="13"/>
      <c r="P143" s="13"/>
      <c r="Q143" s="13"/>
      <c r="R143" s="13"/>
      <c r="S143" s="13"/>
      <c r="T143" s="13"/>
      <c r="U143" s="13"/>
      <c r="V143" s="13"/>
      <c r="W143" s="13"/>
      <c r="X143" s="13"/>
      <c r="Y143" s="13"/>
      <c r="Z143" s="14" t="s">
        <v>1507</v>
      </c>
      <c r="AA143" s="19" t="s">
        <v>1508</v>
      </c>
      <c r="AB143" s="14" t="s">
        <v>1509</v>
      </c>
      <c r="AC143" s="14"/>
    </row>
    <row r="144" spans="1:29" ht="120">
      <c r="A144" s="8" t="str">
        <f>HYPERLINK("https://drive.google.com/a/scoutsdemadrid.org/file/d/1cuHk2Ka67O8MswD-QMTqikErNXWCNTc5/view?usp=drivesdk","Zona Campamento")</f>
        <v>Zona Campamento</v>
      </c>
      <c r="B144" s="10" t="s">
        <v>978</v>
      </c>
      <c r="C144" s="25" t="s">
        <v>129</v>
      </c>
      <c r="D144" s="12">
        <v>2019</v>
      </c>
      <c r="E144" s="13" t="s">
        <v>168</v>
      </c>
      <c r="F144" s="43" t="s">
        <v>1510</v>
      </c>
      <c r="G144" s="15">
        <v>43647</v>
      </c>
      <c r="H144" s="15">
        <v>43660</v>
      </c>
      <c r="I144" s="13" t="s">
        <v>1505</v>
      </c>
      <c r="J144" s="13" t="s">
        <v>1511</v>
      </c>
      <c r="K144" s="13" t="s">
        <v>1512</v>
      </c>
      <c r="L144" s="30" t="s">
        <v>1513</v>
      </c>
      <c r="M144" s="13" t="s">
        <v>1514</v>
      </c>
      <c r="N144" s="13">
        <v>661093233</v>
      </c>
      <c r="O144" s="13" t="s">
        <v>1515</v>
      </c>
      <c r="P144" s="13">
        <v>235</v>
      </c>
      <c r="Q144" s="13" t="s">
        <v>1516</v>
      </c>
      <c r="R144" s="13" t="s">
        <v>54</v>
      </c>
      <c r="S144" s="13" t="s">
        <v>55</v>
      </c>
      <c r="T144" s="13" t="s">
        <v>1517</v>
      </c>
      <c r="U144" s="13" t="s">
        <v>1518</v>
      </c>
      <c r="V144" s="13" t="s">
        <v>1519</v>
      </c>
      <c r="W144" s="13" t="s">
        <v>1520</v>
      </c>
      <c r="X144" s="13" t="s">
        <v>1521</v>
      </c>
      <c r="Y144" s="13" t="s">
        <v>55</v>
      </c>
      <c r="Z144" s="14" t="s">
        <v>1522</v>
      </c>
      <c r="AA144" s="19" t="s">
        <v>1523</v>
      </c>
      <c r="AB144" s="14" t="s">
        <v>1509</v>
      </c>
      <c r="AC144" s="14"/>
    </row>
    <row r="145" spans="1:29" ht="60">
      <c r="A145" s="8" t="str">
        <f>HYPERLINK("https://drive.google.com/a/scoutsdemadrid.org/file/d/18DS_1FgetB5u8yb_UX28cM0A_Vcod8le/view?usp=drivesdk","Zona Campamento")</f>
        <v>Zona Campamento</v>
      </c>
      <c r="B145" s="10" t="s">
        <v>1524</v>
      </c>
      <c r="C145" s="10" t="s">
        <v>202</v>
      </c>
      <c r="D145" s="12">
        <v>2017</v>
      </c>
      <c r="E145" s="13" t="s">
        <v>1107</v>
      </c>
      <c r="F145" s="14" t="s">
        <v>1525</v>
      </c>
      <c r="G145" s="15">
        <v>42931</v>
      </c>
      <c r="H145" s="15">
        <v>42938</v>
      </c>
      <c r="I145" s="13" t="s">
        <v>1526</v>
      </c>
      <c r="J145" s="13"/>
      <c r="K145" s="13"/>
      <c r="L145" s="13"/>
      <c r="M145" s="13" t="s">
        <v>1527</v>
      </c>
      <c r="N145" s="13"/>
      <c r="O145" s="13"/>
      <c r="P145" s="13"/>
      <c r="Q145" s="13"/>
      <c r="R145" s="13" t="s">
        <v>54</v>
      </c>
      <c r="S145" s="13" t="s">
        <v>55</v>
      </c>
      <c r="T145" s="13"/>
      <c r="U145" s="13"/>
      <c r="V145" s="13"/>
      <c r="W145" s="13"/>
      <c r="X145" s="13"/>
      <c r="Y145" s="13" t="s">
        <v>55</v>
      </c>
      <c r="Z145" s="14" t="s">
        <v>1528</v>
      </c>
      <c r="AA145" s="19" t="s">
        <v>1529</v>
      </c>
      <c r="AB145" s="14" t="s">
        <v>1530</v>
      </c>
      <c r="AC145" s="14"/>
    </row>
    <row r="146" spans="1:29" ht="108">
      <c r="A146" s="8" t="str">
        <f>HYPERLINK("https://drive.google.com/a/scoutsdemadrid.org/file/d/12nCZTnjrar6gGDtzvlJzyOxXAKIcoM3p/view?usp=drivesdk","Zona Campamento")</f>
        <v>Zona Campamento</v>
      </c>
      <c r="B146" s="10" t="s">
        <v>1524</v>
      </c>
      <c r="C146" s="25" t="s">
        <v>61</v>
      </c>
      <c r="D146" s="12">
        <v>2012</v>
      </c>
      <c r="E146" s="13" t="s">
        <v>1531</v>
      </c>
      <c r="F146" s="14" t="s">
        <v>1532</v>
      </c>
      <c r="G146" s="15">
        <v>41106</v>
      </c>
      <c r="H146" s="15">
        <v>41120</v>
      </c>
      <c r="I146" s="13" t="s">
        <v>1533</v>
      </c>
      <c r="J146" s="13" t="s">
        <v>1534</v>
      </c>
      <c r="K146" s="13"/>
      <c r="L146" s="26" t="s">
        <v>1535</v>
      </c>
      <c r="M146" s="13"/>
      <c r="N146" s="13"/>
      <c r="O146" s="13"/>
      <c r="P146" s="13"/>
      <c r="Q146" s="13"/>
      <c r="R146" s="13"/>
      <c r="S146" s="13"/>
      <c r="T146" s="13"/>
      <c r="U146" s="13"/>
      <c r="V146" s="13"/>
      <c r="W146" s="13"/>
      <c r="X146" s="13"/>
      <c r="Y146" s="13"/>
      <c r="Z146" s="14" t="s">
        <v>1536</v>
      </c>
      <c r="AA146" s="19" t="s">
        <v>1537</v>
      </c>
      <c r="AB146" s="14" t="s">
        <v>1538</v>
      </c>
      <c r="AC146" s="14"/>
    </row>
    <row r="147" spans="1:29" ht="60">
      <c r="A147" s="44" t="str">
        <f>HYPERLINK("https://drive.google.com/a/scoutsdemadrid.org/file/d/12E_BTcDpdoSQFAXifIwwqbRuxW7lz0A3/view?usp=drivesdk","Zona Campamento")</f>
        <v>Zona Campamento</v>
      </c>
      <c r="B147" s="10" t="s">
        <v>1524</v>
      </c>
      <c r="C147" s="20" t="s">
        <v>61</v>
      </c>
      <c r="D147" s="12">
        <v>2018</v>
      </c>
      <c r="E147" s="23" t="s">
        <v>868</v>
      </c>
      <c r="F147" s="23" t="str">
        <f>F146</f>
        <v xml:space="preserve">gs.lince@scoutsdemadrid.org </v>
      </c>
      <c r="G147" s="15">
        <v>43293</v>
      </c>
      <c r="H147" s="15">
        <v>43311</v>
      </c>
      <c r="I147" s="23" t="s">
        <v>1539</v>
      </c>
      <c r="J147" s="23" t="s">
        <v>1540</v>
      </c>
      <c r="K147" s="13" t="s">
        <v>1541</v>
      </c>
      <c r="L147" s="13" t="s">
        <v>1542</v>
      </c>
      <c r="M147" s="23" t="s">
        <v>1543</v>
      </c>
      <c r="N147" s="23" t="s">
        <v>1544</v>
      </c>
      <c r="O147" s="23" t="s">
        <v>1545</v>
      </c>
      <c r="P147" s="27">
        <v>500</v>
      </c>
      <c r="Q147" s="23" t="s">
        <v>1546</v>
      </c>
      <c r="R147" s="23" t="s">
        <v>54</v>
      </c>
      <c r="S147" s="23" t="s">
        <v>55</v>
      </c>
      <c r="T147" s="23" t="s">
        <v>883</v>
      </c>
      <c r="U147" s="23" t="s">
        <v>1547</v>
      </c>
      <c r="V147" s="23" t="s">
        <v>103</v>
      </c>
      <c r="W147" s="23" t="s">
        <v>372</v>
      </c>
      <c r="X147" s="23" t="s">
        <v>1548</v>
      </c>
      <c r="Y147" s="23" t="s">
        <v>55</v>
      </c>
      <c r="Z147" s="14" t="s">
        <v>1549</v>
      </c>
      <c r="AA147" s="19" t="s">
        <v>1550</v>
      </c>
      <c r="AB147" s="14" t="s">
        <v>1551</v>
      </c>
      <c r="AC147" s="14"/>
    </row>
    <row r="148" spans="1:29" ht="72">
      <c r="A148" s="8" t="str">
        <f>HYPERLINK("https://drive.google.com/a/scoutsdemadrid.org/file/d/1ssfJ-b0hB8n7rQQ5_8C6m-asfvAJtPS9/view?usp=drivesdk","Zona Campamento")</f>
        <v>Zona Campamento</v>
      </c>
      <c r="B148" s="10" t="s">
        <v>979</v>
      </c>
      <c r="C148" s="20" t="s">
        <v>179</v>
      </c>
      <c r="D148" s="12">
        <v>2016</v>
      </c>
      <c r="E148" s="23" t="s">
        <v>483</v>
      </c>
      <c r="F148" s="14" t="s">
        <v>484</v>
      </c>
      <c r="G148" s="24">
        <v>42566</v>
      </c>
      <c r="H148" s="24">
        <v>42581</v>
      </c>
      <c r="I148" s="23" t="s">
        <v>1552</v>
      </c>
      <c r="J148" s="14" t="s">
        <v>1553</v>
      </c>
      <c r="K148" s="13"/>
      <c r="L148" s="14" t="s">
        <v>1554</v>
      </c>
      <c r="M148" s="14" t="s">
        <v>1555</v>
      </c>
      <c r="N148" s="14">
        <v>982390306</v>
      </c>
      <c r="O148" s="13"/>
      <c r="P148" s="14" t="s">
        <v>1556</v>
      </c>
      <c r="Q148" s="13"/>
      <c r="R148" s="14" t="s">
        <v>54</v>
      </c>
      <c r="S148" s="14" t="s">
        <v>55</v>
      </c>
      <c r="T148" s="14" t="s">
        <v>1557</v>
      </c>
      <c r="U148" s="14" t="s">
        <v>1558</v>
      </c>
      <c r="V148" s="13"/>
      <c r="W148" s="13"/>
      <c r="X148" s="13"/>
      <c r="Y148" s="13"/>
      <c r="Z148" s="14" t="s">
        <v>1559</v>
      </c>
      <c r="AA148" s="19" t="s">
        <v>1560</v>
      </c>
      <c r="AB148" s="14" t="s">
        <v>1561</v>
      </c>
      <c r="AC148" s="14"/>
    </row>
    <row r="149" spans="1:29" ht="96">
      <c r="A149" s="8" t="str">
        <f>HYPERLINK("https://drive.google.com/a/scoutsdemadrid.org/file/d/1QIL5uMAfpPbtlprnEItyUVZ46a-OcUSa/view?usp=drivesdk","Zona Campamento")</f>
        <v>Zona Campamento</v>
      </c>
      <c r="B149" s="10" t="s">
        <v>979</v>
      </c>
      <c r="C149" s="25" t="s">
        <v>180</v>
      </c>
      <c r="D149" s="12">
        <v>2017</v>
      </c>
      <c r="E149" s="13" t="s">
        <v>236</v>
      </c>
      <c r="F149" s="14" t="s">
        <v>237</v>
      </c>
      <c r="G149" s="15">
        <v>42931</v>
      </c>
      <c r="H149" s="15">
        <v>42946</v>
      </c>
      <c r="I149" s="13" t="s">
        <v>1562</v>
      </c>
      <c r="J149" s="13"/>
      <c r="K149" s="13"/>
      <c r="L149" s="13"/>
      <c r="M149" s="13" t="s">
        <v>1563</v>
      </c>
      <c r="N149" s="13"/>
      <c r="O149" s="13"/>
      <c r="P149" s="13"/>
      <c r="Q149" s="13"/>
      <c r="R149" s="13"/>
      <c r="S149" s="13"/>
      <c r="T149" s="13"/>
      <c r="U149" s="13"/>
      <c r="V149" s="13"/>
      <c r="W149" s="13"/>
      <c r="X149" s="13" t="s">
        <v>1564</v>
      </c>
      <c r="Y149" s="13"/>
      <c r="Z149" s="14" t="s">
        <v>1565</v>
      </c>
      <c r="AA149" s="19" t="s">
        <v>1566</v>
      </c>
      <c r="AB149" s="14" t="s">
        <v>1567</v>
      </c>
      <c r="AC149" s="14"/>
    </row>
    <row r="150" spans="1:29" ht="60">
      <c r="A150" s="8" t="str">
        <f>HYPERLINK("https://drive.google.com/a/scoutsdemadrid.org/file/d/1GrrkFQjNtAx1Jzw1_ojmSe7cx9ZPZYDm/view?usp=drivesdk","Zona Campamento")</f>
        <v>Zona Campamento</v>
      </c>
      <c r="B150" s="10" t="s">
        <v>979</v>
      </c>
      <c r="C150" s="20" t="s">
        <v>183</v>
      </c>
      <c r="D150" s="12">
        <v>2017</v>
      </c>
      <c r="E150" s="13" t="s">
        <v>132</v>
      </c>
      <c r="F150" s="14" t="s">
        <v>237</v>
      </c>
      <c r="G150" s="15">
        <v>42935</v>
      </c>
      <c r="H150" s="15">
        <v>42946</v>
      </c>
      <c r="I150" s="13" t="s">
        <v>1568</v>
      </c>
      <c r="J150" s="13"/>
      <c r="K150" s="13"/>
      <c r="L150" s="13" t="s">
        <v>1569</v>
      </c>
      <c r="M150" s="13" t="s">
        <v>1570</v>
      </c>
      <c r="N150" s="13"/>
      <c r="O150" s="13" t="s">
        <v>1571</v>
      </c>
      <c r="P150" s="13" t="s">
        <v>1572</v>
      </c>
      <c r="Q150" s="13" t="s">
        <v>290</v>
      </c>
      <c r="R150" s="13" t="s">
        <v>54</v>
      </c>
      <c r="S150" s="13" t="s">
        <v>103</v>
      </c>
      <c r="T150" s="13" t="s">
        <v>1573</v>
      </c>
      <c r="U150" s="13"/>
      <c r="V150" s="13" t="s">
        <v>1112</v>
      </c>
      <c r="W150" s="13"/>
      <c r="X150" s="13"/>
      <c r="Y150" s="13"/>
      <c r="Z150" s="14" t="s">
        <v>1574</v>
      </c>
      <c r="AA150" s="19" t="s">
        <v>1575</v>
      </c>
      <c r="AB150" s="14" t="s">
        <v>1576</v>
      </c>
      <c r="AC150" s="14"/>
    </row>
    <row r="151" spans="1:29" ht="60">
      <c r="A151" s="8" t="str">
        <f>HYPERLINK("https://drive.google.com/a/scoutsdemadrid.org/file/d/1_XXLzZgX-o2JaghB0oPUwWgHebliPnpy/view?usp=drivesdk","Zona Campamento")</f>
        <v>Zona Campamento</v>
      </c>
      <c r="B151" s="10" t="s">
        <v>979</v>
      </c>
      <c r="C151" s="20" t="s">
        <v>179</v>
      </c>
      <c r="D151" s="12">
        <v>2016</v>
      </c>
      <c r="E151" s="23" t="s">
        <v>483</v>
      </c>
      <c r="F151" s="14" t="s">
        <v>484</v>
      </c>
      <c r="G151" s="24">
        <v>42566</v>
      </c>
      <c r="H151" s="24">
        <v>42581</v>
      </c>
      <c r="I151" s="23" t="s">
        <v>1552</v>
      </c>
      <c r="J151" s="14" t="s">
        <v>1553</v>
      </c>
      <c r="K151" s="13"/>
      <c r="L151" s="14" t="s">
        <v>1554</v>
      </c>
      <c r="M151" s="14" t="s">
        <v>1555</v>
      </c>
      <c r="N151" s="14">
        <v>982390306</v>
      </c>
      <c r="O151" s="13"/>
      <c r="P151" s="14" t="s">
        <v>1556</v>
      </c>
      <c r="Q151" s="13"/>
      <c r="R151" s="14" t="s">
        <v>54</v>
      </c>
      <c r="S151" s="14" t="s">
        <v>55</v>
      </c>
      <c r="T151" s="14" t="s">
        <v>1557</v>
      </c>
      <c r="U151" s="14" t="s">
        <v>1558</v>
      </c>
      <c r="V151" s="13"/>
      <c r="W151" s="13"/>
      <c r="X151" s="13"/>
      <c r="Y151" s="13"/>
      <c r="Z151" s="14" t="s">
        <v>1577</v>
      </c>
      <c r="AA151" s="19" t="s">
        <v>1578</v>
      </c>
      <c r="AB151" s="14" t="s">
        <v>1579</v>
      </c>
      <c r="AC151" s="14"/>
    </row>
    <row r="152" spans="1:29" ht="60">
      <c r="A152" s="8" t="str">
        <f>HYPERLINK("https://drive.google.com/a/scoutsdemadrid.org/file/d/1RhWVQ44G7cBOlPVvsJg9v15ME0rYDpUg/view?usp=drivesdk","Zona Campamento")</f>
        <v>Zona Campamento</v>
      </c>
      <c r="B152" s="10" t="s">
        <v>979</v>
      </c>
      <c r="C152" s="20" t="s">
        <v>183</v>
      </c>
      <c r="D152" s="12">
        <v>2016</v>
      </c>
      <c r="E152" s="23" t="s">
        <v>1580</v>
      </c>
      <c r="F152" s="14" t="s">
        <v>1581</v>
      </c>
      <c r="G152" s="24">
        <v>42567</v>
      </c>
      <c r="H152" s="24">
        <v>42582</v>
      </c>
      <c r="I152" s="23" t="s">
        <v>183</v>
      </c>
      <c r="J152" s="13"/>
      <c r="K152" s="13"/>
      <c r="L152" s="13"/>
      <c r="M152" s="14" t="s">
        <v>1582</v>
      </c>
      <c r="N152" s="13"/>
      <c r="O152" s="13"/>
      <c r="P152" s="13"/>
      <c r="Q152" s="13"/>
      <c r="R152" s="13"/>
      <c r="S152" s="13"/>
      <c r="T152" s="13"/>
      <c r="U152" s="13"/>
      <c r="V152" s="13"/>
      <c r="W152" s="13"/>
      <c r="X152" s="13"/>
      <c r="Y152" s="13"/>
      <c r="Z152" s="14" t="s">
        <v>1583</v>
      </c>
      <c r="AA152" s="19" t="s">
        <v>1584</v>
      </c>
      <c r="AB152" s="14" t="s">
        <v>1585</v>
      </c>
      <c r="AC152" s="14"/>
    </row>
    <row r="153" spans="1:29" ht="60">
      <c r="A153" s="8" t="str">
        <f>HYPERLINK("https://drive.google.com/a/scoutsdemadrid.org/file/d/1HoSfnGgNRXidlRrhO6HwFwku6_xHRg_z/view?usp=drivesdk","Zona Campamento")</f>
        <v>Zona Campamento</v>
      </c>
      <c r="B153" s="10" t="s">
        <v>979</v>
      </c>
      <c r="C153" s="20" t="s">
        <v>183</v>
      </c>
      <c r="D153" s="12">
        <v>2016</v>
      </c>
      <c r="E153" s="23" t="s">
        <v>1580</v>
      </c>
      <c r="F153" s="14" t="s">
        <v>1581</v>
      </c>
      <c r="G153" s="24">
        <v>42567</v>
      </c>
      <c r="H153" s="24">
        <v>42582</v>
      </c>
      <c r="I153" s="23" t="s">
        <v>183</v>
      </c>
      <c r="J153" s="14" t="s">
        <v>1586</v>
      </c>
      <c r="K153" s="13"/>
      <c r="L153" s="13"/>
      <c r="M153" s="14" t="s">
        <v>1582</v>
      </c>
      <c r="N153" s="13"/>
      <c r="O153" s="13"/>
      <c r="P153" s="13"/>
      <c r="Q153" s="13"/>
      <c r="R153" s="13"/>
      <c r="S153" s="13"/>
      <c r="T153" s="13"/>
      <c r="U153" s="13"/>
      <c r="V153" s="13"/>
      <c r="W153" s="13"/>
      <c r="X153" s="13"/>
      <c r="Y153" s="13"/>
      <c r="Z153" s="14" t="s">
        <v>1587</v>
      </c>
      <c r="AA153" s="19" t="s">
        <v>1588</v>
      </c>
      <c r="AB153" s="14" t="s">
        <v>1589</v>
      </c>
      <c r="AC153" s="14"/>
    </row>
    <row r="154" spans="1:29" ht="60">
      <c r="A154" s="8" t="str">
        <f>HYPERLINK("https://drive.google.com/a/scoutsdemadrid.org/file/d/1Lodhy1YZp7MBeqjbHhxkY3XOZkmzs2_Z/view?usp=drivesdk","Zona Campamento")</f>
        <v>Zona Campamento</v>
      </c>
      <c r="B154" s="10" t="s">
        <v>979</v>
      </c>
      <c r="C154" s="10" t="s">
        <v>183</v>
      </c>
      <c r="D154" s="12">
        <v>2012</v>
      </c>
      <c r="E154" s="13" t="s">
        <v>1590</v>
      </c>
      <c r="F154" s="14" t="s">
        <v>1591</v>
      </c>
      <c r="G154" s="15">
        <v>41106</v>
      </c>
      <c r="H154" s="15">
        <v>41120</v>
      </c>
      <c r="I154" s="13" t="s">
        <v>1592</v>
      </c>
      <c r="J154" s="13" t="s">
        <v>1592</v>
      </c>
      <c r="K154" s="13"/>
      <c r="L154" s="13"/>
      <c r="M154" s="13"/>
      <c r="N154" s="13"/>
      <c r="O154" s="13"/>
      <c r="P154" s="13"/>
      <c r="Q154" s="13"/>
      <c r="R154" s="13"/>
      <c r="S154" s="13"/>
      <c r="T154" s="13"/>
      <c r="U154" s="13"/>
      <c r="V154" s="13"/>
      <c r="W154" s="13"/>
      <c r="X154" s="13"/>
      <c r="Y154" s="13"/>
      <c r="Z154" s="14" t="s">
        <v>1593</v>
      </c>
      <c r="AA154" s="19" t="s">
        <v>1594</v>
      </c>
      <c r="AB154" s="14" t="s">
        <v>1595</v>
      </c>
      <c r="AC154" s="14"/>
    </row>
    <row r="155" spans="1:29" ht="60">
      <c r="A155" s="8" t="str">
        <f>HYPERLINK("https://drive.google.com/a/scoutsdemadrid.org/file/d/11WFxLJt5cYyT69r1KbBr2HW2ptfw-WQo/view?usp=drivesdk","Zona Campamento")</f>
        <v>Zona Campamento</v>
      </c>
      <c r="B155" s="10" t="s">
        <v>979</v>
      </c>
      <c r="C155" s="20" t="s">
        <v>179</v>
      </c>
      <c r="D155" s="12">
        <v>2018</v>
      </c>
      <c r="E155" s="23" t="s">
        <v>360</v>
      </c>
      <c r="F155" s="23" t="str">
        <f>F154</f>
        <v xml:space="preserve">gssantanaysanlafael@scoutsdemadrid.org  </v>
      </c>
      <c r="G155" s="15">
        <v>43295</v>
      </c>
      <c r="H155" s="15">
        <v>43311</v>
      </c>
      <c r="I155" s="23" t="s">
        <v>1596</v>
      </c>
      <c r="J155" s="23" t="s">
        <v>1597</v>
      </c>
      <c r="K155" s="13" t="s">
        <v>1598</v>
      </c>
      <c r="L155" s="23" t="s">
        <v>1599</v>
      </c>
      <c r="M155" s="23" t="s">
        <v>1600</v>
      </c>
      <c r="N155" s="23">
        <v>982543066</v>
      </c>
      <c r="O155" s="13" t="s">
        <v>1601</v>
      </c>
      <c r="P155" s="23" t="s">
        <v>259</v>
      </c>
      <c r="Q155" s="13" t="s">
        <v>1602</v>
      </c>
      <c r="R155" s="23" t="s">
        <v>100</v>
      </c>
      <c r="S155" s="23" t="s">
        <v>55</v>
      </c>
      <c r="T155" s="23" t="s">
        <v>1603</v>
      </c>
      <c r="U155" s="23" t="s">
        <v>1604</v>
      </c>
      <c r="V155" s="13" t="s">
        <v>555</v>
      </c>
      <c r="W155" s="13" t="s">
        <v>372</v>
      </c>
      <c r="X155" s="13" t="s">
        <v>1605</v>
      </c>
      <c r="Y155" s="13"/>
      <c r="Z155" s="14" t="s">
        <v>1606</v>
      </c>
      <c r="AA155" s="19" t="s">
        <v>1607</v>
      </c>
      <c r="AB155" s="14" t="s">
        <v>1608</v>
      </c>
      <c r="AC155" s="14"/>
    </row>
    <row r="156" spans="1:29" ht="72">
      <c r="A156" s="8" t="str">
        <f>HYPERLINK("https://drive.google.com/a/scoutsdemadrid.org/file/d/1l-va1jw0T0ZgwMJvW217pOENpLQ5msK6/view?usp=drivesdk","Zona Campamento")</f>
        <v>Zona Campamento</v>
      </c>
      <c r="B156" s="10" t="s">
        <v>979</v>
      </c>
      <c r="C156" s="25" t="s">
        <v>44</v>
      </c>
      <c r="D156" s="12">
        <v>2019</v>
      </c>
      <c r="E156" s="23" t="s">
        <v>467</v>
      </c>
      <c r="F156" s="14" t="s">
        <v>468</v>
      </c>
      <c r="G156" s="15">
        <v>43662</v>
      </c>
      <c r="H156" s="15">
        <v>43676</v>
      </c>
      <c r="I156" s="23" t="s">
        <v>1609</v>
      </c>
      <c r="J156" s="23" t="s">
        <v>1610</v>
      </c>
      <c r="K156" s="13" t="s">
        <v>1611</v>
      </c>
      <c r="L156" s="23" t="s">
        <v>1612</v>
      </c>
      <c r="M156" s="23" t="s">
        <v>1613</v>
      </c>
      <c r="N156" s="23">
        <v>654474999</v>
      </c>
      <c r="O156" s="13" t="s">
        <v>1614</v>
      </c>
      <c r="P156" s="23">
        <v>3339.6</v>
      </c>
      <c r="Q156" s="13" t="s">
        <v>1615</v>
      </c>
      <c r="R156" s="23" t="s">
        <v>54</v>
      </c>
      <c r="S156" s="23" t="s">
        <v>55</v>
      </c>
      <c r="T156" s="23" t="s">
        <v>1616</v>
      </c>
      <c r="U156" s="23" t="s">
        <v>1617</v>
      </c>
      <c r="V156" s="13" t="s">
        <v>1618</v>
      </c>
      <c r="W156" s="13" t="s">
        <v>55</v>
      </c>
      <c r="X156" s="13" t="s">
        <v>1619</v>
      </c>
      <c r="Y156" s="13" t="s">
        <v>55</v>
      </c>
      <c r="Z156" s="14" t="s">
        <v>1620</v>
      </c>
      <c r="AA156" s="19" t="s">
        <v>1621</v>
      </c>
      <c r="AB156" s="14" t="s">
        <v>1622</v>
      </c>
      <c r="AC156" s="14"/>
    </row>
    <row r="157" spans="1:29" ht="72">
      <c r="A157" s="8" t="str">
        <f>HYPERLINK("https://drive.google.com/a/scoutsdemadrid.org/file/d/1E6FQ_vMOtr0kRnMZROt-c7r5TU4obWOQ/view?usp=drivesdk","Zona Campamento")</f>
        <v>Zona Campamento</v>
      </c>
      <c r="B157" s="10" t="s">
        <v>164</v>
      </c>
      <c r="C157" s="10" t="s">
        <v>164</v>
      </c>
      <c r="D157" s="12">
        <v>2017</v>
      </c>
      <c r="E157" s="13" t="s">
        <v>1580</v>
      </c>
      <c r="F157" s="14" t="s">
        <v>1623</v>
      </c>
      <c r="G157" s="15">
        <v>42932</v>
      </c>
      <c r="H157" s="15">
        <v>42947</v>
      </c>
      <c r="I157" s="13" t="s">
        <v>1624</v>
      </c>
      <c r="J157" s="13"/>
      <c r="K157" s="13"/>
      <c r="L157" s="13"/>
      <c r="M157" s="13" t="s">
        <v>1625</v>
      </c>
      <c r="N157" s="13"/>
      <c r="O157" s="13" t="s">
        <v>1626</v>
      </c>
      <c r="P157" s="13"/>
      <c r="Q157" s="13"/>
      <c r="R157" s="13" t="s">
        <v>54</v>
      </c>
      <c r="S157" s="13" t="s">
        <v>55</v>
      </c>
      <c r="T157" s="13"/>
      <c r="U157" s="13"/>
      <c r="V157" s="13"/>
      <c r="W157" s="13"/>
      <c r="X157" s="13"/>
      <c r="Y157" s="13"/>
      <c r="Z157" s="14" t="s">
        <v>1627</v>
      </c>
      <c r="AA157" s="19" t="s">
        <v>1628</v>
      </c>
      <c r="AB157" s="14" t="s">
        <v>1629</v>
      </c>
      <c r="AC157" s="14"/>
    </row>
    <row r="158" spans="1:29" ht="60">
      <c r="A158" s="8" t="str">
        <f>HYPERLINK("https://drive.google.com/a/scoutsdemadrid.org/file/d/19IU8dJg0hG06COCR9Rxx4zbLulzR-jz7/view?usp=drivesdk","Zona Campamento")</f>
        <v>Zona Campamento</v>
      </c>
      <c r="B158" s="10" t="s">
        <v>164</v>
      </c>
      <c r="C158" s="10" t="s">
        <v>174</v>
      </c>
      <c r="D158" s="12">
        <v>2015</v>
      </c>
      <c r="E158" s="13" t="s">
        <v>1630</v>
      </c>
      <c r="F158" s="14" t="s">
        <v>48</v>
      </c>
      <c r="G158" s="15">
        <v>42186</v>
      </c>
      <c r="H158" s="15">
        <v>42200</v>
      </c>
      <c r="I158" s="13" t="s">
        <v>1631</v>
      </c>
      <c r="J158" s="13" t="s">
        <v>1632</v>
      </c>
      <c r="K158" s="13"/>
      <c r="L158" s="13"/>
      <c r="M158" s="13"/>
      <c r="N158" s="13"/>
      <c r="O158" s="13"/>
      <c r="P158" s="13"/>
      <c r="Q158" s="13"/>
      <c r="R158" s="13"/>
      <c r="S158" s="13"/>
      <c r="T158" s="13"/>
      <c r="U158" s="13"/>
      <c r="V158" s="13"/>
      <c r="W158" s="13"/>
      <c r="X158" s="13"/>
      <c r="Y158" s="13"/>
      <c r="Z158" s="14" t="s">
        <v>1633</v>
      </c>
      <c r="AA158" s="19" t="s">
        <v>1634</v>
      </c>
      <c r="AB158" s="14" t="s">
        <v>1635</v>
      </c>
      <c r="AC158" s="14"/>
    </row>
    <row r="159" spans="1:29" ht="60">
      <c r="A159" s="8" t="str">
        <f>HYPERLINK("https://drive.google.com/a/scoutsdemadrid.org/file/d/1YYTnQzK0kg3NqmW4eYVOiwftxlI_-bvc/view?usp=drivesdk","Zona Campamento")</f>
        <v>Zona Campamento</v>
      </c>
      <c r="B159" s="10" t="s">
        <v>1636</v>
      </c>
      <c r="C159" s="10" t="s">
        <v>181</v>
      </c>
      <c r="D159" s="12">
        <v>2017</v>
      </c>
      <c r="E159" s="13" t="s">
        <v>1637</v>
      </c>
      <c r="F159" s="14" t="s">
        <v>1638</v>
      </c>
      <c r="G159" s="15">
        <v>42921</v>
      </c>
      <c r="H159" s="15">
        <v>42931</v>
      </c>
      <c r="I159" s="13" t="s">
        <v>1639</v>
      </c>
      <c r="J159" s="13" t="s">
        <v>1640</v>
      </c>
      <c r="K159" s="13"/>
      <c r="L159" s="13"/>
      <c r="M159" s="13" t="s">
        <v>1641</v>
      </c>
      <c r="N159" s="13"/>
      <c r="O159" s="13"/>
      <c r="P159" s="13"/>
      <c r="Q159" s="13"/>
      <c r="R159" s="13" t="s">
        <v>54</v>
      </c>
      <c r="S159" s="13" t="s">
        <v>55</v>
      </c>
      <c r="T159" s="13" t="s">
        <v>949</v>
      </c>
      <c r="U159" s="13" t="s">
        <v>1642</v>
      </c>
      <c r="V159" s="13" t="s">
        <v>1643</v>
      </c>
      <c r="W159" s="13" t="s">
        <v>1112</v>
      </c>
      <c r="X159" s="13" t="s">
        <v>1644</v>
      </c>
      <c r="Y159" s="13" t="s">
        <v>103</v>
      </c>
      <c r="Z159" s="14" t="s">
        <v>1645</v>
      </c>
      <c r="AA159" s="19" t="s">
        <v>1646</v>
      </c>
      <c r="AB159" s="14" t="s">
        <v>1647</v>
      </c>
      <c r="AC159" s="14"/>
    </row>
    <row r="160" spans="1:29" ht="72">
      <c r="A160" s="8" t="str">
        <f>HYPERLINK("https://drive.google.com/a/scoutsdemadrid.org/file/d/17-0Mf0OW4gTLZcv8LJ6T8N8KyEOGkTnH/view?usp=drivesdk","Zona Campamento")</f>
        <v>Zona Campamento</v>
      </c>
      <c r="B160" s="10" t="s">
        <v>1636</v>
      </c>
      <c r="C160" s="10" t="s">
        <v>181</v>
      </c>
      <c r="D160" s="12">
        <v>2015</v>
      </c>
      <c r="E160" s="13" t="s">
        <v>1637</v>
      </c>
      <c r="F160" s="13" t="str">
        <f t="shared" ref="F160:F162" si="7">F159</f>
        <v xml:space="preserve">gs.altaira@scoutsdemadrid.org </v>
      </c>
      <c r="G160" s="15">
        <v>42188</v>
      </c>
      <c r="H160" s="15">
        <v>42197</v>
      </c>
      <c r="I160" s="13" t="s">
        <v>1639</v>
      </c>
      <c r="J160" s="13" t="s">
        <v>1648</v>
      </c>
      <c r="K160" s="13"/>
      <c r="L160" s="13"/>
      <c r="M160" s="13"/>
      <c r="N160" s="13"/>
      <c r="O160" s="13"/>
      <c r="P160" s="13"/>
      <c r="Q160" s="13"/>
      <c r="R160" s="13"/>
      <c r="S160" s="13"/>
      <c r="T160" s="13"/>
      <c r="U160" s="13"/>
      <c r="V160" s="13"/>
      <c r="W160" s="13"/>
      <c r="X160" s="13"/>
      <c r="Y160" s="13"/>
      <c r="Z160" s="14" t="s">
        <v>1649</v>
      </c>
      <c r="AA160" s="19" t="s">
        <v>1650</v>
      </c>
      <c r="AB160" s="14" t="s">
        <v>1647</v>
      </c>
      <c r="AC160" s="14"/>
    </row>
    <row r="161" spans="1:29" ht="60">
      <c r="A161" s="22" t="str">
        <f>HYPERLINK("https://drive.google.com/a/scoutsdemadrid.org/file/d/150V610FTjBvEHctdH36d2URrnfBLglT5/view?usp=drivesdk","Zona Campamento")</f>
        <v>Zona Campamento</v>
      </c>
      <c r="B161" s="10" t="s">
        <v>1636</v>
      </c>
      <c r="C161" s="20" t="s">
        <v>181</v>
      </c>
      <c r="D161" s="12">
        <v>2018</v>
      </c>
      <c r="E161" s="23" t="s">
        <v>1637</v>
      </c>
      <c r="F161" s="14" t="str">
        <f t="shared" si="7"/>
        <v xml:space="preserve">gs.altaira@scoutsdemadrid.org </v>
      </c>
      <c r="G161" s="45">
        <v>42557</v>
      </c>
      <c r="H161" s="45">
        <v>42566</v>
      </c>
      <c r="I161" s="23" t="s">
        <v>1639</v>
      </c>
      <c r="J161" s="43" t="s">
        <v>1648</v>
      </c>
      <c r="K161" s="13"/>
      <c r="L161" s="13"/>
      <c r="M161" s="13"/>
      <c r="N161" s="14">
        <v>659729841</v>
      </c>
      <c r="O161" s="14" t="s">
        <v>1651</v>
      </c>
      <c r="P161" s="13"/>
      <c r="Q161" s="13"/>
      <c r="R161" s="14" t="s">
        <v>54</v>
      </c>
      <c r="S161" s="14" t="s">
        <v>55</v>
      </c>
      <c r="T161" s="14" t="s">
        <v>949</v>
      </c>
      <c r="U161" s="14" t="s">
        <v>1335</v>
      </c>
      <c r="V161" s="14" t="s">
        <v>1652</v>
      </c>
      <c r="W161" s="14" t="s">
        <v>1112</v>
      </c>
      <c r="X161" s="13"/>
      <c r="Y161" s="14" t="s">
        <v>1112</v>
      </c>
      <c r="Z161" s="14" t="s">
        <v>1653</v>
      </c>
      <c r="AA161" s="19" t="s">
        <v>1654</v>
      </c>
      <c r="AB161" s="14" t="s">
        <v>1655</v>
      </c>
      <c r="AC161" s="14"/>
    </row>
    <row r="162" spans="1:29" ht="60">
      <c r="A162" s="8" t="str">
        <f>HYPERLINK("https://drive.google.com/a/scoutsdemadrid.org/file/d/1pwUwy0Czn6Lg9ZX-c9aRcZA1TbsL-eW7/view?usp=drivesdk","Zona Campamento")</f>
        <v>Zona Campamento</v>
      </c>
      <c r="B162" s="10" t="s">
        <v>1636</v>
      </c>
      <c r="C162" s="10" t="s">
        <v>181</v>
      </c>
      <c r="D162" s="12">
        <v>2018</v>
      </c>
      <c r="E162" s="13" t="s">
        <v>1637</v>
      </c>
      <c r="F162" s="13" t="str">
        <f t="shared" si="7"/>
        <v xml:space="preserve">gs.altaira@scoutsdemadrid.org </v>
      </c>
      <c r="G162" s="15">
        <v>43286</v>
      </c>
      <c r="H162" s="15">
        <v>43296</v>
      </c>
      <c r="I162" s="13" t="s">
        <v>1656</v>
      </c>
      <c r="J162" s="13" t="s">
        <v>1657</v>
      </c>
      <c r="K162" s="13" t="s">
        <v>1658</v>
      </c>
      <c r="L162" s="13" t="s">
        <v>1658</v>
      </c>
      <c r="M162" s="13" t="s">
        <v>1659</v>
      </c>
      <c r="N162" s="13">
        <v>918550004</v>
      </c>
      <c r="O162" s="13" t="s">
        <v>1660</v>
      </c>
      <c r="P162" s="13" t="s">
        <v>1661</v>
      </c>
      <c r="Q162" s="13" t="s">
        <v>1662</v>
      </c>
      <c r="R162" s="13" t="s">
        <v>54</v>
      </c>
      <c r="S162" s="13" t="s">
        <v>55</v>
      </c>
      <c r="T162" s="13" t="s">
        <v>592</v>
      </c>
      <c r="U162" s="13" t="s">
        <v>1428</v>
      </c>
      <c r="V162" s="13" t="s">
        <v>718</v>
      </c>
      <c r="W162" s="13" t="s">
        <v>1112</v>
      </c>
      <c r="X162" s="13" t="s">
        <v>1663</v>
      </c>
      <c r="Y162" s="13" t="s">
        <v>103</v>
      </c>
      <c r="Z162" s="14" t="s">
        <v>1664</v>
      </c>
      <c r="AA162" s="19" t="s">
        <v>1665</v>
      </c>
      <c r="AB162" s="14" t="s">
        <v>1666</v>
      </c>
      <c r="AC162" s="14"/>
    </row>
    <row r="163" spans="1:29" ht="60">
      <c r="A163" s="8" t="str">
        <f>HYPERLINK("https://drive.google.com/a/scoutsdemadrid.org/file/d/1U_h5ESn-uuOiso_d-o1sX1EwMOYaICf8/view?usp=drivesdk","Zona Campamento")</f>
        <v>Zona Campamento</v>
      </c>
      <c r="B163" s="10" t="s">
        <v>1636</v>
      </c>
      <c r="C163" s="10" t="s">
        <v>181</v>
      </c>
      <c r="D163" s="12">
        <v>2018</v>
      </c>
      <c r="E163" s="13" t="s">
        <v>941</v>
      </c>
      <c r="F163" s="14" t="s">
        <v>934</v>
      </c>
      <c r="G163" s="15">
        <v>43298</v>
      </c>
      <c r="H163" s="15">
        <v>43311</v>
      </c>
      <c r="I163" s="13" t="s">
        <v>1667</v>
      </c>
      <c r="J163" s="13" t="s">
        <v>1668</v>
      </c>
      <c r="K163" s="13" t="s">
        <v>1669</v>
      </c>
      <c r="L163" s="13" t="s">
        <v>1670</v>
      </c>
      <c r="M163" s="13" t="s">
        <v>1671</v>
      </c>
      <c r="N163" s="13">
        <v>917384740</v>
      </c>
      <c r="O163" s="13" t="s">
        <v>1672</v>
      </c>
      <c r="P163" s="13" t="s">
        <v>1673</v>
      </c>
      <c r="Q163" s="13" t="s">
        <v>1674</v>
      </c>
      <c r="R163" s="13" t="s">
        <v>54</v>
      </c>
      <c r="S163" s="13" t="s">
        <v>55</v>
      </c>
      <c r="T163" s="13" t="s">
        <v>1675</v>
      </c>
      <c r="U163" s="13" t="s">
        <v>1676</v>
      </c>
      <c r="V163" s="13" t="s">
        <v>1677</v>
      </c>
      <c r="W163" s="13" t="s">
        <v>55</v>
      </c>
      <c r="X163" s="13" t="s">
        <v>1678</v>
      </c>
      <c r="Y163" s="13" t="s">
        <v>103</v>
      </c>
      <c r="Z163" s="14" t="s">
        <v>1679</v>
      </c>
      <c r="AA163" s="19" t="s">
        <v>1680</v>
      </c>
      <c r="AB163" s="14" t="s">
        <v>1681</v>
      </c>
      <c r="AC163" s="14"/>
    </row>
    <row r="164" spans="1:29" ht="72">
      <c r="A164" s="8" t="str">
        <f>HYPERLINK("https://drive.google.com/a/scoutsdemadrid.org/file/d/1o1jwSFig7UJ-rcluyJKk4pS-hHtuDV2d/view?usp=drivesdk","Zona Campamento")</f>
        <v>Zona Campamento</v>
      </c>
      <c r="B164" s="10" t="s">
        <v>1636</v>
      </c>
      <c r="C164" s="10" t="s">
        <v>181</v>
      </c>
      <c r="D164" s="12">
        <v>2018</v>
      </c>
      <c r="E164" s="13" t="s">
        <v>580</v>
      </c>
      <c r="F164" s="14" t="s">
        <v>1682</v>
      </c>
      <c r="G164" s="15">
        <v>43282</v>
      </c>
      <c r="H164" s="15">
        <v>43296</v>
      </c>
      <c r="I164" s="13" t="s">
        <v>1683</v>
      </c>
      <c r="J164" s="13" t="s">
        <v>1684</v>
      </c>
      <c r="K164" s="13" t="s">
        <v>1658</v>
      </c>
      <c r="L164" s="13" t="s">
        <v>1685</v>
      </c>
      <c r="M164" s="13" t="s">
        <v>1686</v>
      </c>
      <c r="N164" s="13">
        <v>618826205</v>
      </c>
      <c r="O164" s="13" t="s">
        <v>1687</v>
      </c>
      <c r="P164" s="13" t="s">
        <v>1688</v>
      </c>
      <c r="Q164" s="13" t="s">
        <v>1689</v>
      </c>
      <c r="R164" s="13" t="s">
        <v>100</v>
      </c>
      <c r="S164" s="13" t="s">
        <v>55</v>
      </c>
      <c r="T164" s="13" t="s">
        <v>1690</v>
      </c>
      <c r="U164" s="13" t="s">
        <v>1691</v>
      </c>
      <c r="V164" s="13" t="s">
        <v>1692</v>
      </c>
      <c r="W164" s="13" t="s">
        <v>1658</v>
      </c>
      <c r="X164" s="13" t="s">
        <v>1693</v>
      </c>
      <c r="Y164" s="13" t="s">
        <v>55</v>
      </c>
      <c r="Z164" s="14" t="s">
        <v>1694</v>
      </c>
      <c r="AA164" s="19" t="s">
        <v>1695</v>
      </c>
      <c r="AB164" s="14" t="s">
        <v>1696</v>
      </c>
      <c r="AC164" s="14"/>
    </row>
    <row r="165" spans="1:29" ht="60">
      <c r="A165" s="8" t="str">
        <f>HYPERLINK("https://drive.google.com/a/scoutsdemadrid.org/file/d/1ccPg8IlMo0OeIea1D5R1u6gyi6R8AexP/view?usp=drivesdk","Zona Campamento")</f>
        <v>Zona Campamento</v>
      </c>
      <c r="B165" s="10" t="s">
        <v>1636</v>
      </c>
      <c r="C165" s="25" t="s">
        <v>181</v>
      </c>
      <c r="D165" s="12">
        <v>2019</v>
      </c>
      <c r="E165" s="13" t="s">
        <v>903</v>
      </c>
      <c r="F165" s="14" t="s">
        <v>904</v>
      </c>
      <c r="G165" s="15">
        <v>43639</v>
      </c>
      <c r="H165" s="15">
        <v>43644</v>
      </c>
      <c r="I165" s="13" t="s">
        <v>1667</v>
      </c>
      <c r="J165" s="13" t="s">
        <v>1697</v>
      </c>
      <c r="K165" s="13" t="s">
        <v>672</v>
      </c>
      <c r="L165" s="13" t="s">
        <v>1698</v>
      </c>
      <c r="M165" s="13" t="s">
        <v>1699</v>
      </c>
      <c r="N165" s="13" t="s">
        <v>1700</v>
      </c>
      <c r="O165" s="13" t="s">
        <v>1672</v>
      </c>
      <c r="P165" s="13" t="s">
        <v>714</v>
      </c>
      <c r="Q165" s="13">
        <v>5</v>
      </c>
      <c r="R165" s="13" t="s">
        <v>54</v>
      </c>
      <c r="S165" s="13" t="s">
        <v>55</v>
      </c>
      <c r="T165" s="13">
        <v>0</v>
      </c>
      <c r="U165" s="13" t="s">
        <v>1701</v>
      </c>
      <c r="V165" s="13" t="s">
        <v>1702</v>
      </c>
      <c r="W165" s="13" t="s">
        <v>103</v>
      </c>
      <c r="X165" s="13" t="s">
        <v>1703</v>
      </c>
      <c r="Y165" s="13" t="s">
        <v>103</v>
      </c>
      <c r="Z165" s="14" t="s">
        <v>1704</v>
      </c>
      <c r="AA165" s="19" t="s">
        <v>1705</v>
      </c>
      <c r="AB165" s="14" t="s">
        <v>1681</v>
      </c>
      <c r="AC165" s="14"/>
    </row>
    <row r="166" spans="1:29" ht="60">
      <c r="A166" s="8" t="str">
        <f>HYPERLINK("https://drive.google.com/a/scoutsdemadrid.org/file/d/1CefCBb_6SatXyUxHG2B2xp6mxJHmqmTW/view?usp=drivesdk","Zona Campamento")</f>
        <v>Zona Campamento</v>
      </c>
      <c r="B166" s="10" t="s">
        <v>1636</v>
      </c>
      <c r="C166" s="10" t="s">
        <v>181</v>
      </c>
      <c r="D166" s="12">
        <v>2019</v>
      </c>
      <c r="E166" s="13" t="s">
        <v>1637</v>
      </c>
      <c r="F166" s="14" t="s">
        <v>1638</v>
      </c>
      <c r="G166" s="15">
        <v>43650</v>
      </c>
      <c r="H166" s="15">
        <v>43660</v>
      </c>
      <c r="I166" s="13" t="s">
        <v>1656</v>
      </c>
      <c r="J166" s="13" t="s">
        <v>1706</v>
      </c>
      <c r="K166" s="13" t="s">
        <v>1707</v>
      </c>
      <c r="L166" s="13" t="s">
        <v>1707</v>
      </c>
      <c r="M166" s="13" t="s">
        <v>1708</v>
      </c>
      <c r="N166" s="13">
        <v>918550004</v>
      </c>
      <c r="O166" s="13" t="s">
        <v>1660</v>
      </c>
      <c r="P166" s="13">
        <v>10</v>
      </c>
      <c r="Q166" s="13" t="s">
        <v>718</v>
      </c>
      <c r="R166" s="13" t="s">
        <v>54</v>
      </c>
      <c r="S166" s="13" t="s">
        <v>55</v>
      </c>
      <c r="T166" s="13" t="s">
        <v>1709</v>
      </c>
      <c r="U166" s="13" t="s">
        <v>592</v>
      </c>
      <c r="V166" s="13" t="s">
        <v>1710</v>
      </c>
      <c r="W166" s="13" t="s">
        <v>1112</v>
      </c>
      <c r="X166" s="13" t="s">
        <v>1678</v>
      </c>
      <c r="Y166" s="13" t="s">
        <v>103</v>
      </c>
      <c r="Z166" s="14" t="s">
        <v>1711</v>
      </c>
      <c r="AA166" s="19" t="s">
        <v>1712</v>
      </c>
      <c r="AB166" s="14" t="s">
        <v>1666</v>
      </c>
      <c r="AC166" s="14"/>
    </row>
    <row r="167" spans="1:29" ht="72">
      <c r="A167" s="8" t="str">
        <f>HYPERLINK("https://drive.google.com/a/scoutsdemadrid.org/file/d/1GO-QK0HZaa1uTu5C4eU8DpJciKnClvtl/view?usp=drivesdk","Zona Campamento")</f>
        <v>Zona Campamento</v>
      </c>
      <c r="B167" s="10" t="s">
        <v>1636</v>
      </c>
      <c r="C167" s="10" t="s">
        <v>181</v>
      </c>
      <c r="D167" s="12">
        <v>2019</v>
      </c>
      <c r="E167" s="13" t="s">
        <v>649</v>
      </c>
      <c r="F167" s="14" t="s">
        <v>650</v>
      </c>
      <c r="G167" s="15">
        <v>43680</v>
      </c>
      <c r="H167" s="15">
        <v>43686</v>
      </c>
      <c r="I167" s="13" t="s">
        <v>1713</v>
      </c>
      <c r="J167" s="13" t="s">
        <v>1714</v>
      </c>
      <c r="K167" s="13" t="s">
        <v>1715</v>
      </c>
      <c r="L167" s="13" t="s">
        <v>1716</v>
      </c>
      <c r="M167" s="13" t="s">
        <v>1717</v>
      </c>
      <c r="N167" s="13">
        <v>609275172</v>
      </c>
      <c r="O167" s="13" t="s">
        <v>1718</v>
      </c>
      <c r="P167" s="13" t="s">
        <v>1719</v>
      </c>
      <c r="Q167" s="13">
        <v>5000</v>
      </c>
      <c r="R167" s="13" t="s">
        <v>54</v>
      </c>
      <c r="S167" s="13" t="s">
        <v>55</v>
      </c>
      <c r="T167" s="13" t="s">
        <v>1720</v>
      </c>
      <c r="U167" s="13" t="s">
        <v>1721</v>
      </c>
      <c r="V167" s="13" t="s">
        <v>1722</v>
      </c>
      <c r="W167" s="13" t="s">
        <v>1723</v>
      </c>
      <c r="X167" s="13" t="s">
        <v>1724</v>
      </c>
      <c r="Y167" s="13" t="s">
        <v>103</v>
      </c>
      <c r="Z167" s="14" t="s">
        <v>1725</v>
      </c>
      <c r="AA167" s="19" t="s">
        <v>1726</v>
      </c>
      <c r="AB167" s="14" t="s">
        <v>1727</v>
      </c>
      <c r="AC167" s="14"/>
    </row>
    <row r="168" spans="1:29" ht="60">
      <c r="A168" s="22" t="str">
        <f>HYPERLINK("https://drive.google.com/a/scoutsdemadrid.org/file/d/1WlxYPmP8Scx0RNNcXpuitSK8OrsxteIs/view?usp=drivesdk","Zona Campamento")</f>
        <v>Zona Campamento</v>
      </c>
      <c r="B168" s="10" t="s">
        <v>984</v>
      </c>
      <c r="C168" s="20" t="s">
        <v>199</v>
      </c>
      <c r="D168" s="12">
        <v>2016</v>
      </c>
      <c r="E168" s="23" t="s">
        <v>496</v>
      </c>
      <c r="F168" s="14" t="s">
        <v>497</v>
      </c>
      <c r="G168" s="24">
        <v>42567</v>
      </c>
      <c r="H168" s="24">
        <v>42581</v>
      </c>
      <c r="I168" s="23" t="s">
        <v>1728</v>
      </c>
      <c r="J168" s="14" t="s">
        <v>1729</v>
      </c>
      <c r="K168" s="13"/>
      <c r="L168" s="13"/>
      <c r="M168" s="14" t="s">
        <v>1730</v>
      </c>
      <c r="N168" s="14">
        <v>687733692</v>
      </c>
      <c r="O168" s="14" t="s">
        <v>1731</v>
      </c>
      <c r="P168" s="13"/>
      <c r="Q168" s="13"/>
      <c r="R168" s="14" t="s">
        <v>54</v>
      </c>
      <c r="S168" s="14" t="s">
        <v>55</v>
      </c>
      <c r="T168" s="14" t="s">
        <v>101</v>
      </c>
      <c r="U168" s="14" t="s">
        <v>1732</v>
      </c>
      <c r="V168" s="14" t="s">
        <v>1733</v>
      </c>
      <c r="W168" s="13"/>
      <c r="X168" s="14" t="s">
        <v>1734</v>
      </c>
      <c r="Y168" s="14"/>
      <c r="Z168" s="14" t="s">
        <v>1735</v>
      </c>
      <c r="AA168" s="19" t="s">
        <v>1736</v>
      </c>
      <c r="AB168" s="14" t="s">
        <v>1737</v>
      </c>
      <c r="AC168" s="14"/>
    </row>
    <row r="169" spans="1:29" ht="60">
      <c r="A169" s="8" t="str">
        <f>HYPERLINK("https://drive.google.com/a/scoutsdemadrid.org/file/d/1Zfpo2Vh19V1hanQ_YRjFcZbMWoGlQYJQ/view?usp=drivesdk","Zona Campamento")</f>
        <v>Zona Campamento</v>
      </c>
      <c r="B169" s="10" t="s">
        <v>984</v>
      </c>
      <c r="C169" s="10" t="s">
        <v>199</v>
      </c>
      <c r="D169" s="12">
        <v>2015</v>
      </c>
      <c r="E169" s="13" t="s">
        <v>1153</v>
      </c>
      <c r="F169" s="14" t="s">
        <v>1738</v>
      </c>
      <c r="G169" s="15">
        <v>42202</v>
      </c>
      <c r="H169" s="15">
        <v>42216</v>
      </c>
      <c r="I169" s="13" t="s">
        <v>1739</v>
      </c>
      <c r="J169" s="13" t="s">
        <v>1740</v>
      </c>
      <c r="K169" s="13"/>
      <c r="L169" s="13" t="s">
        <v>1741</v>
      </c>
      <c r="M169" s="13"/>
      <c r="N169" s="13"/>
      <c r="O169" s="13"/>
      <c r="P169" s="13"/>
      <c r="Q169" s="13"/>
      <c r="R169" s="13"/>
      <c r="S169" s="13"/>
      <c r="T169" s="13"/>
      <c r="U169" s="13"/>
      <c r="V169" s="13"/>
      <c r="W169" s="13"/>
      <c r="X169" s="13"/>
      <c r="Y169" s="13"/>
      <c r="Z169" s="14" t="s">
        <v>1742</v>
      </c>
      <c r="AA169" s="19" t="s">
        <v>1743</v>
      </c>
      <c r="AB169" s="14" t="s">
        <v>1744</v>
      </c>
      <c r="AC169" s="14"/>
    </row>
    <row r="170" spans="1:29" ht="72">
      <c r="A170" s="8" t="str">
        <f>HYPERLINK("https://drive.google.com/a/scoutsdemadrid.org/file/d/1GabpH3SG49gdTaL9LrC-DyxuZvWpd1zW/view?usp=drivesdk","Zona Campamento")</f>
        <v>Zona Campamento</v>
      </c>
      <c r="B170" s="10" t="s">
        <v>984</v>
      </c>
      <c r="C170" s="20" t="s">
        <v>199</v>
      </c>
      <c r="D170" s="12">
        <v>2015</v>
      </c>
      <c r="E170" s="23" t="s">
        <v>334</v>
      </c>
      <c r="F170" s="14" t="s">
        <v>335</v>
      </c>
      <c r="G170" s="15">
        <v>42186</v>
      </c>
      <c r="H170" s="15">
        <v>42200</v>
      </c>
      <c r="I170" s="23" t="s">
        <v>1745</v>
      </c>
      <c r="J170" s="23" t="s">
        <v>1746</v>
      </c>
      <c r="K170" s="13"/>
      <c r="L170" s="13" t="s">
        <v>1747</v>
      </c>
      <c r="M170" s="23"/>
      <c r="N170" s="13"/>
      <c r="O170" s="13"/>
      <c r="P170" s="13"/>
      <c r="Q170" s="13"/>
      <c r="R170" s="23"/>
      <c r="S170" s="23"/>
      <c r="T170" s="23"/>
      <c r="U170" s="13"/>
      <c r="V170" s="23"/>
      <c r="W170" s="23"/>
      <c r="X170" s="13"/>
      <c r="Y170" s="13"/>
      <c r="Z170" s="14" t="s">
        <v>1748</v>
      </c>
      <c r="AA170" s="19" t="s">
        <v>1749</v>
      </c>
      <c r="AB170" s="14" t="s">
        <v>1750</v>
      </c>
      <c r="AC170" s="14"/>
    </row>
    <row r="171" spans="1:29" ht="60">
      <c r="A171" s="8" t="str">
        <f>HYPERLINK("https://drive.google.com/a/scoutsdemadrid.org/file/d/132w_CEExrfeh6QJCYteL2FpMFrsfrraH/view?usp=drivesdk","Zona Campamento")</f>
        <v>Zona Campamento</v>
      </c>
      <c r="B171" s="10" t="s">
        <v>984</v>
      </c>
      <c r="C171" s="10" t="s">
        <v>199</v>
      </c>
      <c r="D171" s="12">
        <v>2015</v>
      </c>
      <c r="E171" s="13" t="s">
        <v>334</v>
      </c>
      <c r="F171" s="13" t="str">
        <f>F170</f>
        <v xml:space="preserve">gs.tallac@scoutsdemadrid.org </v>
      </c>
      <c r="G171" s="15">
        <v>42186</v>
      </c>
      <c r="H171" s="15">
        <v>42200</v>
      </c>
      <c r="I171" s="13" t="s">
        <v>1745</v>
      </c>
      <c r="J171" s="13" t="s">
        <v>1746</v>
      </c>
      <c r="K171" s="13"/>
      <c r="L171" s="13"/>
      <c r="M171" s="13"/>
      <c r="N171" s="13"/>
      <c r="O171" s="13"/>
      <c r="P171" s="13"/>
      <c r="Q171" s="13"/>
      <c r="R171" s="13"/>
      <c r="S171" s="13"/>
      <c r="T171" s="13"/>
      <c r="U171" s="13"/>
      <c r="V171" s="13"/>
      <c r="W171" s="13"/>
      <c r="X171" s="13"/>
      <c r="Y171" s="13"/>
      <c r="Z171" s="14" t="s">
        <v>1751</v>
      </c>
      <c r="AA171" s="19" t="s">
        <v>1752</v>
      </c>
      <c r="AB171" s="14" t="s">
        <v>1750</v>
      </c>
      <c r="AC171" s="14"/>
    </row>
    <row r="172" spans="1:29" ht="60">
      <c r="A172" s="8" t="str">
        <f>HYPERLINK("https://drive.google.com/a/scoutsdemadrid.org/file/d/1paUmV8zBkosBZ0xH9DxwEpLUgatRO7k0/view?usp=drivesdk","Zona Campamento")</f>
        <v>Zona Campamento</v>
      </c>
      <c r="B172" s="20" t="s">
        <v>1753</v>
      </c>
      <c r="C172" s="20" t="s">
        <v>191</v>
      </c>
      <c r="D172" s="12">
        <v>2016</v>
      </c>
      <c r="E172" s="23" t="s">
        <v>467</v>
      </c>
      <c r="F172" s="14" t="s">
        <v>1754</v>
      </c>
      <c r="G172" s="24">
        <v>42567</v>
      </c>
      <c r="H172" s="24">
        <v>42581</v>
      </c>
      <c r="I172" s="23" t="s">
        <v>1755</v>
      </c>
      <c r="J172" s="13"/>
      <c r="K172" s="13"/>
      <c r="L172" s="13"/>
      <c r="M172" s="14" t="s">
        <v>1756</v>
      </c>
      <c r="N172" s="13"/>
      <c r="O172" s="13"/>
      <c r="P172" s="13"/>
      <c r="Q172" s="13"/>
      <c r="R172" s="14" t="s">
        <v>54</v>
      </c>
      <c r="S172" s="14" t="s">
        <v>55</v>
      </c>
      <c r="T172" s="14" t="s">
        <v>948</v>
      </c>
      <c r="U172" s="13"/>
      <c r="V172" s="14" t="s">
        <v>1757</v>
      </c>
      <c r="W172" s="14" t="s">
        <v>1758</v>
      </c>
      <c r="X172" s="13"/>
      <c r="Y172" s="13"/>
      <c r="Z172" s="14" t="s">
        <v>1759</v>
      </c>
      <c r="AA172" s="19" t="s">
        <v>1760</v>
      </c>
      <c r="AB172" s="14" t="s">
        <v>1761</v>
      </c>
      <c r="AC172" s="14"/>
    </row>
    <row r="173" spans="1:29" ht="60">
      <c r="A173" s="8" t="str">
        <f>HYPERLINK("https://drive.google.com/a/scoutsdemadrid.org/file/d/1XA_0_OdOMgMB5XPcpz2qopbtHqDs3Wux/view?usp=drivesdk","Zona Campamento")</f>
        <v>Zona Campamento</v>
      </c>
      <c r="B173" s="10" t="s">
        <v>1753</v>
      </c>
      <c r="C173" s="10" t="s">
        <v>191</v>
      </c>
      <c r="D173" s="12">
        <v>2017</v>
      </c>
      <c r="E173" s="13" t="s">
        <v>1762</v>
      </c>
      <c r="F173" s="14" t="s">
        <v>1763</v>
      </c>
      <c r="G173" s="15">
        <v>42979</v>
      </c>
      <c r="H173" s="15">
        <v>42988</v>
      </c>
      <c r="I173" s="13" t="s">
        <v>1764</v>
      </c>
      <c r="J173" s="13"/>
      <c r="K173" s="13"/>
      <c r="L173" s="13"/>
      <c r="M173" s="13" t="s">
        <v>1765</v>
      </c>
      <c r="N173" s="13"/>
      <c r="O173" s="13"/>
      <c r="P173" s="13"/>
      <c r="Q173" s="13"/>
      <c r="R173" s="13"/>
      <c r="S173" s="13"/>
      <c r="T173" s="13"/>
      <c r="U173" s="13"/>
      <c r="V173" s="13"/>
      <c r="W173" s="13"/>
      <c r="X173" s="13"/>
      <c r="Y173" s="13"/>
      <c r="Z173" s="14" t="s">
        <v>1766</v>
      </c>
      <c r="AA173" s="19" t="s">
        <v>1767</v>
      </c>
      <c r="AB173" s="14" t="s">
        <v>1768</v>
      </c>
      <c r="AC173" s="14"/>
    </row>
    <row r="174" spans="1:29" ht="72">
      <c r="A174" s="22" t="str">
        <f>HYPERLINK("https://drive.google.com/a/scoutsdemadrid.org/file/d/1wO-N4g0eCnWck8aGdUuVr_crnSL0mQgJ/view?usp=drivesdk","Zona Campamento")</f>
        <v>Zona Campamento</v>
      </c>
      <c r="B174" s="20" t="s">
        <v>1753</v>
      </c>
      <c r="C174" s="20" t="s">
        <v>191</v>
      </c>
      <c r="D174" s="12">
        <v>2016</v>
      </c>
      <c r="E174" s="23" t="s">
        <v>657</v>
      </c>
      <c r="F174" s="14" t="s">
        <v>658</v>
      </c>
      <c r="G174" s="24">
        <v>42548</v>
      </c>
      <c r="H174" s="24">
        <v>42561</v>
      </c>
      <c r="I174" s="23" t="s">
        <v>1769</v>
      </c>
      <c r="J174" s="14" t="s">
        <v>1770</v>
      </c>
      <c r="K174" s="14" t="s">
        <v>672</v>
      </c>
      <c r="L174" s="14" t="s">
        <v>1771</v>
      </c>
      <c r="M174" s="14" t="s">
        <v>1772</v>
      </c>
      <c r="N174" s="14">
        <v>351925114783</v>
      </c>
      <c r="O174" s="14" t="s">
        <v>672</v>
      </c>
      <c r="P174" s="14" t="s">
        <v>672</v>
      </c>
      <c r="Q174" s="14" t="s">
        <v>1773</v>
      </c>
      <c r="R174" s="14" t="s">
        <v>54</v>
      </c>
      <c r="S174" s="14" t="s">
        <v>55</v>
      </c>
      <c r="T174" s="14" t="s">
        <v>1774</v>
      </c>
      <c r="U174" s="14" t="s">
        <v>1775</v>
      </c>
      <c r="V174" s="14" t="s">
        <v>1776</v>
      </c>
      <c r="W174" s="14" t="s">
        <v>55</v>
      </c>
      <c r="X174" s="14" t="s">
        <v>1777</v>
      </c>
      <c r="Y174" s="14"/>
      <c r="Z174" s="14" t="s">
        <v>1778</v>
      </c>
      <c r="AA174" s="19" t="s">
        <v>1779</v>
      </c>
      <c r="AB174" s="14" t="s">
        <v>1780</v>
      </c>
      <c r="AC174" s="14"/>
    </row>
    <row r="175" spans="1:29" ht="60">
      <c r="A175" s="22" t="str">
        <f>HYPERLINK("https://drive.google.com/a/scoutsdemadrid.org/file/d/1zddvLbCBLTUUltRic1a6LcOYf9js0dz2/view?usp=drivesdk","Zona Campamento")</f>
        <v>Zona Campamento</v>
      </c>
      <c r="B175" s="20" t="s">
        <v>1753</v>
      </c>
      <c r="C175" s="20" t="s">
        <v>191</v>
      </c>
      <c r="D175" s="12">
        <v>2016</v>
      </c>
      <c r="E175" s="23" t="s">
        <v>360</v>
      </c>
      <c r="F175" s="14" t="s">
        <v>1781</v>
      </c>
      <c r="G175" s="24">
        <v>42564</v>
      </c>
      <c r="H175" s="24">
        <v>42581</v>
      </c>
      <c r="I175" s="23" t="s">
        <v>1782</v>
      </c>
      <c r="J175" s="14" t="s">
        <v>1783</v>
      </c>
      <c r="K175" s="13"/>
      <c r="L175" s="13"/>
      <c r="M175" s="14" t="s">
        <v>1784</v>
      </c>
      <c r="N175" s="13"/>
      <c r="O175" s="13"/>
      <c r="P175" s="13"/>
      <c r="Q175" s="13"/>
      <c r="R175" s="14" t="s">
        <v>100</v>
      </c>
      <c r="S175" s="14" t="s">
        <v>55</v>
      </c>
      <c r="T175" s="14" t="s">
        <v>1785</v>
      </c>
      <c r="U175" s="14" t="s">
        <v>1786</v>
      </c>
      <c r="V175" s="14" t="s">
        <v>103</v>
      </c>
      <c r="W175" s="14" t="s">
        <v>372</v>
      </c>
      <c r="X175" s="14" t="s">
        <v>1787</v>
      </c>
      <c r="Y175" s="14"/>
      <c r="Z175" s="14" t="s">
        <v>1788</v>
      </c>
      <c r="AA175" s="19" t="s">
        <v>1789</v>
      </c>
      <c r="AB175" s="14" t="s">
        <v>1790</v>
      </c>
      <c r="AC175" s="14"/>
    </row>
    <row r="176" spans="1:29" ht="72">
      <c r="A176" s="8" t="str">
        <f>HYPERLINK("https://drive.google.com/a/scoutsdemadrid.org/file/d/1ahH-NsfArBwMzGdcT4Ul6xp6EQyMDjWa/view?usp=drivesdk","Zona Campamento")</f>
        <v>Zona Campamento</v>
      </c>
      <c r="B176" s="20" t="s">
        <v>1753</v>
      </c>
      <c r="C176" s="20" t="s">
        <v>191</v>
      </c>
      <c r="D176" s="12">
        <v>2017</v>
      </c>
      <c r="E176" s="23" t="s">
        <v>334</v>
      </c>
      <c r="F176" s="14" t="s">
        <v>335</v>
      </c>
      <c r="G176" s="24">
        <v>42917</v>
      </c>
      <c r="H176" s="24">
        <v>42931</v>
      </c>
      <c r="I176" s="23" t="s">
        <v>1791</v>
      </c>
      <c r="J176" s="43" t="s">
        <v>1792</v>
      </c>
      <c r="K176" s="13"/>
      <c r="L176" s="13"/>
      <c r="M176" s="14" t="s">
        <v>1793</v>
      </c>
      <c r="N176" s="13"/>
      <c r="O176" s="13"/>
      <c r="P176" s="13"/>
      <c r="Q176" s="13"/>
      <c r="R176" s="14" t="s">
        <v>54</v>
      </c>
      <c r="S176" s="14" t="s">
        <v>55</v>
      </c>
      <c r="T176" s="14" t="s">
        <v>386</v>
      </c>
      <c r="U176" s="14" t="s">
        <v>1794</v>
      </c>
      <c r="V176" s="14" t="s">
        <v>1795</v>
      </c>
      <c r="W176" s="13"/>
      <c r="X176" s="13"/>
      <c r="Y176" s="13"/>
      <c r="Z176" s="14" t="s">
        <v>1796</v>
      </c>
      <c r="AA176" s="19" t="s">
        <v>1797</v>
      </c>
      <c r="AB176" s="14" t="s">
        <v>1798</v>
      </c>
      <c r="AC176" s="14"/>
    </row>
    <row r="177" spans="1:29" ht="60">
      <c r="A177" s="22" t="str">
        <f>HYPERLINK("https://drive.google.com/a/scoutsdemadrid.org/file/d/1iPs9KdCR4ynYHaMcZCYpjCd7QSTPbjiP/view?usp=drivesdk","Zona Campamento")</f>
        <v>Zona Campamento</v>
      </c>
      <c r="B177" s="20" t="s">
        <v>1753</v>
      </c>
      <c r="C177" s="20" t="s">
        <v>191</v>
      </c>
      <c r="D177" s="12">
        <v>2016</v>
      </c>
      <c r="E177" s="23" t="s">
        <v>168</v>
      </c>
      <c r="F177" s="14" t="s">
        <v>1799</v>
      </c>
      <c r="G177" s="24">
        <v>42567</v>
      </c>
      <c r="H177" s="24">
        <v>42581</v>
      </c>
      <c r="I177" s="23" t="s">
        <v>1800</v>
      </c>
      <c r="J177" s="14" t="s">
        <v>1801</v>
      </c>
      <c r="K177" s="13"/>
      <c r="L177" s="14" t="s">
        <v>1802</v>
      </c>
      <c r="M177" s="14" t="s">
        <v>1803</v>
      </c>
      <c r="N177" s="14" t="s">
        <v>1804</v>
      </c>
      <c r="O177" s="14" t="s">
        <v>1805</v>
      </c>
      <c r="P177" s="14" t="s">
        <v>1806</v>
      </c>
      <c r="Q177" s="13"/>
      <c r="R177" s="14" t="s">
        <v>54</v>
      </c>
      <c r="S177" s="14" t="s">
        <v>55</v>
      </c>
      <c r="T177" s="14" t="s">
        <v>137</v>
      </c>
      <c r="U177" s="14" t="s">
        <v>1807</v>
      </c>
      <c r="V177" s="14" t="s">
        <v>1808</v>
      </c>
      <c r="W177" s="14" t="s">
        <v>1809</v>
      </c>
      <c r="X177" s="14" t="s">
        <v>1810</v>
      </c>
      <c r="Y177" s="14"/>
      <c r="Z177" s="14" t="s">
        <v>1811</v>
      </c>
      <c r="AA177" s="19" t="s">
        <v>1812</v>
      </c>
      <c r="AB177" s="14" t="s">
        <v>1813</v>
      </c>
      <c r="AC177" s="14"/>
    </row>
    <row r="178" spans="1:29" ht="60">
      <c r="A178" s="8" t="str">
        <f>HYPERLINK("https://drive.google.com/a/scoutsdemadrid.org/file/d/1gtv6cUXXWI46u6MF3VGTfVG24lQe0L9y/view?usp=drivesdk","Zona Campamento")</f>
        <v>Zona Campamento</v>
      </c>
      <c r="B178" s="20" t="s">
        <v>1753</v>
      </c>
      <c r="C178" s="10" t="s">
        <v>191</v>
      </c>
      <c r="D178" s="12">
        <v>2015</v>
      </c>
      <c r="E178" s="13" t="s">
        <v>1580</v>
      </c>
      <c r="F178" s="14" t="s">
        <v>1814</v>
      </c>
      <c r="G178" s="15">
        <v>42200</v>
      </c>
      <c r="H178" s="15">
        <v>42215</v>
      </c>
      <c r="I178" s="13" t="s">
        <v>1815</v>
      </c>
      <c r="J178" s="13" t="s">
        <v>1816</v>
      </c>
      <c r="K178" s="13"/>
      <c r="L178" s="13"/>
      <c r="M178" s="13"/>
      <c r="N178" s="13"/>
      <c r="O178" s="13"/>
      <c r="P178" s="13"/>
      <c r="Q178" s="13"/>
      <c r="R178" s="13"/>
      <c r="S178" s="13"/>
      <c r="T178" s="13"/>
      <c r="U178" s="13"/>
      <c r="V178" s="13"/>
      <c r="W178" s="13"/>
      <c r="X178" s="13"/>
      <c r="Y178" s="13"/>
      <c r="Z178" s="14" t="s">
        <v>1817</v>
      </c>
      <c r="AA178" s="19" t="s">
        <v>1818</v>
      </c>
      <c r="AB178" s="14" t="s">
        <v>1819</v>
      </c>
      <c r="AC178" s="14"/>
    </row>
    <row r="179" spans="1:29" ht="72">
      <c r="A179" s="8" t="str">
        <f>HYPERLINK("https://drive.google.com/a/scoutsdemadrid.org/file/d/1UchMq7YpPn7yGcG0Gu-tFez54Y2OlVvW/view?usp=drivesdk","Zona Campamento")</f>
        <v>Zona Campamento</v>
      </c>
      <c r="B179" s="20" t="s">
        <v>1753</v>
      </c>
      <c r="C179" s="20" t="s">
        <v>191</v>
      </c>
      <c r="D179" s="12">
        <v>2015</v>
      </c>
      <c r="E179" s="13" t="s">
        <v>1590</v>
      </c>
      <c r="F179" s="14" t="s">
        <v>1781</v>
      </c>
      <c r="G179" s="15">
        <v>42201</v>
      </c>
      <c r="H179" s="15">
        <v>42215</v>
      </c>
      <c r="I179" s="23" t="s">
        <v>1820</v>
      </c>
      <c r="J179" s="13" t="s">
        <v>1821</v>
      </c>
      <c r="K179" s="13"/>
      <c r="L179" s="13" t="s">
        <v>1822</v>
      </c>
      <c r="M179" s="13"/>
      <c r="N179" s="13"/>
      <c r="O179" s="13"/>
      <c r="P179" s="13"/>
      <c r="Q179" s="13"/>
      <c r="R179" s="13"/>
      <c r="S179" s="13"/>
      <c r="T179" s="13"/>
      <c r="U179" s="13"/>
      <c r="V179" s="13"/>
      <c r="W179" s="13"/>
      <c r="X179" s="13"/>
      <c r="Y179" s="13"/>
      <c r="Z179" s="14" t="s">
        <v>1823</v>
      </c>
      <c r="AA179" s="19" t="s">
        <v>1824</v>
      </c>
      <c r="AB179" s="14" t="s">
        <v>1790</v>
      </c>
      <c r="AC179" s="14"/>
    </row>
    <row r="180" spans="1:29" ht="60">
      <c r="A180" s="8" t="str">
        <f>HYPERLINK("https://drive.google.com/a/scoutsdemadrid.org/file/d/1XmtZQA4r4XFrK9DNMsuDiUhB7_wMKizu/view?usp=drivesdk","Zona Campamento")</f>
        <v>Zona Campamento</v>
      </c>
      <c r="B180" s="20" t="s">
        <v>1753</v>
      </c>
      <c r="C180" s="20" t="s">
        <v>200</v>
      </c>
      <c r="D180" s="12">
        <v>2018</v>
      </c>
      <c r="E180" s="23" t="s">
        <v>251</v>
      </c>
      <c r="F180" s="14" t="s">
        <v>252</v>
      </c>
      <c r="G180" s="15">
        <v>43302</v>
      </c>
      <c r="H180" s="15">
        <v>43341</v>
      </c>
      <c r="I180" s="23" t="s">
        <v>1825</v>
      </c>
      <c r="J180" s="23" t="s">
        <v>1825</v>
      </c>
      <c r="K180" s="13" t="s">
        <v>1611</v>
      </c>
      <c r="L180" s="13" t="s">
        <v>1826</v>
      </c>
      <c r="M180" s="23" t="s">
        <v>1827</v>
      </c>
      <c r="N180" s="13" t="s">
        <v>1828</v>
      </c>
      <c r="O180" s="13" t="s">
        <v>382</v>
      </c>
      <c r="P180" s="13">
        <v>0</v>
      </c>
      <c r="Q180" s="13" t="s">
        <v>1829</v>
      </c>
      <c r="R180" s="23" t="s">
        <v>54</v>
      </c>
      <c r="S180" s="23" t="s">
        <v>55</v>
      </c>
      <c r="T180" s="23" t="s">
        <v>883</v>
      </c>
      <c r="U180" s="23" t="s">
        <v>1830</v>
      </c>
      <c r="V180" s="23" t="s">
        <v>103</v>
      </c>
      <c r="W180" s="13" t="s">
        <v>372</v>
      </c>
      <c r="X180" s="13" t="s">
        <v>1831</v>
      </c>
      <c r="Y180" s="13"/>
      <c r="Z180" s="14" t="s">
        <v>1832</v>
      </c>
      <c r="AA180" s="19" t="s">
        <v>1833</v>
      </c>
      <c r="AB180" s="14" t="s">
        <v>1834</v>
      </c>
      <c r="AC180" s="14"/>
    </row>
    <row r="181" spans="1:29" ht="72">
      <c r="A181" s="8" t="str">
        <f>HYPERLINK("https://drive.google.com/a/scoutsdemadrid.org/file/d/1Mv7uuryE5n69CKJB8Z6fe-gEBnIkv7Nc/view?usp=drivesdk","Zona Campamento")</f>
        <v>Zona Campamento</v>
      </c>
      <c r="B181" s="20" t="s">
        <v>1753</v>
      </c>
      <c r="C181" s="10" t="s">
        <v>191</v>
      </c>
      <c r="D181" s="12">
        <v>2019</v>
      </c>
      <c r="E181" s="13" t="s">
        <v>112</v>
      </c>
      <c r="F181" s="14" t="s">
        <v>840</v>
      </c>
      <c r="G181" s="15">
        <v>43662</v>
      </c>
      <c r="H181" s="15">
        <v>43676</v>
      </c>
      <c r="I181" s="13" t="s">
        <v>1835</v>
      </c>
      <c r="J181" s="13" t="s">
        <v>1836</v>
      </c>
      <c r="K181" s="13">
        <v>0</v>
      </c>
      <c r="L181" s="13" t="s">
        <v>1837</v>
      </c>
      <c r="M181" s="13" t="s">
        <v>1838</v>
      </c>
      <c r="N181" s="13" t="s">
        <v>1839</v>
      </c>
      <c r="O181" s="13" t="s">
        <v>1840</v>
      </c>
      <c r="P181" s="13" t="s">
        <v>1841</v>
      </c>
      <c r="Q181" s="13" t="s">
        <v>1842</v>
      </c>
      <c r="R181" s="13" t="s">
        <v>54</v>
      </c>
      <c r="S181" s="13" t="s">
        <v>55</v>
      </c>
      <c r="T181" s="13" t="s">
        <v>883</v>
      </c>
      <c r="U181" s="13" t="s">
        <v>1843</v>
      </c>
      <c r="V181" s="13" t="s">
        <v>1844</v>
      </c>
      <c r="W181" s="13" t="s">
        <v>1845</v>
      </c>
      <c r="X181" s="13" t="s">
        <v>1846</v>
      </c>
      <c r="Y181" s="13" t="s">
        <v>55</v>
      </c>
      <c r="Z181" s="14" t="s">
        <v>1847</v>
      </c>
      <c r="AA181" s="19" t="s">
        <v>1848</v>
      </c>
      <c r="AB181" s="14" t="s">
        <v>1849</v>
      </c>
      <c r="AC181" s="14"/>
    </row>
    <row r="182" spans="1:29" ht="60">
      <c r="A182" s="8" t="str">
        <f>HYPERLINK("https://drive.google.com/a/scoutsdemadrid.org/file/d/1ISRgM1czGfobewrNzunZsC6Wq_jFj-fX/view?usp=drivesdk","Zona Campamento")</f>
        <v>Zona Campamento</v>
      </c>
      <c r="B182" s="20" t="s">
        <v>1753</v>
      </c>
      <c r="C182" s="10" t="s">
        <v>191</v>
      </c>
      <c r="D182" s="12">
        <v>2019</v>
      </c>
      <c r="E182" s="13" t="s">
        <v>251</v>
      </c>
      <c r="F182" s="14" t="s">
        <v>252</v>
      </c>
      <c r="G182" s="15">
        <v>43679</v>
      </c>
      <c r="H182" s="15">
        <v>43688</v>
      </c>
      <c r="I182" s="13" t="s">
        <v>1850</v>
      </c>
      <c r="J182" s="13" t="s">
        <v>1851</v>
      </c>
      <c r="K182" s="13" t="s">
        <v>1611</v>
      </c>
      <c r="L182" s="13" t="s">
        <v>1851</v>
      </c>
      <c r="M182" s="13" t="s">
        <v>1852</v>
      </c>
      <c r="N182" s="13" t="s">
        <v>1853</v>
      </c>
      <c r="O182" s="13" t="s">
        <v>1854</v>
      </c>
      <c r="P182" s="13" t="s">
        <v>1855</v>
      </c>
      <c r="Q182" s="13" t="s">
        <v>1856</v>
      </c>
      <c r="R182" s="13" t="s">
        <v>54</v>
      </c>
      <c r="S182" s="13" t="s">
        <v>55</v>
      </c>
      <c r="T182" s="13" t="s">
        <v>1427</v>
      </c>
      <c r="U182" s="13" t="s">
        <v>1807</v>
      </c>
      <c r="V182" s="13" t="s">
        <v>1857</v>
      </c>
      <c r="W182" s="13" t="s">
        <v>125</v>
      </c>
      <c r="X182" s="13" t="s">
        <v>1858</v>
      </c>
      <c r="Y182" s="13" t="s">
        <v>55</v>
      </c>
      <c r="Z182" s="14" t="s">
        <v>1859</v>
      </c>
      <c r="AA182" s="19" t="s">
        <v>1860</v>
      </c>
      <c r="AB182" s="14" t="s">
        <v>1861</v>
      </c>
      <c r="AC182" s="14"/>
    </row>
    <row r="183" spans="1:29" ht="60">
      <c r="A183" s="8" t="str">
        <f>HYPERLINK("https://drive.google.com/a/scoutsdemadrid.org/file/d/1G_SaI5eadyzfSVhNgLcsJ3UZPHnDBxvQ/view?usp=drivesdk","Zona Campamento")</f>
        <v>Zona Campamento</v>
      </c>
      <c r="B183" s="20" t="s">
        <v>1753</v>
      </c>
      <c r="C183" s="25" t="s">
        <v>198</v>
      </c>
      <c r="D183" s="12">
        <v>2019</v>
      </c>
      <c r="E183" s="13" t="s">
        <v>1862</v>
      </c>
      <c r="F183" s="14" t="s">
        <v>1863</v>
      </c>
      <c r="G183" s="15">
        <v>43678</v>
      </c>
      <c r="H183" s="15">
        <v>43692</v>
      </c>
      <c r="I183" s="13" t="s">
        <v>1864</v>
      </c>
      <c r="J183" s="13" t="s">
        <v>1865</v>
      </c>
      <c r="K183" s="13" t="s">
        <v>641</v>
      </c>
      <c r="L183" s="13" t="s">
        <v>1866</v>
      </c>
      <c r="M183" s="13" t="s">
        <v>1867</v>
      </c>
      <c r="N183" s="13" t="s">
        <v>1868</v>
      </c>
      <c r="O183" s="13" t="s">
        <v>1869</v>
      </c>
      <c r="P183" s="13">
        <v>70</v>
      </c>
      <c r="Q183" s="13" t="s">
        <v>1870</v>
      </c>
      <c r="R183" s="13" t="s">
        <v>54</v>
      </c>
      <c r="S183" s="13" t="s">
        <v>55</v>
      </c>
      <c r="T183" s="13" t="s">
        <v>1148</v>
      </c>
      <c r="U183" s="13" t="s">
        <v>1148</v>
      </c>
      <c r="V183" s="13" t="s">
        <v>1871</v>
      </c>
      <c r="W183" s="13" t="s">
        <v>103</v>
      </c>
      <c r="X183" s="13" t="s">
        <v>1872</v>
      </c>
      <c r="Y183" s="13" t="s">
        <v>55</v>
      </c>
      <c r="Z183" s="14" t="s">
        <v>1873</v>
      </c>
      <c r="AA183" s="19" t="s">
        <v>1874</v>
      </c>
      <c r="AB183" s="14" t="s">
        <v>1875</v>
      </c>
      <c r="AC183" s="14"/>
    </row>
    <row r="184" spans="1:29" ht="12.75">
      <c r="A184" s="13"/>
      <c r="B184" s="13"/>
      <c r="C184" s="13"/>
      <c r="D184" s="46"/>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row>
    <row r="185" spans="1:29" ht="12.75">
      <c r="A185" s="13"/>
      <c r="B185" s="13"/>
      <c r="C185" s="13"/>
      <c r="D185" s="46"/>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row>
    <row r="186" spans="1:29" ht="12.75">
      <c r="A186" s="13"/>
      <c r="B186" s="13"/>
      <c r="C186" s="13"/>
      <c r="D186" s="46"/>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row>
    <row r="187" spans="1:29" ht="12.75">
      <c r="A187" s="13"/>
      <c r="B187" s="13"/>
      <c r="C187" s="13"/>
      <c r="D187" s="46"/>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row>
    <row r="188" spans="1:29" ht="12.75">
      <c r="A188" s="13"/>
      <c r="B188" s="13"/>
      <c r="C188" s="13"/>
      <c r="D188" s="46"/>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row>
    <row r="189" spans="1:29" ht="12.75">
      <c r="A189" s="13"/>
      <c r="B189" s="13"/>
      <c r="C189" s="13"/>
      <c r="D189" s="46"/>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row>
    <row r="190" spans="1:29" ht="12.75">
      <c r="A190" s="13"/>
      <c r="B190" s="13"/>
      <c r="C190" s="13"/>
      <c r="D190" s="46"/>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row>
    <row r="191" spans="1:29" ht="12.75">
      <c r="A191" s="13"/>
      <c r="B191" s="13"/>
      <c r="C191" s="13"/>
      <c r="D191" s="46"/>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row>
    <row r="192" spans="1:29" ht="12.75">
      <c r="A192" s="13"/>
      <c r="B192" s="13"/>
      <c r="C192" s="13"/>
      <c r="D192" s="46"/>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row>
    <row r="193" spans="1:29" ht="12.75">
      <c r="A193" s="13"/>
      <c r="B193" s="13"/>
      <c r="C193" s="13"/>
      <c r="D193" s="46"/>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row>
    <row r="194" spans="1:29" ht="12.75">
      <c r="A194" s="13"/>
      <c r="B194" s="13"/>
      <c r="C194" s="13"/>
      <c r="D194" s="46"/>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row>
    <row r="195" spans="1:29" ht="12.75">
      <c r="A195" s="13"/>
      <c r="B195" s="13"/>
      <c r="C195" s="13"/>
      <c r="D195" s="46"/>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row>
    <row r="196" spans="1:29" ht="12.75">
      <c r="A196" s="13"/>
      <c r="B196" s="13"/>
      <c r="C196" s="13"/>
      <c r="D196" s="46"/>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row>
    <row r="197" spans="1:29" ht="12.75">
      <c r="A197" s="13"/>
      <c r="B197" s="13"/>
      <c r="C197" s="13"/>
      <c r="D197" s="46"/>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row>
    <row r="198" spans="1:29" ht="12.75">
      <c r="A198" s="13"/>
      <c r="B198" s="13"/>
      <c r="C198" s="13"/>
      <c r="D198" s="46"/>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row>
    <row r="199" spans="1:29" ht="12.75">
      <c r="A199" s="13"/>
      <c r="B199" s="13"/>
      <c r="C199" s="13"/>
      <c r="D199" s="46"/>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row>
    <row r="200" spans="1:29" ht="12.75">
      <c r="A200" s="13"/>
      <c r="B200" s="13"/>
      <c r="C200" s="13"/>
      <c r="D200" s="46"/>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row>
    <row r="201" spans="1:29" ht="12.75">
      <c r="A201" s="13"/>
      <c r="B201" s="13"/>
      <c r="C201" s="13"/>
      <c r="D201" s="46"/>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row>
    <row r="202" spans="1:29" ht="12.75">
      <c r="A202" s="13"/>
      <c r="B202" s="13"/>
      <c r="C202" s="13"/>
      <c r="D202" s="46"/>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row>
    <row r="203" spans="1:29" ht="12.75">
      <c r="A203" s="13"/>
      <c r="B203" s="13"/>
      <c r="C203" s="13"/>
      <c r="D203" s="46"/>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row>
    <row r="204" spans="1:29" ht="12.75">
      <c r="A204" s="13"/>
      <c r="B204" s="13"/>
      <c r="C204" s="13"/>
      <c r="D204" s="46"/>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row>
    <row r="205" spans="1:29" ht="12.75">
      <c r="A205" s="13"/>
      <c r="B205" s="13"/>
      <c r="C205" s="13"/>
      <c r="D205" s="46"/>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row>
    <row r="206" spans="1:29" ht="12.75">
      <c r="A206" s="13"/>
      <c r="B206" s="13"/>
      <c r="C206" s="13"/>
      <c r="D206" s="46"/>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row>
    <row r="207" spans="1:29" ht="12.75">
      <c r="A207" s="13"/>
      <c r="B207" s="13"/>
      <c r="C207" s="13"/>
      <c r="D207" s="46"/>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row>
    <row r="208" spans="1:29" ht="12.75">
      <c r="A208" s="13"/>
      <c r="B208" s="13"/>
      <c r="C208" s="13"/>
      <c r="D208" s="46"/>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row>
    <row r="209" spans="1:29" ht="12.75">
      <c r="A209" s="13"/>
      <c r="B209" s="13"/>
      <c r="C209" s="13"/>
      <c r="D209" s="46"/>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row>
    <row r="210" spans="1:29" ht="12.75">
      <c r="A210" s="13"/>
      <c r="B210" s="13"/>
      <c r="C210" s="13"/>
      <c r="D210" s="46"/>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row>
    <row r="211" spans="1:29" ht="12.75">
      <c r="A211" s="13"/>
      <c r="B211" s="13"/>
      <c r="C211" s="13"/>
      <c r="D211" s="46"/>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row>
    <row r="212" spans="1:29" ht="12.75">
      <c r="A212" s="13"/>
      <c r="B212" s="13"/>
      <c r="C212" s="13"/>
      <c r="D212" s="46"/>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row>
    <row r="213" spans="1:29" ht="12.75">
      <c r="A213" s="13"/>
      <c r="B213" s="13"/>
      <c r="C213" s="13"/>
      <c r="D213" s="46"/>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row>
    <row r="214" spans="1:29" ht="12.75">
      <c r="A214" s="13"/>
      <c r="B214" s="13"/>
      <c r="C214" s="13"/>
      <c r="D214" s="46"/>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row>
    <row r="215" spans="1:29" ht="12.75">
      <c r="A215" s="13"/>
      <c r="B215" s="13"/>
      <c r="C215" s="13"/>
      <c r="D215" s="46"/>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row>
    <row r="216" spans="1:29" ht="12.75">
      <c r="A216" s="13"/>
      <c r="B216" s="13"/>
      <c r="C216" s="13"/>
      <c r="D216" s="46"/>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row>
    <row r="217" spans="1:29" ht="12.75">
      <c r="A217" s="13"/>
      <c r="B217" s="13"/>
      <c r="C217" s="13"/>
      <c r="D217" s="46"/>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row>
    <row r="218" spans="1:29" ht="12.75">
      <c r="A218" s="13"/>
      <c r="B218" s="13"/>
      <c r="C218" s="13"/>
      <c r="D218" s="46"/>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row>
    <row r="219" spans="1:29" ht="12.75">
      <c r="A219" s="13"/>
      <c r="B219" s="13"/>
      <c r="C219" s="13"/>
      <c r="D219" s="46"/>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row>
    <row r="220" spans="1:29" ht="12.75">
      <c r="A220" s="13"/>
      <c r="B220" s="13"/>
      <c r="C220" s="13"/>
      <c r="D220" s="46"/>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row>
    <row r="221" spans="1:29" ht="12.75">
      <c r="A221" s="13"/>
      <c r="B221" s="13"/>
      <c r="C221" s="13"/>
      <c r="D221" s="46"/>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row>
    <row r="222" spans="1:29" ht="12.75">
      <c r="A222" s="13"/>
      <c r="B222" s="13"/>
      <c r="C222" s="13"/>
      <c r="D222" s="46"/>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row>
    <row r="223" spans="1:29" ht="12.75">
      <c r="A223" s="13"/>
      <c r="B223" s="13"/>
      <c r="C223" s="13"/>
      <c r="D223" s="46"/>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row>
    <row r="224" spans="1:29" ht="12.75">
      <c r="A224" s="13"/>
      <c r="B224" s="13"/>
      <c r="C224" s="13"/>
      <c r="D224" s="46"/>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row>
    <row r="225" spans="1:29" ht="12.75">
      <c r="A225" s="13"/>
      <c r="B225" s="13"/>
      <c r="C225" s="13"/>
      <c r="D225" s="46"/>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row>
    <row r="226" spans="1:29" ht="12.75">
      <c r="A226" s="13"/>
      <c r="B226" s="13"/>
      <c r="C226" s="13"/>
      <c r="D226" s="46"/>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row>
    <row r="227" spans="1:29" ht="12.75">
      <c r="A227" s="13"/>
      <c r="B227" s="13"/>
      <c r="C227" s="13"/>
      <c r="D227" s="46"/>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row>
    <row r="228" spans="1:29" ht="12.75">
      <c r="A228" s="13"/>
      <c r="B228" s="13"/>
      <c r="C228" s="13"/>
      <c r="D228" s="46"/>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row>
    <row r="229" spans="1:29" ht="12.75">
      <c r="A229" s="13"/>
      <c r="B229" s="13"/>
      <c r="C229" s="13"/>
      <c r="D229" s="46"/>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row>
    <row r="230" spans="1:29" ht="12.75">
      <c r="A230" s="13"/>
      <c r="B230" s="13"/>
      <c r="C230" s="13"/>
      <c r="D230" s="46"/>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row>
    <row r="231" spans="1:29" ht="12.75">
      <c r="A231" s="13"/>
      <c r="B231" s="13"/>
      <c r="C231" s="13"/>
      <c r="D231" s="46"/>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row>
    <row r="232" spans="1:29" ht="12.75">
      <c r="A232" s="13"/>
      <c r="B232" s="13"/>
      <c r="C232" s="13"/>
      <c r="D232" s="46"/>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row>
    <row r="233" spans="1:29" ht="12.75">
      <c r="A233" s="13"/>
      <c r="B233" s="13"/>
      <c r="C233" s="13"/>
      <c r="D233" s="46"/>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row>
    <row r="234" spans="1:29" ht="12.75">
      <c r="A234" s="13"/>
      <c r="B234" s="13"/>
      <c r="C234" s="13"/>
      <c r="D234" s="46"/>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row>
    <row r="235" spans="1:29" ht="12.75">
      <c r="A235" s="13"/>
      <c r="B235" s="13"/>
      <c r="C235" s="13"/>
      <c r="D235" s="46"/>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row>
    <row r="236" spans="1:29" ht="12.75">
      <c r="A236" s="13"/>
      <c r="B236" s="13"/>
      <c r="C236" s="13"/>
      <c r="D236" s="46"/>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row>
    <row r="237" spans="1:29" ht="12.75">
      <c r="A237" s="13"/>
      <c r="B237" s="13"/>
      <c r="C237" s="13"/>
      <c r="D237" s="46"/>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row>
    <row r="238" spans="1:29" ht="12.75">
      <c r="A238" s="13"/>
      <c r="B238" s="13"/>
      <c r="C238" s="13"/>
      <c r="D238" s="46"/>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row>
    <row r="239" spans="1:29" ht="12.75">
      <c r="A239" s="13"/>
      <c r="B239" s="13"/>
      <c r="C239" s="13"/>
      <c r="D239" s="46"/>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row>
    <row r="240" spans="1:29" ht="12.75">
      <c r="A240" s="13"/>
      <c r="B240" s="13"/>
      <c r="C240" s="13"/>
      <c r="D240" s="46"/>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row>
    <row r="241" spans="1:29" ht="12.75">
      <c r="A241" s="13"/>
      <c r="B241" s="13"/>
      <c r="C241" s="13"/>
      <c r="D241" s="46"/>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row>
    <row r="242" spans="1:29" ht="12.75">
      <c r="A242" s="13"/>
      <c r="B242" s="13"/>
      <c r="C242" s="13"/>
      <c r="D242" s="46"/>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row>
    <row r="243" spans="1:29" ht="12.75">
      <c r="A243" s="13"/>
      <c r="B243" s="13"/>
      <c r="C243" s="13"/>
      <c r="D243" s="46"/>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row>
    <row r="244" spans="1:29" ht="12.75">
      <c r="A244" s="13"/>
      <c r="B244" s="13"/>
      <c r="C244" s="13"/>
      <c r="D244" s="46"/>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row>
    <row r="245" spans="1:29" ht="12.75">
      <c r="A245" s="13"/>
      <c r="B245" s="13"/>
      <c r="C245" s="13"/>
      <c r="D245" s="46"/>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row>
    <row r="246" spans="1:29" ht="12.75">
      <c r="A246" s="13"/>
      <c r="B246" s="13"/>
      <c r="C246" s="13"/>
      <c r="D246" s="46"/>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row>
    <row r="247" spans="1:29" ht="12.75">
      <c r="A247" s="13"/>
      <c r="B247" s="13"/>
      <c r="C247" s="13"/>
      <c r="D247" s="46"/>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row>
    <row r="248" spans="1:29" ht="12.75">
      <c r="A248" s="13"/>
      <c r="B248" s="13"/>
      <c r="C248" s="13"/>
      <c r="D248" s="46"/>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row>
    <row r="249" spans="1:29" ht="12.75">
      <c r="A249" s="13"/>
      <c r="B249" s="13"/>
      <c r="C249" s="13"/>
      <c r="D249" s="46"/>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row>
    <row r="250" spans="1:29" ht="12.75">
      <c r="A250" s="13"/>
      <c r="B250" s="13"/>
      <c r="C250" s="13"/>
      <c r="D250" s="46"/>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row>
    <row r="251" spans="1:29" ht="12.75">
      <c r="A251" s="13"/>
      <c r="B251" s="13"/>
      <c r="C251" s="13"/>
      <c r="D251" s="46"/>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row>
    <row r="252" spans="1:29" ht="12.75">
      <c r="A252" s="13"/>
      <c r="B252" s="13"/>
      <c r="C252" s="13"/>
      <c r="D252" s="46"/>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row>
    <row r="253" spans="1:29" ht="12.75">
      <c r="A253" s="13"/>
      <c r="B253" s="13"/>
      <c r="C253" s="13"/>
      <c r="D253" s="46"/>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row>
    <row r="254" spans="1:29" ht="12.75">
      <c r="A254" s="13"/>
      <c r="B254" s="13"/>
      <c r="C254" s="13"/>
      <c r="D254" s="46"/>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row>
    <row r="255" spans="1:29" ht="12.75">
      <c r="A255" s="13"/>
      <c r="B255" s="13"/>
      <c r="C255" s="13"/>
      <c r="D255" s="46"/>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row>
    <row r="256" spans="1:29" ht="12.75">
      <c r="A256" s="13"/>
      <c r="B256" s="13"/>
      <c r="C256" s="13"/>
      <c r="D256" s="46"/>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row>
    <row r="257" spans="1:29" ht="12.75">
      <c r="A257" s="13"/>
      <c r="B257" s="13"/>
      <c r="C257" s="13"/>
      <c r="D257" s="46"/>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row>
    <row r="258" spans="1:29" ht="12.75">
      <c r="A258" s="13"/>
      <c r="B258" s="13"/>
      <c r="C258" s="13"/>
      <c r="D258" s="46"/>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row>
    <row r="259" spans="1:29" ht="12.75">
      <c r="A259" s="13"/>
      <c r="B259" s="13"/>
      <c r="C259" s="13"/>
      <c r="D259" s="46"/>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row>
    <row r="260" spans="1:29" ht="12.75">
      <c r="A260" s="13"/>
      <c r="B260" s="13"/>
      <c r="C260" s="13"/>
      <c r="D260" s="46"/>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row>
    <row r="261" spans="1:29" ht="12.75">
      <c r="A261" s="13"/>
      <c r="B261" s="13"/>
      <c r="C261" s="13"/>
      <c r="D261" s="46"/>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row>
    <row r="262" spans="1:29" ht="12.75">
      <c r="A262" s="13"/>
      <c r="B262" s="13"/>
      <c r="C262" s="13"/>
      <c r="D262" s="46"/>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row>
    <row r="263" spans="1:29" ht="12.75">
      <c r="A263" s="13"/>
      <c r="B263" s="13"/>
      <c r="C263" s="13"/>
      <c r="D263" s="46"/>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row>
    <row r="264" spans="1:29" ht="12.75">
      <c r="A264" s="13"/>
      <c r="B264" s="13"/>
      <c r="C264" s="13"/>
      <c r="D264" s="46"/>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row>
    <row r="265" spans="1:29" ht="12.75">
      <c r="A265" s="13"/>
      <c r="B265" s="13"/>
      <c r="C265" s="13"/>
      <c r="D265" s="46"/>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row>
    <row r="266" spans="1:29" ht="12.75">
      <c r="A266" s="13"/>
      <c r="B266" s="13"/>
      <c r="C266" s="13"/>
      <c r="D266" s="46"/>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row>
    <row r="267" spans="1:29" ht="12.75">
      <c r="A267" s="13"/>
      <c r="B267" s="13"/>
      <c r="C267" s="13"/>
      <c r="D267" s="46"/>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row>
    <row r="268" spans="1:29" ht="12.75">
      <c r="A268" s="13"/>
      <c r="B268" s="13"/>
      <c r="C268" s="13"/>
      <c r="D268" s="46"/>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row>
    <row r="269" spans="1:29" ht="12.75">
      <c r="A269" s="13"/>
      <c r="B269" s="13"/>
      <c r="C269" s="13"/>
      <c r="D269" s="46"/>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row>
    <row r="270" spans="1:29" ht="12.75">
      <c r="A270" s="13"/>
      <c r="B270" s="13"/>
      <c r="C270" s="13"/>
      <c r="D270" s="46"/>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row>
    <row r="271" spans="1:29" ht="12.75">
      <c r="A271" s="13"/>
      <c r="B271" s="13"/>
      <c r="C271" s="13"/>
      <c r="D271" s="46"/>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row>
    <row r="272" spans="1:29" ht="12.75">
      <c r="A272" s="13"/>
      <c r="B272" s="13"/>
      <c r="C272" s="13"/>
      <c r="D272" s="46"/>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row>
    <row r="273" spans="1:29" ht="12.75">
      <c r="A273" s="13"/>
      <c r="B273" s="13"/>
      <c r="C273" s="13"/>
      <c r="D273" s="46"/>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row>
    <row r="274" spans="1:29" ht="12.75">
      <c r="A274" s="13"/>
      <c r="B274" s="13"/>
      <c r="C274" s="13"/>
      <c r="D274" s="46"/>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row>
    <row r="275" spans="1:29" ht="12.75">
      <c r="A275" s="13"/>
      <c r="B275" s="13"/>
      <c r="C275" s="13"/>
      <c r="D275" s="46"/>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row>
    <row r="276" spans="1:29" ht="12.75">
      <c r="A276" s="13"/>
      <c r="B276" s="13"/>
      <c r="C276" s="13"/>
      <c r="D276" s="46"/>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row>
    <row r="277" spans="1:29" ht="12.75">
      <c r="A277" s="13"/>
      <c r="B277" s="13"/>
      <c r="C277" s="13"/>
      <c r="D277" s="46"/>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row>
    <row r="278" spans="1:29" ht="12.75">
      <c r="A278" s="13"/>
      <c r="B278" s="13"/>
      <c r="C278" s="13"/>
      <c r="D278" s="46"/>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row>
    <row r="279" spans="1:29" ht="12.75">
      <c r="A279" s="13"/>
      <c r="B279" s="13"/>
      <c r="C279" s="13"/>
      <c r="D279" s="46"/>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row>
    <row r="280" spans="1:29" ht="12.75">
      <c r="A280" s="13"/>
      <c r="B280" s="13"/>
      <c r="C280" s="13"/>
      <c r="D280" s="46"/>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row>
    <row r="281" spans="1:29" ht="12.75">
      <c r="A281" s="13"/>
      <c r="B281" s="13"/>
      <c r="C281" s="13"/>
      <c r="D281" s="46"/>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row>
    <row r="282" spans="1:29" ht="12.75">
      <c r="A282" s="13"/>
      <c r="B282" s="13"/>
      <c r="C282" s="13"/>
      <c r="D282" s="46"/>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row>
    <row r="283" spans="1:29" ht="12.75">
      <c r="A283" s="13"/>
      <c r="B283" s="13"/>
      <c r="C283" s="13"/>
      <c r="D283" s="46"/>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row>
    <row r="284" spans="1:29" ht="12.75">
      <c r="A284" s="13"/>
      <c r="B284" s="13"/>
      <c r="C284" s="13"/>
      <c r="D284" s="46"/>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row>
    <row r="285" spans="1:29" ht="12.75">
      <c r="A285" s="13"/>
      <c r="B285" s="13"/>
      <c r="C285" s="13"/>
      <c r="D285" s="46"/>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row>
    <row r="286" spans="1:29" ht="12.75">
      <c r="A286" s="13"/>
      <c r="B286" s="13"/>
      <c r="C286" s="13"/>
      <c r="D286" s="46"/>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row>
    <row r="287" spans="1:29" ht="12.75">
      <c r="A287" s="13"/>
      <c r="B287" s="13"/>
      <c r="C287" s="13"/>
      <c r="D287" s="46"/>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row>
    <row r="288" spans="1:29" ht="12.75">
      <c r="A288" s="13"/>
      <c r="B288" s="13"/>
      <c r="C288" s="13"/>
      <c r="D288" s="46"/>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row>
    <row r="289" spans="1:29" ht="12.75">
      <c r="A289" s="13"/>
      <c r="B289" s="13"/>
      <c r="C289" s="13"/>
      <c r="D289" s="46"/>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row>
    <row r="290" spans="1:29" ht="12.75">
      <c r="A290" s="13"/>
      <c r="B290" s="13"/>
      <c r="C290" s="13"/>
      <c r="D290" s="46"/>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row>
    <row r="291" spans="1:29" ht="12.75">
      <c r="A291" s="13"/>
      <c r="B291" s="13"/>
      <c r="C291" s="13"/>
      <c r="D291" s="46"/>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row>
    <row r="292" spans="1:29" ht="12.75">
      <c r="A292" s="13"/>
      <c r="B292" s="13"/>
      <c r="C292" s="13"/>
      <c r="D292" s="46"/>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row>
    <row r="293" spans="1:29" ht="12.75">
      <c r="A293" s="13"/>
      <c r="B293" s="13"/>
      <c r="C293" s="13"/>
      <c r="D293" s="46"/>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row>
    <row r="294" spans="1:29" ht="12.75">
      <c r="A294" s="13"/>
      <c r="B294" s="13"/>
      <c r="C294" s="13"/>
      <c r="D294" s="46"/>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row>
    <row r="295" spans="1:29" ht="12.75">
      <c r="A295" s="13"/>
      <c r="B295" s="13"/>
      <c r="C295" s="13"/>
      <c r="D295" s="46"/>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row>
    <row r="296" spans="1:29" ht="12.75">
      <c r="A296" s="13"/>
      <c r="B296" s="13"/>
      <c r="C296" s="13"/>
      <c r="D296" s="46"/>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row>
    <row r="297" spans="1:29" ht="12.75">
      <c r="A297" s="13"/>
      <c r="B297" s="13"/>
      <c r="C297" s="13"/>
      <c r="D297" s="46"/>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row>
    <row r="298" spans="1:29" ht="12.75">
      <c r="A298" s="13"/>
      <c r="B298" s="13"/>
      <c r="C298" s="13"/>
      <c r="D298" s="46"/>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row>
    <row r="299" spans="1:29" ht="12.75">
      <c r="A299" s="13"/>
      <c r="B299" s="13"/>
      <c r="C299" s="13"/>
      <c r="D299" s="46"/>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row>
    <row r="300" spans="1:29" ht="12.75">
      <c r="A300" s="13"/>
      <c r="B300" s="13"/>
      <c r="C300" s="13"/>
      <c r="D300" s="46"/>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row>
    <row r="301" spans="1:29" ht="12.75">
      <c r="A301" s="13"/>
      <c r="B301" s="13"/>
      <c r="C301" s="13"/>
      <c r="D301" s="46"/>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row>
    <row r="302" spans="1:29" ht="12.75">
      <c r="A302" s="13"/>
      <c r="B302" s="13"/>
      <c r="C302" s="13"/>
      <c r="D302" s="46"/>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row>
    <row r="303" spans="1:29" ht="12.75">
      <c r="A303" s="13"/>
      <c r="B303" s="13"/>
      <c r="C303" s="13"/>
      <c r="D303" s="46"/>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row>
    <row r="304" spans="1:29" ht="12.75">
      <c r="A304" s="13"/>
      <c r="B304" s="13"/>
      <c r="C304" s="13"/>
      <c r="D304" s="46"/>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row>
    <row r="305" spans="1:29" ht="12.75">
      <c r="A305" s="13"/>
      <c r="B305" s="13"/>
      <c r="C305" s="13"/>
      <c r="D305" s="46"/>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row>
    <row r="306" spans="1:29" ht="12.75">
      <c r="A306" s="13"/>
      <c r="B306" s="13"/>
      <c r="C306" s="13"/>
      <c r="D306" s="46"/>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row>
    <row r="307" spans="1:29" ht="12.75">
      <c r="A307" s="13"/>
      <c r="B307" s="13"/>
      <c r="C307" s="13"/>
      <c r="D307" s="46"/>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row>
    <row r="308" spans="1:29" ht="12.75">
      <c r="A308" s="13"/>
      <c r="B308" s="13"/>
      <c r="C308" s="13"/>
      <c r="D308" s="46"/>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row>
    <row r="309" spans="1:29" ht="12.75">
      <c r="A309" s="13"/>
      <c r="B309" s="13"/>
      <c r="C309" s="13"/>
      <c r="D309" s="46"/>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row>
    <row r="310" spans="1:29" ht="12.75">
      <c r="A310" s="13"/>
      <c r="B310" s="13"/>
      <c r="C310" s="13"/>
      <c r="D310" s="46"/>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row>
    <row r="311" spans="1:29" ht="12.75">
      <c r="A311" s="13"/>
      <c r="B311" s="13"/>
      <c r="C311" s="13"/>
      <c r="D311" s="46"/>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row>
    <row r="312" spans="1:29" ht="12.75">
      <c r="A312" s="13"/>
      <c r="B312" s="13"/>
      <c r="C312" s="13"/>
      <c r="D312" s="46"/>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row>
    <row r="313" spans="1:29" ht="12.75">
      <c r="A313" s="13"/>
      <c r="B313" s="13"/>
      <c r="C313" s="13"/>
      <c r="D313" s="46"/>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row>
    <row r="314" spans="1:29" ht="12.75">
      <c r="A314" s="13"/>
      <c r="B314" s="13"/>
      <c r="C314" s="13"/>
      <c r="D314" s="46"/>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row>
    <row r="315" spans="1:29" ht="12.75">
      <c r="A315" s="13"/>
      <c r="B315" s="13"/>
      <c r="C315" s="13"/>
      <c r="D315" s="46"/>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row>
    <row r="316" spans="1:29" ht="12.75">
      <c r="A316" s="13"/>
      <c r="B316" s="13"/>
      <c r="C316" s="13"/>
      <c r="D316" s="46"/>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row>
    <row r="317" spans="1:29" ht="12.75">
      <c r="A317" s="13"/>
      <c r="B317" s="13"/>
      <c r="C317" s="13"/>
      <c r="D317" s="46"/>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row>
    <row r="318" spans="1:29" ht="12.75">
      <c r="A318" s="13"/>
      <c r="B318" s="13"/>
      <c r="C318" s="13"/>
      <c r="D318" s="46"/>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row>
    <row r="319" spans="1:29" ht="12.75">
      <c r="A319" s="13"/>
      <c r="B319" s="13"/>
      <c r="C319" s="13"/>
      <c r="D319" s="46"/>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row>
    <row r="320" spans="1:29" ht="12.75">
      <c r="A320" s="13"/>
      <c r="B320" s="13"/>
      <c r="C320" s="13"/>
      <c r="D320" s="46"/>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row>
    <row r="321" spans="1:29" ht="12.75">
      <c r="A321" s="13"/>
      <c r="B321" s="13"/>
      <c r="C321" s="13"/>
      <c r="D321" s="46"/>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row>
    <row r="322" spans="1:29" ht="12.75">
      <c r="A322" s="13"/>
      <c r="B322" s="13"/>
      <c r="C322" s="13"/>
      <c r="D322" s="46"/>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row>
    <row r="323" spans="1:29" ht="12.75">
      <c r="A323" s="13"/>
      <c r="B323" s="13"/>
      <c r="C323" s="13"/>
      <c r="D323" s="46"/>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row>
    <row r="324" spans="1:29" ht="12.75">
      <c r="A324" s="13"/>
      <c r="B324" s="13"/>
      <c r="C324" s="13"/>
      <c r="D324" s="46"/>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row>
    <row r="325" spans="1:29" ht="12.75">
      <c r="A325" s="13"/>
      <c r="B325" s="13"/>
      <c r="C325" s="13"/>
      <c r="D325" s="46"/>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row>
    <row r="326" spans="1:29" ht="12.75">
      <c r="A326" s="13"/>
      <c r="B326" s="13"/>
      <c r="C326" s="13"/>
      <c r="D326" s="46"/>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row>
    <row r="327" spans="1:29" ht="12.75">
      <c r="A327" s="13"/>
      <c r="B327" s="13"/>
      <c r="C327" s="13"/>
      <c r="D327" s="46"/>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row>
    <row r="328" spans="1:29" ht="12.75">
      <c r="A328" s="13"/>
      <c r="B328" s="13"/>
      <c r="C328" s="13"/>
      <c r="D328" s="46"/>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row>
    <row r="329" spans="1:29" ht="12.75">
      <c r="A329" s="13"/>
      <c r="B329" s="13"/>
      <c r="C329" s="13"/>
      <c r="D329" s="46"/>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row>
    <row r="330" spans="1:29" ht="12.75">
      <c r="A330" s="13"/>
      <c r="B330" s="13"/>
      <c r="C330" s="13"/>
      <c r="D330" s="46"/>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row>
    <row r="331" spans="1:29" ht="12.75">
      <c r="A331" s="13"/>
      <c r="B331" s="13"/>
      <c r="C331" s="13"/>
      <c r="D331" s="46"/>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row>
    <row r="332" spans="1:29" ht="12.75">
      <c r="A332" s="13"/>
      <c r="B332" s="13"/>
      <c r="C332" s="13"/>
      <c r="D332" s="46"/>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row>
    <row r="333" spans="1:29" ht="12.75">
      <c r="A333" s="13"/>
      <c r="B333" s="13"/>
      <c r="C333" s="13"/>
      <c r="D333" s="46"/>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row>
    <row r="334" spans="1:29" ht="12.75">
      <c r="A334" s="13"/>
      <c r="B334" s="13"/>
      <c r="C334" s="13"/>
      <c r="D334" s="46"/>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row>
    <row r="335" spans="1:29" ht="12.75">
      <c r="A335" s="13"/>
      <c r="B335" s="13"/>
      <c r="C335" s="13"/>
      <c r="D335" s="46"/>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row>
    <row r="336" spans="1:29" ht="12.75">
      <c r="A336" s="13"/>
      <c r="B336" s="13"/>
      <c r="C336" s="13"/>
      <c r="D336" s="46"/>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row>
    <row r="337" spans="1:29" ht="12.75">
      <c r="A337" s="13"/>
      <c r="B337" s="13"/>
      <c r="C337" s="13"/>
      <c r="D337" s="46"/>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row>
    <row r="338" spans="1:29" ht="12.75">
      <c r="A338" s="13"/>
      <c r="B338" s="13"/>
      <c r="C338" s="13"/>
      <c r="D338" s="46"/>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row>
    <row r="339" spans="1:29" ht="12.75">
      <c r="A339" s="13"/>
      <c r="B339" s="13"/>
      <c r="C339" s="13"/>
      <c r="D339" s="46"/>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row>
    <row r="340" spans="1:29" ht="12.75">
      <c r="A340" s="13"/>
      <c r="B340" s="13"/>
      <c r="C340" s="13"/>
      <c r="D340" s="46"/>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row>
    <row r="341" spans="1:29" ht="12.75">
      <c r="A341" s="13"/>
      <c r="B341" s="13"/>
      <c r="C341" s="13"/>
      <c r="D341" s="46"/>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row>
    <row r="342" spans="1:29" ht="12.75">
      <c r="A342" s="13"/>
      <c r="B342" s="13"/>
      <c r="C342" s="13"/>
      <c r="D342" s="46"/>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row>
    <row r="343" spans="1:29" ht="12.75">
      <c r="A343" s="13"/>
      <c r="B343" s="13"/>
      <c r="C343" s="13"/>
      <c r="D343" s="46"/>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row>
    <row r="344" spans="1:29" ht="12.75">
      <c r="A344" s="13"/>
      <c r="B344" s="13"/>
      <c r="C344" s="13"/>
      <c r="D344" s="46"/>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row>
    <row r="345" spans="1:29" ht="12.75">
      <c r="A345" s="13"/>
      <c r="B345" s="13"/>
      <c r="C345" s="13"/>
      <c r="D345" s="46"/>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row>
    <row r="346" spans="1:29" ht="12.75">
      <c r="A346" s="13"/>
      <c r="B346" s="13"/>
      <c r="C346" s="13"/>
      <c r="D346" s="46"/>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row>
    <row r="347" spans="1:29" ht="12.75">
      <c r="A347" s="13"/>
      <c r="B347" s="13"/>
      <c r="C347" s="13"/>
      <c r="D347" s="46"/>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row>
    <row r="348" spans="1:29" ht="12.75">
      <c r="A348" s="13"/>
      <c r="B348" s="13"/>
      <c r="C348" s="13"/>
      <c r="D348" s="46"/>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row>
    <row r="349" spans="1:29" ht="12.75">
      <c r="A349" s="13"/>
      <c r="B349" s="13"/>
      <c r="C349" s="13"/>
      <c r="D349" s="46"/>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row>
    <row r="350" spans="1:29" ht="12.75">
      <c r="A350" s="13"/>
      <c r="B350" s="13"/>
      <c r="C350" s="13"/>
      <c r="D350" s="46"/>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row>
    <row r="351" spans="1:29" ht="12.75">
      <c r="A351" s="13"/>
      <c r="B351" s="13"/>
      <c r="C351" s="13"/>
      <c r="D351" s="46"/>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row>
    <row r="352" spans="1:29" ht="12.75">
      <c r="A352" s="13"/>
      <c r="B352" s="13"/>
      <c r="C352" s="13"/>
      <c r="D352" s="46"/>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row>
    <row r="353" spans="1:29" ht="12.75">
      <c r="A353" s="13"/>
      <c r="B353" s="13"/>
      <c r="C353" s="13"/>
      <c r="D353" s="46"/>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row>
    <row r="354" spans="1:29" ht="12.75">
      <c r="A354" s="13"/>
      <c r="B354" s="13"/>
      <c r="C354" s="13"/>
      <c r="D354" s="46"/>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row>
    <row r="355" spans="1:29" ht="12.75">
      <c r="A355" s="13"/>
      <c r="B355" s="13"/>
      <c r="C355" s="13"/>
      <c r="D355" s="46"/>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row>
    <row r="356" spans="1:29" ht="12.75">
      <c r="A356" s="13"/>
      <c r="B356" s="13"/>
      <c r="C356" s="13"/>
      <c r="D356" s="46"/>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row>
    <row r="357" spans="1:29" ht="12.75">
      <c r="A357" s="13"/>
      <c r="B357" s="13"/>
      <c r="C357" s="13"/>
      <c r="D357" s="46"/>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row>
    <row r="358" spans="1:29" ht="12.75">
      <c r="A358" s="13"/>
      <c r="B358" s="13"/>
      <c r="C358" s="13"/>
      <c r="D358" s="46"/>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row>
    <row r="359" spans="1:29" ht="12.75">
      <c r="A359" s="13"/>
      <c r="B359" s="13"/>
      <c r="C359" s="13"/>
      <c r="D359" s="46"/>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row>
    <row r="360" spans="1:29" ht="12.75">
      <c r="A360" s="13"/>
      <c r="B360" s="13"/>
      <c r="C360" s="13"/>
      <c r="D360" s="46"/>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row>
    <row r="361" spans="1:29" ht="12.75">
      <c r="A361" s="13"/>
      <c r="B361" s="13"/>
      <c r="C361" s="13"/>
      <c r="D361" s="46"/>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row>
    <row r="362" spans="1:29" ht="12.75">
      <c r="A362" s="13"/>
      <c r="B362" s="13"/>
      <c r="C362" s="13"/>
      <c r="D362" s="46"/>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row>
    <row r="363" spans="1:29" ht="12.75">
      <c r="A363" s="13"/>
      <c r="B363" s="13"/>
      <c r="C363" s="13"/>
      <c r="D363" s="46"/>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row>
    <row r="364" spans="1:29" ht="12.75">
      <c r="A364" s="13"/>
      <c r="B364" s="13"/>
      <c r="C364" s="13"/>
      <c r="D364" s="46"/>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row>
    <row r="365" spans="1:29" ht="12.75">
      <c r="A365" s="13"/>
      <c r="B365" s="13"/>
      <c r="C365" s="13"/>
      <c r="D365" s="46"/>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row>
    <row r="366" spans="1:29" ht="12.75">
      <c r="A366" s="13"/>
      <c r="B366" s="13"/>
      <c r="C366" s="13"/>
      <c r="D366" s="46"/>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row>
    <row r="367" spans="1:29" ht="12.75">
      <c r="A367" s="13"/>
      <c r="B367" s="13"/>
      <c r="C367" s="13"/>
      <c r="D367" s="46"/>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row>
    <row r="368" spans="1:29" ht="12.75">
      <c r="A368" s="13"/>
      <c r="B368" s="13"/>
      <c r="C368" s="13"/>
      <c r="D368" s="46"/>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row>
    <row r="369" spans="1:29" ht="12.75">
      <c r="A369" s="13"/>
      <c r="B369" s="13"/>
      <c r="C369" s="13"/>
      <c r="D369" s="46"/>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row>
    <row r="370" spans="1:29" ht="12.75">
      <c r="A370" s="13"/>
      <c r="B370" s="13"/>
      <c r="C370" s="13"/>
      <c r="D370" s="46"/>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row>
    <row r="371" spans="1:29" ht="12.75">
      <c r="A371" s="13"/>
      <c r="B371" s="13"/>
      <c r="C371" s="13"/>
      <c r="D371" s="46"/>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row>
    <row r="372" spans="1:29" ht="12.75">
      <c r="A372" s="13"/>
      <c r="B372" s="13"/>
      <c r="C372" s="13"/>
      <c r="D372" s="46"/>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row>
    <row r="373" spans="1:29" ht="12.75">
      <c r="A373" s="13"/>
      <c r="B373" s="13"/>
      <c r="C373" s="13"/>
      <c r="D373" s="46"/>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row>
    <row r="374" spans="1:29" ht="12.75">
      <c r="A374" s="13"/>
      <c r="B374" s="13"/>
      <c r="C374" s="13"/>
      <c r="D374" s="46"/>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row>
    <row r="375" spans="1:29" ht="12.75">
      <c r="A375" s="13"/>
      <c r="B375" s="13"/>
      <c r="C375" s="13"/>
      <c r="D375" s="46"/>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row>
    <row r="376" spans="1:29" ht="12.75">
      <c r="A376" s="13"/>
      <c r="B376" s="13"/>
      <c r="C376" s="13"/>
      <c r="D376" s="46"/>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row>
    <row r="377" spans="1:29" ht="12.75">
      <c r="A377" s="13"/>
      <c r="B377" s="13"/>
      <c r="C377" s="13"/>
      <c r="D377" s="46"/>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row>
    <row r="378" spans="1:29" ht="12.75">
      <c r="A378" s="13"/>
      <c r="B378" s="13"/>
      <c r="C378" s="13"/>
      <c r="D378" s="46"/>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row>
    <row r="379" spans="1:29" ht="12.75">
      <c r="A379" s="13"/>
      <c r="B379" s="13"/>
      <c r="C379" s="13"/>
      <c r="D379" s="46"/>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row>
    <row r="380" spans="1:29" ht="12.75">
      <c r="A380" s="13"/>
      <c r="B380" s="13"/>
      <c r="C380" s="13"/>
      <c r="D380" s="46"/>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row>
    <row r="381" spans="1:29" ht="12.75">
      <c r="A381" s="13"/>
      <c r="B381" s="13"/>
      <c r="C381" s="13"/>
      <c r="D381" s="46"/>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row>
    <row r="382" spans="1:29" ht="12.75">
      <c r="A382" s="13"/>
      <c r="B382" s="13"/>
      <c r="C382" s="13"/>
      <c r="D382" s="46"/>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row>
    <row r="383" spans="1:29" ht="12.75">
      <c r="A383" s="13"/>
      <c r="B383" s="13"/>
      <c r="C383" s="13"/>
      <c r="D383" s="46"/>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row>
    <row r="384" spans="1:29" ht="12.75">
      <c r="A384" s="13"/>
      <c r="B384" s="13"/>
      <c r="C384" s="13"/>
      <c r="D384" s="46"/>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row>
    <row r="385" spans="1:29" ht="12.75">
      <c r="A385" s="13"/>
      <c r="B385" s="13"/>
      <c r="C385" s="13"/>
      <c r="D385" s="46"/>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row>
    <row r="386" spans="1:29" ht="12.75">
      <c r="A386" s="13"/>
      <c r="B386" s="13"/>
      <c r="C386" s="13"/>
      <c r="D386" s="46"/>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row>
    <row r="387" spans="1:29" ht="12.75">
      <c r="A387" s="13"/>
      <c r="B387" s="13"/>
      <c r="C387" s="13"/>
      <c r="D387" s="46"/>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row>
    <row r="388" spans="1:29" ht="12.75">
      <c r="A388" s="13"/>
      <c r="B388" s="13"/>
      <c r="C388" s="13"/>
      <c r="D388" s="46"/>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row>
    <row r="389" spans="1:29" ht="12.75">
      <c r="A389" s="13"/>
      <c r="B389" s="13"/>
      <c r="C389" s="13"/>
      <c r="D389" s="46"/>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row>
    <row r="390" spans="1:29" ht="12.75">
      <c r="A390" s="13"/>
      <c r="B390" s="13"/>
      <c r="C390" s="13"/>
      <c r="D390" s="46"/>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row>
    <row r="391" spans="1:29" ht="12.75">
      <c r="A391" s="13"/>
      <c r="B391" s="13"/>
      <c r="C391" s="13"/>
      <c r="D391" s="46"/>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row>
    <row r="392" spans="1:29" ht="12.75">
      <c r="A392" s="13"/>
      <c r="B392" s="13"/>
      <c r="C392" s="13"/>
      <c r="D392" s="46"/>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row>
    <row r="393" spans="1:29" ht="12.75">
      <c r="A393" s="13"/>
      <c r="B393" s="13"/>
      <c r="C393" s="13"/>
      <c r="D393" s="46"/>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row>
    <row r="394" spans="1:29" ht="12.75">
      <c r="A394" s="13"/>
      <c r="B394" s="13"/>
      <c r="C394" s="13"/>
      <c r="D394" s="46"/>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row>
    <row r="395" spans="1:29" ht="12.75">
      <c r="A395" s="13"/>
      <c r="B395" s="13"/>
      <c r="C395" s="13"/>
      <c r="D395" s="46"/>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row>
    <row r="396" spans="1:29" ht="12.75">
      <c r="A396" s="13"/>
      <c r="B396" s="13"/>
      <c r="C396" s="13"/>
      <c r="D396" s="46"/>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row>
    <row r="397" spans="1:29" ht="12.75">
      <c r="A397" s="13"/>
      <c r="B397" s="13"/>
      <c r="C397" s="13"/>
      <c r="D397" s="46"/>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row>
    <row r="398" spans="1:29" ht="12.75">
      <c r="A398" s="13"/>
      <c r="B398" s="13"/>
      <c r="C398" s="13"/>
      <c r="D398" s="46"/>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row>
    <row r="399" spans="1:29" ht="12.75">
      <c r="A399" s="13"/>
      <c r="B399" s="13"/>
      <c r="C399" s="13"/>
      <c r="D399" s="46"/>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row>
    <row r="400" spans="1:29" ht="12.75">
      <c r="A400" s="13"/>
      <c r="B400" s="13"/>
      <c r="C400" s="13"/>
      <c r="D400" s="46"/>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row>
    <row r="401" spans="1:29" ht="12.75">
      <c r="A401" s="13"/>
      <c r="B401" s="13"/>
      <c r="C401" s="13"/>
      <c r="D401" s="46"/>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row>
    <row r="402" spans="1:29" ht="12.75">
      <c r="A402" s="13"/>
      <c r="B402" s="13"/>
      <c r="C402" s="13"/>
      <c r="D402" s="46"/>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row>
    <row r="403" spans="1:29" ht="12.75">
      <c r="A403" s="13"/>
      <c r="B403" s="13"/>
      <c r="C403" s="13"/>
      <c r="D403" s="46"/>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row>
    <row r="404" spans="1:29" ht="12.75">
      <c r="A404" s="13"/>
      <c r="B404" s="13"/>
      <c r="C404" s="13"/>
      <c r="D404" s="46"/>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row>
    <row r="405" spans="1:29" ht="12.75">
      <c r="A405" s="13"/>
      <c r="B405" s="13"/>
      <c r="C405" s="13"/>
      <c r="D405" s="46"/>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row>
    <row r="406" spans="1:29" ht="12.75">
      <c r="A406" s="13"/>
      <c r="B406" s="13"/>
      <c r="C406" s="13"/>
      <c r="D406" s="46"/>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row>
    <row r="407" spans="1:29" ht="12.75">
      <c r="A407" s="13"/>
      <c r="B407" s="13"/>
      <c r="C407" s="13"/>
      <c r="D407" s="46"/>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row>
    <row r="408" spans="1:29" ht="12.75">
      <c r="A408" s="13"/>
      <c r="B408" s="13"/>
      <c r="C408" s="13"/>
      <c r="D408" s="46"/>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row>
    <row r="409" spans="1:29" ht="12.75">
      <c r="A409" s="13"/>
      <c r="B409" s="13"/>
      <c r="C409" s="13"/>
      <c r="D409" s="46"/>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row>
    <row r="410" spans="1:29" ht="12.75">
      <c r="A410" s="13"/>
      <c r="B410" s="13"/>
      <c r="C410" s="13"/>
      <c r="D410" s="46"/>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row>
    <row r="411" spans="1:29" ht="12.75">
      <c r="A411" s="13"/>
      <c r="B411" s="13"/>
      <c r="C411" s="13"/>
      <c r="D411" s="46"/>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row>
    <row r="412" spans="1:29" ht="12.75">
      <c r="A412" s="13"/>
      <c r="B412" s="13"/>
      <c r="C412" s="13"/>
      <c r="D412" s="46"/>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row>
    <row r="413" spans="1:29" ht="12.75">
      <c r="A413" s="13"/>
      <c r="B413" s="13"/>
      <c r="C413" s="13"/>
      <c r="D413" s="46"/>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row>
    <row r="414" spans="1:29" ht="12.75">
      <c r="A414" s="13"/>
      <c r="B414" s="13"/>
      <c r="C414" s="13"/>
      <c r="D414" s="46"/>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row>
    <row r="415" spans="1:29" ht="12.75">
      <c r="A415" s="13"/>
      <c r="B415" s="13"/>
      <c r="C415" s="13"/>
      <c r="D415" s="46"/>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row>
    <row r="416" spans="1:29" ht="12.75">
      <c r="A416" s="13"/>
      <c r="B416" s="13"/>
      <c r="C416" s="13"/>
      <c r="D416" s="46"/>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row>
    <row r="417" spans="1:29" ht="12.75">
      <c r="A417" s="13"/>
      <c r="B417" s="13"/>
      <c r="C417" s="13"/>
      <c r="D417" s="46"/>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row>
    <row r="418" spans="1:29" ht="12.75">
      <c r="A418" s="13"/>
      <c r="B418" s="13"/>
      <c r="C418" s="13"/>
      <c r="D418" s="46"/>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row>
    <row r="419" spans="1:29" ht="12.75">
      <c r="A419" s="13"/>
      <c r="B419" s="13"/>
      <c r="C419" s="13"/>
      <c r="D419" s="46"/>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row>
    <row r="420" spans="1:29" ht="12.75">
      <c r="A420" s="13"/>
      <c r="B420" s="13"/>
      <c r="C420" s="13"/>
      <c r="D420" s="46"/>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row>
    <row r="421" spans="1:29" ht="12.75">
      <c r="A421" s="13"/>
      <c r="B421" s="13"/>
      <c r="C421" s="13"/>
      <c r="D421" s="46"/>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row>
    <row r="422" spans="1:29" ht="12.75">
      <c r="A422" s="13"/>
      <c r="B422" s="13"/>
      <c r="C422" s="13"/>
      <c r="D422" s="46"/>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row>
    <row r="423" spans="1:29" ht="12.75">
      <c r="A423" s="13"/>
      <c r="B423" s="13"/>
      <c r="C423" s="13"/>
      <c r="D423" s="46"/>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row>
    <row r="424" spans="1:29" ht="12.75">
      <c r="A424" s="13"/>
      <c r="B424" s="13"/>
      <c r="C424" s="13"/>
      <c r="D424" s="46"/>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row>
    <row r="425" spans="1:29" ht="12.75">
      <c r="A425" s="13"/>
      <c r="B425" s="13"/>
      <c r="C425" s="13"/>
      <c r="D425" s="46"/>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row>
    <row r="426" spans="1:29" ht="12.75">
      <c r="A426" s="13"/>
      <c r="B426" s="13"/>
      <c r="C426" s="13"/>
      <c r="D426" s="46"/>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row>
    <row r="427" spans="1:29" ht="12.75">
      <c r="A427" s="13"/>
      <c r="B427" s="13"/>
      <c r="C427" s="13"/>
      <c r="D427" s="46"/>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row>
    <row r="428" spans="1:29" ht="12.75">
      <c r="A428" s="13"/>
      <c r="B428" s="13"/>
      <c r="C428" s="13"/>
      <c r="D428" s="46"/>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row>
    <row r="429" spans="1:29" ht="12.75">
      <c r="A429" s="13"/>
      <c r="B429" s="13"/>
      <c r="C429" s="13"/>
      <c r="D429" s="46"/>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row>
    <row r="430" spans="1:29" ht="12.75">
      <c r="A430" s="13"/>
      <c r="B430" s="13"/>
      <c r="C430" s="13"/>
      <c r="D430" s="46"/>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row>
    <row r="431" spans="1:29" ht="12.75">
      <c r="A431" s="13"/>
      <c r="B431" s="13"/>
      <c r="C431" s="13"/>
      <c r="D431" s="46"/>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row>
    <row r="432" spans="1:29" ht="12.75">
      <c r="A432" s="13"/>
      <c r="B432" s="13"/>
      <c r="C432" s="13"/>
      <c r="D432" s="46"/>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row>
    <row r="433" spans="1:29" ht="12.75">
      <c r="A433" s="13"/>
      <c r="B433" s="13"/>
      <c r="C433" s="13"/>
      <c r="D433" s="46"/>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row>
    <row r="434" spans="1:29" ht="12.75">
      <c r="A434" s="13"/>
      <c r="B434" s="13"/>
      <c r="C434" s="13"/>
      <c r="D434" s="46"/>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row>
    <row r="435" spans="1:29" ht="12.75">
      <c r="A435" s="13"/>
      <c r="B435" s="13"/>
      <c r="C435" s="13"/>
      <c r="D435" s="46"/>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row>
    <row r="436" spans="1:29" ht="12.75">
      <c r="A436" s="13"/>
      <c r="B436" s="13"/>
      <c r="C436" s="13"/>
      <c r="D436" s="46"/>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row>
    <row r="437" spans="1:29" ht="12.75">
      <c r="A437" s="13"/>
      <c r="B437" s="13"/>
      <c r="C437" s="13"/>
      <c r="D437" s="46"/>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row>
    <row r="438" spans="1:29" ht="12.75">
      <c r="A438" s="13"/>
      <c r="B438" s="13"/>
      <c r="C438" s="13"/>
      <c r="D438" s="46"/>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row>
    <row r="439" spans="1:29" ht="12.75">
      <c r="A439" s="13"/>
      <c r="B439" s="13"/>
      <c r="C439" s="13"/>
      <c r="D439" s="46"/>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row>
    <row r="440" spans="1:29" ht="12.75">
      <c r="A440" s="13"/>
      <c r="B440" s="13"/>
      <c r="C440" s="13"/>
      <c r="D440" s="46"/>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row>
    <row r="441" spans="1:29" ht="12.75">
      <c r="A441" s="13"/>
      <c r="B441" s="13"/>
      <c r="C441" s="13"/>
      <c r="D441" s="46"/>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row>
    <row r="442" spans="1:29" ht="12.75">
      <c r="A442" s="13"/>
      <c r="B442" s="13"/>
      <c r="C442" s="13"/>
      <c r="D442" s="46"/>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row>
    <row r="443" spans="1:29" ht="12.75">
      <c r="A443" s="13"/>
      <c r="B443" s="13"/>
      <c r="C443" s="13"/>
      <c r="D443" s="46"/>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row>
    <row r="444" spans="1:29" ht="12.75">
      <c r="A444" s="13"/>
      <c r="B444" s="13"/>
      <c r="C444" s="13"/>
      <c r="D444" s="46"/>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row>
    <row r="445" spans="1:29" ht="12.75">
      <c r="A445" s="13"/>
      <c r="B445" s="13"/>
      <c r="C445" s="13"/>
      <c r="D445" s="46"/>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row>
    <row r="446" spans="1:29" ht="12.75">
      <c r="A446" s="13"/>
      <c r="B446" s="13"/>
      <c r="C446" s="13"/>
      <c r="D446" s="46"/>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row>
    <row r="447" spans="1:29" ht="12.75">
      <c r="A447" s="13"/>
      <c r="B447" s="13"/>
      <c r="C447" s="13"/>
      <c r="D447" s="46"/>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row>
    <row r="448" spans="1:29" ht="12.75">
      <c r="A448" s="13"/>
      <c r="B448" s="13"/>
      <c r="C448" s="13"/>
      <c r="D448" s="46"/>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row>
    <row r="449" spans="1:29" ht="12.75">
      <c r="A449" s="13"/>
      <c r="B449" s="13"/>
      <c r="C449" s="13"/>
      <c r="D449" s="46"/>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row>
    <row r="450" spans="1:29" ht="12.75">
      <c r="A450" s="13"/>
      <c r="B450" s="13"/>
      <c r="C450" s="13"/>
      <c r="D450" s="46"/>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row>
    <row r="451" spans="1:29" ht="12.75">
      <c r="A451" s="13"/>
      <c r="B451" s="13"/>
      <c r="C451" s="13"/>
      <c r="D451" s="46"/>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row>
    <row r="452" spans="1:29" ht="12.75">
      <c r="A452" s="13"/>
      <c r="B452" s="13"/>
      <c r="C452" s="13"/>
      <c r="D452" s="46"/>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row>
    <row r="453" spans="1:29" ht="12.75">
      <c r="A453" s="13"/>
      <c r="B453" s="13"/>
      <c r="C453" s="13"/>
      <c r="D453" s="46"/>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row>
    <row r="454" spans="1:29" ht="12.75">
      <c r="A454" s="13"/>
      <c r="B454" s="13"/>
      <c r="C454" s="13"/>
      <c r="D454" s="46"/>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row>
    <row r="455" spans="1:29" ht="12.75">
      <c r="A455" s="13"/>
      <c r="B455" s="13"/>
      <c r="C455" s="13"/>
      <c r="D455" s="46"/>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row>
    <row r="456" spans="1:29" ht="12.75">
      <c r="A456" s="13"/>
      <c r="B456" s="13"/>
      <c r="C456" s="13"/>
      <c r="D456" s="46"/>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row>
    <row r="457" spans="1:29" ht="12.75">
      <c r="A457" s="13"/>
      <c r="B457" s="13"/>
      <c r="C457" s="13"/>
      <c r="D457" s="46"/>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row>
    <row r="458" spans="1:29" ht="12.75">
      <c r="A458" s="13"/>
      <c r="B458" s="13"/>
      <c r="C458" s="13"/>
      <c r="D458" s="46"/>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row>
    <row r="459" spans="1:29" ht="12.75">
      <c r="A459" s="13"/>
      <c r="B459" s="13"/>
      <c r="C459" s="13"/>
      <c r="D459" s="46"/>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row>
    <row r="460" spans="1:29" ht="12.75">
      <c r="A460" s="13"/>
      <c r="B460" s="13"/>
      <c r="C460" s="13"/>
      <c r="D460" s="46"/>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row>
    <row r="461" spans="1:29" ht="12.75">
      <c r="A461" s="13"/>
      <c r="B461" s="13"/>
      <c r="C461" s="13"/>
      <c r="D461" s="46"/>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row>
    <row r="462" spans="1:29" ht="12.75">
      <c r="A462" s="13"/>
      <c r="B462" s="13"/>
      <c r="C462" s="13"/>
      <c r="D462" s="46"/>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row>
    <row r="463" spans="1:29" ht="12.75">
      <c r="A463" s="13"/>
      <c r="B463" s="13"/>
      <c r="C463" s="13"/>
      <c r="D463" s="46"/>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row>
    <row r="464" spans="1:29" ht="12.75">
      <c r="A464" s="13"/>
      <c r="B464" s="13"/>
      <c r="C464" s="13"/>
      <c r="D464" s="46"/>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row>
    <row r="465" spans="1:29" ht="12.75">
      <c r="A465" s="13"/>
      <c r="B465" s="13"/>
      <c r="C465" s="13"/>
      <c r="D465" s="46"/>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row>
    <row r="466" spans="1:29" ht="12.75">
      <c r="A466" s="13"/>
      <c r="B466" s="13"/>
      <c r="C466" s="13"/>
      <c r="D466" s="46"/>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row>
    <row r="467" spans="1:29" ht="12.75">
      <c r="A467" s="13"/>
      <c r="B467" s="13"/>
      <c r="C467" s="13"/>
      <c r="D467" s="46"/>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row>
    <row r="468" spans="1:29" ht="12.75">
      <c r="A468" s="13"/>
      <c r="B468" s="13"/>
      <c r="C468" s="13"/>
      <c r="D468" s="46"/>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row>
    <row r="469" spans="1:29" ht="12.75">
      <c r="A469" s="13"/>
      <c r="B469" s="13"/>
      <c r="C469" s="13"/>
      <c r="D469" s="46"/>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row>
    <row r="470" spans="1:29" ht="12.75">
      <c r="A470" s="13"/>
      <c r="B470" s="13"/>
      <c r="C470" s="13"/>
      <c r="D470" s="46"/>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row>
    <row r="471" spans="1:29" ht="12.75">
      <c r="A471" s="13"/>
      <c r="B471" s="13"/>
      <c r="C471" s="13"/>
      <c r="D471" s="46"/>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row>
    <row r="472" spans="1:29" ht="12.75">
      <c r="A472" s="13"/>
      <c r="B472" s="13"/>
      <c r="C472" s="13"/>
      <c r="D472" s="46"/>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row>
    <row r="473" spans="1:29" ht="12.75">
      <c r="A473" s="13"/>
      <c r="B473" s="13"/>
      <c r="C473" s="13"/>
      <c r="D473" s="46"/>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row>
    <row r="474" spans="1:29" ht="12.75">
      <c r="A474" s="13"/>
      <c r="B474" s="13"/>
      <c r="C474" s="13"/>
      <c r="D474" s="46"/>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row>
    <row r="475" spans="1:29" ht="12.75">
      <c r="A475" s="13"/>
      <c r="B475" s="13"/>
      <c r="C475" s="13"/>
      <c r="D475" s="46"/>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row>
    <row r="476" spans="1:29" ht="12.75">
      <c r="A476" s="13"/>
      <c r="B476" s="13"/>
      <c r="C476" s="13"/>
      <c r="D476" s="46"/>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row>
    <row r="477" spans="1:29" ht="12.75">
      <c r="A477" s="13"/>
      <c r="B477" s="13"/>
      <c r="C477" s="13"/>
      <c r="D477" s="46"/>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row>
    <row r="478" spans="1:29" ht="12.75">
      <c r="A478" s="13"/>
      <c r="B478" s="13"/>
      <c r="C478" s="13"/>
      <c r="D478" s="46"/>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row>
    <row r="479" spans="1:29" ht="12.75">
      <c r="A479" s="13"/>
      <c r="B479" s="13"/>
      <c r="C479" s="13"/>
      <c r="D479" s="46"/>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row>
    <row r="480" spans="1:29" ht="12.75">
      <c r="A480" s="13"/>
      <c r="B480" s="13"/>
      <c r="C480" s="13"/>
      <c r="D480" s="46"/>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row>
    <row r="481" spans="1:29" ht="12.75">
      <c r="A481" s="13"/>
      <c r="B481" s="13"/>
      <c r="C481" s="13"/>
      <c r="D481" s="46"/>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row>
    <row r="482" spans="1:29" ht="12.75">
      <c r="A482" s="13"/>
      <c r="B482" s="13"/>
      <c r="C482" s="13"/>
      <c r="D482" s="46"/>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row>
    <row r="483" spans="1:29" ht="12.75">
      <c r="A483" s="13"/>
      <c r="B483" s="13"/>
      <c r="C483" s="13"/>
      <c r="D483" s="46"/>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row>
    <row r="484" spans="1:29" ht="12.75">
      <c r="A484" s="13"/>
      <c r="B484" s="13"/>
      <c r="C484" s="13"/>
      <c r="D484" s="46"/>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row>
    <row r="485" spans="1:29" ht="12.75">
      <c r="A485" s="13"/>
      <c r="B485" s="13"/>
      <c r="C485" s="13"/>
      <c r="D485" s="46"/>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row>
    <row r="486" spans="1:29" ht="12.75">
      <c r="A486" s="13"/>
      <c r="B486" s="13"/>
      <c r="C486" s="13"/>
      <c r="D486" s="46"/>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row>
    <row r="487" spans="1:29" ht="12.75">
      <c r="A487" s="13"/>
      <c r="B487" s="13"/>
      <c r="C487" s="13"/>
      <c r="D487" s="46"/>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row>
    <row r="488" spans="1:29" ht="12.75">
      <c r="A488" s="13"/>
      <c r="B488" s="13"/>
      <c r="C488" s="13"/>
      <c r="D488" s="46"/>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row>
    <row r="489" spans="1:29" ht="12.75">
      <c r="A489" s="13"/>
      <c r="B489" s="13"/>
      <c r="C489" s="13"/>
      <c r="D489" s="46"/>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row>
    <row r="490" spans="1:29" ht="12.75">
      <c r="A490" s="13"/>
      <c r="B490" s="13"/>
      <c r="C490" s="13"/>
      <c r="D490" s="46"/>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row>
    <row r="491" spans="1:29" ht="12.75">
      <c r="A491" s="13"/>
      <c r="B491" s="13"/>
      <c r="C491" s="13"/>
      <c r="D491" s="46"/>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row>
    <row r="492" spans="1:29" ht="12.75">
      <c r="A492" s="13"/>
      <c r="B492" s="13"/>
      <c r="C492" s="13"/>
      <c r="D492" s="46"/>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row>
    <row r="493" spans="1:29" ht="12.75">
      <c r="A493" s="13"/>
      <c r="B493" s="13"/>
      <c r="C493" s="13"/>
      <c r="D493" s="46"/>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row>
    <row r="494" spans="1:29" ht="12.75">
      <c r="A494" s="13"/>
      <c r="B494" s="13"/>
      <c r="C494" s="13"/>
      <c r="D494" s="46"/>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row>
    <row r="495" spans="1:29" ht="12.75">
      <c r="A495" s="13"/>
      <c r="B495" s="13"/>
      <c r="C495" s="13"/>
      <c r="D495" s="46"/>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row>
    <row r="496" spans="1:29" ht="12.75">
      <c r="A496" s="13"/>
      <c r="B496" s="13"/>
      <c r="C496" s="13"/>
      <c r="D496" s="46"/>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row>
    <row r="497" spans="1:29" ht="12.75">
      <c r="A497" s="13"/>
      <c r="B497" s="13"/>
      <c r="C497" s="13"/>
      <c r="D497" s="46"/>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row>
    <row r="498" spans="1:29" ht="12.75">
      <c r="A498" s="13"/>
      <c r="B498" s="13"/>
      <c r="C498" s="13"/>
      <c r="D498" s="46"/>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row>
    <row r="499" spans="1:29" ht="12.75">
      <c r="A499" s="13"/>
      <c r="B499" s="13"/>
      <c r="C499" s="13"/>
      <c r="D499" s="46"/>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row>
    <row r="500" spans="1:29" ht="12.75">
      <c r="A500" s="13"/>
      <c r="B500" s="13"/>
      <c r="C500" s="13"/>
      <c r="D500" s="46"/>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row>
    <row r="501" spans="1:29" ht="12.75">
      <c r="A501" s="13"/>
      <c r="B501" s="13"/>
      <c r="C501" s="13"/>
      <c r="D501" s="46"/>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row>
    <row r="502" spans="1:29" ht="12.75">
      <c r="A502" s="13"/>
      <c r="B502" s="13"/>
      <c r="C502" s="13"/>
      <c r="D502" s="46"/>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row>
    <row r="503" spans="1:29" ht="12.75">
      <c r="A503" s="13"/>
      <c r="B503" s="13"/>
      <c r="C503" s="13"/>
      <c r="D503" s="46"/>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row>
    <row r="504" spans="1:29" ht="12.75">
      <c r="A504" s="13"/>
      <c r="B504" s="13"/>
      <c r="C504" s="13"/>
      <c r="D504" s="46"/>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row>
    <row r="505" spans="1:29" ht="12.75">
      <c r="A505" s="13"/>
      <c r="B505" s="13"/>
      <c r="C505" s="13"/>
      <c r="D505" s="46"/>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row>
    <row r="506" spans="1:29" ht="12.75">
      <c r="A506" s="13"/>
      <c r="B506" s="13"/>
      <c r="C506" s="13"/>
      <c r="D506" s="46"/>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row>
    <row r="507" spans="1:29" ht="12.75">
      <c r="A507" s="13"/>
      <c r="B507" s="13"/>
      <c r="C507" s="13"/>
      <c r="D507" s="46"/>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row>
    <row r="508" spans="1:29" ht="12.75">
      <c r="A508" s="13"/>
      <c r="B508" s="13"/>
      <c r="C508" s="13"/>
      <c r="D508" s="46"/>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row>
    <row r="509" spans="1:29" ht="12.75">
      <c r="A509" s="13"/>
      <c r="B509" s="13"/>
      <c r="C509" s="13"/>
      <c r="D509" s="46"/>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row>
    <row r="510" spans="1:29" ht="12.75">
      <c r="A510" s="13"/>
      <c r="B510" s="13"/>
      <c r="C510" s="13"/>
      <c r="D510" s="46"/>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row>
    <row r="511" spans="1:29" ht="12.75">
      <c r="A511" s="13"/>
      <c r="B511" s="13"/>
      <c r="C511" s="13"/>
      <c r="D511" s="46"/>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row>
    <row r="512" spans="1:29" ht="12.75">
      <c r="A512" s="13"/>
      <c r="B512" s="13"/>
      <c r="C512" s="13"/>
      <c r="D512" s="46"/>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row>
    <row r="513" spans="1:29" ht="12.75">
      <c r="A513" s="13"/>
      <c r="B513" s="13"/>
      <c r="C513" s="13"/>
      <c r="D513" s="46"/>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row>
    <row r="514" spans="1:29" ht="12.75">
      <c r="A514" s="13"/>
      <c r="B514" s="13"/>
      <c r="C514" s="13"/>
      <c r="D514" s="46"/>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row>
    <row r="515" spans="1:29" ht="12.75">
      <c r="A515" s="13"/>
      <c r="B515" s="13"/>
      <c r="C515" s="13"/>
      <c r="D515" s="46"/>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row>
    <row r="516" spans="1:29" ht="12.75">
      <c r="A516" s="13"/>
      <c r="B516" s="13"/>
      <c r="C516" s="13"/>
      <c r="D516" s="46"/>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row>
    <row r="517" spans="1:29" ht="12.75">
      <c r="A517" s="13"/>
      <c r="B517" s="13"/>
      <c r="C517" s="13"/>
      <c r="D517" s="46"/>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row>
    <row r="518" spans="1:29" ht="12.75">
      <c r="A518" s="13"/>
      <c r="B518" s="13"/>
      <c r="C518" s="13"/>
      <c r="D518" s="46"/>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row>
    <row r="519" spans="1:29" ht="12.75">
      <c r="A519" s="13"/>
      <c r="B519" s="13"/>
      <c r="C519" s="13"/>
      <c r="D519" s="46"/>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row>
    <row r="520" spans="1:29" ht="12.75">
      <c r="A520" s="13"/>
      <c r="B520" s="13"/>
      <c r="C520" s="13"/>
      <c r="D520" s="46"/>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row>
    <row r="521" spans="1:29" ht="12.75">
      <c r="A521" s="13"/>
      <c r="B521" s="13"/>
      <c r="C521" s="13"/>
      <c r="D521" s="46"/>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row>
    <row r="522" spans="1:29" ht="12.75">
      <c r="A522" s="13"/>
      <c r="B522" s="13"/>
      <c r="C522" s="13"/>
      <c r="D522" s="46"/>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row>
    <row r="523" spans="1:29" ht="12.75">
      <c r="A523" s="13"/>
      <c r="B523" s="13"/>
      <c r="C523" s="13"/>
      <c r="D523" s="46"/>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row>
    <row r="524" spans="1:29" ht="12.75">
      <c r="A524" s="13"/>
      <c r="B524" s="13"/>
      <c r="C524" s="13"/>
      <c r="D524" s="46"/>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row>
    <row r="525" spans="1:29" ht="12.75">
      <c r="A525" s="13"/>
      <c r="B525" s="13"/>
      <c r="C525" s="13"/>
      <c r="D525" s="46"/>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row>
    <row r="526" spans="1:29" ht="12.75">
      <c r="A526" s="13"/>
      <c r="B526" s="13"/>
      <c r="C526" s="13"/>
      <c r="D526" s="46"/>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row>
    <row r="527" spans="1:29" ht="12.75">
      <c r="A527" s="13"/>
      <c r="B527" s="13"/>
      <c r="C527" s="13"/>
      <c r="D527" s="46"/>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row>
    <row r="528" spans="1:29" ht="12.75">
      <c r="A528" s="13"/>
      <c r="B528" s="13"/>
      <c r="C528" s="13"/>
      <c r="D528" s="46"/>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row>
    <row r="529" spans="1:29" ht="12.75">
      <c r="A529" s="13"/>
      <c r="B529" s="13"/>
      <c r="C529" s="13"/>
      <c r="D529" s="46"/>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row>
    <row r="530" spans="1:29" ht="12.75">
      <c r="A530" s="13"/>
      <c r="B530" s="13"/>
      <c r="C530" s="13"/>
      <c r="D530" s="46"/>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row>
    <row r="531" spans="1:29" ht="12.75">
      <c r="A531" s="13"/>
      <c r="B531" s="13"/>
      <c r="C531" s="13"/>
      <c r="D531" s="46"/>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row>
    <row r="532" spans="1:29" ht="12.75">
      <c r="A532" s="13"/>
      <c r="B532" s="13"/>
      <c r="C532" s="13"/>
      <c r="D532" s="46"/>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row>
    <row r="533" spans="1:29" ht="12.75">
      <c r="A533" s="13"/>
      <c r="B533" s="13"/>
      <c r="C533" s="13"/>
      <c r="D533" s="46"/>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row>
    <row r="534" spans="1:29" ht="12.75">
      <c r="A534" s="13"/>
      <c r="B534" s="13"/>
      <c r="C534" s="13"/>
      <c r="D534" s="46"/>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row>
    <row r="535" spans="1:29" ht="12.75">
      <c r="A535" s="13"/>
      <c r="B535" s="13"/>
      <c r="C535" s="13"/>
      <c r="D535" s="46"/>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row>
    <row r="536" spans="1:29" ht="12.75">
      <c r="A536" s="13"/>
      <c r="B536" s="13"/>
      <c r="C536" s="13"/>
      <c r="D536" s="46"/>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row>
    <row r="537" spans="1:29" ht="12.75">
      <c r="A537" s="13"/>
      <c r="B537" s="13"/>
      <c r="C537" s="13"/>
      <c r="D537" s="46"/>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row>
    <row r="538" spans="1:29" ht="12.75">
      <c r="A538" s="13"/>
      <c r="B538" s="13"/>
      <c r="C538" s="13"/>
      <c r="D538" s="46"/>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row>
    <row r="539" spans="1:29" ht="12.75">
      <c r="A539" s="13"/>
      <c r="B539" s="13"/>
      <c r="C539" s="13"/>
      <c r="D539" s="46"/>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row>
    <row r="540" spans="1:29" ht="12.75">
      <c r="A540" s="13"/>
      <c r="B540" s="13"/>
      <c r="C540" s="13"/>
      <c r="D540" s="46"/>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row>
    <row r="541" spans="1:29" ht="12.75">
      <c r="A541" s="13"/>
      <c r="B541" s="13"/>
      <c r="C541" s="13"/>
      <c r="D541" s="46"/>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row>
    <row r="542" spans="1:29" ht="12.75">
      <c r="A542" s="13"/>
      <c r="B542" s="13"/>
      <c r="C542" s="13"/>
      <c r="D542" s="46"/>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row>
    <row r="543" spans="1:29" ht="12.75">
      <c r="A543" s="13"/>
      <c r="B543" s="13"/>
      <c r="C543" s="13"/>
      <c r="D543" s="46"/>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row>
    <row r="544" spans="1:29" ht="12.75">
      <c r="A544" s="13"/>
      <c r="B544" s="13"/>
      <c r="C544" s="13"/>
      <c r="D544" s="46"/>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row>
    <row r="545" spans="1:29" ht="12.75">
      <c r="A545" s="13"/>
      <c r="B545" s="13"/>
      <c r="C545" s="13"/>
      <c r="D545" s="46"/>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row>
    <row r="546" spans="1:29" ht="12.75">
      <c r="A546" s="13"/>
      <c r="B546" s="13"/>
      <c r="C546" s="13"/>
      <c r="D546" s="46"/>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row>
    <row r="547" spans="1:29" ht="12.75">
      <c r="A547" s="13"/>
      <c r="B547" s="13"/>
      <c r="C547" s="13"/>
      <c r="D547" s="46"/>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row>
    <row r="548" spans="1:29" ht="12.75">
      <c r="A548" s="13"/>
      <c r="B548" s="13"/>
      <c r="C548" s="13"/>
      <c r="D548" s="46"/>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row>
    <row r="549" spans="1:29" ht="12.75">
      <c r="A549" s="13"/>
      <c r="B549" s="13"/>
      <c r="C549" s="13"/>
      <c r="D549" s="46"/>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row>
    <row r="550" spans="1:29" ht="12.75">
      <c r="A550" s="13"/>
      <c r="B550" s="13"/>
      <c r="C550" s="13"/>
      <c r="D550" s="46"/>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row>
    <row r="551" spans="1:29" ht="12.75">
      <c r="A551" s="13"/>
      <c r="B551" s="13"/>
      <c r="C551" s="13"/>
      <c r="D551" s="46"/>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row>
    <row r="552" spans="1:29" ht="12.75">
      <c r="A552" s="13"/>
      <c r="B552" s="13"/>
      <c r="C552" s="13"/>
      <c r="D552" s="46"/>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row>
    <row r="553" spans="1:29" ht="12.75">
      <c r="A553" s="13"/>
      <c r="B553" s="13"/>
      <c r="C553" s="13"/>
      <c r="D553" s="46"/>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row>
    <row r="554" spans="1:29" ht="12.75">
      <c r="A554" s="13"/>
      <c r="B554" s="13"/>
      <c r="C554" s="13"/>
      <c r="D554" s="46"/>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row>
    <row r="555" spans="1:29" ht="12.75">
      <c r="A555" s="13"/>
      <c r="B555" s="13"/>
      <c r="C555" s="13"/>
      <c r="D555" s="46"/>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row>
    <row r="556" spans="1:29" ht="12.75">
      <c r="A556" s="13"/>
      <c r="B556" s="13"/>
      <c r="C556" s="13"/>
      <c r="D556" s="46"/>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row>
    <row r="557" spans="1:29" ht="12.75">
      <c r="A557" s="13"/>
      <c r="B557" s="13"/>
      <c r="C557" s="13"/>
      <c r="D557" s="46"/>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row>
    <row r="558" spans="1:29" ht="12.75">
      <c r="A558" s="13"/>
      <c r="B558" s="13"/>
      <c r="C558" s="13"/>
      <c r="D558" s="46"/>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row>
    <row r="559" spans="1:29" ht="12.75">
      <c r="A559" s="13"/>
      <c r="B559" s="13"/>
      <c r="C559" s="13"/>
      <c r="D559" s="46"/>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row>
    <row r="560" spans="1:29" ht="12.75">
      <c r="A560" s="13"/>
      <c r="B560" s="13"/>
      <c r="C560" s="13"/>
      <c r="D560" s="46"/>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row>
    <row r="561" spans="1:29" ht="12.75">
      <c r="A561" s="13"/>
      <c r="B561" s="13"/>
      <c r="C561" s="13"/>
      <c r="D561" s="46"/>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row>
    <row r="562" spans="1:29" ht="12.75">
      <c r="A562" s="13"/>
      <c r="B562" s="13"/>
      <c r="C562" s="13"/>
      <c r="D562" s="46"/>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row>
    <row r="563" spans="1:29" ht="12.75">
      <c r="A563" s="13"/>
      <c r="B563" s="13"/>
      <c r="C563" s="13"/>
      <c r="D563" s="46"/>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row>
    <row r="564" spans="1:29" ht="12.75">
      <c r="A564" s="13"/>
      <c r="B564" s="13"/>
      <c r="C564" s="13"/>
      <c r="D564" s="46"/>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row>
    <row r="565" spans="1:29" ht="12.75">
      <c r="A565" s="13"/>
      <c r="B565" s="13"/>
      <c r="C565" s="13"/>
      <c r="D565" s="46"/>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row>
    <row r="566" spans="1:29" ht="12.75">
      <c r="A566" s="13"/>
      <c r="B566" s="13"/>
      <c r="C566" s="13"/>
      <c r="D566" s="46"/>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row>
    <row r="567" spans="1:29" ht="12.75">
      <c r="A567" s="13"/>
      <c r="B567" s="13"/>
      <c r="C567" s="13"/>
      <c r="D567" s="46"/>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row>
    <row r="568" spans="1:29" ht="12.75">
      <c r="A568" s="13"/>
      <c r="B568" s="13"/>
      <c r="C568" s="13"/>
      <c r="D568" s="46"/>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row>
    <row r="569" spans="1:29" ht="12.75">
      <c r="A569" s="13"/>
      <c r="B569" s="13"/>
      <c r="C569" s="13"/>
      <c r="D569" s="46"/>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row>
    <row r="570" spans="1:29" ht="12.75">
      <c r="A570" s="13"/>
      <c r="B570" s="13"/>
      <c r="C570" s="13"/>
      <c r="D570" s="46"/>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row>
    <row r="571" spans="1:29" ht="12.75">
      <c r="A571" s="13"/>
      <c r="B571" s="13"/>
      <c r="C571" s="13"/>
      <c r="D571" s="46"/>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row>
    <row r="572" spans="1:29" ht="12.75">
      <c r="A572" s="13"/>
      <c r="B572" s="13"/>
      <c r="C572" s="13"/>
      <c r="D572" s="46"/>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row>
    <row r="573" spans="1:29" ht="12.75">
      <c r="A573" s="13"/>
      <c r="B573" s="13"/>
      <c r="C573" s="13"/>
      <c r="D573" s="46"/>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row>
    <row r="574" spans="1:29" ht="12.75">
      <c r="A574" s="13"/>
      <c r="B574" s="13"/>
      <c r="C574" s="13"/>
      <c r="D574" s="46"/>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row>
    <row r="575" spans="1:29" ht="12.75">
      <c r="A575" s="13"/>
      <c r="B575" s="13"/>
      <c r="C575" s="13"/>
      <c r="D575" s="46"/>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row>
    <row r="576" spans="1:29" ht="12.75">
      <c r="A576" s="13"/>
      <c r="B576" s="13"/>
      <c r="C576" s="13"/>
      <c r="D576" s="46"/>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row>
    <row r="577" spans="1:29" ht="12.75">
      <c r="A577" s="13"/>
      <c r="B577" s="13"/>
      <c r="C577" s="13"/>
      <c r="D577" s="46"/>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row>
    <row r="578" spans="1:29" ht="12.75">
      <c r="A578" s="13"/>
      <c r="B578" s="13"/>
      <c r="C578" s="13"/>
      <c r="D578" s="46"/>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row>
    <row r="579" spans="1:29" ht="12.75">
      <c r="A579" s="13"/>
      <c r="B579" s="13"/>
      <c r="C579" s="13"/>
      <c r="D579" s="46"/>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row>
    <row r="580" spans="1:29" ht="12.75">
      <c r="A580" s="13"/>
      <c r="B580" s="13"/>
      <c r="C580" s="13"/>
      <c r="D580" s="46"/>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row>
    <row r="581" spans="1:29" ht="12.75">
      <c r="A581" s="13"/>
      <c r="B581" s="13"/>
      <c r="C581" s="13"/>
      <c r="D581" s="46"/>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row>
    <row r="582" spans="1:29" ht="12.75">
      <c r="A582" s="13"/>
      <c r="B582" s="13"/>
      <c r="C582" s="13"/>
      <c r="D582" s="46"/>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row>
    <row r="583" spans="1:29" ht="12.75">
      <c r="A583" s="13"/>
      <c r="B583" s="13"/>
      <c r="C583" s="13"/>
      <c r="D583" s="46"/>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row>
    <row r="584" spans="1:29" ht="12.75">
      <c r="A584" s="13"/>
      <c r="B584" s="13"/>
      <c r="C584" s="13"/>
      <c r="D584" s="46"/>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row>
    <row r="585" spans="1:29" ht="12.75">
      <c r="A585" s="13"/>
      <c r="B585" s="13"/>
      <c r="C585" s="13"/>
      <c r="D585" s="46"/>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row>
    <row r="586" spans="1:29" ht="12.75">
      <c r="A586" s="13"/>
      <c r="B586" s="13"/>
      <c r="C586" s="13"/>
      <c r="D586" s="46"/>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row>
    <row r="587" spans="1:29" ht="12.75">
      <c r="A587" s="13"/>
      <c r="B587" s="13"/>
      <c r="C587" s="13"/>
      <c r="D587" s="46"/>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row>
    <row r="588" spans="1:29" ht="12.75">
      <c r="A588" s="13"/>
      <c r="B588" s="13"/>
      <c r="C588" s="13"/>
      <c r="D588" s="46"/>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row>
    <row r="589" spans="1:29" ht="12.75">
      <c r="A589" s="13"/>
      <c r="B589" s="13"/>
      <c r="C589" s="13"/>
      <c r="D589" s="46"/>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row>
    <row r="590" spans="1:29" ht="12.75">
      <c r="A590" s="13"/>
      <c r="B590" s="13"/>
      <c r="C590" s="13"/>
      <c r="D590" s="46"/>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row>
    <row r="591" spans="1:29" ht="12.75">
      <c r="A591" s="13"/>
      <c r="B591" s="13"/>
      <c r="C591" s="13"/>
      <c r="D591" s="46"/>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row>
    <row r="592" spans="1:29" ht="12.75">
      <c r="A592" s="13"/>
      <c r="B592" s="13"/>
      <c r="C592" s="13"/>
      <c r="D592" s="46"/>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row>
    <row r="593" spans="1:29" ht="12.75">
      <c r="A593" s="13"/>
      <c r="B593" s="13"/>
      <c r="C593" s="13"/>
      <c r="D593" s="46"/>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row>
    <row r="594" spans="1:29" ht="12.75">
      <c r="A594" s="13"/>
      <c r="B594" s="13"/>
      <c r="C594" s="13"/>
      <c r="D594" s="46"/>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row>
    <row r="595" spans="1:29" ht="12.75">
      <c r="A595" s="13"/>
      <c r="B595" s="13"/>
      <c r="C595" s="13"/>
      <c r="D595" s="46"/>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row>
    <row r="596" spans="1:29" ht="12.75">
      <c r="A596" s="13"/>
      <c r="B596" s="13"/>
      <c r="C596" s="13"/>
      <c r="D596" s="46"/>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row>
    <row r="597" spans="1:29" ht="12.75">
      <c r="A597" s="13"/>
      <c r="B597" s="13"/>
      <c r="C597" s="13"/>
      <c r="D597" s="46"/>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row>
    <row r="598" spans="1:29" ht="12.75">
      <c r="A598" s="13"/>
      <c r="B598" s="13"/>
      <c r="C598" s="13"/>
      <c r="D598" s="46"/>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row>
    <row r="599" spans="1:29" ht="12.75">
      <c r="A599" s="13"/>
      <c r="B599" s="13"/>
      <c r="C599" s="13"/>
      <c r="D599" s="46"/>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row>
    <row r="600" spans="1:29" ht="12.75">
      <c r="A600" s="13"/>
      <c r="B600" s="13"/>
      <c r="C600" s="13"/>
      <c r="D600" s="46"/>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row>
    <row r="601" spans="1:29" ht="12.75">
      <c r="A601" s="13"/>
      <c r="B601" s="13"/>
      <c r="C601" s="13"/>
      <c r="D601" s="46"/>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row>
    <row r="602" spans="1:29" ht="12.75">
      <c r="A602" s="13"/>
      <c r="B602" s="13"/>
      <c r="C602" s="13"/>
      <c r="D602" s="46"/>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row>
    <row r="603" spans="1:29" ht="12.75">
      <c r="A603" s="13"/>
      <c r="B603" s="13"/>
      <c r="C603" s="13"/>
      <c r="D603" s="46"/>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row>
    <row r="604" spans="1:29" ht="12.75">
      <c r="A604" s="13"/>
      <c r="B604" s="13"/>
      <c r="C604" s="13"/>
      <c r="D604" s="46"/>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row>
    <row r="605" spans="1:29" ht="12.75">
      <c r="A605" s="13"/>
      <c r="B605" s="13"/>
      <c r="C605" s="13"/>
      <c r="D605" s="46"/>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row>
    <row r="606" spans="1:29" ht="12.75">
      <c r="A606" s="13"/>
      <c r="B606" s="13"/>
      <c r="C606" s="13"/>
      <c r="D606" s="46"/>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row>
    <row r="607" spans="1:29" ht="12.75">
      <c r="A607" s="13"/>
      <c r="B607" s="13"/>
      <c r="C607" s="13"/>
      <c r="D607" s="46"/>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row>
    <row r="608" spans="1:29" ht="12.75">
      <c r="A608" s="13"/>
      <c r="B608" s="13"/>
      <c r="C608" s="13"/>
      <c r="D608" s="46"/>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row>
    <row r="609" spans="1:29" ht="12.75">
      <c r="A609" s="13"/>
      <c r="B609" s="13"/>
      <c r="C609" s="13"/>
      <c r="D609" s="46"/>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row>
    <row r="610" spans="1:29" ht="12.75">
      <c r="A610" s="13"/>
      <c r="B610" s="13"/>
      <c r="C610" s="13"/>
      <c r="D610" s="46"/>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row>
    <row r="611" spans="1:29" ht="12.75">
      <c r="A611" s="13"/>
      <c r="B611" s="13"/>
      <c r="C611" s="13"/>
      <c r="D611" s="46"/>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row>
    <row r="612" spans="1:29" ht="12.75">
      <c r="A612" s="13"/>
      <c r="B612" s="13"/>
      <c r="C612" s="13"/>
      <c r="D612" s="46"/>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row>
    <row r="613" spans="1:29" ht="12.75">
      <c r="A613" s="13"/>
      <c r="B613" s="13"/>
      <c r="C613" s="13"/>
      <c r="D613" s="46"/>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row>
    <row r="614" spans="1:29" ht="12.75">
      <c r="A614" s="13"/>
      <c r="B614" s="13"/>
      <c r="C614" s="13"/>
      <c r="D614" s="46"/>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row>
    <row r="615" spans="1:29" ht="12.75">
      <c r="A615" s="13"/>
      <c r="B615" s="13"/>
      <c r="C615" s="13"/>
      <c r="D615" s="46"/>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row>
    <row r="616" spans="1:29" ht="12.75">
      <c r="A616" s="13"/>
      <c r="B616" s="13"/>
      <c r="C616" s="13"/>
      <c r="D616" s="46"/>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row>
    <row r="617" spans="1:29" ht="12.75">
      <c r="A617" s="13"/>
      <c r="B617" s="13"/>
      <c r="C617" s="13"/>
      <c r="D617" s="46"/>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row>
    <row r="618" spans="1:29" ht="12.75">
      <c r="A618" s="13"/>
      <c r="B618" s="13"/>
      <c r="C618" s="13"/>
      <c r="D618" s="46"/>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row>
    <row r="619" spans="1:29" ht="12.75">
      <c r="A619" s="13"/>
      <c r="B619" s="13"/>
      <c r="C619" s="13"/>
      <c r="D619" s="46"/>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row>
    <row r="620" spans="1:29" ht="12.75">
      <c r="A620" s="13"/>
      <c r="B620" s="13"/>
      <c r="C620" s="13"/>
      <c r="D620" s="46"/>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row>
    <row r="621" spans="1:29" ht="12.75">
      <c r="A621" s="13"/>
      <c r="B621" s="13"/>
      <c r="C621" s="13"/>
      <c r="D621" s="46"/>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row>
    <row r="622" spans="1:29" ht="12.75">
      <c r="A622" s="13"/>
      <c r="B622" s="13"/>
      <c r="C622" s="13"/>
      <c r="D622" s="46"/>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row>
    <row r="623" spans="1:29" ht="12.75">
      <c r="A623" s="13"/>
      <c r="B623" s="13"/>
      <c r="C623" s="13"/>
      <c r="D623" s="46"/>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row>
    <row r="624" spans="1:29" ht="12.75">
      <c r="A624" s="13"/>
      <c r="B624" s="13"/>
      <c r="C624" s="13"/>
      <c r="D624" s="46"/>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row>
    <row r="625" spans="1:29" ht="12.75">
      <c r="A625" s="13"/>
      <c r="B625" s="13"/>
      <c r="C625" s="13"/>
      <c r="D625" s="46"/>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row>
    <row r="626" spans="1:29" ht="12.75">
      <c r="A626" s="13"/>
      <c r="B626" s="13"/>
      <c r="C626" s="13"/>
      <c r="D626" s="46"/>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row>
    <row r="627" spans="1:29" ht="12.75">
      <c r="A627" s="13"/>
      <c r="B627" s="13"/>
      <c r="C627" s="13"/>
      <c r="D627" s="46"/>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row>
    <row r="628" spans="1:29" ht="12.75">
      <c r="A628" s="13"/>
      <c r="B628" s="13"/>
      <c r="C628" s="13"/>
      <c r="D628" s="46"/>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row>
    <row r="629" spans="1:29" ht="12.75">
      <c r="A629" s="13"/>
      <c r="B629" s="13"/>
      <c r="C629" s="13"/>
      <c r="D629" s="46"/>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row>
    <row r="630" spans="1:29" ht="12.75">
      <c r="A630" s="13"/>
      <c r="B630" s="13"/>
      <c r="C630" s="13"/>
      <c r="D630" s="46"/>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row>
    <row r="631" spans="1:29" ht="12.75">
      <c r="A631" s="13"/>
      <c r="B631" s="13"/>
      <c r="C631" s="13"/>
      <c r="D631" s="46"/>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row>
    <row r="632" spans="1:29" ht="12.75">
      <c r="A632" s="13"/>
      <c r="B632" s="13"/>
      <c r="C632" s="13"/>
      <c r="D632" s="46"/>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row>
    <row r="633" spans="1:29" ht="12.75">
      <c r="A633" s="13"/>
      <c r="B633" s="13"/>
      <c r="C633" s="13"/>
      <c r="D633" s="46"/>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row>
    <row r="634" spans="1:29" ht="12.75">
      <c r="A634" s="13"/>
      <c r="B634" s="13"/>
      <c r="C634" s="13"/>
      <c r="D634" s="46"/>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row>
    <row r="635" spans="1:29" ht="12.75">
      <c r="A635" s="13"/>
      <c r="B635" s="13"/>
      <c r="C635" s="13"/>
      <c r="D635" s="46"/>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row>
    <row r="636" spans="1:29" ht="12.75">
      <c r="A636" s="13"/>
      <c r="B636" s="13"/>
      <c r="C636" s="13"/>
      <c r="D636" s="46"/>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row>
    <row r="637" spans="1:29" ht="12.75">
      <c r="A637" s="13"/>
      <c r="B637" s="13"/>
      <c r="C637" s="13"/>
      <c r="D637" s="46"/>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row>
    <row r="638" spans="1:29" ht="12.75">
      <c r="A638" s="13"/>
      <c r="B638" s="13"/>
      <c r="C638" s="13"/>
      <c r="D638" s="46"/>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row>
    <row r="639" spans="1:29" ht="12.75">
      <c r="A639" s="13"/>
      <c r="B639" s="13"/>
      <c r="C639" s="13"/>
      <c r="D639" s="46"/>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row>
    <row r="640" spans="1:29" ht="12.75">
      <c r="A640" s="13"/>
      <c r="B640" s="13"/>
      <c r="C640" s="13"/>
      <c r="D640" s="46"/>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row>
    <row r="641" spans="1:29" ht="12.75">
      <c r="A641" s="13"/>
      <c r="B641" s="13"/>
      <c r="C641" s="13"/>
      <c r="D641" s="46"/>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row>
    <row r="642" spans="1:29" ht="12.75">
      <c r="A642" s="13"/>
      <c r="B642" s="13"/>
      <c r="C642" s="13"/>
      <c r="D642" s="46"/>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row>
    <row r="643" spans="1:29" ht="12.75">
      <c r="A643" s="13"/>
      <c r="B643" s="13"/>
      <c r="C643" s="13"/>
      <c r="D643" s="46"/>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row>
    <row r="644" spans="1:29" ht="12.75">
      <c r="A644" s="13"/>
      <c r="B644" s="13"/>
      <c r="C644" s="13"/>
      <c r="D644" s="46"/>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row>
    <row r="645" spans="1:29" ht="12.75">
      <c r="A645" s="13"/>
      <c r="B645" s="13"/>
      <c r="C645" s="13"/>
      <c r="D645" s="46"/>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row>
    <row r="646" spans="1:29" ht="12.75">
      <c r="A646" s="13"/>
      <c r="B646" s="13"/>
      <c r="C646" s="13"/>
      <c r="D646" s="46"/>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row>
    <row r="647" spans="1:29" ht="12.75">
      <c r="A647" s="13"/>
      <c r="B647" s="13"/>
      <c r="C647" s="13"/>
      <c r="D647" s="46"/>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row>
    <row r="648" spans="1:29" ht="12.75">
      <c r="A648" s="13"/>
      <c r="B648" s="13"/>
      <c r="C648" s="13"/>
      <c r="D648" s="46"/>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row>
    <row r="649" spans="1:29" ht="12.75">
      <c r="A649" s="13"/>
      <c r="B649" s="13"/>
      <c r="C649" s="13"/>
      <c r="D649" s="46"/>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row>
    <row r="650" spans="1:29" ht="12.75">
      <c r="A650" s="13"/>
      <c r="B650" s="13"/>
      <c r="C650" s="13"/>
      <c r="D650" s="46"/>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row>
    <row r="651" spans="1:29" ht="12.75">
      <c r="A651" s="13"/>
      <c r="B651" s="13"/>
      <c r="C651" s="13"/>
      <c r="D651" s="46"/>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row>
    <row r="652" spans="1:29" ht="12.75">
      <c r="A652" s="13"/>
      <c r="B652" s="13"/>
      <c r="C652" s="13"/>
      <c r="D652" s="46"/>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row>
    <row r="653" spans="1:29" ht="12.75">
      <c r="A653" s="13"/>
      <c r="B653" s="13"/>
      <c r="C653" s="13"/>
      <c r="D653" s="46"/>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row>
    <row r="654" spans="1:29" ht="12.75">
      <c r="A654" s="13"/>
      <c r="B654" s="13"/>
      <c r="C654" s="13"/>
      <c r="D654" s="46"/>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row>
    <row r="655" spans="1:29" ht="12.75">
      <c r="A655" s="13"/>
      <c r="B655" s="13"/>
      <c r="C655" s="13"/>
      <c r="D655" s="46"/>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row>
    <row r="656" spans="1:29" ht="12.75">
      <c r="A656" s="13"/>
      <c r="B656" s="13"/>
      <c r="C656" s="13"/>
      <c r="D656" s="46"/>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row>
    <row r="657" spans="1:29" ht="12.75">
      <c r="A657" s="13"/>
      <c r="B657" s="13"/>
      <c r="C657" s="13"/>
      <c r="D657" s="46"/>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row>
    <row r="658" spans="1:29" ht="12.75">
      <c r="A658" s="13"/>
      <c r="B658" s="13"/>
      <c r="C658" s="13"/>
      <c r="D658" s="46"/>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row>
    <row r="659" spans="1:29" ht="12.75">
      <c r="A659" s="13"/>
      <c r="B659" s="13"/>
      <c r="C659" s="13"/>
      <c r="D659" s="46"/>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row>
    <row r="660" spans="1:29" ht="12.75">
      <c r="A660" s="13"/>
      <c r="B660" s="13"/>
      <c r="C660" s="13"/>
      <c r="D660" s="46"/>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row>
    <row r="661" spans="1:29" ht="12.75">
      <c r="A661" s="13"/>
      <c r="B661" s="13"/>
      <c r="C661" s="13"/>
      <c r="D661" s="46"/>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row>
    <row r="662" spans="1:29" ht="12.75">
      <c r="A662" s="13"/>
      <c r="B662" s="13"/>
      <c r="C662" s="13"/>
      <c r="D662" s="46"/>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row>
    <row r="663" spans="1:29" ht="12.75">
      <c r="A663" s="13"/>
      <c r="B663" s="13"/>
      <c r="C663" s="13"/>
      <c r="D663" s="46"/>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row>
    <row r="664" spans="1:29" ht="12.75">
      <c r="A664" s="13"/>
      <c r="B664" s="13"/>
      <c r="C664" s="13"/>
      <c r="D664" s="46"/>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row>
    <row r="665" spans="1:29" ht="12.75">
      <c r="A665" s="13"/>
      <c r="B665" s="13"/>
      <c r="C665" s="13"/>
      <c r="D665" s="46"/>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row>
    <row r="666" spans="1:29" ht="12.75">
      <c r="A666" s="13"/>
      <c r="B666" s="13"/>
      <c r="C666" s="13"/>
      <c r="D666" s="46"/>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row>
    <row r="667" spans="1:29" ht="12.75">
      <c r="A667" s="13"/>
      <c r="B667" s="13"/>
      <c r="C667" s="13"/>
      <c r="D667" s="46"/>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row>
    <row r="668" spans="1:29" ht="12.75">
      <c r="A668" s="13"/>
      <c r="B668" s="13"/>
      <c r="C668" s="13"/>
      <c r="D668" s="46"/>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row>
    <row r="669" spans="1:29" ht="12.75">
      <c r="A669" s="13"/>
      <c r="B669" s="13"/>
      <c r="C669" s="13"/>
      <c r="D669" s="46"/>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row>
    <row r="670" spans="1:29" ht="12.75">
      <c r="A670" s="13"/>
      <c r="B670" s="13"/>
      <c r="C670" s="13"/>
      <c r="D670" s="46"/>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row>
    <row r="671" spans="1:29" ht="12.75">
      <c r="A671" s="13"/>
      <c r="B671" s="13"/>
      <c r="C671" s="13"/>
      <c r="D671" s="46"/>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row>
    <row r="672" spans="1:29" ht="12.75">
      <c r="A672" s="13"/>
      <c r="B672" s="13"/>
      <c r="C672" s="13"/>
      <c r="D672" s="46"/>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row>
    <row r="673" spans="1:29" ht="12.75">
      <c r="A673" s="13"/>
      <c r="B673" s="13"/>
      <c r="C673" s="13"/>
      <c r="D673" s="46"/>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row>
    <row r="674" spans="1:29" ht="12.75">
      <c r="A674" s="13"/>
      <c r="B674" s="13"/>
      <c r="C674" s="13"/>
      <c r="D674" s="46"/>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row>
    <row r="675" spans="1:29" ht="12.75">
      <c r="A675" s="13"/>
      <c r="B675" s="13"/>
      <c r="C675" s="13"/>
      <c r="D675" s="46"/>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row>
    <row r="676" spans="1:29" ht="12.75">
      <c r="A676" s="13"/>
      <c r="B676" s="13"/>
      <c r="C676" s="13"/>
      <c r="D676" s="46"/>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row>
    <row r="677" spans="1:29" ht="12.75">
      <c r="A677" s="13"/>
      <c r="B677" s="13"/>
      <c r="C677" s="13"/>
      <c r="D677" s="46"/>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row>
    <row r="678" spans="1:29" ht="12.75">
      <c r="A678" s="13"/>
      <c r="B678" s="13"/>
      <c r="C678" s="13"/>
      <c r="D678" s="46"/>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row>
    <row r="679" spans="1:29" ht="12.75">
      <c r="A679" s="13"/>
      <c r="B679" s="13"/>
      <c r="C679" s="13"/>
      <c r="D679" s="46"/>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row>
    <row r="680" spans="1:29" ht="12.75">
      <c r="A680" s="13"/>
      <c r="B680" s="13"/>
      <c r="C680" s="13"/>
      <c r="D680" s="46"/>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row>
    <row r="681" spans="1:29" ht="12.75">
      <c r="A681" s="13"/>
      <c r="B681" s="13"/>
      <c r="C681" s="13"/>
      <c r="D681" s="46"/>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row>
    <row r="682" spans="1:29" ht="12.75">
      <c r="A682" s="13"/>
      <c r="B682" s="13"/>
      <c r="C682" s="13"/>
      <c r="D682" s="46"/>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row>
    <row r="683" spans="1:29" ht="12.75">
      <c r="A683" s="13"/>
      <c r="B683" s="13"/>
      <c r="C683" s="13"/>
      <c r="D683" s="46"/>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row>
    <row r="684" spans="1:29" ht="12.75">
      <c r="A684" s="13"/>
      <c r="B684" s="13"/>
      <c r="C684" s="13"/>
      <c r="D684" s="46"/>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row>
    <row r="685" spans="1:29" ht="12.75">
      <c r="A685" s="13"/>
      <c r="B685" s="13"/>
      <c r="C685" s="13"/>
      <c r="D685" s="46"/>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row>
    <row r="686" spans="1:29" ht="12.75">
      <c r="A686" s="13"/>
      <c r="B686" s="13"/>
      <c r="C686" s="13"/>
      <c r="D686" s="46"/>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row>
    <row r="687" spans="1:29" ht="12.75">
      <c r="A687" s="13"/>
      <c r="B687" s="13"/>
      <c r="C687" s="13"/>
      <c r="D687" s="46"/>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row>
    <row r="688" spans="1:29" ht="12.75">
      <c r="A688" s="13"/>
      <c r="B688" s="13"/>
      <c r="C688" s="13"/>
      <c r="D688" s="46"/>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row>
    <row r="689" spans="1:29" ht="12.75">
      <c r="A689" s="13"/>
      <c r="B689" s="13"/>
      <c r="C689" s="13"/>
      <c r="D689" s="46"/>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row>
    <row r="690" spans="1:29" ht="12.75">
      <c r="A690" s="13"/>
      <c r="B690" s="13"/>
      <c r="C690" s="13"/>
      <c r="D690" s="46"/>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row>
    <row r="691" spans="1:29" ht="12.75">
      <c r="A691" s="13"/>
      <c r="B691" s="13"/>
      <c r="C691" s="13"/>
      <c r="D691" s="46"/>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row>
    <row r="692" spans="1:29" ht="12.75">
      <c r="A692" s="13"/>
      <c r="B692" s="13"/>
      <c r="C692" s="13"/>
      <c r="D692" s="46"/>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row>
    <row r="693" spans="1:29" ht="12.75">
      <c r="A693" s="13"/>
      <c r="B693" s="13"/>
      <c r="C693" s="13"/>
      <c r="D693" s="46"/>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row>
    <row r="694" spans="1:29" ht="12.75">
      <c r="A694" s="13"/>
      <c r="B694" s="13"/>
      <c r="C694" s="13"/>
      <c r="D694" s="46"/>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row>
    <row r="695" spans="1:29" ht="12.75">
      <c r="A695" s="13"/>
      <c r="B695" s="13"/>
      <c r="C695" s="13"/>
      <c r="D695" s="46"/>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row>
    <row r="696" spans="1:29" ht="12.75">
      <c r="A696" s="13"/>
      <c r="B696" s="13"/>
      <c r="C696" s="13"/>
      <c r="D696" s="46"/>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row>
    <row r="697" spans="1:29" ht="12.75">
      <c r="A697" s="13"/>
      <c r="B697" s="13"/>
      <c r="C697" s="13"/>
      <c r="D697" s="46"/>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row>
    <row r="698" spans="1:29" ht="12.75">
      <c r="A698" s="13"/>
      <c r="B698" s="13"/>
      <c r="C698" s="13"/>
      <c r="D698" s="46"/>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row>
    <row r="699" spans="1:29" ht="12.75">
      <c r="A699" s="13"/>
      <c r="B699" s="13"/>
      <c r="C699" s="13"/>
      <c r="D699" s="46"/>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row>
    <row r="700" spans="1:29" ht="12.75">
      <c r="A700" s="13"/>
      <c r="B700" s="13"/>
      <c r="C700" s="13"/>
      <c r="D700" s="46"/>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row>
    <row r="701" spans="1:29" ht="12.75">
      <c r="A701" s="13"/>
      <c r="B701" s="13"/>
      <c r="C701" s="13"/>
      <c r="D701" s="46"/>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row>
    <row r="702" spans="1:29" ht="12.75">
      <c r="A702" s="13"/>
      <c r="B702" s="13"/>
      <c r="C702" s="13"/>
      <c r="D702" s="46"/>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row>
    <row r="703" spans="1:29" ht="12.75">
      <c r="A703" s="13"/>
      <c r="B703" s="13"/>
      <c r="C703" s="13"/>
      <c r="D703" s="46"/>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row>
    <row r="704" spans="1:29" ht="12.75">
      <c r="A704" s="13"/>
      <c r="B704" s="13"/>
      <c r="C704" s="13"/>
      <c r="D704" s="46"/>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row>
    <row r="705" spans="1:29" ht="12.75">
      <c r="A705" s="13"/>
      <c r="B705" s="13"/>
      <c r="C705" s="13"/>
      <c r="D705" s="46"/>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row>
    <row r="706" spans="1:29" ht="12.75">
      <c r="A706" s="13"/>
      <c r="B706" s="13"/>
      <c r="C706" s="13"/>
      <c r="D706" s="46"/>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row>
    <row r="707" spans="1:29" ht="12.75">
      <c r="A707" s="13"/>
      <c r="B707" s="13"/>
      <c r="C707" s="13"/>
      <c r="D707" s="46"/>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row>
    <row r="708" spans="1:29" ht="12.75">
      <c r="A708" s="13"/>
      <c r="B708" s="13"/>
      <c r="C708" s="13"/>
      <c r="D708" s="46"/>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row>
    <row r="709" spans="1:29" ht="12.75">
      <c r="A709" s="13"/>
      <c r="B709" s="13"/>
      <c r="C709" s="13"/>
      <c r="D709" s="46"/>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row>
    <row r="710" spans="1:29" ht="12.75">
      <c r="A710" s="13"/>
      <c r="B710" s="13"/>
      <c r="C710" s="13"/>
      <c r="D710" s="46"/>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row>
    <row r="711" spans="1:29" ht="12.75">
      <c r="A711" s="13"/>
      <c r="B711" s="13"/>
      <c r="C711" s="13"/>
      <c r="D711" s="46"/>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row>
    <row r="712" spans="1:29" ht="12.75">
      <c r="A712" s="13"/>
      <c r="B712" s="13"/>
      <c r="C712" s="13"/>
      <c r="D712" s="46"/>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row>
    <row r="713" spans="1:29" ht="12.75">
      <c r="A713" s="13"/>
      <c r="B713" s="13"/>
      <c r="C713" s="13"/>
      <c r="D713" s="46"/>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row>
    <row r="714" spans="1:29" ht="12.75">
      <c r="A714" s="13"/>
      <c r="B714" s="13"/>
      <c r="C714" s="13"/>
      <c r="D714" s="46"/>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row>
    <row r="715" spans="1:29" ht="12.75">
      <c r="A715" s="13"/>
      <c r="B715" s="13"/>
      <c r="C715" s="13"/>
      <c r="D715" s="46"/>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row>
    <row r="716" spans="1:29" ht="12.75">
      <c r="A716" s="13"/>
      <c r="B716" s="13"/>
      <c r="C716" s="13"/>
      <c r="D716" s="46"/>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row>
    <row r="717" spans="1:29" ht="12.75">
      <c r="A717" s="13"/>
      <c r="B717" s="13"/>
      <c r="C717" s="13"/>
      <c r="D717" s="46"/>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row>
    <row r="718" spans="1:29" ht="12.75">
      <c r="A718" s="13"/>
      <c r="B718" s="13"/>
      <c r="C718" s="13"/>
      <c r="D718" s="46"/>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row>
    <row r="719" spans="1:29" ht="12.75">
      <c r="A719" s="13"/>
      <c r="B719" s="13"/>
      <c r="C719" s="13"/>
      <c r="D719" s="46"/>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row>
    <row r="720" spans="1:29" ht="12.75">
      <c r="A720" s="13"/>
      <c r="B720" s="13"/>
      <c r="C720" s="13"/>
      <c r="D720" s="46"/>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row>
    <row r="721" spans="1:29" ht="12.75">
      <c r="A721" s="13"/>
      <c r="B721" s="13"/>
      <c r="C721" s="13"/>
      <c r="D721" s="46"/>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row>
    <row r="722" spans="1:29" ht="12.75">
      <c r="A722" s="13"/>
      <c r="B722" s="13"/>
      <c r="C722" s="13"/>
      <c r="D722" s="46"/>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row>
    <row r="723" spans="1:29" ht="12.75">
      <c r="A723" s="13"/>
      <c r="B723" s="13"/>
      <c r="C723" s="13"/>
      <c r="D723" s="46"/>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row>
    <row r="724" spans="1:29" ht="12.75">
      <c r="A724" s="13"/>
      <c r="B724" s="13"/>
      <c r="C724" s="13"/>
      <c r="D724" s="46"/>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row>
    <row r="725" spans="1:29" ht="12.75">
      <c r="A725" s="13"/>
      <c r="B725" s="13"/>
      <c r="C725" s="13"/>
      <c r="D725" s="46"/>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row>
    <row r="726" spans="1:29" ht="12.75">
      <c r="A726" s="13"/>
      <c r="B726" s="13"/>
      <c r="C726" s="13"/>
      <c r="D726" s="46"/>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row>
    <row r="727" spans="1:29" ht="12.75">
      <c r="A727" s="13"/>
      <c r="B727" s="13"/>
      <c r="C727" s="13"/>
      <c r="D727" s="46"/>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row>
    <row r="728" spans="1:29" ht="12.75">
      <c r="A728" s="13"/>
      <c r="B728" s="13"/>
      <c r="C728" s="13"/>
      <c r="D728" s="46"/>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row>
    <row r="729" spans="1:29" ht="12.75">
      <c r="A729" s="13"/>
      <c r="B729" s="13"/>
      <c r="C729" s="13"/>
      <c r="D729" s="46"/>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row>
    <row r="730" spans="1:29" ht="12.75">
      <c r="A730" s="13"/>
      <c r="B730" s="13"/>
      <c r="C730" s="13"/>
      <c r="D730" s="46"/>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row>
    <row r="731" spans="1:29" ht="12.75">
      <c r="A731" s="13"/>
      <c r="B731" s="13"/>
      <c r="C731" s="13"/>
      <c r="D731" s="46"/>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row>
    <row r="732" spans="1:29" ht="12.75">
      <c r="A732" s="13"/>
      <c r="B732" s="13"/>
      <c r="C732" s="13"/>
      <c r="D732" s="46"/>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row>
    <row r="733" spans="1:29" ht="12.75">
      <c r="A733" s="13"/>
      <c r="B733" s="13"/>
      <c r="C733" s="13"/>
      <c r="D733" s="46"/>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row>
    <row r="734" spans="1:29" ht="12.75">
      <c r="A734" s="13"/>
      <c r="B734" s="13"/>
      <c r="C734" s="13"/>
      <c r="D734" s="46"/>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row>
    <row r="735" spans="1:29" ht="12.75">
      <c r="A735" s="13"/>
      <c r="B735" s="13"/>
      <c r="C735" s="13"/>
      <c r="D735" s="46"/>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row>
    <row r="736" spans="1:29" ht="12.75">
      <c r="A736" s="13"/>
      <c r="B736" s="13"/>
      <c r="C736" s="13"/>
      <c r="D736" s="46"/>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row>
    <row r="737" spans="1:29" ht="12.75">
      <c r="A737" s="13"/>
      <c r="B737" s="13"/>
      <c r="C737" s="13"/>
      <c r="D737" s="46"/>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row>
    <row r="738" spans="1:29" ht="12.75">
      <c r="A738" s="13"/>
      <c r="B738" s="13"/>
      <c r="C738" s="13"/>
      <c r="D738" s="46"/>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row>
    <row r="739" spans="1:29" ht="12.75">
      <c r="A739" s="13"/>
      <c r="B739" s="13"/>
      <c r="C739" s="13"/>
      <c r="D739" s="46"/>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row>
    <row r="740" spans="1:29" ht="12.75">
      <c r="A740" s="13"/>
      <c r="B740" s="13"/>
      <c r="C740" s="13"/>
      <c r="D740" s="46"/>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row>
    <row r="741" spans="1:29" ht="12.75">
      <c r="A741" s="13"/>
      <c r="B741" s="13"/>
      <c r="C741" s="13"/>
      <c r="D741" s="46"/>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row>
    <row r="742" spans="1:29" ht="12.75">
      <c r="A742" s="13"/>
      <c r="B742" s="13"/>
      <c r="C742" s="13"/>
      <c r="D742" s="46"/>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row>
    <row r="743" spans="1:29" ht="12.75">
      <c r="A743" s="13"/>
      <c r="B743" s="13"/>
      <c r="C743" s="13"/>
      <c r="D743" s="46"/>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row>
    <row r="744" spans="1:29" ht="12.75">
      <c r="A744" s="13"/>
      <c r="B744" s="13"/>
      <c r="C744" s="13"/>
      <c r="D744" s="46"/>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row>
    <row r="745" spans="1:29" ht="12.75">
      <c r="A745" s="13"/>
      <c r="B745" s="13"/>
      <c r="C745" s="13"/>
      <c r="D745" s="46"/>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row>
    <row r="746" spans="1:29" ht="12.75">
      <c r="A746" s="13"/>
      <c r="B746" s="13"/>
      <c r="C746" s="13"/>
      <c r="D746" s="46"/>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row>
    <row r="747" spans="1:29" ht="12.75">
      <c r="A747" s="13"/>
      <c r="B747" s="13"/>
      <c r="C747" s="13"/>
      <c r="D747" s="46"/>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row>
    <row r="748" spans="1:29" ht="12.75">
      <c r="A748" s="13"/>
      <c r="B748" s="13"/>
      <c r="C748" s="13"/>
      <c r="D748" s="46"/>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row>
    <row r="749" spans="1:29" ht="12.75">
      <c r="A749" s="13"/>
      <c r="B749" s="13"/>
      <c r="C749" s="13"/>
      <c r="D749" s="46"/>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row>
    <row r="750" spans="1:29" ht="12.75">
      <c r="A750" s="13"/>
      <c r="B750" s="13"/>
      <c r="C750" s="13"/>
      <c r="D750" s="46"/>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row>
    <row r="751" spans="1:29" ht="12.75">
      <c r="A751" s="13"/>
      <c r="B751" s="13"/>
      <c r="C751" s="13"/>
      <c r="D751" s="46"/>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row>
    <row r="752" spans="1:29" ht="12.75">
      <c r="A752" s="13"/>
      <c r="B752" s="13"/>
      <c r="C752" s="13"/>
      <c r="D752" s="46"/>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row>
    <row r="753" spans="1:29" ht="12.75">
      <c r="A753" s="13"/>
      <c r="B753" s="13"/>
      <c r="C753" s="13"/>
      <c r="D753" s="46"/>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row>
    <row r="754" spans="1:29" ht="12.75">
      <c r="A754" s="13"/>
      <c r="B754" s="13"/>
      <c r="C754" s="13"/>
      <c r="D754" s="46"/>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row>
    <row r="755" spans="1:29" ht="12.75">
      <c r="A755" s="13"/>
      <c r="B755" s="13"/>
      <c r="C755" s="13"/>
      <c r="D755" s="46"/>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row>
    <row r="756" spans="1:29" ht="12.75">
      <c r="A756" s="13"/>
      <c r="B756" s="13"/>
      <c r="C756" s="13"/>
      <c r="D756" s="46"/>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row>
    <row r="757" spans="1:29" ht="12.75">
      <c r="A757" s="13"/>
      <c r="B757" s="13"/>
      <c r="C757" s="13"/>
      <c r="D757" s="46"/>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row>
    <row r="758" spans="1:29" ht="12.75">
      <c r="A758" s="13"/>
      <c r="B758" s="13"/>
      <c r="C758" s="13"/>
      <c r="D758" s="46"/>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row>
    <row r="759" spans="1:29" ht="12.75">
      <c r="A759" s="13"/>
      <c r="B759" s="13"/>
      <c r="C759" s="13"/>
      <c r="D759" s="46"/>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row>
    <row r="760" spans="1:29" ht="12.75">
      <c r="A760" s="13"/>
      <c r="B760" s="13"/>
      <c r="C760" s="13"/>
      <c r="D760" s="46"/>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row>
    <row r="761" spans="1:29" ht="12.75">
      <c r="A761" s="13"/>
      <c r="B761" s="13"/>
      <c r="C761" s="13"/>
      <c r="D761" s="46"/>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row>
    <row r="762" spans="1:29" ht="12.75">
      <c r="A762" s="13"/>
      <c r="B762" s="13"/>
      <c r="C762" s="13"/>
      <c r="D762" s="46"/>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row>
    <row r="763" spans="1:29" ht="12.75">
      <c r="A763" s="13"/>
      <c r="B763" s="13"/>
      <c r="C763" s="13"/>
      <c r="D763" s="46"/>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row>
    <row r="764" spans="1:29" ht="12.75">
      <c r="A764" s="13"/>
      <c r="B764" s="13"/>
      <c r="C764" s="13"/>
      <c r="D764" s="46"/>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row>
    <row r="765" spans="1:29" ht="12.75">
      <c r="A765" s="13"/>
      <c r="B765" s="13"/>
      <c r="C765" s="13"/>
      <c r="D765" s="46"/>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row>
    <row r="766" spans="1:29" ht="12.75">
      <c r="A766" s="13"/>
      <c r="B766" s="13"/>
      <c r="C766" s="13"/>
      <c r="D766" s="46"/>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row>
    <row r="767" spans="1:29" ht="12.75">
      <c r="A767" s="13"/>
      <c r="B767" s="13"/>
      <c r="C767" s="13"/>
      <c r="D767" s="46"/>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row>
    <row r="768" spans="1:29" ht="12.75">
      <c r="A768" s="13"/>
      <c r="B768" s="13"/>
      <c r="C768" s="13"/>
      <c r="D768" s="46"/>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row>
    <row r="769" spans="1:29" ht="12.75">
      <c r="A769" s="13"/>
      <c r="B769" s="13"/>
      <c r="C769" s="13"/>
      <c r="D769" s="46"/>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row>
    <row r="770" spans="1:29" ht="12.75">
      <c r="A770" s="13"/>
      <c r="B770" s="13"/>
      <c r="C770" s="13"/>
      <c r="D770" s="46"/>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row>
    <row r="771" spans="1:29" ht="12.75">
      <c r="A771" s="13"/>
      <c r="B771" s="13"/>
      <c r="C771" s="13"/>
      <c r="D771" s="46"/>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row>
    <row r="772" spans="1:29" ht="12.75">
      <c r="A772" s="13"/>
      <c r="B772" s="13"/>
      <c r="C772" s="13"/>
      <c r="D772" s="46"/>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row>
    <row r="773" spans="1:29" ht="12.75">
      <c r="A773" s="13"/>
      <c r="B773" s="13"/>
      <c r="C773" s="13"/>
      <c r="D773" s="46"/>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row>
    <row r="774" spans="1:29" ht="12.75">
      <c r="A774" s="13"/>
      <c r="B774" s="13"/>
      <c r="C774" s="13"/>
      <c r="D774" s="46"/>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row>
    <row r="775" spans="1:29" ht="12.75">
      <c r="A775" s="13"/>
      <c r="B775" s="13"/>
      <c r="C775" s="13"/>
      <c r="D775" s="46"/>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row>
    <row r="776" spans="1:29" ht="12.75">
      <c r="A776" s="13"/>
      <c r="B776" s="13"/>
      <c r="C776" s="13"/>
      <c r="D776" s="46"/>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row>
    <row r="777" spans="1:29" ht="12.75">
      <c r="A777" s="13"/>
      <c r="B777" s="13"/>
      <c r="C777" s="13"/>
      <c r="D777" s="46"/>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row>
    <row r="778" spans="1:29" ht="12.75">
      <c r="A778" s="13"/>
      <c r="B778" s="13"/>
      <c r="C778" s="13"/>
      <c r="D778" s="46"/>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row>
    <row r="779" spans="1:29" ht="12.75">
      <c r="A779" s="13"/>
      <c r="B779" s="13"/>
      <c r="C779" s="13"/>
      <c r="D779" s="46"/>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row>
    <row r="780" spans="1:29" ht="12.75">
      <c r="A780" s="13"/>
      <c r="B780" s="13"/>
      <c r="C780" s="13"/>
      <c r="D780" s="46"/>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row>
    <row r="781" spans="1:29" ht="12.75">
      <c r="A781" s="13"/>
      <c r="B781" s="13"/>
      <c r="C781" s="13"/>
      <c r="D781" s="46"/>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row>
    <row r="782" spans="1:29" ht="12.75">
      <c r="A782" s="13"/>
      <c r="B782" s="13"/>
      <c r="C782" s="13"/>
      <c r="D782" s="46"/>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row>
    <row r="783" spans="1:29" ht="12.75">
      <c r="A783" s="13"/>
      <c r="B783" s="13"/>
      <c r="C783" s="13"/>
      <c r="D783" s="46"/>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row>
    <row r="784" spans="1:29" ht="12.75">
      <c r="A784" s="13"/>
      <c r="B784" s="13"/>
      <c r="C784" s="13"/>
      <c r="D784" s="46"/>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row>
    <row r="785" spans="1:29" ht="12.75">
      <c r="A785" s="13"/>
      <c r="B785" s="13"/>
      <c r="C785" s="13"/>
      <c r="D785" s="46"/>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row>
    <row r="786" spans="1:29" ht="12.75">
      <c r="A786" s="13"/>
      <c r="B786" s="13"/>
      <c r="C786" s="13"/>
      <c r="D786" s="46"/>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row>
    <row r="787" spans="1:29" ht="12.75">
      <c r="A787" s="13"/>
      <c r="B787" s="13"/>
      <c r="C787" s="13"/>
      <c r="D787" s="46"/>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row>
    <row r="788" spans="1:29" ht="12.75">
      <c r="A788" s="13"/>
      <c r="B788" s="13"/>
      <c r="C788" s="13"/>
      <c r="D788" s="46"/>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row>
    <row r="789" spans="1:29" ht="12.75">
      <c r="A789" s="13"/>
      <c r="B789" s="13"/>
      <c r="C789" s="13"/>
      <c r="D789" s="46"/>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row>
    <row r="790" spans="1:29" ht="12.75">
      <c r="A790" s="13"/>
      <c r="B790" s="13"/>
      <c r="C790" s="13"/>
      <c r="D790" s="46"/>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row>
    <row r="791" spans="1:29" ht="12.75">
      <c r="A791" s="13"/>
      <c r="B791" s="13"/>
      <c r="C791" s="13"/>
      <c r="D791" s="46"/>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row>
    <row r="792" spans="1:29" ht="12.75">
      <c r="A792" s="13"/>
      <c r="B792" s="13"/>
      <c r="C792" s="13"/>
      <c r="D792" s="46"/>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row>
    <row r="793" spans="1:29" ht="12.75">
      <c r="A793" s="13"/>
      <c r="B793" s="13"/>
      <c r="C793" s="13"/>
      <c r="D793" s="46"/>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row>
    <row r="794" spans="1:29" ht="12.75">
      <c r="A794" s="13"/>
      <c r="B794" s="13"/>
      <c r="C794" s="13"/>
      <c r="D794" s="46"/>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row>
    <row r="795" spans="1:29" ht="12.75">
      <c r="A795" s="13"/>
      <c r="B795" s="13"/>
      <c r="C795" s="13"/>
      <c r="D795" s="46"/>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row>
    <row r="796" spans="1:29" ht="12.75">
      <c r="A796" s="13"/>
      <c r="B796" s="13"/>
      <c r="C796" s="13"/>
      <c r="D796" s="46"/>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row>
    <row r="797" spans="1:29" ht="12.75">
      <c r="A797" s="13"/>
      <c r="B797" s="13"/>
      <c r="C797" s="13"/>
      <c r="D797" s="46"/>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row>
    <row r="798" spans="1:29" ht="12.75">
      <c r="A798" s="13"/>
      <c r="B798" s="13"/>
      <c r="C798" s="13"/>
      <c r="D798" s="46"/>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row>
    <row r="799" spans="1:29" ht="12.75">
      <c r="A799" s="13"/>
      <c r="B799" s="13"/>
      <c r="C799" s="13"/>
      <c r="D799" s="46"/>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row>
    <row r="800" spans="1:29" ht="12.75">
      <c r="A800" s="13"/>
      <c r="B800" s="13"/>
      <c r="C800" s="13"/>
      <c r="D800" s="46"/>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row>
    <row r="801" spans="1:29" ht="12.75">
      <c r="A801" s="13"/>
      <c r="B801" s="13"/>
      <c r="C801" s="13"/>
      <c r="D801" s="46"/>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row>
    <row r="802" spans="1:29" ht="12.75">
      <c r="A802" s="13"/>
      <c r="B802" s="13"/>
      <c r="C802" s="13"/>
      <c r="D802" s="46"/>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row>
    <row r="803" spans="1:29" ht="12.75">
      <c r="A803" s="13"/>
      <c r="B803" s="13"/>
      <c r="C803" s="13"/>
      <c r="D803" s="46"/>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row>
    <row r="804" spans="1:29" ht="12.75">
      <c r="A804" s="13"/>
      <c r="B804" s="13"/>
      <c r="C804" s="13"/>
      <c r="D804" s="46"/>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row>
    <row r="805" spans="1:29" ht="12.75">
      <c r="A805" s="13"/>
      <c r="B805" s="13"/>
      <c r="C805" s="13"/>
      <c r="D805" s="46"/>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row>
    <row r="806" spans="1:29" ht="12.75">
      <c r="A806" s="13"/>
      <c r="B806" s="13"/>
      <c r="C806" s="13"/>
      <c r="D806" s="46"/>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row>
    <row r="807" spans="1:29" ht="12.75">
      <c r="A807" s="13"/>
      <c r="B807" s="13"/>
      <c r="C807" s="13"/>
      <c r="D807" s="46"/>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row>
    <row r="808" spans="1:29" ht="12.75">
      <c r="A808" s="13"/>
      <c r="B808" s="13"/>
      <c r="C808" s="13"/>
      <c r="D808" s="46"/>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row>
    <row r="809" spans="1:29" ht="12.75">
      <c r="A809" s="13"/>
      <c r="B809" s="13"/>
      <c r="C809" s="13"/>
      <c r="D809" s="46"/>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row>
    <row r="810" spans="1:29" ht="12.75">
      <c r="A810" s="13"/>
      <c r="B810" s="13"/>
      <c r="C810" s="13"/>
      <c r="D810" s="46"/>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row>
    <row r="811" spans="1:29" ht="12.75">
      <c r="A811" s="13"/>
      <c r="B811" s="13"/>
      <c r="C811" s="13"/>
      <c r="D811" s="46"/>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row>
    <row r="812" spans="1:29" ht="12.75">
      <c r="A812" s="13"/>
      <c r="B812" s="13"/>
      <c r="C812" s="13"/>
      <c r="D812" s="46"/>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row>
    <row r="813" spans="1:29" ht="12.75">
      <c r="A813" s="13"/>
      <c r="B813" s="13"/>
      <c r="C813" s="13"/>
      <c r="D813" s="46"/>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row>
    <row r="814" spans="1:29" ht="12.75">
      <c r="A814" s="13"/>
      <c r="B814" s="13"/>
      <c r="C814" s="13"/>
      <c r="D814" s="46"/>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row>
    <row r="815" spans="1:29" ht="12.75">
      <c r="A815" s="13"/>
      <c r="B815" s="13"/>
      <c r="C815" s="13"/>
      <c r="D815" s="46"/>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row>
    <row r="816" spans="1:29" ht="12.75">
      <c r="A816" s="13"/>
      <c r="B816" s="13"/>
      <c r="C816" s="13"/>
      <c r="D816" s="46"/>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row>
    <row r="817" spans="1:29" ht="12.75">
      <c r="A817" s="13"/>
      <c r="B817" s="13"/>
      <c r="C817" s="13"/>
      <c r="D817" s="46"/>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row>
    <row r="818" spans="1:29" ht="12.75">
      <c r="A818" s="13"/>
      <c r="B818" s="13"/>
      <c r="C818" s="13"/>
      <c r="D818" s="46"/>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row>
    <row r="819" spans="1:29" ht="12.75">
      <c r="A819" s="13"/>
      <c r="B819" s="13"/>
      <c r="C819" s="13"/>
      <c r="D819" s="46"/>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row>
    <row r="820" spans="1:29" ht="12.75">
      <c r="A820" s="13"/>
      <c r="B820" s="13"/>
      <c r="C820" s="13"/>
      <c r="D820" s="46"/>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row>
    <row r="821" spans="1:29" ht="12.75">
      <c r="A821" s="13"/>
      <c r="B821" s="13"/>
      <c r="C821" s="13"/>
      <c r="D821" s="46"/>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row>
    <row r="822" spans="1:29" ht="12.75">
      <c r="A822" s="13"/>
      <c r="B822" s="13"/>
      <c r="C822" s="13"/>
      <c r="D822" s="46"/>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row>
    <row r="823" spans="1:29" ht="12.75">
      <c r="A823" s="13"/>
      <c r="B823" s="13"/>
      <c r="C823" s="13"/>
      <c r="D823" s="46"/>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row>
    <row r="824" spans="1:29" ht="12.75">
      <c r="A824" s="13"/>
      <c r="B824" s="13"/>
      <c r="C824" s="13"/>
      <c r="D824" s="46"/>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row>
    <row r="825" spans="1:29" ht="12.75">
      <c r="A825" s="13"/>
      <c r="B825" s="13"/>
      <c r="C825" s="13"/>
      <c r="D825" s="46"/>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row>
    <row r="826" spans="1:29" ht="12.75">
      <c r="A826" s="13"/>
      <c r="B826" s="13"/>
      <c r="C826" s="13"/>
      <c r="D826" s="46"/>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row>
    <row r="827" spans="1:29" ht="12.75">
      <c r="A827" s="13"/>
      <c r="B827" s="13"/>
      <c r="C827" s="13"/>
      <c r="D827" s="46"/>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row>
    <row r="828" spans="1:29" ht="12.75">
      <c r="A828" s="13"/>
      <c r="B828" s="13"/>
      <c r="C828" s="13"/>
      <c r="D828" s="46"/>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row>
    <row r="829" spans="1:29" ht="12.75">
      <c r="A829" s="13"/>
      <c r="B829" s="13"/>
      <c r="C829" s="13"/>
      <c r="D829" s="46"/>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row>
    <row r="830" spans="1:29" ht="12.75">
      <c r="A830" s="13"/>
      <c r="B830" s="13"/>
      <c r="C830" s="13"/>
      <c r="D830" s="46"/>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row>
    <row r="831" spans="1:29" ht="12.75">
      <c r="A831" s="13"/>
      <c r="B831" s="13"/>
      <c r="C831" s="13"/>
      <c r="D831" s="46"/>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row>
    <row r="832" spans="1:29" ht="12.75">
      <c r="A832" s="13"/>
      <c r="B832" s="13"/>
      <c r="C832" s="13"/>
      <c r="D832" s="46"/>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row>
    <row r="833" spans="1:29" ht="12.75">
      <c r="A833" s="13"/>
      <c r="B833" s="13"/>
      <c r="C833" s="13"/>
      <c r="D833" s="46"/>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row>
    <row r="834" spans="1:29" ht="12.75">
      <c r="A834" s="13"/>
      <c r="B834" s="13"/>
      <c r="C834" s="13"/>
      <c r="D834" s="46"/>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row>
    <row r="835" spans="1:29" ht="12.75">
      <c r="A835" s="13"/>
      <c r="B835" s="13"/>
      <c r="C835" s="13"/>
      <c r="D835" s="46"/>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row>
    <row r="836" spans="1:29" ht="12.75">
      <c r="A836" s="13"/>
      <c r="B836" s="13"/>
      <c r="C836" s="13"/>
      <c r="D836" s="46"/>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row>
    <row r="837" spans="1:29" ht="12.75">
      <c r="A837" s="13"/>
      <c r="B837" s="13"/>
      <c r="C837" s="13"/>
      <c r="D837" s="46"/>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row>
    <row r="838" spans="1:29" ht="12.75">
      <c r="A838" s="13"/>
      <c r="B838" s="13"/>
      <c r="C838" s="13"/>
      <c r="D838" s="46"/>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row>
    <row r="839" spans="1:29" ht="12.75">
      <c r="A839" s="13"/>
      <c r="B839" s="13"/>
      <c r="C839" s="13"/>
      <c r="D839" s="46"/>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row>
    <row r="840" spans="1:29" ht="12.75">
      <c r="A840" s="13"/>
      <c r="B840" s="13"/>
      <c r="C840" s="13"/>
      <c r="D840" s="46"/>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row>
    <row r="841" spans="1:29" ht="12.75">
      <c r="A841" s="13"/>
      <c r="B841" s="13"/>
      <c r="C841" s="13"/>
      <c r="D841" s="46"/>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row>
    <row r="842" spans="1:29" ht="12.75">
      <c r="A842" s="13"/>
      <c r="B842" s="13"/>
      <c r="C842" s="13"/>
      <c r="D842" s="46"/>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row>
    <row r="843" spans="1:29" ht="12.75">
      <c r="A843" s="13"/>
      <c r="B843" s="13"/>
      <c r="C843" s="13"/>
      <c r="D843" s="46"/>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row>
    <row r="844" spans="1:29" ht="12.75">
      <c r="A844" s="13"/>
      <c r="B844" s="13"/>
      <c r="C844" s="13"/>
      <c r="D844" s="46"/>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row>
    <row r="845" spans="1:29" ht="12.75">
      <c r="A845" s="13"/>
      <c r="B845" s="13"/>
      <c r="C845" s="13"/>
      <c r="D845" s="46"/>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row>
    <row r="846" spans="1:29" ht="12.75">
      <c r="A846" s="13"/>
      <c r="B846" s="13"/>
      <c r="C846" s="13"/>
      <c r="D846" s="46"/>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row>
    <row r="847" spans="1:29" ht="12.75">
      <c r="A847" s="13"/>
      <c r="B847" s="13"/>
      <c r="C847" s="13"/>
      <c r="D847" s="46"/>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row>
    <row r="848" spans="1:29" ht="12.75">
      <c r="A848" s="13"/>
      <c r="B848" s="13"/>
      <c r="C848" s="13"/>
      <c r="D848" s="46"/>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row>
    <row r="849" spans="1:29" ht="12.75">
      <c r="A849" s="13"/>
      <c r="B849" s="13"/>
      <c r="C849" s="13"/>
      <c r="D849" s="46"/>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row>
    <row r="850" spans="1:29" ht="12.75">
      <c r="A850" s="13"/>
      <c r="B850" s="13"/>
      <c r="C850" s="13"/>
      <c r="D850" s="46"/>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row>
    <row r="851" spans="1:29" ht="12.75">
      <c r="A851" s="13"/>
      <c r="B851" s="13"/>
      <c r="C851" s="13"/>
      <c r="D851" s="46"/>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row>
    <row r="852" spans="1:29" ht="12.75">
      <c r="A852" s="13"/>
      <c r="B852" s="13"/>
      <c r="C852" s="13"/>
      <c r="D852" s="46"/>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row>
    <row r="853" spans="1:29" ht="12.75">
      <c r="A853" s="13"/>
      <c r="B853" s="13"/>
      <c r="C853" s="13"/>
      <c r="D853" s="46"/>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row>
    <row r="854" spans="1:29" ht="12.75">
      <c r="A854" s="13"/>
      <c r="B854" s="13"/>
      <c r="C854" s="13"/>
      <c r="D854" s="46"/>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row>
    <row r="855" spans="1:29" ht="12.75">
      <c r="A855" s="13"/>
      <c r="B855" s="13"/>
      <c r="C855" s="13"/>
      <c r="D855" s="46"/>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row>
    <row r="856" spans="1:29" ht="12.75">
      <c r="A856" s="13"/>
      <c r="B856" s="13"/>
      <c r="C856" s="13"/>
      <c r="D856" s="46"/>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row>
    <row r="857" spans="1:29" ht="12.75">
      <c r="A857" s="13"/>
      <c r="B857" s="13"/>
      <c r="C857" s="13"/>
      <c r="D857" s="46"/>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row>
    <row r="858" spans="1:29" ht="12.75">
      <c r="A858" s="13"/>
      <c r="B858" s="13"/>
      <c r="C858" s="13"/>
      <c r="D858" s="46"/>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row>
    <row r="859" spans="1:29" ht="12.75">
      <c r="A859" s="13"/>
      <c r="B859" s="13"/>
      <c r="C859" s="13"/>
      <c r="D859" s="46"/>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row>
    <row r="860" spans="1:29" ht="12.75">
      <c r="A860" s="13"/>
      <c r="B860" s="13"/>
      <c r="C860" s="13"/>
      <c r="D860" s="46"/>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row>
    <row r="861" spans="1:29" ht="12.75">
      <c r="A861" s="13"/>
      <c r="B861" s="13"/>
      <c r="C861" s="13"/>
      <c r="D861" s="46"/>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row>
    <row r="862" spans="1:29" ht="12.75">
      <c r="A862" s="13"/>
      <c r="B862" s="13"/>
      <c r="C862" s="13"/>
      <c r="D862" s="46"/>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row>
    <row r="863" spans="1:29" ht="12.75">
      <c r="A863" s="13"/>
      <c r="B863" s="13"/>
      <c r="C863" s="13"/>
      <c r="D863" s="46"/>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row>
    <row r="864" spans="1:29" ht="12.75">
      <c r="A864" s="13"/>
      <c r="B864" s="13"/>
      <c r="C864" s="13"/>
      <c r="D864" s="46"/>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row>
    <row r="865" spans="1:29" ht="12.75">
      <c r="A865" s="13"/>
      <c r="B865" s="13"/>
      <c r="C865" s="13"/>
      <c r="D865" s="46"/>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row>
    <row r="866" spans="1:29" ht="12.75">
      <c r="A866" s="13"/>
      <c r="B866" s="13"/>
      <c r="C866" s="13"/>
      <c r="D866" s="46"/>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row>
    <row r="867" spans="1:29" ht="12.75">
      <c r="A867" s="13"/>
      <c r="B867" s="13"/>
      <c r="C867" s="13"/>
      <c r="D867" s="46"/>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row>
    <row r="868" spans="1:29" ht="12.75">
      <c r="A868" s="13"/>
      <c r="B868" s="13"/>
      <c r="C868" s="13"/>
      <c r="D868" s="46"/>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row>
    <row r="869" spans="1:29" ht="12.75">
      <c r="A869" s="13"/>
      <c r="B869" s="13"/>
      <c r="C869" s="13"/>
      <c r="D869" s="46"/>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row>
    <row r="870" spans="1:29" ht="12.75">
      <c r="A870" s="13"/>
      <c r="B870" s="13"/>
      <c r="C870" s="13"/>
      <c r="D870" s="46"/>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row>
    <row r="871" spans="1:29" ht="12.75">
      <c r="A871" s="13"/>
      <c r="B871" s="13"/>
      <c r="C871" s="13"/>
      <c r="D871" s="46"/>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row>
    <row r="872" spans="1:29" ht="12.75">
      <c r="A872" s="13"/>
      <c r="B872" s="13"/>
      <c r="C872" s="13"/>
      <c r="D872" s="46"/>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row>
    <row r="873" spans="1:29" ht="12.75">
      <c r="A873" s="13"/>
      <c r="B873" s="13"/>
      <c r="C873" s="13"/>
      <c r="D873" s="46"/>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row>
    <row r="874" spans="1:29" ht="12.75">
      <c r="A874" s="13"/>
      <c r="B874" s="13"/>
      <c r="C874" s="13"/>
      <c r="D874" s="46"/>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row>
    <row r="875" spans="1:29" ht="12.75">
      <c r="A875" s="13"/>
      <c r="B875" s="13"/>
      <c r="C875" s="13"/>
      <c r="D875" s="46"/>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row>
    <row r="876" spans="1:29" ht="12.75">
      <c r="A876" s="13"/>
      <c r="B876" s="13"/>
      <c r="C876" s="13"/>
      <c r="D876" s="46"/>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row>
    <row r="877" spans="1:29" ht="12.75">
      <c r="A877" s="13"/>
      <c r="B877" s="13"/>
      <c r="C877" s="13"/>
      <c r="D877" s="46"/>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row>
    <row r="878" spans="1:29" ht="12.75">
      <c r="A878" s="13"/>
      <c r="B878" s="13"/>
      <c r="C878" s="13"/>
      <c r="D878" s="46"/>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row>
    <row r="879" spans="1:29" ht="12.75">
      <c r="A879" s="13"/>
      <c r="B879" s="13"/>
      <c r="C879" s="13"/>
      <c r="D879" s="46"/>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row>
    <row r="880" spans="1:29" ht="12.75">
      <c r="A880" s="13"/>
      <c r="B880" s="13"/>
      <c r="C880" s="13"/>
      <c r="D880" s="46"/>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row>
    <row r="881" spans="1:29" ht="12.75">
      <c r="A881" s="13"/>
      <c r="B881" s="13"/>
      <c r="C881" s="13"/>
      <c r="D881" s="46"/>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row>
    <row r="882" spans="1:29" ht="12.75">
      <c r="A882" s="13"/>
      <c r="B882" s="13"/>
      <c r="C882" s="13"/>
      <c r="D882" s="46"/>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row>
    <row r="883" spans="1:29" ht="12.75">
      <c r="A883" s="13"/>
      <c r="B883" s="13"/>
      <c r="C883" s="13"/>
      <c r="D883" s="46"/>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row>
    <row r="884" spans="1:29" ht="12.75">
      <c r="A884" s="13"/>
      <c r="B884" s="13"/>
      <c r="C884" s="13"/>
      <c r="D884" s="46"/>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row>
    <row r="885" spans="1:29" ht="12.75">
      <c r="A885" s="13"/>
      <c r="B885" s="13"/>
      <c r="C885" s="13"/>
      <c r="D885" s="46"/>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row>
    <row r="886" spans="1:29" ht="12.75">
      <c r="A886" s="13"/>
      <c r="B886" s="13"/>
      <c r="C886" s="13"/>
      <c r="D886" s="46"/>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row>
    <row r="887" spans="1:29" ht="12.75">
      <c r="A887" s="13"/>
      <c r="B887" s="13"/>
      <c r="C887" s="13"/>
      <c r="D887" s="46"/>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row>
    <row r="888" spans="1:29" ht="12.75">
      <c r="A888" s="13"/>
      <c r="B888" s="13"/>
      <c r="C888" s="13"/>
      <c r="D888" s="46"/>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row>
    <row r="889" spans="1:29" ht="12.75">
      <c r="A889" s="13"/>
      <c r="B889" s="13"/>
      <c r="C889" s="13"/>
      <c r="D889" s="46"/>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row>
    <row r="890" spans="1:29" ht="12.75">
      <c r="A890" s="13"/>
      <c r="B890" s="13"/>
      <c r="C890" s="13"/>
      <c r="D890" s="46"/>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row>
    <row r="891" spans="1:29" ht="12.75">
      <c r="A891" s="13"/>
      <c r="B891" s="13"/>
      <c r="C891" s="13"/>
      <c r="D891" s="46"/>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row>
    <row r="892" spans="1:29" ht="12.75">
      <c r="A892" s="13"/>
      <c r="B892" s="13"/>
      <c r="C892" s="13"/>
      <c r="D892" s="46"/>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row>
    <row r="893" spans="1:29" ht="12.75">
      <c r="A893" s="13"/>
      <c r="B893" s="13"/>
      <c r="C893" s="13"/>
      <c r="D893" s="46"/>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row>
    <row r="894" spans="1:29" ht="12.75">
      <c r="A894" s="13"/>
      <c r="B894" s="13"/>
      <c r="C894" s="13"/>
      <c r="D894" s="46"/>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row>
    <row r="895" spans="1:29" ht="12.75">
      <c r="A895" s="13"/>
      <c r="B895" s="13"/>
      <c r="C895" s="13"/>
      <c r="D895" s="46"/>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row>
    <row r="896" spans="1:29" ht="12.75">
      <c r="A896" s="13"/>
      <c r="B896" s="13"/>
      <c r="C896" s="13"/>
      <c r="D896" s="46"/>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row>
    <row r="897" spans="1:29" ht="12.75">
      <c r="A897" s="13"/>
      <c r="B897" s="13"/>
      <c r="C897" s="13"/>
      <c r="D897" s="46"/>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row>
    <row r="898" spans="1:29" ht="12.75">
      <c r="A898" s="13"/>
      <c r="B898" s="13"/>
      <c r="C898" s="13"/>
      <c r="D898" s="46"/>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row>
    <row r="899" spans="1:29" ht="12.75">
      <c r="A899" s="13"/>
      <c r="B899" s="13"/>
      <c r="C899" s="13"/>
      <c r="D899" s="46"/>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row>
    <row r="900" spans="1:29" ht="12.75">
      <c r="A900" s="13"/>
      <c r="B900" s="13"/>
      <c r="C900" s="13"/>
      <c r="D900" s="46"/>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row>
    <row r="901" spans="1:29" ht="12.75">
      <c r="A901" s="13"/>
      <c r="B901" s="13"/>
      <c r="C901" s="13"/>
      <c r="D901" s="46"/>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row>
    <row r="902" spans="1:29" ht="12.75">
      <c r="A902" s="13"/>
      <c r="B902" s="13"/>
      <c r="C902" s="13"/>
      <c r="D902" s="46"/>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row>
    <row r="903" spans="1:29" ht="12.75">
      <c r="A903" s="13"/>
      <c r="B903" s="13"/>
      <c r="C903" s="13"/>
      <c r="D903" s="46"/>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row>
    <row r="904" spans="1:29" ht="12.75">
      <c r="A904" s="13"/>
      <c r="B904" s="13"/>
      <c r="C904" s="13"/>
      <c r="D904" s="46"/>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row>
    <row r="905" spans="1:29" ht="12.75">
      <c r="A905" s="13"/>
      <c r="B905" s="13"/>
      <c r="C905" s="13"/>
      <c r="D905" s="46"/>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row>
    <row r="906" spans="1:29" ht="12.75">
      <c r="A906" s="13"/>
      <c r="B906" s="13"/>
      <c r="C906" s="13"/>
      <c r="D906" s="46"/>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row>
    <row r="907" spans="1:29" ht="12.75">
      <c r="A907" s="13"/>
      <c r="B907" s="13"/>
      <c r="C907" s="13"/>
      <c r="D907" s="46"/>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row>
    <row r="908" spans="1:29" ht="12.75">
      <c r="A908" s="13"/>
      <c r="B908" s="13"/>
      <c r="C908" s="13"/>
      <c r="D908" s="46"/>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row>
    <row r="909" spans="1:29" ht="12.75">
      <c r="A909" s="13"/>
      <c r="B909" s="13"/>
      <c r="C909" s="13"/>
      <c r="D909" s="46"/>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row>
    <row r="910" spans="1:29" ht="12.75">
      <c r="A910" s="13"/>
      <c r="B910" s="13"/>
      <c r="C910" s="13"/>
      <c r="D910" s="46"/>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row>
    <row r="911" spans="1:29" ht="12.75">
      <c r="A911" s="13"/>
      <c r="B911" s="13"/>
      <c r="C911" s="13"/>
      <c r="D911" s="46"/>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row>
    <row r="912" spans="1:29" ht="12.75">
      <c r="A912" s="13"/>
      <c r="B912" s="13"/>
      <c r="C912" s="13"/>
      <c r="D912" s="46"/>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row>
    <row r="913" spans="1:29" ht="12.75">
      <c r="A913" s="13"/>
      <c r="B913" s="13"/>
      <c r="C913" s="13"/>
      <c r="D913" s="46"/>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row>
    <row r="914" spans="1:29" ht="12.75">
      <c r="A914" s="13"/>
      <c r="B914" s="13"/>
      <c r="C914" s="13"/>
      <c r="D914" s="46"/>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row>
    <row r="915" spans="1:29" ht="12.75">
      <c r="A915" s="13"/>
      <c r="B915" s="13"/>
      <c r="C915" s="13"/>
      <c r="D915" s="46"/>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row>
    <row r="916" spans="1:29" ht="12.75">
      <c r="A916" s="13"/>
      <c r="B916" s="13"/>
      <c r="C916" s="13"/>
      <c r="D916" s="46"/>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row>
    <row r="917" spans="1:29" ht="12.75">
      <c r="A917" s="13"/>
      <c r="B917" s="13"/>
      <c r="C917" s="13"/>
      <c r="D917" s="46"/>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row>
    <row r="918" spans="1:29" ht="12.75">
      <c r="A918" s="13"/>
      <c r="B918" s="13"/>
      <c r="C918" s="13"/>
      <c r="D918" s="46"/>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row>
    <row r="919" spans="1:29" ht="12.75">
      <c r="A919" s="13"/>
      <c r="B919" s="13"/>
      <c r="C919" s="13"/>
      <c r="D919" s="46"/>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row>
    <row r="920" spans="1:29" ht="12.75">
      <c r="A920" s="13"/>
      <c r="B920" s="13"/>
      <c r="C920" s="13"/>
      <c r="D920" s="46"/>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row>
    <row r="921" spans="1:29" ht="12.75">
      <c r="A921" s="13"/>
      <c r="B921" s="13"/>
      <c r="C921" s="13"/>
      <c r="D921" s="46"/>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row>
    <row r="922" spans="1:29" ht="12.75">
      <c r="A922" s="13"/>
      <c r="B922" s="13"/>
      <c r="C922" s="13"/>
      <c r="D922" s="46"/>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row>
    <row r="923" spans="1:29" ht="12.75">
      <c r="A923" s="13"/>
      <c r="B923" s="13"/>
      <c r="C923" s="13"/>
      <c r="D923" s="46"/>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row>
    <row r="924" spans="1:29" ht="12.75">
      <c r="A924" s="13"/>
      <c r="B924" s="13"/>
      <c r="C924" s="13"/>
      <c r="D924" s="46"/>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row>
    <row r="925" spans="1:29" ht="12.75">
      <c r="A925" s="13"/>
      <c r="B925" s="13"/>
      <c r="C925" s="13"/>
      <c r="D925" s="46"/>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row>
    <row r="926" spans="1:29" ht="12.75">
      <c r="A926" s="13"/>
      <c r="B926" s="13"/>
      <c r="C926" s="13"/>
      <c r="D926" s="46"/>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row>
    <row r="927" spans="1:29" ht="12.75">
      <c r="A927" s="13"/>
      <c r="B927" s="13"/>
      <c r="C927" s="13"/>
      <c r="D927" s="46"/>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row>
    <row r="928" spans="1:29" ht="12.75">
      <c r="A928" s="13"/>
      <c r="B928" s="13"/>
      <c r="C928" s="13"/>
      <c r="D928" s="46"/>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row>
    <row r="929" spans="1:29" ht="12.75">
      <c r="A929" s="13"/>
      <c r="B929" s="13"/>
      <c r="C929" s="13"/>
      <c r="D929" s="46"/>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row>
    <row r="930" spans="1:29" ht="12.75">
      <c r="A930" s="13"/>
      <c r="B930" s="13"/>
      <c r="C930" s="13"/>
      <c r="D930" s="46"/>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row>
    <row r="931" spans="1:29" ht="12.75">
      <c r="A931" s="13"/>
      <c r="B931" s="13"/>
      <c r="C931" s="13"/>
      <c r="D931" s="46"/>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row>
    <row r="932" spans="1:29" ht="12.75">
      <c r="A932" s="13"/>
      <c r="B932" s="13"/>
      <c r="C932" s="13"/>
      <c r="D932" s="46"/>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row>
    <row r="933" spans="1:29" ht="12.75">
      <c r="A933" s="13"/>
      <c r="B933" s="13"/>
      <c r="C933" s="13"/>
      <c r="D933" s="46"/>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row>
    <row r="934" spans="1:29" ht="12.75">
      <c r="A934" s="13"/>
      <c r="B934" s="13"/>
      <c r="C934" s="13"/>
      <c r="D934" s="46"/>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row>
    <row r="935" spans="1:29" ht="12.75">
      <c r="A935" s="13"/>
      <c r="B935" s="13"/>
      <c r="C935" s="13"/>
      <c r="D935" s="46"/>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row>
    <row r="936" spans="1:29" ht="12.75">
      <c r="A936" s="13"/>
      <c r="B936" s="13"/>
      <c r="C936" s="13"/>
      <c r="D936" s="46"/>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row>
    <row r="937" spans="1:29" ht="12.75">
      <c r="A937" s="13"/>
      <c r="B937" s="13"/>
      <c r="C937" s="13"/>
      <c r="D937" s="46"/>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row>
    <row r="938" spans="1:29" ht="12.75">
      <c r="A938" s="13"/>
      <c r="B938" s="13"/>
      <c r="C938" s="13"/>
      <c r="D938" s="46"/>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row>
    <row r="939" spans="1:29" ht="12.75">
      <c r="A939" s="13"/>
      <c r="B939" s="13"/>
      <c r="C939" s="13"/>
      <c r="D939" s="46"/>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row>
    <row r="940" spans="1:29" ht="12.75">
      <c r="A940" s="13"/>
      <c r="B940" s="13"/>
      <c r="C940" s="13"/>
      <c r="D940" s="46"/>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row>
    <row r="941" spans="1:29" ht="12.75">
      <c r="A941" s="13"/>
      <c r="B941" s="13"/>
      <c r="C941" s="13"/>
      <c r="D941" s="46"/>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row>
    <row r="942" spans="1:29" ht="12.75">
      <c r="A942" s="13"/>
      <c r="B942" s="13"/>
      <c r="C942" s="13"/>
      <c r="D942" s="46"/>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row>
    <row r="943" spans="1:29" ht="12.75">
      <c r="A943" s="13"/>
      <c r="B943" s="13"/>
      <c r="C943" s="13"/>
      <c r="D943" s="46"/>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row>
    <row r="944" spans="1:29" ht="12.75">
      <c r="A944" s="13"/>
      <c r="B944" s="13"/>
      <c r="C944" s="13"/>
      <c r="D944" s="46"/>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row>
    <row r="945" spans="1:29" ht="12.75">
      <c r="A945" s="13"/>
      <c r="B945" s="13"/>
      <c r="C945" s="13"/>
      <c r="D945" s="46"/>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row>
    <row r="946" spans="1:29" ht="12.75">
      <c r="A946" s="13"/>
      <c r="B946" s="13"/>
      <c r="C946" s="13"/>
      <c r="D946" s="46"/>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row>
    <row r="947" spans="1:29" ht="12.75">
      <c r="A947" s="13"/>
      <c r="B947" s="13"/>
      <c r="C947" s="13"/>
      <c r="D947" s="46"/>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row>
    <row r="948" spans="1:29" ht="12.75">
      <c r="A948" s="13"/>
      <c r="B948" s="13"/>
      <c r="C948" s="13"/>
      <c r="D948" s="46"/>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row>
    <row r="949" spans="1:29" ht="12.75">
      <c r="A949" s="13"/>
      <c r="B949" s="13"/>
      <c r="C949" s="13"/>
      <c r="D949" s="46"/>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row>
    <row r="950" spans="1:29" ht="12.75">
      <c r="A950" s="13"/>
      <c r="B950" s="13"/>
      <c r="C950" s="13"/>
      <c r="D950" s="46"/>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row>
    <row r="951" spans="1:29" ht="12.75">
      <c r="A951" s="13"/>
      <c r="B951" s="13"/>
      <c r="C951" s="13"/>
      <c r="D951" s="46"/>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row>
    <row r="952" spans="1:29" ht="12.75">
      <c r="A952" s="13"/>
      <c r="B952" s="13"/>
      <c r="C952" s="13"/>
      <c r="D952" s="46"/>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row>
    <row r="953" spans="1:29" ht="12.75">
      <c r="A953" s="13"/>
      <c r="B953" s="13"/>
      <c r="C953" s="13"/>
      <c r="D953" s="46"/>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row>
    <row r="954" spans="1:29" ht="12.75">
      <c r="A954" s="13"/>
      <c r="B954" s="13"/>
      <c r="C954" s="13"/>
      <c r="D954" s="46"/>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row>
    <row r="955" spans="1:29" ht="12.75">
      <c r="A955" s="13"/>
      <c r="B955" s="13"/>
      <c r="C955" s="13"/>
      <c r="D955" s="46"/>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row>
    <row r="956" spans="1:29" ht="12.75">
      <c r="A956" s="13"/>
      <c r="B956" s="13"/>
      <c r="C956" s="13"/>
      <c r="D956" s="46"/>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row>
    <row r="957" spans="1:29" ht="12.75">
      <c r="A957" s="13"/>
      <c r="B957" s="13"/>
      <c r="C957" s="13"/>
      <c r="D957" s="46"/>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row>
    <row r="958" spans="1:29" ht="12.75">
      <c r="A958" s="13"/>
      <c r="B958" s="13"/>
      <c r="C958" s="13"/>
      <c r="D958" s="46"/>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row>
    <row r="959" spans="1:29" ht="12.75">
      <c r="A959" s="13"/>
      <c r="B959" s="13"/>
      <c r="C959" s="13"/>
      <c r="D959" s="46"/>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row>
    <row r="960" spans="1:29" ht="12.75">
      <c r="A960" s="13"/>
      <c r="B960" s="13"/>
      <c r="C960" s="13"/>
      <c r="D960" s="46"/>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row>
    <row r="961" spans="1:29" ht="12.75">
      <c r="A961" s="13"/>
      <c r="B961" s="13"/>
      <c r="C961" s="13"/>
      <c r="D961" s="46"/>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row>
    <row r="962" spans="1:29" ht="12.75">
      <c r="A962" s="13"/>
      <c r="B962" s="13"/>
      <c r="C962" s="13"/>
      <c r="D962" s="46"/>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row>
    <row r="963" spans="1:29" ht="12.75">
      <c r="A963" s="13"/>
      <c r="B963" s="13"/>
      <c r="C963" s="13"/>
      <c r="D963" s="46"/>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row>
    <row r="964" spans="1:29" ht="12.75">
      <c r="A964" s="13"/>
      <c r="B964" s="13"/>
      <c r="C964" s="13"/>
      <c r="D964" s="46"/>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row>
    <row r="965" spans="1:29" ht="12.75">
      <c r="A965" s="13"/>
      <c r="B965" s="13"/>
      <c r="C965" s="13"/>
      <c r="D965" s="46"/>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row>
    <row r="966" spans="1:29" ht="12.75">
      <c r="A966" s="13"/>
      <c r="B966" s="13"/>
      <c r="C966" s="13"/>
      <c r="D966" s="46"/>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row>
    <row r="967" spans="1:29" ht="12.75">
      <c r="A967" s="13"/>
      <c r="B967" s="13"/>
      <c r="C967" s="13"/>
      <c r="D967" s="46"/>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row>
    <row r="968" spans="1:29" ht="12.75">
      <c r="A968" s="13"/>
      <c r="B968" s="13"/>
      <c r="C968" s="13"/>
      <c r="D968" s="46"/>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row>
    <row r="969" spans="1:29" ht="12.75">
      <c r="A969" s="13"/>
      <c r="B969" s="13"/>
      <c r="C969" s="13"/>
      <c r="D969" s="46"/>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row>
    <row r="970" spans="1:29" ht="12.75">
      <c r="A970" s="13"/>
      <c r="B970" s="13"/>
      <c r="C970" s="13"/>
      <c r="D970" s="46"/>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row>
    <row r="971" spans="1:29" ht="12.75">
      <c r="A971" s="13"/>
      <c r="B971" s="13"/>
      <c r="C971" s="13"/>
      <c r="D971" s="46"/>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row>
    <row r="972" spans="1:29" ht="12.75">
      <c r="A972" s="13"/>
      <c r="B972" s="13"/>
      <c r="C972" s="13"/>
      <c r="D972" s="46"/>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row>
    <row r="973" spans="1:29" ht="12.75">
      <c r="A973" s="13"/>
      <c r="B973" s="13"/>
      <c r="C973" s="13"/>
      <c r="D973" s="46"/>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row>
    <row r="974" spans="1:29" ht="12.75">
      <c r="A974" s="13"/>
      <c r="B974" s="13"/>
      <c r="C974" s="13"/>
      <c r="D974" s="46"/>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row>
    <row r="975" spans="1:29" ht="12.75">
      <c r="A975" s="13"/>
      <c r="B975" s="13"/>
      <c r="C975" s="13"/>
      <c r="D975" s="46"/>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row>
    <row r="976" spans="1:29" ht="12.75">
      <c r="A976" s="13"/>
      <c r="B976" s="13"/>
      <c r="C976" s="13"/>
      <c r="D976" s="46"/>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row>
    <row r="977" spans="1:29" ht="12.75">
      <c r="A977" s="13"/>
      <c r="B977" s="13"/>
      <c r="C977" s="13"/>
      <c r="D977" s="46"/>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row>
    <row r="978" spans="1:29" ht="12.75">
      <c r="A978" s="13"/>
      <c r="B978" s="13"/>
      <c r="C978" s="13"/>
      <c r="D978" s="46"/>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row>
    <row r="979" spans="1:29" ht="12.75">
      <c r="A979" s="13"/>
      <c r="B979" s="13"/>
      <c r="C979" s="13"/>
      <c r="D979" s="46"/>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row>
    <row r="980" spans="1:29" ht="12.75">
      <c r="A980" s="13"/>
      <c r="B980" s="13"/>
      <c r="C980" s="13"/>
      <c r="D980" s="46"/>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row>
    <row r="981" spans="1:29" ht="12.75">
      <c r="A981" s="13"/>
      <c r="B981" s="13"/>
      <c r="C981" s="13"/>
      <c r="D981" s="46"/>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row>
    <row r="982" spans="1:29" ht="12.75">
      <c r="A982" s="13"/>
      <c r="B982" s="13"/>
      <c r="C982" s="13"/>
      <c r="D982" s="46"/>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row>
    <row r="983" spans="1:29" ht="12.75">
      <c r="A983" s="13"/>
      <c r="B983" s="13"/>
      <c r="C983" s="13"/>
      <c r="D983" s="46"/>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row>
    <row r="984" spans="1:29" ht="12.75">
      <c r="A984" s="13"/>
      <c r="B984" s="13"/>
      <c r="C984" s="13"/>
      <c r="D984" s="46"/>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row>
    <row r="985" spans="1:29" ht="12.75">
      <c r="A985" s="13"/>
      <c r="B985" s="13"/>
      <c r="C985" s="13"/>
      <c r="D985" s="46"/>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row>
    <row r="986" spans="1:29" ht="12.75">
      <c r="A986" s="13"/>
      <c r="B986" s="13"/>
      <c r="C986" s="13"/>
      <c r="D986" s="46"/>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row>
    <row r="987" spans="1:29" ht="12.75">
      <c r="A987" s="13"/>
      <c r="B987" s="13"/>
      <c r="C987" s="13"/>
      <c r="D987" s="46"/>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row>
    <row r="988" spans="1:29" ht="12.75">
      <c r="A988" s="13"/>
      <c r="B988" s="13"/>
      <c r="C988" s="13"/>
      <c r="D988" s="46"/>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row>
    <row r="989" spans="1:29" ht="12.75">
      <c r="A989" s="13"/>
      <c r="B989" s="13"/>
      <c r="C989" s="13"/>
      <c r="D989" s="46"/>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row>
    <row r="990" spans="1:29" ht="12.75">
      <c r="A990" s="13"/>
      <c r="B990" s="13"/>
      <c r="C990" s="13"/>
      <c r="D990" s="46"/>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row>
    <row r="991" spans="1:29" ht="12.75">
      <c r="A991" s="13"/>
      <c r="B991" s="13"/>
      <c r="C991" s="13"/>
      <c r="D991" s="46"/>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row>
    <row r="992" spans="1:29" ht="12.75">
      <c r="A992" s="13"/>
      <c r="B992" s="13"/>
      <c r="C992" s="13"/>
      <c r="D992" s="46"/>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row>
    <row r="993" spans="1:29" ht="12.75">
      <c r="A993" s="13"/>
      <c r="B993" s="13"/>
      <c r="C993" s="13"/>
      <c r="D993" s="46"/>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row>
    <row r="994" spans="1:29" ht="12.75">
      <c r="A994" s="13"/>
      <c r="B994" s="13"/>
      <c r="C994" s="13"/>
      <c r="D994" s="46"/>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row>
    <row r="995" spans="1:29" ht="12.75">
      <c r="A995" s="13"/>
      <c r="B995" s="13"/>
      <c r="C995" s="13"/>
      <c r="D995" s="46"/>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row>
    <row r="996" spans="1:29" ht="12.75">
      <c r="A996" s="13"/>
      <c r="B996" s="13"/>
      <c r="C996" s="13"/>
      <c r="D996" s="46"/>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row>
  </sheetData>
  <autoFilter ref="A1:AB996" xr:uid="{00000000-0009-0000-0000-000000000000}"/>
  <customSheetViews>
    <customSheetView guid="{8FA3C542-0A72-4B1D-A595-BE7DA331998C}" filter="1" showAutoFilter="1">
      <pageMargins left="0.7" right="0.7" top="0.75" bottom="0.75" header="0.3" footer="0.3"/>
      <autoFilter ref="A1:AB996" xr:uid="{00000000-0000-0000-0000-000000000000}">
        <filterColumn colId="2">
          <filters>
            <filter val="Asturias"/>
            <filter val="Cantabria_x000a_Asturias"/>
          </filters>
        </filterColumn>
      </autoFilter>
    </customSheetView>
    <customSheetView guid="{0F678C3A-5D12-41A8-BF68-9E6665A16E2A}" filter="1" showAutoFilter="1">
      <pageMargins left="0.7" right="0.7" top="0.75" bottom="0.75" header="0.3" footer="0.3"/>
      <autoFilter ref="A1:AB996" xr:uid="{00000000-0000-0000-0000-000000000000}">
        <filterColumn colId="2">
          <filters>
            <filter val="Burgos"/>
          </filters>
        </filterColumn>
      </autoFilter>
    </customSheetView>
    <customSheetView guid="{C91E7C89-6E41-49F2-B9A4-206B89D7F3D4}" filter="1" showAutoFilter="1">
      <pageMargins left="0.7" right="0.7" top="0.75" bottom="0.75" header="0.3" footer="0.3"/>
      <autoFilter ref="A1:AB996" xr:uid="{00000000-0000-0000-0000-000000000000}">
        <filterColumn colId="2">
          <filters>
            <filter val="Cuenca"/>
          </filters>
        </filterColumn>
      </autoFilter>
    </customSheetView>
    <customSheetView guid="{8B217CDA-5FC0-4DC0-A5C9-05739CD87891}" filter="1" showAutoFilter="1">
      <pageMargins left="0.7" right="0.7" top="0.75" bottom="0.75" header="0.3" footer="0.3"/>
      <autoFilter ref="A1:AB996" xr:uid="{00000000-0000-0000-0000-000000000000}">
        <filterColumn colId="2">
          <filters>
            <filter val="Álava"/>
          </filters>
        </filterColumn>
      </autoFilter>
    </customSheetView>
    <customSheetView guid="{7DCE6E51-8582-4522-BD0B-DE3453A0E856}" filter="1" showAutoFilter="1">
      <pageMargins left="0.7" right="0.7" top="0.75" bottom="0.75" header="0.3" footer="0.3"/>
      <autoFilter ref="A1:AB996" xr:uid="{00000000-0000-0000-0000-000000000000}">
        <filterColumn colId="2">
          <filters>
            <filter val="Cantabria_x000a_Asturias"/>
            <filter val="Cantabria"/>
          </filters>
        </filterColumn>
      </autoFilter>
    </customSheetView>
    <customSheetView guid="{5B7E39A5-18A3-49D5-B742-E4404BAA9F18}" filter="1" showAutoFilter="1">
      <pageMargins left="0.7" right="0.7" top="0.75" bottom="0.75" header="0.3" footer="0.3"/>
      <autoFilter ref="A1:AB996" xr:uid="{00000000-0000-0000-0000-000000000000}">
        <filterColumn colId="2">
          <filters>
            <filter val="Albacete"/>
          </filters>
        </filterColumn>
      </autoFilter>
    </customSheetView>
    <customSheetView guid="{F98AEF2A-2F1D-4722-A9B1-E4EF0C4A0BA7}" filter="1" showAutoFilter="1">
      <pageMargins left="0.7" right="0.7" top="0.75" bottom="0.75" header="0.3" footer="0.3"/>
      <autoFilter ref="A1:AB996" xr:uid="{00000000-0000-0000-0000-000000000000}">
        <filterColumn colId="2">
          <filters>
            <filter val="A Coruña"/>
            <filter val="Lugo y A Coruña"/>
          </filters>
        </filterColumn>
      </autoFilter>
    </customSheetView>
    <customSheetView guid="{7E4AF731-FB9C-4D89-B079-C864922291DF}" filter="1" showAutoFilter="1">
      <pageMargins left="0.7" right="0.7" top="0.75" bottom="0.75" header="0.3" footer="0.3"/>
      <autoFilter ref="A1:AB996" xr:uid="{00000000-0000-0000-0000-000000000000}">
        <filterColumn colId="2">
          <filters>
            <filter val="Ávila"/>
          </filters>
        </filterColumn>
      </autoFilter>
    </customSheetView>
    <customSheetView guid="{53473762-ECDC-4927-A810-8ABCDB80B9C2}" filter="1" showAutoFilter="1">
      <pageMargins left="0.7" right="0.7" top="0.75" bottom="0.75" header="0.3" footer="0.3"/>
      <autoFilter ref="A1:AB996" xr:uid="{00000000-0000-0000-0000-000000000000}">
        <filterColumn colId="2">
          <filters>
            <filter val="Cáceres"/>
          </filters>
        </filterColumn>
      </autoFilter>
    </customSheetView>
    <customSheetView guid="{8C607FB6-F711-4B5A-92A9-2E0A9536B036}" filter="1" showAutoFilter="1">
      <pageMargins left="0.7" right="0.7" top="0.75" bottom="0.75" header="0.3" footer="0.3"/>
      <autoFilter ref="A1:AB996" xr:uid="{00000000-0000-0000-0000-000000000000}">
        <filterColumn colId="2">
          <filters>
            <filter val="Granada"/>
          </filters>
        </filterColumn>
      </autoFilter>
    </customSheetView>
    <customSheetView guid="{5A6C87E1-05B0-4F28-B950-850C5D34FB1F}" filter="1" showAutoFilter="1">
      <pageMargins left="0.7" right="0.7" top="0.75" bottom="0.75" header="0.3" footer="0.3"/>
      <autoFilter ref="B1:Y183" xr:uid="{00000000-0000-0000-0000-000000000000}">
        <filterColumn colId="0">
          <filters>
            <filter val="Fuera de España"/>
            <filter val="Castilla y León"/>
          </filters>
        </filterColumn>
      </autoFilter>
    </customSheetView>
  </customSheetViews>
  <hyperlinks>
    <hyperlink ref="AA2" r:id="rId1" xr:uid="{00000000-0004-0000-0000-000000000000}"/>
    <hyperlink ref="AA3" r:id="rId2" xr:uid="{00000000-0004-0000-0000-000001000000}"/>
    <hyperlink ref="AA4" r:id="rId3" xr:uid="{00000000-0004-0000-0000-000002000000}"/>
    <hyperlink ref="AA5" r:id="rId4" xr:uid="{00000000-0004-0000-0000-000003000000}"/>
    <hyperlink ref="AA6" r:id="rId5" xr:uid="{00000000-0004-0000-0000-000004000000}"/>
    <hyperlink ref="AA7" r:id="rId6" xr:uid="{00000000-0004-0000-0000-000005000000}"/>
    <hyperlink ref="AA8" r:id="rId7" xr:uid="{00000000-0004-0000-0000-000006000000}"/>
    <hyperlink ref="AA9" r:id="rId8" xr:uid="{00000000-0004-0000-0000-000007000000}"/>
    <hyperlink ref="L10" r:id="rId9" xr:uid="{00000000-0004-0000-0000-000008000000}"/>
    <hyperlink ref="AA10" r:id="rId10" xr:uid="{00000000-0004-0000-0000-000009000000}"/>
    <hyperlink ref="AA11" r:id="rId11" xr:uid="{00000000-0004-0000-0000-00000A000000}"/>
    <hyperlink ref="AA12" r:id="rId12" xr:uid="{00000000-0004-0000-0000-00000B000000}"/>
    <hyperlink ref="AA13" r:id="rId13" xr:uid="{00000000-0004-0000-0000-00000C000000}"/>
    <hyperlink ref="AA14" r:id="rId14" xr:uid="{00000000-0004-0000-0000-00000D000000}"/>
    <hyperlink ref="AA15" r:id="rId15" xr:uid="{00000000-0004-0000-0000-00000E000000}"/>
    <hyperlink ref="AA16" r:id="rId16" xr:uid="{00000000-0004-0000-0000-00000F000000}"/>
    <hyperlink ref="AA17" r:id="rId17" xr:uid="{00000000-0004-0000-0000-000010000000}"/>
    <hyperlink ref="L18" r:id="rId18" xr:uid="{00000000-0004-0000-0000-000011000000}"/>
    <hyperlink ref="AA18" r:id="rId19" xr:uid="{00000000-0004-0000-0000-000012000000}"/>
    <hyperlink ref="AA19" r:id="rId20" xr:uid="{00000000-0004-0000-0000-000013000000}"/>
    <hyperlink ref="AA20" r:id="rId21" xr:uid="{00000000-0004-0000-0000-000014000000}"/>
    <hyperlink ref="AA21" r:id="rId22" xr:uid="{00000000-0004-0000-0000-000015000000}"/>
    <hyperlink ref="AA22" r:id="rId23" xr:uid="{00000000-0004-0000-0000-000016000000}"/>
    <hyperlink ref="AA23" r:id="rId24" xr:uid="{00000000-0004-0000-0000-000017000000}"/>
    <hyperlink ref="AA24" r:id="rId25" xr:uid="{00000000-0004-0000-0000-000018000000}"/>
    <hyperlink ref="AA25" r:id="rId26" xr:uid="{00000000-0004-0000-0000-000019000000}"/>
    <hyperlink ref="AA26" r:id="rId27" xr:uid="{00000000-0004-0000-0000-00001A000000}"/>
    <hyperlink ref="AA27" r:id="rId28" xr:uid="{00000000-0004-0000-0000-00001B000000}"/>
    <hyperlink ref="AA28" r:id="rId29" xr:uid="{00000000-0004-0000-0000-00001C000000}"/>
    <hyperlink ref="AA29" r:id="rId30" xr:uid="{00000000-0004-0000-0000-00001D000000}"/>
    <hyperlink ref="AA30" r:id="rId31" xr:uid="{00000000-0004-0000-0000-00001E000000}"/>
    <hyperlink ref="AA31" r:id="rId32" xr:uid="{00000000-0004-0000-0000-00001F000000}"/>
    <hyperlink ref="AA32" r:id="rId33" xr:uid="{00000000-0004-0000-0000-000020000000}"/>
    <hyperlink ref="AA33" r:id="rId34" xr:uid="{00000000-0004-0000-0000-000021000000}"/>
    <hyperlink ref="AA34" r:id="rId35" xr:uid="{00000000-0004-0000-0000-000022000000}"/>
    <hyperlink ref="AA35" r:id="rId36" xr:uid="{00000000-0004-0000-0000-000023000000}"/>
    <hyperlink ref="AA36" r:id="rId37" xr:uid="{00000000-0004-0000-0000-000024000000}"/>
    <hyperlink ref="L37" r:id="rId38" xr:uid="{00000000-0004-0000-0000-000025000000}"/>
    <hyperlink ref="AA37" r:id="rId39" xr:uid="{00000000-0004-0000-0000-000026000000}"/>
    <hyperlink ref="AA38" r:id="rId40" xr:uid="{00000000-0004-0000-0000-000027000000}"/>
    <hyperlink ref="AA39" r:id="rId41" xr:uid="{00000000-0004-0000-0000-000028000000}"/>
    <hyperlink ref="Z40" r:id="rId42" xr:uid="{00000000-0004-0000-0000-000029000000}"/>
    <hyperlink ref="Z41" r:id="rId43" xr:uid="{00000000-0004-0000-0000-00002A000000}"/>
    <hyperlink ref="Z42" r:id="rId44" xr:uid="{00000000-0004-0000-0000-00002B000000}"/>
    <hyperlink ref="L43" r:id="rId45" xr:uid="{00000000-0004-0000-0000-00002C000000}"/>
    <hyperlink ref="Z43" r:id="rId46" xr:uid="{00000000-0004-0000-0000-00002D000000}"/>
    <hyperlink ref="Z44" r:id="rId47" xr:uid="{00000000-0004-0000-0000-00002E000000}"/>
    <hyperlink ref="Z45" r:id="rId48" xr:uid="{00000000-0004-0000-0000-00002F000000}"/>
    <hyperlink ref="Z46" r:id="rId49" xr:uid="{00000000-0004-0000-0000-000030000000}"/>
    <hyperlink ref="Z47" r:id="rId50" xr:uid="{00000000-0004-0000-0000-000031000000}"/>
    <hyperlink ref="Z48" r:id="rId51" xr:uid="{00000000-0004-0000-0000-000032000000}"/>
    <hyperlink ref="Z49" r:id="rId52" xr:uid="{00000000-0004-0000-0000-000033000000}"/>
    <hyperlink ref="Z50" r:id="rId53" xr:uid="{00000000-0004-0000-0000-000034000000}"/>
    <hyperlink ref="Z51" r:id="rId54" xr:uid="{00000000-0004-0000-0000-000035000000}"/>
    <hyperlink ref="L52" r:id="rId55" xr:uid="{00000000-0004-0000-0000-000036000000}"/>
    <hyperlink ref="Z52" r:id="rId56" xr:uid="{00000000-0004-0000-0000-000037000000}"/>
    <hyperlink ref="Z53" r:id="rId57" xr:uid="{00000000-0004-0000-0000-000038000000}"/>
    <hyperlink ref="Z54" r:id="rId58" xr:uid="{00000000-0004-0000-0000-000039000000}"/>
    <hyperlink ref="Z55" r:id="rId59" xr:uid="{00000000-0004-0000-0000-00003A000000}"/>
    <hyperlink ref="Z56" r:id="rId60" xr:uid="{00000000-0004-0000-0000-00003B000000}"/>
    <hyperlink ref="Z57" r:id="rId61" xr:uid="{00000000-0004-0000-0000-00003C000000}"/>
    <hyperlink ref="Z58" r:id="rId62" xr:uid="{00000000-0004-0000-0000-00003D000000}"/>
    <hyperlink ref="Z59" r:id="rId63" xr:uid="{00000000-0004-0000-0000-00003E000000}"/>
    <hyperlink ref="Z60" r:id="rId64" xr:uid="{00000000-0004-0000-0000-00003F000000}"/>
    <hyperlink ref="Z61" r:id="rId65" xr:uid="{00000000-0004-0000-0000-000040000000}"/>
    <hyperlink ref="Z62" r:id="rId66" xr:uid="{00000000-0004-0000-0000-000041000000}"/>
    <hyperlink ref="L63" r:id="rId67" xr:uid="{00000000-0004-0000-0000-000042000000}"/>
    <hyperlink ref="Z63" r:id="rId68" xr:uid="{00000000-0004-0000-0000-000043000000}"/>
    <hyperlink ref="Z64" r:id="rId69" xr:uid="{00000000-0004-0000-0000-000044000000}"/>
    <hyperlink ref="Z65" r:id="rId70" xr:uid="{00000000-0004-0000-0000-000045000000}"/>
    <hyperlink ref="Z66" r:id="rId71" xr:uid="{00000000-0004-0000-0000-000046000000}"/>
    <hyperlink ref="AA67" r:id="rId72" xr:uid="{00000000-0004-0000-0000-000047000000}"/>
    <hyperlink ref="AA68" r:id="rId73" xr:uid="{00000000-0004-0000-0000-000048000000}"/>
    <hyperlink ref="AA69" r:id="rId74" xr:uid="{00000000-0004-0000-0000-000049000000}"/>
    <hyperlink ref="AA70" r:id="rId75" xr:uid="{00000000-0004-0000-0000-00004A000000}"/>
    <hyperlink ref="AA71" r:id="rId76" xr:uid="{00000000-0004-0000-0000-00004B000000}"/>
    <hyperlink ref="AA72" r:id="rId77" xr:uid="{00000000-0004-0000-0000-00004C000000}"/>
    <hyperlink ref="AA73" r:id="rId78" xr:uid="{00000000-0004-0000-0000-00004D000000}"/>
    <hyperlink ref="AA74" r:id="rId79" xr:uid="{00000000-0004-0000-0000-00004E000000}"/>
    <hyperlink ref="AA75" r:id="rId80" xr:uid="{00000000-0004-0000-0000-00004F000000}"/>
    <hyperlink ref="AA76" r:id="rId81" xr:uid="{00000000-0004-0000-0000-000050000000}"/>
    <hyperlink ref="AA77" r:id="rId82" xr:uid="{00000000-0004-0000-0000-000051000000}"/>
    <hyperlink ref="AA78" r:id="rId83" xr:uid="{00000000-0004-0000-0000-000052000000}"/>
    <hyperlink ref="AA79" r:id="rId84" xr:uid="{00000000-0004-0000-0000-000053000000}"/>
    <hyperlink ref="AA80" r:id="rId85" xr:uid="{00000000-0004-0000-0000-000054000000}"/>
    <hyperlink ref="AA81" r:id="rId86" xr:uid="{00000000-0004-0000-0000-000055000000}"/>
    <hyperlink ref="AA82" r:id="rId87" xr:uid="{00000000-0004-0000-0000-000056000000}"/>
    <hyperlink ref="AA83" r:id="rId88" xr:uid="{00000000-0004-0000-0000-000057000000}"/>
    <hyperlink ref="L84" r:id="rId89" xr:uid="{00000000-0004-0000-0000-000058000000}"/>
    <hyperlink ref="AA84" r:id="rId90" xr:uid="{00000000-0004-0000-0000-000059000000}"/>
    <hyperlink ref="AA85" r:id="rId91" xr:uid="{00000000-0004-0000-0000-00005A000000}"/>
    <hyperlink ref="AA86" r:id="rId92" xr:uid="{00000000-0004-0000-0000-00005B000000}"/>
    <hyperlink ref="AA87" r:id="rId93" xr:uid="{00000000-0004-0000-0000-00005C000000}"/>
    <hyperlink ref="AA88" r:id="rId94" xr:uid="{00000000-0004-0000-0000-00005D000000}"/>
    <hyperlink ref="AA89" r:id="rId95" xr:uid="{00000000-0004-0000-0000-00005E000000}"/>
    <hyperlink ref="AA90" r:id="rId96" xr:uid="{00000000-0004-0000-0000-00005F000000}"/>
    <hyperlink ref="AA91" r:id="rId97" xr:uid="{00000000-0004-0000-0000-000060000000}"/>
    <hyperlink ref="AA92" r:id="rId98" xr:uid="{00000000-0004-0000-0000-000061000000}"/>
    <hyperlink ref="AA93" r:id="rId99" xr:uid="{00000000-0004-0000-0000-000062000000}"/>
    <hyperlink ref="AA94" r:id="rId100" xr:uid="{00000000-0004-0000-0000-000063000000}"/>
    <hyperlink ref="AA95" r:id="rId101" xr:uid="{00000000-0004-0000-0000-000064000000}"/>
    <hyperlink ref="AA96" r:id="rId102" xr:uid="{00000000-0004-0000-0000-000065000000}"/>
    <hyperlink ref="AA97" r:id="rId103" xr:uid="{00000000-0004-0000-0000-000066000000}"/>
    <hyperlink ref="AA98" r:id="rId104" xr:uid="{00000000-0004-0000-0000-000067000000}"/>
    <hyperlink ref="AA99" r:id="rId105" xr:uid="{00000000-0004-0000-0000-000068000000}"/>
    <hyperlink ref="AA100" r:id="rId106" xr:uid="{00000000-0004-0000-0000-000069000000}"/>
    <hyperlink ref="AA101" r:id="rId107" xr:uid="{00000000-0004-0000-0000-00006A000000}"/>
    <hyperlink ref="AA102" r:id="rId108" xr:uid="{00000000-0004-0000-0000-00006B000000}"/>
    <hyperlink ref="AA103" r:id="rId109" xr:uid="{00000000-0004-0000-0000-00006C000000}"/>
    <hyperlink ref="AA104" r:id="rId110" xr:uid="{00000000-0004-0000-0000-00006D000000}"/>
    <hyperlink ref="AA105" r:id="rId111" xr:uid="{00000000-0004-0000-0000-00006E000000}"/>
    <hyperlink ref="AA106" r:id="rId112" xr:uid="{00000000-0004-0000-0000-00006F000000}"/>
    <hyperlink ref="AA107" r:id="rId113" xr:uid="{00000000-0004-0000-0000-000070000000}"/>
    <hyperlink ref="L108" r:id="rId114" xr:uid="{00000000-0004-0000-0000-000071000000}"/>
    <hyperlink ref="AA108" r:id="rId115" xr:uid="{00000000-0004-0000-0000-000072000000}"/>
    <hyperlink ref="L109" r:id="rId116" xr:uid="{00000000-0004-0000-0000-000073000000}"/>
    <hyperlink ref="AA109" r:id="rId117" xr:uid="{00000000-0004-0000-0000-000074000000}"/>
    <hyperlink ref="AA110" r:id="rId118" xr:uid="{00000000-0004-0000-0000-000075000000}"/>
    <hyperlink ref="AA111" r:id="rId119" xr:uid="{00000000-0004-0000-0000-000076000000}"/>
    <hyperlink ref="AA112" r:id="rId120" xr:uid="{00000000-0004-0000-0000-000077000000}"/>
    <hyperlink ref="AA113" r:id="rId121" xr:uid="{00000000-0004-0000-0000-000078000000}"/>
    <hyperlink ref="AA114" r:id="rId122" xr:uid="{00000000-0004-0000-0000-000079000000}"/>
    <hyperlink ref="AA115" r:id="rId123" xr:uid="{00000000-0004-0000-0000-00007A000000}"/>
    <hyperlink ref="AA116" r:id="rId124" xr:uid="{00000000-0004-0000-0000-00007B000000}"/>
    <hyperlink ref="AA117" r:id="rId125" xr:uid="{00000000-0004-0000-0000-00007C000000}"/>
    <hyperlink ref="L118" r:id="rId126" xr:uid="{00000000-0004-0000-0000-00007D000000}"/>
    <hyperlink ref="AA118" r:id="rId127" xr:uid="{00000000-0004-0000-0000-00007E000000}"/>
    <hyperlink ref="AA119" r:id="rId128" xr:uid="{00000000-0004-0000-0000-00007F000000}"/>
    <hyperlink ref="AA120" r:id="rId129" xr:uid="{00000000-0004-0000-0000-000080000000}"/>
    <hyperlink ref="AA121" r:id="rId130" xr:uid="{00000000-0004-0000-0000-000081000000}"/>
    <hyperlink ref="AA122" r:id="rId131" xr:uid="{00000000-0004-0000-0000-000082000000}"/>
    <hyperlink ref="AA123" r:id="rId132" xr:uid="{00000000-0004-0000-0000-000083000000}"/>
    <hyperlink ref="AA124" r:id="rId133" xr:uid="{00000000-0004-0000-0000-000084000000}"/>
    <hyperlink ref="AA125" r:id="rId134" xr:uid="{00000000-0004-0000-0000-000085000000}"/>
    <hyperlink ref="AA126" r:id="rId135" xr:uid="{00000000-0004-0000-0000-000086000000}"/>
    <hyperlink ref="AA127" r:id="rId136" xr:uid="{00000000-0004-0000-0000-000087000000}"/>
    <hyperlink ref="AA128" r:id="rId137" xr:uid="{00000000-0004-0000-0000-000088000000}"/>
    <hyperlink ref="AA129" r:id="rId138" xr:uid="{00000000-0004-0000-0000-000089000000}"/>
    <hyperlink ref="AA130" r:id="rId139" xr:uid="{00000000-0004-0000-0000-00008A000000}"/>
    <hyperlink ref="AA131" r:id="rId140" xr:uid="{00000000-0004-0000-0000-00008B000000}"/>
    <hyperlink ref="AA132" r:id="rId141" xr:uid="{00000000-0004-0000-0000-00008C000000}"/>
    <hyperlink ref="AA133" r:id="rId142" xr:uid="{00000000-0004-0000-0000-00008D000000}"/>
    <hyperlink ref="AA134" r:id="rId143" xr:uid="{00000000-0004-0000-0000-00008E000000}"/>
    <hyperlink ref="AA135" r:id="rId144" xr:uid="{00000000-0004-0000-0000-00008F000000}"/>
    <hyperlink ref="AA136" r:id="rId145" xr:uid="{00000000-0004-0000-0000-000090000000}"/>
    <hyperlink ref="AA137" r:id="rId146" xr:uid="{00000000-0004-0000-0000-000091000000}"/>
    <hyperlink ref="AA138" r:id="rId147" xr:uid="{00000000-0004-0000-0000-000092000000}"/>
    <hyperlink ref="O139" r:id="rId148" xr:uid="{00000000-0004-0000-0000-000093000000}"/>
    <hyperlink ref="AA139" r:id="rId149" xr:uid="{00000000-0004-0000-0000-000094000000}"/>
    <hyperlink ref="AA140" r:id="rId150" xr:uid="{00000000-0004-0000-0000-000095000000}"/>
    <hyperlink ref="AA141" r:id="rId151" xr:uid="{00000000-0004-0000-0000-000096000000}"/>
    <hyperlink ref="AA142" r:id="rId152" xr:uid="{00000000-0004-0000-0000-000097000000}"/>
    <hyperlink ref="AA143" r:id="rId153" xr:uid="{00000000-0004-0000-0000-000098000000}"/>
    <hyperlink ref="L144" r:id="rId154" xr:uid="{00000000-0004-0000-0000-000099000000}"/>
    <hyperlink ref="AA144" r:id="rId155" xr:uid="{00000000-0004-0000-0000-00009A000000}"/>
    <hyperlink ref="AA145" r:id="rId156" xr:uid="{00000000-0004-0000-0000-00009B000000}"/>
    <hyperlink ref="L146" r:id="rId157" xr:uid="{00000000-0004-0000-0000-00009C000000}"/>
    <hyperlink ref="AA146" r:id="rId158" xr:uid="{00000000-0004-0000-0000-00009D000000}"/>
    <hyperlink ref="AA147" r:id="rId159" xr:uid="{00000000-0004-0000-0000-00009E000000}"/>
    <hyperlink ref="AA148" r:id="rId160" xr:uid="{00000000-0004-0000-0000-00009F000000}"/>
    <hyperlink ref="AA149" r:id="rId161" xr:uid="{00000000-0004-0000-0000-0000A0000000}"/>
    <hyperlink ref="AA150" r:id="rId162" xr:uid="{00000000-0004-0000-0000-0000A1000000}"/>
    <hyperlink ref="AA151" r:id="rId163" xr:uid="{00000000-0004-0000-0000-0000A2000000}"/>
    <hyperlink ref="AA152" r:id="rId164" xr:uid="{00000000-0004-0000-0000-0000A3000000}"/>
    <hyperlink ref="AA153" r:id="rId165" xr:uid="{00000000-0004-0000-0000-0000A4000000}"/>
    <hyperlink ref="AA154" r:id="rId166" xr:uid="{00000000-0004-0000-0000-0000A5000000}"/>
    <hyperlink ref="AA155" r:id="rId167" xr:uid="{00000000-0004-0000-0000-0000A6000000}"/>
    <hyperlink ref="AA156" r:id="rId168" xr:uid="{00000000-0004-0000-0000-0000A7000000}"/>
    <hyperlink ref="AA157" r:id="rId169" xr:uid="{00000000-0004-0000-0000-0000A8000000}"/>
    <hyperlink ref="AA158" r:id="rId170" xr:uid="{00000000-0004-0000-0000-0000A9000000}"/>
    <hyperlink ref="AA159" r:id="rId171" xr:uid="{00000000-0004-0000-0000-0000AA000000}"/>
    <hyperlink ref="AA160" r:id="rId172" xr:uid="{00000000-0004-0000-0000-0000AB000000}"/>
    <hyperlink ref="AA161" r:id="rId173" xr:uid="{00000000-0004-0000-0000-0000AC000000}"/>
    <hyperlink ref="AA162" r:id="rId174" xr:uid="{00000000-0004-0000-0000-0000AD000000}"/>
    <hyperlink ref="AA163" r:id="rId175" xr:uid="{00000000-0004-0000-0000-0000AE000000}"/>
    <hyperlink ref="AA164" r:id="rId176" xr:uid="{00000000-0004-0000-0000-0000AF000000}"/>
    <hyperlink ref="AA165" r:id="rId177" xr:uid="{00000000-0004-0000-0000-0000B0000000}"/>
    <hyperlink ref="AA166" r:id="rId178" xr:uid="{00000000-0004-0000-0000-0000B1000000}"/>
    <hyperlink ref="AA167" r:id="rId179" xr:uid="{00000000-0004-0000-0000-0000B2000000}"/>
    <hyperlink ref="AA168" r:id="rId180" xr:uid="{00000000-0004-0000-0000-0000B3000000}"/>
    <hyperlink ref="AA169" r:id="rId181" xr:uid="{00000000-0004-0000-0000-0000B4000000}"/>
    <hyperlink ref="AA170" r:id="rId182" xr:uid="{00000000-0004-0000-0000-0000B5000000}"/>
    <hyperlink ref="AA171" r:id="rId183" xr:uid="{00000000-0004-0000-0000-0000B6000000}"/>
    <hyperlink ref="AA172" r:id="rId184" xr:uid="{00000000-0004-0000-0000-0000B7000000}"/>
    <hyperlink ref="AA173" r:id="rId185" xr:uid="{00000000-0004-0000-0000-0000B8000000}"/>
    <hyperlink ref="AA174" r:id="rId186" xr:uid="{00000000-0004-0000-0000-0000B9000000}"/>
    <hyperlink ref="AA175" r:id="rId187" xr:uid="{00000000-0004-0000-0000-0000BA000000}"/>
    <hyperlink ref="AA176" r:id="rId188" xr:uid="{00000000-0004-0000-0000-0000BB000000}"/>
    <hyperlink ref="AA177" r:id="rId189" xr:uid="{00000000-0004-0000-0000-0000BC000000}"/>
    <hyperlink ref="AA178" r:id="rId190" xr:uid="{00000000-0004-0000-0000-0000BD000000}"/>
    <hyperlink ref="AA179" r:id="rId191" xr:uid="{00000000-0004-0000-0000-0000BE000000}"/>
    <hyperlink ref="AA180" r:id="rId192" xr:uid="{00000000-0004-0000-0000-0000BF000000}"/>
    <hyperlink ref="AA181" r:id="rId193" xr:uid="{00000000-0004-0000-0000-0000C0000000}"/>
    <hyperlink ref="AA182" r:id="rId194" xr:uid="{00000000-0004-0000-0000-0000C1000000}"/>
    <hyperlink ref="AA183" r:id="rId195" xr:uid="{00000000-0004-0000-0000-0000C2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993"/>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4.7109375" customWidth="1"/>
    <col min="2" max="2" width="27.7109375" customWidth="1"/>
    <col min="3" max="24" width="38.85546875" customWidth="1"/>
  </cols>
  <sheetData>
    <row r="1" spans="1:24"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row>
    <row r="2" spans="1:24" ht="102">
      <c r="A2" s="60">
        <v>2016</v>
      </c>
      <c r="B2" s="61" t="s">
        <v>1884</v>
      </c>
      <c r="C2" s="61" t="s">
        <v>90</v>
      </c>
      <c r="D2" s="62">
        <v>42563</v>
      </c>
      <c r="E2" s="62">
        <v>42581</v>
      </c>
      <c r="F2" s="61" t="s">
        <v>87</v>
      </c>
      <c r="G2" s="61" t="s">
        <v>88</v>
      </c>
      <c r="H2" s="61" t="s">
        <v>91</v>
      </c>
      <c r="I2" s="61" t="s">
        <v>92</v>
      </c>
      <c r="J2" s="61" t="s">
        <v>93</v>
      </c>
      <c r="K2" s="61" t="s">
        <v>94</v>
      </c>
      <c r="L2" s="61" t="s">
        <v>95</v>
      </c>
      <c r="M2" s="61" t="s">
        <v>96</v>
      </c>
      <c r="N2" s="61" t="s">
        <v>97</v>
      </c>
      <c r="O2" s="61" t="s">
        <v>98</v>
      </c>
      <c r="P2" s="61" t="s">
        <v>99</v>
      </c>
      <c r="Q2" s="61" t="s">
        <v>100</v>
      </c>
      <c r="R2" s="61" t="s">
        <v>55</v>
      </c>
      <c r="S2" s="61" t="s">
        <v>101</v>
      </c>
      <c r="T2" s="61" t="s">
        <v>102</v>
      </c>
      <c r="U2" s="61" t="s">
        <v>103</v>
      </c>
      <c r="V2" s="61" t="s">
        <v>104</v>
      </c>
      <c r="W2" s="61" t="s">
        <v>105</v>
      </c>
      <c r="X2" s="61"/>
    </row>
    <row r="3" spans="1:24" ht="51">
      <c r="A3" s="60">
        <v>2016</v>
      </c>
      <c r="B3" s="61" t="s">
        <v>1885</v>
      </c>
      <c r="C3" s="61" t="s">
        <v>113</v>
      </c>
      <c r="D3" s="62">
        <v>42556</v>
      </c>
      <c r="E3" s="62">
        <v>42566</v>
      </c>
      <c r="F3" s="61" t="s">
        <v>87</v>
      </c>
      <c r="G3" s="61" t="s">
        <v>111</v>
      </c>
      <c r="H3" s="61" t="s">
        <v>114</v>
      </c>
      <c r="I3" s="61" t="s">
        <v>115</v>
      </c>
      <c r="J3" s="61" t="s">
        <v>116</v>
      </c>
      <c r="K3" s="61" t="s">
        <v>117</v>
      </c>
      <c r="L3" s="61" t="s">
        <v>118</v>
      </c>
      <c r="M3" s="61">
        <v>696288600</v>
      </c>
      <c r="N3" s="61" t="s">
        <v>119</v>
      </c>
      <c r="O3" s="61" t="s">
        <v>120</v>
      </c>
      <c r="P3" s="61" t="s">
        <v>121</v>
      </c>
      <c r="Q3" s="61" t="s">
        <v>100</v>
      </c>
      <c r="R3" s="61" t="s">
        <v>55</v>
      </c>
      <c r="S3" s="61" t="s">
        <v>122</v>
      </c>
      <c r="T3" s="61" t="s">
        <v>123</v>
      </c>
      <c r="U3" s="61" t="s">
        <v>124</v>
      </c>
      <c r="V3" s="61" t="s">
        <v>125</v>
      </c>
      <c r="W3" s="61" t="s">
        <v>126</v>
      </c>
      <c r="X3" s="61"/>
    </row>
    <row r="4" spans="1:24" ht="25.5">
      <c r="A4" s="60">
        <v>2016</v>
      </c>
      <c r="B4" s="61" t="s">
        <v>1886</v>
      </c>
      <c r="C4" s="61" t="s">
        <v>133</v>
      </c>
      <c r="D4" s="62">
        <v>42566</v>
      </c>
      <c r="E4" s="62">
        <v>42577</v>
      </c>
      <c r="F4" s="61" t="s">
        <v>87</v>
      </c>
      <c r="G4" s="61" t="s">
        <v>88</v>
      </c>
      <c r="H4" s="61" t="s">
        <v>134</v>
      </c>
      <c r="I4" s="61" t="s">
        <v>134</v>
      </c>
      <c r="J4" s="63"/>
      <c r="K4" s="63"/>
      <c r="L4" s="61" t="s">
        <v>135</v>
      </c>
      <c r="M4" s="63"/>
      <c r="N4" s="63"/>
      <c r="O4" s="63"/>
      <c r="P4" s="61" t="s">
        <v>136</v>
      </c>
      <c r="Q4" s="61" t="s">
        <v>54</v>
      </c>
      <c r="R4" s="61" t="s">
        <v>55</v>
      </c>
      <c r="S4" s="61" t="s">
        <v>137</v>
      </c>
      <c r="T4" s="61" t="s">
        <v>138</v>
      </c>
      <c r="U4" s="61" t="s">
        <v>139</v>
      </c>
      <c r="V4" s="61" t="s">
        <v>140</v>
      </c>
      <c r="W4" s="61" t="s">
        <v>141</v>
      </c>
      <c r="X4" s="61"/>
    </row>
    <row r="5" spans="1:24" ht="18.75" customHeight="1">
      <c r="A5" s="60">
        <v>2015</v>
      </c>
      <c r="B5" s="64" t="s">
        <v>149</v>
      </c>
      <c r="C5" s="61" t="s">
        <v>150</v>
      </c>
      <c r="D5" s="65">
        <v>42200</v>
      </c>
      <c r="E5" s="65">
        <v>42215</v>
      </c>
      <c r="F5" s="61" t="s">
        <v>1887</v>
      </c>
      <c r="G5" s="64" t="s">
        <v>88</v>
      </c>
      <c r="H5" s="64" t="s">
        <v>151</v>
      </c>
      <c r="I5" s="64" t="s">
        <v>151</v>
      </c>
      <c r="J5" s="63"/>
      <c r="K5" s="63"/>
      <c r="L5" s="64"/>
      <c r="M5" s="63"/>
      <c r="N5" s="63"/>
      <c r="O5" s="63"/>
      <c r="P5" s="63"/>
      <c r="Q5" s="64"/>
      <c r="R5" s="64"/>
      <c r="S5" s="64"/>
      <c r="T5" s="63"/>
      <c r="U5" s="64"/>
      <c r="V5" s="64"/>
      <c r="W5" s="63"/>
      <c r="X5" s="63"/>
    </row>
    <row r="6" spans="1:24" ht="36.75" customHeight="1">
      <c r="A6" s="60">
        <v>2015</v>
      </c>
      <c r="B6" s="63" t="s">
        <v>1888</v>
      </c>
      <c r="C6" s="61" t="s">
        <v>157</v>
      </c>
      <c r="D6" s="65">
        <v>42201</v>
      </c>
      <c r="E6" s="65">
        <v>42216</v>
      </c>
      <c r="F6" s="61" t="s">
        <v>1889</v>
      </c>
      <c r="G6" s="63" t="s">
        <v>88</v>
      </c>
      <c r="H6" s="63" t="s">
        <v>158</v>
      </c>
      <c r="I6" s="63" t="s">
        <v>159</v>
      </c>
      <c r="J6" s="63"/>
      <c r="K6" s="63" t="s">
        <v>161</v>
      </c>
      <c r="L6" s="63"/>
      <c r="M6" s="63"/>
      <c r="N6" s="63"/>
      <c r="O6" s="63"/>
      <c r="P6" s="63"/>
      <c r="Q6" s="63"/>
      <c r="R6" s="63"/>
      <c r="S6" s="63"/>
      <c r="T6" s="63"/>
      <c r="U6" s="63"/>
      <c r="V6" s="63"/>
      <c r="W6" s="63"/>
      <c r="X6" s="63"/>
    </row>
    <row r="7" spans="1:24" ht="25.5">
      <c r="A7" s="60">
        <v>2017</v>
      </c>
      <c r="B7" s="63" t="s">
        <v>1890</v>
      </c>
      <c r="C7" s="61" t="s">
        <v>169</v>
      </c>
      <c r="D7" s="65">
        <v>42915</v>
      </c>
      <c r="E7" s="65">
        <v>42921</v>
      </c>
      <c r="F7" s="63" t="s">
        <v>87</v>
      </c>
      <c r="G7" s="63" t="s">
        <v>88</v>
      </c>
      <c r="H7" s="63" t="s">
        <v>170</v>
      </c>
      <c r="I7" s="63" t="s">
        <v>171</v>
      </c>
      <c r="J7" s="63"/>
      <c r="K7" s="63" t="s">
        <v>172</v>
      </c>
      <c r="L7" s="63" t="s">
        <v>173</v>
      </c>
      <c r="M7" s="63"/>
      <c r="N7" s="63"/>
      <c r="O7" s="63"/>
      <c r="P7" s="63"/>
      <c r="Q7" s="63" t="s">
        <v>100</v>
      </c>
      <c r="R7" s="63" t="s">
        <v>55</v>
      </c>
      <c r="S7" s="63"/>
      <c r="T7" s="63" t="s">
        <v>175</v>
      </c>
      <c r="U7" s="63" t="s">
        <v>176</v>
      </c>
      <c r="V7" s="63" t="s">
        <v>125</v>
      </c>
      <c r="W7" s="63"/>
      <c r="X7" s="63"/>
    </row>
    <row r="8" spans="1:24" ht="76.5">
      <c r="A8" s="60">
        <v>2012</v>
      </c>
      <c r="B8" s="63" t="s">
        <v>186</v>
      </c>
      <c r="C8" s="61" t="s">
        <v>187</v>
      </c>
      <c r="D8" s="65">
        <v>41107</v>
      </c>
      <c r="E8" s="65">
        <v>41121</v>
      </c>
      <c r="F8" s="61" t="s">
        <v>185</v>
      </c>
      <c r="G8" s="63" t="s">
        <v>88</v>
      </c>
      <c r="H8" s="63" t="s">
        <v>188</v>
      </c>
      <c r="I8" s="63" t="s">
        <v>188</v>
      </c>
      <c r="J8" s="63"/>
      <c r="K8" s="66" t="s">
        <v>189</v>
      </c>
      <c r="L8" s="63"/>
      <c r="M8" s="63"/>
      <c r="N8" s="63"/>
      <c r="O8" s="63"/>
      <c r="P8" s="63"/>
      <c r="Q8" s="63"/>
      <c r="R8" s="63"/>
      <c r="S8" s="63"/>
      <c r="T8" s="63"/>
      <c r="U8" s="63"/>
      <c r="V8" s="63"/>
      <c r="W8" s="63"/>
      <c r="X8" s="63"/>
    </row>
    <row r="9" spans="1:24" ht="25.5">
      <c r="A9" s="60">
        <v>2018</v>
      </c>
      <c r="B9" s="63" t="s">
        <v>1891</v>
      </c>
      <c r="C9" s="61" t="s">
        <v>150</v>
      </c>
      <c r="D9" s="65">
        <v>43327</v>
      </c>
      <c r="E9" s="65">
        <v>43281</v>
      </c>
      <c r="F9" s="63" t="s">
        <v>87</v>
      </c>
      <c r="G9" s="63" t="s">
        <v>88</v>
      </c>
      <c r="H9" s="63" t="s">
        <v>1892</v>
      </c>
      <c r="I9" s="63" t="s">
        <v>205</v>
      </c>
      <c r="J9" s="67">
        <v>22390005384</v>
      </c>
      <c r="K9" s="63" t="s">
        <v>206</v>
      </c>
      <c r="L9" s="63" t="s">
        <v>207</v>
      </c>
      <c r="M9" s="67">
        <v>618644650</v>
      </c>
      <c r="N9" s="63" t="s">
        <v>208</v>
      </c>
      <c r="O9" s="63" t="s">
        <v>209</v>
      </c>
      <c r="P9" s="63" t="s">
        <v>210</v>
      </c>
      <c r="Q9" s="63" t="s">
        <v>54</v>
      </c>
      <c r="R9" s="63" t="s">
        <v>55</v>
      </c>
      <c r="S9" s="63" t="s">
        <v>211</v>
      </c>
      <c r="T9" s="63" t="s">
        <v>212</v>
      </c>
      <c r="U9" s="63" t="s">
        <v>213</v>
      </c>
      <c r="V9" s="63" t="s">
        <v>210</v>
      </c>
      <c r="W9" s="63" t="s">
        <v>214</v>
      </c>
      <c r="X9" s="63"/>
    </row>
    <row r="10" spans="1:24" ht="38.25">
      <c r="A10" s="60">
        <v>2018</v>
      </c>
      <c r="B10" s="63" t="s">
        <v>1893</v>
      </c>
      <c r="C10" s="61" t="s">
        <v>219</v>
      </c>
      <c r="D10" s="65">
        <v>43295</v>
      </c>
      <c r="E10" s="65">
        <v>43311</v>
      </c>
      <c r="F10" s="63" t="s">
        <v>87</v>
      </c>
      <c r="G10" s="63" t="s">
        <v>88</v>
      </c>
      <c r="H10" s="63" t="s">
        <v>220</v>
      </c>
      <c r="I10" s="63" t="s">
        <v>221</v>
      </c>
      <c r="J10" s="63" t="s">
        <v>222</v>
      </c>
      <c r="K10" s="63" t="s">
        <v>223</v>
      </c>
      <c r="L10" s="63" t="s">
        <v>224</v>
      </c>
      <c r="M10" s="67">
        <v>699261137</v>
      </c>
      <c r="N10" s="63" t="s">
        <v>225</v>
      </c>
      <c r="O10" s="68">
        <v>150</v>
      </c>
      <c r="P10" s="63" t="s">
        <v>226</v>
      </c>
      <c r="Q10" s="63" t="s">
        <v>54</v>
      </c>
      <c r="R10" s="63" t="s">
        <v>55</v>
      </c>
      <c r="S10" s="63" t="s">
        <v>227</v>
      </c>
      <c r="T10" s="63" t="s">
        <v>228</v>
      </c>
      <c r="U10" s="63" t="s">
        <v>229</v>
      </c>
      <c r="V10" s="63" t="s">
        <v>230</v>
      </c>
      <c r="W10" s="63" t="s">
        <v>231</v>
      </c>
      <c r="X10" s="63"/>
    </row>
    <row r="11" spans="1:24" ht="12.75">
      <c r="A11" s="69"/>
      <c r="B11" s="63"/>
      <c r="C11" s="63"/>
      <c r="D11" s="63"/>
      <c r="E11" s="63"/>
      <c r="F11" s="63"/>
      <c r="G11" s="63"/>
      <c r="H11" s="63"/>
      <c r="I11" s="63"/>
      <c r="J11" s="63"/>
      <c r="K11" s="63"/>
      <c r="L11" s="63"/>
      <c r="M11" s="63"/>
      <c r="N11" s="63"/>
      <c r="O11" s="63"/>
      <c r="P11" s="63"/>
      <c r="Q11" s="63"/>
      <c r="R11" s="63"/>
      <c r="S11" s="63"/>
      <c r="T11" s="63"/>
      <c r="U11" s="63"/>
      <c r="V11" s="63"/>
      <c r="W11" s="63"/>
      <c r="X11" s="63"/>
    </row>
    <row r="12" spans="1:24" ht="12.75">
      <c r="A12" s="69"/>
      <c r="B12" s="63"/>
      <c r="C12" s="63"/>
      <c r="D12" s="63"/>
      <c r="E12" s="63"/>
      <c r="F12" s="63"/>
      <c r="G12" s="63"/>
      <c r="H12" s="63"/>
      <c r="I12" s="63"/>
      <c r="J12" s="63"/>
      <c r="K12" s="63"/>
      <c r="L12" s="63"/>
      <c r="M12" s="63"/>
      <c r="N12" s="63"/>
      <c r="O12" s="63"/>
      <c r="P12" s="63"/>
      <c r="Q12" s="63"/>
      <c r="R12" s="63"/>
      <c r="S12" s="63"/>
      <c r="T12" s="63"/>
      <c r="U12" s="63"/>
      <c r="V12" s="63"/>
      <c r="W12" s="63"/>
      <c r="X12" s="63"/>
    </row>
    <row r="13" spans="1:24" ht="12.75">
      <c r="A13" s="69"/>
      <c r="B13" s="63"/>
      <c r="C13" s="63"/>
      <c r="D13" s="63"/>
      <c r="E13" s="63"/>
      <c r="F13" s="63"/>
      <c r="G13" s="63"/>
      <c r="H13" s="63"/>
      <c r="I13" s="63"/>
      <c r="J13" s="63"/>
      <c r="K13" s="63"/>
      <c r="L13" s="63"/>
      <c r="M13" s="63"/>
      <c r="N13" s="63"/>
      <c r="O13" s="63"/>
      <c r="P13" s="63"/>
      <c r="Q13" s="63"/>
      <c r="R13" s="63"/>
      <c r="S13" s="63"/>
      <c r="T13" s="63"/>
      <c r="U13" s="63"/>
      <c r="V13" s="63"/>
      <c r="W13" s="63"/>
      <c r="X13" s="63"/>
    </row>
    <row r="14" spans="1:24" ht="12.75">
      <c r="A14" s="69"/>
      <c r="B14" s="63"/>
      <c r="C14" s="63"/>
      <c r="D14" s="63"/>
      <c r="E14" s="63"/>
      <c r="F14" s="63"/>
      <c r="G14" s="63"/>
      <c r="H14" s="63"/>
      <c r="I14" s="63"/>
      <c r="J14" s="63"/>
      <c r="K14" s="63"/>
      <c r="L14" s="63"/>
      <c r="M14" s="63"/>
      <c r="N14" s="63"/>
      <c r="O14" s="63"/>
      <c r="P14" s="63"/>
      <c r="Q14" s="63"/>
      <c r="R14" s="63"/>
      <c r="S14" s="63"/>
      <c r="T14" s="63"/>
      <c r="U14" s="63"/>
      <c r="V14" s="63"/>
      <c r="W14" s="63"/>
      <c r="X14" s="63"/>
    </row>
    <row r="15" spans="1:24" ht="12.75">
      <c r="A15" s="69"/>
      <c r="B15" s="63"/>
      <c r="C15" s="63"/>
      <c r="D15" s="63"/>
      <c r="E15" s="63"/>
      <c r="F15" s="63"/>
      <c r="G15" s="63"/>
      <c r="H15" s="63"/>
      <c r="I15" s="63"/>
      <c r="J15" s="63"/>
      <c r="K15" s="63"/>
      <c r="L15" s="63"/>
      <c r="M15" s="63"/>
      <c r="N15" s="63"/>
      <c r="O15" s="63"/>
      <c r="P15" s="63"/>
      <c r="Q15" s="63"/>
      <c r="R15" s="63"/>
      <c r="S15" s="63"/>
      <c r="T15" s="63"/>
      <c r="U15" s="63"/>
      <c r="V15" s="63"/>
      <c r="W15" s="63"/>
      <c r="X15" s="63"/>
    </row>
    <row r="16" spans="1:24" ht="12.75">
      <c r="A16" s="69"/>
      <c r="B16" s="63"/>
      <c r="C16" s="63"/>
      <c r="D16" s="63"/>
      <c r="E16" s="63"/>
      <c r="F16" s="63"/>
      <c r="G16" s="63"/>
      <c r="H16" s="63"/>
      <c r="I16" s="63"/>
      <c r="J16" s="63"/>
      <c r="K16" s="63"/>
      <c r="L16" s="63"/>
      <c r="M16" s="63"/>
      <c r="N16" s="63"/>
      <c r="O16" s="63"/>
      <c r="P16" s="63"/>
      <c r="Q16" s="63"/>
      <c r="R16" s="63"/>
      <c r="S16" s="63"/>
      <c r="T16" s="63"/>
      <c r="U16" s="63"/>
      <c r="V16" s="63"/>
      <c r="W16" s="63"/>
      <c r="X16" s="63"/>
    </row>
    <row r="17" spans="1:24" ht="12.75">
      <c r="A17" s="69"/>
      <c r="B17" s="63"/>
      <c r="C17" s="63"/>
      <c r="D17" s="63"/>
      <c r="E17" s="63"/>
      <c r="F17" s="63"/>
      <c r="G17" s="63"/>
      <c r="H17" s="63"/>
      <c r="I17" s="63"/>
      <c r="J17" s="63"/>
      <c r="K17" s="63"/>
      <c r="L17" s="63"/>
      <c r="M17" s="63"/>
      <c r="N17" s="63"/>
      <c r="O17" s="63"/>
      <c r="P17" s="63"/>
      <c r="Q17" s="63"/>
      <c r="R17" s="63"/>
      <c r="S17" s="63"/>
      <c r="T17" s="63"/>
      <c r="U17" s="63"/>
      <c r="V17" s="63"/>
      <c r="W17" s="63"/>
      <c r="X17" s="63"/>
    </row>
    <row r="18" spans="1:24" ht="12.75">
      <c r="A18" s="69"/>
      <c r="B18" s="63"/>
      <c r="C18" s="63"/>
      <c r="D18" s="63"/>
      <c r="E18" s="63"/>
      <c r="F18" s="63"/>
      <c r="G18" s="63"/>
      <c r="H18" s="63"/>
      <c r="I18" s="63"/>
      <c r="J18" s="63"/>
      <c r="K18" s="63"/>
      <c r="L18" s="63"/>
      <c r="M18" s="63"/>
      <c r="N18" s="63"/>
      <c r="O18" s="63"/>
      <c r="P18" s="63"/>
      <c r="Q18" s="63"/>
      <c r="R18" s="63"/>
      <c r="S18" s="63"/>
      <c r="T18" s="63"/>
      <c r="U18" s="63"/>
      <c r="V18" s="63"/>
      <c r="W18" s="63"/>
      <c r="X18" s="63"/>
    </row>
    <row r="19" spans="1:24" ht="12.75">
      <c r="A19" s="69"/>
      <c r="B19" s="63"/>
      <c r="C19" s="63"/>
      <c r="D19" s="63"/>
      <c r="E19" s="63"/>
      <c r="F19" s="63"/>
      <c r="G19" s="63"/>
      <c r="H19" s="63"/>
      <c r="I19" s="63"/>
      <c r="J19" s="63"/>
      <c r="K19" s="63"/>
      <c r="L19" s="63"/>
      <c r="M19" s="63"/>
      <c r="N19" s="63"/>
      <c r="O19" s="63"/>
      <c r="P19" s="63"/>
      <c r="Q19" s="63"/>
      <c r="R19" s="63"/>
      <c r="S19" s="63"/>
      <c r="T19" s="63"/>
      <c r="U19" s="63"/>
      <c r="V19" s="63"/>
      <c r="W19" s="63"/>
      <c r="X19" s="63"/>
    </row>
    <row r="20" spans="1:24" ht="12.75">
      <c r="A20" s="69"/>
      <c r="B20" s="63"/>
      <c r="C20" s="63"/>
      <c r="D20" s="63"/>
      <c r="E20" s="63"/>
      <c r="F20" s="63"/>
      <c r="G20" s="63"/>
      <c r="H20" s="63"/>
      <c r="I20" s="63"/>
      <c r="J20" s="63"/>
      <c r="K20" s="63"/>
      <c r="L20" s="63"/>
      <c r="M20" s="63"/>
      <c r="N20" s="63"/>
      <c r="O20" s="63"/>
      <c r="P20" s="63"/>
      <c r="Q20" s="63"/>
      <c r="R20" s="63"/>
      <c r="S20" s="63"/>
      <c r="T20" s="63"/>
      <c r="U20" s="63"/>
      <c r="V20" s="63"/>
      <c r="W20" s="63"/>
      <c r="X20" s="63"/>
    </row>
    <row r="21" spans="1:24" ht="12.75">
      <c r="A21" s="69"/>
      <c r="B21" s="63"/>
      <c r="C21" s="63"/>
      <c r="D21" s="63"/>
      <c r="E21" s="63"/>
      <c r="F21" s="63"/>
      <c r="G21" s="63"/>
      <c r="H21" s="63"/>
      <c r="I21" s="63"/>
      <c r="J21" s="63"/>
      <c r="K21" s="63"/>
      <c r="L21" s="63"/>
      <c r="M21" s="63"/>
      <c r="N21" s="63"/>
      <c r="O21" s="63"/>
      <c r="P21" s="63"/>
      <c r="Q21" s="63"/>
      <c r="R21" s="63"/>
      <c r="S21" s="63"/>
      <c r="T21" s="63"/>
      <c r="U21" s="63"/>
      <c r="V21" s="63"/>
      <c r="W21" s="63"/>
      <c r="X21" s="63"/>
    </row>
    <row r="22" spans="1:24" ht="12.75">
      <c r="A22" s="69"/>
      <c r="B22" s="63"/>
      <c r="C22" s="63"/>
      <c r="D22" s="63"/>
      <c r="E22" s="63"/>
      <c r="F22" s="63"/>
      <c r="G22" s="63"/>
      <c r="H22" s="63"/>
      <c r="I22" s="63"/>
      <c r="J22" s="63"/>
      <c r="K22" s="63"/>
      <c r="L22" s="63"/>
      <c r="M22" s="63"/>
      <c r="N22" s="63"/>
      <c r="O22" s="63"/>
      <c r="P22" s="63"/>
      <c r="Q22" s="63"/>
      <c r="R22" s="63"/>
      <c r="S22" s="63"/>
      <c r="T22" s="63"/>
      <c r="U22" s="63"/>
      <c r="V22" s="63"/>
      <c r="W22" s="63"/>
      <c r="X22" s="63"/>
    </row>
    <row r="23" spans="1:24" ht="12.75">
      <c r="A23" s="69"/>
      <c r="B23" s="63"/>
      <c r="C23" s="63"/>
      <c r="D23" s="63"/>
      <c r="E23" s="63"/>
      <c r="F23" s="63"/>
      <c r="G23" s="63"/>
      <c r="H23" s="63"/>
      <c r="I23" s="63"/>
      <c r="J23" s="63"/>
      <c r="K23" s="63"/>
      <c r="L23" s="63"/>
      <c r="M23" s="63"/>
      <c r="N23" s="63"/>
      <c r="O23" s="63"/>
      <c r="P23" s="63"/>
      <c r="Q23" s="63"/>
      <c r="R23" s="63"/>
      <c r="S23" s="63"/>
      <c r="T23" s="63"/>
      <c r="U23" s="63"/>
      <c r="V23" s="63"/>
      <c r="W23" s="63"/>
      <c r="X23" s="63"/>
    </row>
    <row r="24" spans="1:24" ht="12.75">
      <c r="A24" s="69"/>
      <c r="B24" s="63"/>
      <c r="C24" s="63"/>
      <c r="D24" s="63"/>
      <c r="E24" s="63"/>
      <c r="F24" s="63"/>
      <c r="G24" s="63"/>
      <c r="H24" s="63"/>
      <c r="I24" s="63"/>
      <c r="J24" s="63"/>
      <c r="K24" s="63"/>
      <c r="L24" s="63"/>
      <c r="M24" s="63"/>
      <c r="N24" s="63"/>
      <c r="O24" s="63"/>
      <c r="P24" s="63"/>
      <c r="Q24" s="63"/>
      <c r="R24" s="63"/>
      <c r="S24" s="63"/>
      <c r="T24" s="63"/>
      <c r="U24" s="63"/>
      <c r="V24" s="63"/>
      <c r="W24" s="63"/>
      <c r="X24" s="63"/>
    </row>
    <row r="25" spans="1:24" ht="12.75">
      <c r="A25" s="69"/>
      <c r="B25" s="63"/>
      <c r="C25" s="63"/>
      <c r="D25" s="63"/>
      <c r="E25" s="63"/>
      <c r="F25" s="63"/>
      <c r="G25" s="63"/>
      <c r="H25" s="63"/>
      <c r="I25" s="63"/>
      <c r="J25" s="63"/>
      <c r="K25" s="63"/>
      <c r="L25" s="63"/>
      <c r="M25" s="63"/>
      <c r="N25" s="63"/>
      <c r="O25" s="63"/>
      <c r="P25" s="63"/>
      <c r="Q25" s="63"/>
      <c r="R25" s="63"/>
      <c r="S25" s="63"/>
      <c r="T25" s="63"/>
      <c r="U25" s="63"/>
      <c r="V25" s="63"/>
      <c r="W25" s="63"/>
      <c r="X25" s="63"/>
    </row>
    <row r="26" spans="1:24" ht="12.75">
      <c r="A26" s="69"/>
      <c r="B26" s="63"/>
      <c r="C26" s="63"/>
      <c r="D26" s="63"/>
      <c r="E26" s="63"/>
      <c r="F26" s="63"/>
      <c r="G26" s="63"/>
      <c r="H26" s="63"/>
      <c r="I26" s="63"/>
      <c r="J26" s="63"/>
      <c r="K26" s="63"/>
      <c r="L26" s="63"/>
      <c r="M26" s="63"/>
      <c r="N26" s="63"/>
      <c r="O26" s="63"/>
      <c r="P26" s="63"/>
      <c r="Q26" s="63"/>
      <c r="R26" s="63"/>
      <c r="S26" s="63"/>
      <c r="T26" s="63"/>
      <c r="U26" s="63"/>
      <c r="V26" s="63"/>
      <c r="W26" s="63"/>
      <c r="X26" s="63"/>
    </row>
    <row r="27" spans="1:24" ht="12.75">
      <c r="A27" s="69"/>
      <c r="B27" s="63"/>
      <c r="C27" s="63"/>
      <c r="D27" s="63"/>
      <c r="E27" s="63"/>
      <c r="F27" s="63"/>
      <c r="G27" s="63"/>
      <c r="H27" s="63"/>
      <c r="I27" s="63"/>
      <c r="J27" s="63"/>
      <c r="K27" s="63"/>
      <c r="L27" s="63"/>
      <c r="M27" s="63"/>
      <c r="N27" s="63"/>
      <c r="O27" s="63"/>
      <c r="P27" s="63"/>
      <c r="Q27" s="63"/>
      <c r="R27" s="63"/>
      <c r="S27" s="63"/>
      <c r="T27" s="63"/>
      <c r="U27" s="63"/>
      <c r="V27" s="63"/>
      <c r="W27" s="63"/>
      <c r="X27" s="63"/>
    </row>
    <row r="28" spans="1:24" ht="12.75">
      <c r="A28" s="69"/>
      <c r="B28" s="63"/>
      <c r="C28" s="63"/>
      <c r="D28" s="63"/>
      <c r="E28" s="63"/>
      <c r="F28" s="63"/>
      <c r="G28" s="63"/>
      <c r="H28" s="63"/>
      <c r="I28" s="63"/>
      <c r="J28" s="63"/>
      <c r="K28" s="63"/>
      <c r="L28" s="63"/>
      <c r="M28" s="63"/>
      <c r="N28" s="63"/>
      <c r="O28" s="63"/>
      <c r="P28" s="63"/>
      <c r="Q28" s="63"/>
      <c r="R28" s="63"/>
      <c r="S28" s="63"/>
      <c r="T28" s="63"/>
      <c r="U28" s="63"/>
      <c r="V28" s="63"/>
      <c r="W28" s="63"/>
      <c r="X28" s="63"/>
    </row>
    <row r="29" spans="1:24" ht="12.75">
      <c r="A29" s="69"/>
      <c r="B29" s="63"/>
      <c r="C29" s="63"/>
      <c r="D29" s="63"/>
      <c r="E29" s="63"/>
      <c r="F29" s="63"/>
      <c r="G29" s="63"/>
      <c r="H29" s="63"/>
      <c r="I29" s="63"/>
      <c r="J29" s="63"/>
      <c r="K29" s="63"/>
      <c r="L29" s="63"/>
      <c r="M29" s="63"/>
      <c r="N29" s="63"/>
      <c r="O29" s="63"/>
      <c r="P29" s="63"/>
      <c r="Q29" s="63"/>
      <c r="R29" s="63"/>
      <c r="S29" s="63"/>
      <c r="T29" s="63"/>
      <c r="U29" s="63"/>
      <c r="V29" s="63"/>
      <c r="W29" s="63"/>
      <c r="X29" s="63"/>
    </row>
    <row r="30" spans="1:24" ht="12.75">
      <c r="A30" s="69"/>
      <c r="B30" s="63"/>
      <c r="C30" s="63"/>
      <c r="D30" s="63"/>
      <c r="E30" s="63"/>
      <c r="F30" s="63"/>
      <c r="G30" s="63"/>
      <c r="H30" s="63"/>
      <c r="I30" s="63"/>
      <c r="J30" s="63"/>
      <c r="K30" s="63"/>
      <c r="L30" s="63"/>
      <c r="M30" s="63"/>
      <c r="N30" s="63"/>
      <c r="O30" s="63"/>
      <c r="P30" s="63"/>
      <c r="Q30" s="63"/>
      <c r="R30" s="63"/>
      <c r="S30" s="63"/>
      <c r="T30" s="63"/>
      <c r="U30" s="63"/>
      <c r="V30" s="63"/>
      <c r="W30" s="63"/>
      <c r="X30" s="63"/>
    </row>
    <row r="31" spans="1:24" ht="12.75">
      <c r="A31" s="69"/>
      <c r="B31" s="63"/>
      <c r="C31" s="63"/>
      <c r="D31" s="63"/>
      <c r="E31" s="63"/>
      <c r="F31" s="63"/>
      <c r="G31" s="63"/>
      <c r="H31" s="63"/>
      <c r="I31" s="63"/>
      <c r="J31" s="63"/>
      <c r="K31" s="63"/>
      <c r="L31" s="63"/>
      <c r="M31" s="63"/>
      <c r="N31" s="63"/>
      <c r="O31" s="63"/>
      <c r="P31" s="63"/>
      <c r="Q31" s="63"/>
      <c r="R31" s="63"/>
      <c r="S31" s="63"/>
      <c r="T31" s="63"/>
      <c r="U31" s="63"/>
      <c r="V31" s="63"/>
      <c r="W31" s="63"/>
      <c r="X31" s="63"/>
    </row>
    <row r="32" spans="1:24" ht="12.75">
      <c r="A32" s="69"/>
      <c r="B32" s="63"/>
      <c r="C32" s="63"/>
      <c r="D32" s="63"/>
      <c r="E32" s="63"/>
      <c r="F32" s="63"/>
      <c r="G32" s="63"/>
      <c r="H32" s="63"/>
      <c r="I32" s="63"/>
      <c r="J32" s="63"/>
      <c r="K32" s="63"/>
      <c r="L32" s="63"/>
      <c r="M32" s="63"/>
      <c r="N32" s="63"/>
      <c r="O32" s="63"/>
      <c r="P32" s="63"/>
      <c r="Q32" s="63"/>
      <c r="R32" s="63"/>
      <c r="S32" s="63"/>
      <c r="T32" s="63"/>
      <c r="U32" s="63"/>
      <c r="V32" s="63"/>
      <c r="W32" s="63"/>
      <c r="X32" s="63"/>
    </row>
    <row r="33" spans="1:24" ht="12.75">
      <c r="A33" s="69"/>
      <c r="B33" s="63"/>
      <c r="C33" s="63"/>
      <c r="D33" s="63"/>
      <c r="E33" s="63"/>
      <c r="F33" s="63"/>
      <c r="G33" s="63"/>
      <c r="H33" s="63"/>
      <c r="I33" s="63"/>
      <c r="J33" s="63"/>
      <c r="K33" s="63"/>
      <c r="L33" s="63"/>
      <c r="M33" s="63"/>
      <c r="N33" s="63"/>
      <c r="O33" s="63"/>
      <c r="P33" s="63"/>
      <c r="Q33" s="63"/>
      <c r="R33" s="63"/>
      <c r="S33" s="63"/>
      <c r="T33" s="63"/>
      <c r="U33" s="63"/>
      <c r="V33" s="63"/>
      <c r="W33" s="63"/>
      <c r="X33" s="63"/>
    </row>
    <row r="34" spans="1:24" ht="12.75">
      <c r="A34" s="69"/>
      <c r="B34" s="63"/>
      <c r="C34" s="63"/>
      <c r="D34" s="63"/>
      <c r="E34" s="63"/>
      <c r="F34" s="63"/>
      <c r="G34" s="63"/>
      <c r="H34" s="63"/>
      <c r="I34" s="63"/>
      <c r="J34" s="63"/>
      <c r="K34" s="63"/>
      <c r="L34" s="63"/>
      <c r="M34" s="63"/>
      <c r="N34" s="63"/>
      <c r="O34" s="63"/>
      <c r="P34" s="63"/>
      <c r="Q34" s="63"/>
      <c r="R34" s="63"/>
      <c r="S34" s="63"/>
      <c r="T34" s="63"/>
      <c r="U34" s="63"/>
      <c r="V34" s="63"/>
      <c r="W34" s="63"/>
      <c r="X34" s="63"/>
    </row>
    <row r="35" spans="1:24" ht="12.75">
      <c r="A35" s="69"/>
      <c r="B35" s="63"/>
      <c r="C35" s="63"/>
      <c r="D35" s="63"/>
      <c r="E35" s="63"/>
      <c r="F35" s="63"/>
      <c r="G35" s="63"/>
      <c r="H35" s="63"/>
      <c r="I35" s="63"/>
      <c r="J35" s="63"/>
      <c r="K35" s="63"/>
      <c r="L35" s="63"/>
      <c r="M35" s="63"/>
      <c r="N35" s="63"/>
      <c r="O35" s="63"/>
      <c r="P35" s="63"/>
      <c r="Q35" s="63"/>
      <c r="R35" s="63"/>
      <c r="S35" s="63"/>
      <c r="T35" s="63"/>
      <c r="U35" s="63"/>
      <c r="V35" s="63"/>
      <c r="W35" s="63"/>
      <c r="X35" s="63"/>
    </row>
    <row r="36" spans="1:24" ht="12.75">
      <c r="A36" s="69"/>
      <c r="B36" s="63"/>
      <c r="C36" s="63"/>
      <c r="D36" s="63"/>
      <c r="E36" s="63"/>
      <c r="F36" s="63"/>
      <c r="G36" s="63"/>
      <c r="H36" s="63"/>
      <c r="I36" s="63"/>
      <c r="J36" s="63"/>
      <c r="K36" s="63"/>
      <c r="L36" s="63"/>
      <c r="M36" s="63"/>
      <c r="N36" s="63"/>
      <c r="O36" s="63"/>
      <c r="P36" s="63"/>
      <c r="Q36" s="63"/>
      <c r="R36" s="63"/>
      <c r="S36" s="63"/>
      <c r="T36" s="63"/>
      <c r="U36" s="63"/>
      <c r="V36" s="63"/>
      <c r="W36" s="63"/>
      <c r="X36" s="63"/>
    </row>
    <row r="37" spans="1:24" ht="12.75">
      <c r="A37" s="69"/>
      <c r="B37" s="63"/>
      <c r="C37" s="63"/>
      <c r="D37" s="63"/>
      <c r="E37" s="63"/>
      <c r="F37" s="63"/>
      <c r="G37" s="63"/>
      <c r="H37" s="63"/>
      <c r="I37" s="63"/>
      <c r="J37" s="63"/>
      <c r="K37" s="63"/>
      <c r="L37" s="63"/>
      <c r="M37" s="63"/>
      <c r="N37" s="63"/>
      <c r="O37" s="63"/>
      <c r="P37" s="63"/>
      <c r="Q37" s="63"/>
      <c r="R37" s="63"/>
      <c r="S37" s="63"/>
      <c r="T37" s="63"/>
      <c r="U37" s="63"/>
      <c r="V37" s="63"/>
      <c r="W37" s="63"/>
      <c r="X37" s="63"/>
    </row>
    <row r="38" spans="1:24" ht="12.75">
      <c r="A38" s="69"/>
      <c r="B38" s="63"/>
      <c r="C38" s="63"/>
      <c r="D38" s="63"/>
      <c r="E38" s="63"/>
      <c r="F38" s="63"/>
      <c r="G38" s="63"/>
      <c r="H38" s="63"/>
      <c r="I38" s="63"/>
      <c r="J38" s="63"/>
      <c r="K38" s="63"/>
      <c r="L38" s="63"/>
      <c r="M38" s="63"/>
      <c r="N38" s="63"/>
      <c r="O38" s="63"/>
      <c r="P38" s="63"/>
      <c r="Q38" s="63"/>
      <c r="R38" s="63"/>
      <c r="S38" s="63"/>
      <c r="T38" s="63"/>
      <c r="U38" s="63"/>
      <c r="V38" s="63"/>
      <c r="W38" s="63"/>
      <c r="X38" s="63"/>
    </row>
    <row r="39" spans="1:24" ht="12.75">
      <c r="A39" s="69"/>
      <c r="B39" s="63"/>
      <c r="C39" s="63"/>
      <c r="D39" s="63"/>
      <c r="E39" s="63"/>
      <c r="F39" s="63"/>
      <c r="G39" s="63"/>
      <c r="H39" s="63"/>
      <c r="I39" s="63"/>
      <c r="J39" s="63"/>
      <c r="K39" s="63"/>
      <c r="L39" s="63"/>
      <c r="M39" s="63"/>
      <c r="N39" s="63"/>
      <c r="O39" s="63"/>
      <c r="P39" s="63"/>
      <c r="Q39" s="63"/>
      <c r="R39" s="63"/>
      <c r="S39" s="63"/>
      <c r="T39" s="63"/>
      <c r="U39" s="63"/>
      <c r="V39" s="63"/>
      <c r="W39" s="63"/>
      <c r="X39" s="63"/>
    </row>
    <row r="40" spans="1:24" ht="12.75">
      <c r="A40" s="69"/>
      <c r="B40" s="63"/>
      <c r="C40" s="63"/>
      <c r="D40" s="63"/>
      <c r="E40" s="63"/>
      <c r="F40" s="63"/>
      <c r="G40" s="63"/>
      <c r="H40" s="63"/>
      <c r="I40" s="63"/>
      <c r="J40" s="63"/>
      <c r="K40" s="63"/>
      <c r="L40" s="63"/>
      <c r="M40" s="63"/>
      <c r="N40" s="63"/>
      <c r="O40" s="63"/>
      <c r="P40" s="63"/>
      <c r="Q40" s="63"/>
      <c r="R40" s="63"/>
      <c r="S40" s="63"/>
      <c r="T40" s="63"/>
      <c r="U40" s="63"/>
      <c r="V40" s="63"/>
      <c r="W40" s="63"/>
      <c r="X40" s="63"/>
    </row>
    <row r="41" spans="1:24" ht="12.75">
      <c r="A41" s="69"/>
      <c r="B41" s="63"/>
      <c r="C41" s="63"/>
      <c r="D41" s="63"/>
      <c r="E41" s="63"/>
      <c r="F41" s="63"/>
      <c r="G41" s="63"/>
      <c r="H41" s="63"/>
      <c r="I41" s="63"/>
      <c r="J41" s="63"/>
      <c r="K41" s="63"/>
      <c r="L41" s="63"/>
      <c r="M41" s="63"/>
      <c r="N41" s="63"/>
      <c r="O41" s="63"/>
      <c r="P41" s="63"/>
      <c r="Q41" s="63"/>
      <c r="R41" s="63"/>
      <c r="S41" s="63"/>
      <c r="T41" s="63"/>
      <c r="U41" s="63"/>
      <c r="V41" s="63"/>
      <c r="W41" s="63"/>
      <c r="X41" s="63"/>
    </row>
    <row r="42" spans="1:24" ht="12.75">
      <c r="A42" s="69"/>
      <c r="B42" s="63"/>
      <c r="C42" s="63"/>
      <c r="D42" s="63"/>
      <c r="E42" s="63"/>
      <c r="F42" s="63"/>
      <c r="G42" s="63"/>
      <c r="H42" s="63"/>
      <c r="I42" s="63"/>
      <c r="J42" s="63"/>
      <c r="K42" s="63"/>
      <c r="L42" s="63"/>
      <c r="M42" s="63"/>
      <c r="N42" s="63"/>
      <c r="O42" s="63"/>
      <c r="P42" s="63"/>
      <c r="Q42" s="63"/>
      <c r="R42" s="63"/>
      <c r="S42" s="63"/>
      <c r="T42" s="63"/>
      <c r="U42" s="63"/>
      <c r="V42" s="63"/>
      <c r="W42" s="63"/>
      <c r="X42" s="63"/>
    </row>
    <row r="43" spans="1:24" ht="12.75">
      <c r="A43" s="69"/>
      <c r="B43" s="63"/>
      <c r="C43" s="63"/>
      <c r="D43" s="63"/>
      <c r="E43" s="63"/>
      <c r="F43" s="63"/>
      <c r="G43" s="63"/>
      <c r="H43" s="63"/>
      <c r="I43" s="63"/>
      <c r="J43" s="63"/>
      <c r="K43" s="63"/>
      <c r="L43" s="63"/>
      <c r="M43" s="63"/>
      <c r="N43" s="63"/>
      <c r="O43" s="63"/>
      <c r="P43" s="63"/>
      <c r="Q43" s="63"/>
      <c r="R43" s="63"/>
      <c r="S43" s="63"/>
      <c r="T43" s="63"/>
      <c r="U43" s="63"/>
      <c r="V43" s="63"/>
      <c r="W43" s="63"/>
      <c r="X43" s="63"/>
    </row>
    <row r="44" spans="1:24" ht="12.75">
      <c r="A44" s="69"/>
      <c r="B44" s="63"/>
      <c r="C44" s="63"/>
      <c r="D44" s="63"/>
      <c r="E44" s="63"/>
      <c r="F44" s="63"/>
      <c r="G44" s="63"/>
      <c r="H44" s="63"/>
      <c r="I44" s="63"/>
      <c r="J44" s="63"/>
      <c r="K44" s="63"/>
      <c r="L44" s="63"/>
      <c r="M44" s="63"/>
      <c r="N44" s="63"/>
      <c r="O44" s="63"/>
      <c r="P44" s="63"/>
      <c r="Q44" s="63"/>
      <c r="R44" s="63"/>
      <c r="S44" s="63"/>
      <c r="T44" s="63"/>
      <c r="U44" s="63"/>
      <c r="V44" s="63"/>
      <c r="W44" s="63"/>
      <c r="X44" s="63"/>
    </row>
    <row r="45" spans="1:24" ht="12.75">
      <c r="A45" s="69"/>
      <c r="B45" s="63"/>
      <c r="C45" s="63"/>
      <c r="D45" s="63"/>
      <c r="E45" s="63"/>
      <c r="F45" s="63"/>
      <c r="G45" s="63"/>
      <c r="H45" s="63"/>
      <c r="I45" s="63"/>
      <c r="J45" s="63"/>
      <c r="K45" s="63"/>
      <c r="L45" s="63"/>
      <c r="M45" s="63"/>
      <c r="N45" s="63"/>
      <c r="O45" s="63"/>
      <c r="P45" s="63"/>
      <c r="Q45" s="63"/>
      <c r="R45" s="63"/>
      <c r="S45" s="63"/>
      <c r="T45" s="63"/>
      <c r="U45" s="63"/>
      <c r="V45" s="63"/>
      <c r="W45" s="63"/>
      <c r="X45" s="63"/>
    </row>
    <row r="46" spans="1:24" ht="12.75">
      <c r="A46" s="69"/>
      <c r="B46" s="63"/>
      <c r="C46" s="63"/>
      <c r="D46" s="63"/>
      <c r="E46" s="63"/>
      <c r="F46" s="63"/>
      <c r="G46" s="63"/>
      <c r="H46" s="63"/>
      <c r="I46" s="63"/>
      <c r="J46" s="63"/>
      <c r="K46" s="63"/>
      <c r="L46" s="63"/>
      <c r="M46" s="63"/>
      <c r="N46" s="63"/>
      <c r="O46" s="63"/>
      <c r="P46" s="63"/>
      <c r="Q46" s="63"/>
      <c r="R46" s="63"/>
      <c r="S46" s="63"/>
      <c r="T46" s="63"/>
      <c r="U46" s="63"/>
      <c r="V46" s="63"/>
      <c r="W46" s="63"/>
      <c r="X46" s="63"/>
    </row>
    <row r="47" spans="1:24" ht="12.75">
      <c r="A47" s="69"/>
      <c r="B47" s="63"/>
      <c r="C47" s="63"/>
      <c r="D47" s="63"/>
      <c r="E47" s="63"/>
      <c r="F47" s="63"/>
      <c r="G47" s="63"/>
      <c r="H47" s="63"/>
      <c r="I47" s="63"/>
      <c r="J47" s="63"/>
      <c r="K47" s="63"/>
      <c r="L47" s="63"/>
      <c r="M47" s="63"/>
      <c r="N47" s="63"/>
      <c r="O47" s="63"/>
      <c r="P47" s="63"/>
      <c r="Q47" s="63"/>
      <c r="R47" s="63"/>
      <c r="S47" s="63"/>
      <c r="T47" s="63"/>
      <c r="U47" s="63"/>
      <c r="V47" s="63"/>
      <c r="W47" s="63"/>
      <c r="X47" s="63"/>
    </row>
    <row r="48" spans="1:24" ht="12.75">
      <c r="A48" s="69"/>
      <c r="B48" s="63"/>
      <c r="C48" s="63"/>
      <c r="D48" s="63"/>
      <c r="E48" s="63"/>
      <c r="F48" s="63"/>
      <c r="G48" s="63"/>
      <c r="H48" s="63"/>
      <c r="I48" s="63"/>
      <c r="J48" s="63"/>
      <c r="K48" s="63"/>
      <c r="L48" s="63"/>
      <c r="M48" s="63"/>
      <c r="N48" s="63"/>
      <c r="O48" s="63"/>
      <c r="P48" s="63"/>
      <c r="Q48" s="63"/>
      <c r="R48" s="63"/>
      <c r="S48" s="63"/>
      <c r="T48" s="63"/>
      <c r="U48" s="63"/>
      <c r="V48" s="63"/>
      <c r="W48" s="63"/>
      <c r="X48" s="63"/>
    </row>
    <row r="49" spans="1:24" ht="12.75">
      <c r="A49" s="69"/>
      <c r="B49" s="63"/>
      <c r="C49" s="63"/>
      <c r="D49" s="63"/>
      <c r="E49" s="63"/>
      <c r="F49" s="63"/>
      <c r="G49" s="63"/>
      <c r="H49" s="63"/>
      <c r="I49" s="63"/>
      <c r="J49" s="63"/>
      <c r="K49" s="63"/>
      <c r="L49" s="63"/>
      <c r="M49" s="63"/>
      <c r="N49" s="63"/>
      <c r="O49" s="63"/>
      <c r="P49" s="63"/>
      <c r="Q49" s="63"/>
      <c r="R49" s="63"/>
      <c r="S49" s="63"/>
      <c r="T49" s="63"/>
      <c r="U49" s="63"/>
      <c r="V49" s="63"/>
      <c r="W49" s="63"/>
      <c r="X49" s="63"/>
    </row>
    <row r="50" spans="1:24" ht="12.75">
      <c r="A50" s="69"/>
      <c r="B50" s="63"/>
      <c r="C50" s="63"/>
      <c r="D50" s="63"/>
      <c r="E50" s="63"/>
      <c r="F50" s="63"/>
      <c r="G50" s="63"/>
      <c r="H50" s="63"/>
      <c r="I50" s="63"/>
      <c r="J50" s="63"/>
      <c r="K50" s="63"/>
      <c r="L50" s="63"/>
      <c r="M50" s="63"/>
      <c r="N50" s="63"/>
      <c r="O50" s="63"/>
      <c r="P50" s="63"/>
      <c r="Q50" s="63"/>
      <c r="R50" s="63"/>
      <c r="S50" s="63"/>
      <c r="T50" s="63"/>
      <c r="U50" s="63"/>
      <c r="V50" s="63"/>
      <c r="W50" s="63"/>
      <c r="X50" s="63"/>
    </row>
    <row r="51" spans="1:24" ht="12.75">
      <c r="A51" s="69"/>
      <c r="B51" s="63"/>
      <c r="C51" s="63"/>
      <c r="D51" s="63"/>
      <c r="E51" s="63"/>
      <c r="F51" s="63"/>
      <c r="G51" s="63"/>
      <c r="H51" s="63"/>
      <c r="I51" s="63"/>
      <c r="J51" s="63"/>
      <c r="K51" s="63"/>
      <c r="L51" s="63"/>
      <c r="M51" s="63"/>
      <c r="N51" s="63"/>
      <c r="O51" s="63"/>
      <c r="P51" s="63"/>
      <c r="Q51" s="63"/>
      <c r="R51" s="63"/>
      <c r="S51" s="63"/>
      <c r="T51" s="63"/>
      <c r="U51" s="63"/>
      <c r="V51" s="63"/>
      <c r="W51" s="63"/>
      <c r="X51" s="63"/>
    </row>
    <row r="52" spans="1:24" ht="12.75">
      <c r="A52" s="69"/>
      <c r="B52" s="63"/>
      <c r="C52" s="63"/>
      <c r="D52" s="63"/>
      <c r="E52" s="63"/>
      <c r="F52" s="63"/>
      <c r="G52" s="63"/>
      <c r="H52" s="63"/>
      <c r="I52" s="63"/>
      <c r="J52" s="63"/>
      <c r="K52" s="63"/>
      <c r="L52" s="63"/>
      <c r="M52" s="63"/>
      <c r="N52" s="63"/>
      <c r="O52" s="63"/>
      <c r="P52" s="63"/>
      <c r="Q52" s="63"/>
      <c r="R52" s="63"/>
      <c r="S52" s="63"/>
      <c r="T52" s="63"/>
      <c r="U52" s="63"/>
      <c r="V52" s="63"/>
      <c r="W52" s="63"/>
      <c r="X52" s="63"/>
    </row>
    <row r="53" spans="1:24" ht="12.75">
      <c r="A53" s="69"/>
      <c r="B53" s="63"/>
      <c r="C53" s="63"/>
      <c r="D53" s="63"/>
      <c r="E53" s="63"/>
      <c r="F53" s="63"/>
      <c r="G53" s="63"/>
      <c r="H53" s="63"/>
      <c r="I53" s="63"/>
      <c r="J53" s="63"/>
      <c r="K53" s="63"/>
      <c r="L53" s="63"/>
      <c r="M53" s="63"/>
      <c r="N53" s="63"/>
      <c r="O53" s="63"/>
      <c r="P53" s="63"/>
      <c r="Q53" s="63"/>
      <c r="R53" s="63"/>
      <c r="S53" s="63"/>
      <c r="T53" s="63"/>
      <c r="U53" s="63"/>
      <c r="V53" s="63"/>
      <c r="W53" s="63"/>
      <c r="X53" s="63"/>
    </row>
    <row r="54" spans="1:24" ht="12.75">
      <c r="A54" s="69"/>
      <c r="B54" s="63"/>
      <c r="C54" s="63"/>
      <c r="D54" s="63"/>
      <c r="E54" s="63"/>
      <c r="F54" s="63"/>
      <c r="G54" s="63"/>
      <c r="H54" s="63"/>
      <c r="I54" s="63"/>
      <c r="J54" s="63"/>
      <c r="K54" s="63"/>
      <c r="L54" s="63"/>
      <c r="M54" s="63"/>
      <c r="N54" s="63"/>
      <c r="O54" s="63"/>
      <c r="P54" s="63"/>
      <c r="Q54" s="63"/>
      <c r="R54" s="63"/>
      <c r="S54" s="63"/>
      <c r="T54" s="63"/>
      <c r="U54" s="63"/>
      <c r="V54" s="63"/>
      <c r="W54" s="63"/>
      <c r="X54" s="63"/>
    </row>
    <row r="55" spans="1:24" ht="12.75">
      <c r="A55" s="69"/>
      <c r="B55" s="63"/>
      <c r="C55" s="63"/>
      <c r="D55" s="63"/>
      <c r="E55" s="63"/>
      <c r="F55" s="63"/>
      <c r="G55" s="63"/>
      <c r="H55" s="63"/>
      <c r="I55" s="63"/>
      <c r="J55" s="63"/>
      <c r="K55" s="63"/>
      <c r="L55" s="63"/>
      <c r="M55" s="63"/>
      <c r="N55" s="63"/>
      <c r="O55" s="63"/>
      <c r="P55" s="63"/>
      <c r="Q55" s="63"/>
      <c r="R55" s="63"/>
      <c r="S55" s="63"/>
      <c r="T55" s="63"/>
      <c r="U55" s="63"/>
      <c r="V55" s="63"/>
      <c r="W55" s="63"/>
      <c r="X55" s="63"/>
    </row>
    <row r="56" spans="1:24" ht="12.75">
      <c r="A56" s="69"/>
      <c r="B56" s="63"/>
      <c r="C56" s="63"/>
      <c r="D56" s="63"/>
      <c r="E56" s="63"/>
      <c r="F56" s="63"/>
      <c r="G56" s="63"/>
      <c r="H56" s="63"/>
      <c r="I56" s="63"/>
      <c r="J56" s="63"/>
      <c r="K56" s="63"/>
      <c r="L56" s="63"/>
      <c r="M56" s="63"/>
      <c r="N56" s="63"/>
      <c r="O56" s="63"/>
      <c r="P56" s="63"/>
      <c r="Q56" s="63"/>
      <c r="R56" s="63"/>
      <c r="S56" s="63"/>
      <c r="T56" s="63"/>
      <c r="U56" s="63"/>
      <c r="V56" s="63"/>
      <c r="W56" s="63"/>
      <c r="X56" s="63"/>
    </row>
    <row r="57" spans="1:24" ht="12.75">
      <c r="A57" s="69"/>
      <c r="B57" s="63"/>
      <c r="C57" s="63"/>
      <c r="D57" s="63"/>
      <c r="E57" s="63"/>
      <c r="F57" s="63"/>
      <c r="G57" s="63"/>
      <c r="H57" s="63"/>
      <c r="I57" s="63"/>
      <c r="J57" s="63"/>
      <c r="K57" s="63"/>
      <c r="L57" s="63"/>
      <c r="M57" s="63"/>
      <c r="N57" s="63"/>
      <c r="O57" s="63"/>
      <c r="P57" s="63"/>
      <c r="Q57" s="63"/>
      <c r="R57" s="63"/>
      <c r="S57" s="63"/>
      <c r="T57" s="63"/>
      <c r="U57" s="63"/>
      <c r="V57" s="63"/>
      <c r="W57" s="63"/>
      <c r="X57" s="63"/>
    </row>
    <row r="58" spans="1:24" ht="12.75">
      <c r="A58" s="69"/>
      <c r="B58" s="63"/>
      <c r="C58" s="63"/>
      <c r="D58" s="63"/>
      <c r="E58" s="63"/>
      <c r="F58" s="63"/>
      <c r="G58" s="63"/>
      <c r="H58" s="63"/>
      <c r="I58" s="63"/>
      <c r="J58" s="63"/>
      <c r="K58" s="63"/>
      <c r="L58" s="63"/>
      <c r="M58" s="63"/>
      <c r="N58" s="63"/>
      <c r="O58" s="63"/>
      <c r="P58" s="63"/>
      <c r="Q58" s="63"/>
      <c r="R58" s="63"/>
      <c r="S58" s="63"/>
      <c r="T58" s="63"/>
      <c r="U58" s="63"/>
      <c r="V58" s="63"/>
      <c r="W58" s="63"/>
      <c r="X58" s="63"/>
    </row>
    <row r="59" spans="1:24" ht="12.75">
      <c r="A59" s="69"/>
      <c r="B59" s="63"/>
      <c r="C59" s="63"/>
      <c r="D59" s="63"/>
      <c r="E59" s="63"/>
      <c r="F59" s="63"/>
      <c r="G59" s="63"/>
      <c r="H59" s="63"/>
      <c r="I59" s="63"/>
      <c r="J59" s="63"/>
      <c r="K59" s="63"/>
      <c r="L59" s="63"/>
      <c r="M59" s="63"/>
      <c r="N59" s="63"/>
      <c r="O59" s="63"/>
      <c r="P59" s="63"/>
      <c r="Q59" s="63"/>
      <c r="R59" s="63"/>
      <c r="S59" s="63"/>
      <c r="T59" s="63"/>
      <c r="U59" s="63"/>
      <c r="V59" s="63"/>
      <c r="W59" s="63"/>
      <c r="X59" s="63"/>
    </row>
    <row r="60" spans="1:24" ht="12.75">
      <c r="A60" s="69"/>
      <c r="B60" s="63"/>
      <c r="C60" s="63"/>
      <c r="D60" s="63"/>
      <c r="E60" s="63"/>
      <c r="F60" s="63"/>
      <c r="G60" s="63"/>
      <c r="H60" s="63"/>
      <c r="I60" s="63"/>
      <c r="J60" s="63"/>
      <c r="K60" s="63"/>
      <c r="L60" s="63"/>
      <c r="M60" s="63"/>
      <c r="N60" s="63"/>
      <c r="O60" s="63"/>
      <c r="P60" s="63"/>
      <c r="Q60" s="63"/>
      <c r="R60" s="63"/>
      <c r="S60" s="63"/>
      <c r="T60" s="63"/>
      <c r="U60" s="63"/>
      <c r="V60" s="63"/>
      <c r="W60" s="63"/>
      <c r="X60" s="63"/>
    </row>
    <row r="61" spans="1:24" ht="12.75">
      <c r="A61" s="69"/>
      <c r="B61" s="63"/>
      <c r="C61" s="63"/>
      <c r="D61" s="63"/>
      <c r="E61" s="63"/>
      <c r="F61" s="63"/>
      <c r="G61" s="63"/>
      <c r="H61" s="63"/>
      <c r="I61" s="63"/>
      <c r="J61" s="63"/>
      <c r="K61" s="63"/>
      <c r="L61" s="63"/>
      <c r="M61" s="63"/>
      <c r="N61" s="63"/>
      <c r="O61" s="63"/>
      <c r="P61" s="63"/>
      <c r="Q61" s="63"/>
      <c r="R61" s="63"/>
      <c r="S61" s="63"/>
      <c r="T61" s="63"/>
      <c r="U61" s="63"/>
      <c r="V61" s="63"/>
      <c r="W61" s="63"/>
      <c r="X61" s="63"/>
    </row>
    <row r="62" spans="1:24" ht="12.75">
      <c r="A62" s="69"/>
      <c r="B62" s="63"/>
      <c r="C62" s="63"/>
      <c r="D62" s="63"/>
      <c r="E62" s="63"/>
      <c r="F62" s="63"/>
      <c r="G62" s="63"/>
      <c r="H62" s="63"/>
      <c r="I62" s="63"/>
      <c r="J62" s="63"/>
      <c r="K62" s="63"/>
      <c r="L62" s="63"/>
      <c r="M62" s="63"/>
      <c r="N62" s="63"/>
      <c r="O62" s="63"/>
      <c r="P62" s="63"/>
      <c r="Q62" s="63"/>
      <c r="R62" s="63"/>
      <c r="S62" s="63"/>
      <c r="T62" s="63"/>
      <c r="U62" s="63"/>
      <c r="V62" s="63"/>
      <c r="W62" s="63"/>
      <c r="X62" s="63"/>
    </row>
    <row r="63" spans="1:24" ht="12.75">
      <c r="A63" s="69"/>
      <c r="B63" s="63"/>
      <c r="C63" s="63"/>
      <c r="D63" s="63"/>
      <c r="E63" s="63"/>
      <c r="F63" s="63"/>
      <c r="G63" s="63"/>
      <c r="H63" s="63"/>
      <c r="I63" s="63"/>
      <c r="J63" s="63"/>
      <c r="K63" s="63"/>
      <c r="L63" s="63"/>
      <c r="M63" s="63"/>
      <c r="N63" s="63"/>
      <c r="O63" s="63"/>
      <c r="P63" s="63"/>
      <c r="Q63" s="63"/>
      <c r="R63" s="63"/>
      <c r="S63" s="63"/>
      <c r="T63" s="63"/>
      <c r="U63" s="63"/>
      <c r="V63" s="63"/>
      <c r="W63" s="63"/>
      <c r="X63" s="63"/>
    </row>
    <row r="64" spans="1:24" ht="12.75">
      <c r="A64" s="69"/>
      <c r="B64" s="63"/>
      <c r="C64" s="63"/>
      <c r="D64" s="63"/>
      <c r="E64" s="63"/>
      <c r="F64" s="63"/>
      <c r="G64" s="63"/>
      <c r="H64" s="63"/>
      <c r="I64" s="63"/>
      <c r="J64" s="63"/>
      <c r="K64" s="63"/>
      <c r="L64" s="63"/>
      <c r="M64" s="63"/>
      <c r="N64" s="63"/>
      <c r="O64" s="63"/>
      <c r="P64" s="63"/>
      <c r="Q64" s="63"/>
      <c r="R64" s="63"/>
      <c r="S64" s="63"/>
      <c r="T64" s="63"/>
      <c r="U64" s="63"/>
      <c r="V64" s="63"/>
      <c r="W64" s="63"/>
      <c r="X64" s="63"/>
    </row>
    <row r="65" spans="1:24" ht="12.75">
      <c r="A65" s="69"/>
      <c r="B65" s="63"/>
      <c r="C65" s="63"/>
      <c r="D65" s="63"/>
      <c r="E65" s="63"/>
      <c r="F65" s="63"/>
      <c r="G65" s="63"/>
      <c r="H65" s="63"/>
      <c r="I65" s="63"/>
      <c r="J65" s="63"/>
      <c r="K65" s="63"/>
      <c r="L65" s="63"/>
      <c r="M65" s="63"/>
      <c r="N65" s="63"/>
      <c r="O65" s="63"/>
      <c r="P65" s="63"/>
      <c r="Q65" s="63"/>
      <c r="R65" s="63"/>
      <c r="S65" s="63"/>
      <c r="T65" s="63"/>
      <c r="U65" s="63"/>
      <c r="V65" s="63"/>
      <c r="W65" s="63"/>
      <c r="X65" s="63"/>
    </row>
    <row r="66" spans="1:24" ht="12.75">
      <c r="A66" s="69"/>
      <c r="B66" s="63"/>
      <c r="C66" s="63"/>
      <c r="D66" s="63"/>
      <c r="E66" s="63"/>
      <c r="F66" s="63"/>
      <c r="G66" s="63"/>
      <c r="H66" s="63"/>
      <c r="I66" s="63"/>
      <c r="J66" s="63"/>
      <c r="K66" s="63"/>
      <c r="L66" s="63"/>
      <c r="M66" s="63"/>
      <c r="N66" s="63"/>
      <c r="O66" s="63"/>
      <c r="P66" s="63"/>
      <c r="Q66" s="63"/>
      <c r="R66" s="63"/>
      <c r="S66" s="63"/>
      <c r="T66" s="63"/>
      <c r="U66" s="63"/>
      <c r="V66" s="63"/>
      <c r="W66" s="63"/>
      <c r="X66" s="63"/>
    </row>
    <row r="67" spans="1:24" ht="12.75">
      <c r="A67" s="69"/>
      <c r="B67" s="63"/>
      <c r="C67" s="63"/>
      <c r="D67" s="63"/>
      <c r="E67" s="63"/>
      <c r="F67" s="63"/>
      <c r="G67" s="63"/>
      <c r="H67" s="63"/>
      <c r="I67" s="63"/>
      <c r="J67" s="63"/>
      <c r="K67" s="63"/>
      <c r="L67" s="63"/>
      <c r="M67" s="63"/>
      <c r="N67" s="63"/>
      <c r="O67" s="63"/>
      <c r="P67" s="63"/>
      <c r="Q67" s="63"/>
      <c r="R67" s="63"/>
      <c r="S67" s="63"/>
      <c r="T67" s="63"/>
      <c r="U67" s="63"/>
      <c r="V67" s="63"/>
      <c r="W67" s="63"/>
      <c r="X67" s="63"/>
    </row>
    <row r="68" spans="1:24" ht="12.75">
      <c r="A68" s="69"/>
      <c r="B68" s="63"/>
      <c r="C68" s="63"/>
      <c r="D68" s="63"/>
      <c r="E68" s="63"/>
      <c r="F68" s="63"/>
      <c r="G68" s="63"/>
      <c r="H68" s="63"/>
      <c r="I68" s="63"/>
      <c r="J68" s="63"/>
      <c r="K68" s="63"/>
      <c r="L68" s="63"/>
      <c r="M68" s="63"/>
      <c r="N68" s="63"/>
      <c r="O68" s="63"/>
      <c r="P68" s="63"/>
      <c r="Q68" s="63"/>
      <c r="R68" s="63"/>
      <c r="S68" s="63"/>
      <c r="T68" s="63"/>
      <c r="U68" s="63"/>
      <c r="V68" s="63"/>
      <c r="W68" s="63"/>
      <c r="X68" s="63"/>
    </row>
    <row r="69" spans="1:24" ht="12.75">
      <c r="A69" s="69"/>
      <c r="B69" s="63"/>
      <c r="C69" s="63"/>
      <c r="D69" s="63"/>
      <c r="E69" s="63"/>
      <c r="F69" s="63"/>
      <c r="G69" s="63"/>
      <c r="H69" s="63"/>
      <c r="I69" s="63"/>
      <c r="J69" s="63"/>
      <c r="K69" s="63"/>
      <c r="L69" s="63"/>
      <c r="M69" s="63"/>
      <c r="N69" s="63"/>
      <c r="O69" s="63"/>
      <c r="P69" s="63"/>
      <c r="Q69" s="63"/>
      <c r="R69" s="63"/>
      <c r="S69" s="63"/>
      <c r="T69" s="63"/>
      <c r="U69" s="63"/>
      <c r="V69" s="63"/>
      <c r="W69" s="63"/>
      <c r="X69" s="63"/>
    </row>
    <row r="70" spans="1:24" ht="12.75">
      <c r="A70" s="69"/>
      <c r="B70" s="63"/>
      <c r="C70" s="63"/>
      <c r="D70" s="63"/>
      <c r="E70" s="63"/>
      <c r="F70" s="63"/>
      <c r="G70" s="63"/>
      <c r="H70" s="63"/>
      <c r="I70" s="63"/>
      <c r="J70" s="63"/>
      <c r="K70" s="63"/>
      <c r="L70" s="63"/>
      <c r="M70" s="63"/>
      <c r="N70" s="63"/>
      <c r="O70" s="63"/>
      <c r="P70" s="63"/>
      <c r="Q70" s="63"/>
      <c r="R70" s="63"/>
      <c r="S70" s="63"/>
      <c r="T70" s="63"/>
      <c r="U70" s="63"/>
      <c r="V70" s="63"/>
      <c r="W70" s="63"/>
      <c r="X70" s="63"/>
    </row>
    <row r="71" spans="1:24" ht="12.75">
      <c r="A71" s="69"/>
      <c r="B71" s="63"/>
      <c r="C71" s="63"/>
      <c r="D71" s="63"/>
      <c r="E71" s="63"/>
      <c r="F71" s="63"/>
      <c r="G71" s="63"/>
      <c r="H71" s="63"/>
      <c r="I71" s="63"/>
      <c r="J71" s="63"/>
      <c r="K71" s="63"/>
      <c r="L71" s="63"/>
      <c r="M71" s="63"/>
      <c r="N71" s="63"/>
      <c r="O71" s="63"/>
      <c r="P71" s="63"/>
      <c r="Q71" s="63"/>
      <c r="R71" s="63"/>
      <c r="S71" s="63"/>
      <c r="T71" s="63"/>
      <c r="U71" s="63"/>
      <c r="V71" s="63"/>
      <c r="W71" s="63"/>
      <c r="X71" s="63"/>
    </row>
    <row r="72" spans="1:24" ht="12.75">
      <c r="A72" s="69"/>
      <c r="B72" s="63"/>
      <c r="C72" s="63"/>
      <c r="D72" s="63"/>
      <c r="E72" s="63"/>
      <c r="F72" s="63"/>
      <c r="G72" s="63"/>
      <c r="H72" s="63"/>
      <c r="I72" s="63"/>
      <c r="J72" s="63"/>
      <c r="K72" s="63"/>
      <c r="L72" s="63"/>
      <c r="M72" s="63"/>
      <c r="N72" s="63"/>
      <c r="O72" s="63"/>
      <c r="P72" s="63"/>
      <c r="Q72" s="63"/>
      <c r="R72" s="63"/>
      <c r="S72" s="63"/>
      <c r="T72" s="63"/>
      <c r="U72" s="63"/>
      <c r="V72" s="63"/>
      <c r="W72" s="63"/>
      <c r="X72" s="63"/>
    </row>
    <row r="73" spans="1:24" ht="12.75">
      <c r="A73" s="69"/>
      <c r="B73" s="63"/>
      <c r="C73" s="63"/>
      <c r="D73" s="63"/>
      <c r="E73" s="63"/>
      <c r="F73" s="63"/>
      <c r="G73" s="63"/>
      <c r="H73" s="63"/>
      <c r="I73" s="63"/>
      <c r="J73" s="63"/>
      <c r="K73" s="63"/>
      <c r="L73" s="63"/>
      <c r="M73" s="63"/>
      <c r="N73" s="63"/>
      <c r="O73" s="63"/>
      <c r="P73" s="63"/>
      <c r="Q73" s="63"/>
      <c r="R73" s="63"/>
      <c r="S73" s="63"/>
      <c r="T73" s="63"/>
      <c r="U73" s="63"/>
      <c r="V73" s="63"/>
      <c r="W73" s="63"/>
      <c r="X73" s="63"/>
    </row>
    <row r="74" spans="1:24" ht="12.75">
      <c r="A74" s="69"/>
      <c r="B74" s="63"/>
      <c r="C74" s="63"/>
      <c r="D74" s="63"/>
      <c r="E74" s="63"/>
      <c r="F74" s="63"/>
      <c r="G74" s="63"/>
      <c r="H74" s="63"/>
      <c r="I74" s="63"/>
      <c r="J74" s="63"/>
      <c r="K74" s="63"/>
      <c r="L74" s="63"/>
      <c r="M74" s="63"/>
      <c r="N74" s="63"/>
      <c r="O74" s="63"/>
      <c r="P74" s="63"/>
      <c r="Q74" s="63"/>
      <c r="R74" s="63"/>
      <c r="S74" s="63"/>
      <c r="T74" s="63"/>
      <c r="U74" s="63"/>
      <c r="V74" s="63"/>
      <c r="W74" s="63"/>
      <c r="X74" s="63"/>
    </row>
    <row r="75" spans="1:24" ht="12.75">
      <c r="A75" s="69"/>
      <c r="B75" s="63"/>
      <c r="C75" s="63"/>
      <c r="D75" s="63"/>
      <c r="E75" s="63"/>
      <c r="F75" s="63"/>
      <c r="G75" s="63"/>
      <c r="H75" s="63"/>
      <c r="I75" s="63"/>
      <c r="J75" s="63"/>
      <c r="K75" s="63"/>
      <c r="L75" s="63"/>
      <c r="M75" s="63"/>
      <c r="N75" s="63"/>
      <c r="O75" s="63"/>
      <c r="P75" s="63"/>
      <c r="Q75" s="63"/>
      <c r="R75" s="63"/>
      <c r="S75" s="63"/>
      <c r="T75" s="63"/>
      <c r="U75" s="63"/>
      <c r="V75" s="63"/>
      <c r="W75" s="63"/>
      <c r="X75" s="63"/>
    </row>
    <row r="76" spans="1:24" ht="12.75">
      <c r="A76" s="69"/>
      <c r="B76" s="63"/>
      <c r="C76" s="63"/>
      <c r="D76" s="63"/>
      <c r="E76" s="63"/>
      <c r="F76" s="63"/>
      <c r="G76" s="63"/>
      <c r="H76" s="63"/>
      <c r="I76" s="63"/>
      <c r="J76" s="63"/>
      <c r="K76" s="63"/>
      <c r="L76" s="63"/>
      <c r="M76" s="63"/>
      <c r="N76" s="63"/>
      <c r="O76" s="63"/>
      <c r="P76" s="63"/>
      <c r="Q76" s="63"/>
      <c r="R76" s="63"/>
      <c r="S76" s="63"/>
      <c r="T76" s="63"/>
      <c r="U76" s="63"/>
      <c r="V76" s="63"/>
      <c r="W76" s="63"/>
      <c r="X76" s="63"/>
    </row>
    <row r="77" spans="1:24" ht="12.75">
      <c r="A77" s="69"/>
      <c r="B77" s="63"/>
      <c r="C77" s="63"/>
      <c r="D77" s="63"/>
      <c r="E77" s="63"/>
      <c r="F77" s="63"/>
      <c r="G77" s="63"/>
      <c r="H77" s="63"/>
      <c r="I77" s="63"/>
      <c r="J77" s="63"/>
      <c r="K77" s="63"/>
      <c r="L77" s="63"/>
      <c r="M77" s="63"/>
      <c r="N77" s="63"/>
      <c r="O77" s="63"/>
      <c r="P77" s="63"/>
      <c r="Q77" s="63"/>
      <c r="R77" s="63"/>
      <c r="S77" s="63"/>
      <c r="T77" s="63"/>
      <c r="U77" s="63"/>
      <c r="V77" s="63"/>
      <c r="W77" s="63"/>
      <c r="X77" s="63"/>
    </row>
    <row r="78" spans="1:24" ht="12.75">
      <c r="A78" s="69"/>
      <c r="B78" s="63"/>
      <c r="C78" s="63"/>
      <c r="D78" s="63"/>
      <c r="E78" s="63"/>
      <c r="F78" s="63"/>
      <c r="G78" s="63"/>
      <c r="H78" s="63"/>
      <c r="I78" s="63"/>
      <c r="J78" s="63"/>
      <c r="K78" s="63"/>
      <c r="L78" s="63"/>
      <c r="M78" s="63"/>
      <c r="N78" s="63"/>
      <c r="O78" s="63"/>
      <c r="P78" s="63"/>
      <c r="Q78" s="63"/>
      <c r="R78" s="63"/>
      <c r="S78" s="63"/>
      <c r="T78" s="63"/>
      <c r="U78" s="63"/>
      <c r="V78" s="63"/>
      <c r="W78" s="63"/>
      <c r="X78" s="63"/>
    </row>
    <row r="79" spans="1:24" ht="12.75">
      <c r="A79" s="69"/>
      <c r="B79" s="63"/>
      <c r="C79" s="63"/>
      <c r="D79" s="63"/>
      <c r="E79" s="63"/>
      <c r="F79" s="63"/>
      <c r="G79" s="63"/>
      <c r="H79" s="63"/>
      <c r="I79" s="63"/>
      <c r="J79" s="63"/>
      <c r="K79" s="63"/>
      <c r="L79" s="63"/>
      <c r="M79" s="63"/>
      <c r="N79" s="63"/>
      <c r="O79" s="63"/>
      <c r="P79" s="63"/>
      <c r="Q79" s="63"/>
      <c r="R79" s="63"/>
      <c r="S79" s="63"/>
      <c r="T79" s="63"/>
      <c r="U79" s="63"/>
      <c r="V79" s="63"/>
      <c r="W79" s="63"/>
      <c r="X79" s="63"/>
    </row>
    <row r="80" spans="1:24" ht="12.75">
      <c r="A80" s="69"/>
      <c r="B80" s="63"/>
      <c r="C80" s="63"/>
      <c r="D80" s="63"/>
      <c r="E80" s="63"/>
      <c r="F80" s="63"/>
      <c r="G80" s="63"/>
      <c r="H80" s="63"/>
      <c r="I80" s="63"/>
      <c r="J80" s="63"/>
      <c r="K80" s="63"/>
      <c r="L80" s="63"/>
      <c r="M80" s="63"/>
      <c r="N80" s="63"/>
      <c r="O80" s="63"/>
      <c r="P80" s="63"/>
      <c r="Q80" s="63"/>
      <c r="R80" s="63"/>
      <c r="S80" s="63"/>
      <c r="T80" s="63"/>
      <c r="U80" s="63"/>
      <c r="V80" s="63"/>
      <c r="W80" s="63"/>
      <c r="X80" s="63"/>
    </row>
    <row r="81" spans="1:24" ht="12.75">
      <c r="A81" s="69"/>
      <c r="B81" s="63"/>
      <c r="C81" s="63"/>
      <c r="D81" s="63"/>
      <c r="E81" s="63"/>
      <c r="F81" s="63"/>
      <c r="G81" s="63"/>
      <c r="H81" s="63"/>
      <c r="I81" s="63"/>
      <c r="J81" s="63"/>
      <c r="K81" s="63"/>
      <c r="L81" s="63"/>
      <c r="M81" s="63"/>
      <c r="N81" s="63"/>
      <c r="O81" s="63"/>
      <c r="P81" s="63"/>
      <c r="Q81" s="63"/>
      <c r="R81" s="63"/>
      <c r="S81" s="63"/>
      <c r="T81" s="63"/>
      <c r="U81" s="63"/>
      <c r="V81" s="63"/>
      <c r="W81" s="63"/>
      <c r="X81" s="63"/>
    </row>
    <row r="82" spans="1:24" ht="12.75">
      <c r="A82" s="69"/>
      <c r="B82" s="63"/>
      <c r="C82" s="63"/>
      <c r="D82" s="63"/>
      <c r="E82" s="63"/>
      <c r="F82" s="63"/>
      <c r="G82" s="63"/>
      <c r="H82" s="63"/>
      <c r="I82" s="63"/>
      <c r="J82" s="63"/>
      <c r="K82" s="63"/>
      <c r="L82" s="63"/>
      <c r="M82" s="63"/>
      <c r="N82" s="63"/>
      <c r="O82" s="63"/>
      <c r="P82" s="63"/>
      <c r="Q82" s="63"/>
      <c r="R82" s="63"/>
      <c r="S82" s="63"/>
      <c r="T82" s="63"/>
      <c r="U82" s="63"/>
      <c r="V82" s="63"/>
      <c r="W82" s="63"/>
      <c r="X82" s="63"/>
    </row>
    <row r="83" spans="1:24" ht="12.75">
      <c r="A83" s="69"/>
      <c r="B83" s="63"/>
      <c r="C83" s="63"/>
      <c r="D83" s="63"/>
      <c r="E83" s="63"/>
      <c r="F83" s="63"/>
      <c r="G83" s="63"/>
      <c r="H83" s="63"/>
      <c r="I83" s="63"/>
      <c r="J83" s="63"/>
      <c r="K83" s="63"/>
      <c r="L83" s="63"/>
      <c r="M83" s="63"/>
      <c r="N83" s="63"/>
      <c r="O83" s="63"/>
      <c r="P83" s="63"/>
      <c r="Q83" s="63"/>
      <c r="R83" s="63"/>
      <c r="S83" s="63"/>
      <c r="T83" s="63"/>
      <c r="U83" s="63"/>
      <c r="V83" s="63"/>
      <c r="W83" s="63"/>
      <c r="X83" s="63"/>
    </row>
    <row r="84" spans="1:24" ht="12.75">
      <c r="A84" s="69"/>
      <c r="B84" s="63"/>
      <c r="C84" s="63"/>
      <c r="D84" s="63"/>
      <c r="E84" s="63"/>
      <c r="F84" s="63"/>
      <c r="G84" s="63"/>
      <c r="H84" s="63"/>
      <c r="I84" s="63"/>
      <c r="J84" s="63"/>
      <c r="K84" s="63"/>
      <c r="L84" s="63"/>
      <c r="M84" s="63"/>
      <c r="N84" s="63"/>
      <c r="O84" s="63"/>
      <c r="P84" s="63"/>
      <c r="Q84" s="63"/>
      <c r="R84" s="63"/>
      <c r="S84" s="63"/>
      <c r="T84" s="63"/>
      <c r="U84" s="63"/>
      <c r="V84" s="63"/>
      <c r="W84" s="63"/>
      <c r="X84" s="63"/>
    </row>
    <row r="85" spans="1:24" ht="12.75">
      <c r="A85" s="69"/>
      <c r="B85" s="63"/>
      <c r="C85" s="63"/>
      <c r="D85" s="63"/>
      <c r="E85" s="63"/>
      <c r="F85" s="63"/>
      <c r="G85" s="63"/>
      <c r="H85" s="63"/>
      <c r="I85" s="63"/>
      <c r="J85" s="63"/>
      <c r="K85" s="63"/>
      <c r="L85" s="63"/>
      <c r="M85" s="63"/>
      <c r="N85" s="63"/>
      <c r="O85" s="63"/>
      <c r="P85" s="63"/>
      <c r="Q85" s="63"/>
      <c r="R85" s="63"/>
      <c r="S85" s="63"/>
      <c r="T85" s="63"/>
      <c r="U85" s="63"/>
      <c r="V85" s="63"/>
      <c r="W85" s="63"/>
      <c r="X85" s="63"/>
    </row>
    <row r="86" spans="1:24" ht="12.75">
      <c r="A86" s="69"/>
      <c r="B86" s="63"/>
      <c r="C86" s="63"/>
      <c r="D86" s="63"/>
      <c r="E86" s="63"/>
      <c r="F86" s="63"/>
      <c r="G86" s="63"/>
      <c r="H86" s="63"/>
      <c r="I86" s="63"/>
      <c r="J86" s="63"/>
      <c r="K86" s="63"/>
      <c r="L86" s="63"/>
      <c r="M86" s="63"/>
      <c r="N86" s="63"/>
      <c r="O86" s="63"/>
      <c r="P86" s="63"/>
      <c r="Q86" s="63"/>
      <c r="R86" s="63"/>
      <c r="S86" s="63"/>
      <c r="T86" s="63"/>
      <c r="U86" s="63"/>
      <c r="V86" s="63"/>
      <c r="W86" s="63"/>
      <c r="X86" s="63"/>
    </row>
    <row r="87" spans="1:24" ht="12.75">
      <c r="A87" s="69"/>
      <c r="B87" s="63"/>
      <c r="C87" s="63"/>
      <c r="D87" s="63"/>
      <c r="E87" s="63"/>
      <c r="F87" s="63"/>
      <c r="G87" s="63"/>
      <c r="H87" s="63"/>
      <c r="I87" s="63"/>
      <c r="J87" s="63"/>
      <c r="K87" s="63"/>
      <c r="L87" s="63"/>
      <c r="M87" s="63"/>
      <c r="N87" s="63"/>
      <c r="O87" s="63"/>
      <c r="P87" s="63"/>
      <c r="Q87" s="63"/>
      <c r="R87" s="63"/>
      <c r="S87" s="63"/>
      <c r="T87" s="63"/>
      <c r="U87" s="63"/>
      <c r="V87" s="63"/>
      <c r="W87" s="63"/>
      <c r="X87" s="63"/>
    </row>
    <row r="88" spans="1:24" ht="12.75">
      <c r="A88" s="69"/>
      <c r="B88" s="63"/>
      <c r="C88" s="63"/>
      <c r="D88" s="63"/>
      <c r="E88" s="63"/>
      <c r="F88" s="63"/>
      <c r="G88" s="63"/>
      <c r="H88" s="63"/>
      <c r="I88" s="63"/>
      <c r="J88" s="63"/>
      <c r="K88" s="63"/>
      <c r="L88" s="63"/>
      <c r="M88" s="63"/>
      <c r="N88" s="63"/>
      <c r="O88" s="63"/>
      <c r="P88" s="63"/>
      <c r="Q88" s="63"/>
      <c r="R88" s="63"/>
      <c r="S88" s="63"/>
      <c r="T88" s="63"/>
      <c r="U88" s="63"/>
      <c r="V88" s="63"/>
      <c r="W88" s="63"/>
      <c r="X88" s="63"/>
    </row>
    <row r="89" spans="1:24" ht="12.75">
      <c r="A89" s="69"/>
      <c r="B89" s="63"/>
      <c r="C89" s="63"/>
      <c r="D89" s="63"/>
      <c r="E89" s="63"/>
      <c r="F89" s="63"/>
      <c r="G89" s="63"/>
      <c r="H89" s="63"/>
      <c r="I89" s="63"/>
      <c r="J89" s="63"/>
      <c r="K89" s="63"/>
      <c r="L89" s="63"/>
      <c r="M89" s="63"/>
      <c r="N89" s="63"/>
      <c r="O89" s="63"/>
      <c r="P89" s="63"/>
      <c r="Q89" s="63"/>
      <c r="R89" s="63"/>
      <c r="S89" s="63"/>
      <c r="T89" s="63"/>
      <c r="U89" s="63"/>
      <c r="V89" s="63"/>
      <c r="W89" s="63"/>
      <c r="X89" s="63"/>
    </row>
    <row r="90" spans="1:24" ht="12.75">
      <c r="A90" s="69"/>
      <c r="B90" s="63"/>
      <c r="C90" s="63"/>
      <c r="D90" s="63"/>
      <c r="E90" s="63"/>
      <c r="F90" s="63"/>
      <c r="G90" s="63"/>
      <c r="H90" s="63"/>
      <c r="I90" s="63"/>
      <c r="J90" s="63"/>
      <c r="K90" s="63"/>
      <c r="L90" s="63"/>
      <c r="M90" s="63"/>
      <c r="N90" s="63"/>
      <c r="O90" s="63"/>
      <c r="P90" s="63"/>
      <c r="Q90" s="63"/>
      <c r="R90" s="63"/>
      <c r="S90" s="63"/>
      <c r="T90" s="63"/>
      <c r="U90" s="63"/>
      <c r="V90" s="63"/>
      <c r="W90" s="63"/>
      <c r="X90" s="63"/>
    </row>
    <row r="91" spans="1:24" ht="12.75">
      <c r="A91" s="69"/>
      <c r="B91" s="63"/>
      <c r="C91" s="63"/>
      <c r="D91" s="63"/>
      <c r="E91" s="63"/>
      <c r="F91" s="63"/>
      <c r="G91" s="63"/>
      <c r="H91" s="63"/>
      <c r="I91" s="63"/>
      <c r="J91" s="63"/>
      <c r="K91" s="63"/>
      <c r="L91" s="63"/>
      <c r="M91" s="63"/>
      <c r="N91" s="63"/>
      <c r="O91" s="63"/>
      <c r="P91" s="63"/>
      <c r="Q91" s="63"/>
      <c r="R91" s="63"/>
      <c r="S91" s="63"/>
      <c r="T91" s="63"/>
      <c r="U91" s="63"/>
      <c r="V91" s="63"/>
      <c r="W91" s="63"/>
      <c r="X91" s="63"/>
    </row>
    <row r="92" spans="1:24" ht="12.75">
      <c r="A92" s="69"/>
      <c r="B92" s="63"/>
      <c r="C92" s="63"/>
      <c r="D92" s="63"/>
      <c r="E92" s="63"/>
      <c r="F92" s="63"/>
      <c r="G92" s="63"/>
      <c r="H92" s="63"/>
      <c r="I92" s="63"/>
      <c r="J92" s="63"/>
      <c r="K92" s="63"/>
      <c r="L92" s="63"/>
      <c r="M92" s="63"/>
      <c r="N92" s="63"/>
      <c r="O92" s="63"/>
      <c r="P92" s="63"/>
      <c r="Q92" s="63"/>
      <c r="R92" s="63"/>
      <c r="S92" s="63"/>
      <c r="T92" s="63"/>
      <c r="U92" s="63"/>
      <c r="V92" s="63"/>
      <c r="W92" s="63"/>
      <c r="X92" s="63"/>
    </row>
    <row r="93" spans="1:24" ht="12.75">
      <c r="A93" s="69"/>
      <c r="B93" s="63"/>
      <c r="C93" s="63"/>
      <c r="D93" s="63"/>
      <c r="E93" s="63"/>
      <c r="F93" s="63"/>
      <c r="G93" s="63"/>
      <c r="H93" s="63"/>
      <c r="I93" s="63"/>
      <c r="J93" s="63"/>
      <c r="K93" s="63"/>
      <c r="L93" s="63"/>
      <c r="M93" s="63"/>
      <c r="N93" s="63"/>
      <c r="O93" s="63"/>
      <c r="P93" s="63"/>
      <c r="Q93" s="63"/>
      <c r="R93" s="63"/>
      <c r="S93" s="63"/>
      <c r="T93" s="63"/>
      <c r="U93" s="63"/>
      <c r="V93" s="63"/>
      <c r="W93" s="63"/>
      <c r="X93" s="63"/>
    </row>
    <row r="94" spans="1:24" ht="12.75">
      <c r="A94" s="69"/>
      <c r="B94" s="63"/>
      <c r="C94" s="63"/>
      <c r="D94" s="63"/>
      <c r="E94" s="63"/>
      <c r="F94" s="63"/>
      <c r="G94" s="63"/>
      <c r="H94" s="63"/>
      <c r="I94" s="63"/>
      <c r="J94" s="63"/>
      <c r="K94" s="63"/>
      <c r="L94" s="63"/>
      <c r="M94" s="63"/>
      <c r="N94" s="63"/>
      <c r="O94" s="63"/>
      <c r="P94" s="63"/>
      <c r="Q94" s="63"/>
      <c r="R94" s="63"/>
      <c r="S94" s="63"/>
      <c r="T94" s="63"/>
      <c r="U94" s="63"/>
      <c r="V94" s="63"/>
      <c r="W94" s="63"/>
      <c r="X94" s="63"/>
    </row>
    <row r="95" spans="1:24" ht="12.75">
      <c r="A95" s="69"/>
      <c r="B95" s="63"/>
      <c r="C95" s="63"/>
      <c r="D95" s="63"/>
      <c r="E95" s="63"/>
      <c r="F95" s="63"/>
      <c r="G95" s="63"/>
      <c r="H95" s="63"/>
      <c r="I95" s="63"/>
      <c r="J95" s="63"/>
      <c r="K95" s="63"/>
      <c r="L95" s="63"/>
      <c r="M95" s="63"/>
      <c r="N95" s="63"/>
      <c r="O95" s="63"/>
      <c r="P95" s="63"/>
      <c r="Q95" s="63"/>
      <c r="R95" s="63"/>
      <c r="S95" s="63"/>
      <c r="T95" s="63"/>
      <c r="U95" s="63"/>
      <c r="V95" s="63"/>
      <c r="W95" s="63"/>
      <c r="X95" s="63"/>
    </row>
    <row r="96" spans="1:24" ht="12.75">
      <c r="A96" s="69"/>
      <c r="B96" s="63"/>
      <c r="C96" s="63"/>
      <c r="D96" s="63"/>
      <c r="E96" s="63"/>
      <c r="F96" s="63"/>
      <c r="G96" s="63"/>
      <c r="H96" s="63"/>
      <c r="I96" s="63"/>
      <c r="J96" s="63"/>
      <c r="K96" s="63"/>
      <c r="L96" s="63"/>
      <c r="M96" s="63"/>
      <c r="N96" s="63"/>
      <c r="O96" s="63"/>
      <c r="P96" s="63"/>
      <c r="Q96" s="63"/>
      <c r="R96" s="63"/>
      <c r="S96" s="63"/>
      <c r="T96" s="63"/>
      <c r="U96" s="63"/>
      <c r="V96" s="63"/>
      <c r="W96" s="63"/>
      <c r="X96" s="63"/>
    </row>
    <row r="97" spans="1:24" ht="12.75">
      <c r="A97" s="69"/>
      <c r="B97" s="63"/>
      <c r="C97" s="63"/>
      <c r="D97" s="63"/>
      <c r="E97" s="63"/>
      <c r="F97" s="63"/>
      <c r="G97" s="63"/>
      <c r="H97" s="63"/>
      <c r="I97" s="63"/>
      <c r="J97" s="63"/>
      <c r="K97" s="63"/>
      <c r="L97" s="63"/>
      <c r="M97" s="63"/>
      <c r="N97" s="63"/>
      <c r="O97" s="63"/>
      <c r="P97" s="63"/>
      <c r="Q97" s="63"/>
      <c r="R97" s="63"/>
      <c r="S97" s="63"/>
      <c r="T97" s="63"/>
      <c r="U97" s="63"/>
      <c r="V97" s="63"/>
      <c r="W97" s="63"/>
      <c r="X97" s="63"/>
    </row>
    <row r="98" spans="1:24" ht="12.75">
      <c r="A98" s="69"/>
      <c r="B98" s="63"/>
      <c r="C98" s="63"/>
      <c r="D98" s="63"/>
      <c r="E98" s="63"/>
      <c r="F98" s="63"/>
      <c r="G98" s="63"/>
      <c r="H98" s="63"/>
      <c r="I98" s="63"/>
      <c r="J98" s="63"/>
      <c r="K98" s="63"/>
      <c r="L98" s="63"/>
      <c r="M98" s="63"/>
      <c r="N98" s="63"/>
      <c r="O98" s="63"/>
      <c r="P98" s="63"/>
      <c r="Q98" s="63"/>
      <c r="R98" s="63"/>
      <c r="S98" s="63"/>
      <c r="T98" s="63"/>
      <c r="U98" s="63"/>
      <c r="V98" s="63"/>
      <c r="W98" s="63"/>
      <c r="X98" s="63"/>
    </row>
    <row r="99" spans="1:24" ht="12.75">
      <c r="A99" s="69"/>
      <c r="B99" s="63"/>
      <c r="C99" s="63"/>
      <c r="D99" s="63"/>
      <c r="E99" s="63"/>
      <c r="F99" s="63"/>
      <c r="G99" s="63"/>
      <c r="H99" s="63"/>
      <c r="I99" s="63"/>
      <c r="J99" s="63"/>
      <c r="K99" s="63"/>
      <c r="L99" s="63"/>
      <c r="M99" s="63"/>
      <c r="N99" s="63"/>
      <c r="O99" s="63"/>
      <c r="P99" s="63"/>
      <c r="Q99" s="63"/>
      <c r="R99" s="63"/>
      <c r="S99" s="63"/>
      <c r="T99" s="63"/>
      <c r="U99" s="63"/>
      <c r="V99" s="63"/>
      <c r="W99" s="63"/>
      <c r="X99" s="63"/>
    </row>
    <row r="100" spans="1:24" ht="12.75">
      <c r="A100" s="69"/>
      <c r="B100" s="63"/>
      <c r="C100" s="63"/>
      <c r="D100" s="63"/>
      <c r="E100" s="63"/>
      <c r="F100" s="63"/>
      <c r="G100" s="63"/>
      <c r="H100" s="63"/>
      <c r="I100" s="63"/>
      <c r="J100" s="63"/>
      <c r="K100" s="63"/>
      <c r="L100" s="63"/>
      <c r="M100" s="63"/>
      <c r="N100" s="63"/>
      <c r="O100" s="63"/>
      <c r="P100" s="63"/>
      <c r="Q100" s="63"/>
      <c r="R100" s="63"/>
      <c r="S100" s="63"/>
      <c r="T100" s="63"/>
      <c r="U100" s="63"/>
      <c r="V100" s="63"/>
      <c r="W100" s="63"/>
      <c r="X100" s="63"/>
    </row>
    <row r="101" spans="1:24" ht="12.75">
      <c r="A101" s="69"/>
      <c r="B101" s="63"/>
      <c r="C101" s="63"/>
      <c r="D101" s="63"/>
      <c r="E101" s="63"/>
      <c r="F101" s="63"/>
      <c r="G101" s="63"/>
      <c r="H101" s="63"/>
      <c r="I101" s="63"/>
      <c r="J101" s="63"/>
      <c r="K101" s="63"/>
      <c r="L101" s="63"/>
      <c r="M101" s="63"/>
      <c r="N101" s="63"/>
      <c r="O101" s="63"/>
      <c r="P101" s="63"/>
      <c r="Q101" s="63"/>
      <c r="R101" s="63"/>
      <c r="S101" s="63"/>
      <c r="T101" s="63"/>
      <c r="U101" s="63"/>
      <c r="V101" s="63"/>
      <c r="W101" s="63"/>
      <c r="X101" s="63"/>
    </row>
    <row r="102" spans="1:24" ht="12.75">
      <c r="A102" s="69"/>
      <c r="B102" s="63"/>
      <c r="C102" s="63"/>
      <c r="D102" s="63"/>
      <c r="E102" s="63"/>
      <c r="F102" s="63"/>
      <c r="G102" s="63"/>
      <c r="H102" s="63"/>
      <c r="I102" s="63"/>
      <c r="J102" s="63"/>
      <c r="K102" s="63"/>
      <c r="L102" s="63"/>
      <c r="M102" s="63"/>
      <c r="N102" s="63"/>
      <c r="O102" s="63"/>
      <c r="P102" s="63"/>
      <c r="Q102" s="63"/>
      <c r="R102" s="63"/>
      <c r="S102" s="63"/>
      <c r="T102" s="63"/>
      <c r="U102" s="63"/>
      <c r="V102" s="63"/>
      <c r="W102" s="63"/>
      <c r="X102" s="63"/>
    </row>
    <row r="103" spans="1:24" ht="12.75">
      <c r="A103" s="69"/>
      <c r="B103" s="63"/>
      <c r="C103" s="63"/>
      <c r="D103" s="63"/>
      <c r="E103" s="63"/>
      <c r="F103" s="63"/>
      <c r="G103" s="63"/>
      <c r="H103" s="63"/>
      <c r="I103" s="63"/>
      <c r="J103" s="63"/>
      <c r="K103" s="63"/>
      <c r="L103" s="63"/>
      <c r="M103" s="63"/>
      <c r="N103" s="63"/>
      <c r="O103" s="63"/>
      <c r="P103" s="63"/>
      <c r="Q103" s="63"/>
      <c r="R103" s="63"/>
      <c r="S103" s="63"/>
      <c r="T103" s="63"/>
      <c r="U103" s="63"/>
      <c r="V103" s="63"/>
      <c r="W103" s="63"/>
      <c r="X103" s="63"/>
    </row>
    <row r="104" spans="1:24" ht="12.75">
      <c r="A104" s="69"/>
      <c r="B104" s="63"/>
      <c r="C104" s="63"/>
      <c r="D104" s="63"/>
      <c r="E104" s="63"/>
      <c r="F104" s="63"/>
      <c r="G104" s="63"/>
      <c r="H104" s="63"/>
      <c r="I104" s="63"/>
      <c r="J104" s="63"/>
      <c r="K104" s="63"/>
      <c r="L104" s="63"/>
      <c r="M104" s="63"/>
      <c r="N104" s="63"/>
      <c r="O104" s="63"/>
      <c r="P104" s="63"/>
      <c r="Q104" s="63"/>
      <c r="R104" s="63"/>
      <c r="S104" s="63"/>
      <c r="T104" s="63"/>
      <c r="U104" s="63"/>
      <c r="V104" s="63"/>
      <c r="W104" s="63"/>
      <c r="X104" s="63"/>
    </row>
    <row r="105" spans="1:24" ht="12.75">
      <c r="A105" s="69"/>
      <c r="B105" s="63"/>
      <c r="C105" s="63"/>
      <c r="D105" s="63"/>
      <c r="E105" s="63"/>
      <c r="F105" s="63"/>
      <c r="G105" s="63"/>
      <c r="H105" s="63"/>
      <c r="I105" s="63"/>
      <c r="J105" s="63"/>
      <c r="K105" s="63"/>
      <c r="L105" s="63"/>
      <c r="M105" s="63"/>
      <c r="N105" s="63"/>
      <c r="O105" s="63"/>
      <c r="P105" s="63"/>
      <c r="Q105" s="63"/>
      <c r="R105" s="63"/>
      <c r="S105" s="63"/>
      <c r="T105" s="63"/>
      <c r="U105" s="63"/>
      <c r="V105" s="63"/>
      <c r="W105" s="63"/>
      <c r="X105" s="63"/>
    </row>
    <row r="106" spans="1:24" ht="12.75">
      <c r="A106" s="69"/>
      <c r="B106" s="63"/>
      <c r="C106" s="63"/>
      <c r="D106" s="63"/>
      <c r="E106" s="63"/>
      <c r="F106" s="63"/>
      <c r="G106" s="63"/>
      <c r="H106" s="63"/>
      <c r="I106" s="63"/>
      <c r="J106" s="63"/>
      <c r="K106" s="63"/>
      <c r="L106" s="63"/>
      <c r="M106" s="63"/>
      <c r="N106" s="63"/>
      <c r="O106" s="63"/>
      <c r="P106" s="63"/>
      <c r="Q106" s="63"/>
      <c r="R106" s="63"/>
      <c r="S106" s="63"/>
      <c r="T106" s="63"/>
      <c r="U106" s="63"/>
      <c r="V106" s="63"/>
      <c r="W106" s="63"/>
      <c r="X106" s="63"/>
    </row>
    <row r="107" spans="1:24" ht="12.75">
      <c r="A107" s="69"/>
      <c r="B107" s="63"/>
      <c r="C107" s="63"/>
      <c r="D107" s="63"/>
      <c r="E107" s="63"/>
      <c r="F107" s="63"/>
      <c r="G107" s="63"/>
      <c r="H107" s="63"/>
      <c r="I107" s="63"/>
      <c r="J107" s="63"/>
      <c r="K107" s="63"/>
      <c r="L107" s="63"/>
      <c r="M107" s="63"/>
      <c r="N107" s="63"/>
      <c r="O107" s="63"/>
      <c r="P107" s="63"/>
      <c r="Q107" s="63"/>
      <c r="R107" s="63"/>
      <c r="S107" s="63"/>
      <c r="T107" s="63"/>
      <c r="U107" s="63"/>
      <c r="V107" s="63"/>
      <c r="W107" s="63"/>
      <c r="X107" s="63"/>
    </row>
    <row r="108" spans="1:24" ht="12.75">
      <c r="A108" s="69"/>
      <c r="B108" s="63"/>
      <c r="C108" s="63"/>
      <c r="D108" s="63"/>
      <c r="E108" s="63"/>
      <c r="F108" s="63"/>
      <c r="G108" s="63"/>
      <c r="H108" s="63"/>
      <c r="I108" s="63"/>
      <c r="J108" s="63"/>
      <c r="K108" s="63"/>
      <c r="L108" s="63"/>
      <c r="M108" s="63"/>
      <c r="N108" s="63"/>
      <c r="O108" s="63"/>
      <c r="P108" s="63"/>
      <c r="Q108" s="63"/>
      <c r="R108" s="63"/>
      <c r="S108" s="63"/>
      <c r="T108" s="63"/>
      <c r="U108" s="63"/>
      <c r="V108" s="63"/>
      <c r="W108" s="63"/>
      <c r="X108" s="63"/>
    </row>
    <row r="109" spans="1:24" ht="12.75">
      <c r="A109" s="69"/>
      <c r="B109" s="63"/>
      <c r="C109" s="63"/>
      <c r="D109" s="63"/>
      <c r="E109" s="63"/>
      <c r="F109" s="63"/>
      <c r="G109" s="63"/>
      <c r="H109" s="63"/>
      <c r="I109" s="63"/>
      <c r="J109" s="63"/>
      <c r="K109" s="63"/>
      <c r="L109" s="63"/>
      <c r="M109" s="63"/>
      <c r="N109" s="63"/>
      <c r="O109" s="63"/>
      <c r="P109" s="63"/>
      <c r="Q109" s="63"/>
      <c r="R109" s="63"/>
      <c r="S109" s="63"/>
      <c r="T109" s="63"/>
      <c r="U109" s="63"/>
      <c r="V109" s="63"/>
      <c r="W109" s="63"/>
      <c r="X109" s="63"/>
    </row>
    <row r="110" spans="1:24" ht="12.75">
      <c r="A110" s="69"/>
      <c r="B110" s="63"/>
      <c r="C110" s="63"/>
      <c r="D110" s="63"/>
      <c r="E110" s="63"/>
      <c r="F110" s="63"/>
      <c r="G110" s="63"/>
      <c r="H110" s="63"/>
      <c r="I110" s="63"/>
      <c r="J110" s="63"/>
      <c r="K110" s="63"/>
      <c r="L110" s="63"/>
      <c r="M110" s="63"/>
      <c r="N110" s="63"/>
      <c r="O110" s="63"/>
      <c r="P110" s="63"/>
      <c r="Q110" s="63"/>
      <c r="R110" s="63"/>
      <c r="S110" s="63"/>
      <c r="T110" s="63"/>
      <c r="U110" s="63"/>
      <c r="V110" s="63"/>
      <c r="W110" s="63"/>
      <c r="X110" s="63"/>
    </row>
    <row r="111" spans="1:24" ht="12.75">
      <c r="A111" s="69"/>
      <c r="B111" s="63"/>
      <c r="C111" s="63"/>
      <c r="D111" s="63"/>
      <c r="E111" s="63"/>
      <c r="F111" s="63"/>
      <c r="G111" s="63"/>
      <c r="H111" s="63"/>
      <c r="I111" s="63"/>
      <c r="J111" s="63"/>
      <c r="K111" s="63"/>
      <c r="L111" s="63"/>
      <c r="M111" s="63"/>
      <c r="N111" s="63"/>
      <c r="O111" s="63"/>
      <c r="P111" s="63"/>
      <c r="Q111" s="63"/>
      <c r="R111" s="63"/>
      <c r="S111" s="63"/>
      <c r="T111" s="63"/>
      <c r="U111" s="63"/>
      <c r="V111" s="63"/>
      <c r="W111" s="63"/>
      <c r="X111" s="63"/>
    </row>
    <row r="112" spans="1:24" ht="12.75">
      <c r="A112" s="69"/>
      <c r="B112" s="63"/>
      <c r="C112" s="63"/>
      <c r="D112" s="63"/>
      <c r="E112" s="63"/>
      <c r="F112" s="63"/>
      <c r="G112" s="63"/>
      <c r="H112" s="63"/>
      <c r="I112" s="63"/>
      <c r="J112" s="63"/>
      <c r="K112" s="63"/>
      <c r="L112" s="63"/>
      <c r="M112" s="63"/>
      <c r="N112" s="63"/>
      <c r="O112" s="63"/>
      <c r="P112" s="63"/>
      <c r="Q112" s="63"/>
      <c r="R112" s="63"/>
      <c r="S112" s="63"/>
      <c r="T112" s="63"/>
      <c r="U112" s="63"/>
      <c r="V112" s="63"/>
      <c r="W112" s="63"/>
      <c r="X112" s="63"/>
    </row>
    <row r="113" spans="1:24" ht="12.75">
      <c r="A113" s="69"/>
      <c r="B113" s="63"/>
      <c r="C113" s="63"/>
      <c r="D113" s="63"/>
      <c r="E113" s="63"/>
      <c r="F113" s="63"/>
      <c r="G113" s="63"/>
      <c r="H113" s="63"/>
      <c r="I113" s="63"/>
      <c r="J113" s="63"/>
      <c r="K113" s="63"/>
      <c r="L113" s="63"/>
      <c r="M113" s="63"/>
      <c r="N113" s="63"/>
      <c r="O113" s="63"/>
      <c r="P113" s="63"/>
      <c r="Q113" s="63"/>
      <c r="R113" s="63"/>
      <c r="S113" s="63"/>
      <c r="T113" s="63"/>
      <c r="U113" s="63"/>
      <c r="V113" s="63"/>
      <c r="W113" s="63"/>
      <c r="X113" s="63"/>
    </row>
    <row r="114" spans="1:24" ht="12.75">
      <c r="A114" s="69"/>
      <c r="B114" s="63"/>
      <c r="C114" s="63"/>
      <c r="D114" s="63"/>
      <c r="E114" s="63"/>
      <c r="F114" s="63"/>
      <c r="G114" s="63"/>
      <c r="H114" s="63"/>
      <c r="I114" s="63"/>
      <c r="J114" s="63"/>
      <c r="K114" s="63"/>
      <c r="L114" s="63"/>
      <c r="M114" s="63"/>
      <c r="N114" s="63"/>
      <c r="O114" s="63"/>
      <c r="P114" s="63"/>
      <c r="Q114" s="63"/>
      <c r="R114" s="63"/>
      <c r="S114" s="63"/>
      <c r="T114" s="63"/>
      <c r="U114" s="63"/>
      <c r="V114" s="63"/>
      <c r="W114" s="63"/>
      <c r="X114" s="63"/>
    </row>
    <row r="115" spans="1:24" ht="12.75">
      <c r="A115" s="69"/>
      <c r="B115" s="63"/>
      <c r="C115" s="63"/>
      <c r="D115" s="63"/>
      <c r="E115" s="63"/>
      <c r="F115" s="63"/>
      <c r="G115" s="63"/>
      <c r="H115" s="63"/>
      <c r="I115" s="63"/>
      <c r="J115" s="63"/>
      <c r="K115" s="63"/>
      <c r="L115" s="63"/>
      <c r="M115" s="63"/>
      <c r="N115" s="63"/>
      <c r="O115" s="63"/>
      <c r="P115" s="63"/>
      <c r="Q115" s="63"/>
      <c r="R115" s="63"/>
      <c r="S115" s="63"/>
      <c r="T115" s="63"/>
      <c r="U115" s="63"/>
      <c r="V115" s="63"/>
      <c r="W115" s="63"/>
      <c r="X115" s="63"/>
    </row>
    <row r="116" spans="1:24" ht="12.75">
      <c r="A116" s="69"/>
      <c r="B116" s="63"/>
      <c r="C116" s="63"/>
      <c r="D116" s="63"/>
      <c r="E116" s="63"/>
      <c r="F116" s="63"/>
      <c r="G116" s="63"/>
      <c r="H116" s="63"/>
      <c r="I116" s="63"/>
      <c r="J116" s="63"/>
      <c r="K116" s="63"/>
      <c r="L116" s="63"/>
      <c r="M116" s="63"/>
      <c r="N116" s="63"/>
      <c r="O116" s="63"/>
      <c r="P116" s="63"/>
      <c r="Q116" s="63"/>
      <c r="R116" s="63"/>
      <c r="S116" s="63"/>
      <c r="T116" s="63"/>
      <c r="U116" s="63"/>
      <c r="V116" s="63"/>
      <c r="W116" s="63"/>
      <c r="X116" s="63"/>
    </row>
    <row r="117" spans="1:24" ht="12.75">
      <c r="A117" s="69"/>
      <c r="B117" s="63"/>
      <c r="C117" s="63"/>
      <c r="D117" s="63"/>
      <c r="E117" s="63"/>
      <c r="F117" s="63"/>
      <c r="G117" s="63"/>
      <c r="H117" s="63"/>
      <c r="I117" s="63"/>
      <c r="J117" s="63"/>
      <c r="K117" s="63"/>
      <c r="L117" s="63"/>
      <c r="M117" s="63"/>
      <c r="N117" s="63"/>
      <c r="O117" s="63"/>
      <c r="P117" s="63"/>
      <c r="Q117" s="63"/>
      <c r="R117" s="63"/>
      <c r="S117" s="63"/>
      <c r="T117" s="63"/>
      <c r="U117" s="63"/>
      <c r="V117" s="63"/>
      <c r="W117" s="63"/>
      <c r="X117" s="63"/>
    </row>
    <row r="118" spans="1:24" ht="12.75">
      <c r="A118" s="69"/>
      <c r="B118" s="63"/>
      <c r="C118" s="63"/>
      <c r="D118" s="63"/>
      <c r="E118" s="63"/>
      <c r="F118" s="63"/>
      <c r="G118" s="63"/>
      <c r="H118" s="63"/>
      <c r="I118" s="63"/>
      <c r="J118" s="63"/>
      <c r="K118" s="63"/>
      <c r="L118" s="63"/>
      <c r="M118" s="63"/>
      <c r="N118" s="63"/>
      <c r="O118" s="63"/>
      <c r="P118" s="63"/>
      <c r="Q118" s="63"/>
      <c r="R118" s="63"/>
      <c r="S118" s="63"/>
      <c r="T118" s="63"/>
      <c r="U118" s="63"/>
      <c r="V118" s="63"/>
      <c r="W118" s="63"/>
      <c r="X118" s="63"/>
    </row>
    <row r="119" spans="1:24" ht="12.75">
      <c r="A119" s="69"/>
      <c r="B119" s="63"/>
      <c r="C119" s="63"/>
      <c r="D119" s="63"/>
      <c r="E119" s="63"/>
      <c r="F119" s="63"/>
      <c r="G119" s="63"/>
      <c r="H119" s="63"/>
      <c r="I119" s="63"/>
      <c r="J119" s="63"/>
      <c r="K119" s="63"/>
      <c r="L119" s="63"/>
      <c r="M119" s="63"/>
      <c r="N119" s="63"/>
      <c r="O119" s="63"/>
      <c r="P119" s="63"/>
      <c r="Q119" s="63"/>
      <c r="R119" s="63"/>
      <c r="S119" s="63"/>
      <c r="T119" s="63"/>
      <c r="U119" s="63"/>
      <c r="V119" s="63"/>
      <c r="W119" s="63"/>
      <c r="X119" s="63"/>
    </row>
    <row r="120" spans="1:24" ht="12.75">
      <c r="A120" s="69"/>
      <c r="B120" s="63"/>
      <c r="C120" s="63"/>
      <c r="D120" s="63"/>
      <c r="E120" s="63"/>
      <c r="F120" s="63"/>
      <c r="G120" s="63"/>
      <c r="H120" s="63"/>
      <c r="I120" s="63"/>
      <c r="J120" s="63"/>
      <c r="K120" s="63"/>
      <c r="L120" s="63"/>
      <c r="M120" s="63"/>
      <c r="N120" s="63"/>
      <c r="O120" s="63"/>
      <c r="P120" s="63"/>
      <c r="Q120" s="63"/>
      <c r="R120" s="63"/>
      <c r="S120" s="63"/>
      <c r="T120" s="63"/>
      <c r="U120" s="63"/>
      <c r="V120" s="63"/>
      <c r="W120" s="63"/>
      <c r="X120" s="63"/>
    </row>
    <row r="121" spans="1:24" ht="12.75">
      <c r="A121" s="69"/>
      <c r="B121" s="63"/>
      <c r="C121" s="63"/>
      <c r="D121" s="63"/>
      <c r="E121" s="63"/>
      <c r="F121" s="63"/>
      <c r="G121" s="63"/>
      <c r="H121" s="63"/>
      <c r="I121" s="63"/>
      <c r="J121" s="63"/>
      <c r="K121" s="63"/>
      <c r="L121" s="63"/>
      <c r="M121" s="63"/>
      <c r="N121" s="63"/>
      <c r="O121" s="63"/>
      <c r="P121" s="63"/>
      <c r="Q121" s="63"/>
      <c r="R121" s="63"/>
      <c r="S121" s="63"/>
      <c r="T121" s="63"/>
      <c r="U121" s="63"/>
      <c r="V121" s="63"/>
      <c r="W121" s="63"/>
      <c r="X121" s="63"/>
    </row>
    <row r="122" spans="1:24" ht="12.75">
      <c r="A122" s="69"/>
      <c r="B122" s="63"/>
      <c r="C122" s="63"/>
      <c r="D122" s="63"/>
      <c r="E122" s="63"/>
      <c r="F122" s="63"/>
      <c r="G122" s="63"/>
      <c r="H122" s="63"/>
      <c r="I122" s="63"/>
      <c r="J122" s="63"/>
      <c r="K122" s="63"/>
      <c r="L122" s="63"/>
      <c r="M122" s="63"/>
      <c r="N122" s="63"/>
      <c r="O122" s="63"/>
      <c r="P122" s="63"/>
      <c r="Q122" s="63"/>
      <c r="R122" s="63"/>
      <c r="S122" s="63"/>
      <c r="T122" s="63"/>
      <c r="U122" s="63"/>
      <c r="V122" s="63"/>
      <c r="W122" s="63"/>
      <c r="X122" s="63"/>
    </row>
    <row r="123" spans="1:24" ht="12.75">
      <c r="A123" s="69"/>
      <c r="B123" s="63"/>
      <c r="C123" s="63"/>
      <c r="D123" s="63"/>
      <c r="E123" s="63"/>
      <c r="F123" s="63"/>
      <c r="G123" s="63"/>
      <c r="H123" s="63"/>
      <c r="I123" s="63"/>
      <c r="J123" s="63"/>
      <c r="K123" s="63"/>
      <c r="L123" s="63"/>
      <c r="M123" s="63"/>
      <c r="N123" s="63"/>
      <c r="O123" s="63"/>
      <c r="P123" s="63"/>
      <c r="Q123" s="63"/>
      <c r="R123" s="63"/>
      <c r="S123" s="63"/>
      <c r="T123" s="63"/>
      <c r="U123" s="63"/>
      <c r="V123" s="63"/>
      <c r="W123" s="63"/>
      <c r="X123" s="63"/>
    </row>
    <row r="124" spans="1:24" ht="12.75">
      <c r="A124" s="69"/>
      <c r="B124" s="63"/>
      <c r="C124" s="63"/>
      <c r="D124" s="63"/>
      <c r="E124" s="63"/>
      <c r="F124" s="63"/>
      <c r="G124" s="63"/>
      <c r="H124" s="63"/>
      <c r="I124" s="63"/>
      <c r="J124" s="63"/>
      <c r="K124" s="63"/>
      <c r="L124" s="63"/>
      <c r="M124" s="63"/>
      <c r="N124" s="63"/>
      <c r="O124" s="63"/>
      <c r="P124" s="63"/>
      <c r="Q124" s="63"/>
      <c r="R124" s="63"/>
      <c r="S124" s="63"/>
      <c r="T124" s="63"/>
      <c r="U124" s="63"/>
      <c r="V124" s="63"/>
      <c r="W124" s="63"/>
      <c r="X124" s="63"/>
    </row>
    <row r="125" spans="1:24" ht="12.75">
      <c r="A125" s="69"/>
      <c r="B125" s="63"/>
      <c r="C125" s="63"/>
      <c r="D125" s="63"/>
      <c r="E125" s="63"/>
      <c r="F125" s="63"/>
      <c r="G125" s="63"/>
      <c r="H125" s="63"/>
      <c r="I125" s="63"/>
      <c r="J125" s="63"/>
      <c r="K125" s="63"/>
      <c r="L125" s="63"/>
      <c r="M125" s="63"/>
      <c r="N125" s="63"/>
      <c r="O125" s="63"/>
      <c r="P125" s="63"/>
      <c r="Q125" s="63"/>
      <c r="R125" s="63"/>
      <c r="S125" s="63"/>
      <c r="T125" s="63"/>
      <c r="U125" s="63"/>
      <c r="V125" s="63"/>
      <c r="W125" s="63"/>
      <c r="X125" s="63"/>
    </row>
    <row r="126" spans="1:24" ht="12.75">
      <c r="A126" s="69"/>
      <c r="B126" s="63"/>
      <c r="C126" s="63"/>
      <c r="D126" s="63"/>
      <c r="E126" s="63"/>
      <c r="F126" s="63"/>
      <c r="G126" s="63"/>
      <c r="H126" s="63"/>
      <c r="I126" s="63"/>
      <c r="J126" s="63"/>
      <c r="K126" s="63"/>
      <c r="L126" s="63"/>
      <c r="M126" s="63"/>
      <c r="N126" s="63"/>
      <c r="O126" s="63"/>
      <c r="P126" s="63"/>
      <c r="Q126" s="63"/>
      <c r="R126" s="63"/>
      <c r="S126" s="63"/>
      <c r="T126" s="63"/>
      <c r="U126" s="63"/>
      <c r="V126" s="63"/>
      <c r="W126" s="63"/>
      <c r="X126" s="63"/>
    </row>
    <row r="127" spans="1:24" ht="12.75">
      <c r="A127" s="69"/>
      <c r="B127" s="63"/>
      <c r="C127" s="63"/>
      <c r="D127" s="63"/>
      <c r="E127" s="63"/>
      <c r="F127" s="63"/>
      <c r="G127" s="63"/>
      <c r="H127" s="63"/>
      <c r="I127" s="63"/>
      <c r="J127" s="63"/>
      <c r="K127" s="63"/>
      <c r="L127" s="63"/>
      <c r="M127" s="63"/>
      <c r="N127" s="63"/>
      <c r="O127" s="63"/>
      <c r="P127" s="63"/>
      <c r="Q127" s="63"/>
      <c r="R127" s="63"/>
      <c r="S127" s="63"/>
      <c r="T127" s="63"/>
      <c r="U127" s="63"/>
      <c r="V127" s="63"/>
      <c r="W127" s="63"/>
      <c r="X127" s="63"/>
    </row>
    <row r="128" spans="1:24" ht="12.75">
      <c r="A128" s="69"/>
      <c r="B128" s="63"/>
      <c r="C128" s="63"/>
      <c r="D128" s="63"/>
      <c r="E128" s="63"/>
      <c r="F128" s="63"/>
      <c r="G128" s="63"/>
      <c r="H128" s="63"/>
      <c r="I128" s="63"/>
      <c r="J128" s="63"/>
      <c r="K128" s="63"/>
      <c r="L128" s="63"/>
      <c r="M128" s="63"/>
      <c r="N128" s="63"/>
      <c r="O128" s="63"/>
      <c r="P128" s="63"/>
      <c r="Q128" s="63"/>
      <c r="R128" s="63"/>
      <c r="S128" s="63"/>
      <c r="T128" s="63"/>
      <c r="U128" s="63"/>
      <c r="V128" s="63"/>
      <c r="W128" s="63"/>
      <c r="X128" s="63"/>
    </row>
    <row r="129" spans="1:24" ht="12.75">
      <c r="A129" s="69"/>
      <c r="B129" s="63"/>
      <c r="C129" s="63"/>
      <c r="D129" s="63"/>
      <c r="E129" s="63"/>
      <c r="F129" s="63"/>
      <c r="G129" s="63"/>
      <c r="H129" s="63"/>
      <c r="I129" s="63"/>
      <c r="J129" s="63"/>
      <c r="K129" s="63"/>
      <c r="L129" s="63"/>
      <c r="M129" s="63"/>
      <c r="N129" s="63"/>
      <c r="O129" s="63"/>
      <c r="P129" s="63"/>
      <c r="Q129" s="63"/>
      <c r="R129" s="63"/>
      <c r="S129" s="63"/>
      <c r="T129" s="63"/>
      <c r="U129" s="63"/>
      <c r="V129" s="63"/>
      <c r="W129" s="63"/>
      <c r="X129" s="63"/>
    </row>
    <row r="130" spans="1:24" ht="12.75">
      <c r="A130" s="69"/>
      <c r="B130" s="63"/>
      <c r="C130" s="63"/>
      <c r="D130" s="63"/>
      <c r="E130" s="63"/>
      <c r="F130" s="63"/>
      <c r="G130" s="63"/>
      <c r="H130" s="63"/>
      <c r="I130" s="63"/>
      <c r="J130" s="63"/>
      <c r="K130" s="63"/>
      <c r="L130" s="63"/>
      <c r="M130" s="63"/>
      <c r="N130" s="63"/>
      <c r="O130" s="63"/>
      <c r="P130" s="63"/>
      <c r="Q130" s="63"/>
      <c r="R130" s="63"/>
      <c r="S130" s="63"/>
      <c r="T130" s="63"/>
      <c r="U130" s="63"/>
      <c r="V130" s="63"/>
      <c r="W130" s="63"/>
      <c r="X130" s="63"/>
    </row>
    <row r="131" spans="1:24" ht="12.75">
      <c r="A131" s="69"/>
      <c r="B131" s="63"/>
      <c r="C131" s="63"/>
      <c r="D131" s="63"/>
      <c r="E131" s="63"/>
      <c r="F131" s="63"/>
      <c r="G131" s="63"/>
      <c r="H131" s="63"/>
      <c r="I131" s="63"/>
      <c r="J131" s="63"/>
      <c r="K131" s="63"/>
      <c r="L131" s="63"/>
      <c r="M131" s="63"/>
      <c r="N131" s="63"/>
      <c r="O131" s="63"/>
      <c r="P131" s="63"/>
      <c r="Q131" s="63"/>
      <c r="R131" s="63"/>
      <c r="S131" s="63"/>
      <c r="T131" s="63"/>
      <c r="U131" s="63"/>
      <c r="V131" s="63"/>
      <c r="W131" s="63"/>
      <c r="X131" s="63"/>
    </row>
    <row r="132" spans="1:24" ht="12.75">
      <c r="A132" s="69"/>
      <c r="B132" s="63"/>
      <c r="C132" s="63"/>
      <c r="D132" s="63"/>
      <c r="E132" s="63"/>
      <c r="F132" s="63"/>
      <c r="G132" s="63"/>
      <c r="H132" s="63"/>
      <c r="I132" s="63"/>
      <c r="J132" s="63"/>
      <c r="K132" s="63"/>
      <c r="L132" s="63"/>
      <c r="M132" s="63"/>
      <c r="N132" s="63"/>
      <c r="O132" s="63"/>
      <c r="P132" s="63"/>
      <c r="Q132" s="63"/>
      <c r="R132" s="63"/>
      <c r="S132" s="63"/>
      <c r="T132" s="63"/>
      <c r="U132" s="63"/>
      <c r="V132" s="63"/>
      <c r="W132" s="63"/>
      <c r="X132" s="63"/>
    </row>
    <row r="133" spans="1:24" ht="12.75">
      <c r="A133" s="69"/>
      <c r="B133" s="63"/>
      <c r="C133" s="63"/>
      <c r="D133" s="63"/>
      <c r="E133" s="63"/>
      <c r="F133" s="63"/>
      <c r="G133" s="63"/>
      <c r="H133" s="63"/>
      <c r="I133" s="63"/>
      <c r="J133" s="63"/>
      <c r="K133" s="63"/>
      <c r="L133" s="63"/>
      <c r="M133" s="63"/>
      <c r="N133" s="63"/>
      <c r="O133" s="63"/>
      <c r="P133" s="63"/>
      <c r="Q133" s="63"/>
      <c r="R133" s="63"/>
      <c r="S133" s="63"/>
      <c r="T133" s="63"/>
      <c r="U133" s="63"/>
      <c r="V133" s="63"/>
      <c r="W133" s="63"/>
      <c r="X133" s="63"/>
    </row>
    <row r="134" spans="1:24" ht="12.75">
      <c r="A134" s="69"/>
      <c r="B134" s="63"/>
      <c r="C134" s="63"/>
      <c r="D134" s="63"/>
      <c r="E134" s="63"/>
      <c r="F134" s="63"/>
      <c r="G134" s="63"/>
      <c r="H134" s="63"/>
      <c r="I134" s="63"/>
      <c r="J134" s="63"/>
      <c r="K134" s="63"/>
      <c r="L134" s="63"/>
      <c r="M134" s="63"/>
      <c r="N134" s="63"/>
      <c r="O134" s="63"/>
      <c r="P134" s="63"/>
      <c r="Q134" s="63"/>
      <c r="R134" s="63"/>
      <c r="S134" s="63"/>
      <c r="T134" s="63"/>
      <c r="U134" s="63"/>
      <c r="V134" s="63"/>
      <c r="W134" s="63"/>
      <c r="X134" s="63"/>
    </row>
    <row r="135" spans="1:24" ht="12.75">
      <c r="A135" s="69"/>
      <c r="B135" s="63"/>
      <c r="C135" s="63"/>
      <c r="D135" s="63"/>
      <c r="E135" s="63"/>
      <c r="F135" s="63"/>
      <c r="G135" s="63"/>
      <c r="H135" s="63"/>
      <c r="I135" s="63"/>
      <c r="J135" s="63"/>
      <c r="K135" s="63"/>
      <c r="L135" s="63"/>
      <c r="M135" s="63"/>
      <c r="N135" s="63"/>
      <c r="O135" s="63"/>
      <c r="P135" s="63"/>
      <c r="Q135" s="63"/>
      <c r="R135" s="63"/>
      <c r="S135" s="63"/>
      <c r="T135" s="63"/>
      <c r="U135" s="63"/>
      <c r="V135" s="63"/>
      <c r="W135" s="63"/>
      <c r="X135" s="63"/>
    </row>
    <row r="136" spans="1:24" ht="12.75">
      <c r="A136" s="69"/>
      <c r="B136" s="63"/>
      <c r="C136" s="63"/>
      <c r="D136" s="63"/>
      <c r="E136" s="63"/>
      <c r="F136" s="63"/>
      <c r="G136" s="63"/>
      <c r="H136" s="63"/>
      <c r="I136" s="63"/>
      <c r="J136" s="63"/>
      <c r="K136" s="63"/>
      <c r="L136" s="63"/>
      <c r="M136" s="63"/>
      <c r="N136" s="63"/>
      <c r="O136" s="63"/>
      <c r="P136" s="63"/>
      <c r="Q136" s="63"/>
      <c r="R136" s="63"/>
      <c r="S136" s="63"/>
      <c r="T136" s="63"/>
      <c r="U136" s="63"/>
      <c r="V136" s="63"/>
      <c r="W136" s="63"/>
      <c r="X136" s="63"/>
    </row>
    <row r="137" spans="1:24" ht="12.75">
      <c r="A137" s="69"/>
      <c r="B137" s="63"/>
      <c r="C137" s="63"/>
      <c r="D137" s="63"/>
      <c r="E137" s="63"/>
      <c r="F137" s="63"/>
      <c r="G137" s="63"/>
      <c r="H137" s="63"/>
      <c r="I137" s="63"/>
      <c r="J137" s="63"/>
      <c r="K137" s="63"/>
      <c r="L137" s="63"/>
      <c r="M137" s="63"/>
      <c r="N137" s="63"/>
      <c r="O137" s="63"/>
      <c r="P137" s="63"/>
      <c r="Q137" s="63"/>
      <c r="R137" s="63"/>
      <c r="S137" s="63"/>
      <c r="T137" s="63"/>
      <c r="U137" s="63"/>
      <c r="V137" s="63"/>
      <c r="W137" s="63"/>
      <c r="X137" s="63"/>
    </row>
    <row r="138" spans="1:24" ht="12.75">
      <c r="A138" s="69"/>
      <c r="B138" s="63"/>
      <c r="C138" s="63"/>
      <c r="D138" s="63"/>
      <c r="E138" s="63"/>
      <c r="F138" s="63"/>
      <c r="G138" s="63"/>
      <c r="H138" s="63"/>
      <c r="I138" s="63"/>
      <c r="J138" s="63"/>
      <c r="K138" s="63"/>
      <c r="L138" s="63"/>
      <c r="M138" s="63"/>
      <c r="N138" s="63"/>
      <c r="O138" s="63"/>
      <c r="P138" s="63"/>
      <c r="Q138" s="63"/>
      <c r="R138" s="63"/>
      <c r="S138" s="63"/>
      <c r="T138" s="63"/>
      <c r="U138" s="63"/>
      <c r="V138" s="63"/>
      <c r="W138" s="63"/>
      <c r="X138" s="63"/>
    </row>
    <row r="139" spans="1:24" ht="12.75">
      <c r="A139" s="69"/>
      <c r="B139" s="63"/>
      <c r="C139" s="63"/>
      <c r="D139" s="63"/>
      <c r="E139" s="63"/>
      <c r="F139" s="63"/>
      <c r="G139" s="63"/>
      <c r="H139" s="63"/>
      <c r="I139" s="63"/>
      <c r="J139" s="63"/>
      <c r="K139" s="63"/>
      <c r="L139" s="63"/>
      <c r="M139" s="63"/>
      <c r="N139" s="63"/>
      <c r="O139" s="63"/>
      <c r="P139" s="63"/>
      <c r="Q139" s="63"/>
      <c r="R139" s="63"/>
      <c r="S139" s="63"/>
      <c r="T139" s="63"/>
      <c r="U139" s="63"/>
      <c r="V139" s="63"/>
      <c r="W139" s="63"/>
      <c r="X139" s="63"/>
    </row>
    <row r="140" spans="1:24" ht="12.75">
      <c r="A140" s="69"/>
      <c r="B140" s="63"/>
      <c r="C140" s="63"/>
      <c r="D140" s="63"/>
      <c r="E140" s="63"/>
      <c r="F140" s="63"/>
      <c r="G140" s="63"/>
      <c r="H140" s="63"/>
      <c r="I140" s="63"/>
      <c r="J140" s="63"/>
      <c r="K140" s="63"/>
      <c r="L140" s="63"/>
      <c r="M140" s="63"/>
      <c r="N140" s="63"/>
      <c r="O140" s="63"/>
      <c r="P140" s="63"/>
      <c r="Q140" s="63"/>
      <c r="R140" s="63"/>
      <c r="S140" s="63"/>
      <c r="T140" s="63"/>
      <c r="U140" s="63"/>
      <c r="V140" s="63"/>
      <c r="W140" s="63"/>
      <c r="X140" s="63"/>
    </row>
    <row r="141" spans="1:24" ht="12.75">
      <c r="A141" s="69"/>
      <c r="B141" s="63"/>
      <c r="C141" s="63"/>
      <c r="D141" s="63"/>
      <c r="E141" s="63"/>
      <c r="F141" s="63"/>
      <c r="G141" s="63"/>
      <c r="H141" s="63"/>
      <c r="I141" s="63"/>
      <c r="J141" s="63"/>
      <c r="K141" s="63"/>
      <c r="L141" s="63"/>
      <c r="M141" s="63"/>
      <c r="N141" s="63"/>
      <c r="O141" s="63"/>
      <c r="P141" s="63"/>
      <c r="Q141" s="63"/>
      <c r="R141" s="63"/>
      <c r="S141" s="63"/>
      <c r="T141" s="63"/>
      <c r="U141" s="63"/>
      <c r="V141" s="63"/>
      <c r="W141" s="63"/>
      <c r="X141" s="63"/>
    </row>
    <row r="142" spans="1:24" ht="12.75">
      <c r="A142" s="69"/>
      <c r="B142" s="63"/>
      <c r="C142" s="63"/>
      <c r="D142" s="63"/>
      <c r="E142" s="63"/>
      <c r="F142" s="63"/>
      <c r="G142" s="63"/>
      <c r="H142" s="63"/>
      <c r="I142" s="63"/>
      <c r="J142" s="63"/>
      <c r="K142" s="63"/>
      <c r="L142" s="63"/>
      <c r="M142" s="63"/>
      <c r="N142" s="63"/>
      <c r="O142" s="63"/>
      <c r="P142" s="63"/>
      <c r="Q142" s="63"/>
      <c r="R142" s="63"/>
      <c r="S142" s="63"/>
      <c r="T142" s="63"/>
      <c r="U142" s="63"/>
      <c r="V142" s="63"/>
      <c r="W142" s="63"/>
      <c r="X142" s="63"/>
    </row>
    <row r="143" spans="1:24" ht="12.75">
      <c r="A143" s="69"/>
      <c r="B143" s="63"/>
      <c r="C143" s="63"/>
      <c r="D143" s="63"/>
      <c r="E143" s="63"/>
      <c r="F143" s="63"/>
      <c r="G143" s="63"/>
      <c r="H143" s="63"/>
      <c r="I143" s="63"/>
      <c r="J143" s="63"/>
      <c r="K143" s="63"/>
      <c r="L143" s="63"/>
      <c r="M143" s="63"/>
      <c r="N143" s="63"/>
      <c r="O143" s="63"/>
      <c r="P143" s="63"/>
      <c r="Q143" s="63"/>
      <c r="R143" s="63"/>
      <c r="S143" s="63"/>
      <c r="T143" s="63"/>
      <c r="U143" s="63"/>
      <c r="V143" s="63"/>
      <c r="W143" s="63"/>
      <c r="X143" s="63"/>
    </row>
    <row r="144" spans="1:24" ht="12.75">
      <c r="A144" s="69"/>
      <c r="B144" s="63"/>
      <c r="C144" s="63"/>
      <c r="D144" s="63"/>
      <c r="E144" s="63"/>
      <c r="F144" s="63"/>
      <c r="G144" s="63"/>
      <c r="H144" s="63"/>
      <c r="I144" s="63"/>
      <c r="J144" s="63"/>
      <c r="K144" s="63"/>
      <c r="L144" s="63"/>
      <c r="M144" s="63"/>
      <c r="N144" s="63"/>
      <c r="O144" s="63"/>
      <c r="P144" s="63"/>
      <c r="Q144" s="63"/>
      <c r="R144" s="63"/>
      <c r="S144" s="63"/>
      <c r="T144" s="63"/>
      <c r="U144" s="63"/>
      <c r="V144" s="63"/>
      <c r="W144" s="63"/>
      <c r="X144" s="63"/>
    </row>
    <row r="145" spans="1:24" ht="12.75">
      <c r="A145" s="69"/>
      <c r="B145" s="63"/>
      <c r="C145" s="63"/>
      <c r="D145" s="63"/>
      <c r="E145" s="63"/>
      <c r="F145" s="63"/>
      <c r="G145" s="63"/>
      <c r="H145" s="63"/>
      <c r="I145" s="63"/>
      <c r="J145" s="63"/>
      <c r="K145" s="63"/>
      <c r="L145" s="63"/>
      <c r="M145" s="63"/>
      <c r="N145" s="63"/>
      <c r="O145" s="63"/>
      <c r="P145" s="63"/>
      <c r="Q145" s="63"/>
      <c r="R145" s="63"/>
      <c r="S145" s="63"/>
      <c r="T145" s="63"/>
      <c r="U145" s="63"/>
      <c r="V145" s="63"/>
      <c r="W145" s="63"/>
      <c r="X145" s="63"/>
    </row>
    <row r="146" spans="1:24" ht="12.75">
      <c r="A146" s="69"/>
      <c r="B146" s="63"/>
      <c r="C146" s="63"/>
      <c r="D146" s="63"/>
      <c r="E146" s="63"/>
      <c r="F146" s="63"/>
      <c r="G146" s="63"/>
      <c r="H146" s="63"/>
      <c r="I146" s="63"/>
      <c r="J146" s="63"/>
      <c r="K146" s="63"/>
      <c r="L146" s="63"/>
      <c r="M146" s="63"/>
      <c r="N146" s="63"/>
      <c r="O146" s="63"/>
      <c r="P146" s="63"/>
      <c r="Q146" s="63"/>
      <c r="R146" s="63"/>
      <c r="S146" s="63"/>
      <c r="T146" s="63"/>
      <c r="U146" s="63"/>
      <c r="V146" s="63"/>
      <c r="W146" s="63"/>
      <c r="X146" s="63"/>
    </row>
    <row r="147" spans="1:24" ht="12.75">
      <c r="A147" s="69"/>
      <c r="B147" s="63"/>
      <c r="C147" s="63"/>
      <c r="D147" s="63"/>
      <c r="E147" s="63"/>
      <c r="F147" s="63"/>
      <c r="G147" s="63"/>
      <c r="H147" s="63"/>
      <c r="I147" s="63"/>
      <c r="J147" s="63"/>
      <c r="K147" s="63"/>
      <c r="L147" s="63"/>
      <c r="M147" s="63"/>
      <c r="N147" s="63"/>
      <c r="O147" s="63"/>
      <c r="P147" s="63"/>
      <c r="Q147" s="63"/>
      <c r="R147" s="63"/>
      <c r="S147" s="63"/>
      <c r="T147" s="63"/>
      <c r="U147" s="63"/>
      <c r="V147" s="63"/>
      <c r="W147" s="63"/>
      <c r="X147" s="63"/>
    </row>
    <row r="148" spans="1:24" ht="12.75">
      <c r="A148" s="69"/>
      <c r="B148" s="63"/>
      <c r="C148" s="63"/>
      <c r="D148" s="63"/>
      <c r="E148" s="63"/>
      <c r="F148" s="63"/>
      <c r="G148" s="63"/>
      <c r="H148" s="63"/>
      <c r="I148" s="63"/>
      <c r="J148" s="63"/>
      <c r="K148" s="63"/>
      <c r="L148" s="63"/>
      <c r="M148" s="63"/>
      <c r="N148" s="63"/>
      <c r="O148" s="63"/>
      <c r="P148" s="63"/>
      <c r="Q148" s="63"/>
      <c r="R148" s="63"/>
      <c r="S148" s="63"/>
      <c r="T148" s="63"/>
      <c r="U148" s="63"/>
      <c r="V148" s="63"/>
      <c r="W148" s="63"/>
      <c r="X148" s="63"/>
    </row>
    <row r="149" spans="1:24" ht="12.75">
      <c r="A149" s="69"/>
      <c r="B149" s="63"/>
      <c r="C149" s="63"/>
      <c r="D149" s="63"/>
      <c r="E149" s="63"/>
      <c r="F149" s="63"/>
      <c r="G149" s="63"/>
      <c r="H149" s="63"/>
      <c r="I149" s="63"/>
      <c r="J149" s="63"/>
      <c r="K149" s="63"/>
      <c r="L149" s="63"/>
      <c r="M149" s="63"/>
      <c r="N149" s="63"/>
      <c r="O149" s="63"/>
      <c r="P149" s="63"/>
      <c r="Q149" s="63"/>
      <c r="R149" s="63"/>
      <c r="S149" s="63"/>
      <c r="T149" s="63"/>
      <c r="U149" s="63"/>
      <c r="V149" s="63"/>
      <c r="W149" s="63"/>
      <c r="X149" s="63"/>
    </row>
    <row r="150" spans="1:24" ht="12.75">
      <c r="A150" s="69"/>
      <c r="B150" s="63"/>
      <c r="C150" s="63"/>
      <c r="D150" s="63"/>
      <c r="E150" s="63"/>
      <c r="F150" s="63"/>
      <c r="G150" s="63"/>
      <c r="H150" s="63"/>
      <c r="I150" s="63"/>
      <c r="J150" s="63"/>
      <c r="K150" s="63"/>
      <c r="L150" s="63"/>
      <c r="M150" s="63"/>
      <c r="N150" s="63"/>
      <c r="O150" s="63"/>
      <c r="P150" s="63"/>
      <c r="Q150" s="63"/>
      <c r="R150" s="63"/>
      <c r="S150" s="63"/>
      <c r="T150" s="63"/>
      <c r="U150" s="63"/>
      <c r="V150" s="63"/>
      <c r="W150" s="63"/>
      <c r="X150" s="63"/>
    </row>
    <row r="151" spans="1:24" ht="12.75">
      <c r="A151" s="69"/>
      <c r="B151" s="63"/>
      <c r="C151" s="63"/>
      <c r="D151" s="63"/>
      <c r="E151" s="63"/>
      <c r="F151" s="63"/>
      <c r="G151" s="63"/>
      <c r="H151" s="63"/>
      <c r="I151" s="63"/>
      <c r="J151" s="63"/>
      <c r="K151" s="63"/>
      <c r="L151" s="63"/>
      <c r="M151" s="63"/>
      <c r="N151" s="63"/>
      <c r="O151" s="63"/>
      <c r="P151" s="63"/>
      <c r="Q151" s="63"/>
      <c r="R151" s="63"/>
      <c r="S151" s="63"/>
      <c r="T151" s="63"/>
      <c r="U151" s="63"/>
      <c r="V151" s="63"/>
      <c r="W151" s="63"/>
      <c r="X151" s="63"/>
    </row>
    <row r="152" spans="1:24" ht="12.75">
      <c r="A152" s="69"/>
      <c r="B152" s="63"/>
      <c r="C152" s="63"/>
      <c r="D152" s="63"/>
      <c r="E152" s="63"/>
      <c r="F152" s="63"/>
      <c r="G152" s="63"/>
      <c r="H152" s="63"/>
      <c r="I152" s="63"/>
      <c r="J152" s="63"/>
      <c r="K152" s="63"/>
      <c r="L152" s="63"/>
      <c r="M152" s="63"/>
      <c r="N152" s="63"/>
      <c r="O152" s="63"/>
      <c r="P152" s="63"/>
      <c r="Q152" s="63"/>
      <c r="R152" s="63"/>
      <c r="S152" s="63"/>
      <c r="T152" s="63"/>
      <c r="U152" s="63"/>
      <c r="V152" s="63"/>
      <c r="W152" s="63"/>
      <c r="X152" s="63"/>
    </row>
    <row r="153" spans="1:24" ht="12.75">
      <c r="A153" s="69"/>
      <c r="B153" s="63"/>
      <c r="C153" s="63"/>
      <c r="D153" s="63"/>
      <c r="E153" s="63"/>
      <c r="F153" s="63"/>
      <c r="G153" s="63"/>
      <c r="H153" s="63"/>
      <c r="I153" s="63"/>
      <c r="J153" s="63"/>
      <c r="K153" s="63"/>
      <c r="L153" s="63"/>
      <c r="M153" s="63"/>
      <c r="N153" s="63"/>
      <c r="O153" s="63"/>
      <c r="P153" s="63"/>
      <c r="Q153" s="63"/>
      <c r="R153" s="63"/>
      <c r="S153" s="63"/>
      <c r="T153" s="63"/>
      <c r="U153" s="63"/>
      <c r="V153" s="63"/>
      <c r="W153" s="63"/>
      <c r="X153" s="63"/>
    </row>
    <row r="154" spans="1:24" ht="12.75">
      <c r="A154" s="69"/>
      <c r="B154" s="63"/>
      <c r="C154" s="63"/>
      <c r="D154" s="63"/>
      <c r="E154" s="63"/>
      <c r="F154" s="63"/>
      <c r="G154" s="63"/>
      <c r="H154" s="63"/>
      <c r="I154" s="63"/>
      <c r="J154" s="63"/>
      <c r="K154" s="63"/>
      <c r="L154" s="63"/>
      <c r="M154" s="63"/>
      <c r="N154" s="63"/>
      <c r="O154" s="63"/>
      <c r="P154" s="63"/>
      <c r="Q154" s="63"/>
      <c r="R154" s="63"/>
      <c r="S154" s="63"/>
      <c r="T154" s="63"/>
      <c r="U154" s="63"/>
      <c r="V154" s="63"/>
      <c r="W154" s="63"/>
      <c r="X154" s="63"/>
    </row>
    <row r="155" spans="1:24" ht="12.75">
      <c r="A155" s="69"/>
      <c r="B155" s="63"/>
      <c r="C155" s="63"/>
      <c r="D155" s="63"/>
      <c r="E155" s="63"/>
      <c r="F155" s="63"/>
      <c r="G155" s="63"/>
      <c r="H155" s="63"/>
      <c r="I155" s="63"/>
      <c r="J155" s="63"/>
      <c r="K155" s="63"/>
      <c r="L155" s="63"/>
      <c r="M155" s="63"/>
      <c r="N155" s="63"/>
      <c r="O155" s="63"/>
      <c r="P155" s="63"/>
      <c r="Q155" s="63"/>
      <c r="R155" s="63"/>
      <c r="S155" s="63"/>
      <c r="T155" s="63"/>
      <c r="U155" s="63"/>
      <c r="V155" s="63"/>
      <c r="W155" s="63"/>
      <c r="X155" s="63"/>
    </row>
    <row r="156" spans="1:24" ht="12.75">
      <c r="A156" s="69"/>
      <c r="B156" s="63"/>
      <c r="C156" s="63"/>
      <c r="D156" s="63"/>
      <c r="E156" s="63"/>
      <c r="F156" s="63"/>
      <c r="G156" s="63"/>
      <c r="H156" s="63"/>
      <c r="I156" s="63"/>
      <c r="J156" s="63"/>
      <c r="K156" s="63"/>
      <c r="L156" s="63"/>
      <c r="M156" s="63"/>
      <c r="N156" s="63"/>
      <c r="O156" s="63"/>
      <c r="P156" s="63"/>
      <c r="Q156" s="63"/>
      <c r="R156" s="63"/>
      <c r="S156" s="63"/>
      <c r="T156" s="63"/>
      <c r="U156" s="63"/>
      <c r="V156" s="63"/>
      <c r="W156" s="63"/>
      <c r="X156" s="63"/>
    </row>
    <row r="157" spans="1:24" ht="12.75">
      <c r="A157" s="69"/>
      <c r="B157" s="63"/>
      <c r="C157" s="63"/>
      <c r="D157" s="63"/>
      <c r="E157" s="63"/>
      <c r="F157" s="63"/>
      <c r="G157" s="63"/>
      <c r="H157" s="63"/>
      <c r="I157" s="63"/>
      <c r="J157" s="63"/>
      <c r="K157" s="63"/>
      <c r="L157" s="63"/>
      <c r="M157" s="63"/>
      <c r="N157" s="63"/>
      <c r="O157" s="63"/>
      <c r="P157" s="63"/>
      <c r="Q157" s="63"/>
      <c r="R157" s="63"/>
      <c r="S157" s="63"/>
      <c r="T157" s="63"/>
      <c r="U157" s="63"/>
      <c r="V157" s="63"/>
      <c r="W157" s="63"/>
      <c r="X157" s="63"/>
    </row>
    <row r="158" spans="1:24" ht="12.75">
      <c r="A158" s="69"/>
      <c r="B158" s="63"/>
      <c r="C158" s="63"/>
      <c r="D158" s="63"/>
      <c r="E158" s="63"/>
      <c r="F158" s="63"/>
      <c r="G158" s="63"/>
      <c r="H158" s="63"/>
      <c r="I158" s="63"/>
      <c r="J158" s="63"/>
      <c r="K158" s="63"/>
      <c r="L158" s="63"/>
      <c r="M158" s="63"/>
      <c r="N158" s="63"/>
      <c r="O158" s="63"/>
      <c r="P158" s="63"/>
      <c r="Q158" s="63"/>
      <c r="R158" s="63"/>
      <c r="S158" s="63"/>
      <c r="T158" s="63"/>
      <c r="U158" s="63"/>
      <c r="V158" s="63"/>
      <c r="W158" s="63"/>
      <c r="X158" s="63"/>
    </row>
    <row r="159" spans="1:24" ht="12.75">
      <c r="A159" s="69"/>
      <c r="B159" s="63"/>
      <c r="C159" s="63"/>
      <c r="D159" s="63"/>
      <c r="E159" s="63"/>
      <c r="F159" s="63"/>
      <c r="G159" s="63"/>
      <c r="H159" s="63"/>
      <c r="I159" s="63"/>
      <c r="J159" s="63"/>
      <c r="K159" s="63"/>
      <c r="L159" s="63"/>
      <c r="M159" s="63"/>
      <c r="N159" s="63"/>
      <c r="O159" s="63"/>
      <c r="P159" s="63"/>
      <c r="Q159" s="63"/>
      <c r="R159" s="63"/>
      <c r="S159" s="63"/>
      <c r="T159" s="63"/>
      <c r="U159" s="63"/>
      <c r="V159" s="63"/>
      <c r="W159" s="63"/>
      <c r="X159" s="63"/>
    </row>
    <row r="160" spans="1:24" ht="12.75">
      <c r="A160" s="69"/>
      <c r="B160" s="63"/>
      <c r="C160" s="63"/>
      <c r="D160" s="63"/>
      <c r="E160" s="63"/>
      <c r="F160" s="63"/>
      <c r="G160" s="63"/>
      <c r="H160" s="63"/>
      <c r="I160" s="63"/>
      <c r="J160" s="63"/>
      <c r="K160" s="63"/>
      <c r="L160" s="63"/>
      <c r="M160" s="63"/>
      <c r="N160" s="63"/>
      <c r="O160" s="63"/>
      <c r="P160" s="63"/>
      <c r="Q160" s="63"/>
      <c r="R160" s="63"/>
      <c r="S160" s="63"/>
      <c r="T160" s="63"/>
      <c r="U160" s="63"/>
      <c r="V160" s="63"/>
      <c r="W160" s="63"/>
      <c r="X160" s="63"/>
    </row>
    <row r="161" spans="1:24" ht="12.75">
      <c r="A161" s="69"/>
      <c r="B161" s="63"/>
      <c r="C161" s="63"/>
      <c r="D161" s="63"/>
      <c r="E161" s="63"/>
      <c r="F161" s="63"/>
      <c r="G161" s="63"/>
      <c r="H161" s="63"/>
      <c r="I161" s="63"/>
      <c r="J161" s="63"/>
      <c r="K161" s="63"/>
      <c r="L161" s="63"/>
      <c r="M161" s="63"/>
      <c r="N161" s="63"/>
      <c r="O161" s="63"/>
      <c r="P161" s="63"/>
      <c r="Q161" s="63"/>
      <c r="R161" s="63"/>
      <c r="S161" s="63"/>
      <c r="T161" s="63"/>
      <c r="U161" s="63"/>
      <c r="V161" s="63"/>
      <c r="W161" s="63"/>
      <c r="X161" s="63"/>
    </row>
    <row r="162" spans="1:24" ht="12.75">
      <c r="A162" s="69"/>
      <c r="B162" s="63"/>
      <c r="C162" s="63"/>
      <c r="D162" s="63"/>
      <c r="E162" s="63"/>
      <c r="F162" s="63"/>
      <c r="G162" s="63"/>
      <c r="H162" s="63"/>
      <c r="I162" s="63"/>
      <c r="J162" s="63"/>
      <c r="K162" s="63"/>
      <c r="L162" s="63"/>
      <c r="M162" s="63"/>
      <c r="N162" s="63"/>
      <c r="O162" s="63"/>
      <c r="P162" s="63"/>
      <c r="Q162" s="63"/>
      <c r="R162" s="63"/>
      <c r="S162" s="63"/>
      <c r="T162" s="63"/>
      <c r="U162" s="63"/>
      <c r="V162" s="63"/>
      <c r="W162" s="63"/>
      <c r="X162" s="63"/>
    </row>
    <row r="163" spans="1:24" ht="12.75">
      <c r="A163" s="69"/>
      <c r="B163" s="63"/>
      <c r="C163" s="63"/>
      <c r="D163" s="63"/>
      <c r="E163" s="63"/>
      <c r="F163" s="63"/>
      <c r="G163" s="63"/>
      <c r="H163" s="63"/>
      <c r="I163" s="63"/>
      <c r="J163" s="63"/>
      <c r="K163" s="63"/>
      <c r="L163" s="63"/>
      <c r="M163" s="63"/>
      <c r="N163" s="63"/>
      <c r="O163" s="63"/>
      <c r="P163" s="63"/>
      <c r="Q163" s="63"/>
      <c r="R163" s="63"/>
      <c r="S163" s="63"/>
      <c r="T163" s="63"/>
      <c r="U163" s="63"/>
      <c r="V163" s="63"/>
      <c r="W163" s="63"/>
      <c r="X163" s="63"/>
    </row>
    <row r="164" spans="1:24" ht="12.75">
      <c r="A164" s="69"/>
      <c r="B164" s="63"/>
      <c r="C164" s="63"/>
      <c r="D164" s="63"/>
      <c r="E164" s="63"/>
      <c r="F164" s="63"/>
      <c r="G164" s="63"/>
      <c r="H164" s="63"/>
      <c r="I164" s="63"/>
      <c r="J164" s="63"/>
      <c r="K164" s="63"/>
      <c r="L164" s="63"/>
      <c r="M164" s="63"/>
      <c r="N164" s="63"/>
      <c r="O164" s="63"/>
      <c r="P164" s="63"/>
      <c r="Q164" s="63"/>
      <c r="R164" s="63"/>
      <c r="S164" s="63"/>
      <c r="T164" s="63"/>
      <c r="U164" s="63"/>
      <c r="V164" s="63"/>
      <c r="W164" s="63"/>
      <c r="X164" s="63"/>
    </row>
    <row r="165" spans="1:24" ht="12.75">
      <c r="A165" s="69"/>
      <c r="B165" s="63"/>
      <c r="C165" s="63"/>
      <c r="D165" s="63"/>
      <c r="E165" s="63"/>
      <c r="F165" s="63"/>
      <c r="G165" s="63"/>
      <c r="H165" s="63"/>
      <c r="I165" s="63"/>
      <c r="J165" s="63"/>
      <c r="K165" s="63"/>
      <c r="L165" s="63"/>
      <c r="M165" s="63"/>
      <c r="N165" s="63"/>
      <c r="O165" s="63"/>
      <c r="P165" s="63"/>
      <c r="Q165" s="63"/>
      <c r="R165" s="63"/>
      <c r="S165" s="63"/>
      <c r="T165" s="63"/>
      <c r="U165" s="63"/>
      <c r="V165" s="63"/>
      <c r="W165" s="63"/>
      <c r="X165" s="63"/>
    </row>
    <row r="166" spans="1:24" ht="12.75">
      <c r="A166" s="69"/>
      <c r="B166" s="63"/>
      <c r="C166" s="63"/>
      <c r="D166" s="63"/>
      <c r="E166" s="63"/>
      <c r="F166" s="63"/>
      <c r="G166" s="63"/>
      <c r="H166" s="63"/>
      <c r="I166" s="63"/>
      <c r="J166" s="63"/>
      <c r="K166" s="63"/>
      <c r="L166" s="63"/>
      <c r="M166" s="63"/>
      <c r="N166" s="63"/>
      <c r="O166" s="63"/>
      <c r="P166" s="63"/>
      <c r="Q166" s="63"/>
      <c r="R166" s="63"/>
      <c r="S166" s="63"/>
      <c r="T166" s="63"/>
      <c r="U166" s="63"/>
      <c r="V166" s="63"/>
      <c r="W166" s="63"/>
      <c r="X166" s="63"/>
    </row>
    <row r="167" spans="1:24" ht="12.75">
      <c r="A167" s="69"/>
      <c r="B167" s="63"/>
      <c r="C167" s="63"/>
      <c r="D167" s="63"/>
      <c r="E167" s="63"/>
      <c r="F167" s="63"/>
      <c r="G167" s="63"/>
      <c r="H167" s="63"/>
      <c r="I167" s="63"/>
      <c r="J167" s="63"/>
      <c r="K167" s="63"/>
      <c r="L167" s="63"/>
      <c r="M167" s="63"/>
      <c r="N167" s="63"/>
      <c r="O167" s="63"/>
      <c r="P167" s="63"/>
      <c r="Q167" s="63"/>
      <c r="R167" s="63"/>
      <c r="S167" s="63"/>
      <c r="T167" s="63"/>
      <c r="U167" s="63"/>
      <c r="V167" s="63"/>
      <c r="W167" s="63"/>
      <c r="X167" s="63"/>
    </row>
    <row r="168" spans="1:24" ht="12.75">
      <c r="A168" s="69"/>
      <c r="B168" s="63"/>
      <c r="C168" s="63"/>
      <c r="D168" s="63"/>
      <c r="E168" s="63"/>
      <c r="F168" s="63"/>
      <c r="G168" s="63"/>
      <c r="H168" s="63"/>
      <c r="I168" s="63"/>
      <c r="J168" s="63"/>
      <c r="K168" s="63"/>
      <c r="L168" s="63"/>
      <c r="M168" s="63"/>
      <c r="N168" s="63"/>
      <c r="O168" s="63"/>
      <c r="P168" s="63"/>
      <c r="Q168" s="63"/>
      <c r="R168" s="63"/>
      <c r="S168" s="63"/>
      <c r="T168" s="63"/>
      <c r="U168" s="63"/>
      <c r="V168" s="63"/>
      <c r="W168" s="63"/>
      <c r="X168" s="63"/>
    </row>
    <row r="169" spans="1:24" ht="12.75">
      <c r="A169" s="69"/>
      <c r="B169" s="63"/>
      <c r="C169" s="63"/>
      <c r="D169" s="63"/>
      <c r="E169" s="63"/>
      <c r="F169" s="63"/>
      <c r="G169" s="63"/>
      <c r="H169" s="63"/>
      <c r="I169" s="63"/>
      <c r="J169" s="63"/>
      <c r="K169" s="63"/>
      <c r="L169" s="63"/>
      <c r="M169" s="63"/>
      <c r="N169" s="63"/>
      <c r="O169" s="63"/>
      <c r="P169" s="63"/>
      <c r="Q169" s="63"/>
      <c r="R169" s="63"/>
      <c r="S169" s="63"/>
      <c r="T169" s="63"/>
      <c r="U169" s="63"/>
      <c r="V169" s="63"/>
      <c r="W169" s="63"/>
      <c r="X169" s="63"/>
    </row>
    <row r="170" spans="1:24" ht="12.75">
      <c r="A170" s="69"/>
      <c r="B170" s="63"/>
      <c r="C170" s="63"/>
      <c r="D170" s="63"/>
      <c r="E170" s="63"/>
      <c r="F170" s="63"/>
      <c r="G170" s="63"/>
      <c r="H170" s="63"/>
      <c r="I170" s="63"/>
      <c r="J170" s="63"/>
      <c r="K170" s="63"/>
      <c r="L170" s="63"/>
      <c r="M170" s="63"/>
      <c r="N170" s="63"/>
      <c r="O170" s="63"/>
      <c r="P170" s="63"/>
      <c r="Q170" s="63"/>
      <c r="R170" s="63"/>
      <c r="S170" s="63"/>
      <c r="T170" s="63"/>
      <c r="U170" s="63"/>
      <c r="V170" s="63"/>
      <c r="W170" s="63"/>
      <c r="X170" s="63"/>
    </row>
    <row r="171" spans="1:24" ht="12.75">
      <c r="A171" s="69"/>
      <c r="B171" s="63"/>
      <c r="C171" s="63"/>
      <c r="D171" s="63"/>
      <c r="E171" s="63"/>
      <c r="F171" s="63"/>
      <c r="G171" s="63"/>
      <c r="H171" s="63"/>
      <c r="I171" s="63"/>
      <c r="J171" s="63"/>
      <c r="K171" s="63"/>
      <c r="L171" s="63"/>
      <c r="M171" s="63"/>
      <c r="N171" s="63"/>
      <c r="O171" s="63"/>
      <c r="P171" s="63"/>
      <c r="Q171" s="63"/>
      <c r="R171" s="63"/>
      <c r="S171" s="63"/>
      <c r="T171" s="63"/>
      <c r="U171" s="63"/>
      <c r="V171" s="63"/>
      <c r="W171" s="63"/>
      <c r="X171" s="63"/>
    </row>
    <row r="172" spans="1:24" ht="12.75">
      <c r="A172" s="69"/>
      <c r="B172" s="63"/>
      <c r="C172" s="63"/>
      <c r="D172" s="63"/>
      <c r="E172" s="63"/>
      <c r="F172" s="63"/>
      <c r="G172" s="63"/>
      <c r="H172" s="63"/>
      <c r="I172" s="63"/>
      <c r="J172" s="63"/>
      <c r="K172" s="63"/>
      <c r="L172" s="63"/>
      <c r="M172" s="63"/>
      <c r="N172" s="63"/>
      <c r="O172" s="63"/>
      <c r="P172" s="63"/>
      <c r="Q172" s="63"/>
      <c r="R172" s="63"/>
      <c r="S172" s="63"/>
      <c r="T172" s="63"/>
      <c r="U172" s="63"/>
      <c r="V172" s="63"/>
      <c r="W172" s="63"/>
      <c r="X172" s="63"/>
    </row>
    <row r="173" spans="1:24" ht="12.75">
      <c r="A173" s="69"/>
      <c r="B173" s="63"/>
      <c r="C173" s="63"/>
      <c r="D173" s="63"/>
      <c r="E173" s="63"/>
      <c r="F173" s="63"/>
      <c r="G173" s="63"/>
      <c r="H173" s="63"/>
      <c r="I173" s="63"/>
      <c r="J173" s="63"/>
      <c r="K173" s="63"/>
      <c r="L173" s="63"/>
      <c r="M173" s="63"/>
      <c r="N173" s="63"/>
      <c r="O173" s="63"/>
      <c r="P173" s="63"/>
      <c r="Q173" s="63"/>
      <c r="R173" s="63"/>
      <c r="S173" s="63"/>
      <c r="T173" s="63"/>
      <c r="U173" s="63"/>
      <c r="V173" s="63"/>
      <c r="W173" s="63"/>
      <c r="X173" s="63"/>
    </row>
    <row r="174" spans="1:24" ht="12.75">
      <c r="A174" s="69"/>
      <c r="B174" s="63"/>
      <c r="C174" s="63"/>
      <c r="D174" s="63"/>
      <c r="E174" s="63"/>
      <c r="F174" s="63"/>
      <c r="G174" s="63"/>
      <c r="H174" s="63"/>
      <c r="I174" s="63"/>
      <c r="J174" s="63"/>
      <c r="K174" s="63"/>
      <c r="L174" s="63"/>
      <c r="M174" s="63"/>
      <c r="N174" s="63"/>
      <c r="O174" s="63"/>
      <c r="P174" s="63"/>
      <c r="Q174" s="63"/>
      <c r="R174" s="63"/>
      <c r="S174" s="63"/>
      <c r="T174" s="63"/>
      <c r="U174" s="63"/>
      <c r="V174" s="63"/>
      <c r="W174" s="63"/>
      <c r="X174" s="63"/>
    </row>
    <row r="175" spans="1:24" ht="12.75">
      <c r="A175" s="69"/>
      <c r="B175" s="63"/>
      <c r="C175" s="63"/>
      <c r="D175" s="63"/>
      <c r="E175" s="63"/>
      <c r="F175" s="63"/>
      <c r="G175" s="63"/>
      <c r="H175" s="63"/>
      <c r="I175" s="63"/>
      <c r="J175" s="63"/>
      <c r="K175" s="63"/>
      <c r="L175" s="63"/>
      <c r="M175" s="63"/>
      <c r="N175" s="63"/>
      <c r="O175" s="63"/>
      <c r="P175" s="63"/>
      <c r="Q175" s="63"/>
      <c r="R175" s="63"/>
      <c r="S175" s="63"/>
      <c r="T175" s="63"/>
      <c r="U175" s="63"/>
      <c r="V175" s="63"/>
      <c r="W175" s="63"/>
      <c r="X175" s="63"/>
    </row>
    <row r="176" spans="1:24" ht="12.75">
      <c r="A176" s="69"/>
      <c r="B176" s="63"/>
      <c r="C176" s="63"/>
      <c r="D176" s="63"/>
      <c r="E176" s="63"/>
      <c r="F176" s="63"/>
      <c r="G176" s="63"/>
      <c r="H176" s="63"/>
      <c r="I176" s="63"/>
      <c r="J176" s="63"/>
      <c r="K176" s="63"/>
      <c r="L176" s="63"/>
      <c r="M176" s="63"/>
      <c r="N176" s="63"/>
      <c r="O176" s="63"/>
      <c r="P176" s="63"/>
      <c r="Q176" s="63"/>
      <c r="R176" s="63"/>
      <c r="S176" s="63"/>
      <c r="T176" s="63"/>
      <c r="U176" s="63"/>
      <c r="V176" s="63"/>
      <c r="W176" s="63"/>
      <c r="X176" s="63"/>
    </row>
    <row r="177" spans="1:24" ht="12.75">
      <c r="A177" s="69"/>
      <c r="B177" s="63"/>
      <c r="C177" s="63"/>
      <c r="D177" s="63"/>
      <c r="E177" s="63"/>
      <c r="F177" s="63"/>
      <c r="G177" s="63"/>
      <c r="H177" s="63"/>
      <c r="I177" s="63"/>
      <c r="J177" s="63"/>
      <c r="K177" s="63"/>
      <c r="L177" s="63"/>
      <c r="M177" s="63"/>
      <c r="N177" s="63"/>
      <c r="O177" s="63"/>
      <c r="P177" s="63"/>
      <c r="Q177" s="63"/>
      <c r="R177" s="63"/>
      <c r="S177" s="63"/>
      <c r="T177" s="63"/>
      <c r="U177" s="63"/>
      <c r="V177" s="63"/>
      <c r="W177" s="63"/>
      <c r="X177" s="63"/>
    </row>
    <row r="178" spans="1:24" ht="12.75">
      <c r="A178" s="69"/>
      <c r="B178" s="63"/>
      <c r="C178" s="63"/>
      <c r="D178" s="63"/>
      <c r="E178" s="63"/>
      <c r="F178" s="63"/>
      <c r="G178" s="63"/>
      <c r="H178" s="63"/>
      <c r="I178" s="63"/>
      <c r="J178" s="63"/>
      <c r="K178" s="63"/>
      <c r="L178" s="63"/>
      <c r="M178" s="63"/>
      <c r="N178" s="63"/>
      <c r="O178" s="63"/>
      <c r="P178" s="63"/>
      <c r="Q178" s="63"/>
      <c r="R178" s="63"/>
      <c r="S178" s="63"/>
      <c r="T178" s="63"/>
      <c r="U178" s="63"/>
      <c r="V178" s="63"/>
      <c r="W178" s="63"/>
      <c r="X178" s="63"/>
    </row>
    <row r="179" spans="1:24" ht="12.75">
      <c r="A179" s="69"/>
      <c r="B179" s="63"/>
      <c r="C179" s="63"/>
      <c r="D179" s="63"/>
      <c r="E179" s="63"/>
      <c r="F179" s="63"/>
      <c r="G179" s="63"/>
      <c r="H179" s="63"/>
      <c r="I179" s="63"/>
      <c r="J179" s="63"/>
      <c r="K179" s="63"/>
      <c r="L179" s="63"/>
      <c r="M179" s="63"/>
      <c r="N179" s="63"/>
      <c r="O179" s="63"/>
      <c r="P179" s="63"/>
      <c r="Q179" s="63"/>
      <c r="R179" s="63"/>
      <c r="S179" s="63"/>
      <c r="T179" s="63"/>
      <c r="U179" s="63"/>
      <c r="V179" s="63"/>
      <c r="W179" s="63"/>
      <c r="X179" s="63"/>
    </row>
    <row r="180" spans="1:24" ht="12.75">
      <c r="A180" s="69"/>
      <c r="B180" s="63"/>
      <c r="C180" s="63"/>
      <c r="D180" s="63"/>
      <c r="E180" s="63"/>
      <c r="F180" s="63"/>
      <c r="G180" s="63"/>
      <c r="H180" s="63"/>
      <c r="I180" s="63"/>
      <c r="J180" s="63"/>
      <c r="K180" s="63"/>
      <c r="L180" s="63"/>
      <c r="M180" s="63"/>
      <c r="N180" s="63"/>
      <c r="O180" s="63"/>
      <c r="P180" s="63"/>
      <c r="Q180" s="63"/>
      <c r="R180" s="63"/>
      <c r="S180" s="63"/>
      <c r="T180" s="63"/>
      <c r="U180" s="63"/>
      <c r="V180" s="63"/>
      <c r="W180" s="63"/>
      <c r="X180" s="63"/>
    </row>
    <row r="181" spans="1:24" ht="12.75">
      <c r="A181" s="69"/>
      <c r="B181" s="63"/>
      <c r="C181" s="63"/>
      <c r="D181" s="63"/>
      <c r="E181" s="63"/>
      <c r="F181" s="63"/>
      <c r="G181" s="63"/>
      <c r="H181" s="63"/>
      <c r="I181" s="63"/>
      <c r="J181" s="63"/>
      <c r="K181" s="63"/>
      <c r="L181" s="63"/>
      <c r="M181" s="63"/>
      <c r="N181" s="63"/>
      <c r="O181" s="63"/>
      <c r="P181" s="63"/>
      <c r="Q181" s="63"/>
      <c r="R181" s="63"/>
      <c r="S181" s="63"/>
      <c r="T181" s="63"/>
      <c r="U181" s="63"/>
      <c r="V181" s="63"/>
      <c r="W181" s="63"/>
      <c r="X181" s="63"/>
    </row>
    <row r="182" spans="1:24" ht="12.75">
      <c r="A182" s="69"/>
      <c r="B182" s="63"/>
      <c r="C182" s="63"/>
      <c r="D182" s="63"/>
      <c r="E182" s="63"/>
      <c r="F182" s="63"/>
      <c r="G182" s="63"/>
      <c r="H182" s="63"/>
      <c r="I182" s="63"/>
      <c r="J182" s="63"/>
      <c r="K182" s="63"/>
      <c r="L182" s="63"/>
      <c r="M182" s="63"/>
      <c r="N182" s="63"/>
      <c r="O182" s="63"/>
      <c r="P182" s="63"/>
      <c r="Q182" s="63"/>
      <c r="R182" s="63"/>
      <c r="S182" s="63"/>
      <c r="T182" s="63"/>
      <c r="U182" s="63"/>
      <c r="V182" s="63"/>
      <c r="W182" s="63"/>
      <c r="X182" s="63"/>
    </row>
    <row r="183" spans="1:24" ht="12.75">
      <c r="A183" s="69"/>
      <c r="B183" s="63"/>
      <c r="C183" s="63"/>
      <c r="D183" s="63"/>
      <c r="E183" s="63"/>
      <c r="F183" s="63"/>
      <c r="G183" s="63"/>
      <c r="H183" s="63"/>
      <c r="I183" s="63"/>
      <c r="J183" s="63"/>
      <c r="K183" s="63"/>
      <c r="L183" s="63"/>
      <c r="M183" s="63"/>
      <c r="N183" s="63"/>
      <c r="O183" s="63"/>
      <c r="P183" s="63"/>
      <c r="Q183" s="63"/>
      <c r="R183" s="63"/>
      <c r="S183" s="63"/>
      <c r="T183" s="63"/>
      <c r="U183" s="63"/>
      <c r="V183" s="63"/>
      <c r="W183" s="63"/>
      <c r="X183" s="63"/>
    </row>
    <row r="184" spans="1:24" ht="12.75">
      <c r="A184" s="69"/>
      <c r="B184" s="63"/>
      <c r="C184" s="63"/>
      <c r="D184" s="63"/>
      <c r="E184" s="63"/>
      <c r="F184" s="63"/>
      <c r="G184" s="63"/>
      <c r="H184" s="63"/>
      <c r="I184" s="63"/>
      <c r="J184" s="63"/>
      <c r="K184" s="63"/>
      <c r="L184" s="63"/>
      <c r="M184" s="63"/>
      <c r="N184" s="63"/>
      <c r="O184" s="63"/>
      <c r="P184" s="63"/>
      <c r="Q184" s="63"/>
      <c r="R184" s="63"/>
      <c r="S184" s="63"/>
      <c r="T184" s="63"/>
      <c r="U184" s="63"/>
      <c r="V184" s="63"/>
      <c r="W184" s="63"/>
      <c r="X184" s="63"/>
    </row>
    <row r="185" spans="1:24" ht="12.75">
      <c r="A185" s="69"/>
      <c r="B185" s="63"/>
      <c r="C185" s="63"/>
      <c r="D185" s="63"/>
      <c r="E185" s="63"/>
      <c r="F185" s="63"/>
      <c r="G185" s="63"/>
      <c r="H185" s="63"/>
      <c r="I185" s="63"/>
      <c r="J185" s="63"/>
      <c r="K185" s="63"/>
      <c r="L185" s="63"/>
      <c r="M185" s="63"/>
      <c r="N185" s="63"/>
      <c r="O185" s="63"/>
      <c r="P185" s="63"/>
      <c r="Q185" s="63"/>
      <c r="R185" s="63"/>
      <c r="S185" s="63"/>
      <c r="T185" s="63"/>
      <c r="U185" s="63"/>
      <c r="V185" s="63"/>
      <c r="W185" s="63"/>
      <c r="X185" s="63"/>
    </row>
    <row r="186" spans="1:24" ht="12.75">
      <c r="A186" s="69"/>
      <c r="B186" s="63"/>
      <c r="C186" s="63"/>
      <c r="D186" s="63"/>
      <c r="E186" s="63"/>
      <c r="F186" s="63"/>
      <c r="G186" s="63"/>
      <c r="H186" s="63"/>
      <c r="I186" s="63"/>
      <c r="J186" s="63"/>
      <c r="K186" s="63"/>
      <c r="L186" s="63"/>
      <c r="M186" s="63"/>
      <c r="N186" s="63"/>
      <c r="O186" s="63"/>
      <c r="P186" s="63"/>
      <c r="Q186" s="63"/>
      <c r="R186" s="63"/>
      <c r="S186" s="63"/>
      <c r="T186" s="63"/>
      <c r="U186" s="63"/>
      <c r="V186" s="63"/>
      <c r="W186" s="63"/>
      <c r="X186" s="63"/>
    </row>
    <row r="187" spans="1:24" ht="12.75">
      <c r="A187" s="69"/>
      <c r="B187" s="63"/>
      <c r="C187" s="63"/>
      <c r="D187" s="63"/>
      <c r="E187" s="63"/>
      <c r="F187" s="63"/>
      <c r="G187" s="63"/>
      <c r="H187" s="63"/>
      <c r="I187" s="63"/>
      <c r="J187" s="63"/>
      <c r="K187" s="63"/>
      <c r="L187" s="63"/>
      <c r="M187" s="63"/>
      <c r="N187" s="63"/>
      <c r="O187" s="63"/>
      <c r="P187" s="63"/>
      <c r="Q187" s="63"/>
      <c r="R187" s="63"/>
      <c r="S187" s="63"/>
      <c r="T187" s="63"/>
      <c r="U187" s="63"/>
      <c r="V187" s="63"/>
      <c r="W187" s="63"/>
      <c r="X187" s="63"/>
    </row>
    <row r="188" spans="1:24" ht="12.75">
      <c r="A188" s="69"/>
      <c r="B188" s="63"/>
      <c r="C188" s="63"/>
      <c r="D188" s="63"/>
      <c r="E188" s="63"/>
      <c r="F188" s="63"/>
      <c r="G188" s="63"/>
      <c r="H188" s="63"/>
      <c r="I188" s="63"/>
      <c r="J188" s="63"/>
      <c r="K188" s="63"/>
      <c r="L188" s="63"/>
      <c r="M188" s="63"/>
      <c r="N188" s="63"/>
      <c r="O188" s="63"/>
      <c r="P188" s="63"/>
      <c r="Q188" s="63"/>
      <c r="R188" s="63"/>
      <c r="S188" s="63"/>
      <c r="T188" s="63"/>
      <c r="U188" s="63"/>
      <c r="V188" s="63"/>
      <c r="W188" s="63"/>
      <c r="X188" s="63"/>
    </row>
    <row r="189" spans="1:24" ht="12.75">
      <c r="A189" s="69"/>
      <c r="B189" s="63"/>
      <c r="C189" s="63"/>
      <c r="D189" s="63"/>
      <c r="E189" s="63"/>
      <c r="F189" s="63"/>
      <c r="G189" s="63"/>
      <c r="H189" s="63"/>
      <c r="I189" s="63"/>
      <c r="J189" s="63"/>
      <c r="K189" s="63"/>
      <c r="L189" s="63"/>
      <c r="M189" s="63"/>
      <c r="N189" s="63"/>
      <c r="O189" s="63"/>
      <c r="P189" s="63"/>
      <c r="Q189" s="63"/>
      <c r="R189" s="63"/>
      <c r="S189" s="63"/>
      <c r="T189" s="63"/>
      <c r="U189" s="63"/>
      <c r="V189" s="63"/>
      <c r="W189" s="63"/>
      <c r="X189" s="63"/>
    </row>
    <row r="190" spans="1:24" ht="12.75">
      <c r="A190" s="69"/>
      <c r="B190" s="63"/>
      <c r="C190" s="63"/>
      <c r="D190" s="63"/>
      <c r="E190" s="63"/>
      <c r="F190" s="63"/>
      <c r="G190" s="63"/>
      <c r="H190" s="63"/>
      <c r="I190" s="63"/>
      <c r="J190" s="63"/>
      <c r="K190" s="63"/>
      <c r="L190" s="63"/>
      <c r="M190" s="63"/>
      <c r="N190" s="63"/>
      <c r="O190" s="63"/>
      <c r="P190" s="63"/>
      <c r="Q190" s="63"/>
      <c r="R190" s="63"/>
      <c r="S190" s="63"/>
      <c r="T190" s="63"/>
      <c r="U190" s="63"/>
      <c r="V190" s="63"/>
      <c r="W190" s="63"/>
      <c r="X190" s="63"/>
    </row>
    <row r="191" spans="1:24" ht="12.75">
      <c r="A191" s="69"/>
      <c r="B191" s="63"/>
      <c r="C191" s="63"/>
      <c r="D191" s="63"/>
      <c r="E191" s="63"/>
      <c r="F191" s="63"/>
      <c r="G191" s="63"/>
      <c r="H191" s="63"/>
      <c r="I191" s="63"/>
      <c r="J191" s="63"/>
      <c r="K191" s="63"/>
      <c r="L191" s="63"/>
      <c r="M191" s="63"/>
      <c r="N191" s="63"/>
      <c r="O191" s="63"/>
      <c r="P191" s="63"/>
      <c r="Q191" s="63"/>
      <c r="R191" s="63"/>
      <c r="S191" s="63"/>
      <c r="T191" s="63"/>
      <c r="U191" s="63"/>
      <c r="V191" s="63"/>
      <c r="W191" s="63"/>
      <c r="X191" s="63"/>
    </row>
    <row r="192" spans="1:24" ht="12.75">
      <c r="A192" s="69"/>
      <c r="B192" s="63"/>
      <c r="C192" s="63"/>
      <c r="D192" s="63"/>
      <c r="E192" s="63"/>
      <c r="F192" s="63"/>
      <c r="G192" s="63"/>
      <c r="H192" s="63"/>
      <c r="I192" s="63"/>
      <c r="J192" s="63"/>
      <c r="K192" s="63"/>
      <c r="L192" s="63"/>
      <c r="M192" s="63"/>
      <c r="N192" s="63"/>
      <c r="O192" s="63"/>
      <c r="P192" s="63"/>
      <c r="Q192" s="63"/>
      <c r="R192" s="63"/>
      <c r="S192" s="63"/>
      <c r="T192" s="63"/>
      <c r="U192" s="63"/>
      <c r="V192" s="63"/>
      <c r="W192" s="63"/>
      <c r="X192" s="63"/>
    </row>
    <row r="193" spans="1:24" ht="12.75">
      <c r="A193" s="69"/>
      <c r="B193" s="63"/>
      <c r="C193" s="63"/>
      <c r="D193" s="63"/>
      <c r="E193" s="63"/>
      <c r="F193" s="63"/>
      <c r="G193" s="63"/>
      <c r="H193" s="63"/>
      <c r="I193" s="63"/>
      <c r="J193" s="63"/>
      <c r="K193" s="63"/>
      <c r="L193" s="63"/>
      <c r="M193" s="63"/>
      <c r="N193" s="63"/>
      <c r="O193" s="63"/>
      <c r="P193" s="63"/>
      <c r="Q193" s="63"/>
      <c r="R193" s="63"/>
      <c r="S193" s="63"/>
      <c r="T193" s="63"/>
      <c r="U193" s="63"/>
      <c r="V193" s="63"/>
      <c r="W193" s="63"/>
      <c r="X193" s="63"/>
    </row>
    <row r="194" spans="1:24" ht="12.75">
      <c r="A194" s="69"/>
      <c r="B194" s="63"/>
      <c r="C194" s="63"/>
      <c r="D194" s="63"/>
      <c r="E194" s="63"/>
      <c r="F194" s="63"/>
      <c r="G194" s="63"/>
      <c r="H194" s="63"/>
      <c r="I194" s="63"/>
      <c r="J194" s="63"/>
      <c r="K194" s="63"/>
      <c r="L194" s="63"/>
      <c r="M194" s="63"/>
      <c r="N194" s="63"/>
      <c r="O194" s="63"/>
      <c r="P194" s="63"/>
      <c r="Q194" s="63"/>
      <c r="R194" s="63"/>
      <c r="S194" s="63"/>
      <c r="T194" s="63"/>
      <c r="U194" s="63"/>
      <c r="V194" s="63"/>
      <c r="W194" s="63"/>
      <c r="X194" s="63"/>
    </row>
    <row r="195" spans="1:24" ht="12.75">
      <c r="A195" s="69"/>
      <c r="B195" s="63"/>
      <c r="C195" s="63"/>
      <c r="D195" s="63"/>
      <c r="E195" s="63"/>
      <c r="F195" s="63"/>
      <c r="G195" s="63"/>
      <c r="H195" s="63"/>
      <c r="I195" s="63"/>
      <c r="J195" s="63"/>
      <c r="K195" s="63"/>
      <c r="L195" s="63"/>
      <c r="M195" s="63"/>
      <c r="N195" s="63"/>
      <c r="O195" s="63"/>
      <c r="P195" s="63"/>
      <c r="Q195" s="63"/>
      <c r="R195" s="63"/>
      <c r="S195" s="63"/>
      <c r="T195" s="63"/>
      <c r="U195" s="63"/>
      <c r="V195" s="63"/>
      <c r="W195" s="63"/>
      <c r="X195" s="63"/>
    </row>
    <row r="196" spans="1:24" ht="12.75">
      <c r="A196" s="69"/>
      <c r="B196" s="63"/>
      <c r="C196" s="63"/>
      <c r="D196" s="63"/>
      <c r="E196" s="63"/>
      <c r="F196" s="63"/>
      <c r="G196" s="63"/>
      <c r="H196" s="63"/>
      <c r="I196" s="63"/>
      <c r="J196" s="63"/>
      <c r="K196" s="63"/>
      <c r="L196" s="63"/>
      <c r="M196" s="63"/>
      <c r="N196" s="63"/>
      <c r="O196" s="63"/>
      <c r="P196" s="63"/>
      <c r="Q196" s="63"/>
      <c r="R196" s="63"/>
      <c r="S196" s="63"/>
      <c r="T196" s="63"/>
      <c r="U196" s="63"/>
      <c r="V196" s="63"/>
      <c r="W196" s="63"/>
      <c r="X196" s="63"/>
    </row>
    <row r="197" spans="1:24" ht="12.75">
      <c r="A197" s="69"/>
      <c r="B197" s="63"/>
      <c r="C197" s="63"/>
      <c r="D197" s="63"/>
      <c r="E197" s="63"/>
      <c r="F197" s="63"/>
      <c r="G197" s="63"/>
      <c r="H197" s="63"/>
      <c r="I197" s="63"/>
      <c r="J197" s="63"/>
      <c r="K197" s="63"/>
      <c r="L197" s="63"/>
      <c r="M197" s="63"/>
      <c r="N197" s="63"/>
      <c r="O197" s="63"/>
      <c r="P197" s="63"/>
      <c r="Q197" s="63"/>
      <c r="R197" s="63"/>
      <c r="S197" s="63"/>
      <c r="T197" s="63"/>
      <c r="U197" s="63"/>
      <c r="V197" s="63"/>
      <c r="W197" s="63"/>
      <c r="X197" s="63"/>
    </row>
    <row r="198" spans="1:24" ht="12.75">
      <c r="A198" s="69"/>
      <c r="B198" s="63"/>
      <c r="C198" s="63"/>
      <c r="D198" s="63"/>
      <c r="E198" s="63"/>
      <c r="F198" s="63"/>
      <c r="G198" s="63"/>
      <c r="H198" s="63"/>
      <c r="I198" s="63"/>
      <c r="J198" s="63"/>
      <c r="K198" s="63"/>
      <c r="L198" s="63"/>
      <c r="M198" s="63"/>
      <c r="N198" s="63"/>
      <c r="O198" s="63"/>
      <c r="P198" s="63"/>
      <c r="Q198" s="63"/>
      <c r="R198" s="63"/>
      <c r="S198" s="63"/>
      <c r="T198" s="63"/>
      <c r="U198" s="63"/>
      <c r="V198" s="63"/>
      <c r="W198" s="63"/>
      <c r="X198" s="63"/>
    </row>
    <row r="199" spans="1:24" ht="12.75">
      <c r="A199" s="69"/>
      <c r="B199" s="63"/>
      <c r="C199" s="63"/>
      <c r="D199" s="63"/>
      <c r="E199" s="63"/>
      <c r="F199" s="63"/>
      <c r="G199" s="63"/>
      <c r="H199" s="63"/>
      <c r="I199" s="63"/>
      <c r="J199" s="63"/>
      <c r="K199" s="63"/>
      <c r="L199" s="63"/>
      <c r="M199" s="63"/>
      <c r="N199" s="63"/>
      <c r="O199" s="63"/>
      <c r="P199" s="63"/>
      <c r="Q199" s="63"/>
      <c r="R199" s="63"/>
      <c r="S199" s="63"/>
      <c r="T199" s="63"/>
      <c r="U199" s="63"/>
      <c r="V199" s="63"/>
      <c r="W199" s="63"/>
      <c r="X199" s="63"/>
    </row>
    <row r="200" spans="1:24" ht="12.75">
      <c r="A200" s="69"/>
      <c r="B200" s="63"/>
      <c r="C200" s="63"/>
      <c r="D200" s="63"/>
      <c r="E200" s="63"/>
      <c r="F200" s="63"/>
      <c r="G200" s="63"/>
      <c r="H200" s="63"/>
      <c r="I200" s="63"/>
      <c r="J200" s="63"/>
      <c r="K200" s="63"/>
      <c r="L200" s="63"/>
      <c r="M200" s="63"/>
      <c r="N200" s="63"/>
      <c r="O200" s="63"/>
      <c r="P200" s="63"/>
      <c r="Q200" s="63"/>
      <c r="R200" s="63"/>
      <c r="S200" s="63"/>
      <c r="T200" s="63"/>
      <c r="U200" s="63"/>
      <c r="V200" s="63"/>
      <c r="W200" s="63"/>
      <c r="X200" s="63"/>
    </row>
    <row r="201" spans="1:24" ht="12.75">
      <c r="A201" s="69"/>
      <c r="B201" s="63"/>
      <c r="C201" s="63"/>
      <c r="D201" s="63"/>
      <c r="E201" s="63"/>
      <c r="F201" s="63"/>
      <c r="G201" s="63"/>
      <c r="H201" s="63"/>
      <c r="I201" s="63"/>
      <c r="J201" s="63"/>
      <c r="K201" s="63"/>
      <c r="L201" s="63"/>
      <c r="M201" s="63"/>
      <c r="N201" s="63"/>
      <c r="O201" s="63"/>
      <c r="P201" s="63"/>
      <c r="Q201" s="63"/>
      <c r="R201" s="63"/>
      <c r="S201" s="63"/>
      <c r="T201" s="63"/>
      <c r="U201" s="63"/>
      <c r="V201" s="63"/>
      <c r="W201" s="63"/>
      <c r="X201" s="63"/>
    </row>
    <row r="202" spans="1:24" ht="12.75">
      <c r="A202" s="69"/>
      <c r="B202" s="63"/>
      <c r="C202" s="63"/>
      <c r="D202" s="63"/>
      <c r="E202" s="63"/>
      <c r="F202" s="63"/>
      <c r="G202" s="63"/>
      <c r="H202" s="63"/>
      <c r="I202" s="63"/>
      <c r="J202" s="63"/>
      <c r="K202" s="63"/>
      <c r="L202" s="63"/>
      <c r="M202" s="63"/>
      <c r="N202" s="63"/>
      <c r="O202" s="63"/>
      <c r="P202" s="63"/>
      <c r="Q202" s="63"/>
      <c r="R202" s="63"/>
      <c r="S202" s="63"/>
      <c r="T202" s="63"/>
      <c r="U202" s="63"/>
      <c r="V202" s="63"/>
      <c r="W202" s="63"/>
      <c r="X202" s="63"/>
    </row>
    <row r="203" spans="1:24" ht="12.75">
      <c r="A203" s="69"/>
      <c r="B203" s="63"/>
      <c r="C203" s="63"/>
      <c r="D203" s="63"/>
      <c r="E203" s="63"/>
      <c r="F203" s="63"/>
      <c r="G203" s="63"/>
      <c r="H203" s="63"/>
      <c r="I203" s="63"/>
      <c r="J203" s="63"/>
      <c r="K203" s="63"/>
      <c r="L203" s="63"/>
      <c r="M203" s="63"/>
      <c r="N203" s="63"/>
      <c r="O203" s="63"/>
      <c r="P203" s="63"/>
      <c r="Q203" s="63"/>
      <c r="R203" s="63"/>
      <c r="S203" s="63"/>
      <c r="T203" s="63"/>
      <c r="U203" s="63"/>
      <c r="V203" s="63"/>
      <c r="W203" s="63"/>
      <c r="X203" s="63"/>
    </row>
    <row r="204" spans="1:24" ht="12.75">
      <c r="A204" s="69"/>
      <c r="B204" s="63"/>
      <c r="C204" s="63"/>
      <c r="D204" s="63"/>
      <c r="E204" s="63"/>
      <c r="F204" s="63"/>
      <c r="G204" s="63"/>
      <c r="H204" s="63"/>
      <c r="I204" s="63"/>
      <c r="J204" s="63"/>
      <c r="K204" s="63"/>
      <c r="L204" s="63"/>
      <c r="M204" s="63"/>
      <c r="N204" s="63"/>
      <c r="O204" s="63"/>
      <c r="P204" s="63"/>
      <c r="Q204" s="63"/>
      <c r="R204" s="63"/>
      <c r="S204" s="63"/>
      <c r="T204" s="63"/>
      <c r="U204" s="63"/>
      <c r="V204" s="63"/>
      <c r="W204" s="63"/>
      <c r="X204" s="63"/>
    </row>
    <row r="205" spans="1:24" ht="12.75">
      <c r="A205" s="69"/>
      <c r="B205" s="63"/>
      <c r="C205" s="63"/>
      <c r="D205" s="63"/>
      <c r="E205" s="63"/>
      <c r="F205" s="63"/>
      <c r="G205" s="63"/>
      <c r="H205" s="63"/>
      <c r="I205" s="63"/>
      <c r="J205" s="63"/>
      <c r="K205" s="63"/>
      <c r="L205" s="63"/>
      <c r="M205" s="63"/>
      <c r="N205" s="63"/>
      <c r="O205" s="63"/>
      <c r="P205" s="63"/>
      <c r="Q205" s="63"/>
      <c r="R205" s="63"/>
      <c r="S205" s="63"/>
      <c r="T205" s="63"/>
      <c r="U205" s="63"/>
      <c r="V205" s="63"/>
      <c r="W205" s="63"/>
      <c r="X205" s="63"/>
    </row>
    <row r="206" spans="1:24" ht="12.75">
      <c r="A206" s="69"/>
      <c r="B206" s="63"/>
      <c r="C206" s="63"/>
      <c r="D206" s="63"/>
      <c r="E206" s="63"/>
      <c r="F206" s="63"/>
      <c r="G206" s="63"/>
      <c r="H206" s="63"/>
      <c r="I206" s="63"/>
      <c r="J206" s="63"/>
      <c r="K206" s="63"/>
      <c r="L206" s="63"/>
      <c r="M206" s="63"/>
      <c r="N206" s="63"/>
      <c r="O206" s="63"/>
      <c r="P206" s="63"/>
      <c r="Q206" s="63"/>
      <c r="R206" s="63"/>
      <c r="S206" s="63"/>
      <c r="T206" s="63"/>
      <c r="U206" s="63"/>
      <c r="V206" s="63"/>
      <c r="W206" s="63"/>
      <c r="X206" s="63"/>
    </row>
    <row r="207" spans="1:24" ht="12.75">
      <c r="A207" s="69"/>
      <c r="B207" s="63"/>
      <c r="C207" s="63"/>
      <c r="D207" s="63"/>
      <c r="E207" s="63"/>
      <c r="F207" s="63"/>
      <c r="G207" s="63"/>
      <c r="H207" s="63"/>
      <c r="I207" s="63"/>
      <c r="J207" s="63"/>
      <c r="K207" s="63"/>
      <c r="L207" s="63"/>
      <c r="M207" s="63"/>
      <c r="N207" s="63"/>
      <c r="O207" s="63"/>
      <c r="P207" s="63"/>
      <c r="Q207" s="63"/>
      <c r="R207" s="63"/>
      <c r="S207" s="63"/>
      <c r="T207" s="63"/>
      <c r="U207" s="63"/>
      <c r="V207" s="63"/>
      <c r="W207" s="63"/>
      <c r="X207" s="63"/>
    </row>
    <row r="208" spans="1:24" ht="12.75">
      <c r="A208" s="69"/>
      <c r="B208" s="63"/>
      <c r="C208" s="63"/>
      <c r="D208" s="63"/>
      <c r="E208" s="63"/>
      <c r="F208" s="63"/>
      <c r="G208" s="63"/>
      <c r="H208" s="63"/>
      <c r="I208" s="63"/>
      <c r="J208" s="63"/>
      <c r="K208" s="63"/>
      <c r="L208" s="63"/>
      <c r="M208" s="63"/>
      <c r="N208" s="63"/>
      <c r="O208" s="63"/>
      <c r="P208" s="63"/>
      <c r="Q208" s="63"/>
      <c r="R208" s="63"/>
      <c r="S208" s="63"/>
      <c r="T208" s="63"/>
      <c r="U208" s="63"/>
      <c r="V208" s="63"/>
      <c r="W208" s="63"/>
      <c r="X208" s="63"/>
    </row>
    <row r="209" spans="1:24" ht="12.75">
      <c r="A209" s="69"/>
      <c r="B209" s="63"/>
      <c r="C209" s="63"/>
      <c r="D209" s="63"/>
      <c r="E209" s="63"/>
      <c r="F209" s="63"/>
      <c r="G209" s="63"/>
      <c r="H209" s="63"/>
      <c r="I209" s="63"/>
      <c r="J209" s="63"/>
      <c r="K209" s="63"/>
      <c r="L209" s="63"/>
      <c r="M209" s="63"/>
      <c r="N209" s="63"/>
      <c r="O209" s="63"/>
      <c r="P209" s="63"/>
      <c r="Q209" s="63"/>
      <c r="R209" s="63"/>
      <c r="S209" s="63"/>
      <c r="T209" s="63"/>
      <c r="U209" s="63"/>
      <c r="V209" s="63"/>
      <c r="W209" s="63"/>
      <c r="X209" s="63"/>
    </row>
    <row r="210" spans="1:24" ht="12.75">
      <c r="A210" s="69"/>
      <c r="B210" s="63"/>
      <c r="C210" s="63"/>
      <c r="D210" s="63"/>
      <c r="E210" s="63"/>
      <c r="F210" s="63"/>
      <c r="G210" s="63"/>
      <c r="H210" s="63"/>
      <c r="I210" s="63"/>
      <c r="J210" s="63"/>
      <c r="K210" s="63"/>
      <c r="L210" s="63"/>
      <c r="M210" s="63"/>
      <c r="N210" s="63"/>
      <c r="O210" s="63"/>
      <c r="P210" s="63"/>
      <c r="Q210" s="63"/>
      <c r="R210" s="63"/>
      <c r="S210" s="63"/>
      <c r="T210" s="63"/>
      <c r="U210" s="63"/>
      <c r="V210" s="63"/>
      <c r="W210" s="63"/>
      <c r="X210" s="63"/>
    </row>
    <row r="211" spans="1:24" ht="12.75">
      <c r="A211" s="69"/>
      <c r="B211" s="63"/>
      <c r="C211" s="63"/>
      <c r="D211" s="63"/>
      <c r="E211" s="63"/>
      <c r="F211" s="63"/>
      <c r="G211" s="63"/>
      <c r="H211" s="63"/>
      <c r="I211" s="63"/>
      <c r="J211" s="63"/>
      <c r="K211" s="63"/>
      <c r="L211" s="63"/>
      <c r="M211" s="63"/>
      <c r="N211" s="63"/>
      <c r="O211" s="63"/>
      <c r="P211" s="63"/>
      <c r="Q211" s="63"/>
      <c r="R211" s="63"/>
      <c r="S211" s="63"/>
      <c r="T211" s="63"/>
      <c r="U211" s="63"/>
      <c r="V211" s="63"/>
      <c r="W211" s="63"/>
      <c r="X211" s="63"/>
    </row>
    <row r="212" spans="1:24" ht="12.75">
      <c r="A212" s="69"/>
      <c r="B212" s="63"/>
      <c r="C212" s="63"/>
      <c r="D212" s="63"/>
      <c r="E212" s="63"/>
      <c r="F212" s="63"/>
      <c r="G212" s="63"/>
      <c r="H212" s="63"/>
      <c r="I212" s="63"/>
      <c r="J212" s="63"/>
      <c r="K212" s="63"/>
      <c r="L212" s="63"/>
      <c r="M212" s="63"/>
      <c r="N212" s="63"/>
      <c r="O212" s="63"/>
      <c r="P212" s="63"/>
      <c r="Q212" s="63"/>
      <c r="R212" s="63"/>
      <c r="S212" s="63"/>
      <c r="T212" s="63"/>
      <c r="U212" s="63"/>
      <c r="V212" s="63"/>
      <c r="W212" s="63"/>
      <c r="X212" s="63"/>
    </row>
    <row r="213" spans="1:24" ht="12.75">
      <c r="A213" s="69"/>
      <c r="B213" s="63"/>
      <c r="C213" s="63"/>
      <c r="D213" s="63"/>
      <c r="E213" s="63"/>
      <c r="F213" s="63"/>
      <c r="G213" s="63"/>
      <c r="H213" s="63"/>
      <c r="I213" s="63"/>
      <c r="J213" s="63"/>
      <c r="K213" s="63"/>
      <c r="L213" s="63"/>
      <c r="M213" s="63"/>
      <c r="N213" s="63"/>
      <c r="O213" s="63"/>
      <c r="P213" s="63"/>
      <c r="Q213" s="63"/>
      <c r="R213" s="63"/>
      <c r="S213" s="63"/>
      <c r="T213" s="63"/>
      <c r="U213" s="63"/>
      <c r="V213" s="63"/>
      <c r="W213" s="63"/>
      <c r="X213" s="63"/>
    </row>
    <row r="214" spans="1:24" ht="12.75">
      <c r="A214" s="69"/>
      <c r="B214" s="63"/>
      <c r="C214" s="63"/>
      <c r="D214" s="63"/>
      <c r="E214" s="63"/>
      <c r="F214" s="63"/>
      <c r="G214" s="63"/>
      <c r="H214" s="63"/>
      <c r="I214" s="63"/>
      <c r="J214" s="63"/>
      <c r="K214" s="63"/>
      <c r="L214" s="63"/>
      <c r="M214" s="63"/>
      <c r="N214" s="63"/>
      <c r="O214" s="63"/>
      <c r="P214" s="63"/>
      <c r="Q214" s="63"/>
      <c r="R214" s="63"/>
      <c r="S214" s="63"/>
      <c r="T214" s="63"/>
      <c r="U214" s="63"/>
      <c r="V214" s="63"/>
      <c r="W214" s="63"/>
      <c r="X214" s="63"/>
    </row>
    <row r="215" spans="1:24" ht="12.75">
      <c r="A215" s="69"/>
      <c r="B215" s="63"/>
      <c r="C215" s="63"/>
      <c r="D215" s="63"/>
      <c r="E215" s="63"/>
      <c r="F215" s="63"/>
      <c r="G215" s="63"/>
      <c r="H215" s="63"/>
      <c r="I215" s="63"/>
      <c r="J215" s="63"/>
      <c r="K215" s="63"/>
      <c r="L215" s="63"/>
      <c r="M215" s="63"/>
      <c r="N215" s="63"/>
      <c r="O215" s="63"/>
      <c r="P215" s="63"/>
      <c r="Q215" s="63"/>
      <c r="R215" s="63"/>
      <c r="S215" s="63"/>
      <c r="T215" s="63"/>
      <c r="U215" s="63"/>
      <c r="V215" s="63"/>
      <c r="W215" s="63"/>
      <c r="X215" s="63"/>
    </row>
    <row r="216" spans="1:24" ht="12.75">
      <c r="A216" s="69"/>
      <c r="B216" s="63"/>
      <c r="C216" s="63"/>
      <c r="D216" s="63"/>
      <c r="E216" s="63"/>
      <c r="F216" s="63"/>
      <c r="G216" s="63"/>
      <c r="H216" s="63"/>
      <c r="I216" s="63"/>
      <c r="J216" s="63"/>
      <c r="K216" s="63"/>
      <c r="L216" s="63"/>
      <c r="M216" s="63"/>
      <c r="N216" s="63"/>
      <c r="O216" s="63"/>
      <c r="P216" s="63"/>
      <c r="Q216" s="63"/>
      <c r="R216" s="63"/>
      <c r="S216" s="63"/>
      <c r="T216" s="63"/>
      <c r="U216" s="63"/>
      <c r="V216" s="63"/>
      <c r="W216" s="63"/>
      <c r="X216" s="63"/>
    </row>
    <row r="217" spans="1:24" ht="12.75">
      <c r="A217" s="69"/>
      <c r="B217" s="63"/>
      <c r="C217" s="63"/>
      <c r="D217" s="63"/>
      <c r="E217" s="63"/>
      <c r="F217" s="63"/>
      <c r="G217" s="63"/>
      <c r="H217" s="63"/>
      <c r="I217" s="63"/>
      <c r="J217" s="63"/>
      <c r="K217" s="63"/>
      <c r="L217" s="63"/>
      <c r="M217" s="63"/>
      <c r="N217" s="63"/>
      <c r="O217" s="63"/>
      <c r="P217" s="63"/>
      <c r="Q217" s="63"/>
      <c r="R217" s="63"/>
      <c r="S217" s="63"/>
      <c r="T217" s="63"/>
      <c r="U217" s="63"/>
      <c r="V217" s="63"/>
      <c r="W217" s="63"/>
      <c r="X217" s="63"/>
    </row>
    <row r="218" spans="1:24" ht="12.75">
      <c r="A218" s="69"/>
      <c r="B218" s="63"/>
      <c r="C218" s="63"/>
      <c r="D218" s="63"/>
      <c r="E218" s="63"/>
      <c r="F218" s="63"/>
      <c r="G218" s="63"/>
      <c r="H218" s="63"/>
      <c r="I218" s="63"/>
      <c r="J218" s="63"/>
      <c r="K218" s="63"/>
      <c r="L218" s="63"/>
      <c r="M218" s="63"/>
      <c r="N218" s="63"/>
      <c r="O218" s="63"/>
      <c r="P218" s="63"/>
      <c r="Q218" s="63"/>
      <c r="R218" s="63"/>
      <c r="S218" s="63"/>
      <c r="T218" s="63"/>
      <c r="U218" s="63"/>
      <c r="V218" s="63"/>
      <c r="W218" s="63"/>
      <c r="X218" s="63"/>
    </row>
    <row r="219" spans="1:24" ht="12.75">
      <c r="A219" s="69"/>
      <c r="B219" s="63"/>
      <c r="C219" s="63"/>
      <c r="D219" s="63"/>
      <c r="E219" s="63"/>
      <c r="F219" s="63"/>
      <c r="G219" s="63"/>
      <c r="H219" s="63"/>
      <c r="I219" s="63"/>
      <c r="J219" s="63"/>
      <c r="K219" s="63"/>
      <c r="L219" s="63"/>
      <c r="M219" s="63"/>
      <c r="N219" s="63"/>
      <c r="O219" s="63"/>
      <c r="P219" s="63"/>
      <c r="Q219" s="63"/>
      <c r="R219" s="63"/>
      <c r="S219" s="63"/>
      <c r="T219" s="63"/>
      <c r="U219" s="63"/>
      <c r="V219" s="63"/>
      <c r="W219" s="63"/>
      <c r="X219" s="63"/>
    </row>
    <row r="220" spans="1:24" ht="12.75">
      <c r="A220" s="69"/>
      <c r="B220" s="63"/>
      <c r="C220" s="63"/>
      <c r="D220" s="63"/>
      <c r="E220" s="63"/>
      <c r="F220" s="63"/>
      <c r="G220" s="63"/>
      <c r="H220" s="63"/>
      <c r="I220" s="63"/>
      <c r="J220" s="63"/>
      <c r="K220" s="63"/>
      <c r="L220" s="63"/>
      <c r="M220" s="63"/>
      <c r="N220" s="63"/>
      <c r="O220" s="63"/>
      <c r="P220" s="63"/>
      <c r="Q220" s="63"/>
      <c r="R220" s="63"/>
      <c r="S220" s="63"/>
      <c r="T220" s="63"/>
      <c r="U220" s="63"/>
      <c r="V220" s="63"/>
      <c r="W220" s="63"/>
      <c r="X220" s="63"/>
    </row>
    <row r="221" spans="1:24" ht="12.75">
      <c r="A221" s="69"/>
      <c r="B221" s="63"/>
      <c r="C221" s="63"/>
      <c r="D221" s="63"/>
      <c r="E221" s="63"/>
      <c r="F221" s="63"/>
      <c r="G221" s="63"/>
      <c r="H221" s="63"/>
      <c r="I221" s="63"/>
      <c r="J221" s="63"/>
      <c r="K221" s="63"/>
      <c r="L221" s="63"/>
      <c r="M221" s="63"/>
      <c r="N221" s="63"/>
      <c r="O221" s="63"/>
      <c r="P221" s="63"/>
      <c r="Q221" s="63"/>
      <c r="R221" s="63"/>
      <c r="S221" s="63"/>
      <c r="T221" s="63"/>
      <c r="U221" s="63"/>
      <c r="V221" s="63"/>
      <c r="W221" s="63"/>
      <c r="X221" s="63"/>
    </row>
    <row r="222" spans="1:24" ht="12.75">
      <c r="A222" s="69"/>
      <c r="B222" s="63"/>
      <c r="C222" s="63"/>
      <c r="D222" s="63"/>
      <c r="E222" s="63"/>
      <c r="F222" s="63"/>
      <c r="G222" s="63"/>
      <c r="H222" s="63"/>
      <c r="I222" s="63"/>
      <c r="J222" s="63"/>
      <c r="K222" s="63"/>
      <c r="L222" s="63"/>
      <c r="M222" s="63"/>
      <c r="N222" s="63"/>
      <c r="O222" s="63"/>
      <c r="P222" s="63"/>
      <c r="Q222" s="63"/>
      <c r="R222" s="63"/>
      <c r="S222" s="63"/>
      <c r="T222" s="63"/>
      <c r="U222" s="63"/>
      <c r="V222" s="63"/>
      <c r="W222" s="63"/>
      <c r="X222" s="63"/>
    </row>
    <row r="223" spans="1:24" ht="12.75">
      <c r="A223" s="69"/>
      <c r="B223" s="63"/>
      <c r="C223" s="63"/>
      <c r="D223" s="63"/>
      <c r="E223" s="63"/>
      <c r="F223" s="63"/>
      <c r="G223" s="63"/>
      <c r="H223" s="63"/>
      <c r="I223" s="63"/>
      <c r="J223" s="63"/>
      <c r="K223" s="63"/>
      <c r="L223" s="63"/>
      <c r="M223" s="63"/>
      <c r="N223" s="63"/>
      <c r="O223" s="63"/>
      <c r="P223" s="63"/>
      <c r="Q223" s="63"/>
      <c r="R223" s="63"/>
      <c r="S223" s="63"/>
      <c r="T223" s="63"/>
      <c r="U223" s="63"/>
      <c r="V223" s="63"/>
      <c r="W223" s="63"/>
      <c r="X223" s="63"/>
    </row>
    <row r="224" spans="1:24" ht="12.75">
      <c r="A224" s="69"/>
      <c r="B224" s="63"/>
      <c r="C224" s="63"/>
      <c r="D224" s="63"/>
      <c r="E224" s="63"/>
      <c r="F224" s="63"/>
      <c r="G224" s="63"/>
      <c r="H224" s="63"/>
      <c r="I224" s="63"/>
      <c r="J224" s="63"/>
      <c r="K224" s="63"/>
      <c r="L224" s="63"/>
      <c r="M224" s="63"/>
      <c r="N224" s="63"/>
      <c r="O224" s="63"/>
      <c r="P224" s="63"/>
      <c r="Q224" s="63"/>
      <c r="R224" s="63"/>
      <c r="S224" s="63"/>
      <c r="T224" s="63"/>
      <c r="U224" s="63"/>
      <c r="V224" s="63"/>
      <c r="W224" s="63"/>
      <c r="X224" s="63"/>
    </row>
    <row r="225" spans="1:24" ht="12.75">
      <c r="A225" s="69"/>
      <c r="B225" s="63"/>
      <c r="C225" s="63"/>
      <c r="D225" s="63"/>
      <c r="E225" s="63"/>
      <c r="F225" s="63"/>
      <c r="G225" s="63"/>
      <c r="H225" s="63"/>
      <c r="I225" s="63"/>
      <c r="J225" s="63"/>
      <c r="K225" s="63"/>
      <c r="L225" s="63"/>
      <c r="M225" s="63"/>
      <c r="N225" s="63"/>
      <c r="O225" s="63"/>
      <c r="P225" s="63"/>
      <c r="Q225" s="63"/>
      <c r="R225" s="63"/>
      <c r="S225" s="63"/>
      <c r="T225" s="63"/>
      <c r="U225" s="63"/>
      <c r="V225" s="63"/>
      <c r="W225" s="63"/>
      <c r="X225" s="63"/>
    </row>
    <row r="226" spans="1:24" ht="12.75">
      <c r="A226" s="69"/>
      <c r="B226" s="63"/>
      <c r="C226" s="63"/>
      <c r="D226" s="63"/>
      <c r="E226" s="63"/>
      <c r="F226" s="63"/>
      <c r="G226" s="63"/>
      <c r="H226" s="63"/>
      <c r="I226" s="63"/>
      <c r="J226" s="63"/>
      <c r="K226" s="63"/>
      <c r="L226" s="63"/>
      <c r="M226" s="63"/>
      <c r="N226" s="63"/>
      <c r="O226" s="63"/>
      <c r="P226" s="63"/>
      <c r="Q226" s="63"/>
      <c r="R226" s="63"/>
      <c r="S226" s="63"/>
      <c r="T226" s="63"/>
      <c r="U226" s="63"/>
      <c r="V226" s="63"/>
      <c r="W226" s="63"/>
      <c r="X226" s="63"/>
    </row>
    <row r="227" spans="1:24" ht="12.75">
      <c r="A227" s="69"/>
      <c r="B227" s="63"/>
      <c r="C227" s="63"/>
      <c r="D227" s="63"/>
      <c r="E227" s="63"/>
      <c r="F227" s="63"/>
      <c r="G227" s="63"/>
      <c r="H227" s="63"/>
      <c r="I227" s="63"/>
      <c r="J227" s="63"/>
      <c r="K227" s="63"/>
      <c r="L227" s="63"/>
      <c r="M227" s="63"/>
      <c r="N227" s="63"/>
      <c r="O227" s="63"/>
      <c r="P227" s="63"/>
      <c r="Q227" s="63"/>
      <c r="R227" s="63"/>
      <c r="S227" s="63"/>
      <c r="T227" s="63"/>
      <c r="U227" s="63"/>
      <c r="V227" s="63"/>
      <c r="W227" s="63"/>
      <c r="X227" s="63"/>
    </row>
    <row r="228" spans="1:24" ht="12.75">
      <c r="A228" s="69"/>
      <c r="B228" s="63"/>
      <c r="C228" s="63"/>
      <c r="D228" s="63"/>
      <c r="E228" s="63"/>
      <c r="F228" s="63"/>
      <c r="G228" s="63"/>
      <c r="H228" s="63"/>
      <c r="I228" s="63"/>
      <c r="J228" s="63"/>
      <c r="K228" s="63"/>
      <c r="L228" s="63"/>
      <c r="M228" s="63"/>
      <c r="N228" s="63"/>
      <c r="O228" s="63"/>
      <c r="P228" s="63"/>
      <c r="Q228" s="63"/>
      <c r="R228" s="63"/>
      <c r="S228" s="63"/>
      <c r="T228" s="63"/>
      <c r="U228" s="63"/>
      <c r="V228" s="63"/>
      <c r="W228" s="63"/>
      <c r="X228" s="63"/>
    </row>
    <row r="229" spans="1:24" ht="12.75">
      <c r="A229" s="69"/>
      <c r="B229" s="63"/>
      <c r="C229" s="63"/>
      <c r="D229" s="63"/>
      <c r="E229" s="63"/>
      <c r="F229" s="63"/>
      <c r="G229" s="63"/>
      <c r="H229" s="63"/>
      <c r="I229" s="63"/>
      <c r="J229" s="63"/>
      <c r="K229" s="63"/>
      <c r="L229" s="63"/>
      <c r="M229" s="63"/>
      <c r="N229" s="63"/>
      <c r="O229" s="63"/>
      <c r="P229" s="63"/>
      <c r="Q229" s="63"/>
      <c r="R229" s="63"/>
      <c r="S229" s="63"/>
      <c r="T229" s="63"/>
      <c r="U229" s="63"/>
      <c r="V229" s="63"/>
      <c r="W229" s="63"/>
      <c r="X229" s="63"/>
    </row>
    <row r="230" spans="1:24" ht="12.75">
      <c r="A230" s="69"/>
      <c r="B230" s="63"/>
      <c r="C230" s="63"/>
      <c r="D230" s="63"/>
      <c r="E230" s="63"/>
      <c r="F230" s="63"/>
      <c r="G230" s="63"/>
      <c r="H230" s="63"/>
      <c r="I230" s="63"/>
      <c r="J230" s="63"/>
      <c r="K230" s="63"/>
      <c r="L230" s="63"/>
      <c r="M230" s="63"/>
      <c r="N230" s="63"/>
      <c r="O230" s="63"/>
      <c r="P230" s="63"/>
      <c r="Q230" s="63"/>
      <c r="R230" s="63"/>
      <c r="S230" s="63"/>
      <c r="T230" s="63"/>
      <c r="U230" s="63"/>
      <c r="V230" s="63"/>
      <c r="W230" s="63"/>
      <c r="X230" s="63"/>
    </row>
    <row r="231" spans="1:24" ht="12.75">
      <c r="A231" s="69"/>
      <c r="B231" s="63"/>
      <c r="C231" s="63"/>
      <c r="D231" s="63"/>
      <c r="E231" s="63"/>
      <c r="F231" s="63"/>
      <c r="G231" s="63"/>
      <c r="H231" s="63"/>
      <c r="I231" s="63"/>
      <c r="J231" s="63"/>
      <c r="K231" s="63"/>
      <c r="L231" s="63"/>
      <c r="M231" s="63"/>
      <c r="N231" s="63"/>
      <c r="O231" s="63"/>
      <c r="P231" s="63"/>
      <c r="Q231" s="63"/>
      <c r="R231" s="63"/>
      <c r="S231" s="63"/>
      <c r="T231" s="63"/>
      <c r="U231" s="63"/>
      <c r="V231" s="63"/>
      <c r="W231" s="63"/>
      <c r="X231" s="63"/>
    </row>
    <row r="232" spans="1:24" ht="12.75">
      <c r="A232" s="69"/>
      <c r="B232" s="63"/>
      <c r="C232" s="63"/>
      <c r="D232" s="63"/>
      <c r="E232" s="63"/>
      <c r="F232" s="63"/>
      <c r="G232" s="63"/>
      <c r="H232" s="63"/>
      <c r="I232" s="63"/>
      <c r="J232" s="63"/>
      <c r="K232" s="63"/>
      <c r="L232" s="63"/>
      <c r="M232" s="63"/>
      <c r="N232" s="63"/>
      <c r="O232" s="63"/>
      <c r="P232" s="63"/>
      <c r="Q232" s="63"/>
      <c r="R232" s="63"/>
      <c r="S232" s="63"/>
      <c r="T232" s="63"/>
      <c r="U232" s="63"/>
      <c r="V232" s="63"/>
      <c r="W232" s="63"/>
      <c r="X232" s="63"/>
    </row>
    <row r="233" spans="1:24" ht="12.75">
      <c r="A233" s="69"/>
      <c r="B233" s="63"/>
      <c r="C233" s="63"/>
      <c r="D233" s="63"/>
      <c r="E233" s="63"/>
      <c r="F233" s="63"/>
      <c r="G233" s="63"/>
      <c r="H233" s="63"/>
      <c r="I233" s="63"/>
      <c r="J233" s="63"/>
      <c r="K233" s="63"/>
      <c r="L233" s="63"/>
      <c r="M233" s="63"/>
      <c r="N233" s="63"/>
      <c r="O233" s="63"/>
      <c r="P233" s="63"/>
      <c r="Q233" s="63"/>
      <c r="R233" s="63"/>
      <c r="S233" s="63"/>
      <c r="T233" s="63"/>
      <c r="U233" s="63"/>
      <c r="V233" s="63"/>
      <c r="W233" s="63"/>
      <c r="X233" s="63"/>
    </row>
    <row r="234" spans="1:24" ht="12.75">
      <c r="A234" s="69"/>
      <c r="B234" s="63"/>
      <c r="C234" s="63"/>
      <c r="D234" s="63"/>
      <c r="E234" s="63"/>
      <c r="F234" s="63"/>
      <c r="G234" s="63"/>
      <c r="H234" s="63"/>
      <c r="I234" s="63"/>
      <c r="J234" s="63"/>
      <c r="K234" s="63"/>
      <c r="L234" s="63"/>
      <c r="M234" s="63"/>
      <c r="N234" s="63"/>
      <c r="O234" s="63"/>
      <c r="P234" s="63"/>
      <c r="Q234" s="63"/>
      <c r="R234" s="63"/>
      <c r="S234" s="63"/>
      <c r="T234" s="63"/>
      <c r="U234" s="63"/>
      <c r="V234" s="63"/>
      <c r="W234" s="63"/>
      <c r="X234" s="63"/>
    </row>
    <row r="235" spans="1:24" ht="12.75">
      <c r="A235" s="69"/>
      <c r="B235" s="63"/>
      <c r="C235" s="63"/>
      <c r="D235" s="63"/>
      <c r="E235" s="63"/>
      <c r="F235" s="63"/>
      <c r="G235" s="63"/>
      <c r="H235" s="63"/>
      <c r="I235" s="63"/>
      <c r="J235" s="63"/>
      <c r="K235" s="63"/>
      <c r="L235" s="63"/>
      <c r="M235" s="63"/>
      <c r="N235" s="63"/>
      <c r="O235" s="63"/>
      <c r="P235" s="63"/>
      <c r="Q235" s="63"/>
      <c r="R235" s="63"/>
      <c r="S235" s="63"/>
      <c r="T235" s="63"/>
      <c r="U235" s="63"/>
      <c r="V235" s="63"/>
      <c r="W235" s="63"/>
      <c r="X235" s="63"/>
    </row>
    <row r="236" spans="1:24" ht="12.75">
      <c r="A236" s="69"/>
      <c r="B236" s="63"/>
      <c r="C236" s="63"/>
      <c r="D236" s="63"/>
      <c r="E236" s="63"/>
      <c r="F236" s="63"/>
      <c r="G236" s="63"/>
      <c r="H236" s="63"/>
      <c r="I236" s="63"/>
      <c r="J236" s="63"/>
      <c r="K236" s="63"/>
      <c r="L236" s="63"/>
      <c r="M236" s="63"/>
      <c r="N236" s="63"/>
      <c r="O236" s="63"/>
      <c r="P236" s="63"/>
      <c r="Q236" s="63"/>
      <c r="R236" s="63"/>
      <c r="S236" s="63"/>
      <c r="T236" s="63"/>
      <c r="U236" s="63"/>
      <c r="V236" s="63"/>
      <c r="W236" s="63"/>
      <c r="X236" s="63"/>
    </row>
    <row r="237" spans="1:24" ht="12.75">
      <c r="A237" s="69"/>
      <c r="B237" s="63"/>
      <c r="C237" s="63"/>
      <c r="D237" s="63"/>
      <c r="E237" s="63"/>
      <c r="F237" s="63"/>
      <c r="G237" s="63"/>
      <c r="H237" s="63"/>
      <c r="I237" s="63"/>
      <c r="J237" s="63"/>
      <c r="K237" s="63"/>
      <c r="L237" s="63"/>
      <c r="M237" s="63"/>
      <c r="N237" s="63"/>
      <c r="O237" s="63"/>
      <c r="P237" s="63"/>
      <c r="Q237" s="63"/>
      <c r="R237" s="63"/>
      <c r="S237" s="63"/>
      <c r="T237" s="63"/>
      <c r="U237" s="63"/>
      <c r="V237" s="63"/>
      <c r="W237" s="63"/>
      <c r="X237" s="63"/>
    </row>
    <row r="238" spans="1:24" ht="12.75">
      <c r="A238" s="69"/>
      <c r="B238" s="63"/>
      <c r="C238" s="63"/>
      <c r="D238" s="63"/>
      <c r="E238" s="63"/>
      <c r="F238" s="63"/>
      <c r="G238" s="63"/>
      <c r="H238" s="63"/>
      <c r="I238" s="63"/>
      <c r="J238" s="63"/>
      <c r="K238" s="63"/>
      <c r="L238" s="63"/>
      <c r="M238" s="63"/>
      <c r="N238" s="63"/>
      <c r="O238" s="63"/>
      <c r="P238" s="63"/>
      <c r="Q238" s="63"/>
      <c r="R238" s="63"/>
      <c r="S238" s="63"/>
      <c r="T238" s="63"/>
      <c r="U238" s="63"/>
      <c r="V238" s="63"/>
      <c r="W238" s="63"/>
      <c r="X238" s="63"/>
    </row>
    <row r="239" spans="1:24" ht="12.75">
      <c r="A239" s="69"/>
      <c r="B239" s="63"/>
      <c r="C239" s="63"/>
      <c r="D239" s="63"/>
      <c r="E239" s="63"/>
      <c r="F239" s="63"/>
      <c r="G239" s="63"/>
      <c r="H239" s="63"/>
      <c r="I239" s="63"/>
      <c r="J239" s="63"/>
      <c r="K239" s="63"/>
      <c r="L239" s="63"/>
      <c r="M239" s="63"/>
      <c r="N239" s="63"/>
      <c r="O239" s="63"/>
      <c r="P239" s="63"/>
      <c r="Q239" s="63"/>
      <c r="R239" s="63"/>
      <c r="S239" s="63"/>
      <c r="T239" s="63"/>
      <c r="U239" s="63"/>
      <c r="V239" s="63"/>
      <c r="W239" s="63"/>
      <c r="X239" s="63"/>
    </row>
    <row r="240" spans="1:24" ht="12.75">
      <c r="A240" s="69"/>
      <c r="B240" s="63"/>
      <c r="C240" s="63"/>
      <c r="D240" s="63"/>
      <c r="E240" s="63"/>
      <c r="F240" s="63"/>
      <c r="G240" s="63"/>
      <c r="H240" s="63"/>
      <c r="I240" s="63"/>
      <c r="J240" s="63"/>
      <c r="K240" s="63"/>
      <c r="L240" s="63"/>
      <c r="M240" s="63"/>
      <c r="N240" s="63"/>
      <c r="O240" s="63"/>
      <c r="P240" s="63"/>
      <c r="Q240" s="63"/>
      <c r="R240" s="63"/>
      <c r="S240" s="63"/>
      <c r="T240" s="63"/>
      <c r="U240" s="63"/>
      <c r="V240" s="63"/>
      <c r="W240" s="63"/>
      <c r="X240" s="63"/>
    </row>
    <row r="241" spans="1:24" ht="12.75">
      <c r="A241" s="69"/>
      <c r="B241" s="63"/>
      <c r="C241" s="63"/>
      <c r="D241" s="63"/>
      <c r="E241" s="63"/>
      <c r="F241" s="63"/>
      <c r="G241" s="63"/>
      <c r="H241" s="63"/>
      <c r="I241" s="63"/>
      <c r="J241" s="63"/>
      <c r="K241" s="63"/>
      <c r="L241" s="63"/>
      <c r="M241" s="63"/>
      <c r="N241" s="63"/>
      <c r="O241" s="63"/>
      <c r="P241" s="63"/>
      <c r="Q241" s="63"/>
      <c r="R241" s="63"/>
      <c r="S241" s="63"/>
      <c r="T241" s="63"/>
      <c r="U241" s="63"/>
      <c r="V241" s="63"/>
      <c r="W241" s="63"/>
      <c r="X241" s="63"/>
    </row>
    <row r="242" spans="1:24" ht="12.75">
      <c r="A242" s="69"/>
      <c r="B242" s="63"/>
      <c r="C242" s="63"/>
      <c r="D242" s="63"/>
      <c r="E242" s="63"/>
      <c r="F242" s="63"/>
      <c r="G242" s="63"/>
      <c r="H242" s="63"/>
      <c r="I242" s="63"/>
      <c r="J242" s="63"/>
      <c r="K242" s="63"/>
      <c r="L242" s="63"/>
      <c r="M242" s="63"/>
      <c r="N242" s="63"/>
      <c r="O242" s="63"/>
      <c r="P242" s="63"/>
      <c r="Q242" s="63"/>
      <c r="R242" s="63"/>
      <c r="S242" s="63"/>
      <c r="T242" s="63"/>
      <c r="U242" s="63"/>
      <c r="V242" s="63"/>
      <c r="W242" s="63"/>
      <c r="X242" s="63"/>
    </row>
    <row r="243" spans="1:24" ht="12.75">
      <c r="A243" s="69"/>
      <c r="B243" s="63"/>
      <c r="C243" s="63"/>
      <c r="D243" s="63"/>
      <c r="E243" s="63"/>
      <c r="F243" s="63"/>
      <c r="G243" s="63"/>
      <c r="H243" s="63"/>
      <c r="I243" s="63"/>
      <c r="J243" s="63"/>
      <c r="K243" s="63"/>
      <c r="L243" s="63"/>
      <c r="M243" s="63"/>
      <c r="N243" s="63"/>
      <c r="O243" s="63"/>
      <c r="P243" s="63"/>
      <c r="Q243" s="63"/>
      <c r="R243" s="63"/>
      <c r="S243" s="63"/>
      <c r="T243" s="63"/>
      <c r="U243" s="63"/>
      <c r="V243" s="63"/>
      <c r="W243" s="63"/>
      <c r="X243" s="63"/>
    </row>
    <row r="244" spans="1:24" ht="12.75">
      <c r="A244" s="69"/>
      <c r="B244" s="63"/>
      <c r="C244" s="63"/>
      <c r="D244" s="63"/>
      <c r="E244" s="63"/>
      <c r="F244" s="63"/>
      <c r="G244" s="63"/>
      <c r="H244" s="63"/>
      <c r="I244" s="63"/>
      <c r="J244" s="63"/>
      <c r="K244" s="63"/>
      <c r="L244" s="63"/>
      <c r="M244" s="63"/>
      <c r="N244" s="63"/>
      <c r="O244" s="63"/>
      <c r="P244" s="63"/>
      <c r="Q244" s="63"/>
      <c r="R244" s="63"/>
      <c r="S244" s="63"/>
      <c r="T244" s="63"/>
      <c r="U244" s="63"/>
      <c r="V244" s="63"/>
      <c r="W244" s="63"/>
      <c r="X244" s="63"/>
    </row>
    <row r="245" spans="1:24" ht="12.75">
      <c r="A245" s="69"/>
      <c r="B245" s="63"/>
      <c r="C245" s="63"/>
      <c r="D245" s="63"/>
      <c r="E245" s="63"/>
      <c r="F245" s="63"/>
      <c r="G245" s="63"/>
      <c r="H245" s="63"/>
      <c r="I245" s="63"/>
      <c r="J245" s="63"/>
      <c r="K245" s="63"/>
      <c r="L245" s="63"/>
      <c r="M245" s="63"/>
      <c r="N245" s="63"/>
      <c r="O245" s="63"/>
      <c r="P245" s="63"/>
      <c r="Q245" s="63"/>
      <c r="R245" s="63"/>
      <c r="S245" s="63"/>
      <c r="T245" s="63"/>
      <c r="U245" s="63"/>
      <c r="V245" s="63"/>
      <c r="W245" s="63"/>
      <c r="X245" s="63"/>
    </row>
    <row r="246" spans="1:24" ht="12.75">
      <c r="A246" s="69"/>
      <c r="B246" s="63"/>
      <c r="C246" s="63"/>
      <c r="D246" s="63"/>
      <c r="E246" s="63"/>
      <c r="F246" s="63"/>
      <c r="G246" s="63"/>
      <c r="H246" s="63"/>
      <c r="I246" s="63"/>
      <c r="J246" s="63"/>
      <c r="K246" s="63"/>
      <c r="L246" s="63"/>
      <c r="M246" s="63"/>
      <c r="N246" s="63"/>
      <c r="O246" s="63"/>
      <c r="P246" s="63"/>
      <c r="Q246" s="63"/>
      <c r="R246" s="63"/>
      <c r="S246" s="63"/>
      <c r="T246" s="63"/>
      <c r="U246" s="63"/>
      <c r="V246" s="63"/>
      <c r="W246" s="63"/>
      <c r="X246" s="63"/>
    </row>
    <row r="247" spans="1:24" ht="12.75">
      <c r="A247" s="69"/>
      <c r="B247" s="63"/>
      <c r="C247" s="63"/>
      <c r="D247" s="63"/>
      <c r="E247" s="63"/>
      <c r="F247" s="63"/>
      <c r="G247" s="63"/>
      <c r="H247" s="63"/>
      <c r="I247" s="63"/>
      <c r="J247" s="63"/>
      <c r="K247" s="63"/>
      <c r="L247" s="63"/>
      <c r="M247" s="63"/>
      <c r="N247" s="63"/>
      <c r="O247" s="63"/>
      <c r="P247" s="63"/>
      <c r="Q247" s="63"/>
      <c r="R247" s="63"/>
      <c r="S247" s="63"/>
      <c r="T247" s="63"/>
      <c r="U247" s="63"/>
      <c r="V247" s="63"/>
      <c r="W247" s="63"/>
      <c r="X247" s="63"/>
    </row>
    <row r="248" spans="1:24" ht="12.75">
      <c r="A248" s="69"/>
      <c r="B248" s="63"/>
      <c r="C248" s="63"/>
      <c r="D248" s="63"/>
      <c r="E248" s="63"/>
      <c r="F248" s="63"/>
      <c r="G248" s="63"/>
      <c r="H248" s="63"/>
      <c r="I248" s="63"/>
      <c r="J248" s="63"/>
      <c r="K248" s="63"/>
      <c r="L248" s="63"/>
      <c r="M248" s="63"/>
      <c r="N248" s="63"/>
      <c r="O248" s="63"/>
      <c r="P248" s="63"/>
      <c r="Q248" s="63"/>
      <c r="R248" s="63"/>
      <c r="S248" s="63"/>
      <c r="T248" s="63"/>
      <c r="U248" s="63"/>
      <c r="V248" s="63"/>
      <c r="W248" s="63"/>
      <c r="X248" s="63"/>
    </row>
    <row r="249" spans="1:24" ht="12.75">
      <c r="A249" s="69"/>
      <c r="B249" s="63"/>
      <c r="C249" s="63"/>
      <c r="D249" s="63"/>
      <c r="E249" s="63"/>
      <c r="F249" s="63"/>
      <c r="G249" s="63"/>
      <c r="H249" s="63"/>
      <c r="I249" s="63"/>
      <c r="J249" s="63"/>
      <c r="K249" s="63"/>
      <c r="L249" s="63"/>
      <c r="M249" s="63"/>
      <c r="N249" s="63"/>
      <c r="O249" s="63"/>
      <c r="P249" s="63"/>
      <c r="Q249" s="63"/>
      <c r="R249" s="63"/>
      <c r="S249" s="63"/>
      <c r="T249" s="63"/>
      <c r="U249" s="63"/>
      <c r="V249" s="63"/>
      <c r="W249" s="63"/>
      <c r="X249" s="63"/>
    </row>
    <row r="250" spans="1:24" ht="12.75">
      <c r="A250" s="69"/>
      <c r="B250" s="63"/>
      <c r="C250" s="63"/>
      <c r="D250" s="63"/>
      <c r="E250" s="63"/>
      <c r="F250" s="63"/>
      <c r="G250" s="63"/>
      <c r="H250" s="63"/>
      <c r="I250" s="63"/>
      <c r="J250" s="63"/>
      <c r="K250" s="63"/>
      <c r="L250" s="63"/>
      <c r="M250" s="63"/>
      <c r="N250" s="63"/>
      <c r="O250" s="63"/>
      <c r="P250" s="63"/>
      <c r="Q250" s="63"/>
      <c r="R250" s="63"/>
      <c r="S250" s="63"/>
      <c r="T250" s="63"/>
      <c r="U250" s="63"/>
      <c r="V250" s="63"/>
      <c r="W250" s="63"/>
      <c r="X250" s="63"/>
    </row>
    <row r="251" spans="1:24" ht="12.75">
      <c r="A251" s="69"/>
      <c r="B251" s="63"/>
      <c r="C251" s="63"/>
      <c r="D251" s="63"/>
      <c r="E251" s="63"/>
      <c r="F251" s="63"/>
      <c r="G251" s="63"/>
      <c r="H251" s="63"/>
      <c r="I251" s="63"/>
      <c r="J251" s="63"/>
      <c r="K251" s="63"/>
      <c r="L251" s="63"/>
      <c r="M251" s="63"/>
      <c r="N251" s="63"/>
      <c r="O251" s="63"/>
      <c r="P251" s="63"/>
      <c r="Q251" s="63"/>
      <c r="R251" s="63"/>
      <c r="S251" s="63"/>
      <c r="T251" s="63"/>
      <c r="U251" s="63"/>
      <c r="V251" s="63"/>
      <c r="W251" s="63"/>
      <c r="X251" s="63"/>
    </row>
    <row r="252" spans="1:24" ht="12.75">
      <c r="A252" s="69"/>
      <c r="B252" s="63"/>
      <c r="C252" s="63"/>
      <c r="D252" s="63"/>
      <c r="E252" s="63"/>
      <c r="F252" s="63"/>
      <c r="G252" s="63"/>
      <c r="H252" s="63"/>
      <c r="I252" s="63"/>
      <c r="J252" s="63"/>
      <c r="K252" s="63"/>
      <c r="L252" s="63"/>
      <c r="M252" s="63"/>
      <c r="N252" s="63"/>
      <c r="O252" s="63"/>
      <c r="P252" s="63"/>
      <c r="Q252" s="63"/>
      <c r="R252" s="63"/>
      <c r="S252" s="63"/>
      <c r="T252" s="63"/>
      <c r="U252" s="63"/>
      <c r="V252" s="63"/>
      <c r="W252" s="63"/>
      <c r="X252" s="63"/>
    </row>
    <row r="253" spans="1:24" ht="12.75">
      <c r="A253" s="69"/>
      <c r="B253" s="63"/>
      <c r="C253" s="63"/>
      <c r="D253" s="63"/>
      <c r="E253" s="63"/>
      <c r="F253" s="63"/>
      <c r="G253" s="63"/>
      <c r="H253" s="63"/>
      <c r="I253" s="63"/>
      <c r="J253" s="63"/>
      <c r="K253" s="63"/>
      <c r="L253" s="63"/>
      <c r="M253" s="63"/>
      <c r="N253" s="63"/>
      <c r="O253" s="63"/>
      <c r="P253" s="63"/>
      <c r="Q253" s="63"/>
      <c r="R253" s="63"/>
      <c r="S253" s="63"/>
      <c r="T253" s="63"/>
      <c r="U253" s="63"/>
      <c r="V253" s="63"/>
      <c r="W253" s="63"/>
      <c r="X253" s="63"/>
    </row>
    <row r="254" spans="1:24" ht="12.75">
      <c r="A254" s="69"/>
      <c r="B254" s="63"/>
      <c r="C254" s="63"/>
      <c r="D254" s="63"/>
      <c r="E254" s="63"/>
      <c r="F254" s="63"/>
      <c r="G254" s="63"/>
      <c r="H254" s="63"/>
      <c r="I254" s="63"/>
      <c r="J254" s="63"/>
      <c r="K254" s="63"/>
      <c r="L254" s="63"/>
      <c r="M254" s="63"/>
      <c r="N254" s="63"/>
      <c r="O254" s="63"/>
      <c r="P254" s="63"/>
      <c r="Q254" s="63"/>
      <c r="R254" s="63"/>
      <c r="S254" s="63"/>
      <c r="T254" s="63"/>
      <c r="U254" s="63"/>
      <c r="V254" s="63"/>
      <c r="W254" s="63"/>
      <c r="X254" s="63"/>
    </row>
    <row r="255" spans="1:24" ht="12.75">
      <c r="A255" s="69"/>
      <c r="B255" s="63"/>
      <c r="C255" s="63"/>
      <c r="D255" s="63"/>
      <c r="E255" s="63"/>
      <c r="F255" s="63"/>
      <c r="G255" s="63"/>
      <c r="H255" s="63"/>
      <c r="I255" s="63"/>
      <c r="J255" s="63"/>
      <c r="K255" s="63"/>
      <c r="L255" s="63"/>
      <c r="M255" s="63"/>
      <c r="N255" s="63"/>
      <c r="O255" s="63"/>
      <c r="P255" s="63"/>
      <c r="Q255" s="63"/>
      <c r="R255" s="63"/>
      <c r="S255" s="63"/>
      <c r="T255" s="63"/>
      <c r="U255" s="63"/>
      <c r="V255" s="63"/>
      <c r="W255" s="63"/>
      <c r="X255" s="63"/>
    </row>
    <row r="256" spans="1:24" ht="12.75">
      <c r="A256" s="69"/>
      <c r="B256" s="63"/>
      <c r="C256" s="63"/>
      <c r="D256" s="63"/>
      <c r="E256" s="63"/>
      <c r="F256" s="63"/>
      <c r="G256" s="63"/>
      <c r="H256" s="63"/>
      <c r="I256" s="63"/>
      <c r="J256" s="63"/>
      <c r="K256" s="63"/>
      <c r="L256" s="63"/>
      <c r="M256" s="63"/>
      <c r="N256" s="63"/>
      <c r="O256" s="63"/>
      <c r="P256" s="63"/>
      <c r="Q256" s="63"/>
      <c r="R256" s="63"/>
      <c r="S256" s="63"/>
      <c r="T256" s="63"/>
      <c r="U256" s="63"/>
      <c r="V256" s="63"/>
      <c r="W256" s="63"/>
      <c r="X256" s="63"/>
    </row>
    <row r="257" spans="1:24" ht="12.75">
      <c r="A257" s="69"/>
      <c r="B257" s="63"/>
      <c r="C257" s="63"/>
      <c r="D257" s="63"/>
      <c r="E257" s="63"/>
      <c r="F257" s="63"/>
      <c r="G257" s="63"/>
      <c r="H257" s="63"/>
      <c r="I257" s="63"/>
      <c r="J257" s="63"/>
      <c r="K257" s="63"/>
      <c r="L257" s="63"/>
      <c r="M257" s="63"/>
      <c r="N257" s="63"/>
      <c r="O257" s="63"/>
      <c r="P257" s="63"/>
      <c r="Q257" s="63"/>
      <c r="R257" s="63"/>
      <c r="S257" s="63"/>
      <c r="T257" s="63"/>
      <c r="U257" s="63"/>
      <c r="V257" s="63"/>
      <c r="W257" s="63"/>
      <c r="X257" s="63"/>
    </row>
    <row r="258" spans="1:24" ht="12.75">
      <c r="A258" s="69"/>
      <c r="B258" s="63"/>
      <c r="C258" s="63"/>
      <c r="D258" s="63"/>
      <c r="E258" s="63"/>
      <c r="F258" s="63"/>
      <c r="G258" s="63"/>
      <c r="H258" s="63"/>
      <c r="I258" s="63"/>
      <c r="J258" s="63"/>
      <c r="K258" s="63"/>
      <c r="L258" s="63"/>
      <c r="M258" s="63"/>
      <c r="N258" s="63"/>
      <c r="O258" s="63"/>
      <c r="P258" s="63"/>
      <c r="Q258" s="63"/>
      <c r="R258" s="63"/>
      <c r="S258" s="63"/>
      <c r="T258" s="63"/>
      <c r="U258" s="63"/>
      <c r="V258" s="63"/>
      <c r="W258" s="63"/>
      <c r="X258" s="63"/>
    </row>
    <row r="259" spans="1:24" ht="12.75">
      <c r="A259" s="69"/>
      <c r="B259" s="63"/>
      <c r="C259" s="63"/>
      <c r="D259" s="63"/>
      <c r="E259" s="63"/>
      <c r="F259" s="63"/>
      <c r="G259" s="63"/>
      <c r="H259" s="63"/>
      <c r="I259" s="63"/>
      <c r="J259" s="63"/>
      <c r="K259" s="63"/>
      <c r="L259" s="63"/>
      <c r="M259" s="63"/>
      <c r="N259" s="63"/>
      <c r="O259" s="63"/>
      <c r="P259" s="63"/>
      <c r="Q259" s="63"/>
      <c r="R259" s="63"/>
      <c r="S259" s="63"/>
      <c r="T259" s="63"/>
      <c r="U259" s="63"/>
      <c r="V259" s="63"/>
      <c r="W259" s="63"/>
      <c r="X259" s="63"/>
    </row>
    <row r="260" spans="1:24" ht="12.75">
      <c r="A260" s="69"/>
      <c r="B260" s="63"/>
      <c r="C260" s="63"/>
      <c r="D260" s="63"/>
      <c r="E260" s="63"/>
      <c r="F260" s="63"/>
      <c r="G260" s="63"/>
      <c r="H260" s="63"/>
      <c r="I260" s="63"/>
      <c r="J260" s="63"/>
      <c r="K260" s="63"/>
      <c r="L260" s="63"/>
      <c r="M260" s="63"/>
      <c r="N260" s="63"/>
      <c r="O260" s="63"/>
      <c r="P260" s="63"/>
      <c r="Q260" s="63"/>
      <c r="R260" s="63"/>
      <c r="S260" s="63"/>
      <c r="T260" s="63"/>
      <c r="U260" s="63"/>
      <c r="V260" s="63"/>
      <c r="W260" s="63"/>
      <c r="X260" s="63"/>
    </row>
    <row r="261" spans="1:24" ht="12.75">
      <c r="A261" s="69"/>
      <c r="B261" s="63"/>
      <c r="C261" s="63"/>
      <c r="D261" s="63"/>
      <c r="E261" s="63"/>
      <c r="F261" s="63"/>
      <c r="G261" s="63"/>
      <c r="H261" s="63"/>
      <c r="I261" s="63"/>
      <c r="J261" s="63"/>
      <c r="K261" s="63"/>
      <c r="L261" s="63"/>
      <c r="M261" s="63"/>
      <c r="N261" s="63"/>
      <c r="O261" s="63"/>
      <c r="P261" s="63"/>
      <c r="Q261" s="63"/>
      <c r="R261" s="63"/>
      <c r="S261" s="63"/>
      <c r="T261" s="63"/>
      <c r="U261" s="63"/>
      <c r="V261" s="63"/>
      <c r="W261" s="63"/>
      <c r="X261" s="63"/>
    </row>
    <row r="262" spans="1:24" ht="12.75">
      <c r="A262" s="69"/>
      <c r="B262" s="63"/>
      <c r="C262" s="63"/>
      <c r="D262" s="63"/>
      <c r="E262" s="63"/>
      <c r="F262" s="63"/>
      <c r="G262" s="63"/>
      <c r="H262" s="63"/>
      <c r="I262" s="63"/>
      <c r="J262" s="63"/>
      <c r="K262" s="63"/>
      <c r="L262" s="63"/>
      <c r="M262" s="63"/>
      <c r="N262" s="63"/>
      <c r="O262" s="63"/>
      <c r="P262" s="63"/>
      <c r="Q262" s="63"/>
      <c r="R262" s="63"/>
      <c r="S262" s="63"/>
      <c r="T262" s="63"/>
      <c r="U262" s="63"/>
      <c r="V262" s="63"/>
      <c r="W262" s="63"/>
      <c r="X262" s="63"/>
    </row>
    <row r="263" spans="1:24" ht="12.75">
      <c r="A263" s="69"/>
      <c r="B263" s="63"/>
      <c r="C263" s="63"/>
      <c r="D263" s="63"/>
      <c r="E263" s="63"/>
      <c r="F263" s="63"/>
      <c r="G263" s="63"/>
      <c r="H263" s="63"/>
      <c r="I263" s="63"/>
      <c r="J263" s="63"/>
      <c r="K263" s="63"/>
      <c r="L263" s="63"/>
      <c r="M263" s="63"/>
      <c r="N263" s="63"/>
      <c r="O263" s="63"/>
      <c r="P263" s="63"/>
      <c r="Q263" s="63"/>
      <c r="R263" s="63"/>
      <c r="S263" s="63"/>
      <c r="T263" s="63"/>
      <c r="U263" s="63"/>
      <c r="V263" s="63"/>
      <c r="W263" s="63"/>
      <c r="X263" s="63"/>
    </row>
    <row r="264" spans="1:24" ht="12.75">
      <c r="A264" s="69"/>
      <c r="B264" s="63"/>
      <c r="C264" s="63"/>
      <c r="D264" s="63"/>
      <c r="E264" s="63"/>
      <c r="F264" s="63"/>
      <c r="G264" s="63"/>
      <c r="H264" s="63"/>
      <c r="I264" s="63"/>
      <c r="J264" s="63"/>
      <c r="K264" s="63"/>
      <c r="L264" s="63"/>
      <c r="M264" s="63"/>
      <c r="N264" s="63"/>
      <c r="O264" s="63"/>
      <c r="P264" s="63"/>
      <c r="Q264" s="63"/>
      <c r="R264" s="63"/>
      <c r="S264" s="63"/>
      <c r="T264" s="63"/>
      <c r="U264" s="63"/>
      <c r="V264" s="63"/>
      <c r="W264" s="63"/>
      <c r="X264" s="63"/>
    </row>
    <row r="265" spans="1:24" ht="12.75">
      <c r="A265" s="69"/>
      <c r="B265" s="63"/>
      <c r="C265" s="63"/>
      <c r="D265" s="63"/>
      <c r="E265" s="63"/>
      <c r="F265" s="63"/>
      <c r="G265" s="63"/>
      <c r="H265" s="63"/>
      <c r="I265" s="63"/>
      <c r="J265" s="63"/>
      <c r="K265" s="63"/>
      <c r="L265" s="63"/>
      <c r="M265" s="63"/>
      <c r="N265" s="63"/>
      <c r="O265" s="63"/>
      <c r="P265" s="63"/>
      <c r="Q265" s="63"/>
      <c r="R265" s="63"/>
      <c r="S265" s="63"/>
      <c r="T265" s="63"/>
      <c r="U265" s="63"/>
      <c r="V265" s="63"/>
      <c r="W265" s="63"/>
      <c r="X265" s="63"/>
    </row>
    <row r="266" spans="1:24" ht="12.75">
      <c r="A266" s="69"/>
      <c r="B266" s="63"/>
      <c r="C266" s="63"/>
      <c r="D266" s="63"/>
      <c r="E266" s="63"/>
      <c r="F266" s="63"/>
      <c r="G266" s="63"/>
      <c r="H266" s="63"/>
      <c r="I266" s="63"/>
      <c r="J266" s="63"/>
      <c r="K266" s="63"/>
      <c r="L266" s="63"/>
      <c r="M266" s="63"/>
      <c r="N266" s="63"/>
      <c r="O266" s="63"/>
      <c r="P266" s="63"/>
      <c r="Q266" s="63"/>
      <c r="R266" s="63"/>
      <c r="S266" s="63"/>
      <c r="T266" s="63"/>
      <c r="U266" s="63"/>
      <c r="V266" s="63"/>
      <c r="W266" s="63"/>
      <c r="X266" s="63"/>
    </row>
    <row r="267" spans="1:24" ht="12.75">
      <c r="A267" s="69"/>
      <c r="B267" s="63"/>
      <c r="C267" s="63"/>
      <c r="D267" s="63"/>
      <c r="E267" s="63"/>
      <c r="F267" s="63"/>
      <c r="G267" s="63"/>
      <c r="H267" s="63"/>
      <c r="I267" s="63"/>
      <c r="J267" s="63"/>
      <c r="K267" s="63"/>
      <c r="L267" s="63"/>
      <c r="M267" s="63"/>
      <c r="N267" s="63"/>
      <c r="O267" s="63"/>
      <c r="P267" s="63"/>
      <c r="Q267" s="63"/>
      <c r="R267" s="63"/>
      <c r="S267" s="63"/>
      <c r="T267" s="63"/>
      <c r="U267" s="63"/>
      <c r="V267" s="63"/>
      <c r="W267" s="63"/>
      <c r="X267" s="63"/>
    </row>
    <row r="268" spans="1:24" ht="12.75">
      <c r="A268" s="69"/>
      <c r="B268" s="63"/>
      <c r="C268" s="63"/>
      <c r="D268" s="63"/>
      <c r="E268" s="63"/>
      <c r="F268" s="63"/>
      <c r="G268" s="63"/>
      <c r="H268" s="63"/>
      <c r="I268" s="63"/>
      <c r="J268" s="63"/>
      <c r="K268" s="63"/>
      <c r="L268" s="63"/>
      <c r="M268" s="63"/>
      <c r="N268" s="63"/>
      <c r="O268" s="63"/>
      <c r="P268" s="63"/>
      <c r="Q268" s="63"/>
      <c r="R268" s="63"/>
      <c r="S268" s="63"/>
      <c r="T268" s="63"/>
      <c r="U268" s="63"/>
      <c r="V268" s="63"/>
      <c r="W268" s="63"/>
      <c r="X268" s="63"/>
    </row>
    <row r="269" spans="1:24" ht="12.75">
      <c r="A269" s="69"/>
      <c r="B269" s="63"/>
      <c r="C269" s="63"/>
      <c r="D269" s="63"/>
      <c r="E269" s="63"/>
      <c r="F269" s="63"/>
      <c r="G269" s="63"/>
      <c r="H269" s="63"/>
      <c r="I269" s="63"/>
      <c r="J269" s="63"/>
      <c r="K269" s="63"/>
      <c r="L269" s="63"/>
      <c r="M269" s="63"/>
      <c r="N269" s="63"/>
      <c r="O269" s="63"/>
      <c r="P269" s="63"/>
      <c r="Q269" s="63"/>
      <c r="R269" s="63"/>
      <c r="S269" s="63"/>
      <c r="T269" s="63"/>
      <c r="U269" s="63"/>
      <c r="V269" s="63"/>
      <c r="W269" s="63"/>
      <c r="X269" s="63"/>
    </row>
    <row r="270" spans="1:24" ht="12.75">
      <c r="A270" s="69"/>
      <c r="B270" s="63"/>
      <c r="C270" s="63"/>
      <c r="D270" s="63"/>
      <c r="E270" s="63"/>
      <c r="F270" s="63"/>
      <c r="G270" s="63"/>
      <c r="H270" s="63"/>
      <c r="I270" s="63"/>
      <c r="J270" s="63"/>
      <c r="K270" s="63"/>
      <c r="L270" s="63"/>
      <c r="M270" s="63"/>
      <c r="N270" s="63"/>
      <c r="O270" s="63"/>
      <c r="P270" s="63"/>
      <c r="Q270" s="63"/>
      <c r="R270" s="63"/>
      <c r="S270" s="63"/>
      <c r="T270" s="63"/>
      <c r="U270" s="63"/>
      <c r="V270" s="63"/>
      <c r="W270" s="63"/>
      <c r="X270" s="63"/>
    </row>
    <row r="271" spans="1:24" ht="12.75">
      <c r="A271" s="69"/>
      <c r="B271" s="63"/>
      <c r="C271" s="63"/>
      <c r="D271" s="63"/>
      <c r="E271" s="63"/>
      <c r="F271" s="63"/>
      <c r="G271" s="63"/>
      <c r="H271" s="63"/>
      <c r="I271" s="63"/>
      <c r="J271" s="63"/>
      <c r="K271" s="63"/>
      <c r="L271" s="63"/>
      <c r="M271" s="63"/>
      <c r="N271" s="63"/>
      <c r="O271" s="63"/>
      <c r="P271" s="63"/>
      <c r="Q271" s="63"/>
      <c r="R271" s="63"/>
      <c r="S271" s="63"/>
      <c r="T271" s="63"/>
      <c r="U271" s="63"/>
      <c r="V271" s="63"/>
      <c r="W271" s="63"/>
      <c r="X271" s="63"/>
    </row>
    <row r="272" spans="1:24" ht="12.75">
      <c r="A272" s="69"/>
      <c r="B272" s="63"/>
      <c r="C272" s="63"/>
      <c r="D272" s="63"/>
      <c r="E272" s="63"/>
      <c r="F272" s="63"/>
      <c r="G272" s="63"/>
      <c r="H272" s="63"/>
      <c r="I272" s="63"/>
      <c r="J272" s="63"/>
      <c r="K272" s="63"/>
      <c r="L272" s="63"/>
      <c r="M272" s="63"/>
      <c r="N272" s="63"/>
      <c r="O272" s="63"/>
      <c r="P272" s="63"/>
      <c r="Q272" s="63"/>
      <c r="R272" s="63"/>
      <c r="S272" s="63"/>
      <c r="T272" s="63"/>
      <c r="U272" s="63"/>
      <c r="V272" s="63"/>
      <c r="W272" s="63"/>
      <c r="X272" s="63"/>
    </row>
    <row r="273" spans="1:24" ht="12.75">
      <c r="A273" s="69"/>
      <c r="B273" s="63"/>
      <c r="C273" s="63"/>
      <c r="D273" s="63"/>
      <c r="E273" s="63"/>
      <c r="F273" s="63"/>
      <c r="G273" s="63"/>
      <c r="H273" s="63"/>
      <c r="I273" s="63"/>
      <c r="J273" s="63"/>
      <c r="K273" s="63"/>
      <c r="L273" s="63"/>
      <c r="M273" s="63"/>
      <c r="N273" s="63"/>
      <c r="O273" s="63"/>
      <c r="P273" s="63"/>
      <c r="Q273" s="63"/>
      <c r="R273" s="63"/>
      <c r="S273" s="63"/>
      <c r="T273" s="63"/>
      <c r="U273" s="63"/>
      <c r="V273" s="63"/>
      <c r="W273" s="63"/>
      <c r="X273" s="63"/>
    </row>
    <row r="274" spans="1:24" ht="12.75">
      <c r="A274" s="69"/>
      <c r="B274" s="63"/>
      <c r="C274" s="63"/>
      <c r="D274" s="63"/>
      <c r="E274" s="63"/>
      <c r="F274" s="63"/>
      <c r="G274" s="63"/>
      <c r="H274" s="63"/>
      <c r="I274" s="63"/>
      <c r="J274" s="63"/>
      <c r="K274" s="63"/>
      <c r="L274" s="63"/>
      <c r="M274" s="63"/>
      <c r="N274" s="63"/>
      <c r="O274" s="63"/>
      <c r="P274" s="63"/>
      <c r="Q274" s="63"/>
      <c r="R274" s="63"/>
      <c r="S274" s="63"/>
      <c r="T274" s="63"/>
      <c r="U274" s="63"/>
      <c r="V274" s="63"/>
      <c r="W274" s="63"/>
      <c r="X274" s="63"/>
    </row>
    <row r="275" spans="1:24" ht="12.75">
      <c r="A275" s="69"/>
      <c r="B275" s="63"/>
      <c r="C275" s="63"/>
      <c r="D275" s="63"/>
      <c r="E275" s="63"/>
      <c r="F275" s="63"/>
      <c r="G275" s="63"/>
      <c r="H275" s="63"/>
      <c r="I275" s="63"/>
      <c r="J275" s="63"/>
      <c r="K275" s="63"/>
      <c r="L275" s="63"/>
      <c r="M275" s="63"/>
      <c r="N275" s="63"/>
      <c r="O275" s="63"/>
      <c r="P275" s="63"/>
      <c r="Q275" s="63"/>
      <c r="R275" s="63"/>
      <c r="S275" s="63"/>
      <c r="T275" s="63"/>
      <c r="U275" s="63"/>
      <c r="V275" s="63"/>
      <c r="W275" s="63"/>
      <c r="X275" s="63"/>
    </row>
    <row r="276" spans="1:24" ht="12.75">
      <c r="A276" s="69"/>
      <c r="B276" s="63"/>
      <c r="C276" s="63"/>
      <c r="D276" s="63"/>
      <c r="E276" s="63"/>
      <c r="F276" s="63"/>
      <c r="G276" s="63"/>
      <c r="H276" s="63"/>
      <c r="I276" s="63"/>
      <c r="J276" s="63"/>
      <c r="K276" s="63"/>
      <c r="L276" s="63"/>
      <c r="M276" s="63"/>
      <c r="N276" s="63"/>
      <c r="O276" s="63"/>
      <c r="P276" s="63"/>
      <c r="Q276" s="63"/>
      <c r="R276" s="63"/>
      <c r="S276" s="63"/>
      <c r="T276" s="63"/>
      <c r="U276" s="63"/>
      <c r="V276" s="63"/>
      <c r="W276" s="63"/>
      <c r="X276" s="63"/>
    </row>
    <row r="277" spans="1:24" ht="12.75">
      <c r="A277" s="69"/>
      <c r="B277" s="63"/>
      <c r="C277" s="63"/>
      <c r="D277" s="63"/>
      <c r="E277" s="63"/>
      <c r="F277" s="63"/>
      <c r="G277" s="63"/>
      <c r="H277" s="63"/>
      <c r="I277" s="63"/>
      <c r="J277" s="63"/>
      <c r="K277" s="63"/>
      <c r="L277" s="63"/>
      <c r="M277" s="63"/>
      <c r="N277" s="63"/>
      <c r="O277" s="63"/>
      <c r="P277" s="63"/>
      <c r="Q277" s="63"/>
      <c r="R277" s="63"/>
      <c r="S277" s="63"/>
      <c r="T277" s="63"/>
      <c r="U277" s="63"/>
      <c r="V277" s="63"/>
      <c r="W277" s="63"/>
      <c r="X277" s="63"/>
    </row>
    <row r="278" spans="1:24" ht="12.75">
      <c r="A278" s="69"/>
      <c r="B278" s="63"/>
      <c r="C278" s="63"/>
      <c r="D278" s="63"/>
      <c r="E278" s="63"/>
      <c r="F278" s="63"/>
      <c r="G278" s="63"/>
      <c r="H278" s="63"/>
      <c r="I278" s="63"/>
      <c r="J278" s="63"/>
      <c r="K278" s="63"/>
      <c r="L278" s="63"/>
      <c r="M278" s="63"/>
      <c r="N278" s="63"/>
      <c r="O278" s="63"/>
      <c r="P278" s="63"/>
      <c r="Q278" s="63"/>
      <c r="R278" s="63"/>
      <c r="S278" s="63"/>
      <c r="T278" s="63"/>
      <c r="U278" s="63"/>
      <c r="V278" s="63"/>
      <c r="W278" s="63"/>
      <c r="X278" s="63"/>
    </row>
    <row r="279" spans="1:24" ht="12.75">
      <c r="A279" s="69"/>
      <c r="B279" s="63"/>
      <c r="C279" s="63"/>
      <c r="D279" s="63"/>
      <c r="E279" s="63"/>
      <c r="F279" s="63"/>
      <c r="G279" s="63"/>
      <c r="H279" s="63"/>
      <c r="I279" s="63"/>
      <c r="J279" s="63"/>
      <c r="K279" s="63"/>
      <c r="L279" s="63"/>
      <c r="M279" s="63"/>
      <c r="N279" s="63"/>
      <c r="O279" s="63"/>
      <c r="P279" s="63"/>
      <c r="Q279" s="63"/>
      <c r="R279" s="63"/>
      <c r="S279" s="63"/>
      <c r="T279" s="63"/>
      <c r="U279" s="63"/>
      <c r="V279" s="63"/>
      <c r="W279" s="63"/>
      <c r="X279" s="63"/>
    </row>
    <row r="280" spans="1:24" ht="12.75">
      <c r="A280" s="69"/>
      <c r="B280" s="63"/>
      <c r="C280" s="63"/>
      <c r="D280" s="63"/>
      <c r="E280" s="63"/>
      <c r="F280" s="63"/>
      <c r="G280" s="63"/>
      <c r="H280" s="63"/>
      <c r="I280" s="63"/>
      <c r="J280" s="63"/>
      <c r="K280" s="63"/>
      <c r="L280" s="63"/>
      <c r="M280" s="63"/>
      <c r="N280" s="63"/>
      <c r="O280" s="63"/>
      <c r="P280" s="63"/>
      <c r="Q280" s="63"/>
      <c r="R280" s="63"/>
      <c r="S280" s="63"/>
      <c r="T280" s="63"/>
      <c r="U280" s="63"/>
      <c r="V280" s="63"/>
      <c r="W280" s="63"/>
      <c r="X280" s="63"/>
    </row>
    <row r="281" spans="1:24" ht="12.75">
      <c r="A281" s="69"/>
      <c r="B281" s="63"/>
      <c r="C281" s="63"/>
      <c r="D281" s="63"/>
      <c r="E281" s="63"/>
      <c r="F281" s="63"/>
      <c r="G281" s="63"/>
      <c r="H281" s="63"/>
      <c r="I281" s="63"/>
      <c r="J281" s="63"/>
      <c r="K281" s="63"/>
      <c r="L281" s="63"/>
      <c r="M281" s="63"/>
      <c r="N281" s="63"/>
      <c r="O281" s="63"/>
      <c r="P281" s="63"/>
      <c r="Q281" s="63"/>
      <c r="R281" s="63"/>
      <c r="S281" s="63"/>
      <c r="T281" s="63"/>
      <c r="U281" s="63"/>
      <c r="V281" s="63"/>
      <c r="W281" s="63"/>
      <c r="X281" s="63"/>
    </row>
    <row r="282" spans="1:24" ht="12.75">
      <c r="A282" s="69"/>
      <c r="B282" s="63"/>
      <c r="C282" s="63"/>
      <c r="D282" s="63"/>
      <c r="E282" s="63"/>
      <c r="F282" s="63"/>
      <c r="G282" s="63"/>
      <c r="H282" s="63"/>
      <c r="I282" s="63"/>
      <c r="J282" s="63"/>
      <c r="K282" s="63"/>
      <c r="L282" s="63"/>
      <c r="M282" s="63"/>
      <c r="N282" s="63"/>
      <c r="O282" s="63"/>
      <c r="P282" s="63"/>
      <c r="Q282" s="63"/>
      <c r="R282" s="63"/>
      <c r="S282" s="63"/>
      <c r="T282" s="63"/>
      <c r="U282" s="63"/>
      <c r="V282" s="63"/>
      <c r="W282" s="63"/>
      <c r="X282" s="63"/>
    </row>
    <row r="283" spans="1:24" ht="12.75">
      <c r="A283" s="69"/>
      <c r="B283" s="63"/>
      <c r="C283" s="63"/>
      <c r="D283" s="63"/>
      <c r="E283" s="63"/>
      <c r="F283" s="63"/>
      <c r="G283" s="63"/>
      <c r="H283" s="63"/>
      <c r="I283" s="63"/>
      <c r="J283" s="63"/>
      <c r="K283" s="63"/>
      <c r="L283" s="63"/>
      <c r="M283" s="63"/>
      <c r="N283" s="63"/>
      <c r="O283" s="63"/>
      <c r="P283" s="63"/>
      <c r="Q283" s="63"/>
      <c r="R283" s="63"/>
      <c r="S283" s="63"/>
      <c r="T283" s="63"/>
      <c r="U283" s="63"/>
      <c r="V283" s="63"/>
      <c r="W283" s="63"/>
      <c r="X283" s="63"/>
    </row>
    <row r="284" spans="1:24" ht="12.75">
      <c r="A284" s="69"/>
      <c r="B284" s="63"/>
      <c r="C284" s="63"/>
      <c r="D284" s="63"/>
      <c r="E284" s="63"/>
      <c r="F284" s="63"/>
      <c r="G284" s="63"/>
      <c r="H284" s="63"/>
      <c r="I284" s="63"/>
      <c r="J284" s="63"/>
      <c r="K284" s="63"/>
      <c r="L284" s="63"/>
      <c r="M284" s="63"/>
      <c r="N284" s="63"/>
      <c r="O284" s="63"/>
      <c r="P284" s="63"/>
      <c r="Q284" s="63"/>
      <c r="R284" s="63"/>
      <c r="S284" s="63"/>
      <c r="T284" s="63"/>
      <c r="U284" s="63"/>
      <c r="V284" s="63"/>
      <c r="W284" s="63"/>
      <c r="X284" s="63"/>
    </row>
    <row r="285" spans="1:24" ht="12.75">
      <c r="A285" s="69"/>
      <c r="B285" s="63"/>
      <c r="C285" s="63"/>
      <c r="D285" s="63"/>
      <c r="E285" s="63"/>
      <c r="F285" s="63"/>
      <c r="G285" s="63"/>
      <c r="H285" s="63"/>
      <c r="I285" s="63"/>
      <c r="J285" s="63"/>
      <c r="K285" s="63"/>
      <c r="L285" s="63"/>
      <c r="M285" s="63"/>
      <c r="N285" s="63"/>
      <c r="O285" s="63"/>
      <c r="P285" s="63"/>
      <c r="Q285" s="63"/>
      <c r="R285" s="63"/>
      <c r="S285" s="63"/>
      <c r="T285" s="63"/>
      <c r="U285" s="63"/>
      <c r="V285" s="63"/>
      <c r="W285" s="63"/>
      <c r="X285" s="63"/>
    </row>
    <row r="286" spans="1:24" ht="12.75">
      <c r="A286" s="69"/>
      <c r="B286" s="63"/>
      <c r="C286" s="63"/>
      <c r="D286" s="63"/>
      <c r="E286" s="63"/>
      <c r="F286" s="63"/>
      <c r="G286" s="63"/>
      <c r="H286" s="63"/>
      <c r="I286" s="63"/>
      <c r="J286" s="63"/>
      <c r="K286" s="63"/>
      <c r="L286" s="63"/>
      <c r="M286" s="63"/>
      <c r="N286" s="63"/>
      <c r="O286" s="63"/>
      <c r="P286" s="63"/>
      <c r="Q286" s="63"/>
      <c r="R286" s="63"/>
      <c r="S286" s="63"/>
      <c r="T286" s="63"/>
      <c r="U286" s="63"/>
      <c r="V286" s="63"/>
      <c r="W286" s="63"/>
      <c r="X286" s="63"/>
    </row>
    <row r="287" spans="1:24" ht="12.75">
      <c r="A287" s="69"/>
      <c r="B287" s="63"/>
      <c r="C287" s="63"/>
      <c r="D287" s="63"/>
      <c r="E287" s="63"/>
      <c r="F287" s="63"/>
      <c r="G287" s="63"/>
      <c r="H287" s="63"/>
      <c r="I287" s="63"/>
      <c r="J287" s="63"/>
      <c r="K287" s="63"/>
      <c r="L287" s="63"/>
      <c r="M287" s="63"/>
      <c r="N287" s="63"/>
      <c r="O287" s="63"/>
      <c r="P287" s="63"/>
      <c r="Q287" s="63"/>
      <c r="R287" s="63"/>
      <c r="S287" s="63"/>
      <c r="T287" s="63"/>
      <c r="U287" s="63"/>
      <c r="V287" s="63"/>
      <c r="W287" s="63"/>
      <c r="X287" s="63"/>
    </row>
    <row r="288" spans="1:24" ht="12.75">
      <c r="A288" s="69"/>
      <c r="B288" s="63"/>
      <c r="C288" s="63"/>
      <c r="D288" s="63"/>
      <c r="E288" s="63"/>
      <c r="F288" s="63"/>
      <c r="G288" s="63"/>
      <c r="H288" s="63"/>
      <c r="I288" s="63"/>
      <c r="J288" s="63"/>
      <c r="K288" s="63"/>
      <c r="L288" s="63"/>
      <c r="M288" s="63"/>
      <c r="N288" s="63"/>
      <c r="O288" s="63"/>
      <c r="P288" s="63"/>
      <c r="Q288" s="63"/>
      <c r="R288" s="63"/>
      <c r="S288" s="63"/>
      <c r="T288" s="63"/>
      <c r="U288" s="63"/>
      <c r="V288" s="63"/>
      <c r="W288" s="63"/>
      <c r="X288" s="63"/>
    </row>
    <row r="289" spans="1:24" ht="12.75">
      <c r="A289" s="69"/>
      <c r="B289" s="63"/>
      <c r="C289" s="63"/>
      <c r="D289" s="63"/>
      <c r="E289" s="63"/>
      <c r="F289" s="63"/>
      <c r="G289" s="63"/>
      <c r="H289" s="63"/>
      <c r="I289" s="63"/>
      <c r="J289" s="63"/>
      <c r="K289" s="63"/>
      <c r="L289" s="63"/>
      <c r="M289" s="63"/>
      <c r="N289" s="63"/>
      <c r="O289" s="63"/>
      <c r="P289" s="63"/>
      <c r="Q289" s="63"/>
      <c r="R289" s="63"/>
      <c r="S289" s="63"/>
      <c r="T289" s="63"/>
      <c r="U289" s="63"/>
      <c r="V289" s="63"/>
      <c r="W289" s="63"/>
      <c r="X289" s="63"/>
    </row>
    <row r="290" spans="1:24" ht="12.75">
      <c r="A290" s="69"/>
      <c r="B290" s="63"/>
      <c r="C290" s="63"/>
      <c r="D290" s="63"/>
      <c r="E290" s="63"/>
      <c r="F290" s="63"/>
      <c r="G290" s="63"/>
      <c r="H290" s="63"/>
      <c r="I290" s="63"/>
      <c r="J290" s="63"/>
      <c r="K290" s="63"/>
      <c r="L290" s="63"/>
      <c r="M290" s="63"/>
      <c r="N290" s="63"/>
      <c r="O290" s="63"/>
      <c r="P290" s="63"/>
      <c r="Q290" s="63"/>
      <c r="R290" s="63"/>
      <c r="S290" s="63"/>
      <c r="T290" s="63"/>
      <c r="U290" s="63"/>
      <c r="V290" s="63"/>
      <c r="W290" s="63"/>
      <c r="X290" s="63"/>
    </row>
    <row r="291" spans="1:24" ht="12.75">
      <c r="A291" s="69"/>
      <c r="B291" s="63"/>
      <c r="C291" s="63"/>
      <c r="D291" s="63"/>
      <c r="E291" s="63"/>
      <c r="F291" s="63"/>
      <c r="G291" s="63"/>
      <c r="H291" s="63"/>
      <c r="I291" s="63"/>
      <c r="J291" s="63"/>
      <c r="K291" s="63"/>
      <c r="L291" s="63"/>
      <c r="M291" s="63"/>
      <c r="N291" s="63"/>
      <c r="O291" s="63"/>
      <c r="P291" s="63"/>
      <c r="Q291" s="63"/>
      <c r="R291" s="63"/>
      <c r="S291" s="63"/>
      <c r="T291" s="63"/>
      <c r="U291" s="63"/>
      <c r="V291" s="63"/>
      <c r="W291" s="63"/>
      <c r="X291" s="63"/>
    </row>
    <row r="292" spans="1:24" ht="12.75">
      <c r="A292" s="69"/>
      <c r="B292" s="63"/>
      <c r="C292" s="63"/>
      <c r="D292" s="63"/>
      <c r="E292" s="63"/>
      <c r="F292" s="63"/>
      <c r="G292" s="63"/>
      <c r="H292" s="63"/>
      <c r="I292" s="63"/>
      <c r="J292" s="63"/>
      <c r="K292" s="63"/>
      <c r="L292" s="63"/>
      <c r="M292" s="63"/>
      <c r="N292" s="63"/>
      <c r="O292" s="63"/>
      <c r="P292" s="63"/>
      <c r="Q292" s="63"/>
      <c r="R292" s="63"/>
      <c r="S292" s="63"/>
      <c r="T292" s="63"/>
      <c r="U292" s="63"/>
      <c r="V292" s="63"/>
      <c r="W292" s="63"/>
      <c r="X292" s="63"/>
    </row>
    <row r="293" spans="1:24" ht="12.75">
      <c r="A293" s="69"/>
      <c r="B293" s="63"/>
      <c r="C293" s="63"/>
      <c r="D293" s="63"/>
      <c r="E293" s="63"/>
      <c r="F293" s="63"/>
      <c r="G293" s="63"/>
      <c r="H293" s="63"/>
      <c r="I293" s="63"/>
      <c r="J293" s="63"/>
      <c r="K293" s="63"/>
      <c r="L293" s="63"/>
      <c r="M293" s="63"/>
      <c r="N293" s="63"/>
      <c r="O293" s="63"/>
      <c r="P293" s="63"/>
      <c r="Q293" s="63"/>
      <c r="R293" s="63"/>
      <c r="S293" s="63"/>
      <c r="T293" s="63"/>
      <c r="U293" s="63"/>
      <c r="V293" s="63"/>
      <c r="W293" s="63"/>
      <c r="X293" s="63"/>
    </row>
    <row r="294" spans="1:24" ht="12.75">
      <c r="A294" s="69"/>
      <c r="B294" s="63"/>
      <c r="C294" s="63"/>
      <c r="D294" s="63"/>
      <c r="E294" s="63"/>
      <c r="F294" s="63"/>
      <c r="G294" s="63"/>
      <c r="H294" s="63"/>
      <c r="I294" s="63"/>
      <c r="J294" s="63"/>
      <c r="K294" s="63"/>
      <c r="L294" s="63"/>
      <c r="M294" s="63"/>
      <c r="N294" s="63"/>
      <c r="O294" s="63"/>
      <c r="P294" s="63"/>
      <c r="Q294" s="63"/>
      <c r="R294" s="63"/>
      <c r="S294" s="63"/>
      <c r="T294" s="63"/>
      <c r="U294" s="63"/>
      <c r="V294" s="63"/>
      <c r="W294" s="63"/>
      <c r="X294" s="63"/>
    </row>
    <row r="295" spans="1:24" ht="12.75">
      <c r="A295" s="69"/>
      <c r="B295" s="63"/>
      <c r="C295" s="63"/>
      <c r="D295" s="63"/>
      <c r="E295" s="63"/>
      <c r="F295" s="63"/>
      <c r="G295" s="63"/>
      <c r="H295" s="63"/>
      <c r="I295" s="63"/>
      <c r="J295" s="63"/>
      <c r="K295" s="63"/>
      <c r="L295" s="63"/>
      <c r="M295" s="63"/>
      <c r="N295" s="63"/>
      <c r="O295" s="63"/>
      <c r="P295" s="63"/>
      <c r="Q295" s="63"/>
      <c r="R295" s="63"/>
      <c r="S295" s="63"/>
      <c r="T295" s="63"/>
      <c r="U295" s="63"/>
      <c r="V295" s="63"/>
      <c r="W295" s="63"/>
      <c r="X295" s="63"/>
    </row>
    <row r="296" spans="1:24" ht="12.75">
      <c r="A296" s="69"/>
      <c r="B296" s="63"/>
      <c r="C296" s="63"/>
      <c r="D296" s="63"/>
      <c r="E296" s="63"/>
      <c r="F296" s="63"/>
      <c r="G296" s="63"/>
      <c r="H296" s="63"/>
      <c r="I296" s="63"/>
      <c r="J296" s="63"/>
      <c r="K296" s="63"/>
      <c r="L296" s="63"/>
      <c r="M296" s="63"/>
      <c r="N296" s="63"/>
      <c r="O296" s="63"/>
      <c r="P296" s="63"/>
      <c r="Q296" s="63"/>
      <c r="R296" s="63"/>
      <c r="S296" s="63"/>
      <c r="T296" s="63"/>
      <c r="U296" s="63"/>
      <c r="V296" s="63"/>
      <c r="W296" s="63"/>
      <c r="X296" s="63"/>
    </row>
    <row r="297" spans="1:24" ht="12.75">
      <c r="A297" s="69"/>
      <c r="B297" s="63"/>
      <c r="C297" s="63"/>
      <c r="D297" s="63"/>
      <c r="E297" s="63"/>
      <c r="F297" s="63"/>
      <c r="G297" s="63"/>
      <c r="H297" s="63"/>
      <c r="I297" s="63"/>
      <c r="J297" s="63"/>
      <c r="K297" s="63"/>
      <c r="L297" s="63"/>
      <c r="M297" s="63"/>
      <c r="N297" s="63"/>
      <c r="O297" s="63"/>
      <c r="P297" s="63"/>
      <c r="Q297" s="63"/>
      <c r="R297" s="63"/>
      <c r="S297" s="63"/>
      <c r="T297" s="63"/>
      <c r="U297" s="63"/>
      <c r="V297" s="63"/>
      <c r="W297" s="63"/>
      <c r="X297" s="63"/>
    </row>
    <row r="298" spans="1:24" ht="12.75">
      <c r="A298" s="69"/>
      <c r="B298" s="63"/>
      <c r="C298" s="63"/>
      <c r="D298" s="63"/>
      <c r="E298" s="63"/>
      <c r="F298" s="63"/>
      <c r="G298" s="63"/>
      <c r="H298" s="63"/>
      <c r="I298" s="63"/>
      <c r="J298" s="63"/>
      <c r="K298" s="63"/>
      <c r="L298" s="63"/>
      <c r="M298" s="63"/>
      <c r="N298" s="63"/>
      <c r="O298" s="63"/>
      <c r="P298" s="63"/>
      <c r="Q298" s="63"/>
      <c r="R298" s="63"/>
      <c r="S298" s="63"/>
      <c r="T298" s="63"/>
      <c r="U298" s="63"/>
      <c r="V298" s="63"/>
      <c r="W298" s="63"/>
      <c r="X298" s="63"/>
    </row>
    <row r="299" spans="1:24" ht="12.75">
      <c r="A299" s="69"/>
      <c r="B299" s="63"/>
      <c r="C299" s="63"/>
      <c r="D299" s="63"/>
      <c r="E299" s="63"/>
      <c r="F299" s="63"/>
      <c r="G299" s="63"/>
      <c r="H299" s="63"/>
      <c r="I299" s="63"/>
      <c r="J299" s="63"/>
      <c r="K299" s="63"/>
      <c r="L299" s="63"/>
      <c r="M299" s="63"/>
      <c r="N299" s="63"/>
      <c r="O299" s="63"/>
      <c r="P299" s="63"/>
      <c r="Q299" s="63"/>
      <c r="R299" s="63"/>
      <c r="S299" s="63"/>
      <c r="T299" s="63"/>
      <c r="U299" s="63"/>
      <c r="V299" s="63"/>
      <c r="W299" s="63"/>
      <c r="X299" s="63"/>
    </row>
    <row r="300" spans="1:24" ht="12.75">
      <c r="A300" s="69"/>
      <c r="B300" s="63"/>
      <c r="C300" s="63"/>
      <c r="D300" s="63"/>
      <c r="E300" s="63"/>
      <c r="F300" s="63"/>
      <c r="G300" s="63"/>
      <c r="H300" s="63"/>
      <c r="I300" s="63"/>
      <c r="J300" s="63"/>
      <c r="K300" s="63"/>
      <c r="L300" s="63"/>
      <c r="M300" s="63"/>
      <c r="N300" s="63"/>
      <c r="O300" s="63"/>
      <c r="P300" s="63"/>
      <c r="Q300" s="63"/>
      <c r="R300" s="63"/>
      <c r="S300" s="63"/>
      <c r="T300" s="63"/>
      <c r="U300" s="63"/>
      <c r="V300" s="63"/>
      <c r="W300" s="63"/>
      <c r="X300" s="63"/>
    </row>
    <row r="301" spans="1:24" ht="12.75">
      <c r="A301" s="69"/>
      <c r="B301" s="63"/>
      <c r="C301" s="63"/>
      <c r="D301" s="63"/>
      <c r="E301" s="63"/>
      <c r="F301" s="63"/>
      <c r="G301" s="63"/>
      <c r="H301" s="63"/>
      <c r="I301" s="63"/>
      <c r="J301" s="63"/>
      <c r="K301" s="63"/>
      <c r="L301" s="63"/>
      <c r="M301" s="63"/>
      <c r="N301" s="63"/>
      <c r="O301" s="63"/>
      <c r="P301" s="63"/>
      <c r="Q301" s="63"/>
      <c r="R301" s="63"/>
      <c r="S301" s="63"/>
      <c r="T301" s="63"/>
      <c r="U301" s="63"/>
      <c r="V301" s="63"/>
      <c r="W301" s="63"/>
      <c r="X301" s="63"/>
    </row>
    <row r="302" spans="1:24" ht="12.75">
      <c r="A302" s="69"/>
      <c r="B302" s="63"/>
      <c r="C302" s="63"/>
      <c r="D302" s="63"/>
      <c r="E302" s="63"/>
      <c r="F302" s="63"/>
      <c r="G302" s="63"/>
      <c r="H302" s="63"/>
      <c r="I302" s="63"/>
      <c r="J302" s="63"/>
      <c r="K302" s="63"/>
      <c r="L302" s="63"/>
      <c r="M302" s="63"/>
      <c r="N302" s="63"/>
      <c r="O302" s="63"/>
      <c r="P302" s="63"/>
      <c r="Q302" s="63"/>
      <c r="R302" s="63"/>
      <c r="S302" s="63"/>
      <c r="T302" s="63"/>
      <c r="U302" s="63"/>
      <c r="V302" s="63"/>
      <c r="W302" s="63"/>
      <c r="X302" s="63"/>
    </row>
    <row r="303" spans="1:24" ht="12.75">
      <c r="A303" s="69"/>
      <c r="B303" s="63"/>
      <c r="C303" s="63"/>
      <c r="D303" s="63"/>
      <c r="E303" s="63"/>
      <c r="F303" s="63"/>
      <c r="G303" s="63"/>
      <c r="H303" s="63"/>
      <c r="I303" s="63"/>
      <c r="J303" s="63"/>
      <c r="K303" s="63"/>
      <c r="L303" s="63"/>
      <c r="M303" s="63"/>
      <c r="N303" s="63"/>
      <c r="O303" s="63"/>
      <c r="P303" s="63"/>
      <c r="Q303" s="63"/>
      <c r="R303" s="63"/>
      <c r="S303" s="63"/>
      <c r="T303" s="63"/>
      <c r="U303" s="63"/>
      <c r="V303" s="63"/>
      <c r="W303" s="63"/>
      <c r="X303" s="63"/>
    </row>
    <row r="304" spans="1:24" ht="12.75">
      <c r="A304" s="69"/>
      <c r="B304" s="63"/>
      <c r="C304" s="63"/>
      <c r="D304" s="63"/>
      <c r="E304" s="63"/>
      <c r="F304" s="63"/>
      <c r="G304" s="63"/>
      <c r="H304" s="63"/>
      <c r="I304" s="63"/>
      <c r="J304" s="63"/>
      <c r="K304" s="63"/>
      <c r="L304" s="63"/>
      <c r="M304" s="63"/>
      <c r="N304" s="63"/>
      <c r="O304" s="63"/>
      <c r="P304" s="63"/>
      <c r="Q304" s="63"/>
      <c r="R304" s="63"/>
      <c r="S304" s="63"/>
      <c r="T304" s="63"/>
      <c r="U304" s="63"/>
      <c r="V304" s="63"/>
      <c r="W304" s="63"/>
      <c r="X304" s="63"/>
    </row>
    <row r="305" spans="1:24" ht="12.75">
      <c r="A305" s="69"/>
      <c r="B305" s="63"/>
      <c r="C305" s="63"/>
      <c r="D305" s="63"/>
      <c r="E305" s="63"/>
      <c r="F305" s="63"/>
      <c r="G305" s="63"/>
      <c r="H305" s="63"/>
      <c r="I305" s="63"/>
      <c r="J305" s="63"/>
      <c r="K305" s="63"/>
      <c r="L305" s="63"/>
      <c r="M305" s="63"/>
      <c r="N305" s="63"/>
      <c r="O305" s="63"/>
      <c r="P305" s="63"/>
      <c r="Q305" s="63"/>
      <c r="R305" s="63"/>
      <c r="S305" s="63"/>
      <c r="T305" s="63"/>
      <c r="U305" s="63"/>
      <c r="V305" s="63"/>
      <c r="W305" s="63"/>
      <c r="X305" s="63"/>
    </row>
    <row r="306" spans="1:24" ht="12.75">
      <c r="A306" s="69"/>
      <c r="B306" s="63"/>
      <c r="C306" s="63"/>
      <c r="D306" s="63"/>
      <c r="E306" s="63"/>
      <c r="F306" s="63"/>
      <c r="G306" s="63"/>
      <c r="H306" s="63"/>
      <c r="I306" s="63"/>
      <c r="J306" s="63"/>
      <c r="K306" s="63"/>
      <c r="L306" s="63"/>
      <c r="M306" s="63"/>
      <c r="N306" s="63"/>
      <c r="O306" s="63"/>
      <c r="P306" s="63"/>
      <c r="Q306" s="63"/>
      <c r="R306" s="63"/>
      <c r="S306" s="63"/>
      <c r="T306" s="63"/>
      <c r="U306" s="63"/>
      <c r="V306" s="63"/>
      <c r="W306" s="63"/>
      <c r="X306" s="63"/>
    </row>
    <row r="307" spans="1:24" ht="12.75">
      <c r="A307" s="69"/>
      <c r="B307" s="63"/>
      <c r="C307" s="63"/>
      <c r="D307" s="63"/>
      <c r="E307" s="63"/>
      <c r="F307" s="63"/>
      <c r="G307" s="63"/>
      <c r="H307" s="63"/>
      <c r="I307" s="63"/>
      <c r="J307" s="63"/>
      <c r="K307" s="63"/>
      <c r="L307" s="63"/>
      <c r="M307" s="63"/>
      <c r="N307" s="63"/>
      <c r="O307" s="63"/>
      <c r="P307" s="63"/>
      <c r="Q307" s="63"/>
      <c r="R307" s="63"/>
      <c r="S307" s="63"/>
      <c r="T307" s="63"/>
      <c r="U307" s="63"/>
      <c r="V307" s="63"/>
      <c r="W307" s="63"/>
      <c r="X307" s="63"/>
    </row>
    <row r="308" spans="1:24" ht="12.75">
      <c r="A308" s="69"/>
      <c r="B308" s="63"/>
      <c r="C308" s="63"/>
      <c r="D308" s="63"/>
      <c r="E308" s="63"/>
      <c r="F308" s="63"/>
      <c r="G308" s="63"/>
      <c r="H308" s="63"/>
      <c r="I308" s="63"/>
      <c r="J308" s="63"/>
      <c r="K308" s="63"/>
      <c r="L308" s="63"/>
      <c r="M308" s="63"/>
      <c r="N308" s="63"/>
      <c r="O308" s="63"/>
      <c r="P308" s="63"/>
      <c r="Q308" s="63"/>
      <c r="R308" s="63"/>
      <c r="S308" s="63"/>
      <c r="T308" s="63"/>
      <c r="U308" s="63"/>
      <c r="V308" s="63"/>
      <c r="W308" s="63"/>
      <c r="X308" s="63"/>
    </row>
    <row r="309" spans="1:24" ht="12.75">
      <c r="A309" s="69"/>
      <c r="B309" s="63"/>
      <c r="C309" s="63"/>
      <c r="D309" s="63"/>
      <c r="E309" s="63"/>
      <c r="F309" s="63"/>
      <c r="G309" s="63"/>
      <c r="H309" s="63"/>
      <c r="I309" s="63"/>
      <c r="J309" s="63"/>
      <c r="K309" s="63"/>
      <c r="L309" s="63"/>
      <c r="M309" s="63"/>
      <c r="N309" s="63"/>
      <c r="O309" s="63"/>
      <c r="P309" s="63"/>
      <c r="Q309" s="63"/>
      <c r="R309" s="63"/>
      <c r="S309" s="63"/>
      <c r="T309" s="63"/>
      <c r="U309" s="63"/>
      <c r="V309" s="63"/>
      <c r="W309" s="63"/>
      <c r="X309" s="63"/>
    </row>
    <row r="310" spans="1:24" ht="12.75">
      <c r="A310" s="69"/>
      <c r="B310" s="63"/>
      <c r="C310" s="63"/>
      <c r="D310" s="63"/>
      <c r="E310" s="63"/>
      <c r="F310" s="63"/>
      <c r="G310" s="63"/>
      <c r="H310" s="63"/>
      <c r="I310" s="63"/>
      <c r="J310" s="63"/>
      <c r="K310" s="63"/>
      <c r="L310" s="63"/>
      <c r="M310" s="63"/>
      <c r="N310" s="63"/>
      <c r="O310" s="63"/>
      <c r="P310" s="63"/>
      <c r="Q310" s="63"/>
      <c r="R310" s="63"/>
      <c r="S310" s="63"/>
      <c r="T310" s="63"/>
      <c r="U310" s="63"/>
      <c r="V310" s="63"/>
      <c r="W310" s="63"/>
      <c r="X310" s="63"/>
    </row>
    <row r="311" spans="1:24" ht="12.75">
      <c r="A311" s="69"/>
      <c r="B311" s="63"/>
      <c r="C311" s="63"/>
      <c r="D311" s="63"/>
      <c r="E311" s="63"/>
      <c r="F311" s="63"/>
      <c r="G311" s="63"/>
      <c r="H311" s="63"/>
      <c r="I311" s="63"/>
      <c r="J311" s="63"/>
      <c r="K311" s="63"/>
      <c r="L311" s="63"/>
      <c r="M311" s="63"/>
      <c r="N311" s="63"/>
      <c r="O311" s="63"/>
      <c r="P311" s="63"/>
      <c r="Q311" s="63"/>
      <c r="R311" s="63"/>
      <c r="S311" s="63"/>
      <c r="T311" s="63"/>
      <c r="U311" s="63"/>
      <c r="V311" s="63"/>
      <c r="W311" s="63"/>
      <c r="X311" s="63"/>
    </row>
    <row r="312" spans="1:24" ht="12.75">
      <c r="A312" s="69"/>
      <c r="B312" s="63"/>
      <c r="C312" s="63"/>
      <c r="D312" s="63"/>
      <c r="E312" s="63"/>
      <c r="F312" s="63"/>
      <c r="G312" s="63"/>
      <c r="H312" s="63"/>
      <c r="I312" s="63"/>
      <c r="J312" s="63"/>
      <c r="K312" s="63"/>
      <c r="L312" s="63"/>
      <c r="M312" s="63"/>
      <c r="N312" s="63"/>
      <c r="O312" s="63"/>
      <c r="P312" s="63"/>
      <c r="Q312" s="63"/>
      <c r="R312" s="63"/>
      <c r="S312" s="63"/>
      <c r="T312" s="63"/>
      <c r="U312" s="63"/>
      <c r="V312" s="63"/>
      <c r="W312" s="63"/>
      <c r="X312" s="63"/>
    </row>
    <row r="313" spans="1:24" ht="12.75">
      <c r="A313" s="69"/>
      <c r="B313" s="63"/>
      <c r="C313" s="63"/>
      <c r="D313" s="63"/>
      <c r="E313" s="63"/>
      <c r="F313" s="63"/>
      <c r="G313" s="63"/>
      <c r="H313" s="63"/>
      <c r="I313" s="63"/>
      <c r="J313" s="63"/>
      <c r="K313" s="63"/>
      <c r="L313" s="63"/>
      <c r="M313" s="63"/>
      <c r="N313" s="63"/>
      <c r="O313" s="63"/>
      <c r="P313" s="63"/>
      <c r="Q313" s="63"/>
      <c r="R313" s="63"/>
      <c r="S313" s="63"/>
      <c r="T313" s="63"/>
      <c r="U313" s="63"/>
      <c r="V313" s="63"/>
      <c r="W313" s="63"/>
      <c r="X313" s="63"/>
    </row>
    <row r="314" spans="1:24" ht="12.75">
      <c r="A314" s="69"/>
      <c r="B314" s="63"/>
      <c r="C314" s="63"/>
      <c r="D314" s="63"/>
      <c r="E314" s="63"/>
      <c r="F314" s="63"/>
      <c r="G314" s="63"/>
      <c r="H314" s="63"/>
      <c r="I314" s="63"/>
      <c r="J314" s="63"/>
      <c r="K314" s="63"/>
      <c r="L314" s="63"/>
      <c r="M314" s="63"/>
      <c r="N314" s="63"/>
      <c r="O314" s="63"/>
      <c r="P314" s="63"/>
      <c r="Q314" s="63"/>
      <c r="R314" s="63"/>
      <c r="S314" s="63"/>
      <c r="T314" s="63"/>
      <c r="U314" s="63"/>
      <c r="V314" s="63"/>
      <c r="W314" s="63"/>
      <c r="X314" s="63"/>
    </row>
    <row r="315" spans="1:24" ht="12.75">
      <c r="A315" s="69"/>
      <c r="B315" s="63"/>
      <c r="C315" s="63"/>
      <c r="D315" s="63"/>
      <c r="E315" s="63"/>
      <c r="F315" s="63"/>
      <c r="G315" s="63"/>
      <c r="H315" s="63"/>
      <c r="I315" s="63"/>
      <c r="J315" s="63"/>
      <c r="K315" s="63"/>
      <c r="L315" s="63"/>
      <c r="M315" s="63"/>
      <c r="N315" s="63"/>
      <c r="O315" s="63"/>
      <c r="P315" s="63"/>
      <c r="Q315" s="63"/>
      <c r="R315" s="63"/>
      <c r="S315" s="63"/>
      <c r="T315" s="63"/>
      <c r="U315" s="63"/>
      <c r="V315" s="63"/>
      <c r="W315" s="63"/>
      <c r="X315" s="63"/>
    </row>
    <row r="316" spans="1:24" ht="12.75">
      <c r="A316" s="69"/>
      <c r="B316" s="63"/>
      <c r="C316" s="63"/>
      <c r="D316" s="63"/>
      <c r="E316" s="63"/>
      <c r="F316" s="63"/>
      <c r="G316" s="63"/>
      <c r="H316" s="63"/>
      <c r="I316" s="63"/>
      <c r="J316" s="63"/>
      <c r="K316" s="63"/>
      <c r="L316" s="63"/>
      <c r="M316" s="63"/>
      <c r="N316" s="63"/>
      <c r="O316" s="63"/>
      <c r="P316" s="63"/>
      <c r="Q316" s="63"/>
      <c r="R316" s="63"/>
      <c r="S316" s="63"/>
      <c r="T316" s="63"/>
      <c r="U316" s="63"/>
      <c r="V316" s="63"/>
      <c r="W316" s="63"/>
      <c r="X316" s="63"/>
    </row>
    <row r="317" spans="1:24" ht="12.75">
      <c r="A317" s="69"/>
      <c r="B317" s="63"/>
      <c r="C317" s="63"/>
      <c r="D317" s="63"/>
      <c r="E317" s="63"/>
      <c r="F317" s="63"/>
      <c r="G317" s="63"/>
      <c r="H317" s="63"/>
      <c r="I317" s="63"/>
      <c r="J317" s="63"/>
      <c r="K317" s="63"/>
      <c r="L317" s="63"/>
      <c r="M317" s="63"/>
      <c r="N317" s="63"/>
      <c r="O317" s="63"/>
      <c r="P317" s="63"/>
      <c r="Q317" s="63"/>
      <c r="R317" s="63"/>
      <c r="S317" s="63"/>
      <c r="T317" s="63"/>
      <c r="U317" s="63"/>
      <c r="V317" s="63"/>
      <c r="W317" s="63"/>
      <c r="X317" s="63"/>
    </row>
    <row r="318" spans="1:24" ht="12.75">
      <c r="A318" s="69"/>
      <c r="B318" s="63"/>
      <c r="C318" s="63"/>
      <c r="D318" s="63"/>
      <c r="E318" s="63"/>
      <c r="F318" s="63"/>
      <c r="G318" s="63"/>
      <c r="H318" s="63"/>
      <c r="I318" s="63"/>
      <c r="J318" s="63"/>
      <c r="K318" s="63"/>
      <c r="L318" s="63"/>
      <c r="M318" s="63"/>
      <c r="N318" s="63"/>
      <c r="O318" s="63"/>
      <c r="P318" s="63"/>
      <c r="Q318" s="63"/>
      <c r="R318" s="63"/>
      <c r="S318" s="63"/>
      <c r="T318" s="63"/>
      <c r="U318" s="63"/>
      <c r="V318" s="63"/>
      <c r="W318" s="63"/>
      <c r="X318" s="63"/>
    </row>
    <row r="319" spans="1:24" ht="12.75">
      <c r="A319" s="69"/>
      <c r="B319" s="63"/>
      <c r="C319" s="63"/>
      <c r="D319" s="63"/>
      <c r="E319" s="63"/>
      <c r="F319" s="63"/>
      <c r="G319" s="63"/>
      <c r="H319" s="63"/>
      <c r="I319" s="63"/>
      <c r="J319" s="63"/>
      <c r="K319" s="63"/>
      <c r="L319" s="63"/>
      <c r="M319" s="63"/>
      <c r="N319" s="63"/>
      <c r="O319" s="63"/>
      <c r="P319" s="63"/>
      <c r="Q319" s="63"/>
      <c r="R319" s="63"/>
      <c r="S319" s="63"/>
      <c r="T319" s="63"/>
      <c r="U319" s="63"/>
      <c r="V319" s="63"/>
      <c r="W319" s="63"/>
      <c r="X319" s="63"/>
    </row>
    <row r="320" spans="1:24" ht="12.75">
      <c r="A320" s="69"/>
      <c r="B320" s="63"/>
      <c r="C320" s="63"/>
      <c r="D320" s="63"/>
      <c r="E320" s="63"/>
      <c r="F320" s="63"/>
      <c r="G320" s="63"/>
      <c r="H320" s="63"/>
      <c r="I320" s="63"/>
      <c r="J320" s="63"/>
      <c r="K320" s="63"/>
      <c r="L320" s="63"/>
      <c r="M320" s="63"/>
      <c r="N320" s="63"/>
      <c r="O320" s="63"/>
      <c r="P320" s="63"/>
      <c r="Q320" s="63"/>
      <c r="R320" s="63"/>
      <c r="S320" s="63"/>
      <c r="T320" s="63"/>
      <c r="U320" s="63"/>
      <c r="V320" s="63"/>
      <c r="W320" s="63"/>
      <c r="X320" s="63"/>
    </row>
    <row r="321" spans="1:24" ht="12.75">
      <c r="A321" s="69"/>
      <c r="B321" s="63"/>
      <c r="C321" s="63"/>
      <c r="D321" s="63"/>
      <c r="E321" s="63"/>
      <c r="F321" s="63"/>
      <c r="G321" s="63"/>
      <c r="H321" s="63"/>
      <c r="I321" s="63"/>
      <c r="J321" s="63"/>
      <c r="K321" s="63"/>
      <c r="L321" s="63"/>
      <c r="M321" s="63"/>
      <c r="N321" s="63"/>
      <c r="O321" s="63"/>
      <c r="P321" s="63"/>
      <c r="Q321" s="63"/>
      <c r="R321" s="63"/>
      <c r="S321" s="63"/>
      <c r="T321" s="63"/>
      <c r="U321" s="63"/>
      <c r="V321" s="63"/>
      <c r="W321" s="63"/>
      <c r="X321" s="63"/>
    </row>
    <row r="322" spans="1:24" ht="12.75">
      <c r="A322" s="69"/>
      <c r="B322" s="63"/>
      <c r="C322" s="63"/>
      <c r="D322" s="63"/>
      <c r="E322" s="63"/>
      <c r="F322" s="63"/>
      <c r="G322" s="63"/>
      <c r="H322" s="63"/>
      <c r="I322" s="63"/>
      <c r="J322" s="63"/>
      <c r="K322" s="63"/>
      <c r="L322" s="63"/>
      <c r="M322" s="63"/>
      <c r="N322" s="63"/>
      <c r="O322" s="63"/>
      <c r="P322" s="63"/>
      <c r="Q322" s="63"/>
      <c r="R322" s="63"/>
      <c r="S322" s="63"/>
      <c r="T322" s="63"/>
      <c r="U322" s="63"/>
      <c r="V322" s="63"/>
      <c r="W322" s="63"/>
      <c r="X322" s="63"/>
    </row>
    <row r="323" spans="1:24" ht="12.75">
      <c r="A323" s="69"/>
      <c r="B323" s="63"/>
      <c r="C323" s="63"/>
      <c r="D323" s="63"/>
      <c r="E323" s="63"/>
      <c r="F323" s="63"/>
      <c r="G323" s="63"/>
      <c r="H323" s="63"/>
      <c r="I323" s="63"/>
      <c r="J323" s="63"/>
      <c r="K323" s="63"/>
      <c r="L323" s="63"/>
      <c r="M323" s="63"/>
      <c r="N323" s="63"/>
      <c r="O323" s="63"/>
      <c r="P323" s="63"/>
      <c r="Q323" s="63"/>
      <c r="R323" s="63"/>
      <c r="S323" s="63"/>
      <c r="T323" s="63"/>
      <c r="U323" s="63"/>
      <c r="V323" s="63"/>
      <c r="W323" s="63"/>
      <c r="X323" s="63"/>
    </row>
    <row r="324" spans="1:24" ht="12.75">
      <c r="A324" s="69"/>
      <c r="B324" s="63"/>
      <c r="C324" s="63"/>
      <c r="D324" s="63"/>
      <c r="E324" s="63"/>
      <c r="F324" s="63"/>
      <c r="G324" s="63"/>
      <c r="H324" s="63"/>
      <c r="I324" s="63"/>
      <c r="J324" s="63"/>
      <c r="K324" s="63"/>
      <c r="L324" s="63"/>
      <c r="M324" s="63"/>
      <c r="N324" s="63"/>
      <c r="O324" s="63"/>
      <c r="P324" s="63"/>
      <c r="Q324" s="63"/>
      <c r="R324" s="63"/>
      <c r="S324" s="63"/>
      <c r="T324" s="63"/>
      <c r="U324" s="63"/>
      <c r="V324" s="63"/>
      <c r="W324" s="63"/>
      <c r="X324" s="63"/>
    </row>
    <row r="325" spans="1:24" ht="12.75">
      <c r="A325" s="69"/>
      <c r="B325" s="63"/>
      <c r="C325" s="63"/>
      <c r="D325" s="63"/>
      <c r="E325" s="63"/>
      <c r="F325" s="63"/>
      <c r="G325" s="63"/>
      <c r="H325" s="63"/>
      <c r="I325" s="63"/>
      <c r="J325" s="63"/>
      <c r="K325" s="63"/>
      <c r="L325" s="63"/>
      <c r="M325" s="63"/>
      <c r="N325" s="63"/>
      <c r="O325" s="63"/>
      <c r="P325" s="63"/>
      <c r="Q325" s="63"/>
      <c r="R325" s="63"/>
      <c r="S325" s="63"/>
      <c r="T325" s="63"/>
      <c r="U325" s="63"/>
      <c r="V325" s="63"/>
      <c r="W325" s="63"/>
      <c r="X325" s="63"/>
    </row>
    <row r="326" spans="1:24" ht="12.75">
      <c r="A326" s="69"/>
      <c r="B326" s="63"/>
      <c r="C326" s="63"/>
      <c r="D326" s="63"/>
      <c r="E326" s="63"/>
      <c r="F326" s="63"/>
      <c r="G326" s="63"/>
      <c r="H326" s="63"/>
      <c r="I326" s="63"/>
      <c r="J326" s="63"/>
      <c r="K326" s="63"/>
      <c r="L326" s="63"/>
      <c r="M326" s="63"/>
      <c r="N326" s="63"/>
      <c r="O326" s="63"/>
      <c r="P326" s="63"/>
      <c r="Q326" s="63"/>
      <c r="R326" s="63"/>
      <c r="S326" s="63"/>
      <c r="T326" s="63"/>
      <c r="U326" s="63"/>
      <c r="V326" s="63"/>
      <c r="W326" s="63"/>
      <c r="X326" s="63"/>
    </row>
    <row r="327" spans="1:24" ht="12.75">
      <c r="A327" s="69"/>
      <c r="B327" s="63"/>
      <c r="C327" s="63"/>
      <c r="D327" s="63"/>
      <c r="E327" s="63"/>
      <c r="F327" s="63"/>
      <c r="G327" s="63"/>
      <c r="H327" s="63"/>
      <c r="I327" s="63"/>
      <c r="J327" s="63"/>
      <c r="K327" s="63"/>
      <c r="L327" s="63"/>
      <c r="M327" s="63"/>
      <c r="N327" s="63"/>
      <c r="O327" s="63"/>
      <c r="P327" s="63"/>
      <c r="Q327" s="63"/>
      <c r="R327" s="63"/>
      <c r="S327" s="63"/>
      <c r="T327" s="63"/>
      <c r="U327" s="63"/>
      <c r="V327" s="63"/>
      <c r="W327" s="63"/>
      <c r="X327" s="63"/>
    </row>
    <row r="328" spans="1:24" ht="12.75">
      <c r="A328" s="69"/>
      <c r="B328" s="63"/>
      <c r="C328" s="63"/>
      <c r="D328" s="63"/>
      <c r="E328" s="63"/>
      <c r="F328" s="63"/>
      <c r="G328" s="63"/>
      <c r="H328" s="63"/>
      <c r="I328" s="63"/>
      <c r="J328" s="63"/>
      <c r="K328" s="63"/>
      <c r="L328" s="63"/>
      <c r="M328" s="63"/>
      <c r="N328" s="63"/>
      <c r="O328" s="63"/>
      <c r="P328" s="63"/>
      <c r="Q328" s="63"/>
      <c r="R328" s="63"/>
      <c r="S328" s="63"/>
      <c r="T328" s="63"/>
      <c r="U328" s="63"/>
      <c r="V328" s="63"/>
      <c r="W328" s="63"/>
      <c r="X328" s="63"/>
    </row>
    <row r="329" spans="1:24" ht="12.75">
      <c r="A329" s="69"/>
      <c r="B329" s="63"/>
      <c r="C329" s="63"/>
      <c r="D329" s="63"/>
      <c r="E329" s="63"/>
      <c r="F329" s="63"/>
      <c r="G329" s="63"/>
      <c r="H329" s="63"/>
      <c r="I329" s="63"/>
      <c r="J329" s="63"/>
      <c r="K329" s="63"/>
      <c r="L329" s="63"/>
      <c r="M329" s="63"/>
      <c r="N329" s="63"/>
      <c r="O329" s="63"/>
      <c r="P329" s="63"/>
      <c r="Q329" s="63"/>
      <c r="R329" s="63"/>
      <c r="S329" s="63"/>
      <c r="T329" s="63"/>
      <c r="U329" s="63"/>
      <c r="V329" s="63"/>
      <c r="W329" s="63"/>
      <c r="X329" s="63"/>
    </row>
    <row r="330" spans="1:24" ht="12.75">
      <c r="A330" s="69"/>
      <c r="B330" s="63"/>
      <c r="C330" s="63"/>
      <c r="D330" s="63"/>
      <c r="E330" s="63"/>
      <c r="F330" s="63"/>
      <c r="G330" s="63"/>
      <c r="H330" s="63"/>
      <c r="I330" s="63"/>
      <c r="J330" s="63"/>
      <c r="K330" s="63"/>
      <c r="L330" s="63"/>
      <c r="M330" s="63"/>
      <c r="N330" s="63"/>
      <c r="O330" s="63"/>
      <c r="P330" s="63"/>
      <c r="Q330" s="63"/>
      <c r="R330" s="63"/>
      <c r="S330" s="63"/>
      <c r="T330" s="63"/>
      <c r="U330" s="63"/>
      <c r="V330" s="63"/>
      <c r="W330" s="63"/>
      <c r="X330" s="63"/>
    </row>
    <row r="331" spans="1:24" ht="12.75">
      <c r="A331" s="69"/>
      <c r="B331" s="63"/>
      <c r="C331" s="63"/>
      <c r="D331" s="63"/>
      <c r="E331" s="63"/>
      <c r="F331" s="63"/>
      <c r="G331" s="63"/>
      <c r="H331" s="63"/>
      <c r="I331" s="63"/>
      <c r="J331" s="63"/>
      <c r="K331" s="63"/>
      <c r="L331" s="63"/>
      <c r="M331" s="63"/>
      <c r="N331" s="63"/>
      <c r="O331" s="63"/>
      <c r="P331" s="63"/>
      <c r="Q331" s="63"/>
      <c r="R331" s="63"/>
      <c r="S331" s="63"/>
      <c r="T331" s="63"/>
      <c r="U331" s="63"/>
      <c r="V331" s="63"/>
      <c r="W331" s="63"/>
      <c r="X331" s="63"/>
    </row>
    <row r="332" spans="1:24" ht="12.75">
      <c r="A332" s="69"/>
      <c r="B332" s="63"/>
      <c r="C332" s="63"/>
      <c r="D332" s="63"/>
      <c r="E332" s="63"/>
      <c r="F332" s="63"/>
      <c r="G332" s="63"/>
      <c r="H332" s="63"/>
      <c r="I332" s="63"/>
      <c r="J332" s="63"/>
      <c r="K332" s="63"/>
      <c r="L332" s="63"/>
      <c r="M332" s="63"/>
      <c r="N332" s="63"/>
      <c r="O332" s="63"/>
      <c r="P332" s="63"/>
      <c r="Q332" s="63"/>
      <c r="R332" s="63"/>
      <c r="S332" s="63"/>
      <c r="T332" s="63"/>
      <c r="U332" s="63"/>
      <c r="V332" s="63"/>
      <c r="W332" s="63"/>
      <c r="X332" s="63"/>
    </row>
    <row r="333" spans="1:24" ht="12.75">
      <c r="A333" s="69"/>
      <c r="B333" s="63"/>
      <c r="C333" s="63"/>
      <c r="D333" s="63"/>
      <c r="E333" s="63"/>
      <c r="F333" s="63"/>
      <c r="G333" s="63"/>
      <c r="H333" s="63"/>
      <c r="I333" s="63"/>
      <c r="J333" s="63"/>
      <c r="K333" s="63"/>
      <c r="L333" s="63"/>
      <c r="M333" s="63"/>
      <c r="N333" s="63"/>
      <c r="O333" s="63"/>
      <c r="P333" s="63"/>
      <c r="Q333" s="63"/>
      <c r="R333" s="63"/>
      <c r="S333" s="63"/>
      <c r="T333" s="63"/>
      <c r="U333" s="63"/>
      <c r="V333" s="63"/>
      <c r="W333" s="63"/>
      <c r="X333" s="63"/>
    </row>
    <row r="334" spans="1:24" ht="12.75">
      <c r="A334" s="69"/>
      <c r="B334" s="63"/>
      <c r="C334" s="63"/>
      <c r="D334" s="63"/>
      <c r="E334" s="63"/>
      <c r="F334" s="63"/>
      <c r="G334" s="63"/>
      <c r="H334" s="63"/>
      <c r="I334" s="63"/>
      <c r="J334" s="63"/>
      <c r="K334" s="63"/>
      <c r="L334" s="63"/>
      <c r="M334" s="63"/>
      <c r="N334" s="63"/>
      <c r="O334" s="63"/>
      <c r="P334" s="63"/>
      <c r="Q334" s="63"/>
      <c r="R334" s="63"/>
      <c r="S334" s="63"/>
      <c r="T334" s="63"/>
      <c r="U334" s="63"/>
      <c r="V334" s="63"/>
      <c r="W334" s="63"/>
      <c r="X334" s="63"/>
    </row>
    <row r="335" spans="1:24" ht="12.75">
      <c r="A335" s="69"/>
      <c r="B335" s="63"/>
      <c r="C335" s="63"/>
      <c r="D335" s="63"/>
      <c r="E335" s="63"/>
      <c r="F335" s="63"/>
      <c r="G335" s="63"/>
      <c r="H335" s="63"/>
      <c r="I335" s="63"/>
      <c r="J335" s="63"/>
      <c r="K335" s="63"/>
      <c r="L335" s="63"/>
      <c r="M335" s="63"/>
      <c r="N335" s="63"/>
      <c r="O335" s="63"/>
      <c r="P335" s="63"/>
      <c r="Q335" s="63"/>
      <c r="R335" s="63"/>
      <c r="S335" s="63"/>
      <c r="T335" s="63"/>
      <c r="U335" s="63"/>
      <c r="V335" s="63"/>
      <c r="W335" s="63"/>
      <c r="X335" s="63"/>
    </row>
    <row r="336" spans="1:24" ht="12.75">
      <c r="A336" s="69"/>
      <c r="B336" s="63"/>
      <c r="C336" s="63"/>
      <c r="D336" s="63"/>
      <c r="E336" s="63"/>
      <c r="F336" s="63"/>
      <c r="G336" s="63"/>
      <c r="H336" s="63"/>
      <c r="I336" s="63"/>
      <c r="J336" s="63"/>
      <c r="K336" s="63"/>
      <c r="L336" s="63"/>
      <c r="M336" s="63"/>
      <c r="N336" s="63"/>
      <c r="O336" s="63"/>
      <c r="P336" s="63"/>
      <c r="Q336" s="63"/>
      <c r="R336" s="63"/>
      <c r="S336" s="63"/>
      <c r="T336" s="63"/>
      <c r="U336" s="63"/>
      <c r="V336" s="63"/>
      <c r="W336" s="63"/>
      <c r="X336" s="63"/>
    </row>
    <row r="337" spans="1:24" ht="12.75">
      <c r="A337" s="69"/>
      <c r="B337" s="63"/>
      <c r="C337" s="63"/>
      <c r="D337" s="63"/>
      <c r="E337" s="63"/>
      <c r="F337" s="63"/>
      <c r="G337" s="63"/>
      <c r="H337" s="63"/>
      <c r="I337" s="63"/>
      <c r="J337" s="63"/>
      <c r="K337" s="63"/>
      <c r="L337" s="63"/>
      <c r="M337" s="63"/>
      <c r="N337" s="63"/>
      <c r="O337" s="63"/>
      <c r="P337" s="63"/>
      <c r="Q337" s="63"/>
      <c r="R337" s="63"/>
      <c r="S337" s="63"/>
      <c r="T337" s="63"/>
      <c r="U337" s="63"/>
      <c r="V337" s="63"/>
      <c r="W337" s="63"/>
      <c r="X337" s="63"/>
    </row>
    <row r="338" spans="1:24" ht="12.75">
      <c r="A338" s="69"/>
      <c r="B338" s="63"/>
      <c r="C338" s="63"/>
      <c r="D338" s="63"/>
      <c r="E338" s="63"/>
      <c r="F338" s="63"/>
      <c r="G338" s="63"/>
      <c r="H338" s="63"/>
      <c r="I338" s="63"/>
      <c r="J338" s="63"/>
      <c r="K338" s="63"/>
      <c r="L338" s="63"/>
      <c r="M338" s="63"/>
      <c r="N338" s="63"/>
      <c r="O338" s="63"/>
      <c r="P338" s="63"/>
      <c r="Q338" s="63"/>
      <c r="R338" s="63"/>
      <c r="S338" s="63"/>
      <c r="T338" s="63"/>
      <c r="U338" s="63"/>
      <c r="V338" s="63"/>
      <c r="W338" s="63"/>
      <c r="X338" s="63"/>
    </row>
    <row r="339" spans="1:24" ht="12.75">
      <c r="A339" s="69"/>
      <c r="B339" s="63"/>
      <c r="C339" s="63"/>
      <c r="D339" s="63"/>
      <c r="E339" s="63"/>
      <c r="F339" s="63"/>
      <c r="G339" s="63"/>
      <c r="H339" s="63"/>
      <c r="I339" s="63"/>
      <c r="J339" s="63"/>
      <c r="K339" s="63"/>
      <c r="L339" s="63"/>
      <c r="M339" s="63"/>
      <c r="N339" s="63"/>
      <c r="O339" s="63"/>
      <c r="P339" s="63"/>
      <c r="Q339" s="63"/>
      <c r="R339" s="63"/>
      <c r="S339" s="63"/>
      <c r="T339" s="63"/>
      <c r="U339" s="63"/>
      <c r="V339" s="63"/>
      <c r="W339" s="63"/>
      <c r="X339" s="63"/>
    </row>
    <row r="340" spans="1:24" ht="12.75">
      <c r="A340" s="69"/>
      <c r="B340" s="63"/>
      <c r="C340" s="63"/>
      <c r="D340" s="63"/>
      <c r="E340" s="63"/>
      <c r="F340" s="63"/>
      <c r="G340" s="63"/>
      <c r="H340" s="63"/>
      <c r="I340" s="63"/>
      <c r="J340" s="63"/>
      <c r="K340" s="63"/>
      <c r="L340" s="63"/>
      <c r="M340" s="63"/>
      <c r="N340" s="63"/>
      <c r="O340" s="63"/>
      <c r="P340" s="63"/>
      <c r="Q340" s="63"/>
      <c r="R340" s="63"/>
      <c r="S340" s="63"/>
      <c r="T340" s="63"/>
      <c r="U340" s="63"/>
      <c r="V340" s="63"/>
      <c r="W340" s="63"/>
      <c r="X340" s="63"/>
    </row>
    <row r="341" spans="1:24" ht="12.75">
      <c r="A341" s="69"/>
      <c r="B341" s="63"/>
      <c r="C341" s="63"/>
      <c r="D341" s="63"/>
      <c r="E341" s="63"/>
      <c r="F341" s="63"/>
      <c r="G341" s="63"/>
      <c r="H341" s="63"/>
      <c r="I341" s="63"/>
      <c r="J341" s="63"/>
      <c r="K341" s="63"/>
      <c r="L341" s="63"/>
      <c r="M341" s="63"/>
      <c r="N341" s="63"/>
      <c r="O341" s="63"/>
      <c r="P341" s="63"/>
      <c r="Q341" s="63"/>
      <c r="R341" s="63"/>
      <c r="S341" s="63"/>
      <c r="T341" s="63"/>
      <c r="U341" s="63"/>
      <c r="V341" s="63"/>
      <c r="W341" s="63"/>
      <c r="X341" s="63"/>
    </row>
    <row r="342" spans="1:24" ht="12.75">
      <c r="A342" s="69"/>
      <c r="B342" s="63"/>
      <c r="C342" s="63"/>
      <c r="D342" s="63"/>
      <c r="E342" s="63"/>
      <c r="F342" s="63"/>
      <c r="G342" s="63"/>
      <c r="H342" s="63"/>
      <c r="I342" s="63"/>
      <c r="J342" s="63"/>
      <c r="K342" s="63"/>
      <c r="L342" s="63"/>
      <c r="M342" s="63"/>
      <c r="N342" s="63"/>
      <c r="O342" s="63"/>
      <c r="P342" s="63"/>
      <c r="Q342" s="63"/>
      <c r="R342" s="63"/>
      <c r="S342" s="63"/>
      <c r="T342" s="63"/>
      <c r="U342" s="63"/>
      <c r="V342" s="63"/>
      <c r="W342" s="63"/>
      <c r="X342" s="63"/>
    </row>
    <row r="343" spans="1:24" ht="12.75">
      <c r="A343" s="69"/>
      <c r="B343" s="63"/>
      <c r="C343" s="63"/>
      <c r="D343" s="63"/>
      <c r="E343" s="63"/>
      <c r="F343" s="63"/>
      <c r="G343" s="63"/>
      <c r="H343" s="63"/>
      <c r="I343" s="63"/>
      <c r="J343" s="63"/>
      <c r="K343" s="63"/>
      <c r="L343" s="63"/>
      <c r="M343" s="63"/>
      <c r="N343" s="63"/>
      <c r="O343" s="63"/>
      <c r="P343" s="63"/>
      <c r="Q343" s="63"/>
      <c r="R343" s="63"/>
      <c r="S343" s="63"/>
      <c r="T343" s="63"/>
      <c r="U343" s="63"/>
      <c r="V343" s="63"/>
      <c r="W343" s="63"/>
      <c r="X343" s="63"/>
    </row>
    <row r="344" spans="1:24" ht="12.75">
      <c r="A344" s="69"/>
      <c r="B344" s="63"/>
      <c r="C344" s="63"/>
      <c r="D344" s="63"/>
      <c r="E344" s="63"/>
      <c r="F344" s="63"/>
      <c r="G344" s="63"/>
      <c r="H344" s="63"/>
      <c r="I344" s="63"/>
      <c r="J344" s="63"/>
      <c r="K344" s="63"/>
      <c r="L344" s="63"/>
      <c r="M344" s="63"/>
      <c r="N344" s="63"/>
      <c r="O344" s="63"/>
      <c r="P344" s="63"/>
      <c r="Q344" s="63"/>
      <c r="R344" s="63"/>
      <c r="S344" s="63"/>
      <c r="T344" s="63"/>
      <c r="U344" s="63"/>
      <c r="V344" s="63"/>
      <c r="W344" s="63"/>
      <c r="X344" s="63"/>
    </row>
    <row r="345" spans="1:24" ht="12.75">
      <c r="A345" s="69"/>
      <c r="B345" s="63"/>
      <c r="C345" s="63"/>
      <c r="D345" s="63"/>
      <c r="E345" s="63"/>
      <c r="F345" s="63"/>
      <c r="G345" s="63"/>
      <c r="H345" s="63"/>
      <c r="I345" s="63"/>
      <c r="J345" s="63"/>
      <c r="K345" s="63"/>
      <c r="L345" s="63"/>
      <c r="M345" s="63"/>
      <c r="N345" s="63"/>
      <c r="O345" s="63"/>
      <c r="P345" s="63"/>
      <c r="Q345" s="63"/>
      <c r="R345" s="63"/>
      <c r="S345" s="63"/>
      <c r="T345" s="63"/>
      <c r="U345" s="63"/>
      <c r="V345" s="63"/>
      <c r="W345" s="63"/>
      <c r="X345" s="63"/>
    </row>
    <row r="346" spans="1:24" ht="12.75">
      <c r="A346" s="69"/>
      <c r="B346" s="63"/>
      <c r="C346" s="63"/>
      <c r="D346" s="63"/>
      <c r="E346" s="63"/>
      <c r="F346" s="63"/>
      <c r="G346" s="63"/>
      <c r="H346" s="63"/>
      <c r="I346" s="63"/>
      <c r="J346" s="63"/>
      <c r="K346" s="63"/>
      <c r="L346" s="63"/>
      <c r="M346" s="63"/>
      <c r="N346" s="63"/>
      <c r="O346" s="63"/>
      <c r="P346" s="63"/>
      <c r="Q346" s="63"/>
      <c r="R346" s="63"/>
      <c r="S346" s="63"/>
      <c r="T346" s="63"/>
      <c r="U346" s="63"/>
      <c r="V346" s="63"/>
      <c r="W346" s="63"/>
      <c r="X346" s="63"/>
    </row>
    <row r="347" spans="1:24" ht="12.75">
      <c r="A347" s="69"/>
      <c r="B347" s="63"/>
      <c r="C347" s="63"/>
      <c r="D347" s="63"/>
      <c r="E347" s="63"/>
      <c r="F347" s="63"/>
      <c r="G347" s="63"/>
      <c r="H347" s="63"/>
      <c r="I347" s="63"/>
      <c r="J347" s="63"/>
      <c r="K347" s="63"/>
      <c r="L347" s="63"/>
      <c r="M347" s="63"/>
      <c r="N347" s="63"/>
      <c r="O347" s="63"/>
      <c r="P347" s="63"/>
      <c r="Q347" s="63"/>
      <c r="R347" s="63"/>
      <c r="S347" s="63"/>
      <c r="T347" s="63"/>
      <c r="U347" s="63"/>
      <c r="V347" s="63"/>
      <c r="W347" s="63"/>
      <c r="X347" s="63"/>
    </row>
    <row r="348" spans="1:24" ht="12.75">
      <c r="A348" s="69"/>
      <c r="B348" s="63"/>
      <c r="C348" s="63"/>
      <c r="D348" s="63"/>
      <c r="E348" s="63"/>
      <c r="F348" s="63"/>
      <c r="G348" s="63"/>
      <c r="H348" s="63"/>
      <c r="I348" s="63"/>
      <c r="J348" s="63"/>
      <c r="K348" s="63"/>
      <c r="L348" s="63"/>
      <c r="M348" s="63"/>
      <c r="N348" s="63"/>
      <c r="O348" s="63"/>
      <c r="P348" s="63"/>
      <c r="Q348" s="63"/>
      <c r="R348" s="63"/>
      <c r="S348" s="63"/>
      <c r="T348" s="63"/>
      <c r="U348" s="63"/>
      <c r="V348" s="63"/>
      <c r="W348" s="63"/>
      <c r="X348" s="63"/>
    </row>
    <row r="349" spans="1:24" ht="12.75">
      <c r="A349" s="69"/>
      <c r="B349" s="63"/>
      <c r="C349" s="63"/>
      <c r="D349" s="63"/>
      <c r="E349" s="63"/>
      <c r="F349" s="63"/>
      <c r="G349" s="63"/>
      <c r="H349" s="63"/>
      <c r="I349" s="63"/>
      <c r="J349" s="63"/>
      <c r="K349" s="63"/>
      <c r="L349" s="63"/>
      <c r="M349" s="63"/>
      <c r="N349" s="63"/>
      <c r="O349" s="63"/>
      <c r="P349" s="63"/>
      <c r="Q349" s="63"/>
      <c r="R349" s="63"/>
      <c r="S349" s="63"/>
      <c r="T349" s="63"/>
      <c r="U349" s="63"/>
      <c r="V349" s="63"/>
      <c r="W349" s="63"/>
      <c r="X349" s="63"/>
    </row>
    <row r="350" spans="1:24" ht="12.75">
      <c r="A350" s="69"/>
      <c r="B350" s="63"/>
      <c r="C350" s="63"/>
      <c r="D350" s="63"/>
      <c r="E350" s="63"/>
      <c r="F350" s="63"/>
      <c r="G350" s="63"/>
      <c r="H350" s="63"/>
      <c r="I350" s="63"/>
      <c r="J350" s="63"/>
      <c r="K350" s="63"/>
      <c r="L350" s="63"/>
      <c r="M350" s="63"/>
      <c r="N350" s="63"/>
      <c r="O350" s="63"/>
      <c r="P350" s="63"/>
      <c r="Q350" s="63"/>
      <c r="R350" s="63"/>
      <c r="S350" s="63"/>
      <c r="T350" s="63"/>
      <c r="U350" s="63"/>
      <c r="V350" s="63"/>
      <c r="W350" s="63"/>
      <c r="X350" s="63"/>
    </row>
    <row r="351" spans="1:24" ht="12.75">
      <c r="A351" s="69"/>
      <c r="B351" s="63"/>
      <c r="C351" s="63"/>
      <c r="D351" s="63"/>
      <c r="E351" s="63"/>
      <c r="F351" s="63"/>
      <c r="G351" s="63"/>
      <c r="H351" s="63"/>
      <c r="I351" s="63"/>
      <c r="J351" s="63"/>
      <c r="K351" s="63"/>
      <c r="L351" s="63"/>
      <c r="M351" s="63"/>
      <c r="N351" s="63"/>
      <c r="O351" s="63"/>
      <c r="P351" s="63"/>
      <c r="Q351" s="63"/>
      <c r="R351" s="63"/>
      <c r="S351" s="63"/>
      <c r="T351" s="63"/>
      <c r="U351" s="63"/>
      <c r="V351" s="63"/>
      <c r="W351" s="63"/>
      <c r="X351" s="63"/>
    </row>
    <row r="352" spans="1:24" ht="12.75">
      <c r="A352" s="69"/>
      <c r="B352" s="63"/>
      <c r="C352" s="63"/>
      <c r="D352" s="63"/>
      <c r="E352" s="63"/>
      <c r="F352" s="63"/>
      <c r="G352" s="63"/>
      <c r="H352" s="63"/>
      <c r="I352" s="63"/>
      <c r="J352" s="63"/>
      <c r="K352" s="63"/>
      <c r="L352" s="63"/>
      <c r="M352" s="63"/>
      <c r="N352" s="63"/>
      <c r="O352" s="63"/>
      <c r="P352" s="63"/>
      <c r="Q352" s="63"/>
      <c r="R352" s="63"/>
      <c r="S352" s="63"/>
      <c r="T352" s="63"/>
      <c r="U352" s="63"/>
      <c r="V352" s="63"/>
      <c r="W352" s="63"/>
      <c r="X352" s="63"/>
    </row>
    <row r="353" spans="1:24" ht="12.75">
      <c r="A353" s="69"/>
      <c r="B353" s="63"/>
      <c r="C353" s="63"/>
      <c r="D353" s="63"/>
      <c r="E353" s="63"/>
      <c r="F353" s="63"/>
      <c r="G353" s="63"/>
      <c r="H353" s="63"/>
      <c r="I353" s="63"/>
      <c r="J353" s="63"/>
      <c r="K353" s="63"/>
      <c r="L353" s="63"/>
      <c r="M353" s="63"/>
      <c r="N353" s="63"/>
      <c r="O353" s="63"/>
      <c r="P353" s="63"/>
      <c r="Q353" s="63"/>
      <c r="R353" s="63"/>
      <c r="S353" s="63"/>
      <c r="T353" s="63"/>
      <c r="U353" s="63"/>
      <c r="V353" s="63"/>
      <c r="W353" s="63"/>
      <c r="X353" s="63"/>
    </row>
    <row r="354" spans="1:24" ht="12.75">
      <c r="A354" s="69"/>
      <c r="B354" s="63"/>
      <c r="C354" s="63"/>
      <c r="D354" s="63"/>
      <c r="E354" s="63"/>
      <c r="F354" s="63"/>
      <c r="G354" s="63"/>
      <c r="H354" s="63"/>
      <c r="I354" s="63"/>
      <c r="J354" s="63"/>
      <c r="K354" s="63"/>
      <c r="L354" s="63"/>
      <c r="M354" s="63"/>
      <c r="N354" s="63"/>
      <c r="O354" s="63"/>
      <c r="P354" s="63"/>
      <c r="Q354" s="63"/>
      <c r="R354" s="63"/>
      <c r="S354" s="63"/>
      <c r="T354" s="63"/>
      <c r="U354" s="63"/>
      <c r="V354" s="63"/>
      <c r="W354" s="63"/>
      <c r="X354" s="63"/>
    </row>
    <row r="355" spans="1:24" ht="12.75">
      <c r="A355" s="69"/>
      <c r="B355" s="63"/>
      <c r="C355" s="63"/>
      <c r="D355" s="63"/>
      <c r="E355" s="63"/>
      <c r="F355" s="63"/>
      <c r="G355" s="63"/>
      <c r="H355" s="63"/>
      <c r="I355" s="63"/>
      <c r="J355" s="63"/>
      <c r="K355" s="63"/>
      <c r="L355" s="63"/>
      <c r="M355" s="63"/>
      <c r="N355" s="63"/>
      <c r="O355" s="63"/>
      <c r="P355" s="63"/>
      <c r="Q355" s="63"/>
      <c r="R355" s="63"/>
      <c r="S355" s="63"/>
      <c r="T355" s="63"/>
      <c r="U355" s="63"/>
      <c r="V355" s="63"/>
      <c r="W355" s="63"/>
      <c r="X355" s="63"/>
    </row>
    <row r="356" spans="1:24" ht="12.75">
      <c r="A356" s="69"/>
      <c r="B356" s="63"/>
      <c r="C356" s="63"/>
      <c r="D356" s="63"/>
      <c r="E356" s="63"/>
      <c r="F356" s="63"/>
      <c r="G356" s="63"/>
      <c r="H356" s="63"/>
      <c r="I356" s="63"/>
      <c r="J356" s="63"/>
      <c r="K356" s="63"/>
      <c r="L356" s="63"/>
      <c r="M356" s="63"/>
      <c r="N356" s="63"/>
      <c r="O356" s="63"/>
      <c r="P356" s="63"/>
      <c r="Q356" s="63"/>
      <c r="R356" s="63"/>
      <c r="S356" s="63"/>
      <c r="T356" s="63"/>
      <c r="U356" s="63"/>
      <c r="V356" s="63"/>
      <c r="W356" s="63"/>
      <c r="X356" s="63"/>
    </row>
    <row r="357" spans="1:24" ht="12.75">
      <c r="A357" s="69"/>
      <c r="B357" s="63"/>
      <c r="C357" s="63"/>
      <c r="D357" s="63"/>
      <c r="E357" s="63"/>
      <c r="F357" s="63"/>
      <c r="G357" s="63"/>
      <c r="H357" s="63"/>
      <c r="I357" s="63"/>
      <c r="J357" s="63"/>
      <c r="K357" s="63"/>
      <c r="L357" s="63"/>
      <c r="M357" s="63"/>
      <c r="N357" s="63"/>
      <c r="O357" s="63"/>
      <c r="P357" s="63"/>
      <c r="Q357" s="63"/>
      <c r="R357" s="63"/>
      <c r="S357" s="63"/>
      <c r="T357" s="63"/>
      <c r="U357" s="63"/>
      <c r="V357" s="63"/>
      <c r="W357" s="63"/>
      <c r="X357" s="63"/>
    </row>
    <row r="358" spans="1:24" ht="12.75">
      <c r="A358" s="69"/>
      <c r="B358" s="63"/>
      <c r="C358" s="63"/>
      <c r="D358" s="63"/>
      <c r="E358" s="63"/>
      <c r="F358" s="63"/>
      <c r="G358" s="63"/>
      <c r="H358" s="63"/>
      <c r="I358" s="63"/>
      <c r="J358" s="63"/>
      <c r="K358" s="63"/>
      <c r="L358" s="63"/>
      <c r="M358" s="63"/>
      <c r="N358" s="63"/>
      <c r="O358" s="63"/>
      <c r="P358" s="63"/>
      <c r="Q358" s="63"/>
      <c r="R358" s="63"/>
      <c r="S358" s="63"/>
      <c r="T358" s="63"/>
      <c r="U358" s="63"/>
      <c r="V358" s="63"/>
      <c r="W358" s="63"/>
      <c r="X358" s="63"/>
    </row>
    <row r="359" spans="1:24" ht="12.75">
      <c r="A359" s="69"/>
      <c r="B359" s="63"/>
      <c r="C359" s="63"/>
      <c r="D359" s="63"/>
      <c r="E359" s="63"/>
      <c r="F359" s="63"/>
      <c r="G359" s="63"/>
      <c r="H359" s="63"/>
      <c r="I359" s="63"/>
      <c r="J359" s="63"/>
      <c r="K359" s="63"/>
      <c r="L359" s="63"/>
      <c r="M359" s="63"/>
      <c r="N359" s="63"/>
      <c r="O359" s="63"/>
      <c r="P359" s="63"/>
      <c r="Q359" s="63"/>
      <c r="R359" s="63"/>
      <c r="S359" s="63"/>
      <c r="T359" s="63"/>
      <c r="U359" s="63"/>
      <c r="V359" s="63"/>
      <c r="W359" s="63"/>
      <c r="X359" s="63"/>
    </row>
    <row r="360" spans="1:24" ht="12.75">
      <c r="A360" s="69"/>
      <c r="B360" s="63"/>
      <c r="C360" s="63"/>
      <c r="D360" s="63"/>
      <c r="E360" s="63"/>
      <c r="F360" s="63"/>
      <c r="G360" s="63"/>
      <c r="H360" s="63"/>
      <c r="I360" s="63"/>
      <c r="J360" s="63"/>
      <c r="K360" s="63"/>
      <c r="L360" s="63"/>
      <c r="M360" s="63"/>
      <c r="N360" s="63"/>
      <c r="O360" s="63"/>
      <c r="P360" s="63"/>
      <c r="Q360" s="63"/>
      <c r="R360" s="63"/>
      <c r="S360" s="63"/>
      <c r="T360" s="63"/>
      <c r="U360" s="63"/>
      <c r="V360" s="63"/>
      <c r="W360" s="63"/>
      <c r="X360" s="63"/>
    </row>
    <row r="361" spans="1:24" ht="12.75">
      <c r="A361" s="69"/>
      <c r="B361" s="63"/>
      <c r="C361" s="63"/>
      <c r="D361" s="63"/>
      <c r="E361" s="63"/>
      <c r="F361" s="63"/>
      <c r="G361" s="63"/>
      <c r="H361" s="63"/>
      <c r="I361" s="63"/>
      <c r="J361" s="63"/>
      <c r="K361" s="63"/>
      <c r="L361" s="63"/>
      <c r="M361" s="63"/>
      <c r="N361" s="63"/>
      <c r="O361" s="63"/>
      <c r="P361" s="63"/>
      <c r="Q361" s="63"/>
      <c r="R361" s="63"/>
      <c r="S361" s="63"/>
      <c r="T361" s="63"/>
      <c r="U361" s="63"/>
      <c r="V361" s="63"/>
      <c r="W361" s="63"/>
      <c r="X361" s="63"/>
    </row>
    <row r="362" spans="1:24" ht="12.75">
      <c r="A362" s="69"/>
      <c r="B362" s="63"/>
      <c r="C362" s="63"/>
      <c r="D362" s="63"/>
      <c r="E362" s="63"/>
      <c r="F362" s="63"/>
      <c r="G362" s="63"/>
      <c r="H362" s="63"/>
      <c r="I362" s="63"/>
      <c r="J362" s="63"/>
      <c r="K362" s="63"/>
      <c r="L362" s="63"/>
      <c r="M362" s="63"/>
      <c r="N362" s="63"/>
      <c r="O362" s="63"/>
      <c r="P362" s="63"/>
      <c r="Q362" s="63"/>
      <c r="R362" s="63"/>
      <c r="S362" s="63"/>
      <c r="T362" s="63"/>
      <c r="U362" s="63"/>
      <c r="V362" s="63"/>
      <c r="W362" s="63"/>
      <c r="X362" s="63"/>
    </row>
    <row r="363" spans="1:24" ht="12.75">
      <c r="A363" s="69"/>
      <c r="B363" s="63"/>
      <c r="C363" s="63"/>
      <c r="D363" s="63"/>
      <c r="E363" s="63"/>
      <c r="F363" s="63"/>
      <c r="G363" s="63"/>
      <c r="H363" s="63"/>
      <c r="I363" s="63"/>
      <c r="J363" s="63"/>
      <c r="K363" s="63"/>
      <c r="L363" s="63"/>
      <c r="M363" s="63"/>
      <c r="N363" s="63"/>
      <c r="O363" s="63"/>
      <c r="P363" s="63"/>
      <c r="Q363" s="63"/>
      <c r="R363" s="63"/>
      <c r="S363" s="63"/>
      <c r="T363" s="63"/>
      <c r="U363" s="63"/>
      <c r="V363" s="63"/>
      <c r="W363" s="63"/>
      <c r="X363" s="63"/>
    </row>
    <row r="364" spans="1:24" ht="12.75">
      <c r="A364" s="69"/>
      <c r="B364" s="63"/>
      <c r="C364" s="63"/>
      <c r="D364" s="63"/>
      <c r="E364" s="63"/>
      <c r="F364" s="63"/>
      <c r="G364" s="63"/>
      <c r="H364" s="63"/>
      <c r="I364" s="63"/>
      <c r="J364" s="63"/>
      <c r="K364" s="63"/>
      <c r="L364" s="63"/>
      <c r="M364" s="63"/>
      <c r="N364" s="63"/>
      <c r="O364" s="63"/>
      <c r="P364" s="63"/>
      <c r="Q364" s="63"/>
      <c r="R364" s="63"/>
      <c r="S364" s="63"/>
      <c r="T364" s="63"/>
      <c r="U364" s="63"/>
      <c r="V364" s="63"/>
      <c r="W364" s="63"/>
      <c r="X364" s="63"/>
    </row>
    <row r="365" spans="1:24" ht="12.75">
      <c r="A365" s="69"/>
      <c r="B365" s="63"/>
      <c r="C365" s="63"/>
      <c r="D365" s="63"/>
      <c r="E365" s="63"/>
      <c r="F365" s="63"/>
      <c r="G365" s="63"/>
      <c r="H365" s="63"/>
      <c r="I365" s="63"/>
      <c r="J365" s="63"/>
      <c r="K365" s="63"/>
      <c r="L365" s="63"/>
      <c r="M365" s="63"/>
      <c r="N365" s="63"/>
      <c r="O365" s="63"/>
      <c r="P365" s="63"/>
      <c r="Q365" s="63"/>
      <c r="R365" s="63"/>
      <c r="S365" s="63"/>
      <c r="T365" s="63"/>
      <c r="U365" s="63"/>
      <c r="V365" s="63"/>
      <c r="W365" s="63"/>
      <c r="X365" s="63"/>
    </row>
    <row r="366" spans="1:24" ht="12.75">
      <c r="A366" s="69"/>
      <c r="B366" s="63"/>
      <c r="C366" s="63"/>
      <c r="D366" s="63"/>
      <c r="E366" s="63"/>
      <c r="F366" s="63"/>
      <c r="G366" s="63"/>
      <c r="H366" s="63"/>
      <c r="I366" s="63"/>
      <c r="J366" s="63"/>
      <c r="K366" s="63"/>
      <c r="L366" s="63"/>
      <c r="M366" s="63"/>
      <c r="N366" s="63"/>
      <c r="O366" s="63"/>
      <c r="P366" s="63"/>
      <c r="Q366" s="63"/>
      <c r="R366" s="63"/>
      <c r="S366" s="63"/>
      <c r="T366" s="63"/>
      <c r="U366" s="63"/>
      <c r="V366" s="63"/>
      <c r="W366" s="63"/>
      <c r="X366" s="63"/>
    </row>
    <row r="367" spans="1:24" ht="12.75">
      <c r="A367" s="69"/>
      <c r="B367" s="63"/>
      <c r="C367" s="63"/>
      <c r="D367" s="63"/>
      <c r="E367" s="63"/>
      <c r="F367" s="63"/>
      <c r="G367" s="63"/>
      <c r="H367" s="63"/>
      <c r="I367" s="63"/>
      <c r="J367" s="63"/>
      <c r="K367" s="63"/>
      <c r="L367" s="63"/>
      <c r="M367" s="63"/>
      <c r="N367" s="63"/>
      <c r="O367" s="63"/>
      <c r="P367" s="63"/>
      <c r="Q367" s="63"/>
      <c r="R367" s="63"/>
      <c r="S367" s="63"/>
      <c r="T367" s="63"/>
      <c r="U367" s="63"/>
      <c r="V367" s="63"/>
      <c r="W367" s="63"/>
      <c r="X367" s="63"/>
    </row>
    <row r="368" spans="1:24" ht="12.75">
      <c r="A368" s="69"/>
      <c r="B368" s="63"/>
      <c r="C368" s="63"/>
      <c r="D368" s="63"/>
      <c r="E368" s="63"/>
      <c r="F368" s="63"/>
      <c r="G368" s="63"/>
      <c r="H368" s="63"/>
      <c r="I368" s="63"/>
      <c r="J368" s="63"/>
      <c r="K368" s="63"/>
      <c r="L368" s="63"/>
      <c r="M368" s="63"/>
      <c r="N368" s="63"/>
      <c r="O368" s="63"/>
      <c r="P368" s="63"/>
      <c r="Q368" s="63"/>
      <c r="R368" s="63"/>
      <c r="S368" s="63"/>
      <c r="T368" s="63"/>
      <c r="U368" s="63"/>
      <c r="V368" s="63"/>
      <c r="W368" s="63"/>
      <c r="X368" s="63"/>
    </row>
    <row r="369" spans="1:24" ht="12.75">
      <c r="A369" s="69"/>
      <c r="B369" s="63"/>
      <c r="C369" s="63"/>
      <c r="D369" s="63"/>
      <c r="E369" s="63"/>
      <c r="F369" s="63"/>
      <c r="G369" s="63"/>
      <c r="H369" s="63"/>
      <c r="I369" s="63"/>
      <c r="J369" s="63"/>
      <c r="K369" s="63"/>
      <c r="L369" s="63"/>
      <c r="M369" s="63"/>
      <c r="N369" s="63"/>
      <c r="O369" s="63"/>
      <c r="P369" s="63"/>
      <c r="Q369" s="63"/>
      <c r="R369" s="63"/>
      <c r="S369" s="63"/>
      <c r="T369" s="63"/>
      <c r="U369" s="63"/>
      <c r="V369" s="63"/>
      <c r="W369" s="63"/>
      <c r="X369" s="63"/>
    </row>
    <row r="370" spans="1:24" ht="12.75">
      <c r="A370" s="69"/>
      <c r="B370" s="63"/>
      <c r="C370" s="63"/>
      <c r="D370" s="63"/>
      <c r="E370" s="63"/>
      <c r="F370" s="63"/>
      <c r="G370" s="63"/>
      <c r="H370" s="63"/>
      <c r="I370" s="63"/>
      <c r="J370" s="63"/>
      <c r="K370" s="63"/>
      <c r="L370" s="63"/>
      <c r="M370" s="63"/>
      <c r="N370" s="63"/>
      <c r="O370" s="63"/>
      <c r="P370" s="63"/>
      <c r="Q370" s="63"/>
      <c r="R370" s="63"/>
      <c r="S370" s="63"/>
      <c r="T370" s="63"/>
      <c r="U370" s="63"/>
      <c r="V370" s="63"/>
      <c r="W370" s="63"/>
      <c r="X370" s="63"/>
    </row>
    <row r="371" spans="1:24" ht="12.75">
      <c r="A371" s="69"/>
      <c r="B371" s="63"/>
      <c r="C371" s="63"/>
      <c r="D371" s="63"/>
      <c r="E371" s="63"/>
      <c r="F371" s="63"/>
      <c r="G371" s="63"/>
      <c r="H371" s="63"/>
      <c r="I371" s="63"/>
      <c r="J371" s="63"/>
      <c r="K371" s="63"/>
      <c r="L371" s="63"/>
      <c r="M371" s="63"/>
      <c r="N371" s="63"/>
      <c r="O371" s="63"/>
      <c r="P371" s="63"/>
      <c r="Q371" s="63"/>
      <c r="R371" s="63"/>
      <c r="S371" s="63"/>
      <c r="T371" s="63"/>
      <c r="U371" s="63"/>
      <c r="V371" s="63"/>
      <c r="W371" s="63"/>
      <c r="X371" s="63"/>
    </row>
    <row r="372" spans="1:24" ht="12.75">
      <c r="A372" s="69"/>
      <c r="B372" s="63"/>
      <c r="C372" s="63"/>
      <c r="D372" s="63"/>
      <c r="E372" s="63"/>
      <c r="F372" s="63"/>
      <c r="G372" s="63"/>
      <c r="H372" s="63"/>
      <c r="I372" s="63"/>
      <c r="J372" s="63"/>
      <c r="K372" s="63"/>
      <c r="L372" s="63"/>
      <c r="M372" s="63"/>
      <c r="N372" s="63"/>
      <c r="O372" s="63"/>
      <c r="P372" s="63"/>
      <c r="Q372" s="63"/>
      <c r="R372" s="63"/>
      <c r="S372" s="63"/>
      <c r="T372" s="63"/>
      <c r="U372" s="63"/>
      <c r="V372" s="63"/>
      <c r="W372" s="63"/>
      <c r="X372" s="63"/>
    </row>
    <row r="373" spans="1:24" ht="12.75">
      <c r="A373" s="69"/>
      <c r="B373" s="63"/>
      <c r="C373" s="63"/>
      <c r="D373" s="63"/>
      <c r="E373" s="63"/>
      <c r="F373" s="63"/>
      <c r="G373" s="63"/>
      <c r="H373" s="63"/>
      <c r="I373" s="63"/>
      <c r="J373" s="63"/>
      <c r="K373" s="63"/>
      <c r="L373" s="63"/>
      <c r="M373" s="63"/>
      <c r="N373" s="63"/>
      <c r="O373" s="63"/>
      <c r="P373" s="63"/>
      <c r="Q373" s="63"/>
      <c r="R373" s="63"/>
      <c r="S373" s="63"/>
      <c r="T373" s="63"/>
      <c r="U373" s="63"/>
      <c r="V373" s="63"/>
      <c r="W373" s="63"/>
      <c r="X373" s="63"/>
    </row>
    <row r="374" spans="1:24" ht="12.75">
      <c r="A374" s="69"/>
      <c r="B374" s="63"/>
      <c r="C374" s="63"/>
      <c r="D374" s="63"/>
      <c r="E374" s="63"/>
      <c r="F374" s="63"/>
      <c r="G374" s="63"/>
      <c r="H374" s="63"/>
      <c r="I374" s="63"/>
      <c r="J374" s="63"/>
      <c r="K374" s="63"/>
      <c r="L374" s="63"/>
      <c r="M374" s="63"/>
      <c r="N374" s="63"/>
      <c r="O374" s="63"/>
      <c r="P374" s="63"/>
      <c r="Q374" s="63"/>
      <c r="R374" s="63"/>
      <c r="S374" s="63"/>
      <c r="T374" s="63"/>
      <c r="U374" s="63"/>
      <c r="V374" s="63"/>
      <c r="W374" s="63"/>
      <c r="X374" s="63"/>
    </row>
    <row r="375" spans="1:24" ht="12.75">
      <c r="A375" s="69"/>
      <c r="B375" s="63"/>
      <c r="C375" s="63"/>
      <c r="D375" s="63"/>
      <c r="E375" s="63"/>
      <c r="F375" s="63"/>
      <c r="G375" s="63"/>
      <c r="H375" s="63"/>
      <c r="I375" s="63"/>
      <c r="J375" s="63"/>
      <c r="K375" s="63"/>
      <c r="L375" s="63"/>
      <c r="M375" s="63"/>
      <c r="N375" s="63"/>
      <c r="O375" s="63"/>
      <c r="P375" s="63"/>
      <c r="Q375" s="63"/>
      <c r="R375" s="63"/>
      <c r="S375" s="63"/>
      <c r="T375" s="63"/>
      <c r="U375" s="63"/>
      <c r="V375" s="63"/>
      <c r="W375" s="63"/>
      <c r="X375" s="63"/>
    </row>
    <row r="376" spans="1:24" ht="12.75">
      <c r="A376" s="69"/>
      <c r="B376" s="63"/>
      <c r="C376" s="63"/>
      <c r="D376" s="63"/>
      <c r="E376" s="63"/>
      <c r="F376" s="63"/>
      <c r="G376" s="63"/>
      <c r="H376" s="63"/>
      <c r="I376" s="63"/>
      <c r="J376" s="63"/>
      <c r="K376" s="63"/>
      <c r="L376" s="63"/>
      <c r="M376" s="63"/>
      <c r="N376" s="63"/>
      <c r="O376" s="63"/>
      <c r="P376" s="63"/>
      <c r="Q376" s="63"/>
      <c r="R376" s="63"/>
      <c r="S376" s="63"/>
      <c r="T376" s="63"/>
      <c r="U376" s="63"/>
      <c r="V376" s="63"/>
      <c r="W376" s="63"/>
      <c r="X376" s="63"/>
    </row>
    <row r="377" spans="1:24" ht="12.75">
      <c r="A377" s="69"/>
      <c r="B377" s="63"/>
      <c r="C377" s="63"/>
      <c r="D377" s="63"/>
      <c r="E377" s="63"/>
      <c r="F377" s="63"/>
      <c r="G377" s="63"/>
      <c r="H377" s="63"/>
      <c r="I377" s="63"/>
      <c r="J377" s="63"/>
      <c r="K377" s="63"/>
      <c r="L377" s="63"/>
      <c r="M377" s="63"/>
      <c r="N377" s="63"/>
      <c r="O377" s="63"/>
      <c r="P377" s="63"/>
      <c r="Q377" s="63"/>
      <c r="R377" s="63"/>
      <c r="S377" s="63"/>
      <c r="T377" s="63"/>
      <c r="U377" s="63"/>
      <c r="V377" s="63"/>
      <c r="W377" s="63"/>
      <c r="X377" s="63"/>
    </row>
    <row r="378" spans="1:24" ht="12.75">
      <c r="A378" s="69"/>
      <c r="B378" s="63"/>
      <c r="C378" s="63"/>
      <c r="D378" s="63"/>
      <c r="E378" s="63"/>
      <c r="F378" s="63"/>
      <c r="G378" s="63"/>
      <c r="H378" s="63"/>
      <c r="I378" s="63"/>
      <c r="J378" s="63"/>
      <c r="K378" s="63"/>
      <c r="L378" s="63"/>
      <c r="M378" s="63"/>
      <c r="N378" s="63"/>
      <c r="O378" s="63"/>
      <c r="P378" s="63"/>
      <c r="Q378" s="63"/>
      <c r="R378" s="63"/>
      <c r="S378" s="63"/>
      <c r="T378" s="63"/>
      <c r="U378" s="63"/>
      <c r="V378" s="63"/>
      <c r="W378" s="63"/>
      <c r="X378" s="63"/>
    </row>
    <row r="379" spans="1:24" ht="12.75">
      <c r="A379" s="69"/>
      <c r="B379" s="63"/>
      <c r="C379" s="63"/>
      <c r="D379" s="63"/>
      <c r="E379" s="63"/>
      <c r="F379" s="63"/>
      <c r="G379" s="63"/>
      <c r="H379" s="63"/>
      <c r="I379" s="63"/>
      <c r="J379" s="63"/>
      <c r="K379" s="63"/>
      <c r="L379" s="63"/>
      <c r="M379" s="63"/>
      <c r="N379" s="63"/>
      <c r="O379" s="63"/>
      <c r="P379" s="63"/>
      <c r="Q379" s="63"/>
      <c r="R379" s="63"/>
      <c r="S379" s="63"/>
      <c r="T379" s="63"/>
      <c r="U379" s="63"/>
      <c r="V379" s="63"/>
      <c r="W379" s="63"/>
      <c r="X379" s="63"/>
    </row>
    <row r="380" spans="1:24" ht="12.75">
      <c r="A380" s="69"/>
      <c r="B380" s="63"/>
      <c r="C380" s="63"/>
      <c r="D380" s="63"/>
      <c r="E380" s="63"/>
      <c r="F380" s="63"/>
      <c r="G380" s="63"/>
      <c r="H380" s="63"/>
      <c r="I380" s="63"/>
      <c r="J380" s="63"/>
      <c r="K380" s="63"/>
      <c r="L380" s="63"/>
      <c r="M380" s="63"/>
      <c r="N380" s="63"/>
      <c r="O380" s="63"/>
      <c r="P380" s="63"/>
      <c r="Q380" s="63"/>
      <c r="R380" s="63"/>
      <c r="S380" s="63"/>
      <c r="T380" s="63"/>
      <c r="U380" s="63"/>
      <c r="V380" s="63"/>
      <c r="W380" s="63"/>
      <c r="X380" s="63"/>
    </row>
    <row r="381" spans="1:24" ht="12.75">
      <c r="A381" s="69"/>
      <c r="B381" s="63"/>
      <c r="C381" s="63"/>
      <c r="D381" s="63"/>
      <c r="E381" s="63"/>
      <c r="F381" s="63"/>
      <c r="G381" s="63"/>
      <c r="H381" s="63"/>
      <c r="I381" s="63"/>
      <c r="J381" s="63"/>
      <c r="K381" s="63"/>
      <c r="L381" s="63"/>
      <c r="M381" s="63"/>
      <c r="N381" s="63"/>
      <c r="O381" s="63"/>
      <c r="P381" s="63"/>
      <c r="Q381" s="63"/>
      <c r="R381" s="63"/>
      <c r="S381" s="63"/>
      <c r="T381" s="63"/>
      <c r="U381" s="63"/>
      <c r="V381" s="63"/>
      <c r="W381" s="63"/>
      <c r="X381" s="63"/>
    </row>
    <row r="382" spans="1:24" ht="12.75">
      <c r="A382" s="69"/>
      <c r="B382" s="63"/>
      <c r="C382" s="63"/>
      <c r="D382" s="63"/>
      <c r="E382" s="63"/>
      <c r="F382" s="63"/>
      <c r="G382" s="63"/>
      <c r="H382" s="63"/>
      <c r="I382" s="63"/>
      <c r="J382" s="63"/>
      <c r="K382" s="63"/>
      <c r="L382" s="63"/>
      <c r="M382" s="63"/>
      <c r="N382" s="63"/>
      <c r="O382" s="63"/>
      <c r="P382" s="63"/>
      <c r="Q382" s="63"/>
      <c r="R382" s="63"/>
      <c r="S382" s="63"/>
      <c r="T382" s="63"/>
      <c r="U382" s="63"/>
      <c r="V382" s="63"/>
      <c r="W382" s="63"/>
      <c r="X382" s="63"/>
    </row>
    <row r="383" spans="1:24" ht="12.75">
      <c r="A383" s="69"/>
      <c r="B383" s="63"/>
      <c r="C383" s="63"/>
      <c r="D383" s="63"/>
      <c r="E383" s="63"/>
      <c r="F383" s="63"/>
      <c r="G383" s="63"/>
      <c r="H383" s="63"/>
      <c r="I383" s="63"/>
      <c r="J383" s="63"/>
      <c r="K383" s="63"/>
      <c r="L383" s="63"/>
      <c r="M383" s="63"/>
      <c r="N383" s="63"/>
      <c r="O383" s="63"/>
      <c r="P383" s="63"/>
      <c r="Q383" s="63"/>
      <c r="R383" s="63"/>
      <c r="S383" s="63"/>
      <c r="T383" s="63"/>
      <c r="U383" s="63"/>
      <c r="V383" s="63"/>
      <c r="W383" s="63"/>
      <c r="X383" s="63"/>
    </row>
    <row r="384" spans="1:24" ht="12.75">
      <c r="A384" s="69"/>
      <c r="B384" s="63"/>
      <c r="C384" s="63"/>
      <c r="D384" s="63"/>
      <c r="E384" s="63"/>
      <c r="F384" s="63"/>
      <c r="G384" s="63"/>
      <c r="H384" s="63"/>
      <c r="I384" s="63"/>
      <c r="J384" s="63"/>
      <c r="K384" s="63"/>
      <c r="L384" s="63"/>
      <c r="M384" s="63"/>
      <c r="N384" s="63"/>
      <c r="O384" s="63"/>
      <c r="P384" s="63"/>
      <c r="Q384" s="63"/>
      <c r="R384" s="63"/>
      <c r="S384" s="63"/>
      <c r="T384" s="63"/>
      <c r="U384" s="63"/>
      <c r="V384" s="63"/>
      <c r="W384" s="63"/>
      <c r="X384" s="63"/>
    </row>
    <row r="385" spans="1:24" ht="12.75">
      <c r="A385" s="69"/>
      <c r="B385" s="63"/>
      <c r="C385" s="63"/>
      <c r="D385" s="63"/>
      <c r="E385" s="63"/>
      <c r="F385" s="63"/>
      <c r="G385" s="63"/>
      <c r="H385" s="63"/>
      <c r="I385" s="63"/>
      <c r="J385" s="63"/>
      <c r="K385" s="63"/>
      <c r="L385" s="63"/>
      <c r="M385" s="63"/>
      <c r="N385" s="63"/>
      <c r="O385" s="63"/>
      <c r="P385" s="63"/>
      <c r="Q385" s="63"/>
      <c r="R385" s="63"/>
      <c r="S385" s="63"/>
      <c r="T385" s="63"/>
      <c r="U385" s="63"/>
      <c r="V385" s="63"/>
      <c r="W385" s="63"/>
      <c r="X385" s="63"/>
    </row>
    <row r="386" spans="1:24" ht="12.75">
      <c r="A386" s="69"/>
      <c r="B386" s="63"/>
      <c r="C386" s="63"/>
      <c r="D386" s="63"/>
      <c r="E386" s="63"/>
      <c r="F386" s="63"/>
      <c r="G386" s="63"/>
      <c r="H386" s="63"/>
      <c r="I386" s="63"/>
      <c r="J386" s="63"/>
      <c r="K386" s="63"/>
      <c r="L386" s="63"/>
      <c r="M386" s="63"/>
      <c r="N386" s="63"/>
      <c r="O386" s="63"/>
      <c r="P386" s="63"/>
      <c r="Q386" s="63"/>
      <c r="R386" s="63"/>
      <c r="S386" s="63"/>
      <c r="T386" s="63"/>
      <c r="U386" s="63"/>
      <c r="V386" s="63"/>
      <c r="W386" s="63"/>
      <c r="X386" s="63"/>
    </row>
    <row r="387" spans="1:24" ht="12.75">
      <c r="A387" s="69"/>
      <c r="B387" s="63"/>
      <c r="C387" s="63"/>
      <c r="D387" s="63"/>
      <c r="E387" s="63"/>
      <c r="F387" s="63"/>
      <c r="G387" s="63"/>
      <c r="H387" s="63"/>
      <c r="I387" s="63"/>
      <c r="J387" s="63"/>
      <c r="K387" s="63"/>
      <c r="L387" s="63"/>
      <c r="M387" s="63"/>
      <c r="N387" s="63"/>
      <c r="O387" s="63"/>
      <c r="P387" s="63"/>
      <c r="Q387" s="63"/>
      <c r="R387" s="63"/>
      <c r="S387" s="63"/>
      <c r="T387" s="63"/>
      <c r="U387" s="63"/>
      <c r="V387" s="63"/>
      <c r="W387" s="63"/>
      <c r="X387" s="63"/>
    </row>
    <row r="388" spans="1:24" ht="12.75">
      <c r="A388" s="69"/>
      <c r="B388" s="63"/>
      <c r="C388" s="63"/>
      <c r="D388" s="63"/>
      <c r="E388" s="63"/>
      <c r="F388" s="63"/>
      <c r="G388" s="63"/>
      <c r="H388" s="63"/>
      <c r="I388" s="63"/>
      <c r="J388" s="63"/>
      <c r="K388" s="63"/>
      <c r="L388" s="63"/>
      <c r="M388" s="63"/>
      <c r="N388" s="63"/>
      <c r="O388" s="63"/>
      <c r="P388" s="63"/>
      <c r="Q388" s="63"/>
      <c r="R388" s="63"/>
      <c r="S388" s="63"/>
      <c r="T388" s="63"/>
      <c r="U388" s="63"/>
      <c r="V388" s="63"/>
      <c r="W388" s="63"/>
      <c r="X388" s="63"/>
    </row>
    <row r="389" spans="1:24" ht="12.75">
      <c r="A389" s="69"/>
      <c r="B389" s="63"/>
      <c r="C389" s="63"/>
      <c r="D389" s="63"/>
      <c r="E389" s="63"/>
      <c r="F389" s="63"/>
      <c r="G389" s="63"/>
      <c r="H389" s="63"/>
      <c r="I389" s="63"/>
      <c r="J389" s="63"/>
      <c r="K389" s="63"/>
      <c r="L389" s="63"/>
      <c r="M389" s="63"/>
      <c r="N389" s="63"/>
      <c r="O389" s="63"/>
      <c r="P389" s="63"/>
      <c r="Q389" s="63"/>
      <c r="R389" s="63"/>
      <c r="S389" s="63"/>
      <c r="T389" s="63"/>
      <c r="U389" s="63"/>
      <c r="V389" s="63"/>
      <c r="W389" s="63"/>
      <c r="X389" s="63"/>
    </row>
    <row r="390" spans="1:24" ht="12.75">
      <c r="A390" s="69"/>
      <c r="B390" s="63"/>
      <c r="C390" s="63"/>
      <c r="D390" s="63"/>
      <c r="E390" s="63"/>
      <c r="F390" s="63"/>
      <c r="G390" s="63"/>
      <c r="H390" s="63"/>
      <c r="I390" s="63"/>
      <c r="J390" s="63"/>
      <c r="K390" s="63"/>
      <c r="L390" s="63"/>
      <c r="M390" s="63"/>
      <c r="N390" s="63"/>
      <c r="O390" s="63"/>
      <c r="P390" s="63"/>
      <c r="Q390" s="63"/>
      <c r="R390" s="63"/>
      <c r="S390" s="63"/>
      <c r="T390" s="63"/>
      <c r="U390" s="63"/>
      <c r="V390" s="63"/>
      <c r="W390" s="63"/>
      <c r="X390" s="63"/>
    </row>
    <row r="391" spans="1:24" ht="12.75">
      <c r="A391" s="69"/>
      <c r="B391" s="63"/>
      <c r="C391" s="63"/>
      <c r="D391" s="63"/>
      <c r="E391" s="63"/>
      <c r="F391" s="63"/>
      <c r="G391" s="63"/>
      <c r="H391" s="63"/>
      <c r="I391" s="63"/>
      <c r="J391" s="63"/>
      <c r="K391" s="63"/>
      <c r="L391" s="63"/>
      <c r="M391" s="63"/>
      <c r="N391" s="63"/>
      <c r="O391" s="63"/>
      <c r="P391" s="63"/>
      <c r="Q391" s="63"/>
      <c r="R391" s="63"/>
      <c r="S391" s="63"/>
      <c r="T391" s="63"/>
      <c r="U391" s="63"/>
      <c r="V391" s="63"/>
      <c r="W391" s="63"/>
      <c r="X391" s="63"/>
    </row>
    <row r="392" spans="1:24" ht="12.75">
      <c r="A392" s="69"/>
      <c r="B392" s="63"/>
      <c r="C392" s="63"/>
      <c r="D392" s="63"/>
      <c r="E392" s="63"/>
      <c r="F392" s="63"/>
      <c r="G392" s="63"/>
      <c r="H392" s="63"/>
      <c r="I392" s="63"/>
      <c r="J392" s="63"/>
      <c r="K392" s="63"/>
      <c r="L392" s="63"/>
      <c r="M392" s="63"/>
      <c r="N392" s="63"/>
      <c r="O392" s="63"/>
      <c r="P392" s="63"/>
      <c r="Q392" s="63"/>
      <c r="R392" s="63"/>
      <c r="S392" s="63"/>
      <c r="T392" s="63"/>
      <c r="U392" s="63"/>
      <c r="V392" s="63"/>
      <c r="W392" s="63"/>
      <c r="X392" s="63"/>
    </row>
    <row r="393" spans="1:24" ht="12.75">
      <c r="A393" s="69"/>
      <c r="B393" s="63"/>
      <c r="C393" s="63"/>
      <c r="D393" s="63"/>
      <c r="E393" s="63"/>
      <c r="F393" s="63"/>
      <c r="G393" s="63"/>
      <c r="H393" s="63"/>
      <c r="I393" s="63"/>
      <c r="J393" s="63"/>
      <c r="K393" s="63"/>
      <c r="L393" s="63"/>
      <c r="M393" s="63"/>
      <c r="N393" s="63"/>
      <c r="O393" s="63"/>
      <c r="P393" s="63"/>
      <c r="Q393" s="63"/>
      <c r="R393" s="63"/>
      <c r="S393" s="63"/>
      <c r="T393" s="63"/>
      <c r="U393" s="63"/>
      <c r="V393" s="63"/>
      <c r="W393" s="63"/>
      <c r="X393" s="63"/>
    </row>
    <row r="394" spans="1:24" ht="12.75">
      <c r="A394" s="69"/>
      <c r="B394" s="63"/>
      <c r="C394" s="63"/>
      <c r="D394" s="63"/>
      <c r="E394" s="63"/>
      <c r="F394" s="63"/>
      <c r="G394" s="63"/>
      <c r="H394" s="63"/>
      <c r="I394" s="63"/>
      <c r="J394" s="63"/>
      <c r="K394" s="63"/>
      <c r="L394" s="63"/>
      <c r="M394" s="63"/>
      <c r="N394" s="63"/>
      <c r="O394" s="63"/>
      <c r="P394" s="63"/>
      <c r="Q394" s="63"/>
      <c r="R394" s="63"/>
      <c r="S394" s="63"/>
      <c r="T394" s="63"/>
      <c r="U394" s="63"/>
      <c r="V394" s="63"/>
      <c r="W394" s="63"/>
      <c r="X394" s="63"/>
    </row>
    <row r="395" spans="1:24" ht="12.75">
      <c r="A395" s="69"/>
      <c r="B395" s="63"/>
      <c r="C395" s="63"/>
      <c r="D395" s="63"/>
      <c r="E395" s="63"/>
      <c r="F395" s="63"/>
      <c r="G395" s="63"/>
      <c r="H395" s="63"/>
      <c r="I395" s="63"/>
      <c r="J395" s="63"/>
      <c r="K395" s="63"/>
      <c r="L395" s="63"/>
      <c r="M395" s="63"/>
      <c r="N395" s="63"/>
      <c r="O395" s="63"/>
      <c r="P395" s="63"/>
      <c r="Q395" s="63"/>
      <c r="R395" s="63"/>
      <c r="S395" s="63"/>
      <c r="T395" s="63"/>
      <c r="U395" s="63"/>
      <c r="V395" s="63"/>
      <c r="W395" s="63"/>
      <c r="X395" s="63"/>
    </row>
    <row r="396" spans="1:24" ht="12.75">
      <c r="A396" s="69"/>
      <c r="B396" s="63"/>
      <c r="C396" s="63"/>
      <c r="D396" s="63"/>
      <c r="E396" s="63"/>
      <c r="F396" s="63"/>
      <c r="G396" s="63"/>
      <c r="H396" s="63"/>
      <c r="I396" s="63"/>
      <c r="J396" s="63"/>
      <c r="K396" s="63"/>
      <c r="L396" s="63"/>
      <c r="M396" s="63"/>
      <c r="N396" s="63"/>
      <c r="O396" s="63"/>
      <c r="P396" s="63"/>
      <c r="Q396" s="63"/>
      <c r="R396" s="63"/>
      <c r="S396" s="63"/>
      <c r="T396" s="63"/>
      <c r="U396" s="63"/>
      <c r="V396" s="63"/>
      <c r="W396" s="63"/>
      <c r="X396" s="63"/>
    </row>
    <row r="397" spans="1:24" ht="12.75">
      <c r="A397" s="69"/>
      <c r="B397" s="63"/>
      <c r="C397" s="63"/>
      <c r="D397" s="63"/>
      <c r="E397" s="63"/>
      <c r="F397" s="63"/>
      <c r="G397" s="63"/>
      <c r="H397" s="63"/>
      <c r="I397" s="63"/>
      <c r="J397" s="63"/>
      <c r="K397" s="63"/>
      <c r="L397" s="63"/>
      <c r="M397" s="63"/>
      <c r="N397" s="63"/>
      <c r="O397" s="63"/>
      <c r="P397" s="63"/>
      <c r="Q397" s="63"/>
      <c r="R397" s="63"/>
      <c r="S397" s="63"/>
      <c r="T397" s="63"/>
      <c r="U397" s="63"/>
      <c r="V397" s="63"/>
      <c r="W397" s="63"/>
      <c r="X397" s="63"/>
    </row>
    <row r="398" spans="1:24" ht="12.75">
      <c r="A398" s="69"/>
      <c r="B398" s="63"/>
      <c r="C398" s="63"/>
      <c r="D398" s="63"/>
      <c r="E398" s="63"/>
      <c r="F398" s="63"/>
      <c r="G398" s="63"/>
      <c r="H398" s="63"/>
      <c r="I398" s="63"/>
      <c r="J398" s="63"/>
      <c r="K398" s="63"/>
      <c r="L398" s="63"/>
      <c r="M398" s="63"/>
      <c r="N398" s="63"/>
      <c r="O398" s="63"/>
      <c r="P398" s="63"/>
      <c r="Q398" s="63"/>
      <c r="R398" s="63"/>
      <c r="S398" s="63"/>
      <c r="T398" s="63"/>
      <c r="U398" s="63"/>
      <c r="V398" s="63"/>
      <c r="W398" s="63"/>
      <c r="X398" s="63"/>
    </row>
    <row r="399" spans="1:24" ht="12.75">
      <c r="A399" s="69"/>
      <c r="B399" s="63"/>
      <c r="C399" s="63"/>
      <c r="D399" s="63"/>
      <c r="E399" s="63"/>
      <c r="F399" s="63"/>
      <c r="G399" s="63"/>
      <c r="H399" s="63"/>
      <c r="I399" s="63"/>
      <c r="J399" s="63"/>
      <c r="K399" s="63"/>
      <c r="L399" s="63"/>
      <c r="M399" s="63"/>
      <c r="N399" s="63"/>
      <c r="O399" s="63"/>
      <c r="P399" s="63"/>
      <c r="Q399" s="63"/>
      <c r="R399" s="63"/>
      <c r="S399" s="63"/>
      <c r="T399" s="63"/>
      <c r="U399" s="63"/>
      <c r="V399" s="63"/>
      <c r="W399" s="63"/>
      <c r="X399" s="63"/>
    </row>
    <row r="400" spans="1:24" ht="12.75">
      <c r="A400" s="69"/>
      <c r="B400" s="63"/>
      <c r="C400" s="63"/>
      <c r="D400" s="63"/>
      <c r="E400" s="63"/>
      <c r="F400" s="63"/>
      <c r="G400" s="63"/>
      <c r="H400" s="63"/>
      <c r="I400" s="63"/>
      <c r="J400" s="63"/>
      <c r="K400" s="63"/>
      <c r="L400" s="63"/>
      <c r="M400" s="63"/>
      <c r="N400" s="63"/>
      <c r="O400" s="63"/>
      <c r="P400" s="63"/>
      <c r="Q400" s="63"/>
      <c r="R400" s="63"/>
      <c r="S400" s="63"/>
      <c r="T400" s="63"/>
      <c r="U400" s="63"/>
      <c r="V400" s="63"/>
      <c r="W400" s="63"/>
      <c r="X400" s="63"/>
    </row>
    <row r="401" spans="1:24" ht="12.75">
      <c r="A401" s="69"/>
      <c r="B401" s="63"/>
      <c r="C401" s="63"/>
      <c r="D401" s="63"/>
      <c r="E401" s="63"/>
      <c r="F401" s="63"/>
      <c r="G401" s="63"/>
      <c r="H401" s="63"/>
      <c r="I401" s="63"/>
      <c r="J401" s="63"/>
      <c r="K401" s="63"/>
      <c r="L401" s="63"/>
      <c r="M401" s="63"/>
      <c r="N401" s="63"/>
      <c r="O401" s="63"/>
      <c r="P401" s="63"/>
      <c r="Q401" s="63"/>
      <c r="R401" s="63"/>
      <c r="S401" s="63"/>
      <c r="T401" s="63"/>
      <c r="U401" s="63"/>
      <c r="V401" s="63"/>
      <c r="W401" s="63"/>
      <c r="X401" s="63"/>
    </row>
    <row r="402" spans="1:24" ht="12.75">
      <c r="A402" s="69"/>
      <c r="B402" s="63"/>
      <c r="C402" s="63"/>
      <c r="D402" s="63"/>
      <c r="E402" s="63"/>
      <c r="F402" s="63"/>
      <c r="G402" s="63"/>
      <c r="H402" s="63"/>
      <c r="I402" s="63"/>
      <c r="J402" s="63"/>
      <c r="K402" s="63"/>
      <c r="L402" s="63"/>
      <c r="M402" s="63"/>
      <c r="N402" s="63"/>
      <c r="O402" s="63"/>
      <c r="P402" s="63"/>
      <c r="Q402" s="63"/>
      <c r="R402" s="63"/>
      <c r="S402" s="63"/>
      <c r="T402" s="63"/>
      <c r="U402" s="63"/>
      <c r="V402" s="63"/>
      <c r="W402" s="63"/>
      <c r="X402" s="63"/>
    </row>
    <row r="403" spans="1:24" ht="12.75">
      <c r="A403" s="69"/>
      <c r="B403" s="63"/>
      <c r="C403" s="63"/>
      <c r="D403" s="63"/>
      <c r="E403" s="63"/>
      <c r="F403" s="63"/>
      <c r="G403" s="63"/>
      <c r="H403" s="63"/>
      <c r="I403" s="63"/>
      <c r="J403" s="63"/>
      <c r="K403" s="63"/>
      <c r="L403" s="63"/>
      <c r="M403" s="63"/>
      <c r="N403" s="63"/>
      <c r="O403" s="63"/>
      <c r="P403" s="63"/>
      <c r="Q403" s="63"/>
      <c r="R403" s="63"/>
      <c r="S403" s="63"/>
      <c r="T403" s="63"/>
      <c r="U403" s="63"/>
      <c r="V403" s="63"/>
      <c r="W403" s="63"/>
      <c r="X403" s="63"/>
    </row>
    <row r="404" spans="1:24" ht="12.75">
      <c r="A404" s="69"/>
      <c r="B404" s="63"/>
      <c r="C404" s="63"/>
      <c r="D404" s="63"/>
      <c r="E404" s="63"/>
      <c r="F404" s="63"/>
      <c r="G404" s="63"/>
      <c r="H404" s="63"/>
      <c r="I404" s="63"/>
      <c r="J404" s="63"/>
      <c r="K404" s="63"/>
      <c r="L404" s="63"/>
      <c r="M404" s="63"/>
      <c r="N404" s="63"/>
      <c r="O404" s="63"/>
      <c r="P404" s="63"/>
      <c r="Q404" s="63"/>
      <c r="R404" s="63"/>
      <c r="S404" s="63"/>
      <c r="T404" s="63"/>
      <c r="U404" s="63"/>
      <c r="V404" s="63"/>
      <c r="W404" s="63"/>
      <c r="X404" s="63"/>
    </row>
    <row r="405" spans="1:24" ht="12.75">
      <c r="A405" s="69"/>
      <c r="B405" s="63"/>
      <c r="C405" s="63"/>
      <c r="D405" s="63"/>
      <c r="E405" s="63"/>
      <c r="F405" s="63"/>
      <c r="G405" s="63"/>
      <c r="H405" s="63"/>
      <c r="I405" s="63"/>
      <c r="J405" s="63"/>
      <c r="K405" s="63"/>
      <c r="L405" s="63"/>
      <c r="M405" s="63"/>
      <c r="N405" s="63"/>
      <c r="O405" s="63"/>
      <c r="P405" s="63"/>
      <c r="Q405" s="63"/>
      <c r="R405" s="63"/>
      <c r="S405" s="63"/>
      <c r="T405" s="63"/>
      <c r="U405" s="63"/>
      <c r="V405" s="63"/>
      <c r="W405" s="63"/>
      <c r="X405" s="63"/>
    </row>
    <row r="406" spans="1:24" ht="12.75">
      <c r="A406" s="69"/>
      <c r="B406" s="63"/>
      <c r="C406" s="63"/>
      <c r="D406" s="63"/>
      <c r="E406" s="63"/>
      <c r="F406" s="63"/>
      <c r="G406" s="63"/>
      <c r="H406" s="63"/>
      <c r="I406" s="63"/>
      <c r="J406" s="63"/>
      <c r="K406" s="63"/>
      <c r="L406" s="63"/>
      <c r="M406" s="63"/>
      <c r="N406" s="63"/>
      <c r="O406" s="63"/>
      <c r="P406" s="63"/>
      <c r="Q406" s="63"/>
      <c r="R406" s="63"/>
      <c r="S406" s="63"/>
      <c r="T406" s="63"/>
      <c r="U406" s="63"/>
      <c r="V406" s="63"/>
      <c r="W406" s="63"/>
      <c r="X406" s="63"/>
    </row>
    <row r="407" spans="1:24" ht="12.75">
      <c r="A407" s="69"/>
      <c r="B407" s="63"/>
      <c r="C407" s="63"/>
      <c r="D407" s="63"/>
      <c r="E407" s="63"/>
      <c r="F407" s="63"/>
      <c r="G407" s="63"/>
      <c r="H407" s="63"/>
      <c r="I407" s="63"/>
      <c r="J407" s="63"/>
      <c r="K407" s="63"/>
      <c r="L407" s="63"/>
      <c r="M407" s="63"/>
      <c r="N407" s="63"/>
      <c r="O407" s="63"/>
      <c r="P407" s="63"/>
      <c r="Q407" s="63"/>
      <c r="R407" s="63"/>
      <c r="S407" s="63"/>
      <c r="T407" s="63"/>
      <c r="U407" s="63"/>
      <c r="V407" s="63"/>
      <c r="W407" s="63"/>
      <c r="X407" s="63"/>
    </row>
    <row r="408" spans="1:24" ht="12.75">
      <c r="A408" s="69"/>
      <c r="B408" s="63"/>
      <c r="C408" s="63"/>
      <c r="D408" s="63"/>
      <c r="E408" s="63"/>
      <c r="F408" s="63"/>
      <c r="G408" s="63"/>
      <c r="H408" s="63"/>
      <c r="I408" s="63"/>
      <c r="J408" s="63"/>
      <c r="K408" s="63"/>
      <c r="L408" s="63"/>
      <c r="M408" s="63"/>
      <c r="N408" s="63"/>
      <c r="O408" s="63"/>
      <c r="P408" s="63"/>
      <c r="Q408" s="63"/>
      <c r="R408" s="63"/>
      <c r="S408" s="63"/>
      <c r="T408" s="63"/>
      <c r="U408" s="63"/>
      <c r="V408" s="63"/>
      <c r="W408" s="63"/>
      <c r="X408" s="63"/>
    </row>
    <row r="409" spans="1:24" ht="12.75">
      <c r="A409" s="69"/>
      <c r="B409" s="63"/>
      <c r="C409" s="63"/>
      <c r="D409" s="63"/>
      <c r="E409" s="63"/>
      <c r="F409" s="63"/>
      <c r="G409" s="63"/>
      <c r="H409" s="63"/>
      <c r="I409" s="63"/>
      <c r="J409" s="63"/>
      <c r="K409" s="63"/>
      <c r="L409" s="63"/>
      <c r="M409" s="63"/>
      <c r="N409" s="63"/>
      <c r="O409" s="63"/>
      <c r="P409" s="63"/>
      <c r="Q409" s="63"/>
      <c r="R409" s="63"/>
      <c r="S409" s="63"/>
      <c r="T409" s="63"/>
      <c r="U409" s="63"/>
      <c r="V409" s="63"/>
      <c r="W409" s="63"/>
      <c r="X409" s="63"/>
    </row>
    <row r="410" spans="1:24" ht="12.75">
      <c r="A410" s="69"/>
      <c r="B410" s="63"/>
      <c r="C410" s="63"/>
      <c r="D410" s="63"/>
      <c r="E410" s="63"/>
      <c r="F410" s="63"/>
      <c r="G410" s="63"/>
      <c r="H410" s="63"/>
      <c r="I410" s="63"/>
      <c r="J410" s="63"/>
      <c r="K410" s="63"/>
      <c r="L410" s="63"/>
      <c r="M410" s="63"/>
      <c r="N410" s="63"/>
      <c r="O410" s="63"/>
      <c r="P410" s="63"/>
      <c r="Q410" s="63"/>
      <c r="R410" s="63"/>
      <c r="S410" s="63"/>
      <c r="T410" s="63"/>
      <c r="U410" s="63"/>
      <c r="V410" s="63"/>
      <c r="W410" s="63"/>
      <c r="X410" s="63"/>
    </row>
    <row r="411" spans="1:24" ht="12.75">
      <c r="A411" s="69"/>
      <c r="B411" s="63"/>
      <c r="C411" s="63"/>
      <c r="D411" s="63"/>
      <c r="E411" s="63"/>
      <c r="F411" s="63"/>
      <c r="G411" s="63"/>
      <c r="H411" s="63"/>
      <c r="I411" s="63"/>
      <c r="J411" s="63"/>
      <c r="K411" s="63"/>
      <c r="L411" s="63"/>
      <c r="M411" s="63"/>
      <c r="N411" s="63"/>
      <c r="O411" s="63"/>
      <c r="P411" s="63"/>
      <c r="Q411" s="63"/>
      <c r="R411" s="63"/>
      <c r="S411" s="63"/>
      <c r="T411" s="63"/>
      <c r="U411" s="63"/>
      <c r="V411" s="63"/>
      <c r="W411" s="63"/>
      <c r="X411" s="63"/>
    </row>
    <row r="412" spans="1:24" ht="12.75">
      <c r="A412" s="69"/>
      <c r="B412" s="63"/>
      <c r="C412" s="63"/>
      <c r="D412" s="63"/>
      <c r="E412" s="63"/>
      <c r="F412" s="63"/>
      <c r="G412" s="63"/>
      <c r="H412" s="63"/>
      <c r="I412" s="63"/>
      <c r="J412" s="63"/>
      <c r="K412" s="63"/>
      <c r="L412" s="63"/>
      <c r="M412" s="63"/>
      <c r="N412" s="63"/>
      <c r="O412" s="63"/>
      <c r="P412" s="63"/>
      <c r="Q412" s="63"/>
      <c r="R412" s="63"/>
      <c r="S412" s="63"/>
      <c r="T412" s="63"/>
      <c r="U412" s="63"/>
      <c r="V412" s="63"/>
      <c r="W412" s="63"/>
      <c r="X412" s="63"/>
    </row>
    <row r="413" spans="1:24" ht="12.75">
      <c r="A413" s="69"/>
      <c r="B413" s="63"/>
      <c r="C413" s="63"/>
      <c r="D413" s="63"/>
      <c r="E413" s="63"/>
      <c r="F413" s="63"/>
      <c r="G413" s="63"/>
      <c r="H413" s="63"/>
      <c r="I413" s="63"/>
      <c r="J413" s="63"/>
      <c r="K413" s="63"/>
      <c r="L413" s="63"/>
      <c r="M413" s="63"/>
      <c r="N413" s="63"/>
      <c r="O413" s="63"/>
      <c r="P413" s="63"/>
      <c r="Q413" s="63"/>
      <c r="R413" s="63"/>
      <c r="S413" s="63"/>
      <c r="T413" s="63"/>
      <c r="U413" s="63"/>
      <c r="V413" s="63"/>
      <c r="W413" s="63"/>
      <c r="X413" s="63"/>
    </row>
    <row r="414" spans="1:24" ht="12.75">
      <c r="A414" s="69"/>
      <c r="B414" s="63"/>
      <c r="C414" s="63"/>
      <c r="D414" s="63"/>
      <c r="E414" s="63"/>
      <c r="F414" s="63"/>
      <c r="G414" s="63"/>
      <c r="H414" s="63"/>
      <c r="I414" s="63"/>
      <c r="J414" s="63"/>
      <c r="K414" s="63"/>
      <c r="L414" s="63"/>
      <c r="M414" s="63"/>
      <c r="N414" s="63"/>
      <c r="O414" s="63"/>
      <c r="P414" s="63"/>
      <c r="Q414" s="63"/>
      <c r="R414" s="63"/>
      <c r="S414" s="63"/>
      <c r="T414" s="63"/>
      <c r="U414" s="63"/>
      <c r="V414" s="63"/>
      <c r="W414" s="63"/>
      <c r="X414" s="63"/>
    </row>
    <row r="415" spans="1:24" ht="12.75">
      <c r="A415" s="69"/>
      <c r="B415" s="63"/>
      <c r="C415" s="63"/>
      <c r="D415" s="63"/>
      <c r="E415" s="63"/>
      <c r="F415" s="63"/>
      <c r="G415" s="63"/>
      <c r="H415" s="63"/>
      <c r="I415" s="63"/>
      <c r="J415" s="63"/>
      <c r="K415" s="63"/>
      <c r="L415" s="63"/>
      <c r="M415" s="63"/>
      <c r="N415" s="63"/>
      <c r="O415" s="63"/>
      <c r="P415" s="63"/>
      <c r="Q415" s="63"/>
      <c r="R415" s="63"/>
      <c r="S415" s="63"/>
      <c r="T415" s="63"/>
      <c r="U415" s="63"/>
      <c r="V415" s="63"/>
      <c r="W415" s="63"/>
      <c r="X415" s="63"/>
    </row>
    <row r="416" spans="1:24" ht="12.75">
      <c r="A416" s="69"/>
      <c r="B416" s="63"/>
      <c r="C416" s="63"/>
      <c r="D416" s="63"/>
      <c r="E416" s="63"/>
      <c r="F416" s="63"/>
      <c r="G416" s="63"/>
      <c r="H416" s="63"/>
      <c r="I416" s="63"/>
      <c r="J416" s="63"/>
      <c r="K416" s="63"/>
      <c r="L416" s="63"/>
      <c r="M416" s="63"/>
      <c r="N416" s="63"/>
      <c r="O416" s="63"/>
      <c r="P416" s="63"/>
      <c r="Q416" s="63"/>
      <c r="R416" s="63"/>
      <c r="S416" s="63"/>
      <c r="T416" s="63"/>
      <c r="U416" s="63"/>
      <c r="V416" s="63"/>
      <c r="W416" s="63"/>
      <c r="X416" s="63"/>
    </row>
    <row r="417" spans="1:24" ht="12.75">
      <c r="A417" s="69"/>
      <c r="B417" s="63"/>
      <c r="C417" s="63"/>
      <c r="D417" s="63"/>
      <c r="E417" s="63"/>
      <c r="F417" s="63"/>
      <c r="G417" s="63"/>
      <c r="H417" s="63"/>
      <c r="I417" s="63"/>
      <c r="J417" s="63"/>
      <c r="K417" s="63"/>
      <c r="L417" s="63"/>
      <c r="M417" s="63"/>
      <c r="N417" s="63"/>
      <c r="O417" s="63"/>
      <c r="P417" s="63"/>
      <c r="Q417" s="63"/>
      <c r="R417" s="63"/>
      <c r="S417" s="63"/>
      <c r="T417" s="63"/>
      <c r="U417" s="63"/>
      <c r="V417" s="63"/>
      <c r="W417" s="63"/>
      <c r="X417" s="63"/>
    </row>
    <row r="418" spans="1:24" ht="12.75">
      <c r="A418" s="69"/>
      <c r="B418" s="63"/>
      <c r="C418" s="63"/>
      <c r="D418" s="63"/>
      <c r="E418" s="63"/>
      <c r="F418" s="63"/>
      <c r="G418" s="63"/>
      <c r="H418" s="63"/>
      <c r="I418" s="63"/>
      <c r="J418" s="63"/>
      <c r="K418" s="63"/>
      <c r="L418" s="63"/>
      <c r="M418" s="63"/>
      <c r="N418" s="63"/>
      <c r="O418" s="63"/>
      <c r="P418" s="63"/>
      <c r="Q418" s="63"/>
      <c r="R418" s="63"/>
      <c r="S418" s="63"/>
      <c r="T418" s="63"/>
      <c r="U418" s="63"/>
      <c r="V418" s="63"/>
      <c r="W418" s="63"/>
      <c r="X418" s="63"/>
    </row>
    <row r="419" spans="1:24" ht="12.75">
      <c r="A419" s="69"/>
      <c r="B419" s="63"/>
      <c r="C419" s="63"/>
      <c r="D419" s="63"/>
      <c r="E419" s="63"/>
      <c r="F419" s="63"/>
      <c r="G419" s="63"/>
      <c r="H419" s="63"/>
      <c r="I419" s="63"/>
      <c r="J419" s="63"/>
      <c r="K419" s="63"/>
      <c r="L419" s="63"/>
      <c r="M419" s="63"/>
      <c r="N419" s="63"/>
      <c r="O419" s="63"/>
      <c r="P419" s="63"/>
      <c r="Q419" s="63"/>
      <c r="R419" s="63"/>
      <c r="S419" s="63"/>
      <c r="T419" s="63"/>
      <c r="U419" s="63"/>
      <c r="V419" s="63"/>
      <c r="W419" s="63"/>
      <c r="X419" s="63"/>
    </row>
    <row r="420" spans="1:24" ht="12.75">
      <c r="A420" s="69"/>
      <c r="B420" s="63"/>
      <c r="C420" s="63"/>
      <c r="D420" s="63"/>
      <c r="E420" s="63"/>
      <c r="F420" s="63"/>
      <c r="G420" s="63"/>
      <c r="H420" s="63"/>
      <c r="I420" s="63"/>
      <c r="J420" s="63"/>
      <c r="K420" s="63"/>
      <c r="L420" s="63"/>
      <c r="M420" s="63"/>
      <c r="N420" s="63"/>
      <c r="O420" s="63"/>
      <c r="P420" s="63"/>
      <c r="Q420" s="63"/>
      <c r="R420" s="63"/>
      <c r="S420" s="63"/>
      <c r="T420" s="63"/>
      <c r="U420" s="63"/>
      <c r="V420" s="63"/>
      <c r="W420" s="63"/>
      <c r="X420" s="63"/>
    </row>
    <row r="421" spans="1:24" ht="12.75">
      <c r="A421" s="69"/>
      <c r="B421" s="63"/>
      <c r="C421" s="63"/>
      <c r="D421" s="63"/>
      <c r="E421" s="63"/>
      <c r="F421" s="63"/>
      <c r="G421" s="63"/>
      <c r="H421" s="63"/>
      <c r="I421" s="63"/>
      <c r="J421" s="63"/>
      <c r="K421" s="63"/>
      <c r="L421" s="63"/>
      <c r="M421" s="63"/>
      <c r="N421" s="63"/>
      <c r="O421" s="63"/>
      <c r="P421" s="63"/>
      <c r="Q421" s="63"/>
      <c r="R421" s="63"/>
      <c r="S421" s="63"/>
      <c r="T421" s="63"/>
      <c r="U421" s="63"/>
      <c r="V421" s="63"/>
      <c r="W421" s="63"/>
      <c r="X421" s="63"/>
    </row>
    <row r="422" spans="1:24" ht="12.75">
      <c r="A422" s="69"/>
      <c r="B422" s="63"/>
      <c r="C422" s="63"/>
      <c r="D422" s="63"/>
      <c r="E422" s="63"/>
      <c r="F422" s="63"/>
      <c r="G422" s="63"/>
      <c r="H422" s="63"/>
      <c r="I422" s="63"/>
      <c r="J422" s="63"/>
      <c r="K422" s="63"/>
      <c r="L422" s="63"/>
      <c r="M422" s="63"/>
      <c r="N422" s="63"/>
      <c r="O422" s="63"/>
      <c r="P422" s="63"/>
      <c r="Q422" s="63"/>
      <c r="R422" s="63"/>
      <c r="S422" s="63"/>
      <c r="T422" s="63"/>
      <c r="U422" s="63"/>
      <c r="V422" s="63"/>
      <c r="W422" s="63"/>
      <c r="X422" s="63"/>
    </row>
    <row r="423" spans="1:24" ht="12.75">
      <c r="A423" s="69"/>
      <c r="B423" s="63"/>
      <c r="C423" s="63"/>
      <c r="D423" s="63"/>
      <c r="E423" s="63"/>
      <c r="F423" s="63"/>
      <c r="G423" s="63"/>
      <c r="H423" s="63"/>
      <c r="I423" s="63"/>
      <c r="J423" s="63"/>
      <c r="K423" s="63"/>
      <c r="L423" s="63"/>
      <c r="M423" s="63"/>
      <c r="N423" s="63"/>
      <c r="O423" s="63"/>
      <c r="P423" s="63"/>
      <c r="Q423" s="63"/>
      <c r="R423" s="63"/>
      <c r="S423" s="63"/>
      <c r="T423" s="63"/>
      <c r="U423" s="63"/>
      <c r="V423" s="63"/>
      <c r="W423" s="63"/>
      <c r="X423" s="63"/>
    </row>
    <row r="424" spans="1:24" ht="12.75">
      <c r="A424" s="69"/>
      <c r="B424" s="63"/>
      <c r="C424" s="63"/>
      <c r="D424" s="63"/>
      <c r="E424" s="63"/>
      <c r="F424" s="63"/>
      <c r="G424" s="63"/>
      <c r="H424" s="63"/>
      <c r="I424" s="63"/>
      <c r="J424" s="63"/>
      <c r="K424" s="63"/>
      <c r="L424" s="63"/>
      <c r="M424" s="63"/>
      <c r="N424" s="63"/>
      <c r="O424" s="63"/>
      <c r="P424" s="63"/>
      <c r="Q424" s="63"/>
      <c r="R424" s="63"/>
      <c r="S424" s="63"/>
      <c r="T424" s="63"/>
      <c r="U424" s="63"/>
      <c r="V424" s="63"/>
      <c r="W424" s="63"/>
      <c r="X424" s="63"/>
    </row>
    <row r="425" spans="1:24" ht="12.75">
      <c r="A425" s="69"/>
      <c r="B425" s="63"/>
      <c r="C425" s="63"/>
      <c r="D425" s="63"/>
      <c r="E425" s="63"/>
      <c r="F425" s="63"/>
      <c r="G425" s="63"/>
      <c r="H425" s="63"/>
      <c r="I425" s="63"/>
      <c r="J425" s="63"/>
      <c r="K425" s="63"/>
      <c r="L425" s="63"/>
      <c r="M425" s="63"/>
      <c r="N425" s="63"/>
      <c r="O425" s="63"/>
      <c r="P425" s="63"/>
      <c r="Q425" s="63"/>
      <c r="R425" s="63"/>
      <c r="S425" s="63"/>
      <c r="T425" s="63"/>
      <c r="U425" s="63"/>
      <c r="V425" s="63"/>
      <c r="W425" s="63"/>
      <c r="X425" s="63"/>
    </row>
    <row r="426" spans="1:24" ht="12.75">
      <c r="A426" s="69"/>
      <c r="B426" s="63"/>
      <c r="C426" s="63"/>
      <c r="D426" s="63"/>
      <c r="E426" s="63"/>
      <c r="F426" s="63"/>
      <c r="G426" s="63"/>
      <c r="H426" s="63"/>
      <c r="I426" s="63"/>
      <c r="J426" s="63"/>
      <c r="K426" s="63"/>
      <c r="L426" s="63"/>
      <c r="M426" s="63"/>
      <c r="N426" s="63"/>
      <c r="O426" s="63"/>
      <c r="P426" s="63"/>
      <c r="Q426" s="63"/>
      <c r="R426" s="63"/>
      <c r="S426" s="63"/>
      <c r="T426" s="63"/>
      <c r="U426" s="63"/>
      <c r="V426" s="63"/>
      <c r="W426" s="63"/>
      <c r="X426" s="63"/>
    </row>
    <row r="427" spans="1:24" ht="12.75">
      <c r="A427" s="69"/>
      <c r="B427" s="63"/>
      <c r="C427" s="63"/>
      <c r="D427" s="63"/>
      <c r="E427" s="63"/>
      <c r="F427" s="63"/>
      <c r="G427" s="63"/>
      <c r="H427" s="63"/>
      <c r="I427" s="63"/>
      <c r="J427" s="63"/>
      <c r="K427" s="63"/>
      <c r="L427" s="63"/>
      <c r="M427" s="63"/>
      <c r="N427" s="63"/>
      <c r="O427" s="63"/>
      <c r="P427" s="63"/>
      <c r="Q427" s="63"/>
      <c r="R427" s="63"/>
      <c r="S427" s="63"/>
      <c r="T427" s="63"/>
      <c r="U427" s="63"/>
      <c r="V427" s="63"/>
      <c r="W427" s="63"/>
      <c r="X427" s="63"/>
    </row>
    <row r="428" spans="1:24" ht="12.75">
      <c r="A428" s="69"/>
      <c r="B428" s="63"/>
      <c r="C428" s="63"/>
      <c r="D428" s="63"/>
      <c r="E428" s="63"/>
      <c r="F428" s="63"/>
      <c r="G428" s="63"/>
      <c r="H428" s="63"/>
      <c r="I428" s="63"/>
      <c r="J428" s="63"/>
      <c r="K428" s="63"/>
      <c r="L428" s="63"/>
      <c r="M428" s="63"/>
      <c r="N428" s="63"/>
      <c r="O428" s="63"/>
      <c r="P428" s="63"/>
      <c r="Q428" s="63"/>
      <c r="R428" s="63"/>
      <c r="S428" s="63"/>
      <c r="T428" s="63"/>
      <c r="U428" s="63"/>
      <c r="V428" s="63"/>
      <c r="W428" s="63"/>
      <c r="X428" s="63"/>
    </row>
    <row r="429" spans="1:24" ht="12.75">
      <c r="A429" s="69"/>
      <c r="B429" s="63"/>
      <c r="C429" s="63"/>
      <c r="D429" s="63"/>
      <c r="E429" s="63"/>
      <c r="F429" s="63"/>
      <c r="G429" s="63"/>
      <c r="H429" s="63"/>
      <c r="I429" s="63"/>
      <c r="J429" s="63"/>
      <c r="K429" s="63"/>
      <c r="L429" s="63"/>
      <c r="M429" s="63"/>
      <c r="N429" s="63"/>
      <c r="O429" s="63"/>
      <c r="P429" s="63"/>
      <c r="Q429" s="63"/>
      <c r="R429" s="63"/>
      <c r="S429" s="63"/>
      <c r="T429" s="63"/>
      <c r="U429" s="63"/>
      <c r="V429" s="63"/>
      <c r="W429" s="63"/>
      <c r="X429" s="63"/>
    </row>
    <row r="430" spans="1:24" ht="12.75">
      <c r="A430" s="69"/>
      <c r="B430" s="63"/>
      <c r="C430" s="63"/>
      <c r="D430" s="63"/>
      <c r="E430" s="63"/>
      <c r="F430" s="63"/>
      <c r="G430" s="63"/>
      <c r="H430" s="63"/>
      <c r="I430" s="63"/>
      <c r="J430" s="63"/>
      <c r="K430" s="63"/>
      <c r="L430" s="63"/>
      <c r="M430" s="63"/>
      <c r="N430" s="63"/>
      <c r="O430" s="63"/>
      <c r="P430" s="63"/>
      <c r="Q430" s="63"/>
      <c r="R430" s="63"/>
      <c r="S430" s="63"/>
      <c r="T430" s="63"/>
      <c r="U430" s="63"/>
      <c r="V430" s="63"/>
      <c r="W430" s="63"/>
      <c r="X430" s="63"/>
    </row>
    <row r="431" spans="1:24" ht="12.75">
      <c r="A431" s="69"/>
      <c r="B431" s="63"/>
      <c r="C431" s="63"/>
      <c r="D431" s="63"/>
      <c r="E431" s="63"/>
      <c r="F431" s="63"/>
      <c r="G431" s="63"/>
      <c r="H431" s="63"/>
      <c r="I431" s="63"/>
      <c r="J431" s="63"/>
      <c r="K431" s="63"/>
      <c r="L431" s="63"/>
      <c r="M431" s="63"/>
      <c r="N431" s="63"/>
      <c r="O431" s="63"/>
      <c r="P431" s="63"/>
      <c r="Q431" s="63"/>
      <c r="R431" s="63"/>
      <c r="S431" s="63"/>
      <c r="T431" s="63"/>
      <c r="U431" s="63"/>
      <c r="V431" s="63"/>
      <c r="W431" s="63"/>
      <c r="X431" s="63"/>
    </row>
    <row r="432" spans="1:24" ht="12.75">
      <c r="A432" s="69"/>
      <c r="B432" s="63"/>
      <c r="C432" s="63"/>
      <c r="D432" s="63"/>
      <c r="E432" s="63"/>
      <c r="F432" s="63"/>
      <c r="G432" s="63"/>
      <c r="H432" s="63"/>
      <c r="I432" s="63"/>
      <c r="J432" s="63"/>
      <c r="K432" s="63"/>
      <c r="L432" s="63"/>
      <c r="M432" s="63"/>
      <c r="N432" s="63"/>
      <c r="O432" s="63"/>
      <c r="P432" s="63"/>
      <c r="Q432" s="63"/>
      <c r="R432" s="63"/>
      <c r="S432" s="63"/>
      <c r="T432" s="63"/>
      <c r="U432" s="63"/>
      <c r="V432" s="63"/>
      <c r="W432" s="63"/>
      <c r="X432" s="63"/>
    </row>
    <row r="433" spans="1:24" ht="12.75">
      <c r="A433" s="69"/>
      <c r="B433" s="63"/>
      <c r="C433" s="63"/>
      <c r="D433" s="63"/>
      <c r="E433" s="63"/>
      <c r="F433" s="63"/>
      <c r="G433" s="63"/>
      <c r="H433" s="63"/>
      <c r="I433" s="63"/>
      <c r="J433" s="63"/>
      <c r="K433" s="63"/>
      <c r="L433" s="63"/>
      <c r="M433" s="63"/>
      <c r="N433" s="63"/>
      <c r="O433" s="63"/>
      <c r="P433" s="63"/>
      <c r="Q433" s="63"/>
      <c r="R433" s="63"/>
      <c r="S433" s="63"/>
      <c r="T433" s="63"/>
      <c r="U433" s="63"/>
      <c r="V433" s="63"/>
      <c r="W433" s="63"/>
      <c r="X433" s="63"/>
    </row>
    <row r="434" spans="1:24" ht="12.75">
      <c r="A434" s="69"/>
      <c r="B434" s="63"/>
      <c r="C434" s="63"/>
      <c r="D434" s="63"/>
      <c r="E434" s="63"/>
      <c r="F434" s="63"/>
      <c r="G434" s="63"/>
      <c r="H434" s="63"/>
      <c r="I434" s="63"/>
      <c r="J434" s="63"/>
      <c r="K434" s="63"/>
      <c r="L434" s="63"/>
      <c r="M434" s="63"/>
      <c r="N434" s="63"/>
      <c r="O434" s="63"/>
      <c r="P434" s="63"/>
      <c r="Q434" s="63"/>
      <c r="R434" s="63"/>
      <c r="S434" s="63"/>
      <c r="T434" s="63"/>
      <c r="U434" s="63"/>
      <c r="V434" s="63"/>
      <c r="W434" s="63"/>
      <c r="X434" s="63"/>
    </row>
    <row r="435" spans="1:24" ht="12.75">
      <c r="A435" s="69"/>
      <c r="B435" s="63"/>
      <c r="C435" s="63"/>
      <c r="D435" s="63"/>
      <c r="E435" s="63"/>
      <c r="F435" s="63"/>
      <c r="G435" s="63"/>
      <c r="H435" s="63"/>
      <c r="I435" s="63"/>
      <c r="J435" s="63"/>
      <c r="K435" s="63"/>
      <c r="L435" s="63"/>
      <c r="M435" s="63"/>
      <c r="N435" s="63"/>
      <c r="O435" s="63"/>
      <c r="P435" s="63"/>
      <c r="Q435" s="63"/>
      <c r="R435" s="63"/>
      <c r="S435" s="63"/>
      <c r="T435" s="63"/>
      <c r="U435" s="63"/>
      <c r="V435" s="63"/>
      <c r="W435" s="63"/>
      <c r="X435" s="63"/>
    </row>
    <row r="436" spans="1:24" ht="12.75">
      <c r="A436" s="69"/>
      <c r="B436" s="63"/>
      <c r="C436" s="63"/>
      <c r="D436" s="63"/>
      <c r="E436" s="63"/>
      <c r="F436" s="63"/>
      <c r="G436" s="63"/>
      <c r="H436" s="63"/>
      <c r="I436" s="63"/>
      <c r="J436" s="63"/>
      <c r="K436" s="63"/>
      <c r="L436" s="63"/>
      <c r="M436" s="63"/>
      <c r="N436" s="63"/>
      <c r="O436" s="63"/>
      <c r="P436" s="63"/>
      <c r="Q436" s="63"/>
      <c r="R436" s="63"/>
      <c r="S436" s="63"/>
      <c r="T436" s="63"/>
      <c r="U436" s="63"/>
      <c r="V436" s="63"/>
      <c r="W436" s="63"/>
      <c r="X436" s="63"/>
    </row>
    <row r="437" spans="1:24" ht="12.75">
      <c r="A437" s="69"/>
      <c r="B437" s="63"/>
      <c r="C437" s="63"/>
      <c r="D437" s="63"/>
      <c r="E437" s="63"/>
      <c r="F437" s="63"/>
      <c r="G437" s="63"/>
      <c r="H437" s="63"/>
      <c r="I437" s="63"/>
      <c r="J437" s="63"/>
      <c r="K437" s="63"/>
      <c r="L437" s="63"/>
      <c r="M437" s="63"/>
      <c r="N437" s="63"/>
      <c r="O437" s="63"/>
      <c r="P437" s="63"/>
      <c r="Q437" s="63"/>
      <c r="R437" s="63"/>
      <c r="S437" s="63"/>
      <c r="T437" s="63"/>
      <c r="U437" s="63"/>
      <c r="V437" s="63"/>
      <c r="W437" s="63"/>
      <c r="X437" s="63"/>
    </row>
    <row r="438" spans="1:24" ht="12.75">
      <c r="A438" s="69"/>
      <c r="B438" s="63"/>
      <c r="C438" s="63"/>
      <c r="D438" s="63"/>
      <c r="E438" s="63"/>
      <c r="F438" s="63"/>
      <c r="G438" s="63"/>
      <c r="H438" s="63"/>
      <c r="I438" s="63"/>
      <c r="J438" s="63"/>
      <c r="K438" s="63"/>
      <c r="L438" s="63"/>
      <c r="M438" s="63"/>
      <c r="N438" s="63"/>
      <c r="O438" s="63"/>
      <c r="P438" s="63"/>
      <c r="Q438" s="63"/>
      <c r="R438" s="63"/>
      <c r="S438" s="63"/>
      <c r="T438" s="63"/>
      <c r="U438" s="63"/>
      <c r="V438" s="63"/>
      <c r="W438" s="63"/>
      <c r="X438" s="63"/>
    </row>
    <row r="439" spans="1:24" ht="12.75">
      <c r="A439" s="69"/>
      <c r="B439" s="63"/>
      <c r="C439" s="63"/>
      <c r="D439" s="63"/>
      <c r="E439" s="63"/>
      <c r="F439" s="63"/>
      <c r="G439" s="63"/>
      <c r="H439" s="63"/>
      <c r="I439" s="63"/>
      <c r="J439" s="63"/>
      <c r="K439" s="63"/>
      <c r="L439" s="63"/>
      <c r="M439" s="63"/>
      <c r="N439" s="63"/>
      <c r="O439" s="63"/>
      <c r="P439" s="63"/>
      <c r="Q439" s="63"/>
      <c r="R439" s="63"/>
      <c r="S439" s="63"/>
      <c r="T439" s="63"/>
      <c r="U439" s="63"/>
      <c r="V439" s="63"/>
      <c r="W439" s="63"/>
      <c r="X439" s="63"/>
    </row>
    <row r="440" spans="1:24" ht="12.75">
      <c r="A440" s="69"/>
      <c r="B440" s="63"/>
      <c r="C440" s="63"/>
      <c r="D440" s="63"/>
      <c r="E440" s="63"/>
      <c r="F440" s="63"/>
      <c r="G440" s="63"/>
      <c r="H440" s="63"/>
      <c r="I440" s="63"/>
      <c r="J440" s="63"/>
      <c r="K440" s="63"/>
      <c r="L440" s="63"/>
      <c r="M440" s="63"/>
      <c r="N440" s="63"/>
      <c r="O440" s="63"/>
      <c r="P440" s="63"/>
      <c r="Q440" s="63"/>
      <c r="R440" s="63"/>
      <c r="S440" s="63"/>
      <c r="T440" s="63"/>
      <c r="U440" s="63"/>
      <c r="V440" s="63"/>
      <c r="W440" s="63"/>
      <c r="X440" s="63"/>
    </row>
    <row r="441" spans="1:24" ht="12.75">
      <c r="A441" s="69"/>
      <c r="B441" s="63"/>
      <c r="C441" s="63"/>
      <c r="D441" s="63"/>
      <c r="E441" s="63"/>
      <c r="F441" s="63"/>
      <c r="G441" s="63"/>
      <c r="H441" s="63"/>
      <c r="I441" s="63"/>
      <c r="J441" s="63"/>
      <c r="K441" s="63"/>
      <c r="L441" s="63"/>
      <c r="M441" s="63"/>
      <c r="N441" s="63"/>
      <c r="O441" s="63"/>
      <c r="P441" s="63"/>
      <c r="Q441" s="63"/>
      <c r="R441" s="63"/>
      <c r="S441" s="63"/>
      <c r="T441" s="63"/>
      <c r="U441" s="63"/>
      <c r="V441" s="63"/>
      <c r="W441" s="63"/>
      <c r="X441" s="63"/>
    </row>
    <row r="442" spans="1:24" ht="12.75">
      <c r="A442" s="69"/>
      <c r="B442" s="63"/>
      <c r="C442" s="63"/>
      <c r="D442" s="63"/>
      <c r="E442" s="63"/>
      <c r="F442" s="63"/>
      <c r="G442" s="63"/>
      <c r="H442" s="63"/>
      <c r="I442" s="63"/>
      <c r="J442" s="63"/>
      <c r="K442" s="63"/>
      <c r="L442" s="63"/>
      <c r="M442" s="63"/>
      <c r="N442" s="63"/>
      <c r="O442" s="63"/>
      <c r="P442" s="63"/>
      <c r="Q442" s="63"/>
      <c r="R442" s="63"/>
      <c r="S442" s="63"/>
      <c r="T442" s="63"/>
      <c r="U442" s="63"/>
      <c r="V442" s="63"/>
      <c r="W442" s="63"/>
      <c r="X442" s="63"/>
    </row>
    <row r="443" spans="1:24" ht="12.75">
      <c r="A443" s="69"/>
      <c r="B443" s="63"/>
      <c r="C443" s="63"/>
      <c r="D443" s="63"/>
      <c r="E443" s="63"/>
      <c r="F443" s="63"/>
      <c r="G443" s="63"/>
      <c r="H443" s="63"/>
      <c r="I443" s="63"/>
      <c r="J443" s="63"/>
      <c r="K443" s="63"/>
      <c r="L443" s="63"/>
      <c r="M443" s="63"/>
      <c r="N443" s="63"/>
      <c r="O443" s="63"/>
      <c r="P443" s="63"/>
      <c r="Q443" s="63"/>
      <c r="R443" s="63"/>
      <c r="S443" s="63"/>
      <c r="T443" s="63"/>
      <c r="U443" s="63"/>
      <c r="V443" s="63"/>
      <c r="W443" s="63"/>
      <c r="X443" s="63"/>
    </row>
    <row r="444" spans="1:24" ht="12.75">
      <c r="A444" s="69"/>
      <c r="B444" s="63"/>
      <c r="C444" s="63"/>
      <c r="D444" s="63"/>
      <c r="E444" s="63"/>
      <c r="F444" s="63"/>
      <c r="G444" s="63"/>
      <c r="H444" s="63"/>
      <c r="I444" s="63"/>
      <c r="J444" s="63"/>
      <c r="K444" s="63"/>
      <c r="L444" s="63"/>
      <c r="M444" s="63"/>
      <c r="N444" s="63"/>
      <c r="O444" s="63"/>
      <c r="P444" s="63"/>
      <c r="Q444" s="63"/>
      <c r="R444" s="63"/>
      <c r="S444" s="63"/>
      <c r="T444" s="63"/>
      <c r="U444" s="63"/>
      <c r="V444" s="63"/>
      <c r="W444" s="63"/>
      <c r="X444" s="63"/>
    </row>
    <row r="445" spans="1:24" ht="12.75">
      <c r="A445" s="69"/>
      <c r="B445" s="63"/>
      <c r="C445" s="63"/>
      <c r="D445" s="63"/>
      <c r="E445" s="63"/>
      <c r="F445" s="63"/>
      <c r="G445" s="63"/>
      <c r="H445" s="63"/>
      <c r="I445" s="63"/>
      <c r="J445" s="63"/>
      <c r="K445" s="63"/>
      <c r="L445" s="63"/>
      <c r="M445" s="63"/>
      <c r="N445" s="63"/>
      <c r="O445" s="63"/>
      <c r="P445" s="63"/>
      <c r="Q445" s="63"/>
      <c r="R445" s="63"/>
      <c r="S445" s="63"/>
      <c r="T445" s="63"/>
      <c r="U445" s="63"/>
      <c r="V445" s="63"/>
      <c r="W445" s="63"/>
      <c r="X445" s="63"/>
    </row>
    <row r="446" spans="1:24" ht="12.75">
      <c r="A446" s="69"/>
      <c r="B446" s="63"/>
      <c r="C446" s="63"/>
      <c r="D446" s="63"/>
      <c r="E446" s="63"/>
      <c r="F446" s="63"/>
      <c r="G446" s="63"/>
      <c r="H446" s="63"/>
      <c r="I446" s="63"/>
      <c r="J446" s="63"/>
      <c r="K446" s="63"/>
      <c r="L446" s="63"/>
      <c r="M446" s="63"/>
      <c r="N446" s="63"/>
      <c r="O446" s="63"/>
      <c r="P446" s="63"/>
      <c r="Q446" s="63"/>
      <c r="R446" s="63"/>
      <c r="S446" s="63"/>
      <c r="T446" s="63"/>
      <c r="U446" s="63"/>
      <c r="V446" s="63"/>
      <c r="W446" s="63"/>
      <c r="X446" s="63"/>
    </row>
    <row r="447" spans="1:24" ht="12.75">
      <c r="A447" s="69"/>
      <c r="B447" s="63"/>
      <c r="C447" s="63"/>
      <c r="D447" s="63"/>
      <c r="E447" s="63"/>
      <c r="F447" s="63"/>
      <c r="G447" s="63"/>
      <c r="H447" s="63"/>
      <c r="I447" s="63"/>
      <c r="J447" s="63"/>
      <c r="K447" s="63"/>
      <c r="L447" s="63"/>
      <c r="M447" s="63"/>
      <c r="N447" s="63"/>
      <c r="O447" s="63"/>
      <c r="P447" s="63"/>
      <c r="Q447" s="63"/>
      <c r="R447" s="63"/>
      <c r="S447" s="63"/>
      <c r="T447" s="63"/>
      <c r="U447" s="63"/>
      <c r="V447" s="63"/>
      <c r="W447" s="63"/>
      <c r="X447" s="63"/>
    </row>
    <row r="448" spans="1:24" ht="12.75">
      <c r="A448" s="69"/>
      <c r="B448" s="63"/>
      <c r="C448" s="63"/>
      <c r="D448" s="63"/>
      <c r="E448" s="63"/>
      <c r="F448" s="63"/>
      <c r="G448" s="63"/>
      <c r="H448" s="63"/>
      <c r="I448" s="63"/>
      <c r="J448" s="63"/>
      <c r="K448" s="63"/>
      <c r="L448" s="63"/>
      <c r="M448" s="63"/>
      <c r="N448" s="63"/>
      <c r="O448" s="63"/>
      <c r="P448" s="63"/>
      <c r="Q448" s="63"/>
      <c r="R448" s="63"/>
      <c r="S448" s="63"/>
      <c r="T448" s="63"/>
      <c r="U448" s="63"/>
      <c r="V448" s="63"/>
      <c r="W448" s="63"/>
      <c r="X448" s="63"/>
    </row>
    <row r="449" spans="1:24" ht="12.75">
      <c r="A449" s="69"/>
      <c r="B449" s="63"/>
      <c r="C449" s="63"/>
      <c r="D449" s="63"/>
      <c r="E449" s="63"/>
      <c r="F449" s="63"/>
      <c r="G449" s="63"/>
      <c r="H449" s="63"/>
      <c r="I449" s="63"/>
      <c r="J449" s="63"/>
      <c r="K449" s="63"/>
      <c r="L449" s="63"/>
      <c r="M449" s="63"/>
      <c r="N449" s="63"/>
      <c r="O449" s="63"/>
      <c r="P449" s="63"/>
      <c r="Q449" s="63"/>
      <c r="R449" s="63"/>
      <c r="S449" s="63"/>
      <c r="T449" s="63"/>
      <c r="U449" s="63"/>
      <c r="V449" s="63"/>
      <c r="W449" s="63"/>
      <c r="X449" s="63"/>
    </row>
    <row r="450" spans="1:24" ht="12.75">
      <c r="A450" s="69"/>
      <c r="B450" s="63"/>
      <c r="C450" s="63"/>
      <c r="D450" s="63"/>
      <c r="E450" s="63"/>
      <c r="F450" s="63"/>
      <c r="G450" s="63"/>
      <c r="H450" s="63"/>
      <c r="I450" s="63"/>
      <c r="J450" s="63"/>
      <c r="K450" s="63"/>
      <c r="L450" s="63"/>
      <c r="M450" s="63"/>
      <c r="N450" s="63"/>
      <c r="O450" s="63"/>
      <c r="P450" s="63"/>
      <c r="Q450" s="63"/>
      <c r="R450" s="63"/>
      <c r="S450" s="63"/>
      <c r="T450" s="63"/>
      <c r="U450" s="63"/>
      <c r="V450" s="63"/>
      <c r="W450" s="63"/>
      <c r="X450" s="63"/>
    </row>
    <row r="451" spans="1:24" ht="12.75">
      <c r="A451" s="69"/>
      <c r="B451" s="63"/>
      <c r="C451" s="63"/>
      <c r="D451" s="63"/>
      <c r="E451" s="63"/>
      <c r="F451" s="63"/>
      <c r="G451" s="63"/>
      <c r="H451" s="63"/>
      <c r="I451" s="63"/>
      <c r="J451" s="63"/>
      <c r="K451" s="63"/>
      <c r="L451" s="63"/>
      <c r="M451" s="63"/>
      <c r="N451" s="63"/>
      <c r="O451" s="63"/>
      <c r="P451" s="63"/>
      <c r="Q451" s="63"/>
      <c r="R451" s="63"/>
      <c r="S451" s="63"/>
      <c r="T451" s="63"/>
      <c r="U451" s="63"/>
      <c r="V451" s="63"/>
      <c r="W451" s="63"/>
      <c r="X451" s="63"/>
    </row>
    <row r="452" spans="1:24" ht="12.75">
      <c r="A452" s="69"/>
      <c r="B452" s="63"/>
      <c r="C452" s="63"/>
      <c r="D452" s="63"/>
      <c r="E452" s="63"/>
      <c r="F452" s="63"/>
      <c r="G452" s="63"/>
      <c r="H452" s="63"/>
      <c r="I452" s="63"/>
      <c r="J452" s="63"/>
      <c r="K452" s="63"/>
      <c r="L452" s="63"/>
      <c r="M452" s="63"/>
      <c r="N452" s="63"/>
      <c r="O452" s="63"/>
      <c r="P452" s="63"/>
      <c r="Q452" s="63"/>
      <c r="R452" s="63"/>
      <c r="S452" s="63"/>
      <c r="T452" s="63"/>
      <c r="U452" s="63"/>
      <c r="V452" s="63"/>
      <c r="W452" s="63"/>
      <c r="X452" s="63"/>
    </row>
    <row r="453" spans="1:24" ht="12.75">
      <c r="A453" s="69"/>
      <c r="B453" s="63"/>
      <c r="C453" s="63"/>
      <c r="D453" s="63"/>
      <c r="E453" s="63"/>
      <c r="F453" s="63"/>
      <c r="G453" s="63"/>
      <c r="H453" s="63"/>
      <c r="I453" s="63"/>
      <c r="J453" s="63"/>
      <c r="K453" s="63"/>
      <c r="L453" s="63"/>
      <c r="M453" s="63"/>
      <c r="N453" s="63"/>
      <c r="O453" s="63"/>
      <c r="P453" s="63"/>
      <c r="Q453" s="63"/>
      <c r="R453" s="63"/>
      <c r="S453" s="63"/>
      <c r="T453" s="63"/>
      <c r="U453" s="63"/>
      <c r="V453" s="63"/>
      <c r="W453" s="63"/>
      <c r="X453" s="63"/>
    </row>
    <row r="454" spans="1:24" ht="12.75">
      <c r="A454" s="69"/>
      <c r="B454" s="63"/>
      <c r="C454" s="63"/>
      <c r="D454" s="63"/>
      <c r="E454" s="63"/>
      <c r="F454" s="63"/>
      <c r="G454" s="63"/>
      <c r="H454" s="63"/>
      <c r="I454" s="63"/>
      <c r="J454" s="63"/>
      <c r="K454" s="63"/>
      <c r="L454" s="63"/>
      <c r="M454" s="63"/>
      <c r="N454" s="63"/>
      <c r="O454" s="63"/>
      <c r="P454" s="63"/>
      <c r="Q454" s="63"/>
      <c r="R454" s="63"/>
      <c r="S454" s="63"/>
      <c r="T454" s="63"/>
      <c r="U454" s="63"/>
      <c r="V454" s="63"/>
      <c r="W454" s="63"/>
      <c r="X454" s="63"/>
    </row>
    <row r="455" spans="1:24" ht="12.75">
      <c r="A455" s="69"/>
      <c r="B455" s="63"/>
      <c r="C455" s="63"/>
      <c r="D455" s="63"/>
      <c r="E455" s="63"/>
      <c r="F455" s="63"/>
      <c r="G455" s="63"/>
      <c r="H455" s="63"/>
      <c r="I455" s="63"/>
      <c r="J455" s="63"/>
      <c r="K455" s="63"/>
      <c r="L455" s="63"/>
      <c r="M455" s="63"/>
      <c r="N455" s="63"/>
      <c r="O455" s="63"/>
      <c r="P455" s="63"/>
      <c r="Q455" s="63"/>
      <c r="R455" s="63"/>
      <c r="S455" s="63"/>
      <c r="T455" s="63"/>
      <c r="U455" s="63"/>
      <c r="V455" s="63"/>
      <c r="W455" s="63"/>
      <c r="X455" s="63"/>
    </row>
    <row r="456" spans="1:24" ht="12.75">
      <c r="A456" s="69"/>
      <c r="B456" s="63"/>
      <c r="C456" s="63"/>
      <c r="D456" s="63"/>
      <c r="E456" s="63"/>
      <c r="F456" s="63"/>
      <c r="G456" s="63"/>
      <c r="H456" s="63"/>
      <c r="I456" s="63"/>
      <c r="J456" s="63"/>
      <c r="K456" s="63"/>
      <c r="L456" s="63"/>
      <c r="M456" s="63"/>
      <c r="N456" s="63"/>
      <c r="O456" s="63"/>
      <c r="P456" s="63"/>
      <c r="Q456" s="63"/>
      <c r="R456" s="63"/>
      <c r="S456" s="63"/>
      <c r="T456" s="63"/>
      <c r="U456" s="63"/>
      <c r="V456" s="63"/>
      <c r="W456" s="63"/>
      <c r="X456" s="63"/>
    </row>
    <row r="457" spans="1:24" ht="12.75">
      <c r="A457" s="69"/>
      <c r="B457" s="63"/>
      <c r="C457" s="63"/>
      <c r="D457" s="63"/>
      <c r="E457" s="63"/>
      <c r="F457" s="63"/>
      <c r="G457" s="63"/>
      <c r="H457" s="63"/>
      <c r="I457" s="63"/>
      <c r="J457" s="63"/>
      <c r="K457" s="63"/>
      <c r="L457" s="63"/>
      <c r="M457" s="63"/>
      <c r="N457" s="63"/>
      <c r="O457" s="63"/>
      <c r="P457" s="63"/>
      <c r="Q457" s="63"/>
      <c r="R457" s="63"/>
      <c r="S457" s="63"/>
      <c r="T457" s="63"/>
      <c r="U457" s="63"/>
      <c r="V457" s="63"/>
      <c r="W457" s="63"/>
      <c r="X457" s="63"/>
    </row>
    <row r="458" spans="1:24" ht="12.75">
      <c r="A458" s="69"/>
      <c r="B458" s="63"/>
      <c r="C458" s="63"/>
      <c r="D458" s="63"/>
      <c r="E458" s="63"/>
      <c r="F458" s="63"/>
      <c r="G458" s="63"/>
      <c r="H458" s="63"/>
      <c r="I458" s="63"/>
      <c r="J458" s="63"/>
      <c r="K458" s="63"/>
      <c r="L458" s="63"/>
      <c r="M458" s="63"/>
      <c r="N458" s="63"/>
      <c r="O458" s="63"/>
      <c r="P458" s="63"/>
      <c r="Q458" s="63"/>
      <c r="R458" s="63"/>
      <c r="S458" s="63"/>
      <c r="T458" s="63"/>
      <c r="U458" s="63"/>
      <c r="V458" s="63"/>
      <c r="W458" s="63"/>
      <c r="X458" s="63"/>
    </row>
    <row r="459" spans="1:24" ht="12.75">
      <c r="A459" s="69"/>
      <c r="B459" s="63"/>
      <c r="C459" s="63"/>
      <c r="D459" s="63"/>
      <c r="E459" s="63"/>
      <c r="F459" s="63"/>
      <c r="G459" s="63"/>
      <c r="H459" s="63"/>
      <c r="I459" s="63"/>
      <c r="J459" s="63"/>
      <c r="K459" s="63"/>
      <c r="L459" s="63"/>
      <c r="M459" s="63"/>
      <c r="N459" s="63"/>
      <c r="O459" s="63"/>
      <c r="P459" s="63"/>
      <c r="Q459" s="63"/>
      <c r="R459" s="63"/>
      <c r="S459" s="63"/>
      <c r="T459" s="63"/>
      <c r="U459" s="63"/>
      <c r="V459" s="63"/>
      <c r="W459" s="63"/>
      <c r="X459" s="63"/>
    </row>
    <row r="460" spans="1:24" ht="12.75">
      <c r="A460" s="69"/>
      <c r="B460" s="63"/>
      <c r="C460" s="63"/>
      <c r="D460" s="63"/>
      <c r="E460" s="63"/>
      <c r="F460" s="63"/>
      <c r="G460" s="63"/>
      <c r="H460" s="63"/>
      <c r="I460" s="63"/>
      <c r="J460" s="63"/>
      <c r="K460" s="63"/>
      <c r="L460" s="63"/>
      <c r="M460" s="63"/>
      <c r="N460" s="63"/>
      <c r="O460" s="63"/>
      <c r="P460" s="63"/>
      <c r="Q460" s="63"/>
      <c r="R460" s="63"/>
      <c r="S460" s="63"/>
      <c r="T460" s="63"/>
      <c r="U460" s="63"/>
      <c r="V460" s="63"/>
      <c r="W460" s="63"/>
      <c r="X460" s="63"/>
    </row>
    <row r="461" spans="1:24" ht="12.75">
      <c r="A461" s="69"/>
      <c r="B461" s="63"/>
      <c r="C461" s="63"/>
      <c r="D461" s="63"/>
      <c r="E461" s="63"/>
      <c r="F461" s="63"/>
      <c r="G461" s="63"/>
      <c r="H461" s="63"/>
      <c r="I461" s="63"/>
      <c r="J461" s="63"/>
      <c r="K461" s="63"/>
      <c r="L461" s="63"/>
      <c r="M461" s="63"/>
      <c r="N461" s="63"/>
      <c r="O461" s="63"/>
      <c r="P461" s="63"/>
      <c r="Q461" s="63"/>
      <c r="R461" s="63"/>
      <c r="S461" s="63"/>
      <c r="T461" s="63"/>
      <c r="U461" s="63"/>
      <c r="V461" s="63"/>
      <c r="W461" s="63"/>
      <c r="X461" s="63"/>
    </row>
    <row r="462" spans="1:24" ht="12.75">
      <c r="A462" s="69"/>
      <c r="B462" s="63"/>
      <c r="C462" s="63"/>
      <c r="D462" s="63"/>
      <c r="E462" s="63"/>
      <c r="F462" s="63"/>
      <c r="G462" s="63"/>
      <c r="H462" s="63"/>
      <c r="I462" s="63"/>
      <c r="J462" s="63"/>
      <c r="K462" s="63"/>
      <c r="L462" s="63"/>
      <c r="M462" s="63"/>
      <c r="N462" s="63"/>
      <c r="O462" s="63"/>
      <c r="P462" s="63"/>
      <c r="Q462" s="63"/>
      <c r="R462" s="63"/>
      <c r="S462" s="63"/>
      <c r="T462" s="63"/>
      <c r="U462" s="63"/>
      <c r="V462" s="63"/>
      <c r="W462" s="63"/>
      <c r="X462" s="63"/>
    </row>
    <row r="463" spans="1:24" ht="12.75">
      <c r="A463" s="69"/>
      <c r="B463" s="63"/>
      <c r="C463" s="63"/>
      <c r="D463" s="63"/>
      <c r="E463" s="63"/>
      <c r="F463" s="63"/>
      <c r="G463" s="63"/>
      <c r="H463" s="63"/>
      <c r="I463" s="63"/>
      <c r="J463" s="63"/>
      <c r="K463" s="63"/>
      <c r="L463" s="63"/>
      <c r="M463" s="63"/>
      <c r="N463" s="63"/>
      <c r="O463" s="63"/>
      <c r="P463" s="63"/>
      <c r="Q463" s="63"/>
      <c r="R463" s="63"/>
      <c r="S463" s="63"/>
      <c r="T463" s="63"/>
      <c r="U463" s="63"/>
      <c r="V463" s="63"/>
      <c r="W463" s="63"/>
      <c r="X463" s="63"/>
    </row>
    <row r="464" spans="1:24" ht="12.75">
      <c r="A464" s="69"/>
      <c r="B464" s="63"/>
      <c r="C464" s="63"/>
      <c r="D464" s="63"/>
      <c r="E464" s="63"/>
      <c r="F464" s="63"/>
      <c r="G464" s="63"/>
      <c r="H464" s="63"/>
      <c r="I464" s="63"/>
      <c r="J464" s="63"/>
      <c r="K464" s="63"/>
      <c r="L464" s="63"/>
      <c r="M464" s="63"/>
      <c r="N464" s="63"/>
      <c r="O464" s="63"/>
      <c r="P464" s="63"/>
      <c r="Q464" s="63"/>
      <c r="R464" s="63"/>
      <c r="S464" s="63"/>
      <c r="T464" s="63"/>
      <c r="U464" s="63"/>
      <c r="V464" s="63"/>
      <c r="W464" s="63"/>
      <c r="X464" s="63"/>
    </row>
    <row r="465" spans="1:24" ht="12.75">
      <c r="A465" s="69"/>
      <c r="B465" s="63"/>
      <c r="C465" s="63"/>
      <c r="D465" s="63"/>
      <c r="E465" s="63"/>
      <c r="F465" s="63"/>
      <c r="G465" s="63"/>
      <c r="H465" s="63"/>
      <c r="I465" s="63"/>
      <c r="J465" s="63"/>
      <c r="K465" s="63"/>
      <c r="L465" s="63"/>
      <c r="M465" s="63"/>
      <c r="N465" s="63"/>
      <c r="O465" s="63"/>
      <c r="P465" s="63"/>
      <c r="Q465" s="63"/>
      <c r="R465" s="63"/>
      <c r="S465" s="63"/>
      <c r="T465" s="63"/>
      <c r="U465" s="63"/>
      <c r="V465" s="63"/>
      <c r="W465" s="63"/>
      <c r="X465" s="63"/>
    </row>
    <row r="466" spans="1:24" ht="12.75">
      <c r="A466" s="69"/>
      <c r="B466" s="63"/>
      <c r="C466" s="63"/>
      <c r="D466" s="63"/>
      <c r="E466" s="63"/>
      <c r="F466" s="63"/>
      <c r="G466" s="63"/>
      <c r="H466" s="63"/>
      <c r="I466" s="63"/>
      <c r="J466" s="63"/>
      <c r="K466" s="63"/>
      <c r="L466" s="63"/>
      <c r="M466" s="63"/>
      <c r="N466" s="63"/>
      <c r="O466" s="63"/>
      <c r="P466" s="63"/>
      <c r="Q466" s="63"/>
      <c r="R466" s="63"/>
      <c r="S466" s="63"/>
      <c r="T466" s="63"/>
      <c r="U466" s="63"/>
      <c r="V466" s="63"/>
      <c r="W466" s="63"/>
      <c r="X466" s="63"/>
    </row>
    <row r="467" spans="1:24" ht="12.75">
      <c r="A467" s="69"/>
      <c r="B467" s="63"/>
      <c r="C467" s="63"/>
      <c r="D467" s="63"/>
      <c r="E467" s="63"/>
      <c r="F467" s="63"/>
      <c r="G467" s="63"/>
      <c r="H467" s="63"/>
      <c r="I467" s="63"/>
      <c r="J467" s="63"/>
      <c r="K467" s="63"/>
      <c r="L467" s="63"/>
      <c r="M467" s="63"/>
      <c r="N467" s="63"/>
      <c r="O467" s="63"/>
      <c r="P467" s="63"/>
      <c r="Q467" s="63"/>
      <c r="R467" s="63"/>
      <c r="S467" s="63"/>
      <c r="T467" s="63"/>
      <c r="U467" s="63"/>
      <c r="V467" s="63"/>
      <c r="W467" s="63"/>
      <c r="X467" s="63"/>
    </row>
    <row r="468" spans="1:24" ht="12.75">
      <c r="A468" s="69"/>
      <c r="B468" s="63"/>
      <c r="C468" s="63"/>
      <c r="D468" s="63"/>
      <c r="E468" s="63"/>
      <c r="F468" s="63"/>
      <c r="G468" s="63"/>
      <c r="H468" s="63"/>
      <c r="I468" s="63"/>
      <c r="J468" s="63"/>
      <c r="K468" s="63"/>
      <c r="L468" s="63"/>
      <c r="M468" s="63"/>
      <c r="N468" s="63"/>
      <c r="O468" s="63"/>
      <c r="P468" s="63"/>
      <c r="Q468" s="63"/>
      <c r="R468" s="63"/>
      <c r="S468" s="63"/>
      <c r="T468" s="63"/>
      <c r="U468" s="63"/>
      <c r="V468" s="63"/>
      <c r="W468" s="63"/>
      <c r="X468" s="63"/>
    </row>
    <row r="469" spans="1:24" ht="12.75">
      <c r="A469" s="69"/>
      <c r="B469" s="63"/>
      <c r="C469" s="63"/>
      <c r="D469" s="63"/>
      <c r="E469" s="63"/>
      <c r="F469" s="63"/>
      <c r="G469" s="63"/>
      <c r="H469" s="63"/>
      <c r="I469" s="63"/>
      <c r="J469" s="63"/>
      <c r="K469" s="63"/>
      <c r="L469" s="63"/>
      <c r="M469" s="63"/>
      <c r="N469" s="63"/>
      <c r="O469" s="63"/>
      <c r="P469" s="63"/>
      <c r="Q469" s="63"/>
      <c r="R469" s="63"/>
      <c r="S469" s="63"/>
      <c r="T469" s="63"/>
      <c r="U469" s="63"/>
      <c r="V469" s="63"/>
      <c r="W469" s="63"/>
      <c r="X469" s="63"/>
    </row>
    <row r="470" spans="1:24" ht="12.75">
      <c r="A470" s="69"/>
      <c r="B470" s="63"/>
      <c r="C470" s="63"/>
      <c r="D470" s="63"/>
      <c r="E470" s="63"/>
      <c r="F470" s="63"/>
      <c r="G470" s="63"/>
      <c r="H470" s="63"/>
      <c r="I470" s="63"/>
      <c r="J470" s="63"/>
      <c r="K470" s="63"/>
      <c r="L470" s="63"/>
      <c r="M470" s="63"/>
      <c r="N470" s="63"/>
      <c r="O470" s="63"/>
      <c r="P470" s="63"/>
      <c r="Q470" s="63"/>
      <c r="R470" s="63"/>
      <c r="S470" s="63"/>
      <c r="T470" s="63"/>
      <c r="U470" s="63"/>
      <c r="V470" s="63"/>
      <c r="W470" s="63"/>
      <c r="X470" s="63"/>
    </row>
    <row r="471" spans="1:24" ht="12.75">
      <c r="A471" s="69"/>
      <c r="B471" s="63"/>
      <c r="C471" s="63"/>
      <c r="D471" s="63"/>
      <c r="E471" s="63"/>
      <c r="F471" s="63"/>
      <c r="G471" s="63"/>
      <c r="H471" s="63"/>
      <c r="I471" s="63"/>
      <c r="J471" s="63"/>
      <c r="K471" s="63"/>
      <c r="L471" s="63"/>
      <c r="M471" s="63"/>
      <c r="N471" s="63"/>
      <c r="O471" s="63"/>
      <c r="P471" s="63"/>
      <c r="Q471" s="63"/>
      <c r="R471" s="63"/>
      <c r="S471" s="63"/>
      <c r="T471" s="63"/>
      <c r="U471" s="63"/>
      <c r="V471" s="63"/>
      <c r="W471" s="63"/>
      <c r="X471" s="63"/>
    </row>
    <row r="472" spans="1:24" ht="12.75">
      <c r="A472" s="69"/>
      <c r="B472" s="63"/>
      <c r="C472" s="63"/>
      <c r="D472" s="63"/>
      <c r="E472" s="63"/>
      <c r="F472" s="63"/>
      <c r="G472" s="63"/>
      <c r="H472" s="63"/>
      <c r="I472" s="63"/>
      <c r="J472" s="63"/>
      <c r="K472" s="63"/>
      <c r="L472" s="63"/>
      <c r="M472" s="63"/>
      <c r="N472" s="63"/>
      <c r="O472" s="63"/>
      <c r="P472" s="63"/>
      <c r="Q472" s="63"/>
      <c r="R472" s="63"/>
      <c r="S472" s="63"/>
      <c r="T472" s="63"/>
      <c r="U472" s="63"/>
      <c r="V472" s="63"/>
      <c r="W472" s="63"/>
      <c r="X472" s="63"/>
    </row>
    <row r="473" spans="1:24" ht="12.75">
      <c r="A473" s="69"/>
      <c r="B473" s="63"/>
      <c r="C473" s="63"/>
      <c r="D473" s="63"/>
      <c r="E473" s="63"/>
      <c r="F473" s="63"/>
      <c r="G473" s="63"/>
      <c r="H473" s="63"/>
      <c r="I473" s="63"/>
      <c r="J473" s="63"/>
      <c r="K473" s="63"/>
      <c r="L473" s="63"/>
      <c r="M473" s="63"/>
      <c r="N473" s="63"/>
      <c r="O473" s="63"/>
      <c r="P473" s="63"/>
      <c r="Q473" s="63"/>
      <c r="R473" s="63"/>
      <c r="S473" s="63"/>
      <c r="T473" s="63"/>
      <c r="U473" s="63"/>
      <c r="V473" s="63"/>
      <c r="W473" s="63"/>
      <c r="X473" s="63"/>
    </row>
    <row r="474" spans="1:24" ht="12.75">
      <c r="A474" s="69"/>
      <c r="B474" s="63"/>
      <c r="C474" s="63"/>
      <c r="D474" s="63"/>
      <c r="E474" s="63"/>
      <c r="F474" s="63"/>
      <c r="G474" s="63"/>
      <c r="H474" s="63"/>
      <c r="I474" s="63"/>
      <c r="J474" s="63"/>
      <c r="K474" s="63"/>
      <c r="L474" s="63"/>
      <c r="M474" s="63"/>
      <c r="N474" s="63"/>
      <c r="O474" s="63"/>
      <c r="P474" s="63"/>
      <c r="Q474" s="63"/>
      <c r="R474" s="63"/>
      <c r="S474" s="63"/>
      <c r="T474" s="63"/>
      <c r="U474" s="63"/>
      <c r="V474" s="63"/>
      <c r="W474" s="63"/>
      <c r="X474" s="63"/>
    </row>
    <row r="475" spans="1:24" ht="12.75">
      <c r="A475" s="69"/>
      <c r="B475" s="63"/>
      <c r="C475" s="63"/>
      <c r="D475" s="63"/>
      <c r="E475" s="63"/>
      <c r="F475" s="63"/>
      <c r="G475" s="63"/>
      <c r="H475" s="63"/>
      <c r="I475" s="63"/>
      <c r="J475" s="63"/>
      <c r="K475" s="63"/>
      <c r="L475" s="63"/>
      <c r="M475" s="63"/>
      <c r="N475" s="63"/>
      <c r="O475" s="63"/>
      <c r="P475" s="63"/>
      <c r="Q475" s="63"/>
      <c r="R475" s="63"/>
      <c r="S475" s="63"/>
      <c r="T475" s="63"/>
      <c r="U475" s="63"/>
      <c r="V475" s="63"/>
      <c r="W475" s="63"/>
      <c r="X475" s="63"/>
    </row>
    <row r="476" spans="1:24" ht="12.75">
      <c r="A476" s="69"/>
      <c r="B476" s="63"/>
      <c r="C476" s="63"/>
      <c r="D476" s="63"/>
      <c r="E476" s="63"/>
      <c r="F476" s="63"/>
      <c r="G476" s="63"/>
      <c r="H476" s="63"/>
      <c r="I476" s="63"/>
      <c r="J476" s="63"/>
      <c r="K476" s="63"/>
      <c r="L476" s="63"/>
      <c r="M476" s="63"/>
      <c r="N476" s="63"/>
      <c r="O476" s="63"/>
      <c r="P476" s="63"/>
      <c r="Q476" s="63"/>
      <c r="R476" s="63"/>
      <c r="S476" s="63"/>
      <c r="T476" s="63"/>
      <c r="U476" s="63"/>
      <c r="V476" s="63"/>
      <c r="W476" s="63"/>
      <c r="X476" s="63"/>
    </row>
    <row r="477" spans="1:24" ht="12.75">
      <c r="A477" s="69"/>
      <c r="B477" s="63"/>
      <c r="C477" s="63"/>
      <c r="D477" s="63"/>
      <c r="E477" s="63"/>
      <c r="F477" s="63"/>
      <c r="G477" s="63"/>
      <c r="H477" s="63"/>
      <c r="I477" s="63"/>
      <c r="J477" s="63"/>
      <c r="K477" s="63"/>
      <c r="L477" s="63"/>
      <c r="M477" s="63"/>
      <c r="N477" s="63"/>
      <c r="O477" s="63"/>
      <c r="P477" s="63"/>
      <c r="Q477" s="63"/>
      <c r="R477" s="63"/>
      <c r="S477" s="63"/>
      <c r="T477" s="63"/>
      <c r="U477" s="63"/>
      <c r="V477" s="63"/>
      <c r="W477" s="63"/>
      <c r="X477" s="63"/>
    </row>
    <row r="478" spans="1:24" ht="12.75">
      <c r="A478" s="69"/>
      <c r="B478" s="63"/>
      <c r="C478" s="63"/>
      <c r="D478" s="63"/>
      <c r="E478" s="63"/>
      <c r="F478" s="63"/>
      <c r="G478" s="63"/>
      <c r="H478" s="63"/>
      <c r="I478" s="63"/>
      <c r="J478" s="63"/>
      <c r="K478" s="63"/>
      <c r="L478" s="63"/>
      <c r="M478" s="63"/>
      <c r="N478" s="63"/>
      <c r="O478" s="63"/>
      <c r="P478" s="63"/>
      <c r="Q478" s="63"/>
      <c r="R478" s="63"/>
      <c r="S478" s="63"/>
      <c r="T478" s="63"/>
      <c r="U478" s="63"/>
      <c r="V478" s="63"/>
      <c r="W478" s="63"/>
      <c r="X478" s="63"/>
    </row>
    <row r="479" spans="1:24" ht="12.75">
      <c r="A479" s="69"/>
      <c r="B479" s="63"/>
      <c r="C479" s="63"/>
      <c r="D479" s="63"/>
      <c r="E479" s="63"/>
      <c r="F479" s="63"/>
      <c r="G479" s="63"/>
      <c r="H479" s="63"/>
      <c r="I479" s="63"/>
      <c r="J479" s="63"/>
      <c r="K479" s="63"/>
      <c r="L479" s="63"/>
      <c r="M479" s="63"/>
      <c r="N479" s="63"/>
      <c r="O479" s="63"/>
      <c r="P479" s="63"/>
      <c r="Q479" s="63"/>
      <c r="R479" s="63"/>
      <c r="S479" s="63"/>
      <c r="T479" s="63"/>
      <c r="U479" s="63"/>
      <c r="V479" s="63"/>
      <c r="W479" s="63"/>
      <c r="X479" s="63"/>
    </row>
    <row r="480" spans="1:24" ht="12.75">
      <c r="A480" s="69"/>
      <c r="B480" s="63"/>
      <c r="C480" s="63"/>
      <c r="D480" s="63"/>
      <c r="E480" s="63"/>
      <c r="F480" s="63"/>
      <c r="G480" s="63"/>
      <c r="H480" s="63"/>
      <c r="I480" s="63"/>
      <c r="J480" s="63"/>
      <c r="K480" s="63"/>
      <c r="L480" s="63"/>
      <c r="M480" s="63"/>
      <c r="N480" s="63"/>
      <c r="O480" s="63"/>
      <c r="P480" s="63"/>
      <c r="Q480" s="63"/>
      <c r="R480" s="63"/>
      <c r="S480" s="63"/>
      <c r="T480" s="63"/>
      <c r="U480" s="63"/>
      <c r="V480" s="63"/>
      <c r="W480" s="63"/>
      <c r="X480" s="63"/>
    </row>
    <row r="481" spans="1:24" ht="12.75">
      <c r="A481" s="69"/>
      <c r="B481" s="63"/>
      <c r="C481" s="63"/>
      <c r="D481" s="63"/>
      <c r="E481" s="63"/>
      <c r="F481" s="63"/>
      <c r="G481" s="63"/>
      <c r="H481" s="63"/>
      <c r="I481" s="63"/>
      <c r="J481" s="63"/>
      <c r="K481" s="63"/>
      <c r="L481" s="63"/>
      <c r="M481" s="63"/>
      <c r="N481" s="63"/>
      <c r="O481" s="63"/>
      <c r="P481" s="63"/>
      <c r="Q481" s="63"/>
      <c r="R481" s="63"/>
      <c r="S481" s="63"/>
      <c r="T481" s="63"/>
      <c r="U481" s="63"/>
      <c r="V481" s="63"/>
      <c r="W481" s="63"/>
      <c r="X481" s="63"/>
    </row>
    <row r="482" spans="1:24" ht="12.75">
      <c r="A482" s="69"/>
      <c r="B482" s="63"/>
      <c r="C482" s="63"/>
      <c r="D482" s="63"/>
      <c r="E482" s="63"/>
      <c r="F482" s="63"/>
      <c r="G482" s="63"/>
      <c r="H482" s="63"/>
      <c r="I482" s="63"/>
      <c r="J482" s="63"/>
      <c r="K482" s="63"/>
      <c r="L482" s="63"/>
      <c r="M482" s="63"/>
      <c r="N482" s="63"/>
      <c r="O482" s="63"/>
      <c r="P482" s="63"/>
      <c r="Q482" s="63"/>
      <c r="R482" s="63"/>
      <c r="S482" s="63"/>
      <c r="T482" s="63"/>
      <c r="U482" s="63"/>
      <c r="V482" s="63"/>
      <c r="W482" s="63"/>
      <c r="X482" s="63"/>
    </row>
    <row r="483" spans="1:24" ht="12.75">
      <c r="A483" s="69"/>
      <c r="B483" s="63"/>
      <c r="C483" s="63"/>
      <c r="D483" s="63"/>
      <c r="E483" s="63"/>
      <c r="F483" s="63"/>
      <c r="G483" s="63"/>
      <c r="H483" s="63"/>
      <c r="I483" s="63"/>
      <c r="J483" s="63"/>
      <c r="K483" s="63"/>
      <c r="L483" s="63"/>
      <c r="M483" s="63"/>
      <c r="N483" s="63"/>
      <c r="O483" s="63"/>
      <c r="P483" s="63"/>
      <c r="Q483" s="63"/>
      <c r="R483" s="63"/>
      <c r="S483" s="63"/>
      <c r="T483" s="63"/>
      <c r="U483" s="63"/>
      <c r="V483" s="63"/>
      <c r="W483" s="63"/>
      <c r="X483" s="63"/>
    </row>
    <row r="484" spans="1:24" ht="12.75">
      <c r="A484" s="69"/>
      <c r="B484" s="63"/>
      <c r="C484" s="63"/>
      <c r="D484" s="63"/>
      <c r="E484" s="63"/>
      <c r="F484" s="63"/>
      <c r="G484" s="63"/>
      <c r="H484" s="63"/>
      <c r="I484" s="63"/>
      <c r="J484" s="63"/>
      <c r="K484" s="63"/>
      <c r="L484" s="63"/>
      <c r="M484" s="63"/>
      <c r="N484" s="63"/>
      <c r="O484" s="63"/>
      <c r="P484" s="63"/>
      <c r="Q484" s="63"/>
      <c r="R484" s="63"/>
      <c r="S484" s="63"/>
      <c r="T484" s="63"/>
      <c r="U484" s="63"/>
      <c r="V484" s="63"/>
      <c r="W484" s="63"/>
      <c r="X484" s="63"/>
    </row>
    <row r="485" spans="1:24" ht="12.75">
      <c r="A485" s="69"/>
      <c r="B485" s="63"/>
      <c r="C485" s="63"/>
      <c r="D485" s="63"/>
      <c r="E485" s="63"/>
      <c r="F485" s="63"/>
      <c r="G485" s="63"/>
      <c r="H485" s="63"/>
      <c r="I485" s="63"/>
      <c r="J485" s="63"/>
      <c r="K485" s="63"/>
      <c r="L485" s="63"/>
      <c r="M485" s="63"/>
      <c r="N485" s="63"/>
      <c r="O485" s="63"/>
      <c r="P485" s="63"/>
      <c r="Q485" s="63"/>
      <c r="R485" s="63"/>
      <c r="S485" s="63"/>
      <c r="T485" s="63"/>
      <c r="U485" s="63"/>
      <c r="V485" s="63"/>
      <c r="W485" s="63"/>
      <c r="X485" s="63"/>
    </row>
    <row r="486" spans="1:24" ht="12.75">
      <c r="A486" s="69"/>
      <c r="B486" s="63"/>
      <c r="C486" s="63"/>
      <c r="D486" s="63"/>
      <c r="E486" s="63"/>
      <c r="F486" s="63"/>
      <c r="G486" s="63"/>
      <c r="H486" s="63"/>
      <c r="I486" s="63"/>
      <c r="J486" s="63"/>
      <c r="K486" s="63"/>
      <c r="L486" s="63"/>
      <c r="M486" s="63"/>
      <c r="N486" s="63"/>
      <c r="O486" s="63"/>
      <c r="P486" s="63"/>
      <c r="Q486" s="63"/>
      <c r="R486" s="63"/>
      <c r="S486" s="63"/>
      <c r="T486" s="63"/>
      <c r="U486" s="63"/>
      <c r="V486" s="63"/>
      <c r="W486" s="63"/>
      <c r="X486" s="63"/>
    </row>
    <row r="487" spans="1:24" ht="12.75">
      <c r="A487" s="69"/>
      <c r="B487" s="63"/>
      <c r="C487" s="63"/>
      <c r="D487" s="63"/>
      <c r="E487" s="63"/>
      <c r="F487" s="63"/>
      <c r="G487" s="63"/>
      <c r="H487" s="63"/>
      <c r="I487" s="63"/>
      <c r="J487" s="63"/>
      <c r="K487" s="63"/>
      <c r="L487" s="63"/>
      <c r="M487" s="63"/>
      <c r="N487" s="63"/>
      <c r="O487" s="63"/>
      <c r="P487" s="63"/>
      <c r="Q487" s="63"/>
      <c r="R487" s="63"/>
      <c r="S487" s="63"/>
      <c r="T487" s="63"/>
      <c r="U487" s="63"/>
      <c r="V487" s="63"/>
      <c r="W487" s="63"/>
      <c r="X487" s="63"/>
    </row>
    <row r="488" spans="1:24" ht="12.75">
      <c r="A488" s="69"/>
      <c r="B488" s="63"/>
      <c r="C488" s="63"/>
      <c r="D488" s="63"/>
      <c r="E488" s="63"/>
      <c r="F488" s="63"/>
      <c r="G488" s="63"/>
      <c r="H488" s="63"/>
      <c r="I488" s="63"/>
      <c r="J488" s="63"/>
      <c r="K488" s="63"/>
      <c r="L488" s="63"/>
      <c r="M488" s="63"/>
      <c r="N488" s="63"/>
      <c r="O488" s="63"/>
      <c r="P488" s="63"/>
      <c r="Q488" s="63"/>
      <c r="R488" s="63"/>
      <c r="S488" s="63"/>
      <c r="T488" s="63"/>
      <c r="U488" s="63"/>
      <c r="V488" s="63"/>
      <c r="W488" s="63"/>
      <c r="X488" s="63"/>
    </row>
    <row r="489" spans="1:24" ht="12.75">
      <c r="A489" s="69"/>
      <c r="B489" s="63"/>
      <c r="C489" s="63"/>
      <c r="D489" s="63"/>
      <c r="E489" s="63"/>
      <c r="F489" s="63"/>
      <c r="G489" s="63"/>
      <c r="H489" s="63"/>
      <c r="I489" s="63"/>
      <c r="J489" s="63"/>
      <c r="K489" s="63"/>
      <c r="L489" s="63"/>
      <c r="M489" s="63"/>
      <c r="N489" s="63"/>
      <c r="O489" s="63"/>
      <c r="P489" s="63"/>
      <c r="Q489" s="63"/>
      <c r="R489" s="63"/>
      <c r="S489" s="63"/>
      <c r="T489" s="63"/>
      <c r="U489" s="63"/>
      <c r="V489" s="63"/>
      <c r="W489" s="63"/>
      <c r="X489" s="63"/>
    </row>
    <row r="490" spans="1:24" ht="12.75">
      <c r="A490" s="69"/>
      <c r="B490" s="63"/>
      <c r="C490" s="63"/>
      <c r="D490" s="63"/>
      <c r="E490" s="63"/>
      <c r="F490" s="63"/>
      <c r="G490" s="63"/>
      <c r="H490" s="63"/>
      <c r="I490" s="63"/>
      <c r="J490" s="63"/>
      <c r="K490" s="63"/>
      <c r="L490" s="63"/>
      <c r="M490" s="63"/>
      <c r="N490" s="63"/>
      <c r="O490" s="63"/>
      <c r="P490" s="63"/>
      <c r="Q490" s="63"/>
      <c r="R490" s="63"/>
      <c r="S490" s="63"/>
      <c r="T490" s="63"/>
      <c r="U490" s="63"/>
      <c r="V490" s="63"/>
      <c r="W490" s="63"/>
      <c r="X490" s="63"/>
    </row>
    <row r="491" spans="1:24" ht="12.75">
      <c r="A491" s="69"/>
      <c r="B491" s="63"/>
      <c r="C491" s="63"/>
      <c r="D491" s="63"/>
      <c r="E491" s="63"/>
      <c r="F491" s="63"/>
      <c r="G491" s="63"/>
      <c r="H491" s="63"/>
      <c r="I491" s="63"/>
      <c r="J491" s="63"/>
      <c r="K491" s="63"/>
      <c r="L491" s="63"/>
      <c r="M491" s="63"/>
      <c r="N491" s="63"/>
      <c r="O491" s="63"/>
      <c r="P491" s="63"/>
      <c r="Q491" s="63"/>
      <c r="R491" s="63"/>
      <c r="S491" s="63"/>
      <c r="T491" s="63"/>
      <c r="U491" s="63"/>
      <c r="V491" s="63"/>
      <c r="W491" s="63"/>
      <c r="X491" s="63"/>
    </row>
    <row r="492" spans="1:24" ht="12.75">
      <c r="A492" s="69"/>
      <c r="B492" s="63"/>
      <c r="C492" s="63"/>
      <c r="D492" s="63"/>
      <c r="E492" s="63"/>
      <c r="F492" s="63"/>
      <c r="G492" s="63"/>
      <c r="H492" s="63"/>
      <c r="I492" s="63"/>
      <c r="J492" s="63"/>
      <c r="K492" s="63"/>
      <c r="L492" s="63"/>
      <c r="M492" s="63"/>
      <c r="N492" s="63"/>
      <c r="O492" s="63"/>
      <c r="P492" s="63"/>
      <c r="Q492" s="63"/>
      <c r="R492" s="63"/>
      <c r="S492" s="63"/>
      <c r="T492" s="63"/>
      <c r="U492" s="63"/>
      <c r="V492" s="63"/>
      <c r="W492" s="63"/>
      <c r="X492" s="63"/>
    </row>
    <row r="493" spans="1:24" ht="12.75">
      <c r="A493" s="69"/>
      <c r="B493" s="63"/>
      <c r="C493" s="63"/>
      <c r="D493" s="63"/>
      <c r="E493" s="63"/>
      <c r="F493" s="63"/>
      <c r="G493" s="63"/>
      <c r="H493" s="63"/>
      <c r="I493" s="63"/>
      <c r="J493" s="63"/>
      <c r="K493" s="63"/>
      <c r="L493" s="63"/>
      <c r="M493" s="63"/>
      <c r="N493" s="63"/>
      <c r="O493" s="63"/>
      <c r="P493" s="63"/>
      <c r="Q493" s="63"/>
      <c r="R493" s="63"/>
      <c r="S493" s="63"/>
      <c r="T493" s="63"/>
      <c r="U493" s="63"/>
      <c r="V493" s="63"/>
      <c r="W493" s="63"/>
      <c r="X493" s="63"/>
    </row>
    <row r="494" spans="1:24" ht="12.75">
      <c r="A494" s="69"/>
      <c r="B494" s="63"/>
      <c r="C494" s="63"/>
      <c r="D494" s="63"/>
      <c r="E494" s="63"/>
      <c r="F494" s="63"/>
      <c r="G494" s="63"/>
      <c r="H494" s="63"/>
      <c r="I494" s="63"/>
      <c r="J494" s="63"/>
      <c r="K494" s="63"/>
      <c r="L494" s="63"/>
      <c r="M494" s="63"/>
      <c r="N494" s="63"/>
      <c r="O494" s="63"/>
      <c r="P494" s="63"/>
      <c r="Q494" s="63"/>
      <c r="R494" s="63"/>
      <c r="S494" s="63"/>
      <c r="T494" s="63"/>
      <c r="U494" s="63"/>
      <c r="V494" s="63"/>
      <c r="W494" s="63"/>
      <c r="X494" s="63"/>
    </row>
    <row r="495" spans="1:24" ht="12.75">
      <c r="A495" s="69"/>
      <c r="B495" s="63"/>
      <c r="C495" s="63"/>
      <c r="D495" s="63"/>
      <c r="E495" s="63"/>
      <c r="F495" s="63"/>
      <c r="G495" s="63"/>
      <c r="H495" s="63"/>
      <c r="I495" s="63"/>
      <c r="J495" s="63"/>
      <c r="K495" s="63"/>
      <c r="L495" s="63"/>
      <c r="M495" s="63"/>
      <c r="N495" s="63"/>
      <c r="O495" s="63"/>
      <c r="P495" s="63"/>
      <c r="Q495" s="63"/>
      <c r="R495" s="63"/>
      <c r="S495" s="63"/>
      <c r="T495" s="63"/>
      <c r="U495" s="63"/>
      <c r="V495" s="63"/>
      <c r="W495" s="63"/>
      <c r="X495" s="63"/>
    </row>
    <row r="496" spans="1:24" ht="12.75">
      <c r="A496" s="69"/>
      <c r="B496" s="63"/>
      <c r="C496" s="63"/>
      <c r="D496" s="63"/>
      <c r="E496" s="63"/>
      <c r="F496" s="63"/>
      <c r="G496" s="63"/>
      <c r="H496" s="63"/>
      <c r="I496" s="63"/>
      <c r="J496" s="63"/>
      <c r="K496" s="63"/>
      <c r="L496" s="63"/>
      <c r="M496" s="63"/>
      <c r="N496" s="63"/>
      <c r="O496" s="63"/>
      <c r="P496" s="63"/>
      <c r="Q496" s="63"/>
      <c r="R496" s="63"/>
      <c r="S496" s="63"/>
      <c r="T496" s="63"/>
      <c r="U496" s="63"/>
      <c r="V496" s="63"/>
      <c r="W496" s="63"/>
      <c r="X496" s="63"/>
    </row>
    <row r="497" spans="1:24" ht="12.75">
      <c r="A497" s="69"/>
      <c r="B497" s="63"/>
      <c r="C497" s="63"/>
      <c r="D497" s="63"/>
      <c r="E497" s="63"/>
      <c r="F497" s="63"/>
      <c r="G497" s="63"/>
      <c r="H497" s="63"/>
      <c r="I497" s="63"/>
      <c r="J497" s="63"/>
      <c r="K497" s="63"/>
      <c r="L497" s="63"/>
      <c r="M497" s="63"/>
      <c r="N497" s="63"/>
      <c r="O497" s="63"/>
      <c r="P497" s="63"/>
      <c r="Q497" s="63"/>
      <c r="R497" s="63"/>
      <c r="S497" s="63"/>
      <c r="T497" s="63"/>
      <c r="U497" s="63"/>
      <c r="V497" s="63"/>
      <c r="W497" s="63"/>
      <c r="X497" s="63"/>
    </row>
    <row r="498" spans="1:24" ht="12.75">
      <c r="A498" s="69"/>
      <c r="B498" s="63"/>
      <c r="C498" s="63"/>
      <c r="D498" s="63"/>
      <c r="E498" s="63"/>
      <c r="F498" s="63"/>
      <c r="G498" s="63"/>
      <c r="H498" s="63"/>
      <c r="I498" s="63"/>
      <c r="J498" s="63"/>
      <c r="K498" s="63"/>
      <c r="L498" s="63"/>
      <c r="M498" s="63"/>
      <c r="N498" s="63"/>
      <c r="O498" s="63"/>
      <c r="P498" s="63"/>
      <c r="Q498" s="63"/>
      <c r="R498" s="63"/>
      <c r="S498" s="63"/>
      <c r="T498" s="63"/>
      <c r="U498" s="63"/>
      <c r="V498" s="63"/>
      <c r="W498" s="63"/>
      <c r="X498" s="63"/>
    </row>
    <row r="499" spans="1:24" ht="12.75">
      <c r="A499" s="69"/>
      <c r="B499" s="63"/>
      <c r="C499" s="63"/>
      <c r="D499" s="63"/>
      <c r="E499" s="63"/>
      <c r="F499" s="63"/>
      <c r="G499" s="63"/>
      <c r="H499" s="63"/>
      <c r="I499" s="63"/>
      <c r="J499" s="63"/>
      <c r="K499" s="63"/>
      <c r="L499" s="63"/>
      <c r="M499" s="63"/>
      <c r="N499" s="63"/>
      <c r="O499" s="63"/>
      <c r="P499" s="63"/>
      <c r="Q499" s="63"/>
      <c r="R499" s="63"/>
      <c r="S499" s="63"/>
      <c r="T499" s="63"/>
      <c r="U499" s="63"/>
      <c r="V499" s="63"/>
      <c r="W499" s="63"/>
      <c r="X499" s="63"/>
    </row>
    <row r="500" spans="1:24" ht="12.75">
      <c r="A500" s="69"/>
      <c r="B500" s="63"/>
      <c r="C500" s="63"/>
      <c r="D500" s="63"/>
      <c r="E500" s="63"/>
      <c r="F500" s="63"/>
      <c r="G500" s="63"/>
      <c r="H500" s="63"/>
      <c r="I500" s="63"/>
      <c r="J500" s="63"/>
      <c r="K500" s="63"/>
      <c r="L500" s="63"/>
      <c r="M500" s="63"/>
      <c r="N500" s="63"/>
      <c r="O500" s="63"/>
      <c r="P500" s="63"/>
      <c r="Q500" s="63"/>
      <c r="R500" s="63"/>
      <c r="S500" s="63"/>
      <c r="T500" s="63"/>
      <c r="U500" s="63"/>
      <c r="V500" s="63"/>
      <c r="W500" s="63"/>
      <c r="X500" s="63"/>
    </row>
    <row r="501" spans="1:24" ht="12.75">
      <c r="A501" s="69"/>
      <c r="B501" s="63"/>
      <c r="C501" s="63"/>
      <c r="D501" s="63"/>
      <c r="E501" s="63"/>
      <c r="F501" s="63"/>
      <c r="G501" s="63"/>
      <c r="H501" s="63"/>
      <c r="I501" s="63"/>
      <c r="J501" s="63"/>
      <c r="K501" s="63"/>
      <c r="L501" s="63"/>
      <c r="M501" s="63"/>
      <c r="N501" s="63"/>
      <c r="O501" s="63"/>
      <c r="P501" s="63"/>
      <c r="Q501" s="63"/>
      <c r="R501" s="63"/>
      <c r="S501" s="63"/>
      <c r="T501" s="63"/>
      <c r="U501" s="63"/>
      <c r="V501" s="63"/>
      <c r="W501" s="63"/>
      <c r="X501" s="63"/>
    </row>
    <row r="502" spans="1:24" ht="12.75">
      <c r="A502" s="69"/>
      <c r="B502" s="63"/>
      <c r="C502" s="63"/>
      <c r="D502" s="63"/>
      <c r="E502" s="63"/>
      <c r="F502" s="63"/>
      <c r="G502" s="63"/>
      <c r="H502" s="63"/>
      <c r="I502" s="63"/>
      <c r="J502" s="63"/>
      <c r="K502" s="63"/>
      <c r="L502" s="63"/>
      <c r="M502" s="63"/>
      <c r="N502" s="63"/>
      <c r="O502" s="63"/>
      <c r="P502" s="63"/>
      <c r="Q502" s="63"/>
      <c r="R502" s="63"/>
      <c r="S502" s="63"/>
      <c r="T502" s="63"/>
      <c r="U502" s="63"/>
      <c r="V502" s="63"/>
      <c r="W502" s="63"/>
      <c r="X502" s="63"/>
    </row>
    <row r="503" spans="1:24" ht="12.75">
      <c r="A503" s="69"/>
      <c r="B503" s="63"/>
      <c r="C503" s="63"/>
      <c r="D503" s="63"/>
      <c r="E503" s="63"/>
      <c r="F503" s="63"/>
      <c r="G503" s="63"/>
      <c r="H503" s="63"/>
      <c r="I503" s="63"/>
      <c r="J503" s="63"/>
      <c r="K503" s="63"/>
      <c r="L503" s="63"/>
      <c r="M503" s="63"/>
      <c r="N503" s="63"/>
      <c r="O503" s="63"/>
      <c r="P503" s="63"/>
      <c r="Q503" s="63"/>
      <c r="R503" s="63"/>
      <c r="S503" s="63"/>
      <c r="T503" s="63"/>
      <c r="U503" s="63"/>
      <c r="V503" s="63"/>
      <c r="W503" s="63"/>
      <c r="X503" s="63"/>
    </row>
    <row r="504" spans="1:24" ht="12.75">
      <c r="A504" s="69"/>
      <c r="B504" s="63"/>
      <c r="C504" s="63"/>
      <c r="D504" s="63"/>
      <c r="E504" s="63"/>
      <c r="F504" s="63"/>
      <c r="G504" s="63"/>
      <c r="H504" s="63"/>
      <c r="I504" s="63"/>
      <c r="J504" s="63"/>
      <c r="K504" s="63"/>
      <c r="L504" s="63"/>
      <c r="M504" s="63"/>
      <c r="N504" s="63"/>
      <c r="O504" s="63"/>
      <c r="P504" s="63"/>
      <c r="Q504" s="63"/>
      <c r="R504" s="63"/>
      <c r="S504" s="63"/>
      <c r="T504" s="63"/>
      <c r="U504" s="63"/>
      <c r="V504" s="63"/>
      <c r="W504" s="63"/>
      <c r="X504" s="63"/>
    </row>
    <row r="505" spans="1:24" ht="12.75">
      <c r="A505" s="69"/>
      <c r="B505" s="63"/>
      <c r="C505" s="63"/>
      <c r="D505" s="63"/>
      <c r="E505" s="63"/>
      <c r="F505" s="63"/>
      <c r="G505" s="63"/>
      <c r="H505" s="63"/>
      <c r="I505" s="63"/>
      <c r="J505" s="63"/>
      <c r="K505" s="63"/>
      <c r="L505" s="63"/>
      <c r="M505" s="63"/>
      <c r="N505" s="63"/>
      <c r="O505" s="63"/>
      <c r="P505" s="63"/>
      <c r="Q505" s="63"/>
      <c r="R505" s="63"/>
      <c r="S505" s="63"/>
      <c r="T505" s="63"/>
      <c r="U505" s="63"/>
      <c r="V505" s="63"/>
      <c r="W505" s="63"/>
      <c r="X505" s="63"/>
    </row>
    <row r="506" spans="1:24" ht="12.75">
      <c r="A506" s="69"/>
      <c r="B506" s="63"/>
      <c r="C506" s="63"/>
      <c r="D506" s="63"/>
      <c r="E506" s="63"/>
      <c r="F506" s="63"/>
      <c r="G506" s="63"/>
      <c r="H506" s="63"/>
      <c r="I506" s="63"/>
      <c r="J506" s="63"/>
      <c r="K506" s="63"/>
      <c r="L506" s="63"/>
      <c r="M506" s="63"/>
      <c r="N506" s="63"/>
      <c r="O506" s="63"/>
      <c r="P506" s="63"/>
      <c r="Q506" s="63"/>
      <c r="R506" s="63"/>
      <c r="S506" s="63"/>
      <c r="T506" s="63"/>
      <c r="U506" s="63"/>
      <c r="V506" s="63"/>
      <c r="W506" s="63"/>
      <c r="X506" s="63"/>
    </row>
    <row r="507" spans="1:24" ht="12.75">
      <c r="A507" s="69"/>
      <c r="B507" s="63"/>
      <c r="C507" s="63"/>
      <c r="D507" s="63"/>
      <c r="E507" s="63"/>
      <c r="F507" s="63"/>
      <c r="G507" s="63"/>
      <c r="H507" s="63"/>
      <c r="I507" s="63"/>
      <c r="J507" s="63"/>
      <c r="K507" s="63"/>
      <c r="L507" s="63"/>
      <c r="M507" s="63"/>
      <c r="N507" s="63"/>
      <c r="O507" s="63"/>
      <c r="P507" s="63"/>
      <c r="Q507" s="63"/>
      <c r="R507" s="63"/>
      <c r="S507" s="63"/>
      <c r="T507" s="63"/>
      <c r="U507" s="63"/>
      <c r="V507" s="63"/>
      <c r="W507" s="63"/>
      <c r="X507" s="63"/>
    </row>
    <row r="508" spans="1:24" ht="12.75">
      <c r="A508" s="69"/>
      <c r="B508" s="63"/>
      <c r="C508" s="63"/>
      <c r="D508" s="63"/>
      <c r="E508" s="63"/>
      <c r="F508" s="63"/>
      <c r="G508" s="63"/>
      <c r="H508" s="63"/>
      <c r="I508" s="63"/>
      <c r="J508" s="63"/>
      <c r="K508" s="63"/>
      <c r="L508" s="63"/>
      <c r="M508" s="63"/>
      <c r="N508" s="63"/>
      <c r="O508" s="63"/>
      <c r="P508" s="63"/>
      <c r="Q508" s="63"/>
      <c r="R508" s="63"/>
      <c r="S508" s="63"/>
      <c r="T508" s="63"/>
      <c r="U508" s="63"/>
      <c r="V508" s="63"/>
      <c r="W508" s="63"/>
      <c r="X508" s="63"/>
    </row>
    <row r="509" spans="1:24" ht="12.75">
      <c r="A509" s="69"/>
      <c r="B509" s="63"/>
      <c r="C509" s="63"/>
      <c r="D509" s="63"/>
      <c r="E509" s="63"/>
      <c r="F509" s="63"/>
      <c r="G509" s="63"/>
      <c r="H509" s="63"/>
      <c r="I509" s="63"/>
      <c r="J509" s="63"/>
      <c r="K509" s="63"/>
      <c r="L509" s="63"/>
      <c r="M509" s="63"/>
      <c r="N509" s="63"/>
      <c r="O509" s="63"/>
      <c r="P509" s="63"/>
      <c r="Q509" s="63"/>
      <c r="R509" s="63"/>
      <c r="S509" s="63"/>
      <c r="T509" s="63"/>
      <c r="U509" s="63"/>
      <c r="V509" s="63"/>
      <c r="W509" s="63"/>
      <c r="X509" s="63"/>
    </row>
    <row r="510" spans="1:24" ht="12.75">
      <c r="A510" s="69"/>
      <c r="B510" s="63"/>
      <c r="C510" s="63"/>
      <c r="D510" s="63"/>
      <c r="E510" s="63"/>
      <c r="F510" s="63"/>
      <c r="G510" s="63"/>
      <c r="H510" s="63"/>
      <c r="I510" s="63"/>
      <c r="J510" s="63"/>
      <c r="K510" s="63"/>
      <c r="L510" s="63"/>
      <c r="M510" s="63"/>
      <c r="N510" s="63"/>
      <c r="O510" s="63"/>
      <c r="P510" s="63"/>
      <c r="Q510" s="63"/>
      <c r="R510" s="63"/>
      <c r="S510" s="63"/>
      <c r="T510" s="63"/>
      <c r="U510" s="63"/>
      <c r="V510" s="63"/>
      <c r="W510" s="63"/>
      <c r="X510" s="63"/>
    </row>
    <row r="511" spans="1:24" ht="12.75">
      <c r="A511" s="69"/>
      <c r="B511" s="63"/>
      <c r="C511" s="63"/>
      <c r="D511" s="63"/>
      <c r="E511" s="63"/>
      <c r="F511" s="63"/>
      <c r="G511" s="63"/>
      <c r="H511" s="63"/>
      <c r="I511" s="63"/>
      <c r="J511" s="63"/>
      <c r="K511" s="63"/>
      <c r="L511" s="63"/>
      <c r="M511" s="63"/>
      <c r="N511" s="63"/>
      <c r="O511" s="63"/>
      <c r="P511" s="63"/>
      <c r="Q511" s="63"/>
      <c r="R511" s="63"/>
      <c r="S511" s="63"/>
      <c r="T511" s="63"/>
      <c r="U511" s="63"/>
      <c r="V511" s="63"/>
      <c r="W511" s="63"/>
      <c r="X511" s="63"/>
    </row>
    <row r="512" spans="1:24" ht="12.75">
      <c r="A512" s="69"/>
      <c r="B512" s="63"/>
      <c r="C512" s="63"/>
      <c r="D512" s="63"/>
      <c r="E512" s="63"/>
      <c r="F512" s="63"/>
      <c r="G512" s="63"/>
      <c r="H512" s="63"/>
      <c r="I512" s="63"/>
      <c r="J512" s="63"/>
      <c r="K512" s="63"/>
      <c r="L512" s="63"/>
      <c r="M512" s="63"/>
      <c r="N512" s="63"/>
      <c r="O512" s="63"/>
      <c r="P512" s="63"/>
      <c r="Q512" s="63"/>
      <c r="R512" s="63"/>
      <c r="S512" s="63"/>
      <c r="T512" s="63"/>
      <c r="U512" s="63"/>
      <c r="V512" s="63"/>
      <c r="W512" s="63"/>
      <c r="X512" s="63"/>
    </row>
    <row r="513" spans="1:24" ht="12.75">
      <c r="A513" s="69"/>
      <c r="B513" s="63"/>
      <c r="C513" s="63"/>
      <c r="D513" s="63"/>
      <c r="E513" s="63"/>
      <c r="F513" s="63"/>
      <c r="G513" s="63"/>
      <c r="H513" s="63"/>
      <c r="I513" s="63"/>
      <c r="J513" s="63"/>
      <c r="K513" s="63"/>
      <c r="L513" s="63"/>
      <c r="M513" s="63"/>
      <c r="N513" s="63"/>
      <c r="O513" s="63"/>
      <c r="P513" s="63"/>
      <c r="Q513" s="63"/>
      <c r="R513" s="63"/>
      <c r="S513" s="63"/>
      <c r="T513" s="63"/>
      <c r="U513" s="63"/>
      <c r="V513" s="63"/>
      <c r="W513" s="63"/>
      <c r="X513" s="63"/>
    </row>
    <row r="514" spans="1:24" ht="12.75">
      <c r="A514" s="69"/>
      <c r="B514" s="63"/>
      <c r="C514" s="63"/>
      <c r="D514" s="63"/>
      <c r="E514" s="63"/>
      <c r="F514" s="63"/>
      <c r="G514" s="63"/>
      <c r="H514" s="63"/>
      <c r="I514" s="63"/>
      <c r="J514" s="63"/>
      <c r="K514" s="63"/>
      <c r="L514" s="63"/>
      <c r="M514" s="63"/>
      <c r="N514" s="63"/>
      <c r="O514" s="63"/>
      <c r="P514" s="63"/>
      <c r="Q514" s="63"/>
      <c r="R514" s="63"/>
      <c r="S514" s="63"/>
      <c r="T514" s="63"/>
      <c r="U514" s="63"/>
      <c r="V514" s="63"/>
      <c r="W514" s="63"/>
      <c r="X514" s="63"/>
    </row>
    <row r="515" spans="1:24" ht="12.75">
      <c r="A515" s="69"/>
      <c r="B515" s="63"/>
      <c r="C515" s="63"/>
      <c r="D515" s="63"/>
      <c r="E515" s="63"/>
      <c r="F515" s="63"/>
      <c r="G515" s="63"/>
      <c r="H515" s="63"/>
      <c r="I515" s="63"/>
      <c r="J515" s="63"/>
      <c r="K515" s="63"/>
      <c r="L515" s="63"/>
      <c r="M515" s="63"/>
      <c r="N515" s="63"/>
      <c r="O515" s="63"/>
      <c r="P515" s="63"/>
      <c r="Q515" s="63"/>
      <c r="R515" s="63"/>
      <c r="S515" s="63"/>
      <c r="T515" s="63"/>
      <c r="U515" s="63"/>
      <c r="V515" s="63"/>
      <c r="W515" s="63"/>
      <c r="X515" s="63"/>
    </row>
    <row r="516" spans="1:24" ht="12.75">
      <c r="A516" s="69"/>
      <c r="B516" s="63"/>
      <c r="C516" s="63"/>
      <c r="D516" s="63"/>
      <c r="E516" s="63"/>
      <c r="F516" s="63"/>
      <c r="G516" s="63"/>
      <c r="H516" s="63"/>
      <c r="I516" s="63"/>
      <c r="J516" s="63"/>
      <c r="K516" s="63"/>
      <c r="L516" s="63"/>
      <c r="M516" s="63"/>
      <c r="N516" s="63"/>
      <c r="O516" s="63"/>
      <c r="P516" s="63"/>
      <c r="Q516" s="63"/>
      <c r="R516" s="63"/>
      <c r="S516" s="63"/>
      <c r="T516" s="63"/>
      <c r="U516" s="63"/>
      <c r="V516" s="63"/>
      <c r="W516" s="63"/>
      <c r="X516" s="63"/>
    </row>
    <row r="517" spans="1:24" ht="12.75">
      <c r="A517" s="69"/>
      <c r="B517" s="63"/>
      <c r="C517" s="63"/>
      <c r="D517" s="63"/>
      <c r="E517" s="63"/>
      <c r="F517" s="63"/>
      <c r="G517" s="63"/>
      <c r="H517" s="63"/>
      <c r="I517" s="63"/>
      <c r="J517" s="63"/>
      <c r="K517" s="63"/>
      <c r="L517" s="63"/>
      <c r="M517" s="63"/>
      <c r="N517" s="63"/>
      <c r="O517" s="63"/>
      <c r="P517" s="63"/>
      <c r="Q517" s="63"/>
      <c r="R517" s="63"/>
      <c r="S517" s="63"/>
      <c r="T517" s="63"/>
      <c r="U517" s="63"/>
      <c r="V517" s="63"/>
      <c r="W517" s="63"/>
      <c r="X517" s="63"/>
    </row>
    <row r="518" spans="1:24" ht="12.75">
      <c r="A518" s="69"/>
      <c r="B518" s="63"/>
      <c r="C518" s="63"/>
      <c r="D518" s="63"/>
      <c r="E518" s="63"/>
      <c r="F518" s="63"/>
      <c r="G518" s="63"/>
      <c r="H518" s="63"/>
      <c r="I518" s="63"/>
      <c r="J518" s="63"/>
      <c r="K518" s="63"/>
      <c r="L518" s="63"/>
      <c r="M518" s="63"/>
      <c r="N518" s="63"/>
      <c r="O518" s="63"/>
      <c r="P518" s="63"/>
      <c r="Q518" s="63"/>
      <c r="R518" s="63"/>
      <c r="S518" s="63"/>
      <c r="T518" s="63"/>
      <c r="U518" s="63"/>
      <c r="V518" s="63"/>
      <c r="W518" s="63"/>
      <c r="X518" s="63"/>
    </row>
    <row r="519" spans="1:24" ht="12.75">
      <c r="A519" s="69"/>
      <c r="B519" s="63"/>
      <c r="C519" s="63"/>
      <c r="D519" s="63"/>
      <c r="E519" s="63"/>
      <c r="F519" s="63"/>
      <c r="G519" s="63"/>
      <c r="H519" s="63"/>
      <c r="I519" s="63"/>
      <c r="J519" s="63"/>
      <c r="K519" s="63"/>
      <c r="L519" s="63"/>
      <c r="M519" s="63"/>
      <c r="N519" s="63"/>
      <c r="O519" s="63"/>
      <c r="P519" s="63"/>
      <c r="Q519" s="63"/>
      <c r="R519" s="63"/>
      <c r="S519" s="63"/>
      <c r="T519" s="63"/>
      <c r="U519" s="63"/>
      <c r="V519" s="63"/>
      <c r="W519" s="63"/>
      <c r="X519" s="63"/>
    </row>
    <row r="520" spans="1:24" ht="12.75">
      <c r="A520" s="69"/>
      <c r="B520" s="63"/>
      <c r="C520" s="63"/>
      <c r="D520" s="63"/>
      <c r="E520" s="63"/>
      <c r="F520" s="63"/>
      <c r="G520" s="63"/>
      <c r="H520" s="63"/>
      <c r="I520" s="63"/>
      <c r="J520" s="63"/>
      <c r="K520" s="63"/>
      <c r="L520" s="63"/>
      <c r="M520" s="63"/>
      <c r="N520" s="63"/>
      <c r="O520" s="63"/>
      <c r="P520" s="63"/>
      <c r="Q520" s="63"/>
      <c r="R520" s="63"/>
      <c r="S520" s="63"/>
      <c r="T520" s="63"/>
      <c r="U520" s="63"/>
      <c r="V520" s="63"/>
      <c r="W520" s="63"/>
      <c r="X520" s="63"/>
    </row>
    <row r="521" spans="1:24" ht="12.75">
      <c r="A521" s="69"/>
      <c r="B521" s="63"/>
      <c r="C521" s="63"/>
      <c r="D521" s="63"/>
      <c r="E521" s="63"/>
      <c r="F521" s="63"/>
      <c r="G521" s="63"/>
      <c r="H521" s="63"/>
      <c r="I521" s="63"/>
      <c r="J521" s="63"/>
      <c r="K521" s="63"/>
      <c r="L521" s="63"/>
      <c r="M521" s="63"/>
      <c r="N521" s="63"/>
      <c r="O521" s="63"/>
      <c r="P521" s="63"/>
      <c r="Q521" s="63"/>
      <c r="R521" s="63"/>
      <c r="S521" s="63"/>
      <c r="T521" s="63"/>
      <c r="U521" s="63"/>
      <c r="V521" s="63"/>
      <c r="W521" s="63"/>
      <c r="X521" s="63"/>
    </row>
    <row r="522" spans="1:24" ht="12.75">
      <c r="A522" s="69"/>
      <c r="B522" s="63"/>
      <c r="C522" s="63"/>
      <c r="D522" s="63"/>
      <c r="E522" s="63"/>
      <c r="F522" s="63"/>
      <c r="G522" s="63"/>
      <c r="H522" s="63"/>
      <c r="I522" s="63"/>
      <c r="J522" s="63"/>
      <c r="K522" s="63"/>
      <c r="L522" s="63"/>
      <c r="M522" s="63"/>
      <c r="N522" s="63"/>
      <c r="O522" s="63"/>
      <c r="P522" s="63"/>
      <c r="Q522" s="63"/>
      <c r="R522" s="63"/>
      <c r="S522" s="63"/>
      <c r="T522" s="63"/>
      <c r="U522" s="63"/>
      <c r="V522" s="63"/>
      <c r="W522" s="63"/>
      <c r="X522" s="63"/>
    </row>
    <row r="523" spans="1:24" ht="12.75">
      <c r="A523" s="69"/>
      <c r="B523" s="63"/>
      <c r="C523" s="63"/>
      <c r="D523" s="63"/>
      <c r="E523" s="63"/>
      <c r="F523" s="63"/>
      <c r="G523" s="63"/>
      <c r="H523" s="63"/>
      <c r="I523" s="63"/>
      <c r="J523" s="63"/>
      <c r="K523" s="63"/>
      <c r="L523" s="63"/>
      <c r="M523" s="63"/>
      <c r="N523" s="63"/>
      <c r="O523" s="63"/>
      <c r="P523" s="63"/>
      <c r="Q523" s="63"/>
      <c r="R523" s="63"/>
      <c r="S523" s="63"/>
      <c r="T523" s="63"/>
      <c r="U523" s="63"/>
      <c r="V523" s="63"/>
      <c r="W523" s="63"/>
      <c r="X523" s="63"/>
    </row>
    <row r="524" spans="1:24" ht="12.75">
      <c r="A524" s="69"/>
      <c r="B524" s="63"/>
      <c r="C524" s="63"/>
      <c r="D524" s="63"/>
      <c r="E524" s="63"/>
      <c r="F524" s="63"/>
      <c r="G524" s="63"/>
      <c r="H524" s="63"/>
      <c r="I524" s="63"/>
      <c r="J524" s="63"/>
      <c r="K524" s="63"/>
      <c r="L524" s="63"/>
      <c r="M524" s="63"/>
      <c r="N524" s="63"/>
      <c r="O524" s="63"/>
      <c r="P524" s="63"/>
      <c r="Q524" s="63"/>
      <c r="R524" s="63"/>
      <c r="S524" s="63"/>
      <c r="T524" s="63"/>
      <c r="U524" s="63"/>
      <c r="V524" s="63"/>
      <c r="W524" s="63"/>
      <c r="X524" s="63"/>
    </row>
    <row r="525" spans="1:24" ht="12.75">
      <c r="A525" s="69"/>
      <c r="B525" s="63"/>
      <c r="C525" s="63"/>
      <c r="D525" s="63"/>
      <c r="E525" s="63"/>
      <c r="F525" s="63"/>
      <c r="G525" s="63"/>
      <c r="H525" s="63"/>
      <c r="I525" s="63"/>
      <c r="J525" s="63"/>
      <c r="K525" s="63"/>
      <c r="L525" s="63"/>
      <c r="M525" s="63"/>
      <c r="N525" s="63"/>
      <c r="O525" s="63"/>
      <c r="P525" s="63"/>
      <c r="Q525" s="63"/>
      <c r="R525" s="63"/>
      <c r="S525" s="63"/>
      <c r="T525" s="63"/>
      <c r="U525" s="63"/>
      <c r="V525" s="63"/>
      <c r="W525" s="63"/>
      <c r="X525" s="63"/>
    </row>
    <row r="526" spans="1:24" ht="12.75">
      <c r="A526" s="69"/>
      <c r="B526" s="63"/>
      <c r="C526" s="63"/>
      <c r="D526" s="63"/>
      <c r="E526" s="63"/>
      <c r="F526" s="63"/>
      <c r="G526" s="63"/>
      <c r="H526" s="63"/>
      <c r="I526" s="63"/>
      <c r="J526" s="63"/>
      <c r="K526" s="63"/>
      <c r="L526" s="63"/>
      <c r="M526" s="63"/>
      <c r="N526" s="63"/>
      <c r="O526" s="63"/>
      <c r="P526" s="63"/>
      <c r="Q526" s="63"/>
      <c r="R526" s="63"/>
      <c r="S526" s="63"/>
      <c r="T526" s="63"/>
      <c r="U526" s="63"/>
      <c r="V526" s="63"/>
      <c r="W526" s="63"/>
      <c r="X526" s="63"/>
    </row>
    <row r="527" spans="1:24" ht="12.75">
      <c r="A527" s="69"/>
      <c r="B527" s="63"/>
      <c r="C527" s="63"/>
      <c r="D527" s="63"/>
      <c r="E527" s="63"/>
      <c r="F527" s="63"/>
      <c r="G527" s="63"/>
      <c r="H527" s="63"/>
      <c r="I527" s="63"/>
      <c r="J527" s="63"/>
      <c r="K527" s="63"/>
      <c r="L527" s="63"/>
      <c r="M527" s="63"/>
      <c r="N527" s="63"/>
      <c r="O527" s="63"/>
      <c r="P527" s="63"/>
      <c r="Q527" s="63"/>
      <c r="R527" s="63"/>
      <c r="S527" s="63"/>
      <c r="T527" s="63"/>
      <c r="U527" s="63"/>
      <c r="V527" s="63"/>
      <c r="W527" s="63"/>
      <c r="X527" s="63"/>
    </row>
    <row r="528" spans="1:24" ht="12.75">
      <c r="A528" s="69"/>
      <c r="B528" s="63"/>
      <c r="C528" s="63"/>
      <c r="D528" s="63"/>
      <c r="E528" s="63"/>
      <c r="F528" s="63"/>
      <c r="G528" s="63"/>
      <c r="H528" s="63"/>
      <c r="I528" s="63"/>
      <c r="J528" s="63"/>
      <c r="K528" s="63"/>
      <c r="L528" s="63"/>
      <c r="M528" s="63"/>
      <c r="N528" s="63"/>
      <c r="O528" s="63"/>
      <c r="P528" s="63"/>
      <c r="Q528" s="63"/>
      <c r="R528" s="63"/>
      <c r="S528" s="63"/>
      <c r="T528" s="63"/>
      <c r="U528" s="63"/>
      <c r="V528" s="63"/>
      <c r="W528" s="63"/>
      <c r="X528" s="63"/>
    </row>
    <row r="529" spans="1:24" ht="12.75">
      <c r="A529" s="69"/>
      <c r="B529" s="63"/>
      <c r="C529" s="63"/>
      <c r="D529" s="63"/>
      <c r="E529" s="63"/>
      <c r="F529" s="63"/>
      <c r="G529" s="63"/>
      <c r="H529" s="63"/>
      <c r="I529" s="63"/>
      <c r="J529" s="63"/>
      <c r="K529" s="63"/>
      <c r="L529" s="63"/>
      <c r="M529" s="63"/>
      <c r="N529" s="63"/>
      <c r="O529" s="63"/>
      <c r="P529" s="63"/>
      <c r="Q529" s="63"/>
      <c r="R529" s="63"/>
      <c r="S529" s="63"/>
      <c r="T529" s="63"/>
      <c r="U529" s="63"/>
      <c r="V529" s="63"/>
      <c r="W529" s="63"/>
      <c r="X529" s="63"/>
    </row>
    <row r="530" spans="1:24" ht="12.75">
      <c r="A530" s="69"/>
      <c r="B530" s="63"/>
      <c r="C530" s="63"/>
      <c r="D530" s="63"/>
      <c r="E530" s="63"/>
      <c r="F530" s="63"/>
      <c r="G530" s="63"/>
      <c r="H530" s="63"/>
      <c r="I530" s="63"/>
      <c r="J530" s="63"/>
      <c r="K530" s="63"/>
      <c r="L530" s="63"/>
      <c r="M530" s="63"/>
      <c r="N530" s="63"/>
      <c r="O530" s="63"/>
      <c r="P530" s="63"/>
      <c r="Q530" s="63"/>
      <c r="R530" s="63"/>
      <c r="S530" s="63"/>
      <c r="T530" s="63"/>
      <c r="U530" s="63"/>
      <c r="V530" s="63"/>
      <c r="W530" s="63"/>
      <c r="X530" s="63"/>
    </row>
    <row r="531" spans="1:24" ht="12.75">
      <c r="A531" s="69"/>
      <c r="B531" s="63"/>
      <c r="C531" s="63"/>
      <c r="D531" s="63"/>
      <c r="E531" s="63"/>
      <c r="F531" s="63"/>
      <c r="G531" s="63"/>
      <c r="H531" s="63"/>
      <c r="I531" s="63"/>
      <c r="J531" s="63"/>
      <c r="K531" s="63"/>
      <c r="L531" s="63"/>
      <c r="M531" s="63"/>
      <c r="N531" s="63"/>
      <c r="O531" s="63"/>
      <c r="P531" s="63"/>
      <c r="Q531" s="63"/>
      <c r="R531" s="63"/>
      <c r="S531" s="63"/>
      <c r="T531" s="63"/>
      <c r="U531" s="63"/>
      <c r="V531" s="63"/>
      <c r="W531" s="63"/>
      <c r="X531" s="63"/>
    </row>
    <row r="532" spans="1:24" ht="12.75">
      <c r="A532" s="69"/>
      <c r="B532" s="63"/>
      <c r="C532" s="63"/>
      <c r="D532" s="63"/>
      <c r="E532" s="63"/>
      <c r="F532" s="63"/>
      <c r="G532" s="63"/>
      <c r="H532" s="63"/>
      <c r="I532" s="63"/>
      <c r="J532" s="63"/>
      <c r="K532" s="63"/>
      <c r="L532" s="63"/>
      <c r="M532" s="63"/>
      <c r="N532" s="63"/>
      <c r="O532" s="63"/>
      <c r="P532" s="63"/>
      <c r="Q532" s="63"/>
      <c r="R532" s="63"/>
      <c r="S532" s="63"/>
      <c r="T532" s="63"/>
      <c r="U532" s="63"/>
      <c r="V532" s="63"/>
      <c r="W532" s="63"/>
      <c r="X532" s="63"/>
    </row>
    <row r="533" spans="1:24" ht="12.75">
      <c r="A533" s="69"/>
      <c r="B533" s="63"/>
      <c r="C533" s="63"/>
      <c r="D533" s="63"/>
      <c r="E533" s="63"/>
      <c r="F533" s="63"/>
      <c r="G533" s="63"/>
      <c r="H533" s="63"/>
      <c r="I533" s="63"/>
      <c r="J533" s="63"/>
      <c r="K533" s="63"/>
      <c r="L533" s="63"/>
      <c r="M533" s="63"/>
      <c r="N533" s="63"/>
      <c r="O533" s="63"/>
      <c r="P533" s="63"/>
      <c r="Q533" s="63"/>
      <c r="R533" s="63"/>
      <c r="S533" s="63"/>
      <c r="T533" s="63"/>
      <c r="U533" s="63"/>
      <c r="V533" s="63"/>
      <c r="W533" s="63"/>
      <c r="X533" s="63"/>
    </row>
    <row r="534" spans="1:24" ht="12.75">
      <c r="A534" s="69"/>
      <c r="B534" s="63"/>
      <c r="C534" s="63"/>
      <c r="D534" s="63"/>
      <c r="E534" s="63"/>
      <c r="F534" s="63"/>
      <c r="G534" s="63"/>
      <c r="H534" s="63"/>
      <c r="I534" s="63"/>
      <c r="J534" s="63"/>
      <c r="K534" s="63"/>
      <c r="L534" s="63"/>
      <c r="M534" s="63"/>
      <c r="N534" s="63"/>
      <c r="O534" s="63"/>
      <c r="P534" s="63"/>
      <c r="Q534" s="63"/>
      <c r="R534" s="63"/>
      <c r="S534" s="63"/>
      <c r="T534" s="63"/>
      <c r="U534" s="63"/>
      <c r="V534" s="63"/>
      <c r="W534" s="63"/>
      <c r="X534" s="63"/>
    </row>
    <row r="535" spans="1:24" ht="12.75">
      <c r="A535" s="69"/>
      <c r="B535" s="63"/>
      <c r="C535" s="63"/>
      <c r="D535" s="63"/>
      <c r="E535" s="63"/>
      <c r="F535" s="63"/>
      <c r="G535" s="63"/>
      <c r="H535" s="63"/>
      <c r="I535" s="63"/>
      <c r="J535" s="63"/>
      <c r="K535" s="63"/>
      <c r="L535" s="63"/>
      <c r="M535" s="63"/>
      <c r="N535" s="63"/>
      <c r="O535" s="63"/>
      <c r="P535" s="63"/>
      <c r="Q535" s="63"/>
      <c r="R535" s="63"/>
      <c r="S535" s="63"/>
      <c r="T535" s="63"/>
      <c r="U535" s="63"/>
      <c r="V535" s="63"/>
      <c r="W535" s="63"/>
      <c r="X535" s="63"/>
    </row>
    <row r="536" spans="1:24" ht="12.75">
      <c r="A536" s="69"/>
      <c r="B536" s="63"/>
      <c r="C536" s="63"/>
      <c r="D536" s="63"/>
      <c r="E536" s="63"/>
      <c r="F536" s="63"/>
      <c r="G536" s="63"/>
      <c r="H536" s="63"/>
      <c r="I536" s="63"/>
      <c r="J536" s="63"/>
      <c r="K536" s="63"/>
      <c r="L536" s="63"/>
      <c r="M536" s="63"/>
      <c r="N536" s="63"/>
      <c r="O536" s="63"/>
      <c r="P536" s="63"/>
      <c r="Q536" s="63"/>
      <c r="R536" s="63"/>
      <c r="S536" s="63"/>
      <c r="T536" s="63"/>
      <c r="U536" s="63"/>
      <c r="V536" s="63"/>
      <c r="W536" s="63"/>
      <c r="X536" s="63"/>
    </row>
    <row r="537" spans="1:24" ht="12.75">
      <c r="A537" s="69"/>
      <c r="B537" s="63"/>
      <c r="C537" s="63"/>
      <c r="D537" s="63"/>
      <c r="E537" s="63"/>
      <c r="F537" s="63"/>
      <c r="G537" s="63"/>
      <c r="H537" s="63"/>
      <c r="I537" s="63"/>
      <c r="J537" s="63"/>
      <c r="K537" s="63"/>
      <c r="L537" s="63"/>
      <c r="M537" s="63"/>
      <c r="N537" s="63"/>
      <c r="O537" s="63"/>
      <c r="P537" s="63"/>
      <c r="Q537" s="63"/>
      <c r="R537" s="63"/>
      <c r="S537" s="63"/>
      <c r="T537" s="63"/>
      <c r="U537" s="63"/>
      <c r="V537" s="63"/>
      <c r="W537" s="63"/>
      <c r="X537" s="63"/>
    </row>
    <row r="538" spans="1:24" ht="12.75">
      <c r="A538" s="69"/>
      <c r="B538" s="63"/>
      <c r="C538" s="63"/>
      <c r="D538" s="63"/>
      <c r="E538" s="63"/>
      <c r="F538" s="63"/>
      <c r="G538" s="63"/>
      <c r="H538" s="63"/>
      <c r="I538" s="63"/>
      <c r="J538" s="63"/>
      <c r="K538" s="63"/>
      <c r="L538" s="63"/>
      <c r="M538" s="63"/>
      <c r="N538" s="63"/>
      <c r="O538" s="63"/>
      <c r="P538" s="63"/>
      <c r="Q538" s="63"/>
      <c r="R538" s="63"/>
      <c r="S538" s="63"/>
      <c r="T538" s="63"/>
      <c r="U538" s="63"/>
      <c r="V538" s="63"/>
      <c r="W538" s="63"/>
      <c r="X538" s="63"/>
    </row>
    <row r="539" spans="1:24" ht="12.75">
      <c r="A539" s="69"/>
      <c r="B539" s="63"/>
      <c r="C539" s="63"/>
      <c r="D539" s="63"/>
      <c r="E539" s="63"/>
      <c r="F539" s="63"/>
      <c r="G539" s="63"/>
      <c r="H539" s="63"/>
      <c r="I539" s="63"/>
      <c r="J539" s="63"/>
      <c r="K539" s="63"/>
      <c r="L539" s="63"/>
      <c r="M539" s="63"/>
      <c r="N539" s="63"/>
      <c r="O539" s="63"/>
      <c r="P539" s="63"/>
      <c r="Q539" s="63"/>
      <c r="R539" s="63"/>
      <c r="S539" s="63"/>
      <c r="T539" s="63"/>
      <c r="U539" s="63"/>
      <c r="V539" s="63"/>
      <c r="W539" s="63"/>
      <c r="X539" s="63"/>
    </row>
    <row r="540" spans="1:24" ht="12.75">
      <c r="A540" s="69"/>
      <c r="B540" s="63"/>
      <c r="C540" s="63"/>
      <c r="D540" s="63"/>
      <c r="E540" s="63"/>
      <c r="F540" s="63"/>
      <c r="G540" s="63"/>
      <c r="H540" s="63"/>
      <c r="I540" s="63"/>
      <c r="J540" s="63"/>
      <c r="K540" s="63"/>
      <c r="L540" s="63"/>
      <c r="M540" s="63"/>
      <c r="N540" s="63"/>
      <c r="O540" s="63"/>
      <c r="P540" s="63"/>
      <c r="Q540" s="63"/>
      <c r="R540" s="63"/>
      <c r="S540" s="63"/>
      <c r="T540" s="63"/>
      <c r="U540" s="63"/>
      <c r="V540" s="63"/>
      <c r="W540" s="63"/>
      <c r="X540" s="63"/>
    </row>
    <row r="541" spans="1:24" ht="12.75">
      <c r="A541" s="69"/>
      <c r="B541" s="63"/>
      <c r="C541" s="63"/>
      <c r="D541" s="63"/>
      <c r="E541" s="63"/>
      <c r="F541" s="63"/>
      <c r="G541" s="63"/>
      <c r="H541" s="63"/>
      <c r="I541" s="63"/>
      <c r="J541" s="63"/>
      <c r="K541" s="63"/>
      <c r="L541" s="63"/>
      <c r="M541" s="63"/>
      <c r="N541" s="63"/>
      <c r="O541" s="63"/>
      <c r="P541" s="63"/>
      <c r="Q541" s="63"/>
      <c r="R541" s="63"/>
      <c r="S541" s="63"/>
      <c r="T541" s="63"/>
      <c r="U541" s="63"/>
      <c r="V541" s="63"/>
      <c r="W541" s="63"/>
      <c r="X541" s="63"/>
    </row>
    <row r="542" spans="1:24" ht="12.75">
      <c r="A542" s="69"/>
      <c r="B542" s="63"/>
      <c r="C542" s="63"/>
      <c r="D542" s="63"/>
      <c r="E542" s="63"/>
      <c r="F542" s="63"/>
      <c r="G542" s="63"/>
      <c r="H542" s="63"/>
      <c r="I542" s="63"/>
      <c r="J542" s="63"/>
      <c r="K542" s="63"/>
      <c r="L542" s="63"/>
      <c r="M542" s="63"/>
      <c r="N542" s="63"/>
      <c r="O542" s="63"/>
      <c r="P542" s="63"/>
      <c r="Q542" s="63"/>
      <c r="R542" s="63"/>
      <c r="S542" s="63"/>
      <c r="T542" s="63"/>
      <c r="U542" s="63"/>
      <c r="V542" s="63"/>
      <c r="W542" s="63"/>
      <c r="X542" s="63"/>
    </row>
    <row r="543" spans="1:24" ht="12.75">
      <c r="A543" s="69"/>
      <c r="B543" s="63"/>
      <c r="C543" s="63"/>
      <c r="D543" s="63"/>
      <c r="E543" s="63"/>
      <c r="F543" s="63"/>
      <c r="G543" s="63"/>
      <c r="H543" s="63"/>
      <c r="I543" s="63"/>
      <c r="J543" s="63"/>
      <c r="K543" s="63"/>
      <c r="L543" s="63"/>
      <c r="M543" s="63"/>
      <c r="N543" s="63"/>
      <c r="O543" s="63"/>
      <c r="P543" s="63"/>
      <c r="Q543" s="63"/>
      <c r="R543" s="63"/>
      <c r="S543" s="63"/>
      <c r="T543" s="63"/>
      <c r="U543" s="63"/>
      <c r="V543" s="63"/>
      <c r="W543" s="63"/>
      <c r="X543" s="63"/>
    </row>
    <row r="544" spans="1:24" ht="12.75">
      <c r="A544" s="69"/>
      <c r="B544" s="63"/>
      <c r="C544" s="63"/>
      <c r="D544" s="63"/>
      <c r="E544" s="63"/>
      <c r="F544" s="63"/>
      <c r="G544" s="63"/>
      <c r="H544" s="63"/>
      <c r="I544" s="63"/>
      <c r="J544" s="63"/>
      <c r="K544" s="63"/>
      <c r="L544" s="63"/>
      <c r="M544" s="63"/>
      <c r="N544" s="63"/>
      <c r="O544" s="63"/>
      <c r="P544" s="63"/>
      <c r="Q544" s="63"/>
      <c r="R544" s="63"/>
      <c r="S544" s="63"/>
      <c r="T544" s="63"/>
      <c r="U544" s="63"/>
      <c r="V544" s="63"/>
      <c r="W544" s="63"/>
      <c r="X544" s="63"/>
    </row>
    <row r="545" spans="1:24" ht="12.75">
      <c r="A545" s="69"/>
      <c r="B545" s="63"/>
      <c r="C545" s="63"/>
      <c r="D545" s="63"/>
      <c r="E545" s="63"/>
      <c r="F545" s="63"/>
      <c r="G545" s="63"/>
      <c r="H545" s="63"/>
      <c r="I545" s="63"/>
      <c r="J545" s="63"/>
      <c r="K545" s="63"/>
      <c r="L545" s="63"/>
      <c r="M545" s="63"/>
      <c r="N545" s="63"/>
      <c r="O545" s="63"/>
      <c r="P545" s="63"/>
      <c r="Q545" s="63"/>
      <c r="R545" s="63"/>
      <c r="S545" s="63"/>
      <c r="T545" s="63"/>
      <c r="U545" s="63"/>
      <c r="V545" s="63"/>
      <c r="W545" s="63"/>
      <c r="X545" s="63"/>
    </row>
    <row r="546" spans="1:24" ht="12.75">
      <c r="A546" s="69"/>
      <c r="B546" s="63"/>
      <c r="C546" s="63"/>
      <c r="D546" s="63"/>
      <c r="E546" s="63"/>
      <c r="F546" s="63"/>
      <c r="G546" s="63"/>
      <c r="H546" s="63"/>
      <c r="I546" s="63"/>
      <c r="J546" s="63"/>
      <c r="K546" s="63"/>
      <c r="L546" s="63"/>
      <c r="M546" s="63"/>
      <c r="N546" s="63"/>
      <c r="O546" s="63"/>
      <c r="P546" s="63"/>
      <c r="Q546" s="63"/>
      <c r="R546" s="63"/>
      <c r="S546" s="63"/>
      <c r="T546" s="63"/>
      <c r="U546" s="63"/>
      <c r="V546" s="63"/>
      <c r="W546" s="63"/>
      <c r="X546" s="63"/>
    </row>
    <row r="547" spans="1:24" ht="12.75">
      <c r="A547" s="69"/>
      <c r="B547" s="63"/>
      <c r="C547" s="63"/>
      <c r="D547" s="63"/>
      <c r="E547" s="63"/>
      <c r="F547" s="63"/>
      <c r="G547" s="63"/>
      <c r="H547" s="63"/>
      <c r="I547" s="63"/>
      <c r="J547" s="63"/>
      <c r="K547" s="63"/>
      <c r="L547" s="63"/>
      <c r="M547" s="63"/>
      <c r="N547" s="63"/>
      <c r="O547" s="63"/>
      <c r="P547" s="63"/>
      <c r="Q547" s="63"/>
      <c r="R547" s="63"/>
      <c r="S547" s="63"/>
      <c r="T547" s="63"/>
      <c r="U547" s="63"/>
      <c r="V547" s="63"/>
      <c r="W547" s="63"/>
      <c r="X547" s="63"/>
    </row>
    <row r="548" spans="1:24" ht="12.75">
      <c r="A548" s="69"/>
      <c r="B548" s="63"/>
      <c r="C548" s="63"/>
      <c r="D548" s="63"/>
      <c r="E548" s="63"/>
      <c r="F548" s="63"/>
      <c r="G548" s="63"/>
      <c r="H548" s="63"/>
      <c r="I548" s="63"/>
      <c r="J548" s="63"/>
      <c r="K548" s="63"/>
      <c r="L548" s="63"/>
      <c r="M548" s="63"/>
      <c r="N548" s="63"/>
      <c r="O548" s="63"/>
      <c r="P548" s="63"/>
      <c r="Q548" s="63"/>
      <c r="R548" s="63"/>
      <c r="S548" s="63"/>
      <c r="T548" s="63"/>
      <c r="U548" s="63"/>
      <c r="V548" s="63"/>
      <c r="W548" s="63"/>
      <c r="X548" s="63"/>
    </row>
    <row r="549" spans="1:24" ht="12.75">
      <c r="A549" s="69"/>
      <c r="B549" s="63"/>
      <c r="C549" s="63"/>
      <c r="D549" s="63"/>
      <c r="E549" s="63"/>
      <c r="F549" s="63"/>
      <c r="G549" s="63"/>
      <c r="H549" s="63"/>
      <c r="I549" s="63"/>
      <c r="J549" s="63"/>
      <c r="K549" s="63"/>
      <c r="L549" s="63"/>
      <c r="M549" s="63"/>
      <c r="N549" s="63"/>
      <c r="O549" s="63"/>
      <c r="P549" s="63"/>
      <c r="Q549" s="63"/>
      <c r="R549" s="63"/>
      <c r="S549" s="63"/>
      <c r="T549" s="63"/>
      <c r="U549" s="63"/>
      <c r="V549" s="63"/>
      <c r="W549" s="63"/>
      <c r="X549" s="63"/>
    </row>
    <row r="550" spans="1:24" ht="12.75">
      <c r="A550" s="69"/>
      <c r="B550" s="63"/>
      <c r="C550" s="63"/>
      <c r="D550" s="63"/>
      <c r="E550" s="63"/>
      <c r="F550" s="63"/>
      <c r="G550" s="63"/>
      <c r="H550" s="63"/>
      <c r="I550" s="63"/>
      <c r="J550" s="63"/>
      <c r="K550" s="63"/>
      <c r="L550" s="63"/>
      <c r="M550" s="63"/>
      <c r="N550" s="63"/>
      <c r="O550" s="63"/>
      <c r="P550" s="63"/>
      <c r="Q550" s="63"/>
      <c r="R550" s="63"/>
      <c r="S550" s="63"/>
      <c r="T550" s="63"/>
      <c r="U550" s="63"/>
      <c r="V550" s="63"/>
      <c r="W550" s="63"/>
      <c r="X550" s="63"/>
    </row>
    <row r="551" spans="1:24" ht="12.75">
      <c r="A551" s="69"/>
      <c r="B551" s="63"/>
      <c r="C551" s="63"/>
      <c r="D551" s="63"/>
      <c r="E551" s="63"/>
      <c r="F551" s="63"/>
      <c r="G551" s="63"/>
      <c r="H551" s="63"/>
      <c r="I551" s="63"/>
      <c r="J551" s="63"/>
      <c r="K551" s="63"/>
      <c r="L551" s="63"/>
      <c r="M551" s="63"/>
      <c r="N551" s="63"/>
      <c r="O551" s="63"/>
      <c r="P551" s="63"/>
      <c r="Q551" s="63"/>
      <c r="R551" s="63"/>
      <c r="S551" s="63"/>
      <c r="T551" s="63"/>
      <c r="U551" s="63"/>
      <c r="V551" s="63"/>
      <c r="W551" s="63"/>
      <c r="X551" s="63"/>
    </row>
    <row r="552" spans="1:24" ht="12.75">
      <c r="A552" s="69"/>
      <c r="B552" s="63"/>
      <c r="C552" s="63"/>
      <c r="D552" s="63"/>
      <c r="E552" s="63"/>
      <c r="F552" s="63"/>
      <c r="G552" s="63"/>
      <c r="H552" s="63"/>
      <c r="I552" s="63"/>
      <c r="J552" s="63"/>
      <c r="K552" s="63"/>
      <c r="L552" s="63"/>
      <c r="M552" s="63"/>
      <c r="N552" s="63"/>
      <c r="O552" s="63"/>
      <c r="P552" s="63"/>
      <c r="Q552" s="63"/>
      <c r="R552" s="63"/>
      <c r="S552" s="63"/>
      <c r="T552" s="63"/>
      <c r="U552" s="63"/>
      <c r="V552" s="63"/>
      <c r="W552" s="63"/>
      <c r="X552" s="63"/>
    </row>
    <row r="553" spans="1:24" ht="12.75">
      <c r="A553" s="69"/>
      <c r="B553" s="63"/>
      <c r="C553" s="63"/>
      <c r="D553" s="63"/>
      <c r="E553" s="63"/>
      <c r="F553" s="63"/>
      <c r="G553" s="63"/>
      <c r="H553" s="63"/>
      <c r="I553" s="63"/>
      <c r="J553" s="63"/>
      <c r="K553" s="63"/>
      <c r="L553" s="63"/>
      <c r="M553" s="63"/>
      <c r="N553" s="63"/>
      <c r="O553" s="63"/>
      <c r="P553" s="63"/>
      <c r="Q553" s="63"/>
      <c r="R553" s="63"/>
      <c r="S553" s="63"/>
      <c r="T553" s="63"/>
      <c r="U553" s="63"/>
      <c r="V553" s="63"/>
      <c r="W553" s="63"/>
      <c r="X553" s="63"/>
    </row>
    <row r="554" spans="1:24" ht="12.75">
      <c r="A554" s="69"/>
      <c r="B554" s="63"/>
      <c r="C554" s="63"/>
      <c r="D554" s="63"/>
      <c r="E554" s="63"/>
      <c r="F554" s="63"/>
      <c r="G554" s="63"/>
      <c r="H554" s="63"/>
      <c r="I554" s="63"/>
      <c r="J554" s="63"/>
      <c r="K554" s="63"/>
      <c r="L554" s="63"/>
      <c r="M554" s="63"/>
      <c r="N554" s="63"/>
      <c r="O554" s="63"/>
      <c r="P554" s="63"/>
      <c r="Q554" s="63"/>
      <c r="R554" s="63"/>
      <c r="S554" s="63"/>
      <c r="T554" s="63"/>
      <c r="U554" s="63"/>
      <c r="V554" s="63"/>
      <c r="W554" s="63"/>
      <c r="X554" s="63"/>
    </row>
    <row r="555" spans="1:24" ht="12.75">
      <c r="A555" s="69"/>
      <c r="B555" s="63"/>
      <c r="C555" s="63"/>
      <c r="D555" s="63"/>
      <c r="E555" s="63"/>
      <c r="F555" s="63"/>
      <c r="G555" s="63"/>
      <c r="H555" s="63"/>
      <c r="I555" s="63"/>
      <c r="J555" s="63"/>
      <c r="K555" s="63"/>
      <c r="L555" s="63"/>
      <c r="M555" s="63"/>
      <c r="N555" s="63"/>
      <c r="O555" s="63"/>
      <c r="P555" s="63"/>
      <c r="Q555" s="63"/>
      <c r="R555" s="63"/>
      <c r="S555" s="63"/>
      <c r="T555" s="63"/>
      <c r="U555" s="63"/>
      <c r="V555" s="63"/>
      <c r="W555" s="63"/>
      <c r="X555" s="63"/>
    </row>
    <row r="556" spans="1:24" ht="12.75">
      <c r="A556" s="69"/>
      <c r="B556" s="63"/>
      <c r="C556" s="63"/>
      <c r="D556" s="63"/>
      <c r="E556" s="63"/>
      <c r="F556" s="63"/>
      <c r="G556" s="63"/>
      <c r="H556" s="63"/>
      <c r="I556" s="63"/>
      <c r="J556" s="63"/>
      <c r="K556" s="63"/>
      <c r="L556" s="63"/>
      <c r="M556" s="63"/>
      <c r="N556" s="63"/>
      <c r="O556" s="63"/>
      <c r="P556" s="63"/>
      <c r="Q556" s="63"/>
      <c r="R556" s="63"/>
      <c r="S556" s="63"/>
      <c r="T556" s="63"/>
      <c r="U556" s="63"/>
      <c r="V556" s="63"/>
      <c r="W556" s="63"/>
      <c r="X556" s="63"/>
    </row>
    <row r="557" spans="1:24" ht="12.75">
      <c r="A557" s="69"/>
      <c r="B557" s="63"/>
      <c r="C557" s="63"/>
      <c r="D557" s="63"/>
      <c r="E557" s="63"/>
      <c r="F557" s="63"/>
      <c r="G557" s="63"/>
      <c r="H557" s="63"/>
      <c r="I557" s="63"/>
      <c r="J557" s="63"/>
      <c r="K557" s="63"/>
      <c r="L557" s="63"/>
      <c r="M557" s="63"/>
      <c r="N557" s="63"/>
      <c r="O557" s="63"/>
      <c r="P557" s="63"/>
      <c r="Q557" s="63"/>
      <c r="R557" s="63"/>
      <c r="S557" s="63"/>
      <c r="T557" s="63"/>
      <c r="U557" s="63"/>
      <c r="V557" s="63"/>
      <c r="W557" s="63"/>
      <c r="X557" s="63"/>
    </row>
    <row r="558" spans="1:24" ht="12.75">
      <c r="A558" s="69"/>
      <c r="B558" s="63"/>
      <c r="C558" s="63"/>
      <c r="D558" s="63"/>
      <c r="E558" s="63"/>
      <c r="F558" s="63"/>
      <c r="G558" s="63"/>
      <c r="H558" s="63"/>
      <c r="I558" s="63"/>
      <c r="J558" s="63"/>
      <c r="K558" s="63"/>
      <c r="L558" s="63"/>
      <c r="M558" s="63"/>
      <c r="N558" s="63"/>
      <c r="O558" s="63"/>
      <c r="P558" s="63"/>
      <c r="Q558" s="63"/>
      <c r="R558" s="63"/>
      <c r="S558" s="63"/>
      <c r="T558" s="63"/>
      <c r="U558" s="63"/>
      <c r="V558" s="63"/>
      <c r="W558" s="63"/>
      <c r="X558" s="63"/>
    </row>
    <row r="559" spans="1:24" ht="12.75">
      <c r="A559" s="69"/>
      <c r="B559" s="63"/>
      <c r="C559" s="63"/>
      <c r="D559" s="63"/>
      <c r="E559" s="63"/>
      <c r="F559" s="63"/>
      <c r="G559" s="63"/>
      <c r="H559" s="63"/>
      <c r="I559" s="63"/>
      <c r="J559" s="63"/>
      <c r="K559" s="63"/>
      <c r="L559" s="63"/>
      <c r="M559" s="63"/>
      <c r="N559" s="63"/>
      <c r="O559" s="63"/>
      <c r="P559" s="63"/>
      <c r="Q559" s="63"/>
      <c r="R559" s="63"/>
      <c r="S559" s="63"/>
      <c r="T559" s="63"/>
      <c r="U559" s="63"/>
      <c r="V559" s="63"/>
      <c r="W559" s="63"/>
      <c r="X559" s="63"/>
    </row>
    <row r="560" spans="1:24" ht="12.75">
      <c r="A560" s="69"/>
      <c r="B560" s="63"/>
      <c r="C560" s="63"/>
      <c r="D560" s="63"/>
      <c r="E560" s="63"/>
      <c r="F560" s="63"/>
      <c r="G560" s="63"/>
      <c r="H560" s="63"/>
      <c r="I560" s="63"/>
      <c r="J560" s="63"/>
      <c r="K560" s="63"/>
      <c r="L560" s="63"/>
      <c r="M560" s="63"/>
      <c r="N560" s="63"/>
      <c r="O560" s="63"/>
      <c r="P560" s="63"/>
      <c r="Q560" s="63"/>
      <c r="R560" s="63"/>
      <c r="S560" s="63"/>
      <c r="T560" s="63"/>
      <c r="U560" s="63"/>
      <c r="V560" s="63"/>
      <c r="W560" s="63"/>
      <c r="X560" s="63"/>
    </row>
    <row r="561" spans="1:24" ht="12.75">
      <c r="A561" s="69"/>
      <c r="B561" s="63"/>
      <c r="C561" s="63"/>
      <c r="D561" s="63"/>
      <c r="E561" s="63"/>
      <c r="F561" s="63"/>
      <c r="G561" s="63"/>
      <c r="H561" s="63"/>
      <c r="I561" s="63"/>
      <c r="J561" s="63"/>
      <c r="K561" s="63"/>
      <c r="L561" s="63"/>
      <c r="M561" s="63"/>
      <c r="N561" s="63"/>
      <c r="O561" s="63"/>
      <c r="P561" s="63"/>
      <c r="Q561" s="63"/>
      <c r="R561" s="63"/>
      <c r="S561" s="63"/>
      <c r="T561" s="63"/>
      <c r="U561" s="63"/>
      <c r="V561" s="63"/>
      <c r="W561" s="63"/>
      <c r="X561" s="63"/>
    </row>
    <row r="562" spans="1:24" ht="12.75">
      <c r="A562" s="69"/>
      <c r="B562" s="63"/>
      <c r="C562" s="63"/>
      <c r="D562" s="63"/>
      <c r="E562" s="63"/>
      <c r="F562" s="63"/>
      <c r="G562" s="63"/>
      <c r="H562" s="63"/>
      <c r="I562" s="63"/>
      <c r="J562" s="63"/>
      <c r="K562" s="63"/>
      <c r="L562" s="63"/>
      <c r="M562" s="63"/>
      <c r="N562" s="63"/>
      <c r="O562" s="63"/>
      <c r="P562" s="63"/>
      <c r="Q562" s="63"/>
      <c r="R562" s="63"/>
      <c r="S562" s="63"/>
      <c r="T562" s="63"/>
      <c r="U562" s="63"/>
      <c r="V562" s="63"/>
      <c r="W562" s="63"/>
      <c r="X562" s="63"/>
    </row>
    <row r="563" spans="1:24" ht="12.75">
      <c r="A563" s="69"/>
      <c r="B563" s="63"/>
      <c r="C563" s="63"/>
      <c r="D563" s="63"/>
      <c r="E563" s="63"/>
      <c r="F563" s="63"/>
      <c r="G563" s="63"/>
      <c r="H563" s="63"/>
      <c r="I563" s="63"/>
      <c r="J563" s="63"/>
      <c r="K563" s="63"/>
      <c r="L563" s="63"/>
      <c r="M563" s="63"/>
      <c r="N563" s="63"/>
      <c r="O563" s="63"/>
      <c r="P563" s="63"/>
      <c r="Q563" s="63"/>
      <c r="R563" s="63"/>
      <c r="S563" s="63"/>
      <c r="T563" s="63"/>
      <c r="U563" s="63"/>
      <c r="V563" s="63"/>
      <c r="W563" s="63"/>
      <c r="X563" s="63"/>
    </row>
    <row r="564" spans="1:24" ht="12.75">
      <c r="A564" s="69"/>
      <c r="B564" s="63"/>
      <c r="C564" s="63"/>
      <c r="D564" s="63"/>
      <c r="E564" s="63"/>
      <c r="F564" s="63"/>
      <c r="G564" s="63"/>
      <c r="H564" s="63"/>
      <c r="I564" s="63"/>
      <c r="J564" s="63"/>
      <c r="K564" s="63"/>
      <c r="L564" s="63"/>
      <c r="M564" s="63"/>
      <c r="N564" s="63"/>
      <c r="O564" s="63"/>
      <c r="P564" s="63"/>
      <c r="Q564" s="63"/>
      <c r="R564" s="63"/>
      <c r="S564" s="63"/>
      <c r="T564" s="63"/>
      <c r="U564" s="63"/>
      <c r="V564" s="63"/>
      <c r="W564" s="63"/>
      <c r="X564" s="63"/>
    </row>
    <row r="565" spans="1:24" ht="12.75">
      <c r="A565" s="69"/>
      <c r="B565" s="63"/>
      <c r="C565" s="63"/>
      <c r="D565" s="63"/>
      <c r="E565" s="63"/>
      <c r="F565" s="63"/>
      <c r="G565" s="63"/>
      <c r="H565" s="63"/>
      <c r="I565" s="63"/>
      <c r="J565" s="63"/>
      <c r="K565" s="63"/>
      <c r="L565" s="63"/>
      <c r="M565" s="63"/>
      <c r="N565" s="63"/>
      <c r="O565" s="63"/>
      <c r="P565" s="63"/>
      <c r="Q565" s="63"/>
      <c r="R565" s="63"/>
      <c r="S565" s="63"/>
      <c r="T565" s="63"/>
      <c r="U565" s="63"/>
      <c r="V565" s="63"/>
      <c r="W565" s="63"/>
      <c r="X565" s="63"/>
    </row>
    <row r="566" spans="1:24" ht="12.75">
      <c r="A566" s="69"/>
      <c r="B566" s="63"/>
      <c r="C566" s="63"/>
      <c r="D566" s="63"/>
      <c r="E566" s="63"/>
      <c r="F566" s="63"/>
      <c r="G566" s="63"/>
      <c r="H566" s="63"/>
      <c r="I566" s="63"/>
      <c r="J566" s="63"/>
      <c r="K566" s="63"/>
      <c r="L566" s="63"/>
      <c r="M566" s="63"/>
      <c r="N566" s="63"/>
      <c r="O566" s="63"/>
      <c r="P566" s="63"/>
      <c r="Q566" s="63"/>
      <c r="R566" s="63"/>
      <c r="S566" s="63"/>
      <c r="T566" s="63"/>
      <c r="U566" s="63"/>
      <c r="V566" s="63"/>
      <c r="W566" s="63"/>
      <c r="X566" s="63"/>
    </row>
    <row r="567" spans="1:24" ht="12.75">
      <c r="A567" s="69"/>
      <c r="B567" s="63"/>
      <c r="C567" s="63"/>
      <c r="D567" s="63"/>
      <c r="E567" s="63"/>
      <c r="F567" s="63"/>
      <c r="G567" s="63"/>
      <c r="H567" s="63"/>
      <c r="I567" s="63"/>
      <c r="J567" s="63"/>
      <c r="K567" s="63"/>
      <c r="L567" s="63"/>
      <c r="M567" s="63"/>
      <c r="N567" s="63"/>
      <c r="O567" s="63"/>
      <c r="P567" s="63"/>
      <c r="Q567" s="63"/>
      <c r="R567" s="63"/>
      <c r="S567" s="63"/>
      <c r="T567" s="63"/>
      <c r="U567" s="63"/>
      <c r="V567" s="63"/>
      <c r="W567" s="63"/>
      <c r="X567" s="63"/>
    </row>
    <row r="568" spans="1:24" ht="12.75">
      <c r="A568" s="69"/>
      <c r="B568" s="63"/>
      <c r="C568" s="63"/>
      <c r="D568" s="63"/>
      <c r="E568" s="63"/>
      <c r="F568" s="63"/>
      <c r="G568" s="63"/>
      <c r="H568" s="63"/>
      <c r="I568" s="63"/>
      <c r="J568" s="63"/>
      <c r="K568" s="63"/>
      <c r="L568" s="63"/>
      <c r="M568" s="63"/>
      <c r="N568" s="63"/>
      <c r="O568" s="63"/>
      <c r="P568" s="63"/>
      <c r="Q568" s="63"/>
      <c r="R568" s="63"/>
      <c r="S568" s="63"/>
      <c r="T568" s="63"/>
      <c r="U568" s="63"/>
      <c r="V568" s="63"/>
      <c r="W568" s="63"/>
      <c r="X568" s="63"/>
    </row>
    <row r="569" spans="1:24" ht="12.75">
      <c r="A569" s="69"/>
      <c r="B569" s="63"/>
      <c r="C569" s="63"/>
      <c r="D569" s="63"/>
      <c r="E569" s="63"/>
      <c r="F569" s="63"/>
      <c r="G569" s="63"/>
      <c r="H569" s="63"/>
      <c r="I569" s="63"/>
      <c r="J569" s="63"/>
      <c r="K569" s="63"/>
      <c r="L569" s="63"/>
      <c r="M569" s="63"/>
      <c r="N569" s="63"/>
      <c r="O569" s="63"/>
      <c r="P569" s="63"/>
      <c r="Q569" s="63"/>
      <c r="R569" s="63"/>
      <c r="S569" s="63"/>
      <c r="T569" s="63"/>
      <c r="U569" s="63"/>
      <c r="V569" s="63"/>
      <c r="W569" s="63"/>
      <c r="X569" s="63"/>
    </row>
    <row r="570" spans="1:24" ht="12.75">
      <c r="A570" s="69"/>
      <c r="B570" s="63"/>
      <c r="C570" s="63"/>
      <c r="D570" s="63"/>
      <c r="E570" s="63"/>
      <c r="F570" s="63"/>
      <c r="G570" s="63"/>
      <c r="H570" s="63"/>
      <c r="I570" s="63"/>
      <c r="J570" s="63"/>
      <c r="K570" s="63"/>
      <c r="L570" s="63"/>
      <c r="M570" s="63"/>
      <c r="N570" s="63"/>
      <c r="O570" s="63"/>
      <c r="P570" s="63"/>
      <c r="Q570" s="63"/>
      <c r="R570" s="63"/>
      <c r="S570" s="63"/>
      <c r="T570" s="63"/>
      <c r="U570" s="63"/>
      <c r="V570" s="63"/>
      <c r="W570" s="63"/>
      <c r="X570" s="63"/>
    </row>
    <row r="571" spans="1:24" ht="12.75">
      <c r="A571" s="69"/>
      <c r="B571" s="63"/>
      <c r="C571" s="63"/>
      <c r="D571" s="63"/>
      <c r="E571" s="63"/>
      <c r="F571" s="63"/>
      <c r="G571" s="63"/>
      <c r="H571" s="63"/>
      <c r="I571" s="63"/>
      <c r="J571" s="63"/>
      <c r="K571" s="63"/>
      <c r="L571" s="63"/>
      <c r="M571" s="63"/>
      <c r="N571" s="63"/>
      <c r="O571" s="63"/>
      <c r="P571" s="63"/>
      <c r="Q571" s="63"/>
      <c r="R571" s="63"/>
      <c r="S571" s="63"/>
      <c r="T571" s="63"/>
      <c r="U571" s="63"/>
      <c r="V571" s="63"/>
      <c r="W571" s="63"/>
      <c r="X571" s="63"/>
    </row>
    <row r="572" spans="1:24" ht="12.75">
      <c r="A572" s="69"/>
      <c r="B572" s="63"/>
      <c r="C572" s="63"/>
      <c r="D572" s="63"/>
      <c r="E572" s="63"/>
      <c r="F572" s="63"/>
      <c r="G572" s="63"/>
      <c r="H572" s="63"/>
      <c r="I572" s="63"/>
      <c r="J572" s="63"/>
      <c r="K572" s="63"/>
      <c r="L572" s="63"/>
      <c r="M572" s="63"/>
      <c r="N572" s="63"/>
      <c r="O572" s="63"/>
      <c r="P572" s="63"/>
      <c r="Q572" s="63"/>
      <c r="R572" s="63"/>
      <c r="S572" s="63"/>
      <c r="T572" s="63"/>
      <c r="U572" s="63"/>
      <c r="V572" s="63"/>
      <c r="W572" s="63"/>
      <c r="X572" s="63"/>
    </row>
    <row r="573" spans="1:24" ht="12.75">
      <c r="A573" s="69"/>
      <c r="B573" s="63"/>
      <c r="C573" s="63"/>
      <c r="D573" s="63"/>
      <c r="E573" s="63"/>
      <c r="F573" s="63"/>
      <c r="G573" s="63"/>
      <c r="H573" s="63"/>
      <c r="I573" s="63"/>
      <c r="J573" s="63"/>
      <c r="K573" s="63"/>
      <c r="L573" s="63"/>
      <c r="M573" s="63"/>
      <c r="N573" s="63"/>
      <c r="O573" s="63"/>
      <c r="P573" s="63"/>
      <c r="Q573" s="63"/>
      <c r="R573" s="63"/>
      <c r="S573" s="63"/>
      <c r="T573" s="63"/>
      <c r="U573" s="63"/>
      <c r="V573" s="63"/>
      <c r="W573" s="63"/>
      <c r="X573" s="63"/>
    </row>
    <row r="574" spans="1:24" ht="12.75">
      <c r="A574" s="69"/>
      <c r="B574" s="63"/>
      <c r="C574" s="63"/>
      <c r="D574" s="63"/>
      <c r="E574" s="63"/>
      <c r="F574" s="63"/>
      <c r="G574" s="63"/>
      <c r="H574" s="63"/>
      <c r="I574" s="63"/>
      <c r="J574" s="63"/>
      <c r="K574" s="63"/>
      <c r="L574" s="63"/>
      <c r="M574" s="63"/>
      <c r="N574" s="63"/>
      <c r="O574" s="63"/>
      <c r="P574" s="63"/>
      <c r="Q574" s="63"/>
      <c r="R574" s="63"/>
      <c r="S574" s="63"/>
      <c r="T574" s="63"/>
      <c r="U574" s="63"/>
      <c r="V574" s="63"/>
      <c r="W574" s="63"/>
      <c r="X574" s="63"/>
    </row>
    <row r="575" spans="1:24" ht="12.75">
      <c r="A575" s="69"/>
      <c r="B575" s="63"/>
      <c r="C575" s="63"/>
      <c r="D575" s="63"/>
      <c r="E575" s="63"/>
      <c r="F575" s="63"/>
      <c r="G575" s="63"/>
      <c r="H575" s="63"/>
      <c r="I575" s="63"/>
      <c r="J575" s="63"/>
      <c r="K575" s="63"/>
      <c r="L575" s="63"/>
      <c r="M575" s="63"/>
      <c r="N575" s="63"/>
      <c r="O575" s="63"/>
      <c r="P575" s="63"/>
      <c r="Q575" s="63"/>
      <c r="R575" s="63"/>
      <c r="S575" s="63"/>
      <c r="T575" s="63"/>
      <c r="U575" s="63"/>
      <c r="V575" s="63"/>
      <c r="W575" s="63"/>
      <c r="X575" s="63"/>
    </row>
    <row r="576" spans="1:24" ht="12.75">
      <c r="A576" s="69"/>
      <c r="B576" s="63"/>
      <c r="C576" s="63"/>
      <c r="D576" s="63"/>
      <c r="E576" s="63"/>
      <c r="F576" s="63"/>
      <c r="G576" s="63"/>
      <c r="H576" s="63"/>
      <c r="I576" s="63"/>
      <c r="J576" s="63"/>
      <c r="K576" s="63"/>
      <c r="L576" s="63"/>
      <c r="M576" s="63"/>
      <c r="N576" s="63"/>
      <c r="O576" s="63"/>
      <c r="P576" s="63"/>
      <c r="Q576" s="63"/>
      <c r="R576" s="63"/>
      <c r="S576" s="63"/>
      <c r="T576" s="63"/>
      <c r="U576" s="63"/>
      <c r="V576" s="63"/>
      <c r="W576" s="63"/>
      <c r="X576" s="63"/>
    </row>
    <row r="577" spans="1:24" ht="12.75">
      <c r="A577" s="69"/>
      <c r="B577" s="63"/>
      <c r="C577" s="63"/>
      <c r="D577" s="63"/>
      <c r="E577" s="63"/>
      <c r="F577" s="63"/>
      <c r="G577" s="63"/>
      <c r="H577" s="63"/>
      <c r="I577" s="63"/>
      <c r="J577" s="63"/>
      <c r="K577" s="63"/>
      <c r="L577" s="63"/>
      <c r="M577" s="63"/>
      <c r="N577" s="63"/>
      <c r="O577" s="63"/>
      <c r="P577" s="63"/>
      <c r="Q577" s="63"/>
      <c r="R577" s="63"/>
      <c r="S577" s="63"/>
      <c r="T577" s="63"/>
      <c r="U577" s="63"/>
      <c r="V577" s="63"/>
      <c r="W577" s="63"/>
      <c r="X577" s="63"/>
    </row>
    <row r="578" spans="1:24" ht="12.75">
      <c r="A578" s="69"/>
      <c r="B578" s="63"/>
      <c r="C578" s="63"/>
      <c r="D578" s="63"/>
      <c r="E578" s="63"/>
      <c r="F578" s="63"/>
      <c r="G578" s="63"/>
      <c r="H578" s="63"/>
      <c r="I578" s="63"/>
      <c r="J578" s="63"/>
      <c r="K578" s="63"/>
      <c r="L578" s="63"/>
      <c r="M578" s="63"/>
      <c r="N578" s="63"/>
      <c r="O578" s="63"/>
      <c r="P578" s="63"/>
      <c r="Q578" s="63"/>
      <c r="R578" s="63"/>
      <c r="S578" s="63"/>
      <c r="T578" s="63"/>
      <c r="U578" s="63"/>
      <c r="V578" s="63"/>
      <c r="W578" s="63"/>
      <c r="X578" s="63"/>
    </row>
    <row r="579" spans="1:24" ht="12.75">
      <c r="A579" s="69"/>
      <c r="B579" s="63"/>
      <c r="C579" s="63"/>
      <c r="D579" s="63"/>
      <c r="E579" s="63"/>
      <c r="F579" s="63"/>
      <c r="G579" s="63"/>
      <c r="H579" s="63"/>
      <c r="I579" s="63"/>
      <c r="J579" s="63"/>
      <c r="K579" s="63"/>
      <c r="L579" s="63"/>
      <c r="M579" s="63"/>
      <c r="N579" s="63"/>
      <c r="O579" s="63"/>
      <c r="P579" s="63"/>
      <c r="Q579" s="63"/>
      <c r="R579" s="63"/>
      <c r="S579" s="63"/>
      <c r="T579" s="63"/>
      <c r="U579" s="63"/>
      <c r="V579" s="63"/>
      <c r="W579" s="63"/>
      <c r="X579" s="63"/>
    </row>
    <row r="580" spans="1:24" ht="12.75">
      <c r="A580" s="69"/>
      <c r="B580" s="63"/>
      <c r="C580" s="63"/>
      <c r="D580" s="63"/>
      <c r="E580" s="63"/>
      <c r="F580" s="63"/>
      <c r="G580" s="63"/>
      <c r="H580" s="63"/>
      <c r="I580" s="63"/>
      <c r="J580" s="63"/>
      <c r="K580" s="63"/>
      <c r="L580" s="63"/>
      <c r="M580" s="63"/>
      <c r="N580" s="63"/>
      <c r="O580" s="63"/>
      <c r="P580" s="63"/>
      <c r="Q580" s="63"/>
      <c r="R580" s="63"/>
      <c r="S580" s="63"/>
      <c r="T580" s="63"/>
      <c r="U580" s="63"/>
      <c r="V580" s="63"/>
      <c r="W580" s="63"/>
      <c r="X580" s="63"/>
    </row>
    <row r="581" spans="1:24" ht="12.75">
      <c r="A581" s="69"/>
      <c r="B581" s="63"/>
      <c r="C581" s="63"/>
      <c r="D581" s="63"/>
      <c r="E581" s="63"/>
      <c r="F581" s="63"/>
      <c r="G581" s="63"/>
      <c r="H581" s="63"/>
      <c r="I581" s="63"/>
      <c r="J581" s="63"/>
      <c r="K581" s="63"/>
      <c r="L581" s="63"/>
      <c r="M581" s="63"/>
      <c r="N581" s="63"/>
      <c r="O581" s="63"/>
      <c r="P581" s="63"/>
      <c r="Q581" s="63"/>
      <c r="R581" s="63"/>
      <c r="S581" s="63"/>
      <c r="T581" s="63"/>
      <c r="U581" s="63"/>
      <c r="V581" s="63"/>
      <c r="W581" s="63"/>
      <c r="X581" s="63"/>
    </row>
    <row r="582" spans="1:24" ht="12.75">
      <c r="A582" s="69"/>
      <c r="B582" s="63"/>
      <c r="C582" s="63"/>
      <c r="D582" s="63"/>
      <c r="E582" s="63"/>
      <c r="F582" s="63"/>
      <c r="G582" s="63"/>
      <c r="H582" s="63"/>
      <c r="I582" s="63"/>
      <c r="J582" s="63"/>
      <c r="K582" s="63"/>
      <c r="L582" s="63"/>
      <c r="M582" s="63"/>
      <c r="N582" s="63"/>
      <c r="O582" s="63"/>
      <c r="P582" s="63"/>
      <c r="Q582" s="63"/>
      <c r="R582" s="63"/>
      <c r="S582" s="63"/>
      <c r="T582" s="63"/>
      <c r="U582" s="63"/>
      <c r="V582" s="63"/>
      <c r="W582" s="63"/>
      <c r="X582" s="63"/>
    </row>
    <row r="583" spans="1:24" ht="12.75">
      <c r="A583" s="69"/>
      <c r="B583" s="63"/>
      <c r="C583" s="63"/>
      <c r="D583" s="63"/>
      <c r="E583" s="63"/>
      <c r="F583" s="63"/>
      <c r="G583" s="63"/>
      <c r="H583" s="63"/>
      <c r="I583" s="63"/>
      <c r="J583" s="63"/>
      <c r="K583" s="63"/>
      <c r="L583" s="63"/>
      <c r="M583" s="63"/>
      <c r="N583" s="63"/>
      <c r="O583" s="63"/>
      <c r="P583" s="63"/>
      <c r="Q583" s="63"/>
      <c r="R583" s="63"/>
      <c r="S583" s="63"/>
      <c r="T583" s="63"/>
      <c r="U583" s="63"/>
      <c r="V583" s="63"/>
      <c r="W583" s="63"/>
      <c r="X583" s="63"/>
    </row>
    <row r="584" spans="1:24" ht="12.75">
      <c r="A584" s="69"/>
      <c r="B584" s="63"/>
      <c r="C584" s="63"/>
      <c r="D584" s="63"/>
      <c r="E584" s="63"/>
      <c r="F584" s="63"/>
      <c r="G584" s="63"/>
      <c r="H584" s="63"/>
      <c r="I584" s="63"/>
      <c r="J584" s="63"/>
      <c r="K584" s="63"/>
      <c r="L584" s="63"/>
      <c r="M584" s="63"/>
      <c r="N584" s="63"/>
      <c r="O584" s="63"/>
      <c r="P584" s="63"/>
      <c r="Q584" s="63"/>
      <c r="R584" s="63"/>
      <c r="S584" s="63"/>
      <c r="T584" s="63"/>
      <c r="U584" s="63"/>
      <c r="V584" s="63"/>
      <c r="W584" s="63"/>
      <c r="X584" s="63"/>
    </row>
    <row r="585" spans="1:24" ht="12.75">
      <c r="A585" s="69"/>
      <c r="B585" s="63"/>
      <c r="C585" s="63"/>
      <c r="D585" s="63"/>
      <c r="E585" s="63"/>
      <c r="F585" s="63"/>
      <c r="G585" s="63"/>
      <c r="H585" s="63"/>
      <c r="I585" s="63"/>
      <c r="J585" s="63"/>
      <c r="K585" s="63"/>
      <c r="L585" s="63"/>
      <c r="M585" s="63"/>
      <c r="N585" s="63"/>
      <c r="O585" s="63"/>
      <c r="P585" s="63"/>
      <c r="Q585" s="63"/>
      <c r="R585" s="63"/>
      <c r="S585" s="63"/>
      <c r="T585" s="63"/>
      <c r="U585" s="63"/>
      <c r="V585" s="63"/>
      <c r="W585" s="63"/>
      <c r="X585" s="63"/>
    </row>
    <row r="586" spans="1:24" ht="12.75">
      <c r="A586" s="69"/>
      <c r="B586" s="63"/>
      <c r="C586" s="63"/>
      <c r="D586" s="63"/>
      <c r="E586" s="63"/>
      <c r="F586" s="63"/>
      <c r="G586" s="63"/>
      <c r="H586" s="63"/>
      <c r="I586" s="63"/>
      <c r="J586" s="63"/>
      <c r="K586" s="63"/>
      <c r="L586" s="63"/>
      <c r="M586" s="63"/>
      <c r="N586" s="63"/>
      <c r="O586" s="63"/>
      <c r="P586" s="63"/>
      <c r="Q586" s="63"/>
      <c r="R586" s="63"/>
      <c r="S586" s="63"/>
      <c r="T586" s="63"/>
      <c r="U586" s="63"/>
      <c r="V586" s="63"/>
      <c r="W586" s="63"/>
      <c r="X586" s="63"/>
    </row>
    <row r="587" spans="1:24" ht="12.75">
      <c r="A587" s="69"/>
      <c r="B587" s="63"/>
      <c r="C587" s="63"/>
      <c r="D587" s="63"/>
      <c r="E587" s="63"/>
      <c r="F587" s="63"/>
      <c r="G587" s="63"/>
      <c r="H587" s="63"/>
      <c r="I587" s="63"/>
      <c r="J587" s="63"/>
      <c r="K587" s="63"/>
      <c r="L587" s="63"/>
      <c r="M587" s="63"/>
      <c r="N587" s="63"/>
      <c r="O587" s="63"/>
      <c r="P587" s="63"/>
      <c r="Q587" s="63"/>
      <c r="R587" s="63"/>
      <c r="S587" s="63"/>
      <c r="T587" s="63"/>
      <c r="U587" s="63"/>
      <c r="V587" s="63"/>
      <c r="W587" s="63"/>
      <c r="X587" s="63"/>
    </row>
    <row r="588" spans="1:24" ht="12.75">
      <c r="A588" s="69"/>
      <c r="B588" s="63"/>
      <c r="C588" s="63"/>
      <c r="D588" s="63"/>
      <c r="E588" s="63"/>
      <c r="F588" s="63"/>
      <c r="G588" s="63"/>
      <c r="H588" s="63"/>
      <c r="I588" s="63"/>
      <c r="J588" s="63"/>
      <c r="K588" s="63"/>
      <c r="L588" s="63"/>
      <c r="M588" s="63"/>
      <c r="N588" s="63"/>
      <c r="O588" s="63"/>
      <c r="P588" s="63"/>
      <c r="Q588" s="63"/>
      <c r="R588" s="63"/>
      <c r="S588" s="63"/>
      <c r="T588" s="63"/>
      <c r="U588" s="63"/>
      <c r="V588" s="63"/>
      <c r="W588" s="63"/>
      <c r="X588" s="63"/>
    </row>
    <row r="589" spans="1:24" ht="12.75">
      <c r="A589" s="69"/>
      <c r="B589" s="63"/>
      <c r="C589" s="63"/>
      <c r="D589" s="63"/>
      <c r="E589" s="63"/>
      <c r="F589" s="63"/>
      <c r="G589" s="63"/>
      <c r="H589" s="63"/>
      <c r="I589" s="63"/>
      <c r="J589" s="63"/>
      <c r="K589" s="63"/>
      <c r="L589" s="63"/>
      <c r="M589" s="63"/>
      <c r="N589" s="63"/>
      <c r="O589" s="63"/>
      <c r="P589" s="63"/>
      <c r="Q589" s="63"/>
      <c r="R589" s="63"/>
      <c r="S589" s="63"/>
      <c r="T589" s="63"/>
      <c r="U589" s="63"/>
      <c r="V589" s="63"/>
      <c r="W589" s="63"/>
      <c r="X589" s="63"/>
    </row>
    <row r="590" spans="1:24" ht="12.75">
      <c r="A590" s="69"/>
      <c r="B590" s="63"/>
      <c r="C590" s="63"/>
      <c r="D590" s="63"/>
      <c r="E590" s="63"/>
      <c r="F590" s="63"/>
      <c r="G590" s="63"/>
      <c r="H590" s="63"/>
      <c r="I590" s="63"/>
      <c r="J590" s="63"/>
      <c r="K590" s="63"/>
      <c r="L590" s="63"/>
      <c r="M590" s="63"/>
      <c r="N590" s="63"/>
      <c r="O590" s="63"/>
      <c r="P590" s="63"/>
      <c r="Q590" s="63"/>
      <c r="R590" s="63"/>
      <c r="S590" s="63"/>
      <c r="T590" s="63"/>
      <c r="U590" s="63"/>
      <c r="V590" s="63"/>
      <c r="W590" s="63"/>
      <c r="X590" s="63"/>
    </row>
    <row r="591" spans="1:24" ht="12.75">
      <c r="A591" s="69"/>
      <c r="B591" s="63"/>
      <c r="C591" s="63"/>
      <c r="D591" s="63"/>
      <c r="E591" s="63"/>
      <c r="F591" s="63"/>
      <c r="G591" s="63"/>
      <c r="H591" s="63"/>
      <c r="I591" s="63"/>
      <c r="J591" s="63"/>
      <c r="K591" s="63"/>
      <c r="L591" s="63"/>
      <c r="M591" s="63"/>
      <c r="N591" s="63"/>
      <c r="O591" s="63"/>
      <c r="P591" s="63"/>
      <c r="Q591" s="63"/>
      <c r="R591" s="63"/>
      <c r="S591" s="63"/>
      <c r="T591" s="63"/>
      <c r="U591" s="63"/>
      <c r="V591" s="63"/>
      <c r="W591" s="63"/>
      <c r="X591" s="63"/>
    </row>
    <row r="592" spans="1:24" ht="12.75">
      <c r="A592" s="69"/>
      <c r="B592" s="63"/>
      <c r="C592" s="63"/>
      <c r="D592" s="63"/>
      <c r="E592" s="63"/>
      <c r="F592" s="63"/>
      <c r="G592" s="63"/>
      <c r="H592" s="63"/>
      <c r="I592" s="63"/>
      <c r="J592" s="63"/>
      <c r="K592" s="63"/>
      <c r="L592" s="63"/>
      <c r="M592" s="63"/>
      <c r="N592" s="63"/>
      <c r="O592" s="63"/>
      <c r="P592" s="63"/>
      <c r="Q592" s="63"/>
      <c r="R592" s="63"/>
      <c r="S592" s="63"/>
      <c r="T592" s="63"/>
      <c r="U592" s="63"/>
      <c r="V592" s="63"/>
      <c r="W592" s="63"/>
      <c r="X592" s="63"/>
    </row>
    <row r="593" spans="1:24" ht="12.75">
      <c r="A593" s="69"/>
      <c r="B593" s="63"/>
      <c r="C593" s="63"/>
      <c r="D593" s="63"/>
      <c r="E593" s="63"/>
      <c r="F593" s="63"/>
      <c r="G593" s="63"/>
      <c r="H593" s="63"/>
      <c r="I593" s="63"/>
      <c r="J593" s="63"/>
      <c r="K593" s="63"/>
      <c r="L593" s="63"/>
      <c r="M593" s="63"/>
      <c r="N593" s="63"/>
      <c r="O593" s="63"/>
      <c r="P593" s="63"/>
      <c r="Q593" s="63"/>
      <c r="R593" s="63"/>
      <c r="S593" s="63"/>
      <c r="T593" s="63"/>
      <c r="U593" s="63"/>
      <c r="V593" s="63"/>
      <c r="W593" s="63"/>
      <c r="X593" s="63"/>
    </row>
    <row r="594" spans="1:24" ht="12.75">
      <c r="A594" s="69"/>
      <c r="B594" s="63"/>
      <c r="C594" s="63"/>
      <c r="D594" s="63"/>
      <c r="E594" s="63"/>
      <c r="F594" s="63"/>
      <c r="G594" s="63"/>
      <c r="H594" s="63"/>
      <c r="I594" s="63"/>
      <c r="J594" s="63"/>
      <c r="K594" s="63"/>
      <c r="L594" s="63"/>
      <c r="M594" s="63"/>
      <c r="N594" s="63"/>
      <c r="O594" s="63"/>
      <c r="P594" s="63"/>
      <c r="Q594" s="63"/>
      <c r="R594" s="63"/>
      <c r="S594" s="63"/>
      <c r="T594" s="63"/>
      <c r="U594" s="63"/>
      <c r="V594" s="63"/>
      <c r="W594" s="63"/>
      <c r="X594" s="63"/>
    </row>
    <row r="595" spans="1:24" ht="12.75">
      <c r="A595" s="69"/>
      <c r="B595" s="63"/>
      <c r="C595" s="63"/>
      <c r="D595" s="63"/>
      <c r="E595" s="63"/>
      <c r="F595" s="63"/>
      <c r="G595" s="63"/>
      <c r="H595" s="63"/>
      <c r="I595" s="63"/>
      <c r="J595" s="63"/>
      <c r="K595" s="63"/>
      <c r="L595" s="63"/>
      <c r="M595" s="63"/>
      <c r="N595" s="63"/>
      <c r="O595" s="63"/>
      <c r="P595" s="63"/>
      <c r="Q595" s="63"/>
      <c r="R595" s="63"/>
      <c r="S595" s="63"/>
      <c r="T595" s="63"/>
      <c r="U595" s="63"/>
      <c r="V595" s="63"/>
      <c r="W595" s="63"/>
      <c r="X595" s="63"/>
    </row>
    <row r="596" spans="1:24" ht="12.75">
      <c r="A596" s="69"/>
      <c r="B596" s="63"/>
      <c r="C596" s="63"/>
      <c r="D596" s="63"/>
      <c r="E596" s="63"/>
      <c r="F596" s="63"/>
      <c r="G596" s="63"/>
      <c r="H596" s="63"/>
      <c r="I596" s="63"/>
      <c r="J596" s="63"/>
      <c r="K596" s="63"/>
      <c r="L596" s="63"/>
      <c r="M596" s="63"/>
      <c r="N596" s="63"/>
      <c r="O596" s="63"/>
      <c r="P596" s="63"/>
      <c r="Q596" s="63"/>
      <c r="R596" s="63"/>
      <c r="S596" s="63"/>
      <c r="T596" s="63"/>
      <c r="U596" s="63"/>
      <c r="V596" s="63"/>
      <c r="W596" s="63"/>
      <c r="X596" s="63"/>
    </row>
    <row r="597" spans="1:24" ht="12.75">
      <c r="A597" s="69"/>
      <c r="B597" s="63"/>
      <c r="C597" s="63"/>
      <c r="D597" s="63"/>
      <c r="E597" s="63"/>
      <c r="F597" s="63"/>
      <c r="G597" s="63"/>
      <c r="H597" s="63"/>
      <c r="I597" s="63"/>
      <c r="J597" s="63"/>
      <c r="K597" s="63"/>
      <c r="L597" s="63"/>
      <c r="M597" s="63"/>
      <c r="N597" s="63"/>
      <c r="O597" s="63"/>
      <c r="P597" s="63"/>
      <c r="Q597" s="63"/>
      <c r="R597" s="63"/>
      <c r="S597" s="63"/>
      <c r="T597" s="63"/>
      <c r="U597" s="63"/>
      <c r="V597" s="63"/>
      <c r="W597" s="63"/>
      <c r="X597" s="63"/>
    </row>
    <row r="598" spans="1:24" ht="12.75">
      <c r="A598" s="69"/>
      <c r="B598" s="63"/>
      <c r="C598" s="63"/>
      <c r="D598" s="63"/>
      <c r="E598" s="63"/>
      <c r="F598" s="63"/>
      <c r="G598" s="63"/>
      <c r="H598" s="63"/>
      <c r="I598" s="63"/>
      <c r="J598" s="63"/>
      <c r="K598" s="63"/>
      <c r="L598" s="63"/>
      <c r="M598" s="63"/>
      <c r="N598" s="63"/>
      <c r="O598" s="63"/>
      <c r="P598" s="63"/>
      <c r="Q598" s="63"/>
      <c r="R598" s="63"/>
      <c r="S598" s="63"/>
      <c r="T598" s="63"/>
      <c r="U598" s="63"/>
      <c r="V598" s="63"/>
      <c r="W598" s="63"/>
      <c r="X598" s="63"/>
    </row>
    <row r="599" spans="1:24" ht="12.75">
      <c r="A599" s="69"/>
      <c r="B599" s="63"/>
      <c r="C599" s="63"/>
      <c r="D599" s="63"/>
      <c r="E599" s="63"/>
      <c r="F599" s="63"/>
      <c r="G599" s="63"/>
      <c r="H599" s="63"/>
      <c r="I599" s="63"/>
      <c r="J599" s="63"/>
      <c r="K599" s="63"/>
      <c r="L599" s="63"/>
      <c r="M599" s="63"/>
      <c r="N599" s="63"/>
      <c r="O599" s="63"/>
      <c r="P599" s="63"/>
      <c r="Q599" s="63"/>
      <c r="R599" s="63"/>
      <c r="S599" s="63"/>
      <c r="T599" s="63"/>
      <c r="U599" s="63"/>
      <c r="V599" s="63"/>
      <c r="W599" s="63"/>
      <c r="X599" s="63"/>
    </row>
    <row r="600" spans="1:24" ht="12.75">
      <c r="A600" s="69"/>
      <c r="B600" s="63"/>
      <c r="C600" s="63"/>
      <c r="D600" s="63"/>
      <c r="E600" s="63"/>
      <c r="F600" s="63"/>
      <c r="G600" s="63"/>
      <c r="H600" s="63"/>
      <c r="I600" s="63"/>
      <c r="J600" s="63"/>
      <c r="K600" s="63"/>
      <c r="L600" s="63"/>
      <c r="M600" s="63"/>
      <c r="N600" s="63"/>
      <c r="O600" s="63"/>
      <c r="P600" s="63"/>
      <c r="Q600" s="63"/>
      <c r="R600" s="63"/>
      <c r="S600" s="63"/>
      <c r="T600" s="63"/>
      <c r="U600" s="63"/>
      <c r="V600" s="63"/>
      <c r="W600" s="63"/>
      <c r="X600" s="63"/>
    </row>
    <row r="601" spans="1:24" ht="12.75">
      <c r="A601" s="69"/>
      <c r="B601" s="63"/>
      <c r="C601" s="63"/>
      <c r="D601" s="63"/>
      <c r="E601" s="63"/>
      <c r="F601" s="63"/>
      <c r="G601" s="63"/>
      <c r="H601" s="63"/>
      <c r="I601" s="63"/>
      <c r="J601" s="63"/>
      <c r="K601" s="63"/>
      <c r="L601" s="63"/>
      <c r="M601" s="63"/>
      <c r="N601" s="63"/>
      <c r="O601" s="63"/>
      <c r="P601" s="63"/>
      <c r="Q601" s="63"/>
      <c r="R601" s="63"/>
      <c r="S601" s="63"/>
      <c r="T601" s="63"/>
      <c r="U601" s="63"/>
      <c r="V601" s="63"/>
      <c r="W601" s="63"/>
      <c r="X601" s="63"/>
    </row>
    <row r="602" spans="1:24" ht="12.75">
      <c r="A602" s="69"/>
      <c r="B602" s="63"/>
      <c r="C602" s="63"/>
      <c r="D602" s="63"/>
      <c r="E602" s="63"/>
      <c r="F602" s="63"/>
      <c r="G602" s="63"/>
      <c r="H602" s="63"/>
      <c r="I602" s="63"/>
      <c r="J602" s="63"/>
      <c r="K602" s="63"/>
      <c r="L602" s="63"/>
      <c r="M602" s="63"/>
      <c r="N602" s="63"/>
      <c r="O602" s="63"/>
      <c r="P602" s="63"/>
      <c r="Q602" s="63"/>
      <c r="R602" s="63"/>
      <c r="S602" s="63"/>
      <c r="T602" s="63"/>
      <c r="U602" s="63"/>
      <c r="V602" s="63"/>
      <c r="W602" s="63"/>
      <c r="X602" s="63"/>
    </row>
    <row r="603" spans="1:24" ht="12.75">
      <c r="A603" s="69"/>
      <c r="B603" s="63"/>
      <c r="C603" s="63"/>
      <c r="D603" s="63"/>
      <c r="E603" s="63"/>
      <c r="F603" s="63"/>
      <c r="G603" s="63"/>
      <c r="H603" s="63"/>
      <c r="I603" s="63"/>
      <c r="J603" s="63"/>
      <c r="K603" s="63"/>
      <c r="L603" s="63"/>
      <c r="M603" s="63"/>
      <c r="N603" s="63"/>
      <c r="O603" s="63"/>
      <c r="P603" s="63"/>
      <c r="Q603" s="63"/>
      <c r="R603" s="63"/>
      <c r="S603" s="63"/>
      <c r="T603" s="63"/>
      <c r="U603" s="63"/>
      <c r="V603" s="63"/>
      <c r="W603" s="63"/>
      <c r="X603" s="63"/>
    </row>
    <row r="604" spans="1:24" ht="12.75">
      <c r="A604" s="69"/>
      <c r="B604" s="63"/>
      <c r="C604" s="63"/>
      <c r="D604" s="63"/>
      <c r="E604" s="63"/>
      <c r="F604" s="63"/>
      <c r="G604" s="63"/>
      <c r="H604" s="63"/>
      <c r="I604" s="63"/>
      <c r="J604" s="63"/>
      <c r="K604" s="63"/>
      <c r="L604" s="63"/>
      <c r="M604" s="63"/>
      <c r="N604" s="63"/>
      <c r="O604" s="63"/>
      <c r="P604" s="63"/>
      <c r="Q604" s="63"/>
      <c r="R604" s="63"/>
      <c r="S604" s="63"/>
      <c r="T604" s="63"/>
      <c r="U604" s="63"/>
      <c r="V604" s="63"/>
      <c r="W604" s="63"/>
      <c r="X604" s="63"/>
    </row>
    <row r="605" spans="1:24" ht="12.75">
      <c r="A605" s="69"/>
      <c r="B605" s="63"/>
      <c r="C605" s="63"/>
      <c r="D605" s="63"/>
      <c r="E605" s="63"/>
      <c r="F605" s="63"/>
      <c r="G605" s="63"/>
      <c r="H605" s="63"/>
      <c r="I605" s="63"/>
      <c r="J605" s="63"/>
      <c r="K605" s="63"/>
      <c r="L605" s="63"/>
      <c r="M605" s="63"/>
      <c r="N605" s="63"/>
      <c r="O605" s="63"/>
      <c r="P605" s="63"/>
      <c r="Q605" s="63"/>
      <c r="R605" s="63"/>
      <c r="S605" s="63"/>
      <c r="T605" s="63"/>
      <c r="U605" s="63"/>
      <c r="V605" s="63"/>
      <c r="W605" s="63"/>
      <c r="X605" s="63"/>
    </row>
    <row r="606" spans="1:24" ht="12.75">
      <c r="A606" s="69"/>
      <c r="B606" s="63"/>
      <c r="C606" s="63"/>
      <c r="D606" s="63"/>
      <c r="E606" s="63"/>
      <c r="F606" s="63"/>
      <c r="G606" s="63"/>
      <c r="H606" s="63"/>
      <c r="I606" s="63"/>
      <c r="J606" s="63"/>
      <c r="K606" s="63"/>
      <c r="L606" s="63"/>
      <c r="M606" s="63"/>
      <c r="N606" s="63"/>
      <c r="O606" s="63"/>
      <c r="P606" s="63"/>
      <c r="Q606" s="63"/>
      <c r="R606" s="63"/>
      <c r="S606" s="63"/>
      <c r="T606" s="63"/>
      <c r="U606" s="63"/>
      <c r="V606" s="63"/>
      <c r="W606" s="63"/>
      <c r="X606" s="63"/>
    </row>
    <row r="607" spans="1:24" ht="12.75">
      <c r="A607" s="69"/>
      <c r="B607" s="63"/>
      <c r="C607" s="63"/>
      <c r="D607" s="63"/>
      <c r="E607" s="63"/>
      <c r="F607" s="63"/>
      <c r="G607" s="63"/>
      <c r="H607" s="63"/>
      <c r="I607" s="63"/>
      <c r="J607" s="63"/>
      <c r="K607" s="63"/>
      <c r="L607" s="63"/>
      <c r="M607" s="63"/>
      <c r="N607" s="63"/>
      <c r="O607" s="63"/>
      <c r="P607" s="63"/>
      <c r="Q607" s="63"/>
      <c r="R607" s="63"/>
      <c r="S607" s="63"/>
      <c r="T607" s="63"/>
      <c r="U607" s="63"/>
      <c r="V607" s="63"/>
      <c r="W607" s="63"/>
      <c r="X607" s="63"/>
    </row>
    <row r="608" spans="1:24" ht="12.75">
      <c r="A608" s="69"/>
      <c r="B608" s="63"/>
      <c r="C608" s="63"/>
      <c r="D608" s="63"/>
      <c r="E608" s="63"/>
      <c r="F608" s="63"/>
      <c r="G608" s="63"/>
      <c r="H608" s="63"/>
      <c r="I608" s="63"/>
      <c r="J608" s="63"/>
      <c r="K608" s="63"/>
      <c r="L608" s="63"/>
      <c r="M608" s="63"/>
      <c r="N608" s="63"/>
      <c r="O608" s="63"/>
      <c r="P608" s="63"/>
      <c r="Q608" s="63"/>
      <c r="R608" s="63"/>
      <c r="S608" s="63"/>
      <c r="T608" s="63"/>
      <c r="U608" s="63"/>
      <c r="V608" s="63"/>
      <c r="W608" s="63"/>
      <c r="X608" s="63"/>
    </row>
    <row r="609" spans="1:24" ht="12.75">
      <c r="A609" s="69"/>
      <c r="B609" s="63"/>
      <c r="C609" s="63"/>
      <c r="D609" s="63"/>
      <c r="E609" s="63"/>
      <c r="F609" s="63"/>
      <c r="G609" s="63"/>
      <c r="H609" s="63"/>
      <c r="I609" s="63"/>
      <c r="J609" s="63"/>
      <c r="K609" s="63"/>
      <c r="L609" s="63"/>
      <c r="M609" s="63"/>
      <c r="N609" s="63"/>
      <c r="O609" s="63"/>
      <c r="P609" s="63"/>
      <c r="Q609" s="63"/>
      <c r="R609" s="63"/>
      <c r="S609" s="63"/>
      <c r="T609" s="63"/>
      <c r="U609" s="63"/>
      <c r="V609" s="63"/>
      <c r="W609" s="63"/>
      <c r="X609" s="63"/>
    </row>
    <row r="610" spans="1:24" ht="12.75">
      <c r="A610" s="69"/>
      <c r="B610" s="63"/>
      <c r="C610" s="63"/>
      <c r="D610" s="63"/>
      <c r="E610" s="63"/>
      <c r="F610" s="63"/>
      <c r="G610" s="63"/>
      <c r="H610" s="63"/>
      <c r="I610" s="63"/>
      <c r="J610" s="63"/>
      <c r="K610" s="63"/>
      <c r="L610" s="63"/>
      <c r="M610" s="63"/>
      <c r="N610" s="63"/>
      <c r="O610" s="63"/>
      <c r="P610" s="63"/>
      <c r="Q610" s="63"/>
      <c r="R610" s="63"/>
      <c r="S610" s="63"/>
      <c r="T610" s="63"/>
      <c r="U610" s="63"/>
      <c r="V610" s="63"/>
      <c r="W610" s="63"/>
      <c r="X610" s="63"/>
    </row>
    <row r="611" spans="1:24" ht="12.75">
      <c r="A611" s="69"/>
      <c r="B611" s="63"/>
      <c r="C611" s="63"/>
      <c r="D611" s="63"/>
      <c r="E611" s="63"/>
      <c r="F611" s="63"/>
      <c r="G611" s="63"/>
      <c r="H611" s="63"/>
      <c r="I611" s="63"/>
      <c r="J611" s="63"/>
      <c r="K611" s="63"/>
      <c r="L611" s="63"/>
      <c r="M611" s="63"/>
      <c r="N611" s="63"/>
      <c r="O611" s="63"/>
      <c r="P611" s="63"/>
      <c r="Q611" s="63"/>
      <c r="R611" s="63"/>
      <c r="S611" s="63"/>
      <c r="T611" s="63"/>
      <c r="U611" s="63"/>
      <c r="V611" s="63"/>
      <c r="W611" s="63"/>
      <c r="X611" s="63"/>
    </row>
    <row r="612" spans="1:24" ht="12.75">
      <c r="A612" s="69"/>
      <c r="B612" s="63"/>
      <c r="C612" s="63"/>
      <c r="D612" s="63"/>
      <c r="E612" s="63"/>
      <c r="F612" s="63"/>
      <c r="G612" s="63"/>
      <c r="H612" s="63"/>
      <c r="I612" s="63"/>
      <c r="J612" s="63"/>
      <c r="K612" s="63"/>
      <c r="L612" s="63"/>
      <c r="M612" s="63"/>
      <c r="N612" s="63"/>
      <c r="O612" s="63"/>
      <c r="P612" s="63"/>
      <c r="Q612" s="63"/>
      <c r="R612" s="63"/>
      <c r="S612" s="63"/>
      <c r="T612" s="63"/>
      <c r="U612" s="63"/>
      <c r="V612" s="63"/>
      <c r="W612" s="63"/>
      <c r="X612" s="63"/>
    </row>
    <row r="613" spans="1:24" ht="12.75">
      <c r="A613" s="69"/>
      <c r="B613" s="63"/>
      <c r="C613" s="63"/>
      <c r="D613" s="63"/>
      <c r="E613" s="63"/>
      <c r="F613" s="63"/>
      <c r="G613" s="63"/>
      <c r="H613" s="63"/>
      <c r="I613" s="63"/>
      <c r="J613" s="63"/>
      <c r="K613" s="63"/>
      <c r="L613" s="63"/>
      <c r="M613" s="63"/>
      <c r="N613" s="63"/>
      <c r="O613" s="63"/>
      <c r="P613" s="63"/>
      <c r="Q613" s="63"/>
      <c r="R613" s="63"/>
      <c r="S613" s="63"/>
      <c r="T613" s="63"/>
      <c r="U613" s="63"/>
      <c r="V613" s="63"/>
      <c r="W613" s="63"/>
      <c r="X613" s="63"/>
    </row>
    <row r="614" spans="1:24" ht="12.75">
      <c r="A614" s="69"/>
      <c r="B614" s="63"/>
      <c r="C614" s="63"/>
      <c r="D614" s="63"/>
      <c r="E614" s="63"/>
      <c r="F614" s="63"/>
      <c r="G614" s="63"/>
      <c r="H614" s="63"/>
      <c r="I614" s="63"/>
      <c r="J614" s="63"/>
      <c r="K614" s="63"/>
      <c r="L614" s="63"/>
      <c r="M614" s="63"/>
      <c r="N614" s="63"/>
      <c r="O614" s="63"/>
      <c r="P614" s="63"/>
      <c r="Q614" s="63"/>
      <c r="R614" s="63"/>
      <c r="S614" s="63"/>
      <c r="T614" s="63"/>
      <c r="U614" s="63"/>
      <c r="V614" s="63"/>
      <c r="W614" s="63"/>
      <c r="X614" s="63"/>
    </row>
    <row r="615" spans="1:24" ht="12.75">
      <c r="A615" s="69"/>
      <c r="B615" s="63"/>
      <c r="C615" s="63"/>
      <c r="D615" s="63"/>
      <c r="E615" s="63"/>
      <c r="F615" s="63"/>
      <c r="G615" s="63"/>
      <c r="H615" s="63"/>
      <c r="I615" s="63"/>
      <c r="J615" s="63"/>
      <c r="K615" s="63"/>
      <c r="L615" s="63"/>
      <c r="M615" s="63"/>
      <c r="N615" s="63"/>
      <c r="O615" s="63"/>
      <c r="P615" s="63"/>
      <c r="Q615" s="63"/>
      <c r="R615" s="63"/>
      <c r="S615" s="63"/>
      <c r="T615" s="63"/>
      <c r="U615" s="63"/>
      <c r="V615" s="63"/>
      <c r="W615" s="63"/>
      <c r="X615" s="63"/>
    </row>
    <row r="616" spans="1:24" ht="12.75">
      <c r="A616" s="69"/>
      <c r="B616" s="63"/>
      <c r="C616" s="63"/>
      <c r="D616" s="63"/>
      <c r="E616" s="63"/>
      <c r="F616" s="63"/>
      <c r="G616" s="63"/>
      <c r="H616" s="63"/>
      <c r="I616" s="63"/>
      <c r="J616" s="63"/>
      <c r="K616" s="63"/>
      <c r="L616" s="63"/>
      <c r="M616" s="63"/>
      <c r="N616" s="63"/>
      <c r="O616" s="63"/>
      <c r="P616" s="63"/>
      <c r="Q616" s="63"/>
      <c r="R616" s="63"/>
      <c r="S616" s="63"/>
      <c r="T616" s="63"/>
      <c r="U616" s="63"/>
      <c r="V616" s="63"/>
      <c r="W616" s="63"/>
      <c r="X616" s="63"/>
    </row>
    <row r="617" spans="1:24" ht="12.75">
      <c r="A617" s="69"/>
      <c r="B617" s="63"/>
      <c r="C617" s="63"/>
      <c r="D617" s="63"/>
      <c r="E617" s="63"/>
      <c r="F617" s="63"/>
      <c r="G617" s="63"/>
      <c r="H617" s="63"/>
      <c r="I617" s="63"/>
      <c r="J617" s="63"/>
      <c r="K617" s="63"/>
      <c r="L617" s="63"/>
      <c r="M617" s="63"/>
      <c r="N617" s="63"/>
      <c r="O617" s="63"/>
      <c r="P617" s="63"/>
      <c r="Q617" s="63"/>
      <c r="R617" s="63"/>
      <c r="S617" s="63"/>
      <c r="T617" s="63"/>
      <c r="U617" s="63"/>
      <c r="V617" s="63"/>
      <c r="W617" s="63"/>
      <c r="X617" s="63"/>
    </row>
    <row r="618" spans="1:24" ht="12.75">
      <c r="A618" s="69"/>
      <c r="B618" s="63"/>
      <c r="C618" s="63"/>
      <c r="D618" s="63"/>
      <c r="E618" s="63"/>
      <c r="F618" s="63"/>
      <c r="G618" s="63"/>
      <c r="H618" s="63"/>
      <c r="I618" s="63"/>
      <c r="J618" s="63"/>
      <c r="K618" s="63"/>
      <c r="L618" s="63"/>
      <c r="M618" s="63"/>
      <c r="N618" s="63"/>
      <c r="O618" s="63"/>
      <c r="P618" s="63"/>
      <c r="Q618" s="63"/>
      <c r="R618" s="63"/>
      <c r="S618" s="63"/>
      <c r="T618" s="63"/>
      <c r="U618" s="63"/>
      <c r="V618" s="63"/>
      <c r="W618" s="63"/>
      <c r="X618" s="63"/>
    </row>
    <row r="619" spans="1:24" ht="12.75">
      <c r="A619" s="69"/>
      <c r="B619" s="63"/>
      <c r="C619" s="63"/>
      <c r="D619" s="63"/>
      <c r="E619" s="63"/>
      <c r="F619" s="63"/>
      <c r="G619" s="63"/>
      <c r="H619" s="63"/>
      <c r="I619" s="63"/>
      <c r="J619" s="63"/>
      <c r="K619" s="63"/>
      <c r="L619" s="63"/>
      <c r="M619" s="63"/>
      <c r="N619" s="63"/>
      <c r="O619" s="63"/>
      <c r="P619" s="63"/>
      <c r="Q619" s="63"/>
      <c r="R619" s="63"/>
      <c r="S619" s="63"/>
      <c r="T619" s="63"/>
      <c r="U619" s="63"/>
      <c r="V619" s="63"/>
      <c r="W619" s="63"/>
      <c r="X619" s="63"/>
    </row>
    <row r="620" spans="1:24" ht="12.75">
      <c r="A620" s="69"/>
      <c r="B620" s="63"/>
      <c r="C620" s="63"/>
      <c r="D620" s="63"/>
      <c r="E620" s="63"/>
      <c r="F620" s="63"/>
      <c r="G620" s="63"/>
      <c r="H620" s="63"/>
      <c r="I620" s="63"/>
      <c r="J620" s="63"/>
      <c r="K620" s="63"/>
      <c r="L620" s="63"/>
      <c r="M620" s="63"/>
      <c r="N620" s="63"/>
      <c r="O620" s="63"/>
      <c r="P620" s="63"/>
      <c r="Q620" s="63"/>
      <c r="R620" s="63"/>
      <c r="S620" s="63"/>
      <c r="T620" s="63"/>
      <c r="U620" s="63"/>
      <c r="V620" s="63"/>
      <c r="W620" s="63"/>
      <c r="X620" s="63"/>
    </row>
    <row r="621" spans="1:24" ht="12.75">
      <c r="A621" s="69"/>
      <c r="B621" s="63"/>
      <c r="C621" s="63"/>
      <c r="D621" s="63"/>
      <c r="E621" s="63"/>
      <c r="F621" s="63"/>
      <c r="G621" s="63"/>
      <c r="H621" s="63"/>
      <c r="I621" s="63"/>
      <c r="J621" s="63"/>
      <c r="K621" s="63"/>
      <c r="L621" s="63"/>
      <c r="M621" s="63"/>
      <c r="N621" s="63"/>
      <c r="O621" s="63"/>
      <c r="P621" s="63"/>
      <c r="Q621" s="63"/>
      <c r="R621" s="63"/>
      <c r="S621" s="63"/>
      <c r="T621" s="63"/>
      <c r="U621" s="63"/>
      <c r="V621" s="63"/>
      <c r="W621" s="63"/>
      <c r="X621" s="63"/>
    </row>
    <row r="622" spans="1:24" ht="12.75">
      <c r="A622" s="69"/>
      <c r="B622" s="63"/>
      <c r="C622" s="63"/>
      <c r="D622" s="63"/>
      <c r="E622" s="63"/>
      <c r="F622" s="63"/>
      <c r="G622" s="63"/>
      <c r="H622" s="63"/>
      <c r="I622" s="63"/>
      <c r="J622" s="63"/>
      <c r="K622" s="63"/>
      <c r="L622" s="63"/>
      <c r="M622" s="63"/>
      <c r="N622" s="63"/>
      <c r="O622" s="63"/>
      <c r="P622" s="63"/>
      <c r="Q622" s="63"/>
      <c r="R622" s="63"/>
      <c r="S622" s="63"/>
      <c r="T622" s="63"/>
      <c r="U622" s="63"/>
      <c r="V622" s="63"/>
      <c r="W622" s="63"/>
      <c r="X622" s="63"/>
    </row>
    <row r="623" spans="1:24" ht="12.75">
      <c r="A623" s="69"/>
      <c r="B623" s="63"/>
      <c r="C623" s="63"/>
      <c r="D623" s="63"/>
      <c r="E623" s="63"/>
      <c r="F623" s="63"/>
      <c r="G623" s="63"/>
      <c r="H623" s="63"/>
      <c r="I623" s="63"/>
      <c r="J623" s="63"/>
      <c r="K623" s="63"/>
      <c r="L623" s="63"/>
      <c r="M623" s="63"/>
      <c r="N623" s="63"/>
      <c r="O623" s="63"/>
      <c r="P623" s="63"/>
      <c r="Q623" s="63"/>
      <c r="R623" s="63"/>
      <c r="S623" s="63"/>
      <c r="T623" s="63"/>
      <c r="U623" s="63"/>
      <c r="V623" s="63"/>
      <c r="W623" s="63"/>
      <c r="X623" s="63"/>
    </row>
    <row r="624" spans="1:24" ht="12.75">
      <c r="A624" s="69"/>
      <c r="B624" s="63"/>
      <c r="C624" s="63"/>
      <c r="D624" s="63"/>
      <c r="E624" s="63"/>
      <c r="F624" s="63"/>
      <c r="G624" s="63"/>
      <c r="H624" s="63"/>
      <c r="I624" s="63"/>
      <c r="J624" s="63"/>
      <c r="K624" s="63"/>
      <c r="L624" s="63"/>
      <c r="M624" s="63"/>
      <c r="N624" s="63"/>
      <c r="O624" s="63"/>
      <c r="P624" s="63"/>
      <c r="Q624" s="63"/>
      <c r="R624" s="63"/>
      <c r="S624" s="63"/>
      <c r="T624" s="63"/>
      <c r="U624" s="63"/>
      <c r="V624" s="63"/>
      <c r="W624" s="63"/>
      <c r="X624" s="63"/>
    </row>
    <row r="625" spans="1:24" ht="12.75">
      <c r="A625" s="69"/>
      <c r="B625" s="63"/>
      <c r="C625" s="63"/>
      <c r="D625" s="63"/>
      <c r="E625" s="63"/>
      <c r="F625" s="63"/>
      <c r="G625" s="63"/>
      <c r="H625" s="63"/>
      <c r="I625" s="63"/>
      <c r="J625" s="63"/>
      <c r="K625" s="63"/>
      <c r="L625" s="63"/>
      <c r="M625" s="63"/>
      <c r="N625" s="63"/>
      <c r="O625" s="63"/>
      <c r="P625" s="63"/>
      <c r="Q625" s="63"/>
      <c r="R625" s="63"/>
      <c r="S625" s="63"/>
      <c r="T625" s="63"/>
      <c r="U625" s="63"/>
      <c r="V625" s="63"/>
      <c r="W625" s="63"/>
      <c r="X625" s="63"/>
    </row>
    <row r="626" spans="1:24" ht="12.75">
      <c r="A626" s="69"/>
      <c r="B626" s="63"/>
      <c r="C626" s="63"/>
      <c r="D626" s="63"/>
      <c r="E626" s="63"/>
      <c r="F626" s="63"/>
      <c r="G626" s="63"/>
      <c r="H626" s="63"/>
      <c r="I626" s="63"/>
      <c r="J626" s="63"/>
      <c r="K626" s="63"/>
      <c r="L626" s="63"/>
      <c r="M626" s="63"/>
      <c r="N626" s="63"/>
      <c r="O626" s="63"/>
      <c r="P626" s="63"/>
      <c r="Q626" s="63"/>
      <c r="R626" s="63"/>
      <c r="S626" s="63"/>
      <c r="T626" s="63"/>
      <c r="U626" s="63"/>
      <c r="V626" s="63"/>
      <c r="W626" s="63"/>
      <c r="X626" s="63"/>
    </row>
    <row r="627" spans="1:24" ht="12.75">
      <c r="A627" s="69"/>
      <c r="B627" s="63"/>
      <c r="C627" s="63"/>
      <c r="D627" s="63"/>
      <c r="E627" s="63"/>
      <c r="F627" s="63"/>
      <c r="G627" s="63"/>
      <c r="H627" s="63"/>
      <c r="I627" s="63"/>
      <c r="J627" s="63"/>
      <c r="K627" s="63"/>
      <c r="L627" s="63"/>
      <c r="M627" s="63"/>
      <c r="N627" s="63"/>
      <c r="O627" s="63"/>
      <c r="P627" s="63"/>
      <c r="Q627" s="63"/>
      <c r="R627" s="63"/>
      <c r="S627" s="63"/>
      <c r="T627" s="63"/>
      <c r="U627" s="63"/>
      <c r="V627" s="63"/>
      <c r="W627" s="63"/>
      <c r="X627" s="63"/>
    </row>
    <row r="628" spans="1:24" ht="12.75">
      <c r="A628" s="69"/>
      <c r="B628" s="63"/>
      <c r="C628" s="63"/>
      <c r="D628" s="63"/>
      <c r="E628" s="63"/>
      <c r="F628" s="63"/>
      <c r="G628" s="63"/>
      <c r="H628" s="63"/>
      <c r="I628" s="63"/>
      <c r="J628" s="63"/>
      <c r="K628" s="63"/>
      <c r="L628" s="63"/>
      <c r="M628" s="63"/>
      <c r="N628" s="63"/>
      <c r="O628" s="63"/>
      <c r="P628" s="63"/>
      <c r="Q628" s="63"/>
      <c r="R628" s="63"/>
      <c r="S628" s="63"/>
      <c r="T628" s="63"/>
      <c r="U628" s="63"/>
      <c r="V628" s="63"/>
      <c r="W628" s="63"/>
      <c r="X628" s="63"/>
    </row>
    <row r="629" spans="1:24" ht="12.75">
      <c r="A629" s="69"/>
      <c r="B629" s="63"/>
      <c r="C629" s="63"/>
      <c r="D629" s="63"/>
      <c r="E629" s="63"/>
      <c r="F629" s="63"/>
      <c r="G629" s="63"/>
      <c r="H629" s="63"/>
      <c r="I629" s="63"/>
      <c r="J629" s="63"/>
      <c r="K629" s="63"/>
      <c r="L629" s="63"/>
      <c r="M629" s="63"/>
      <c r="N629" s="63"/>
      <c r="O629" s="63"/>
      <c r="P629" s="63"/>
      <c r="Q629" s="63"/>
      <c r="R629" s="63"/>
      <c r="S629" s="63"/>
      <c r="T629" s="63"/>
      <c r="U629" s="63"/>
      <c r="V629" s="63"/>
      <c r="W629" s="63"/>
      <c r="X629" s="63"/>
    </row>
    <row r="630" spans="1:24" ht="12.75">
      <c r="A630" s="69"/>
      <c r="B630" s="63"/>
      <c r="C630" s="63"/>
      <c r="D630" s="63"/>
      <c r="E630" s="63"/>
      <c r="F630" s="63"/>
      <c r="G630" s="63"/>
      <c r="H630" s="63"/>
      <c r="I630" s="63"/>
      <c r="J630" s="63"/>
      <c r="K630" s="63"/>
      <c r="L630" s="63"/>
      <c r="M630" s="63"/>
      <c r="N630" s="63"/>
      <c r="O630" s="63"/>
      <c r="P630" s="63"/>
      <c r="Q630" s="63"/>
      <c r="R630" s="63"/>
      <c r="S630" s="63"/>
      <c r="T630" s="63"/>
      <c r="U630" s="63"/>
      <c r="V630" s="63"/>
      <c r="W630" s="63"/>
      <c r="X630" s="63"/>
    </row>
    <row r="631" spans="1:24" ht="12.75">
      <c r="A631" s="69"/>
      <c r="B631" s="63"/>
      <c r="C631" s="63"/>
      <c r="D631" s="63"/>
      <c r="E631" s="63"/>
      <c r="F631" s="63"/>
      <c r="G631" s="63"/>
      <c r="H631" s="63"/>
      <c r="I631" s="63"/>
      <c r="J631" s="63"/>
      <c r="K631" s="63"/>
      <c r="L631" s="63"/>
      <c r="M631" s="63"/>
      <c r="N631" s="63"/>
      <c r="O631" s="63"/>
      <c r="P631" s="63"/>
      <c r="Q631" s="63"/>
      <c r="R631" s="63"/>
      <c r="S631" s="63"/>
      <c r="T631" s="63"/>
      <c r="U631" s="63"/>
      <c r="V631" s="63"/>
      <c r="W631" s="63"/>
      <c r="X631" s="63"/>
    </row>
    <row r="632" spans="1:24" ht="12.75">
      <c r="A632" s="69"/>
      <c r="B632" s="63"/>
      <c r="C632" s="63"/>
      <c r="D632" s="63"/>
      <c r="E632" s="63"/>
      <c r="F632" s="63"/>
      <c r="G632" s="63"/>
      <c r="H632" s="63"/>
      <c r="I632" s="63"/>
      <c r="J632" s="63"/>
      <c r="K632" s="63"/>
      <c r="L632" s="63"/>
      <c r="M632" s="63"/>
      <c r="N632" s="63"/>
      <c r="O632" s="63"/>
      <c r="P632" s="63"/>
      <c r="Q632" s="63"/>
      <c r="R632" s="63"/>
      <c r="S632" s="63"/>
      <c r="T632" s="63"/>
      <c r="U632" s="63"/>
      <c r="V632" s="63"/>
      <c r="W632" s="63"/>
      <c r="X632" s="63"/>
    </row>
    <row r="633" spans="1:24" ht="12.75">
      <c r="A633" s="69"/>
      <c r="B633" s="63"/>
      <c r="C633" s="63"/>
      <c r="D633" s="63"/>
      <c r="E633" s="63"/>
      <c r="F633" s="63"/>
      <c r="G633" s="63"/>
      <c r="H633" s="63"/>
      <c r="I633" s="63"/>
      <c r="J633" s="63"/>
      <c r="K633" s="63"/>
      <c r="L633" s="63"/>
      <c r="M633" s="63"/>
      <c r="N633" s="63"/>
      <c r="O633" s="63"/>
      <c r="P633" s="63"/>
      <c r="Q633" s="63"/>
      <c r="R633" s="63"/>
      <c r="S633" s="63"/>
      <c r="T633" s="63"/>
      <c r="U633" s="63"/>
      <c r="V633" s="63"/>
      <c r="W633" s="63"/>
      <c r="X633" s="63"/>
    </row>
    <row r="634" spans="1:24" ht="12.75">
      <c r="A634" s="69"/>
      <c r="B634" s="63"/>
      <c r="C634" s="63"/>
      <c r="D634" s="63"/>
      <c r="E634" s="63"/>
      <c r="F634" s="63"/>
      <c r="G634" s="63"/>
      <c r="H634" s="63"/>
      <c r="I634" s="63"/>
      <c r="J634" s="63"/>
      <c r="K634" s="63"/>
      <c r="L634" s="63"/>
      <c r="M634" s="63"/>
      <c r="N634" s="63"/>
      <c r="O634" s="63"/>
      <c r="P634" s="63"/>
      <c r="Q634" s="63"/>
      <c r="R634" s="63"/>
      <c r="S634" s="63"/>
      <c r="T634" s="63"/>
      <c r="U634" s="63"/>
      <c r="V634" s="63"/>
      <c r="W634" s="63"/>
      <c r="X634" s="63"/>
    </row>
    <row r="635" spans="1:24" ht="12.75">
      <c r="A635" s="69"/>
      <c r="B635" s="63"/>
      <c r="C635" s="63"/>
      <c r="D635" s="63"/>
      <c r="E635" s="63"/>
      <c r="F635" s="63"/>
      <c r="G635" s="63"/>
      <c r="H635" s="63"/>
      <c r="I635" s="63"/>
      <c r="J635" s="63"/>
      <c r="K635" s="63"/>
      <c r="L635" s="63"/>
      <c r="M635" s="63"/>
      <c r="N635" s="63"/>
      <c r="O635" s="63"/>
      <c r="P635" s="63"/>
      <c r="Q635" s="63"/>
      <c r="R635" s="63"/>
      <c r="S635" s="63"/>
      <c r="T635" s="63"/>
      <c r="U635" s="63"/>
      <c r="V635" s="63"/>
      <c r="W635" s="63"/>
      <c r="X635" s="63"/>
    </row>
    <row r="636" spans="1:24" ht="12.75">
      <c r="A636" s="69"/>
      <c r="B636" s="63"/>
      <c r="C636" s="63"/>
      <c r="D636" s="63"/>
      <c r="E636" s="63"/>
      <c r="F636" s="63"/>
      <c r="G636" s="63"/>
      <c r="H636" s="63"/>
      <c r="I636" s="63"/>
      <c r="J636" s="63"/>
      <c r="K636" s="63"/>
      <c r="L636" s="63"/>
      <c r="M636" s="63"/>
      <c r="N636" s="63"/>
      <c r="O636" s="63"/>
      <c r="P636" s="63"/>
      <c r="Q636" s="63"/>
      <c r="R636" s="63"/>
      <c r="S636" s="63"/>
      <c r="T636" s="63"/>
      <c r="U636" s="63"/>
      <c r="V636" s="63"/>
      <c r="W636" s="63"/>
      <c r="X636" s="63"/>
    </row>
    <row r="637" spans="1:24" ht="12.75">
      <c r="A637" s="69"/>
      <c r="B637" s="63"/>
      <c r="C637" s="63"/>
      <c r="D637" s="63"/>
      <c r="E637" s="63"/>
      <c r="F637" s="63"/>
      <c r="G637" s="63"/>
      <c r="H637" s="63"/>
      <c r="I637" s="63"/>
      <c r="J637" s="63"/>
      <c r="K637" s="63"/>
      <c r="L637" s="63"/>
      <c r="M637" s="63"/>
      <c r="N637" s="63"/>
      <c r="O637" s="63"/>
      <c r="P637" s="63"/>
      <c r="Q637" s="63"/>
      <c r="R637" s="63"/>
      <c r="S637" s="63"/>
      <c r="T637" s="63"/>
      <c r="U637" s="63"/>
      <c r="V637" s="63"/>
      <c r="W637" s="63"/>
      <c r="X637" s="63"/>
    </row>
    <row r="638" spans="1:24" ht="12.75">
      <c r="A638" s="69"/>
      <c r="B638" s="63"/>
      <c r="C638" s="63"/>
      <c r="D638" s="63"/>
      <c r="E638" s="63"/>
      <c r="F638" s="63"/>
      <c r="G638" s="63"/>
      <c r="H638" s="63"/>
      <c r="I638" s="63"/>
      <c r="J638" s="63"/>
      <c r="K638" s="63"/>
      <c r="L638" s="63"/>
      <c r="M638" s="63"/>
      <c r="N638" s="63"/>
      <c r="O638" s="63"/>
      <c r="P638" s="63"/>
      <c r="Q638" s="63"/>
      <c r="R638" s="63"/>
      <c r="S638" s="63"/>
      <c r="T638" s="63"/>
      <c r="U638" s="63"/>
      <c r="V638" s="63"/>
      <c r="W638" s="63"/>
      <c r="X638" s="63"/>
    </row>
    <row r="639" spans="1:24" ht="12.75">
      <c r="A639" s="69"/>
      <c r="B639" s="63"/>
      <c r="C639" s="63"/>
      <c r="D639" s="63"/>
      <c r="E639" s="63"/>
      <c r="F639" s="63"/>
      <c r="G639" s="63"/>
      <c r="H639" s="63"/>
      <c r="I639" s="63"/>
      <c r="J639" s="63"/>
      <c r="K639" s="63"/>
      <c r="L639" s="63"/>
      <c r="M639" s="63"/>
      <c r="N639" s="63"/>
      <c r="O639" s="63"/>
      <c r="P639" s="63"/>
      <c r="Q639" s="63"/>
      <c r="R639" s="63"/>
      <c r="S639" s="63"/>
      <c r="T639" s="63"/>
      <c r="U639" s="63"/>
      <c r="V639" s="63"/>
      <c r="W639" s="63"/>
      <c r="X639" s="63"/>
    </row>
    <row r="640" spans="1:24" ht="12.75">
      <c r="A640" s="69"/>
      <c r="B640" s="63"/>
      <c r="C640" s="63"/>
      <c r="D640" s="63"/>
      <c r="E640" s="63"/>
      <c r="F640" s="63"/>
      <c r="G640" s="63"/>
      <c r="H640" s="63"/>
      <c r="I640" s="63"/>
      <c r="J640" s="63"/>
      <c r="K640" s="63"/>
      <c r="L640" s="63"/>
      <c r="M640" s="63"/>
      <c r="N640" s="63"/>
      <c r="O640" s="63"/>
      <c r="P640" s="63"/>
      <c r="Q640" s="63"/>
      <c r="R640" s="63"/>
      <c r="S640" s="63"/>
      <c r="T640" s="63"/>
      <c r="U640" s="63"/>
      <c r="V640" s="63"/>
      <c r="W640" s="63"/>
      <c r="X640" s="63"/>
    </row>
    <row r="641" spans="1:24" ht="12.75">
      <c r="A641" s="69"/>
      <c r="B641" s="63"/>
      <c r="C641" s="63"/>
      <c r="D641" s="63"/>
      <c r="E641" s="63"/>
      <c r="F641" s="63"/>
      <c r="G641" s="63"/>
      <c r="H641" s="63"/>
      <c r="I641" s="63"/>
      <c r="J641" s="63"/>
      <c r="K641" s="63"/>
      <c r="L641" s="63"/>
      <c r="M641" s="63"/>
      <c r="N641" s="63"/>
      <c r="O641" s="63"/>
      <c r="P641" s="63"/>
      <c r="Q641" s="63"/>
      <c r="R641" s="63"/>
      <c r="S641" s="63"/>
      <c r="T641" s="63"/>
      <c r="U641" s="63"/>
      <c r="V641" s="63"/>
      <c r="W641" s="63"/>
      <c r="X641" s="63"/>
    </row>
    <row r="642" spans="1:24" ht="12.75">
      <c r="A642" s="69"/>
      <c r="B642" s="63"/>
      <c r="C642" s="63"/>
      <c r="D642" s="63"/>
      <c r="E642" s="63"/>
      <c r="F642" s="63"/>
      <c r="G642" s="63"/>
      <c r="H642" s="63"/>
      <c r="I642" s="63"/>
      <c r="J642" s="63"/>
      <c r="K642" s="63"/>
      <c r="L642" s="63"/>
      <c r="M642" s="63"/>
      <c r="N642" s="63"/>
      <c r="O642" s="63"/>
      <c r="P642" s="63"/>
      <c r="Q642" s="63"/>
      <c r="R642" s="63"/>
      <c r="S642" s="63"/>
      <c r="T642" s="63"/>
      <c r="U642" s="63"/>
      <c r="V642" s="63"/>
      <c r="W642" s="63"/>
      <c r="X642" s="63"/>
    </row>
    <row r="643" spans="1:24" ht="12.75">
      <c r="A643" s="69"/>
      <c r="B643" s="63"/>
      <c r="C643" s="63"/>
      <c r="D643" s="63"/>
      <c r="E643" s="63"/>
      <c r="F643" s="63"/>
      <c r="G643" s="63"/>
      <c r="H643" s="63"/>
      <c r="I643" s="63"/>
      <c r="J643" s="63"/>
      <c r="K643" s="63"/>
      <c r="L643" s="63"/>
      <c r="M643" s="63"/>
      <c r="N643" s="63"/>
      <c r="O643" s="63"/>
      <c r="P643" s="63"/>
      <c r="Q643" s="63"/>
      <c r="R643" s="63"/>
      <c r="S643" s="63"/>
      <c r="T643" s="63"/>
      <c r="U643" s="63"/>
      <c r="V643" s="63"/>
      <c r="W643" s="63"/>
      <c r="X643" s="63"/>
    </row>
    <row r="644" spans="1:24" ht="12.75">
      <c r="A644" s="69"/>
      <c r="B644" s="63"/>
      <c r="C644" s="63"/>
      <c r="D644" s="63"/>
      <c r="E644" s="63"/>
      <c r="F644" s="63"/>
      <c r="G644" s="63"/>
      <c r="H644" s="63"/>
      <c r="I644" s="63"/>
      <c r="J644" s="63"/>
      <c r="K644" s="63"/>
      <c r="L644" s="63"/>
      <c r="M644" s="63"/>
      <c r="N644" s="63"/>
      <c r="O644" s="63"/>
      <c r="P644" s="63"/>
      <c r="Q644" s="63"/>
      <c r="R644" s="63"/>
      <c r="S644" s="63"/>
      <c r="T644" s="63"/>
      <c r="U644" s="63"/>
      <c r="V644" s="63"/>
      <c r="W644" s="63"/>
      <c r="X644" s="63"/>
    </row>
    <row r="645" spans="1:24" ht="12.75">
      <c r="A645" s="69"/>
      <c r="B645" s="63"/>
      <c r="C645" s="63"/>
      <c r="D645" s="63"/>
      <c r="E645" s="63"/>
      <c r="F645" s="63"/>
      <c r="G645" s="63"/>
      <c r="H645" s="63"/>
      <c r="I645" s="63"/>
      <c r="J645" s="63"/>
      <c r="K645" s="63"/>
      <c r="L645" s="63"/>
      <c r="M645" s="63"/>
      <c r="N645" s="63"/>
      <c r="O645" s="63"/>
      <c r="P645" s="63"/>
      <c r="Q645" s="63"/>
      <c r="R645" s="63"/>
      <c r="S645" s="63"/>
      <c r="T645" s="63"/>
      <c r="U645" s="63"/>
      <c r="V645" s="63"/>
      <c r="W645" s="63"/>
      <c r="X645" s="63"/>
    </row>
    <row r="646" spans="1:24" ht="12.75">
      <c r="A646" s="69"/>
      <c r="B646" s="63"/>
      <c r="C646" s="63"/>
      <c r="D646" s="63"/>
      <c r="E646" s="63"/>
      <c r="F646" s="63"/>
      <c r="G646" s="63"/>
      <c r="H646" s="63"/>
      <c r="I646" s="63"/>
      <c r="J646" s="63"/>
      <c r="K646" s="63"/>
      <c r="L646" s="63"/>
      <c r="M646" s="63"/>
      <c r="N646" s="63"/>
      <c r="O646" s="63"/>
      <c r="P646" s="63"/>
      <c r="Q646" s="63"/>
      <c r="R646" s="63"/>
      <c r="S646" s="63"/>
      <c r="T646" s="63"/>
      <c r="U646" s="63"/>
      <c r="V646" s="63"/>
      <c r="W646" s="63"/>
      <c r="X646" s="63"/>
    </row>
    <row r="647" spans="1:24" ht="12.75">
      <c r="A647" s="69"/>
      <c r="B647" s="63"/>
      <c r="C647" s="63"/>
      <c r="D647" s="63"/>
      <c r="E647" s="63"/>
      <c r="F647" s="63"/>
      <c r="G647" s="63"/>
      <c r="H647" s="63"/>
      <c r="I647" s="63"/>
      <c r="J647" s="63"/>
      <c r="K647" s="63"/>
      <c r="L647" s="63"/>
      <c r="M647" s="63"/>
      <c r="N647" s="63"/>
      <c r="O647" s="63"/>
      <c r="P647" s="63"/>
      <c r="Q647" s="63"/>
      <c r="R647" s="63"/>
      <c r="S647" s="63"/>
      <c r="T647" s="63"/>
      <c r="U647" s="63"/>
      <c r="V647" s="63"/>
      <c r="W647" s="63"/>
      <c r="X647" s="63"/>
    </row>
    <row r="648" spans="1:24" ht="12.75">
      <c r="A648" s="69"/>
      <c r="B648" s="63"/>
      <c r="C648" s="63"/>
      <c r="D648" s="63"/>
      <c r="E648" s="63"/>
      <c r="F648" s="63"/>
      <c r="G648" s="63"/>
      <c r="H648" s="63"/>
      <c r="I648" s="63"/>
      <c r="J648" s="63"/>
      <c r="K648" s="63"/>
      <c r="L648" s="63"/>
      <c r="M648" s="63"/>
      <c r="N648" s="63"/>
      <c r="O648" s="63"/>
      <c r="P648" s="63"/>
      <c r="Q648" s="63"/>
      <c r="R648" s="63"/>
      <c r="S648" s="63"/>
      <c r="T648" s="63"/>
      <c r="U648" s="63"/>
      <c r="V648" s="63"/>
      <c r="W648" s="63"/>
      <c r="X648" s="63"/>
    </row>
    <row r="649" spans="1:24" ht="12.75">
      <c r="A649" s="69"/>
      <c r="B649" s="63"/>
      <c r="C649" s="63"/>
      <c r="D649" s="63"/>
      <c r="E649" s="63"/>
      <c r="F649" s="63"/>
      <c r="G649" s="63"/>
      <c r="H649" s="63"/>
      <c r="I649" s="63"/>
      <c r="J649" s="63"/>
      <c r="K649" s="63"/>
      <c r="L649" s="63"/>
      <c r="M649" s="63"/>
      <c r="N649" s="63"/>
      <c r="O649" s="63"/>
      <c r="P649" s="63"/>
      <c r="Q649" s="63"/>
      <c r="R649" s="63"/>
      <c r="S649" s="63"/>
      <c r="T649" s="63"/>
      <c r="U649" s="63"/>
      <c r="V649" s="63"/>
      <c r="W649" s="63"/>
      <c r="X649" s="63"/>
    </row>
    <row r="650" spans="1:24" ht="12.75">
      <c r="A650" s="69"/>
      <c r="B650" s="63"/>
      <c r="C650" s="63"/>
      <c r="D650" s="63"/>
      <c r="E650" s="63"/>
      <c r="F650" s="63"/>
      <c r="G650" s="63"/>
      <c r="H650" s="63"/>
      <c r="I650" s="63"/>
      <c r="J650" s="63"/>
      <c r="K650" s="63"/>
      <c r="L650" s="63"/>
      <c r="M650" s="63"/>
      <c r="N650" s="63"/>
      <c r="O650" s="63"/>
      <c r="P650" s="63"/>
      <c r="Q650" s="63"/>
      <c r="R650" s="63"/>
      <c r="S650" s="63"/>
      <c r="T650" s="63"/>
      <c r="U650" s="63"/>
      <c r="V650" s="63"/>
      <c r="W650" s="63"/>
      <c r="X650" s="63"/>
    </row>
    <row r="651" spans="1:24" ht="12.75">
      <c r="A651" s="69"/>
      <c r="B651" s="63"/>
      <c r="C651" s="63"/>
      <c r="D651" s="63"/>
      <c r="E651" s="63"/>
      <c r="F651" s="63"/>
      <c r="G651" s="63"/>
      <c r="H651" s="63"/>
      <c r="I651" s="63"/>
      <c r="J651" s="63"/>
      <c r="K651" s="63"/>
      <c r="L651" s="63"/>
      <c r="M651" s="63"/>
      <c r="N651" s="63"/>
      <c r="O651" s="63"/>
      <c r="P651" s="63"/>
      <c r="Q651" s="63"/>
      <c r="R651" s="63"/>
      <c r="S651" s="63"/>
      <c r="T651" s="63"/>
      <c r="U651" s="63"/>
      <c r="V651" s="63"/>
      <c r="W651" s="63"/>
      <c r="X651" s="63"/>
    </row>
    <row r="652" spans="1:24" ht="12.75">
      <c r="A652" s="69"/>
      <c r="B652" s="63"/>
      <c r="C652" s="63"/>
      <c r="D652" s="63"/>
      <c r="E652" s="63"/>
      <c r="F652" s="63"/>
      <c r="G652" s="63"/>
      <c r="H652" s="63"/>
      <c r="I652" s="63"/>
      <c r="J652" s="63"/>
      <c r="K652" s="63"/>
      <c r="L652" s="63"/>
      <c r="M652" s="63"/>
      <c r="N652" s="63"/>
      <c r="O652" s="63"/>
      <c r="P652" s="63"/>
      <c r="Q652" s="63"/>
      <c r="R652" s="63"/>
      <c r="S652" s="63"/>
      <c r="T652" s="63"/>
      <c r="U652" s="63"/>
      <c r="V652" s="63"/>
      <c r="W652" s="63"/>
      <c r="X652" s="63"/>
    </row>
    <row r="653" spans="1:24" ht="12.75">
      <c r="A653" s="69"/>
      <c r="B653" s="63"/>
      <c r="C653" s="63"/>
      <c r="D653" s="63"/>
      <c r="E653" s="63"/>
      <c r="F653" s="63"/>
      <c r="G653" s="63"/>
      <c r="H653" s="63"/>
      <c r="I653" s="63"/>
      <c r="J653" s="63"/>
      <c r="K653" s="63"/>
      <c r="L653" s="63"/>
      <c r="M653" s="63"/>
      <c r="N653" s="63"/>
      <c r="O653" s="63"/>
      <c r="P653" s="63"/>
      <c r="Q653" s="63"/>
      <c r="R653" s="63"/>
      <c r="S653" s="63"/>
      <c r="T653" s="63"/>
      <c r="U653" s="63"/>
      <c r="V653" s="63"/>
      <c r="W653" s="63"/>
      <c r="X653" s="63"/>
    </row>
    <row r="654" spans="1:24" ht="12.75">
      <c r="A654" s="69"/>
      <c r="B654" s="63"/>
      <c r="C654" s="63"/>
      <c r="D654" s="63"/>
      <c r="E654" s="63"/>
      <c r="F654" s="63"/>
      <c r="G654" s="63"/>
      <c r="H654" s="63"/>
      <c r="I654" s="63"/>
      <c r="J654" s="63"/>
      <c r="K654" s="63"/>
      <c r="L654" s="63"/>
      <c r="M654" s="63"/>
      <c r="N654" s="63"/>
      <c r="O654" s="63"/>
      <c r="P654" s="63"/>
      <c r="Q654" s="63"/>
      <c r="R654" s="63"/>
      <c r="S654" s="63"/>
      <c r="T654" s="63"/>
      <c r="U654" s="63"/>
      <c r="V654" s="63"/>
      <c r="W654" s="63"/>
      <c r="X654" s="63"/>
    </row>
    <row r="655" spans="1:24" ht="12.75">
      <c r="A655" s="69"/>
      <c r="B655" s="63"/>
      <c r="C655" s="63"/>
      <c r="D655" s="63"/>
      <c r="E655" s="63"/>
      <c r="F655" s="63"/>
      <c r="G655" s="63"/>
      <c r="H655" s="63"/>
      <c r="I655" s="63"/>
      <c r="J655" s="63"/>
      <c r="K655" s="63"/>
      <c r="L655" s="63"/>
      <c r="M655" s="63"/>
      <c r="N655" s="63"/>
      <c r="O655" s="63"/>
      <c r="P655" s="63"/>
      <c r="Q655" s="63"/>
      <c r="R655" s="63"/>
      <c r="S655" s="63"/>
      <c r="T655" s="63"/>
      <c r="U655" s="63"/>
      <c r="V655" s="63"/>
      <c r="W655" s="63"/>
      <c r="X655" s="63"/>
    </row>
    <row r="656" spans="1:24" ht="12.75">
      <c r="A656" s="69"/>
      <c r="B656" s="63"/>
      <c r="C656" s="63"/>
      <c r="D656" s="63"/>
      <c r="E656" s="63"/>
      <c r="F656" s="63"/>
      <c r="G656" s="63"/>
      <c r="H656" s="63"/>
      <c r="I656" s="63"/>
      <c r="J656" s="63"/>
      <c r="K656" s="63"/>
      <c r="L656" s="63"/>
      <c r="M656" s="63"/>
      <c r="N656" s="63"/>
      <c r="O656" s="63"/>
      <c r="P656" s="63"/>
      <c r="Q656" s="63"/>
      <c r="R656" s="63"/>
      <c r="S656" s="63"/>
      <c r="T656" s="63"/>
      <c r="U656" s="63"/>
      <c r="V656" s="63"/>
      <c r="W656" s="63"/>
      <c r="X656" s="63"/>
    </row>
    <row r="657" spans="1:24" ht="12.75">
      <c r="A657" s="69"/>
      <c r="B657" s="63"/>
      <c r="C657" s="63"/>
      <c r="D657" s="63"/>
      <c r="E657" s="63"/>
      <c r="F657" s="63"/>
      <c r="G657" s="63"/>
      <c r="H657" s="63"/>
      <c r="I657" s="63"/>
      <c r="J657" s="63"/>
      <c r="K657" s="63"/>
      <c r="L657" s="63"/>
      <c r="M657" s="63"/>
      <c r="N657" s="63"/>
      <c r="O657" s="63"/>
      <c r="P657" s="63"/>
      <c r="Q657" s="63"/>
      <c r="R657" s="63"/>
      <c r="S657" s="63"/>
      <c r="T657" s="63"/>
      <c r="U657" s="63"/>
      <c r="V657" s="63"/>
      <c r="W657" s="63"/>
      <c r="X657" s="63"/>
    </row>
    <row r="658" spans="1:24" ht="12.75">
      <c r="A658" s="69"/>
      <c r="B658" s="63"/>
      <c r="C658" s="63"/>
      <c r="D658" s="63"/>
      <c r="E658" s="63"/>
      <c r="F658" s="63"/>
      <c r="G658" s="63"/>
      <c r="H658" s="63"/>
      <c r="I658" s="63"/>
      <c r="J658" s="63"/>
      <c r="K658" s="63"/>
      <c r="L658" s="63"/>
      <c r="M658" s="63"/>
      <c r="N658" s="63"/>
      <c r="O658" s="63"/>
      <c r="P658" s="63"/>
      <c r="Q658" s="63"/>
      <c r="R658" s="63"/>
      <c r="S658" s="63"/>
      <c r="T658" s="63"/>
      <c r="U658" s="63"/>
      <c r="V658" s="63"/>
      <c r="W658" s="63"/>
      <c r="X658" s="63"/>
    </row>
    <row r="659" spans="1:24" ht="12.75">
      <c r="A659" s="69"/>
      <c r="B659" s="63"/>
      <c r="C659" s="63"/>
      <c r="D659" s="63"/>
      <c r="E659" s="63"/>
      <c r="F659" s="63"/>
      <c r="G659" s="63"/>
      <c r="H659" s="63"/>
      <c r="I659" s="63"/>
      <c r="J659" s="63"/>
      <c r="K659" s="63"/>
      <c r="L659" s="63"/>
      <c r="M659" s="63"/>
      <c r="N659" s="63"/>
      <c r="O659" s="63"/>
      <c r="P659" s="63"/>
      <c r="Q659" s="63"/>
      <c r="R659" s="63"/>
      <c r="S659" s="63"/>
      <c r="T659" s="63"/>
      <c r="U659" s="63"/>
      <c r="V659" s="63"/>
      <c r="W659" s="63"/>
      <c r="X659" s="63"/>
    </row>
    <row r="660" spans="1:24" ht="12.75">
      <c r="A660" s="69"/>
      <c r="B660" s="63"/>
      <c r="C660" s="63"/>
      <c r="D660" s="63"/>
      <c r="E660" s="63"/>
      <c r="F660" s="63"/>
      <c r="G660" s="63"/>
      <c r="H660" s="63"/>
      <c r="I660" s="63"/>
      <c r="J660" s="63"/>
      <c r="K660" s="63"/>
      <c r="L660" s="63"/>
      <c r="M660" s="63"/>
      <c r="N660" s="63"/>
      <c r="O660" s="63"/>
      <c r="P660" s="63"/>
      <c r="Q660" s="63"/>
      <c r="R660" s="63"/>
      <c r="S660" s="63"/>
      <c r="T660" s="63"/>
      <c r="U660" s="63"/>
      <c r="V660" s="63"/>
      <c r="W660" s="63"/>
      <c r="X660" s="63"/>
    </row>
    <row r="661" spans="1:24" ht="12.75">
      <c r="A661" s="69"/>
      <c r="B661" s="63"/>
      <c r="C661" s="63"/>
      <c r="D661" s="63"/>
      <c r="E661" s="63"/>
      <c r="F661" s="63"/>
      <c r="G661" s="63"/>
      <c r="H661" s="63"/>
      <c r="I661" s="63"/>
      <c r="J661" s="63"/>
      <c r="K661" s="63"/>
      <c r="L661" s="63"/>
      <c r="M661" s="63"/>
      <c r="N661" s="63"/>
      <c r="O661" s="63"/>
      <c r="P661" s="63"/>
      <c r="Q661" s="63"/>
      <c r="R661" s="63"/>
      <c r="S661" s="63"/>
      <c r="T661" s="63"/>
      <c r="U661" s="63"/>
      <c r="V661" s="63"/>
      <c r="W661" s="63"/>
      <c r="X661" s="63"/>
    </row>
    <row r="662" spans="1:24" ht="12.75">
      <c r="A662" s="69"/>
      <c r="B662" s="63"/>
      <c r="C662" s="63"/>
      <c r="D662" s="63"/>
      <c r="E662" s="63"/>
      <c r="F662" s="63"/>
      <c r="G662" s="63"/>
      <c r="H662" s="63"/>
      <c r="I662" s="63"/>
      <c r="J662" s="63"/>
      <c r="K662" s="63"/>
      <c r="L662" s="63"/>
      <c r="M662" s="63"/>
      <c r="N662" s="63"/>
      <c r="O662" s="63"/>
      <c r="P662" s="63"/>
      <c r="Q662" s="63"/>
      <c r="R662" s="63"/>
      <c r="S662" s="63"/>
      <c r="T662" s="63"/>
      <c r="U662" s="63"/>
      <c r="V662" s="63"/>
      <c r="W662" s="63"/>
      <c r="X662" s="63"/>
    </row>
    <row r="663" spans="1:24" ht="12.75">
      <c r="A663" s="69"/>
      <c r="B663" s="63"/>
      <c r="C663" s="63"/>
      <c r="D663" s="63"/>
      <c r="E663" s="63"/>
      <c r="F663" s="63"/>
      <c r="G663" s="63"/>
      <c r="H663" s="63"/>
      <c r="I663" s="63"/>
      <c r="J663" s="63"/>
      <c r="K663" s="63"/>
      <c r="L663" s="63"/>
      <c r="M663" s="63"/>
      <c r="N663" s="63"/>
      <c r="O663" s="63"/>
      <c r="P663" s="63"/>
      <c r="Q663" s="63"/>
      <c r="R663" s="63"/>
      <c r="S663" s="63"/>
      <c r="T663" s="63"/>
      <c r="U663" s="63"/>
      <c r="V663" s="63"/>
      <c r="W663" s="63"/>
      <c r="X663" s="63"/>
    </row>
    <row r="664" spans="1:24" ht="12.75">
      <c r="A664" s="69"/>
      <c r="B664" s="63"/>
      <c r="C664" s="63"/>
      <c r="D664" s="63"/>
      <c r="E664" s="63"/>
      <c r="F664" s="63"/>
      <c r="G664" s="63"/>
      <c r="H664" s="63"/>
      <c r="I664" s="63"/>
      <c r="J664" s="63"/>
      <c r="K664" s="63"/>
      <c r="L664" s="63"/>
      <c r="M664" s="63"/>
      <c r="N664" s="63"/>
      <c r="O664" s="63"/>
      <c r="P664" s="63"/>
      <c r="Q664" s="63"/>
      <c r="R664" s="63"/>
      <c r="S664" s="63"/>
      <c r="T664" s="63"/>
      <c r="U664" s="63"/>
      <c r="V664" s="63"/>
      <c r="W664" s="63"/>
      <c r="X664" s="63"/>
    </row>
    <row r="665" spans="1:24" ht="12.75">
      <c r="A665" s="69"/>
      <c r="B665" s="63"/>
      <c r="C665" s="63"/>
      <c r="D665" s="63"/>
      <c r="E665" s="63"/>
      <c r="F665" s="63"/>
      <c r="G665" s="63"/>
      <c r="H665" s="63"/>
      <c r="I665" s="63"/>
      <c r="J665" s="63"/>
      <c r="K665" s="63"/>
      <c r="L665" s="63"/>
      <c r="M665" s="63"/>
      <c r="N665" s="63"/>
      <c r="O665" s="63"/>
      <c r="P665" s="63"/>
      <c r="Q665" s="63"/>
      <c r="R665" s="63"/>
      <c r="S665" s="63"/>
      <c r="T665" s="63"/>
      <c r="U665" s="63"/>
      <c r="V665" s="63"/>
      <c r="W665" s="63"/>
      <c r="X665" s="63"/>
    </row>
    <row r="666" spans="1:24" ht="12.75">
      <c r="A666" s="69"/>
      <c r="B666" s="63"/>
      <c r="C666" s="63"/>
      <c r="D666" s="63"/>
      <c r="E666" s="63"/>
      <c r="F666" s="63"/>
      <c r="G666" s="63"/>
      <c r="H666" s="63"/>
      <c r="I666" s="63"/>
      <c r="J666" s="63"/>
      <c r="K666" s="63"/>
      <c r="L666" s="63"/>
      <c r="M666" s="63"/>
      <c r="N666" s="63"/>
      <c r="O666" s="63"/>
      <c r="P666" s="63"/>
      <c r="Q666" s="63"/>
      <c r="R666" s="63"/>
      <c r="S666" s="63"/>
      <c r="T666" s="63"/>
      <c r="U666" s="63"/>
      <c r="V666" s="63"/>
      <c r="W666" s="63"/>
      <c r="X666" s="63"/>
    </row>
    <row r="667" spans="1:24" ht="12.75">
      <c r="A667" s="69"/>
      <c r="B667" s="63"/>
      <c r="C667" s="63"/>
      <c r="D667" s="63"/>
      <c r="E667" s="63"/>
      <c r="F667" s="63"/>
      <c r="G667" s="63"/>
      <c r="H667" s="63"/>
      <c r="I667" s="63"/>
      <c r="J667" s="63"/>
      <c r="K667" s="63"/>
      <c r="L667" s="63"/>
      <c r="M667" s="63"/>
      <c r="N667" s="63"/>
      <c r="O667" s="63"/>
      <c r="P667" s="63"/>
      <c r="Q667" s="63"/>
      <c r="R667" s="63"/>
      <c r="S667" s="63"/>
      <c r="T667" s="63"/>
      <c r="U667" s="63"/>
      <c r="V667" s="63"/>
      <c r="W667" s="63"/>
      <c r="X667" s="63"/>
    </row>
    <row r="668" spans="1:24" ht="12.75">
      <c r="A668" s="69"/>
      <c r="B668" s="63"/>
      <c r="C668" s="63"/>
      <c r="D668" s="63"/>
      <c r="E668" s="63"/>
      <c r="F668" s="63"/>
      <c r="G668" s="63"/>
      <c r="H668" s="63"/>
      <c r="I668" s="63"/>
      <c r="J668" s="63"/>
      <c r="K668" s="63"/>
      <c r="L668" s="63"/>
      <c r="M668" s="63"/>
      <c r="N668" s="63"/>
      <c r="O668" s="63"/>
      <c r="P668" s="63"/>
      <c r="Q668" s="63"/>
      <c r="R668" s="63"/>
      <c r="S668" s="63"/>
      <c r="T668" s="63"/>
      <c r="U668" s="63"/>
      <c r="V668" s="63"/>
      <c r="W668" s="63"/>
      <c r="X668" s="63"/>
    </row>
    <row r="669" spans="1:24" ht="12.75">
      <c r="A669" s="69"/>
      <c r="B669" s="63"/>
      <c r="C669" s="63"/>
      <c r="D669" s="63"/>
      <c r="E669" s="63"/>
      <c r="F669" s="63"/>
      <c r="G669" s="63"/>
      <c r="H669" s="63"/>
      <c r="I669" s="63"/>
      <c r="J669" s="63"/>
      <c r="K669" s="63"/>
      <c r="L669" s="63"/>
      <c r="M669" s="63"/>
      <c r="N669" s="63"/>
      <c r="O669" s="63"/>
      <c r="P669" s="63"/>
      <c r="Q669" s="63"/>
      <c r="R669" s="63"/>
      <c r="S669" s="63"/>
      <c r="T669" s="63"/>
      <c r="U669" s="63"/>
      <c r="V669" s="63"/>
      <c r="W669" s="63"/>
      <c r="X669" s="63"/>
    </row>
    <row r="670" spans="1:24" ht="12.75">
      <c r="A670" s="69"/>
      <c r="B670" s="63"/>
      <c r="C670" s="63"/>
      <c r="D670" s="63"/>
      <c r="E670" s="63"/>
      <c r="F670" s="63"/>
      <c r="G670" s="63"/>
      <c r="H670" s="63"/>
      <c r="I670" s="63"/>
      <c r="J670" s="63"/>
      <c r="K670" s="63"/>
      <c r="L670" s="63"/>
      <c r="M670" s="63"/>
      <c r="N670" s="63"/>
      <c r="O670" s="63"/>
      <c r="P670" s="63"/>
      <c r="Q670" s="63"/>
      <c r="R670" s="63"/>
      <c r="S670" s="63"/>
      <c r="T670" s="63"/>
      <c r="U670" s="63"/>
      <c r="V670" s="63"/>
      <c r="W670" s="63"/>
      <c r="X670" s="63"/>
    </row>
    <row r="671" spans="1:24" ht="12.75">
      <c r="A671" s="69"/>
      <c r="B671" s="63"/>
      <c r="C671" s="63"/>
      <c r="D671" s="63"/>
      <c r="E671" s="63"/>
      <c r="F671" s="63"/>
      <c r="G671" s="63"/>
      <c r="H671" s="63"/>
      <c r="I671" s="63"/>
      <c r="J671" s="63"/>
      <c r="K671" s="63"/>
      <c r="L671" s="63"/>
      <c r="M671" s="63"/>
      <c r="N671" s="63"/>
      <c r="O671" s="63"/>
      <c r="P671" s="63"/>
      <c r="Q671" s="63"/>
      <c r="R671" s="63"/>
      <c r="S671" s="63"/>
      <c r="T671" s="63"/>
      <c r="U671" s="63"/>
      <c r="V671" s="63"/>
      <c r="W671" s="63"/>
      <c r="X671" s="63"/>
    </row>
    <row r="672" spans="1:24" ht="12.75">
      <c r="A672" s="69"/>
      <c r="B672" s="63"/>
      <c r="C672" s="63"/>
      <c r="D672" s="63"/>
      <c r="E672" s="63"/>
      <c r="F672" s="63"/>
      <c r="G672" s="63"/>
      <c r="H672" s="63"/>
      <c r="I672" s="63"/>
      <c r="J672" s="63"/>
      <c r="K672" s="63"/>
      <c r="L672" s="63"/>
      <c r="M672" s="63"/>
      <c r="N672" s="63"/>
      <c r="O672" s="63"/>
      <c r="P672" s="63"/>
      <c r="Q672" s="63"/>
      <c r="R672" s="63"/>
      <c r="S672" s="63"/>
      <c r="T672" s="63"/>
      <c r="U672" s="63"/>
      <c r="V672" s="63"/>
      <c r="W672" s="63"/>
      <c r="X672" s="63"/>
    </row>
    <row r="673" spans="1:24" ht="12.75">
      <c r="A673" s="69"/>
      <c r="B673" s="63"/>
      <c r="C673" s="63"/>
      <c r="D673" s="63"/>
      <c r="E673" s="63"/>
      <c r="F673" s="63"/>
      <c r="G673" s="63"/>
      <c r="H673" s="63"/>
      <c r="I673" s="63"/>
      <c r="J673" s="63"/>
      <c r="K673" s="63"/>
      <c r="L673" s="63"/>
      <c r="M673" s="63"/>
      <c r="N673" s="63"/>
      <c r="O673" s="63"/>
      <c r="P673" s="63"/>
      <c r="Q673" s="63"/>
      <c r="R673" s="63"/>
      <c r="S673" s="63"/>
      <c r="T673" s="63"/>
      <c r="U673" s="63"/>
      <c r="V673" s="63"/>
      <c r="W673" s="63"/>
      <c r="X673" s="63"/>
    </row>
    <row r="674" spans="1:24" ht="12.75">
      <c r="A674" s="69"/>
      <c r="B674" s="63"/>
      <c r="C674" s="63"/>
      <c r="D674" s="63"/>
      <c r="E674" s="63"/>
      <c r="F674" s="63"/>
      <c r="G674" s="63"/>
      <c r="H674" s="63"/>
      <c r="I674" s="63"/>
      <c r="J674" s="63"/>
      <c r="K674" s="63"/>
      <c r="L674" s="63"/>
      <c r="M674" s="63"/>
      <c r="N674" s="63"/>
      <c r="O674" s="63"/>
      <c r="P674" s="63"/>
      <c r="Q674" s="63"/>
      <c r="R674" s="63"/>
      <c r="S674" s="63"/>
      <c r="T674" s="63"/>
      <c r="U674" s="63"/>
      <c r="V674" s="63"/>
      <c r="W674" s="63"/>
      <c r="X674" s="63"/>
    </row>
    <row r="675" spans="1:24" ht="12.75">
      <c r="A675" s="69"/>
      <c r="B675" s="63"/>
      <c r="C675" s="63"/>
      <c r="D675" s="63"/>
      <c r="E675" s="63"/>
      <c r="F675" s="63"/>
      <c r="G675" s="63"/>
      <c r="H675" s="63"/>
      <c r="I675" s="63"/>
      <c r="J675" s="63"/>
      <c r="K675" s="63"/>
      <c r="L675" s="63"/>
      <c r="M675" s="63"/>
      <c r="N675" s="63"/>
      <c r="O675" s="63"/>
      <c r="P675" s="63"/>
      <c r="Q675" s="63"/>
      <c r="R675" s="63"/>
      <c r="S675" s="63"/>
      <c r="T675" s="63"/>
      <c r="U675" s="63"/>
      <c r="V675" s="63"/>
      <c r="W675" s="63"/>
      <c r="X675" s="63"/>
    </row>
    <row r="676" spans="1:24" ht="12.75">
      <c r="A676" s="69"/>
      <c r="B676" s="63"/>
      <c r="C676" s="63"/>
      <c r="D676" s="63"/>
      <c r="E676" s="63"/>
      <c r="F676" s="63"/>
      <c r="G676" s="63"/>
      <c r="H676" s="63"/>
      <c r="I676" s="63"/>
      <c r="J676" s="63"/>
      <c r="K676" s="63"/>
      <c r="L676" s="63"/>
      <c r="M676" s="63"/>
      <c r="N676" s="63"/>
      <c r="O676" s="63"/>
      <c r="P676" s="63"/>
      <c r="Q676" s="63"/>
      <c r="R676" s="63"/>
      <c r="S676" s="63"/>
      <c r="T676" s="63"/>
      <c r="U676" s="63"/>
      <c r="V676" s="63"/>
      <c r="W676" s="63"/>
      <c r="X676" s="63"/>
    </row>
    <row r="677" spans="1:24" ht="12.75">
      <c r="A677" s="69"/>
      <c r="B677" s="63"/>
      <c r="C677" s="63"/>
      <c r="D677" s="63"/>
      <c r="E677" s="63"/>
      <c r="F677" s="63"/>
      <c r="G677" s="63"/>
      <c r="H677" s="63"/>
      <c r="I677" s="63"/>
      <c r="J677" s="63"/>
      <c r="K677" s="63"/>
      <c r="L677" s="63"/>
      <c r="M677" s="63"/>
      <c r="N677" s="63"/>
      <c r="O677" s="63"/>
      <c r="P677" s="63"/>
      <c r="Q677" s="63"/>
      <c r="R677" s="63"/>
      <c r="S677" s="63"/>
      <c r="T677" s="63"/>
      <c r="U677" s="63"/>
      <c r="V677" s="63"/>
      <c r="W677" s="63"/>
      <c r="X677" s="63"/>
    </row>
    <row r="678" spans="1:24" ht="12.75">
      <c r="A678" s="69"/>
      <c r="B678" s="63"/>
      <c r="C678" s="63"/>
      <c r="D678" s="63"/>
      <c r="E678" s="63"/>
      <c r="F678" s="63"/>
      <c r="G678" s="63"/>
      <c r="H678" s="63"/>
      <c r="I678" s="63"/>
      <c r="J678" s="63"/>
      <c r="K678" s="63"/>
      <c r="L678" s="63"/>
      <c r="M678" s="63"/>
      <c r="N678" s="63"/>
      <c r="O678" s="63"/>
      <c r="P678" s="63"/>
      <c r="Q678" s="63"/>
      <c r="R678" s="63"/>
      <c r="S678" s="63"/>
      <c r="T678" s="63"/>
      <c r="U678" s="63"/>
      <c r="V678" s="63"/>
      <c r="W678" s="63"/>
      <c r="X678" s="63"/>
    </row>
    <row r="679" spans="1:24" ht="12.75">
      <c r="A679" s="69"/>
      <c r="B679" s="63"/>
      <c r="C679" s="63"/>
      <c r="D679" s="63"/>
      <c r="E679" s="63"/>
      <c r="F679" s="63"/>
      <c r="G679" s="63"/>
      <c r="H679" s="63"/>
      <c r="I679" s="63"/>
      <c r="J679" s="63"/>
      <c r="K679" s="63"/>
      <c r="L679" s="63"/>
      <c r="M679" s="63"/>
      <c r="N679" s="63"/>
      <c r="O679" s="63"/>
      <c r="P679" s="63"/>
      <c r="Q679" s="63"/>
      <c r="R679" s="63"/>
      <c r="S679" s="63"/>
      <c r="T679" s="63"/>
      <c r="U679" s="63"/>
      <c r="V679" s="63"/>
      <c r="W679" s="63"/>
      <c r="X679" s="63"/>
    </row>
    <row r="680" spans="1:24" ht="12.75">
      <c r="A680" s="69"/>
      <c r="B680" s="63"/>
      <c r="C680" s="63"/>
      <c r="D680" s="63"/>
      <c r="E680" s="63"/>
      <c r="F680" s="63"/>
      <c r="G680" s="63"/>
      <c r="H680" s="63"/>
      <c r="I680" s="63"/>
      <c r="J680" s="63"/>
      <c r="K680" s="63"/>
      <c r="L680" s="63"/>
      <c r="M680" s="63"/>
      <c r="N680" s="63"/>
      <c r="O680" s="63"/>
      <c r="P680" s="63"/>
      <c r="Q680" s="63"/>
      <c r="R680" s="63"/>
      <c r="S680" s="63"/>
      <c r="T680" s="63"/>
      <c r="U680" s="63"/>
      <c r="V680" s="63"/>
      <c r="W680" s="63"/>
      <c r="X680" s="63"/>
    </row>
    <row r="681" spans="1:24" ht="12.75">
      <c r="A681" s="69"/>
      <c r="B681" s="63"/>
      <c r="C681" s="63"/>
      <c r="D681" s="63"/>
      <c r="E681" s="63"/>
      <c r="F681" s="63"/>
      <c r="G681" s="63"/>
      <c r="H681" s="63"/>
      <c r="I681" s="63"/>
      <c r="J681" s="63"/>
      <c r="K681" s="63"/>
      <c r="L681" s="63"/>
      <c r="M681" s="63"/>
      <c r="N681" s="63"/>
      <c r="O681" s="63"/>
      <c r="P681" s="63"/>
      <c r="Q681" s="63"/>
      <c r="R681" s="63"/>
      <c r="S681" s="63"/>
      <c r="T681" s="63"/>
      <c r="U681" s="63"/>
      <c r="V681" s="63"/>
      <c r="W681" s="63"/>
      <c r="X681" s="63"/>
    </row>
    <row r="682" spans="1:24" ht="12.75">
      <c r="A682" s="69"/>
      <c r="B682" s="63"/>
      <c r="C682" s="63"/>
      <c r="D682" s="63"/>
      <c r="E682" s="63"/>
      <c r="F682" s="63"/>
      <c r="G682" s="63"/>
      <c r="H682" s="63"/>
      <c r="I682" s="63"/>
      <c r="J682" s="63"/>
      <c r="K682" s="63"/>
      <c r="L682" s="63"/>
      <c r="M682" s="63"/>
      <c r="N682" s="63"/>
      <c r="O682" s="63"/>
      <c r="P682" s="63"/>
      <c r="Q682" s="63"/>
      <c r="R682" s="63"/>
      <c r="S682" s="63"/>
      <c r="T682" s="63"/>
      <c r="U682" s="63"/>
      <c r="V682" s="63"/>
      <c r="W682" s="63"/>
      <c r="X682" s="63"/>
    </row>
    <row r="683" spans="1:24" ht="12.75">
      <c r="A683" s="69"/>
      <c r="B683" s="63"/>
      <c r="C683" s="63"/>
      <c r="D683" s="63"/>
      <c r="E683" s="63"/>
      <c r="F683" s="63"/>
      <c r="G683" s="63"/>
      <c r="H683" s="63"/>
      <c r="I683" s="63"/>
      <c r="J683" s="63"/>
      <c r="K683" s="63"/>
      <c r="L683" s="63"/>
      <c r="M683" s="63"/>
      <c r="N683" s="63"/>
      <c r="O683" s="63"/>
      <c r="P683" s="63"/>
      <c r="Q683" s="63"/>
      <c r="R683" s="63"/>
      <c r="S683" s="63"/>
      <c r="T683" s="63"/>
      <c r="U683" s="63"/>
      <c r="V683" s="63"/>
      <c r="W683" s="63"/>
      <c r="X683" s="63"/>
    </row>
    <row r="684" spans="1:24" ht="12.75">
      <c r="A684" s="69"/>
      <c r="B684" s="63"/>
      <c r="C684" s="63"/>
      <c r="D684" s="63"/>
      <c r="E684" s="63"/>
      <c r="F684" s="63"/>
      <c r="G684" s="63"/>
      <c r="H684" s="63"/>
      <c r="I684" s="63"/>
      <c r="J684" s="63"/>
      <c r="K684" s="63"/>
      <c r="L684" s="63"/>
      <c r="M684" s="63"/>
      <c r="N684" s="63"/>
      <c r="O684" s="63"/>
      <c r="P684" s="63"/>
      <c r="Q684" s="63"/>
      <c r="R684" s="63"/>
      <c r="S684" s="63"/>
      <c r="T684" s="63"/>
      <c r="U684" s="63"/>
      <c r="V684" s="63"/>
      <c r="W684" s="63"/>
      <c r="X684" s="63"/>
    </row>
    <row r="685" spans="1:24" ht="12.75">
      <c r="A685" s="69"/>
      <c r="B685" s="63"/>
      <c r="C685" s="63"/>
      <c r="D685" s="63"/>
      <c r="E685" s="63"/>
      <c r="F685" s="63"/>
      <c r="G685" s="63"/>
      <c r="H685" s="63"/>
      <c r="I685" s="63"/>
      <c r="J685" s="63"/>
      <c r="K685" s="63"/>
      <c r="L685" s="63"/>
      <c r="M685" s="63"/>
      <c r="N685" s="63"/>
      <c r="O685" s="63"/>
      <c r="P685" s="63"/>
      <c r="Q685" s="63"/>
      <c r="R685" s="63"/>
      <c r="S685" s="63"/>
      <c r="T685" s="63"/>
      <c r="U685" s="63"/>
      <c r="V685" s="63"/>
      <c r="W685" s="63"/>
      <c r="X685" s="63"/>
    </row>
    <row r="686" spans="1:24" ht="12.75">
      <c r="A686" s="69"/>
      <c r="B686" s="63"/>
      <c r="C686" s="63"/>
      <c r="D686" s="63"/>
      <c r="E686" s="63"/>
      <c r="F686" s="63"/>
      <c r="G686" s="63"/>
      <c r="H686" s="63"/>
      <c r="I686" s="63"/>
      <c r="J686" s="63"/>
      <c r="K686" s="63"/>
      <c r="L686" s="63"/>
      <c r="M686" s="63"/>
      <c r="N686" s="63"/>
      <c r="O686" s="63"/>
      <c r="P686" s="63"/>
      <c r="Q686" s="63"/>
      <c r="R686" s="63"/>
      <c r="S686" s="63"/>
      <c r="T686" s="63"/>
      <c r="U686" s="63"/>
      <c r="V686" s="63"/>
      <c r="W686" s="63"/>
      <c r="X686" s="63"/>
    </row>
    <row r="687" spans="1:24" ht="12.75">
      <c r="A687" s="69"/>
      <c r="B687" s="63"/>
      <c r="C687" s="63"/>
      <c r="D687" s="63"/>
      <c r="E687" s="63"/>
      <c r="F687" s="63"/>
      <c r="G687" s="63"/>
      <c r="H687" s="63"/>
      <c r="I687" s="63"/>
      <c r="J687" s="63"/>
      <c r="K687" s="63"/>
      <c r="L687" s="63"/>
      <c r="M687" s="63"/>
      <c r="N687" s="63"/>
      <c r="O687" s="63"/>
      <c r="P687" s="63"/>
      <c r="Q687" s="63"/>
      <c r="R687" s="63"/>
      <c r="S687" s="63"/>
      <c r="T687" s="63"/>
      <c r="U687" s="63"/>
      <c r="V687" s="63"/>
      <c r="W687" s="63"/>
      <c r="X687" s="63"/>
    </row>
    <row r="688" spans="1:24" ht="12.75">
      <c r="A688" s="69"/>
      <c r="B688" s="63"/>
      <c r="C688" s="63"/>
      <c r="D688" s="63"/>
      <c r="E688" s="63"/>
      <c r="F688" s="63"/>
      <c r="G688" s="63"/>
      <c r="H688" s="63"/>
      <c r="I688" s="63"/>
      <c r="J688" s="63"/>
      <c r="K688" s="63"/>
      <c r="L688" s="63"/>
      <c r="M688" s="63"/>
      <c r="N688" s="63"/>
      <c r="O688" s="63"/>
      <c r="P688" s="63"/>
      <c r="Q688" s="63"/>
      <c r="R688" s="63"/>
      <c r="S688" s="63"/>
      <c r="T688" s="63"/>
      <c r="U688" s="63"/>
      <c r="V688" s="63"/>
      <c r="W688" s="63"/>
      <c r="X688" s="63"/>
    </row>
    <row r="689" spans="1:24" ht="12.75">
      <c r="A689" s="69"/>
      <c r="B689" s="63"/>
      <c r="C689" s="63"/>
      <c r="D689" s="63"/>
      <c r="E689" s="63"/>
      <c r="F689" s="63"/>
      <c r="G689" s="63"/>
      <c r="H689" s="63"/>
      <c r="I689" s="63"/>
      <c r="J689" s="63"/>
      <c r="K689" s="63"/>
      <c r="L689" s="63"/>
      <c r="M689" s="63"/>
      <c r="N689" s="63"/>
      <c r="O689" s="63"/>
      <c r="P689" s="63"/>
      <c r="Q689" s="63"/>
      <c r="R689" s="63"/>
      <c r="S689" s="63"/>
      <c r="T689" s="63"/>
      <c r="U689" s="63"/>
      <c r="V689" s="63"/>
      <c r="W689" s="63"/>
      <c r="X689" s="63"/>
    </row>
    <row r="690" spans="1:24" ht="12.75">
      <c r="A690" s="69"/>
      <c r="B690" s="63"/>
      <c r="C690" s="63"/>
      <c r="D690" s="63"/>
      <c r="E690" s="63"/>
      <c r="F690" s="63"/>
      <c r="G690" s="63"/>
      <c r="H690" s="63"/>
      <c r="I690" s="63"/>
      <c r="J690" s="63"/>
      <c r="K690" s="63"/>
      <c r="L690" s="63"/>
      <c r="M690" s="63"/>
      <c r="N690" s="63"/>
      <c r="O690" s="63"/>
      <c r="P690" s="63"/>
      <c r="Q690" s="63"/>
      <c r="R690" s="63"/>
      <c r="S690" s="63"/>
      <c r="T690" s="63"/>
      <c r="U690" s="63"/>
      <c r="V690" s="63"/>
      <c r="W690" s="63"/>
      <c r="X690" s="63"/>
    </row>
    <row r="691" spans="1:24" ht="12.75">
      <c r="A691" s="69"/>
      <c r="B691" s="63"/>
      <c r="C691" s="63"/>
      <c r="D691" s="63"/>
      <c r="E691" s="63"/>
      <c r="F691" s="63"/>
      <c r="G691" s="63"/>
      <c r="H691" s="63"/>
      <c r="I691" s="63"/>
      <c r="J691" s="63"/>
      <c r="K691" s="63"/>
      <c r="L691" s="63"/>
      <c r="M691" s="63"/>
      <c r="N691" s="63"/>
      <c r="O691" s="63"/>
      <c r="P691" s="63"/>
      <c r="Q691" s="63"/>
      <c r="R691" s="63"/>
      <c r="S691" s="63"/>
      <c r="T691" s="63"/>
      <c r="U691" s="63"/>
      <c r="V691" s="63"/>
      <c r="W691" s="63"/>
      <c r="X691" s="63"/>
    </row>
    <row r="692" spans="1:24" ht="12.75">
      <c r="A692" s="69"/>
      <c r="B692" s="63"/>
      <c r="C692" s="63"/>
      <c r="D692" s="63"/>
      <c r="E692" s="63"/>
      <c r="F692" s="63"/>
      <c r="G692" s="63"/>
      <c r="H692" s="63"/>
      <c r="I692" s="63"/>
      <c r="J692" s="63"/>
      <c r="K692" s="63"/>
      <c r="L692" s="63"/>
      <c r="M692" s="63"/>
      <c r="N692" s="63"/>
      <c r="O692" s="63"/>
      <c r="P692" s="63"/>
      <c r="Q692" s="63"/>
      <c r="R692" s="63"/>
      <c r="S692" s="63"/>
      <c r="T692" s="63"/>
      <c r="U692" s="63"/>
      <c r="V692" s="63"/>
      <c r="W692" s="63"/>
      <c r="X692" s="63"/>
    </row>
    <row r="693" spans="1:24" ht="12.75">
      <c r="A693" s="69"/>
      <c r="B693" s="63"/>
      <c r="C693" s="63"/>
      <c r="D693" s="63"/>
      <c r="E693" s="63"/>
      <c r="F693" s="63"/>
      <c r="G693" s="63"/>
      <c r="H693" s="63"/>
      <c r="I693" s="63"/>
      <c r="J693" s="63"/>
      <c r="K693" s="63"/>
      <c r="L693" s="63"/>
      <c r="M693" s="63"/>
      <c r="N693" s="63"/>
      <c r="O693" s="63"/>
      <c r="P693" s="63"/>
      <c r="Q693" s="63"/>
      <c r="R693" s="63"/>
      <c r="S693" s="63"/>
      <c r="T693" s="63"/>
      <c r="U693" s="63"/>
      <c r="V693" s="63"/>
      <c r="W693" s="63"/>
      <c r="X693" s="63"/>
    </row>
    <row r="694" spans="1:24" ht="12.75">
      <c r="A694" s="69"/>
      <c r="B694" s="63"/>
      <c r="C694" s="63"/>
      <c r="D694" s="63"/>
      <c r="E694" s="63"/>
      <c r="F694" s="63"/>
      <c r="G694" s="63"/>
      <c r="H694" s="63"/>
      <c r="I694" s="63"/>
      <c r="J694" s="63"/>
      <c r="K694" s="63"/>
      <c r="L694" s="63"/>
      <c r="M694" s="63"/>
      <c r="N694" s="63"/>
      <c r="O694" s="63"/>
      <c r="P694" s="63"/>
      <c r="Q694" s="63"/>
      <c r="R694" s="63"/>
      <c r="S694" s="63"/>
      <c r="T694" s="63"/>
      <c r="U694" s="63"/>
      <c r="V694" s="63"/>
      <c r="W694" s="63"/>
      <c r="X694" s="63"/>
    </row>
    <row r="695" spans="1:24" ht="12.75">
      <c r="A695" s="69"/>
      <c r="B695" s="63"/>
      <c r="C695" s="63"/>
      <c r="D695" s="63"/>
      <c r="E695" s="63"/>
      <c r="F695" s="63"/>
      <c r="G695" s="63"/>
      <c r="H695" s="63"/>
      <c r="I695" s="63"/>
      <c r="J695" s="63"/>
      <c r="K695" s="63"/>
      <c r="L695" s="63"/>
      <c r="M695" s="63"/>
      <c r="N695" s="63"/>
      <c r="O695" s="63"/>
      <c r="P695" s="63"/>
      <c r="Q695" s="63"/>
      <c r="R695" s="63"/>
      <c r="S695" s="63"/>
      <c r="T695" s="63"/>
      <c r="U695" s="63"/>
      <c r="V695" s="63"/>
      <c r="W695" s="63"/>
      <c r="X695" s="63"/>
    </row>
    <row r="696" spans="1:24" ht="12.75">
      <c r="A696" s="69"/>
      <c r="B696" s="63"/>
      <c r="C696" s="63"/>
      <c r="D696" s="63"/>
      <c r="E696" s="63"/>
      <c r="F696" s="63"/>
      <c r="G696" s="63"/>
      <c r="H696" s="63"/>
      <c r="I696" s="63"/>
      <c r="J696" s="63"/>
      <c r="K696" s="63"/>
      <c r="L696" s="63"/>
      <c r="M696" s="63"/>
      <c r="N696" s="63"/>
      <c r="O696" s="63"/>
      <c r="P696" s="63"/>
      <c r="Q696" s="63"/>
      <c r="R696" s="63"/>
      <c r="S696" s="63"/>
      <c r="T696" s="63"/>
      <c r="U696" s="63"/>
      <c r="V696" s="63"/>
      <c r="W696" s="63"/>
      <c r="X696" s="63"/>
    </row>
    <row r="697" spans="1:24" ht="12.75">
      <c r="A697" s="69"/>
      <c r="B697" s="63"/>
      <c r="C697" s="63"/>
      <c r="D697" s="63"/>
      <c r="E697" s="63"/>
      <c r="F697" s="63"/>
      <c r="G697" s="63"/>
      <c r="H697" s="63"/>
      <c r="I697" s="63"/>
      <c r="J697" s="63"/>
      <c r="K697" s="63"/>
      <c r="L697" s="63"/>
      <c r="M697" s="63"/>
      <c r="N697" s="63"/>
      <c r="O697" s="63"/>
      <c r="P697" s="63"/>
      <c r="Q697" s="63"/>
      <c r="R697" s="63"/>
      <c r="S697" s="63"/>
      <c r="T697" s="63"/>
      <c r="U697" s="63"/>
      <c r="V697" s="63"/>
      <c r="W697" s="63"/>
      <c r="X697" s="63"/>
    </row>
    <row r="698" spans="1:24" ht="12.75">
      <c r="A698" s="69"/>
      <c r="B698" s="63"/>
      <c r="C698" s="63"/>
      <c r="D698" s="63"/>
      <c r="E698" s="63"/>
      <c r="F698" s="63"/>
      <c r="G698" s="63"/>
      <c r="H698" s="63"/>
      <c r="I698" s="63"/>
      <c r="J698" s="63"/>
      <c r="K698" s="63"/>
      <c r="L698" s="63"/>
      <c r="M698" s="63"/>
      <c r="N698" s="63"/>
      <c r="O698" s="63"/>
      <c r="P698" s="63"/>
      <c r="Q698" s="63"/>
      <c r="R698" s="63"/>
      <c r="S698" s="63"/>
      <c r="T698" s="63"/>
      <c r="U698" s="63"/>
      <c r="V698" s="63"/>
      <c r="W698" s="63"/>
      <c r="X698" s="63"/>
    </row>
    <row r="699" spans="1:24" ht="12.75">
      <c r="A699" s="69"/>
      <c r="B699" s="63"/>
      <c r="C699" s="63"/>
      <c r="D699" s="63"/>
      <c r="E699" s="63"/>
      <c r="F699" s="63"/>
      <c r="G699" s="63"/>
      <c r="H699" s="63"/>
      <c r="I699" s="63"/>
      <c r="J699" s="63"/>
      <c r="K699" s="63"/>
      <c r="L699" s="63"/>
      <c r="M699" s="63"/>
      <c r="N699" s="63"/>
      <c r="O699" s="63"/>
      <c r="P699" s="63"/>
      <c r="Q699" s="63"/>
      <c r="R699" s="63"/>
      <c r="S699" s="63"/>
      <c r="T699" s="63"/>
      <c r="U699" s="63"/>
      <c r="V699" s="63"/>
      <c r="W699" s="63"/>
      <c r="X699" s="63"/>
    </row>
    <row r="700" spans="1:24" ht="12.75">
      <c r="A700" s="69"/>
      <c r="B700" s="63"/>
      <c r="C700" s="63"/>
      <c r="D700" s="63"/>
      <c r="E700" s="63"/>
      <c r="F700" s="63"/>
      <c r="G700" s="63"/>
      <c r="H700" s="63"/>
      <c r="I700" s="63"/>
      <c r="J700" s="63"/>
      <c r="K700" s="63"/>
      <c r="L700" s="63"/>
      <c r="M700" s="63"/>
      <c r="N700" s="63"/>
      <c r="O700" s="63"/>
      <c r="P700" s="63"/>
      <c r="Q700" s="63"/>
      <c r="R700" s="63"/>
      <c r="S700" s="63"/>
      <c r="T700" s="63"/>
      <c r="U700" s="63"/>
      <c r="V700" s="63"/>
      <c r="W700" s="63"/>
      <c r="X700" s="63"/>
    </row>
    <row r="701" spans="1:24" ht="12.75">
      <c r="A701" s="69"/>
      <c r="B701" s="63"/>
      <c r="C701" s="63"/>
      <c r="D701" s="63"/>
      <c r="E701" s="63"/>
      <c r="F701" s="63"/>
      <c r="G701" s="63"/>
      <c r="H701" s="63"/>
      <c r="I701" s="63"/>
      <c r="J701" s="63"/>
      <c r="K701" s="63"/>
      <c r="L701" s="63"/>
      <c r="M701" s="63"/>
      <c r="N701" s="63"/>
      <c r="O701" s="63"/>
      <c r="P701" s="63"/>
      <c r="Q701" s="63"/>
      <c r="R701" s="63"/>
      <c r="S701" s="63"/>
      <c r="T701" s="63"/>
      <c r="U701" s="63"/>
      <c r="V701" s="63"/>
      <c r="W701" s="63"/>
      <c r="X701" s="63"/>
    </row>
    <row r="702" spans="1:24" ht="12.75">
      <c r="A702" s="69"/>
      <c r="B702" s="63"/>
      <c r="C702" s="63"/>
      <c r="D702" s="63"/>
      <c r="E702" s="63"/>
      <c r="F702" s="63"/>
      <c r="G702" s="63"/>
      <c r="H702" s="63"/>
      <c r="I702" s="63"/>
      <c r="J702" s="63"/>
      <c r="K702" s="63"/>
      <c r="L702" s="63"/>
      <c r="M702" s="63"/>
      <c r="N702" s="63"/>
      <c r="O702" s="63"/>
      <c r="P702" s="63"/>
      <c r="Q702" s="63"/>
      <c r="R702" s="63"/>
      <c r="S702" s="63"/>
      <c r="T702" s="63"/>
      <c r="U702" s="63"/>
      <c r="V702" s="63"/>
      <c r="W702" s="63"/>
      <c r="X702" s="63"/>
    </row>
    <row r="703" spans="1:24" ht="12.75">
      <c r="A703" s="69"/>
      <c r="B703" s="63"/>
      <c r="C703" s="63"/>
      <c r="D703" s="63"/>
      <c r="E703" s="63"/>
      <c r="F703" s="63"/>
      <c r="G703" s="63"/>
      <c r="H703" s="63"/>
      <c r="I703" s="63"/>
      <c r="J703" s="63"/>
      <c r="K703" s="63"/>
      <c r="L703" s="63"/>
      <c r="M703" s="63"/>
      <c r="N703" s="63"/>
      <c r="O703" s="63"/>
      <c r="P703" s="63"/>
      <c r="Q703" s="63"/>
      <c r="R703" s="63"/>
      <c r="S703" s="63"/>
      <c r="T703" s="63"/>
      <c r="U703" s="63"/>
      <c r="V703" s="63"/>
      <c r="W703" s="63"/>
      <c r="X703" s="63"/>
    </row>
    <row r="704" spans="1:24" ht="12.75">
      <c r="A704" s="69"/>
      <c r="B704" s="63"/>
      <c r="C704" s="63"/>
      <c r="D704" s="63"/>
      <c r="E704" s="63"/>
      <c r="F704" s="63"/>
      <c r="G704" s="63"/>
      <c r="H704" s="63"/>
      <c r="I704" s="63"/>
      <c r="J704" s="63"/>
      <c r="K704" s="63"/>
      <c r="L704" s="63"/>
      <c r="M704" s="63"/>
      <c r="N704" s="63"/>
      <c r="O704" s="63"/>
      <c r="P704" s="63"/>
      <c r="Q704" s="63"/>
      <c r="R704" s="63"/>
      <c r="S704" s="63"/>
      <c r="T704" s="63"/>
      <c r="U704" s="63"/>
      <c r="V704" s="63"/>
      <c r="W704" s="63"/>
      <c r="X704" s="63"/>
    </row>
    <row r="705" spans="1:24" ht="12.75">
      <c r="A705" s="69"/>
      <c r="B705" s="63"/>
      <c r="C705" s="63"/>
      <c r="D705" s="63"/>
      <c r="E705" s="63"/>
      <c r="F705" s="63"/>
      <c r="G705" s="63"/>
      <c r="H705" s="63"/>
      <c r="I705" s="63"/>
      <c r="J705" s="63"/>
      <c r="K705" s="63"/>
      <c r="L705" s="63"/>
      <c r="M705" s="63"/>
      <c r="N705" s="63"/>
      <c r="O705" s="63"/>
      <c r="P705" s="63"/>
      <c r="Q705" s="63"/>
      <c r="R705" s="63"/>
      <c r="S705" s="63"/>
      <c r="T705" s="63"/>
      <c r="U705" s="63"/>
      <c r="V705" s="63"/>
      <c r="W705" s="63"/>
      <c r="X705" s="63"/>
    </row>
    <row r="706" spans="1:24" ht="12.75">
      <c r="A706" s="69"/>
      <c r="B706" s="63"/>
      <c r="C706" s="63"/>
      <c r="D706" s="63"/>
      <c r="E706" s="63"/>
      <c r="F706" s="63"/>
      <c r="G706" s="63"/>
      <c r="H706" s="63"/>
      <c r="I706" s="63"/>
      <c r="J706" s="63"/>
      <c r="K706" s="63"/>
      <c r="L706" s="63"/>
      <c r="M706" s="63"/>
      <c r="N706" s="63"/>
      <c r="O706" s="63"/>
      <c r="P706" s="63"/>
      <c r="Q706" s="63"/>
      <c r="R706" s="63"/>
      <c r="S706" s="63"/>
      <c r="T706" s="63"/>
      <c r="U706" s="63"/>
      <c r="V706" s="63"/>
      <c r="W706" s="63"/>
      <c r="X706" s="63"/>
    </row>
    <row r="707" spans="1:24" ht="12.75">
      <c r="A707" s="69"/>
      <c r="B707" s="63"/>
      <c r="C707" s="63"/>
      <c r="D707" s="63"/>
      <c r="E707" s="63"/>
      <c r="F707" s="63"/>
      <c r="G707" s="63"/>
      <c r="H707" s="63"/>
      <c r="I707" s="63"/>
      <c r="J707" s="63"/>
      <c r="K707" s="63"/>
      <c r="L707" s="63"/>
      <c r="M707" s="63"/>
      <c r="N707" s="63"/>
      <c r="O707" s="63"/>
      <c r="P707" s="63"/>
      <c r="Q707" s="63"/>
      <c r="R707" s="63"/>
      <c r="S707" s="63"/>
      <c r="T707" s="63"/>
      <c r="U707" s="63"/>
      <c r="V707" s="63"/>
      <c r="W707" s="63"/>
      <c r="X707" s="63"/>
    </row>
    <row r="708" spans="1:24" ht="12.75">
      <c r="A708" s="69"/>
      <c r="B708" s="63"/>
      <c r="C708" s="63"/>
      <c r="D708" s="63"/>
      <c r="E708" s="63"/>
      <c r="F708" s="63"/>
      <c r="G708" s="63"/>
      <c r="H708" s="63"/>
      <c r="I708" s="63"/>
      <c r="J708" s="63"/>
      <c r="K708" s="63"/>
      <c r="L708" s="63"/>
      <c r="M708" s="63"/>
      <c r="N708" s="63"/>
      <c r="O708" s="63"/>
      <c r="P708" s="63"/>
      <c r="Q708" s="63"/>
      <c r="R708" s="63"/>
      <c r="S708" s="63"/>
      <c r="T708" s="63"/>
      <c r="U708" s="63"/>
      <c r="V708" s="63"/>
      <c r="W708" s="63"/>
      <c r="X708" s="63"/>
    </row>
    <row r="709" spans="1:24" ht="12.75">
      <c r="A709" s="69"/>
      <c r="B709" s="63"/>
      <c r="C709" s="63"/>
      <c r="D709" s="63"/>
      <c r="E709" s="63"/>
      <c r="F709" s="63"/>
      <c r="G709" s="63"/>
      <c r="H709" s="63"/>
      <c r="I709" s="63"/>
      <c r="J709" s="63"/>
      <c r="K709" s="63"/>
      <c r="L709" s="63"/>
      <c r="M709" s="63"/>
      <c r="N709" s="63"/>
      <c r="O709" s="63"/>
      <c r="P709" s="63"/>
      <c r="Q709" s="63"/>
      <c r="R709" s="63"/>
      <c r="S709" s="63"/>
      <c r="T709" s="63"/>
      <c r="U709" s="63"/>
      <c r="V709" s="63"/>
      <c r="W709" s="63"/>
      <c r="X709" s="63"/>
    </row>
    <row r="710" spans="1:24" ht="12.75">
      <c r="A710" s="69"/>
      <c r="B710" s="63"/>
      <c r="C710" s="63"/>
      <c r="D710" s="63"/>
      <c r="E710" s="63"/>
      <c r="F710" s="63"/>
      <c r="G710" s="63"/>
      <c r="H710" s="63"/>
      <c r="I710" s="63"/>
      <c r="J710" s="63"/>
      <c r="K710" s="63"/>
      <c r="L710" s="63"/>
      <c r="M710" s="63"/>
      <c r="N710" s="63"/>
      <c r="O710" s="63"/>
      <c r="P710" s="63"/>
      <c r="Q710" s="63"/>
      <c r="R710" s="63"/>
      <c r="S710" s="63"/>
      <c r="T710" s="63"/>
      <c r="U710" s="63"/>
      <c r="V710" s="63"/>
      <c r="W710" s="63"/>
      <c r="X710" s="63"/>
    </row>
    <row r="711" spans="1:24" ht="12.75">
      <c r="A711" s="69"/>
      <c r="B711" s="63"/>
      <c r="C711" s="63"/>
      <c r="D711" s="63"/>
      <c r="E711" s="63"/>
      <c r="F711" s="63"/>
      <c r="G711" s="63"/>
      <c r="H711" s="63"/>
      <c r="I711" s="63"/>
      <c r="J711" s="63"/>
      <c r="K711" s="63"/>
      <c r="L711" s="63"/>
      <c r="M711" s="63"/>
      <c r="N711" s="63"/>
      <c r="O711" s="63"/>
      <c r="P711" s="63"/>
      <c r="Q711" s="63"/>
      <c r="R711" s="63"/>
      <c r="S711" s="63"/>
      <c r="T711" s="63"/>
      <c r="U711" s="63"/>
      <c r="V711" s="63"/>
      <c r="W711" s="63"/>
      <c r="X711" s="63"/>
    </row>
    <row r="712" spans="1:24" ht="12.75">
      <c r="A712" s="69"/>
      <c r="B712" s="63"/>
      <c r="C712" s="63"/>
      <c r="D712" s="63"/>
      <c r="E712" s="63"/>
      <c r="F712" s="63"/>
      <c r="G712" s="63"/>
      <c r="H712" s="63"/>
      <c r="I712" s="63"/>
      <c r="J712" s="63"/>
      <c r="K712" s="63"/>
      <c r="L712" s="63"/>
      <c r="M712" s="63"/>
      <c r="N712" s="63"/>
      <c r="O712" s="63"/>
      <c r="P712" s="63"/>
      <c r="Q712" s="63"/>
      <c r="R712" s="63"/>
      <c r="S712" s="63"/>
      <c r="T712" s="63"/>
      <c r="U712" s="63"/>
      <c r="V712" s="63"/>
      <c r="W712" s="63"/>
      <c r="X712" s="63"/>
    </row>
    <row r="713" spans="1:24" ht="12.75">
      <c r="A713" s="69"/>
      <c r="B713" s="63"/>
      <c r="C713" s="63"/>
      <c r="D713" s="63"/>
      <c r="E713" s="63"/>
      <c r="F713" s="63"/>
      <c r="G713" s="63"/>
      <c r="H713" s="63"/>
      <c r="I713" s="63"/>
      <c r="J713" s="63"/>
      <c r="K713" s="63"/>
      <c r="L713" s="63"/>
      <c r="M713" s="63"/>
      <c r="N713" s="63"/>
      <c r="O713" s="63"/>
      <c r="P713" s="63"/>
      <c r="Q713" s="63"/>
      <c r="R713" s="63"/>
      <c r="S713" s="63"/>
      <c r="T713" s="63"/>
      <c r="U713" s="63"/>
      <c r="V713" s="63"/>
      <c r="W713" s="63"/>
      <c r="X713" s="63"/>
    </row>
    <row r="714" spans="1:24" ht="12.75">
      <c r="A714" s="69"/>
      <c r="B714" s="63"/>
      <c r="C714" s="63"/>
      <c r="D714" s="63"/>
      <c r="E714" s="63"/>
      <c r="F714" s="63"/>
      <c r="G714" s="63"/>
      <c r="H714" s="63"/>
      <c r="I714" s="63"/>
      <c r="J714" s="63"/>
      <c r="K714" s="63"/>
      <c r="L714" s="63"/>
      <c r="M714" s="63"/>
      <c r="N714" s="63"/>
      <c r="O714" s="63"/>
      <c r="P714" s="63"/>
      <c r="Q714" s="63"/>
      <c r="R714" s="63"/>
      <c r="S714" s="63"/>
      <c r="T714" s="63"/>
      <c r="U714" s="63"/>
      <c r="V714" s="63"/>
      <c r="W714" s="63"/>
      <c r="X714" s="63"/>
    </row>
    <row r="715" spans="1:24" ht="12.75">
      <c r="A715" s="69"/>
      <c r="B715" s="63"/>
      <c r="C715" s="63"/>
      <c r="D715" s="63"/>
      <c r="E715" s="63"/>
      <c r="F715" s="63"/>
      <c r="G715" s="63"/>
      <c r="H715" s="63"/>
      <c r="I715" s="63"/>
      <c r="J715" s="63"/>
      <c r="K715" s="63"/>
      <c r="L715" s="63"/>
      <c r="M715" s="63"/>
      <c r="N715" s="63"/>
      <c r="O715" s="63"/>
      <c r="P715" s="63"/>
      <c r="Q715" s="63"/>
      <c r="R715" s="63"/>
      <c r="S715" s="63"/>
      <c r="T715" s="63"/>
      <c r="U715" s="63"/>
      <c r="V715" s="63"/>
      <c r="W715" s="63"/>
      <c r="X715" s="63"/>
    </row>
    <row r="716" spans="1:24" ht="12.75">
      <c r="A716" s="69"/>
      <c r="B716" s="63"/>
      <c r="C716" s="63"/>
      <c r="D716" s="63"/>
      <c r="E716" s="63"/>
      <c r="F716" s="63"/>
      <c r="G716" s="63"/>
      <c r="H716" s="63"/>
      <c r="I716" s="63"/>
      <c r="J716" s="63"/>
      <c r="K716" s="63"/>
      <c r="L716" s="63"/>
      <c r="M716" s="63"/>
      <c r="N716" s="63"/>
      <c r="O716" s="63"/>
      <c r="P716" s="63"/>
      <c r="Q716" s="63"/>
      <c r="R716" s="63"/>
      <c r="S716" s="63"/>
      <c r="T716" s="63"/>
      <c r="U716" s="63"/>
      <c r="V716" s="63"/>
      <c r="W716" s="63"/>
      <c r="X716" s="63"/>
    </row>
    <row r="717" spans="1:24" ht="12.75">
      <c r="A717" s="69"/>
      <c r="B717" s="63"/>
      <c r="C717" s="63"/>
      <c r="D717" s="63"/>
      <c r="E717" s="63"/>
      <c r="F717" s="63"/>
      <c r="G717" s="63"/>
      <c r="H717" s="63"/>
      <c r="I717" s="63"/>
      <c r="J717" s="63"/>
      <c r="K717" s="63"/>
      <c r="L717" s="63"/>
      <c r="M717" s="63"/>
      <c r="N717" s="63"/>
      <c r="O717" s="63"/>
      <c r="P717" s="63"/>
      <c r="Q717" s="63"/>
      <c r="R717" s="63"/>
      <c r="S717" s="63"/>
      <c r="T717" s="63"/>
      <c r="U717" s="63"/>
      <c r="V717" s="63"/>
      <c r="W717" s="63"/>
      <c r="X717" s="63"/>
    </row>
    <row r="718" spans="1:24" ht="12.75">
      <c r="A718" s="69"/>
      <c r="B718" s="63"/>
      <c r="C718" s="63"/>
      <c r="D718" s="63"/>
      <c r="E718" s="63"/>
      <c r="F718" s="63"/>
      <c r="G718" s="63"/>
      <c r="H718" s="63"/>
      <c r="I718" s="63"/>
      <c r="J718" s="63"/>
      <c r="K718" s="63"/>
      <c r="L718" s="63"/>
      <c r="M718" s="63"/>
      <c r="N718" s="63"/>
      <c r="O718" s="63"/>
      <c r="P718" s="63"/>
      <c r="Q718" s="63"/>
      <c r="R718" s="63"/>
      <c r="S718" s="63"/>
      <c r="T718" s="63"/>
      <c r="U718" s="63"/>
      <c r="V718" s="63"/>
      <c r="W718" s="63"/>
      <c r="X718" s="63"/>
    </row>
    <row r="719" spans="1:24" ht="12.75">
      <c r="A719" s="69"/>
      <c r="B719" s="63"/>
      <c r="C719" s="63"/>
      <c r="D719" s="63"/>
      <c r="E719" s="63"/>
      <c r="F719" s="63"/>
      <c r="G719" s="63"/>
      <c r="H719" s="63"/>
      <c r="I719" s="63"/>
      <c r="J719" s="63"/>
      <c r="K719" s="63"/>
      <c r="L719" s="63"/>
      <c r="M719" s="63"/>
      <c r="N719" s="63"/>
      <c r="O719" s="63"/>
      <c r="P719" s="63"/>
      <c r="Q719" s="63"/>
      <c r="R719" s="63"/>
      <c r="S719" s="63"/>
      <c r="T719" s="63"/>
      <c r="U719" s="63"/>
      <c r="V719" s="63"/>
      <c r="W719" s="63"/>
      <c r="X719" s="63"/>
    </row>
    <row r="720" spans="1:24" ht="12.75">
      <c r="A720" s="69"/>
      <c r="B720" s="63"/>
      <c r="C720" s="63"/>
      <c r="D720" s="63"/>
      <c r="E720" s="63"/>
      <c r="F720" s="63"/>
      <c r="G720" s="63"/>
      <c r="H720" s="63"/>
      <c r="I720" s="63"/>
      <c r="J720" s="63"/>
      <c r="K720" s="63"/>
      <c r="L720" s="63"/>
      <c r="M720" s="63"/>
      <c r="N720" s="63"/>
      <c r="O720" s="63"/>
      <c r="P720" s="63"/>
      <c r="Q720" s="63"/>
      <c r="R720" s="63"/>
      <c r="S720" s="63"/>
      <c r="T720" s="63"/>
      <c r="U720" s="63"/>
      <c r="V720" s="63"/>
      <c r="W720" s="63"/>
      <c r="X720" s="63"/>
    </row>
    <row r="721" spans="1:24" ht="12.75">
      <c r="A721" s="69"/>
      <c r="B721" s="63"/>
      <c r="C721" s="63"/>
      <c r="D721" s="63"/>
      <c r="E721" s="63"/>
      <c r="F721" s="63"/>
      <c r="G721" s="63"/>
      <c r="H721" s="63"/>
      <c r="I721" s="63"/>
      <c r="J721" s="63"/>
      <c r="K721" s="63"/>
      <c r="L721" s="63"/>
      <c r="M721" s="63"/>
      <c r="N721" s="63"/>
      <c r="O721" s="63"/>
      <c r="P721" s="63"/>
      <c r="Q721" s="63"/>
      <c r="R721" s="63"/>
      <c r="S721" s="63"/>
      <c r="T721" s="63"/>
      <c r="U721" s="63"/>
      <c r="V721" s="63"/>
      <c r="W721" s="63"/>
      <c r="X721" s="63"/>
    </row>
    <row r="722" spans="1:24" ht="12.75">
      <c r="A722" s="69"/>
      <c r="B722" s="63"/>
      <c r="C722" s="63"/>
      <c r="D722" s="63"/>
      <c r="E722" s="63"/>
      <c r="F722" s="63"/>
      <c r="G722" s="63"/>
      <c r="H722" s="63"/>
      <c r="I722" s="63"/>
      <c r="J722" s="63"/>
      <c r="K722" s="63"/>
      <c r="L722" s="63"/>
      <c r="M722" s="63"/>
      <c r="N722" s="63"/>
      <c r="O722" s="63"/>
      <c r="P722" s="63"/>
      <c r="Q722" s="63"/>
      <c r="R722" s="63"/>
      <c r="S722" s="63"/>
      <c r="T722" s="63"/>
      <c r="U722" s="63"/>
      <c r="V722" s="63"/>
      <c r="W722" s="63"/>
      <c r="X722" s="63"/>
    </row>
    <row r="723" spans="1:24" ht="12.75">
      <c r="A723" s="69"/>
      <c r="B723" s="63"/>
      <c r="C723" s="63"/>
      <c r="D723" s="63"/>
      <c r="E723" s="63"/>
      <c r="F723" s="63"/>
      <c r="G723" s="63"/>
      <c r="H723" s="63"/>
      <c r="I723" s="63"/>
      <c r="J723" s="63"/>
      <c r="K723" s="63"/>
      <c r="L723" s="63"/>
      <c r="M723" s="63"/>
      <c r="N723" s="63"/>
      <c r="O723" s="63"/>
      <c r="P723" s="63"/>
      <c r="Q723" s="63"/>
      <c r="R723" s="63"/>
      <c r="S723" s="63"/>
      <c r="T723" s="63"/>
      <c r="U723" s="63"/>
      <c r="V723" s="63"/>
      <c r="W723" s="63"/>
      <c r="X723" s="63"/>
    </row>
    <row r="724" spans="1:24" ht="12.75">
      <c r="A724" s="69"/>
      <c r="B724" s="63"/>
      <c r="C724" s="63"/>
      <c r="D724" s="63"/>
      <c r="E724" s="63"/>
      <c r="F724" s="63"/>
      <c r="G724" s="63"/>
      <c r="H724" s="63"/>
      <c r="I724" s="63"/>
      <c r="J724" s="63"/>
      <c r="K724" s="63"/>
      <c r="L724" s="63"/>
      <c r="M724" s="63"/>
      <c r="N724" s="63"/>
      <c r="O724" s="63"/>
      <c r="P724" s="63"/>
      <c r="Q724" s="63"/>
      <c r="R724" s="63"/>
      <c r="S724" s="63"/>
      <c r="T724" s="63"/>
      <c r="U724" s="63"/>
      <c r="V724" s="63"/>
      <c r="W724" s="63"/>
      <c r="X724" s="63"/>
    </row>
    <row r="725" spans="1:24" ht="12.75">
      <c r="A725" s="69"/>
      <c r="B725" s="63"/>
      <c r="C725" s="63"/>
      <c r="D725" s="63"/>
      <c r="E725" s="63"/>
      <c r="F725" s="63"/>
      <c r="G725" s="63"/>
      <c r="H725" s="63"/>
      <c r="I725" s="63"/>
      <c r="J725" s="63"/>
      <c r="K725" s="63"/>
      <c r="L725" s="63"/>
      <c r="M725" s="63"/>
      <c r="N725" s="63"/>
      <c r="O725" s="63"/>
      <c r="P725" s="63"/>
      <c r="Q725" s="63"/>
      <c r="R725" s="63"/>
      <c r="S725" s="63"/>
      <c r="T725" s="63"/>
      <c r="U725" s="63"/>
      <c r="V725" s="63"/>
      <c r="W725" s="63"/>
      <c r="X725" s="63"/>
    </row>
    <row r="726" spans="1:24" ht="12.75">
      <c r="A726" s="69"/>
      <c r="B726" s="63"/>
      <c r="C726" s="63"/>
      <c r="D726" s="63"/>
      <c r="E726" s="63"/>
      <c r="F726" s="63"/>
      <c r="G726" s="63"/>
      <c r="H726" s="63"/>
      <c r="I726" s="63"/>
      <c r="J726" s="63"/>
      <c r="K726" s="63"/>
      <c r="L726" s="63"/>
      <c r="M726" s="63"/>
      <c r="N726" s="63"/>
      <c r="O726" s="63"/>
      <c r="P726" s="63"/>
      <c r="Q726" s="63"/>
      <c r="R726" s="63"/>
      <c r="S726" s="63"/>
      <c r="T726" s="63"/>
      <c r="U726" s="63"/>
      <c r="V726" s="63"/>
      <c r="W726" s="63"/>
      <c r="X726" s="63"/>
    </row>
    <row r="727" spans="1:24" ht="12.75">
      <c r="A727" s="69"/>
      <c r="B727" s="63"/>
      <c r="C727" s="63"/>
      <c r="D727" s="63"/>
      <c r="E727" s="63"/>
      <c r="F727" s="63"/>
      <c r="G727" s="63"/>
      <c r="H727" s="63"/>
      <c r="I727" s="63"/>
      <c r="J727" s="63"/>
      <c r="K727" s="63"/>
      <c r="L727" s="63"/>
      <c r="M727" s="63"/>
      <c r="N727" s="63"/>
      <c r="O727" s="63"/>
      <c r="P727" s="63"/>
      <c r="Q727" s="63"/>
      <c r="R727" s="63"/>
      <c r="S727" s="63"/>
      <c r="T727" s="63"/>
      <c r="U727" s="63"/>
      <c r="V727" s="63"/>
      <c r="W727" s="63"/>
      <c r="X727" s="63"/>
    </row>
    <row r="728" spans="1:24" ht="12.75">
      <c r="A728" s="69"/>
      <c r="B728" s="63"/>
      <c r="C728" s="63"/>
      <c r="D728" s="63"/>
      <c r="E728" s="63"/>
      <c r="F728" s="63"/>
      <c r="G728" s="63"/>
      <c r="H728" s="63"/>
      <c r="I728" s="63"/>
      <c r="J728" s="63"/>
      <c r="K728" s="63"/>
      <c r="L728" s="63"/>
      <c r="M728" s="63"/>
      <c r="N728" s="63"/>
      <c r="O728" s="63"/>
      <c r="P728" s="63"/>
      <c r="Q728" s="63"/>
      <c r="R728" s="63"/>
      <c r="S728" s="63"/>
      <c r="T728" s="63"/>
      <c r="U728" s="63"/>
      <c r="V728" s="63"/>
      <c r="W728" s="63"/>
      <c r="X728" s="63"/>
    </row>
    <row r="729" spans="1:24" ht="12.75">
      <c r="A729" s="69"/>
      <c r="B729" s="63"/>
      <c r="C729" s="63"/>
      <c r="D729" s="63"/>
      <c r="E729" s="63"/>
      <c r="F729" s="63"/>
      <c r="G729" s="63"/>
      <c r="H729" s="63"/>
      <c r="I729" s="63"/>
      <c r="J729" s="63"/>
      <c r="K729" s="63"/>
      <c r="L729" s="63"/>
      <c r="M729" s="63"/>
      <c r="N729" s="63"/>
      <c r="O729" s="63"/>
      <c r="P729" s="63"/>
      <c r="Q729" s="63"/>
      <c r="R729" s="63"/>
      <c r="S729" s="63"/>
      <c r="T729" s="63"/>
      <c r="U729" s="63"/>
      <c r="V729" s="63"/>
      <c r="W729" s="63"/>
      <c r="X729" s="63"/>
    </row>
    <row r="730" spans="1:24" ht="12.75">
      <c r="A730" s="69"/>
      <c r="B730" s="63"/>
      <c r="C730" s="63"/>
      <c r="D730" s="63"/>
      <c r="E730" s="63"/>
      <c r="F730" s="63"/>
      <c r="G730" s="63"/>
      <c r="H730" s="63"/>
      <c r="I730" s="63"/>
      <c r="J730" s="63"/>
      <c r="K730" s="63"/>
      <c r="L730" s="63"/>
      <c r="M730" s="63"/>
      <c r="N730" s="63"/>
      <c r="O730" s="63"/>
      <c r="P730" s="63"/>
      <c r="Q730" s="63"/>
      <c r="R730" s="63"/>
      <c r="S730" s="63"/>
      <c r="T730" s="63"/>
      <c r="U730" s="63"/>
      <c r="V730" s="63"/>
      <c r="W730" s="63"/>
      <c r="X730" s="63"/>
    </row>
    <row r="731" spans="1:24" ht="12.75">
      <c r="A731" s="69"/>
      <c r="B731" s="63"/>
      <c r="C731" s="63"/>
      <c r="D731" s="63"/>
      <c r="E731" s="63"/>
      <c r="F731" s="63"/>
      <c r="G731" s="63"/>
      <c r="H731" s="63"/>
      <c r="I731" s="63"/>
      <c r="J731" s="63"/>
      <c r="K731" s="63"/>
      <c r="L731" s="63"/>
      <c r="M731" s="63"/>
      <c r="N731" s="63"/>
      <c r="O731" s="63"/>
      <c r="P731" s="63"/>
      <c r="Q731" s="63"/>
      <c r="R731" s="63"/>
      <c r="S731" s="63"/>
      <c r="T731" s="63"/>
      <c r="U731" s="63"/>
      <c r="V731" s="63"/>
      <c r="W731" s="63"/>
      <c r="X731" s="63"/>
    </row>
    <row r="732" spans="1:24" ht="12.75">
      <c r="A732" s="69"/>
      <c r="B732" s="63"/>
      <c r="C732" s="63"/>
      <c r="D732" s="63"/>
      <c r="E732" s="63"/>
      <c r="F732" s="63"/>
      <c r="G732" s="63"/>
      <c r="H732" s="63"/>
      <c r="I732" s="63"/>
      <c r="J732" s="63"/>
      <c r="K732" s="63"/>
      <c r="L732" s="63"/>
      <c r="M732" s="63"/>
      <c r="N732" s="63"/>
      <c r="O732" s="63"/>
      <c r="P732" s="63"/>
      <c r="Q732" s="63"/>
      <c r="R732" s="63"/>
      <c r="S732" s="63"/>
      <c r="T732" s="63"/>
      <c r="U732" s="63"/>
      <c r="V732" s="63"/>
      <c r="W732" s="63"/>
      <c r="X732" s="63"/>
    </row>
    <row r="733" spans="1:24" ht="12.75">
      <c r="A733" s="69"/>
      <c r="B733" s="63"/>
      <c r="C733" s="63"/>
      <c r="D733" s="63"/>
      <c r="E733" s="63"/>
      <c r="F733" s="63"/>
      <c r="G733" s="63"/>
      <c r="H733" s="63"/>
      <c r="I733" s="63"/>
      <c r="J733" s="63"/>
      <c r="K733" s="63"/>
      <c r="L733" s="63"/>
      <c r="M733" s="63"/>
      <c r="N733" s="63"/>
      <c r="O733" s="63"/>
      <c r="P733" s="63"/>
      <c r="Q733" s="63"/>
      <c r="R733" s="63"/>
      <c r="S733" s="63"/>
      <c r="T733" s="63"/>
      <c r="U733" s="63"/>
      <c r="V733" s="63"/>
      <c r="W733" s="63"/>
      <c r="X733" s="63"/>
    </row>
    <row r="734" spans="1:24" ht="12.75">
      <c r="A734" s="69"/>
      <c r="B734" s="63"/>
      <c r="C734" s="63"/>
      <c r="D734" s="63"/>
      <c r="E734" s="63"/>
      <c r="F734" s="63"/>
      <c r="G734" s="63"/>
      <c r="H734" s="63"/>
      <c r="I734" s="63"/>
      <c r="J734" s="63"/>
      <c r="K734" s="63"/>
      <c r="L734" s="63"/>
      <c r="M734" s="63"/>
      <c r="N734" s="63"/>
      <c r="O734" s="63"/>
      <c r="P734" s="63"/>
      <c r="Q734" s="63"/>
      <c r="R734" s="63"/>
      <c r="S734" s="63"/>
      <c r="T734" s="63"/>
      <c r="U734" s="63"/>
      <c r="V734" s="63"/>
      <c r="W734" s="63"/>
      <c r="X734" s="63"/>
    </row>
    <row r="735" spans="1:24" ht="12.75">
      <c r="A735" s="69"/>
      <c r="B735" s="63"/>
      <c r="C735" s="63"/>
      <c r="D735" s="63"/>
      <c r="E735" s="63"/>
      <c r="F735" s="63"/>
      <c r="G735" s="63"/>
      <c r="H735" s="63"/>
      <c r="I735" s="63"/>
      <c r="J735" s="63"/>
      <c r="K735" s="63"/>
      <c r="L735" s="63"/>
      <c r="M735" s="63"/>
      <c r="N735" s="63"/>
      <c r="O735" s="63"/>
      <c r="P735" s="63"/>
      <c r="Q735" s="63"/>
      <c r="R735" s="63"/>
      <c r="S735" s="63"/>
      <c r="T735" s="63"/>
      <c r="U735" s="63"/>
      <c r="V735" s="63"/>
      <c r="W735" s="63"/>
      <c r="X735" s="63"/>
    </row>
    <row r="736" spans="1:24" ht="12.75">
      <c r="A736" s="69"/>
      <c r="B736" s="63"/>
      <c r="C736" s="63"/>
      <c r="D736" s="63"/>
      <c r="E736" s="63"/>
      <c r="F736" s="63"/>
      <c r="G736" s="63"/>
      <c r="H736" s="63"/>
      <c r="I736" s="63"/>
      <c r="J736" s="63"/>
      <c r="K736" s="63"/>
      <c r="L736" s="63"/>
      <c r="M736" s="63"/>
      <c r="N736" s="63"/>
      <c r="O736" s="63"/>
      <c r="P736" s="63"/>
      <c r="Q736" s="63"/>
      <c r="R736" s="63"/>
      <c r="S736" s="63"/>
      <c r="T736" s="63"/>
      <c r="U736" s="63"/>
      <c r="V736" s="63"/>
      <c r="W736" s="63"/>
      <c r="X736" s="63"/>
    </row>
    <row r="737" spans="1:24" ht="12.75">
      <c r="A737" s="69"/>
      <c r="B737" s="63"/>
      <c r="C737" s="63"/>
      <c r="D737" s="63"/>
      <c r="E737" s="63"/>
      <c r="F737" s="63"/>
      <c r="G737" s="63"/>
      <c r="H737" s="63"/>
      <c r="I737" s="63"/>
      <c r="J737" s="63"/>
      <c r="K737" s="63"/>
      <c r="L737" s="63"/>
      <c r="M737" s="63"/>
      <c r="N737" s="63"/>
      <c r="O737" s="63"/>
      <c r="P737" s="63"/>
      <c r="Q737" s="63"/>
      <c r="R737" s="63"/>
      <c r="S737" s="63"/>
      <c r="T737" s="63"/>
      <c r="U737" s="63"/>
      <c r="V737" s="63"/>
      <c r="W737" s="63"/>
      <c r="X737" s="63"/>
    </row>
    <row r="738" spans="1:24" ht="12.75">
      <c r="A738" s="69"/>
      <c r="B738" s="63"/>
      <c r="C738" s="63"/>
      <c r="D738" s="63"/>
      <c r="E738" s="63"/>
      <c r="F738" s="63"/>
      <c r="G738" s="63"/>
      <c r="H738" s="63"/>
      <c r="I738" s="63"/>
      <c r="J738" s="63"/>
      <c r="K738" s="63"/>
      <c r="L738" s="63"/>
      <c r="M738" s="63"/>
      <c r="N738" s="63"/>
      <c r="O738" s="63"/>
      <c r="P738" s="63"/>
      <c r="Q738" s="63"/>
      <c r="R738" s="63"/>
      <c r="S738" s="63"/>
      <c r="T738" s="63"/>
      <c r="U738" s="63"/>
      <c r="V738" s="63"/>
      <c r="W738" s="63"/>
      <c r="X738" s="63"/>
    </row>
    <row r="739" spans="1:24" ht="12.75">
      <c r="A739" s="69"/>
      <c r="B739" s="63"/>
      <c r="C739" s="63"/>
      <c r="D739" s="63"/>
      <c r="E739" s="63"/>
      <c r="F739" s="63"/>
      <c r="G739" s="63"/>
      <c r="H739" s="63"/>
      <c r="I739" s="63"/>
      <c r="J739" s="63"/>
      <c r="K739" s="63"/>
      <c r="L739" s="63"/>
      <c r="M739" s="63"/>
      <c r="N739" s="63"/>
      <c r="O739" s="63"/>
      <c r="P739" s="63"/>
      <c r="Q739" s="63"/>
      <c r="R739" s="63"/>
      <c r="S739" s="63"/>
      <c r="T739" s="63"/>
      <c r="U739" s="63"/>
      <c r="V739" s="63"/>
      <c r="W739" s="63"/>
      <c r="X739" s="63"/>
    </row>
    <row r="740" spans="1:24" ht="12.75">
      <c r="A740" s="69"/>
      <c r="B740" s="63"/>
      <c r="C740" s="63"/>
      <c r="D740" s="63"/>
      <c r="E740" s="63"/>
      <c r="F740" s="63"/>
      <c r="G740" s="63"/>
      <c r="H740" s="63"/>
      <c r="I740" s="63"/>
      <c r="J740" s="63"/>
      <c r="K740" s="63"/>
      <c r="L740" s="63"/>
      <c r="M740" s="63"/>
      <c r="N740" s="63"/>
      <c r="O740" s="63"/>
      <c r="P740" s="63"/>
      <c r="Q740" s="63"/>
      <c r="R740" s="63"/>
      <c r="S740" s="63"/>
      <c r="T740" s="63"/>
      <c r="U740" s="63"/>
      <c r="V740" s="63"/>
      <c r="W740" s="63"/>
      <c r="X740" s="63"/>
    </row>
    <row r="741" spans="1:24" ht="12.75">
      <c r="A741" s="69"/>
      <c r="B741" s="63"/>
      <c r="C741" s="63"/>
      <c r="D741" s="63"/>
      <c r="E741" s="63"/>
      <c r="F741" s="63"/>
      <c r="G741" s="63"/>
      <c r="H741" s="63"/>
      <c r="I741" s="63"/>
      <c r="J741" s="63"/>
      <c r="K741" s="63"/>
      <c r="L741" s="63"/>
      <c r="M741" s="63"/>
      <c r="N741" s="63"/>
      <c r="O741" s="63"/>
      <c r="P741" s="63"/>
      <c r="Q741" s="63"/>
      <c r="R741" s="63"/>
      <c r="S741" s="63"/>
      <c r="T741" s="63"/>
      <c r="U741" s="63"/>
      <c r="V741" s="63"/>
      <c r="W741" s="63"/>
      <c r="X741" s="63"/>
    </row>
    <row r="742" spans="1:24" ht="12.75">
      <c r="A742" s="69"/>
      <c r="B742" s="63"/>
      <c r="C742" s="63"/>
      <c r="D742" s="63"/>
      <c r="E742" s="63"/>
      <c r="F742" s="63"/>
      <c r="G742" s="63"/>
      <c r="H742" s="63"/>
      <c r="I742" s="63"/>
      <c r="J742" s="63"/>
      <c r="K742" s="63"/>
      <c r="L742" s="63"/>
      <c r="M742" s="63"/>
      <c r="N742" s="63"/>
      <c r="O742" s="63"/>
      <c r="P742" s="63"/>
      <c r="Q742" s="63"/>
      <c r="R742" s="63"/>
      <c r="S742" s="63"/>
      <c r="T742" s="63"/>
      <c r="U742" s="63"/>
      <c r="V742" s="63"/>
      <c r="W742" s="63"/>
      <c r="X742" s="63"/>
    </row>
    <row r="743" spans="1:24" ht="12.75">
      <c r="A743" s="69"/>
      <c r="B743" s="63"/>
      <c r="C743" s="63"/>
      <c r="D743" s="63"/>
      <c r="E743" s="63"/>
      <c r="F743" s="63"/>
      <c r="G743" s="63"/>
      <c r="H743" s="63"/>
      <c r="I743" s="63"/>
      <c r="J743" s="63"/>
      <c r="K743" s="63"/>
      <c r="L743" s="63"/>
      <c r="M743" s="63"/>
      <c r="N743" s="63"/>
      <c r="O743" s="63"/>
      <c r="P743" s="63"/>
      <c r="Q743" s="63"/>
      <c r="R743" s="63"/>
      <c r="S743" s="63"/>
      <c r="T743" s="63"/>
      <c r="U743" s="63"/>
      <c r="V743" s="63"/>
      <c r="W743" s="63"/>
      <c r="X743" s="63"/>
    </row>
    <row r="744" spans="1:24" ht="12.75">
      <c r="A744" s="69"/>
      <c r="B744" s="63"/>
      <c r="C744" s="63"/>
      <c r="D744" s="63"/>
      <c r="E744" s="63"/>
      <c r="F744" s="63"/>
      <c r="G744" s="63"/>
      <c r="H744" s="63"/>
      <c r="I744" s="63"/>
      <c r="J744" s="63"/>
      <c r="K744" s="63"/>
      <c r="L744" s="63"/>
      <c r="M744" s="63"/>
      <c r="N744" s="63"/>
      <c r="O744" s="63"/>
      <c r="P744" s="63"/>
      <c r="Q744" s="63"/>
      <c r="R744" s="63"/>
      <c r="S744" s="63"/>
      <c r="T744" s="63"/>
      <c r="U744" s="63"/>
      <c r="V744" s="63"/>
      <c r="W744" s="63"/>
      <c r="X744" s="63"/>
    </row>
    <row r="745" spans="1:24" ht="12.75">
      <c r="A745" s="69"/>
      <c r="B745" s="63"/>
      <c r="C745" s="63"/>
      <c r="D745" s="63"/>
      <c r="E745" s="63"/>
      <c r="F745" s="63"/>
      <c r="G745" s="63"/>
      <c r="H745" s="63"/>
      <c r="I745" s="63"/>
      <c r="J745" s="63"/>
      <c r="K745" s="63"/>
      <c r="L745" s="63"/>
      <c r="M745" s="63"/>
      <c r="N745" s="63"/>
      <c r="O745" s="63"/>
      <c r="P745" s="63"/>
      <c r="Q745" s="63"/>
      <c r="R745" s="63"/>
      <c r="S745" s="63"/>
      <c r="T745" s="63"/>
      <c r="U745" s="63"/>
      <c r="V745" s="63"/>
      <c r="W745" s="63"/>
      <c r="X745" s="63"/>
    </row>
    <row r="746" spans="1:24" ht="12.75">
      <c r="A746" s="69"/>
      <c r="B746" s="63"/>
      <c r="C746" s="63"/>
      <c r="D746" s="63"/>
      <c r="E746" s="63"/>
      <c r="F746" s="63"/>
      <c r="G746" s="63"/>
      <c r="H746" s="63"/>
      <c r="I746" s="63"/>
      <c r="J746" s="63"/>
      <c r="K746" s="63"/>
      <c r="L746" s="63"/>
      <c r="M746" s="63"/>
      <c r="N746" s="63"/>
      <c r="O746" s="63"/>
      <c r="P746" s="63"/>
      <c r="Q746" s="63"/>
      <c r="R746" s="63"/>
      <c r="S746" s="63"/>
      <c r="T746" s="63"/>
      <c r="U746" s="63"/>
      <c r="V746" s="63"/>
      <c r="W746" s="63"/>
      <c r="X746" s="63"/>
    </row>
    <row r="747" spans="1:24" ht="12.75">
      <c r="A747" s="69"/>
      <c r="B747" s="63"/>
      <c r="C747" s="63"/>
      <c r="D747" s="63"/>
      <c r="E747" s="63"/>
      <c r="F747" s="63"/>
      <c r="G747" s="63"/>
      <c r="H747" s="63"/>
      <c r="I747" s="63"/>
      <c r="J747" s="63"/>
      <c r="K747" s="63"/>
      <c r="L747" s="63"/>
      <c r="M747" s="63"/>
      <c r="N747" s="63"/>
      <c r="O747" s="63"/>
      <c r="P747" s="63"/>
      <c r="Q747" s="63"/>
      <c r="R747" s="63"/>
      <c r="S747" s="63"/>
      <c r="T747" s="63"/>
      <c r="U747" s="63"/>
      <c r="V747" s="63"/>
      <c r="W747" s="63"/>
      <c r="X747" s="63"/>
    </row>
    <row r="748" spans="1:24" ht="12.75">
      <c r="A748" s="69"/>
      <c r="B748" s="63"/>
      <c r="C748" s="63"/>
      <c r="D748" s="63"/>
      <c r="E748" s="63"/>
      <c r="F748" s="63"/>
      <c r="G748" s="63"/>
      <c r="H748" s="63"/>
      <c r="I748" s="63"/>
      <c r="J748" s="63"/>
      <c r="K748" s="63"/>
      <c r="L748" s="63"/>
      <c r="M748" s="63"/>
      <c r="N748" s="63"/>
      <c r="O748" s="63"/>
      <c r="P748" s="63"/>
      <c r="Q748" s="63"/>
      <c r="R748" s="63"/>
      <c r="S748" s="63"/>
      <c r="T748" s="63"/>
      <c r="U748" s="63"/>
      <c r="V748" s="63"/>
      <c r="W748" s="63"/>
      <c r="X748" s="63"/>
    </row>
    <row r="749" spans="1:24" ht="12.75">
      <c r="A749" s="69"/>
      <c r="B749" s="63"/>
      <c r="C749" s="63"/>
      <c r="D749" s="63"/>
      <c r="E749" s="63"/>
      <c r="F749" s="63"/>
      <c r="G749" s="63"/>
      <c r="H749" s="63"/>
      <c r="I749" s="63"/>
      <c r="J749" s="63"/>
      <c r="K749" s="63"/>
      <c r="L749" s="63"/>
      <c r="M749" s="63"/>
      <c r="N749" s="63"/>
      <c r="O749" s="63"/>
      <c r="P749" s="63"/>
      <c r="Q749" s="63"/>
      <c r="R749" s="63"/>
      <c r="S749" s="63"/>
      <c r="T749" s="63"/>
      <c r="U749" s="63"/>
      <c r="V749" s="63"/>
      <c r="W749" s="63"/>
      <c r="X749" s="63"/>
    </row>
    <row r="750" spans="1:24" ht="12.75">
      <c r="A750" s="69"/>
      <c r="B750" s="63"/>
      <c r="C750" s="63"/>
      <c r="D750" s="63"/>
      <c r="E750" s="63"/>
      <c r="F750" s="63"/>
      <c r="G750" s="63"/>
      <c r="H750" s="63"/>
      <c r="I750" s="63"/>
      <c r="J750" s="63"/>
      <c r="K750" s="63"/>
      <c r="L750" s="63"/>
      <c r="M750" s="63"/>
      <c r="N750" s="63"/>
      <c r="O750" s="63"/>
      <c r="P750" s="63"/>
      <c r="Q750" s="63"/>
      <c r="R750" s="63"/>
      <c r="S750" s="63"/>
      <c r="T750" s="63"/>
      <c r="U750" s="63"/>
      <c r="V750" s="63"/>
      <c r="W750" s="63"/>
      <c r="X750" s="63"/>
    </row>
    <row r="751" spans="1:24" ht="12.75">
      <c r="A751" s="69"/>
      <c r="B751" s="63"/>
      <c r="C751" s="63"/>
      <c r="D751" s="63"/>
      <c r="E751" s="63"/>
      <c r="F751" s="63"/>
      <c r="G751" s="63"/>
      <c r="H751" s="63"/>
      <c r="I751" s="63"/>
      <c r="J751" s="63"/>
      <c r="K751" s="63"/>
      <c r="L751" s="63"/>
      <c r="M751" s="63"/>
      <c r="N751" s="63"/>
      <c r="O751" s="63"/>
      <c r="P751" s="63"/>
      <c r="Q751" s="63"/>
      <c r="R751" s="63"/>
      <c r="S751" s="63"/>
      <c r="T751" s="63"/>
      <c r="U751" s="63"/>
      <c r="V751" s="63"/>
      <c r="W751" s="63"/>
      <c r="X751" s="63"/>
    </row>
    <row r="752" spans="1:24" ht="12.75">
      <c r="A752" s="69"/>
      <c r="B752" s="63"/>
      <c r="C752" s="63"/>
      <c r="D752" s="63"/>
      <c r="E752" s="63"/>
      <c r="F752" s="63"/>
      <c r="G752" s="63"/>
      <c r="H752" s="63"/>
      <c r="I752" s="63"/>
      <c r="J752" s="63"/>
      <c r="K752" s="63"/>
      <c r="L752" s="63"/>
      <c r="M752" s="63"/>
      <c r="N752" s="63"/>
      <c r="O752" s="63"/>
      <c r="P752" s="63"/>
      <c r="Q752" s="63"/>
      <c r="R752" s="63"/>
      <c r="S752" s="63"/>
      <c r="T752" s="63"/>
      <c r="U752" s="63"/>
      <c r="V752" s="63"/>
      <c r="W752" s="63"/>
      <c r="X752" s="63"/>
    </row>
    <row r="753" spans="1:24" ht="12.75">
      <c r="A753" s="69"/>
      <c r="B753" s="63"/>
      <c r="C753" s="63"/>
      <c r="D753" s="63"/>
      <c r="E753" s="63"/>
      <c r="F753" s="63"/>
      <c r="G753" s="63"/>
      <c r="H753" s="63"/>
      <c r="I753" s="63"/>
      <c r="J753" s="63"/>
      <c r="K753" s="63"/>
      <c r="L753" s="63"/>
      <c r="M753" s="63"/>
      <c r="N753" s="63"/>
      <c r="O753" s="63"/>
      <c r="P753" s="63"/>
      <c r="Q753" s="63"/>
      <c r="R753" s="63"/>
      <c r="S753" s="63"/>
      <c r="T753" s="63"/>
      <c r="U753" s="63"/>
      <c r="V753" s="63"/>
      <c r="W753" s="63"/>
      <c r="X753" s="63"/>
    </row>
    <row r="754" spans="1:24" ht="12.75">
      <c r="A754" s="69"/>
      <c r="B754" s="63"/>
      <c r="C754" s="63"/>
      <c r="D754" s="63"/>
      <c r="E754" s="63"/>
      <c r="F754" s="63"/>
      <c r="G754" s="63"/>
      <c r="H754" s="63"/>
      <c r="I754" s="63"/>
      <c r="J754" s="63"/>
      <c r="K754" s="63"/>
      <c r="L754" s="63"/>
      <c r="M754" s="63"/>
      <c r="N754" s="63"/>
      <c r="O754" s="63"/>
      <c r="P754" s="63"/>
      <c r="Q754" s="63"/>
      <c r="R754" s="63"/>
      <c r="S754" s="63"/>
      <c r="T754" s="63"/>
      <c r="U754" s="63"/>
      <c r="V754" s="63"/>
      <c r="W754" s="63"/>
      <c r="X754" s="63"/>
    </row>
    <row r="755" spans="1:24" ht="12.75">
      <c r="A755" s="69"/>
      <c r="B755" s="63"/>
      <c r="C755" s="63"/>
      <c r="D755" s="63"/>
      <c r="E755" s="63"/>
      <c r="F755" s="63"/>
      <c r="G755" s="63"/>
      <c r="H755" s="63"/>
      <c r="I755" s="63"/>
      <c r="J755" s="63"/>
      <c r="K755" s="63"/>
      <c r="L755" s="63"/>
      <c r="M755" s="63"/>
      <c r="N755" s="63"/>
      <c r="O755" s="63"/>
      <c r="P755" s="63"/>
      <c r="Q755" s="63"/>
      <c r="R755" s="63"/>
      <c r="S755" s="63"/>
      <c r="T755" s="63"/>
      <c r="U755" s="63"/>
      <c r="V755" s="63"/>
      <c r="W755" s="63"/>
      <c r="X755" s="63"/>
    </row>
    <row r="756" spans="1:24" ht="12.75">
      <c r="A756" s="69"/>
      <c r="B756" s="63"/>
      <c r="C756" s="63"/>
      <c r="D756" s="63"/>
      <c r="E756" s="63"/>
      <c r="F756" s="63"/>
      <c r="G756" s="63"/>
      <c r="H756" s="63"/>
      <c r="I756" s="63"/>
      <c r="J756" s="63"/>
      <c r="K756" s="63"/>
      <c r="L756" s="63"/>
      <c r="M756" s="63"/>
      <c r="N756" s="63"/>
      <c r="O756" s="63"/>
      <c r="P756" s="63"/>
      <c r="Q756" s="63"/>
      <c r="R756" s="63"/>
      <c r="S756" s="63"/>
      <c r="T756" s="63"/>
      <c r="U756" s="63"/>
      <c r="V756" s="63"/>
      <c r="W756" s="63"/>
      <c r="X756" s="63"/>
    </row>
    <row r="757" spans="1:24" ht="12.75">
      <c r="A757" s="69"/>
      <c r="B757" s="63"/>
      <c r="C757" s="63"/>
      <c r="D757" s="63"/>
      <c r="E757" s="63"/>
      <c r="F757" s="63"/>
      <c r="G757" s="63"/>
      <c r="H757" s="63"/>
      <c r="I757" s="63"/>
      <c r="J757" s="63"/>
      <c r="K757" s="63"/>
      <c r="L757" s="63"/>
      <c r="M757" s="63"/>
      <c r="N757" s="63"/>
      <c r="O757" s="63"/>
      <c r="P757" s="63"/>
      <c r="Q757" s="63"/>
      <c r="R757" s="63"/>
      <c r="S757" s="63"/>
      <c r="T757" s="63"/>
      <c r="U757" s="63"/>
      <c r="V757" s="63"/>
      <c r="W757" s="63"/>
      <c r="X757" s="63"/>
    </row>
    <row r="758" spans="1:24" ht="12.75">
      <c r="A758" s="69"/>
      <c r="B758" s="63"/>
      <c r="C758" s="63"/>
      <c r="D758" s="63"/>
      <c r="E758" s="63"/>
      <c r="F758" s="63"/>
      <c r="G758" s="63"/>
      <c r="H758" s="63"/>
      <c r="I758" s="63"/>
      <c r="J758" s="63"/>
      <c r="K758" s="63"/>
      <c r="L758" s="63"/>
      <c r="M758" s="63"/>
      <c r="N758" s="63"/>
      <c r="O758" s="63"/>
      <c r="P758" s="63"/>
      <c r="Q758" s="63"/>
      <c r="R758" s="63"/>
      <c r="S758" s="63"/>
      <c r="T758" s="63"/>
      <c r="U758" s="63"/>
      <c r="V758" s="63"/>
      <c r="W758" s="63"/>
      <c r="X758" s="63"/>
    </row>
    <row r="759" spans="1:24" ht="12.75">
      <c r="A759" s="69"/>
      <c r="B759" s="63"/>
      <c r="C759" s="63"/>
      <c r="D759" s="63"/>
      <c r="E759" s="63"/>
      <c r="F759" s="63"/>
      <c r="G759" s="63"/>
      <c r="H759" s="63"/>
      <c r="I759" s="63"/>
      <c r="J759" s="63"/>
      <c r="K759" s="63"/>
      <c r="L759" s="63"/>
      <c r="M759" s="63"/>
      <c r="N759" s="63"/>
      <c r="O759" s="63"/>
      <c r="P759" s="63"/>
      <c r="Q759" s="63"/>
      <c r="R759" s="63"/>
      <c r="S759" s="63"/>
      <c r="T759" s="63"/>
      <c r="U759" s="63"/>
      <c r="V759" s="63"/>
      <c r="W759" s="63"/>
      <c r="X759" s="63"/>
    </row>
    <row r="760" spans="1:24" ht="12.75">
      <c r="A760" s="69"/>
      <c r="B760" s="63"/>
      <c r="C760" s="63"/>
      <c r="D760" s="63"/>
      <c r="E760" s="63"/>
      <c r="F760" s="63"/>
      <c r="G760" s="63"/>
      <c r="H760" s="63"/>
      <c r="I760" s="63"/>
      <c r="J760" s="63"/>
      <c r="K760" s="63"/>
      <c r="L760" s="63"/>
      <c r="M760" s="63"/>
      <c r="N760" s="63"/>
      <c r="O760" s="63"/>
      <c r="P760" s="63"/>
      <c r="Q760" s="63"/>
      <c r="R760" s="63"/>
      <c r="S760" s="63"/>
      <c r="T760" s="63"/>
      <c r="U760" s="63"/>
      <c r="V760" s="63"/>
      <c r="W760" s="63"/>
      <c r="X760" s="63"/>
    </row>
    <row r="761" spans="1:24" ht="12.75">
      <c r="A761" s="69"/>
      <c r="B761" s="63"/>
      <c r="C761" s="63"/>
      <c r="D761" s="63"/>
      <c r="E761" s="63"/>
      <c r="F761" s="63"/>
      <c r="G761" s="63"/>
      <c r="H761" s="63"/>
      <c r="I761" s="63"/>
      <c r="J761" s="63"/>
      <c r="K761" s="63"/>
      <c r="L761" s="63"/>
      <c r="M761" s="63"/>
      <c r="N761" s="63"/>
      <c r="O761" s="63"/>
      <c r="P761" s="63"/>
      <c r="Q761" s="63"/>
      <c r="R761" s="63"/>
      <c r="S761" s="63"/>
      <c r="T761" s="63"/>
      <c r="U761" s="63"/>
      <c r="V761" s="63"/>
      <c r="W761" s="63"/>
      <c r="X761" s="63"/>
    </row>
    <row r="762" spans="1:24" ht="12.75">
      <c r="A762" s="69"/>
      <c r="B762" s="63"/>
      <c r="C762" s="63"/>
      <c r="D762" s="63"/>
      <c r="E762" s="63"/>
      <c r="F762" s="63"/>
      <c r="G762" s="63"/>
      <c r="H762" s="63"/>
      <c r="I762" s="63"/>
      <c r="J762" s="63"/>
      <c r="K762" s="63"/>
      <c r="L762" s="63"/>
      <c r="M762" s="63"/>
      <c r="N762" s="63"/>
      <c r="O762" s="63"/>
      <c r="P762" s="63"/>
      <c r="Q762" s="63"/>
      <c r="R762" s="63"/>
      <c r="S762" s="63"/>
      <c r="T762" s="63"/>
      <c r="U762" s="63"/>
      <c r="V762" s="63"/>
      <c r="W762" s="63"/>
      <c r="X762" s="63"/>
    </row>
    <row r="763" spans="1:24" ht="12.75">
      <c r="A763" s="69"/>
      <c r="B763" s="63"/>
      <c r="C763" s="63"/>
      <c r="D763" s="63"/>
      <c r="E763" s="63"/>
      <c r="F763" s="63"/>
      <c r="G763" s="63"/>
      <c r="H763" s="63"/>
      <c r="I763" s="63"/>
      <c r="J763" s="63"/>
      <c r="K763" s="63"/>
      <c r="L763" s="63"/>
      <c r="M763" s="63"/>
      <c r="N763" s="63"/>
      <c r="O763" s="63"/>
      <c r="P763" s="63"/>
      <c r="Q763" s="63"/>
      <c r="R763" s="63"/>
      <c r="S763" s="63"/>
      <c r="T763" s="63"/>
      <c r="U763" s="63"/>
      <c r="V763" s="63"/>
      <c r="W763" s="63"/>
      <c r="X763" s="63"/>
    </row>
    <row r="764" spans="1:24" ht="12.75">
      <c r="A764" s="69"/>
      <c r="B764" s="63"/>
      <c r="C764" s="63"/>
      <c r="D764" s="63"/>
      <c r="E764" s="63"/>
      <c r="F764" s="63"/>
      <c r="G764" s="63"/>
      <c r="H764" s="63"/>
      <c r="I764" s="63"/>
      <c r="J764" s="63"/>
      <c r="K764" s="63"/>
      <c r="L764" s="63"/>
      <c r="M764" s="63"/>
      <c r="N764" s="63"/>
      <c r="O764" s="63"/>
      <c r="P764" s="63"/>
      <c r="Q764" s="63"/>
      <c r="R764" s="63"/>
      <c r="S764" s="63"/>
      <c r="T764" s="63"/>
      <c r="U764" s="63"/>
      <c r="V764" s="63"/>
      <c r="W764" s="63"/>
      <c r="X764" s="63"/>
    </row>
    <row r="765" spans="1:24" ht="12.75">
      <c r="A765" s="69"/>
      <c r="B765" s="63"/>
      <c r="C765" s="63"/>
      <c r="D765" s="63"/>
      <c r="E765" s="63"/>
      <c r="F765" s="63"/>
      <c r="G765" s="63"/>
      <c r="H765" s="63"/>
      <c r="I765" s="63"/>
      <c r="J765" s="63"/>
      <c r="K765" s="63"/>
      <c r="L765" s="63"/>
      <c r="M765" s="63"/>
      <c r="N765" s="63"/>
      <c r="O765" s="63"/>
      <c r="P765" s="63"/>
      <c r="Q765" s="63"/>
      <c r="R765" s="63"/>
      <c r="S765" s="63"/>
      <c r="T765" s="63"/>
      <c r="U765" s="63"/>
      <c r="V765" s="63"/>
      <c r="W765" s="63"/>
      <c r="X765" s="63"/>
    </row>
    <row r="766" spans="1:24" ht="12.75">
      <c r="A766" s="69"/>
      <c r="B766" s="63"/>
      <c r="C766" s="63"/>
      <c r="D766" s="63"/>
      <c r="E766" s="63"/>
      <c r="F766" s="63"/>
      <c r="G766" s="63"/>
      <c r="H766" s="63"/>
      <c r="I766" s="63"/>
      <c r="J766" s="63"/>
      <c r="K766" s="63"/>
      <c r="L766" s="63"/>
      <c r="M766" s="63"/>
      <c r="N766" s="63"/>
      <c r="O766" s="63"/>
      <c r="P766" s="63"/>
      <c r="Q766" s="63"/>
      <c r="R766" s="63"/>
      <c r="S766" s="63"/>
      <c r="T766" s="63"/>
      <c r="U766" s="63"/>
      <c r="V766" s="63"/>
      <c r="W766" s="63"/>
      <c r="X766" s="63"/>
    </row>
    <row r="767" spans="1:24" ht="12.75">
      <c r="A767" s="69"/>
      <c r="B767" s="63"/>
      <c r="C767" s="63"/>
      <c r="D767" s="63"/>
      <c r="E767" s="63"/>
      <c r="F767" s="63"/>
      <c r="G767" s="63"/>
      <c r="H767" s="63"/>
      <c r="I767" s="63"/>
      <c r="J767" s="63"/>
      <c r="K767" s="63"/>
      <c r="L767" s="63"/>
      <c r="M767" s="63"/>
      <c r="N767" s="63"/>
      <c r="O767" s="63"/>
      <c r="P767" s="63"/>
      <c r="Q767" s="63"/>
      <c r="R767" s="63"/>
      <c r="S767" s="63"/>
      <c r="T767" s="63"/>
      <c r="U767" s="63"/>
      <c r="V767" s="63"/>
      <c r="W767" s="63"/>
      <c r="X767" s="63"/>
    </row>
    <row r="768" spans="1:24" ht="12.75">
      <c r="A768" s="69"/>
      <c r="B768" s="63"/>
      <c r="C768" s="63"/>
      <c r="D768" s="63"/>
      <c r="E768" s="63"/>
      <c r="F768" s="63"/>
      <c r="G768" s="63"/>
      <c r="H768" s="63"/>
      <c r="I768" s="63"/>
      <c r="J768" s="63"/>
      <c r="K768" s="63"/>
      <c r="L768" s="63"/>
      <c r="M768" s="63"/>
      <c r="N768" s="63"/>
      <c r="O768" s="63"/>
      <c r="P768" s="63"/>
      <c r="Q768" s="63"/>
      <c r="R768" s="63"/>
      <c r="S768" s="63"/>
      <c r="T768" s="63"/>
      <c r="U768" s="63"/>
      <c r="V768" s="63"/>
      <c r="W768" s="63"/>
      <c r="X768" s="63"/>
    </row>
    <row r="769" spans="1:24" ht="12.75">
      <c r="A769" s="69"/>
      <c r="B769" s="63"/>
      <c r="C769" s="63"/>
      <c r="D769" s="63"/>
      <c r="E769" s="63"/>
      <c r="F769" s="63"/>
      <c r="G769" s="63"/>
      <c r="H769" s="63"/>
      <c r="I769" s="63"/>
      <c r="J769" s="63"/>
      <c r="K769" s="63"/>
      <c r="L769" s="63"/>
      <c r="M769" s="63"/>
      <c r="N769" s="63"/>
      <c r="O769" s="63"/>
      <c r="P769" s="63"/>
      <c r="Q769" s="63"/>
      <c r="R769" s="63"/>
      <c r="S769" s="63"/>
      <c r="T769" s="63"/>
      <c r="U769" s="63"/>
      <c r="V769" s="63"/>
      <c r="W769" s="63"/>
      <c r="X769" s="63"/>
    </row>
    <row r="770" spans="1:24" ht="12.75">
      <c r="A770" s="69"/>
      <c r="B770" s="63"/>
      <c r="C770" s="63"/>
      <c r="D770" s="63"/>
      <c r="E770" s="63"/>
      <c r="F770" s="63"/>
      <c r="G770" s="63"/>
      <c r="H770" s="63"/>
      <c r="I770" s="63"/>
      <c r="J770" s="63"/>
      <c r="K770" s="63"/>
      <c r="L770" s="63"/>
      <c r="M770" s="63"/>
      <c r="N770" s="63"/>
      <c r="O770" s="63"/>
      <c r="P770" s="63"/>
      <c r="Q770" s="63"/>
      <c r="R770" s="63"/>
      <c r="S770" s="63"/>
      <c r="T770" s="63"/>
      <c r="U770" s="63"/>
      <c r="V770" s="63"/>
      <c r="W770" s="63"/>
      <c r="X770" s="63"/>
    </row>
    <row r="771" spans="1:24" ht="12.75">
      <c r="A771" s="69"/>
      <c r="B771" s="63"/>
      <c r="C771" s="63"/>
      <c r="D771" s="63"/>
      <c r="E771" s="63"/>
      <c r="F771" s="63"/>
      <c r="G771" s="63"/>
      <c r="H771" s="63"/>
      <c r="I771" s="63"/>
      <c r="J771" s="63"/>
      <c r="K771" s="63"/>
      <c r="L771" s="63"/>
      <c r="M771" s="63"/>
      <c r="N771" s="63"/>
      <c r="O771" s="63"/>
      <c r="P771" s="63"/>
      <c r="Q771" s="63"/>
      <c r="R771" s="63"/>
      <c r="S771" s="63"/>
      <c r="T771" s="63"/>
      <c r="U771" s="63"/>
      <c r="V771" s="63"/>
      <c r="W771" s="63"/>
      <c r="X771" s="63"/>
    </row>
    <row r="772" spans="1:24" ht="12.75">
      <c r="A772" s="69"/>
      <c r="B772" s="63"/>
      <c r="C772" s="63"/>
      <c r="D772" s="63"/>
      <c r="E772" s="63"/>
      <c r="F772" s="63"/>
      <c r="G772" s="63"/>
      <c r="H772" s="63"/>
      <c r="I772" s="63"/>
      <c r="J772" s="63"/>
      <c r="K772" s="63"/>
      <c r="L772" s="63"/>
      <c r="M772" s="63"/>
      <c r="N772" s="63"/>
      <c r="O772" s="63"/>
      <c r="P772" s="63"/>
      <c r="Q772" s="63"/>
      <c r="R772" s="63"/>
      <c r="S772" s="63"/>
      <c r="T772" s="63"/>
      <c r="U772" s="63"/>
      <c r="V772" s="63"/>
      <c r="W772" s="63"/>
      <c r="X772" s="63"/>
    </row>
    <row r="773" spans="1:24" ht="12.75">
      <c r="A773" s="69"/>
      <c r="B773" s="63"/>
      <c r="C773" s="63"/>
      <c r="D773" s="63"/>
      <c r="E773" s="63"/>
      <c r="F773" s="63"/>
      <c r="G773" s="63"/>
      <c r="H773" s="63"/>
      <c r="I773" s="63"/>
      <c r="J773" s="63"/>
      <c r="K773" s="63"/>
      <c r="L773" s="63"/>
      <c r="M773" s="63"/>
      <c r="N773" s="63"/>
      <c r="O773" s="63"/>
      <c r="P773" s="63"/>
      <c r="Q773" s="63"/>
      <c r="R773" s="63"/>
      <c r="S773" s="63"/>
      <c r="T773" s="63"/>
      <c r="U773" s="63"/>
      <c r="V773" s="63"/>
      <c r="W773" s="63"/>
      <c r="X773" s="63"/>
    </row>
    <row r="774" spans="1:24" ht="12.75">
      <c r="A774" s="69"/>
      <c r="B774" s="63"/>
      <c r="C774" s="63"/>
      <c r="D774" s="63"/>
      <c r="E774" s="63"/>
      <c r="F774" s="63"/>
      <c r="G774" s="63"/>
      <c r="H774" s="63"/>
      <c r="I774" s="63"/>
      <c r="J774" s="63"/>
      <c r="K774" s="63"/>
      <c r="L774" s="63"/>
      <c r="M774" s="63"/>
      <c r="N774" s="63"/>
      <c r="O774" s="63"/>
      <c r="P774" s="63"/>
      <c r="Q774" s="63"/>
      <c r="R774" s="63"/>
      <c r="S774" s="63"/>
      <c r="T774" s="63"/>
      <c r="U774" s="63"/>
      <c r="V774" s="63"/>
      <c r="W774" s="63"/>
      <c r="X774" s="63"/>
    </row>
    <row r="775" spans="1:24" ht="12.75">
      <c r="A775" s="69"/>
      <c r="B775" s="63"/>
      <c r="C775" s="63"/>
      <c r="D775" s="63"/>
      <c r="E775" s="63"/>
      <c r="F775" s="63"/>
      <c r="G775" s="63"/>
      <c r="H775" s="63"/>
      <c r="I775" s="63"/>
      <c r="J775" s="63"/>
      <c r="K775" s="63"/>
      <c r="L775" s="63"/>
      <c r="M775" s="63"/>
      <c r="N775" s="63"/>
      <c r="O775" s="63"/>
      <c r="P775" s="63"/>
      <c r="Q775" s="63"/>
      <c r="R775" s="63"/>
      <c r="S775" s="63"/>
      <c r="T775" s="63"/>
      <c r="U775" s="63"/>
      <c r="V775" s="63"/>
      <c r="W775" s="63"/>
      <c r="X775" s="63"/>
    </row>
    <row r="776" spans="1:24" ht="12.75">
      <c r="A776" s="69"/>
      <c r="B776" s="63"/>
      <c r="C776" s="63"/>
      <c r="D776" s="63"/>
      <c r="E776" s="63"/>
      <c r="F776" s="63"/>
      <c r="G776" s="63"/>
      <c r="H776" s="63"/>
      <c r="I776" s="63"/>
      <c r="J776" s="63"/>
      <c r="K776" s="63"/>
      <c r="L776" s="63"/>
      <c r="M776" s="63"/>
      <c r="N776" s="63"/>
      <c r="O776" s="63"/>
      <c r="P776" s="63"/>
      <c r="Q776" s="63"/>
      <c r="R776" s="63"/>
      <c r="S776" s="63"/>
      <c r="T776" s="63"/>
      <c r="U776" s="63"/>
      <c r="V776" s="63"/>
      <c r="W776" s="63"/>
      <c r="X776" s="63"/>
    </row>
    <row r="777" spans="1:24" ht="12.75">
      <c r="A777" s="69"/>
      <c r="B777" s="63"/>
      <c r="C777" s="63"/>
      <c r="D777" s="63"/>
      <c r="E777" s="63"/>
      <c r="F777" s="63"/>
      <c r="G777" s="63"/>
      <c r="H777" s="63"/>
      <c r="I777" s="63"/>
      <c r="J777" s="63"/>
      <c r="K777" s="63"/>
      <c r="L777" s="63"/>
      <c r="M777" s="63"/>
      <c r="N777" s="63"/>
      <c r="O777" s="63"/>
      <c r="P777" s="63"/>
      <c r="Q777" s="63"/>
      <c r="R777" s="63"/>
      <c r="S777" s="63"/>
      <c r="T777" s="63"/>
      <c r="U777" s="63"/>
      <c r="V777" s="63"/>
      <c r="W777" s="63"/>
      <c r="X777" s="63"/>
    </row>
    <row r="778" spans="1:24" ht="12.75">
      <c r="A778" s="69"/>
      <c r="B778" s="63"/>
      <c r="C778" s="63"/>
      <c r="D778" s="63"/>
      <c r="E778" s="63"/>
      <c r="F778" s="63"/>
      <c r="G778" s="63"/>
      <c r="H778" s="63"/>
      <c r="I778" s="63"/>
      <c r="J778" s="63"/>
      <c r="K778" s="63"/>
      <c r="L778" s="63"/>
      <c r="M778" s="63"/>
      <c r="N778" s="63"/>
      <c r="O778" s="63"/>
      <c r="P778" s="63"/>
      <c r="Q778" s="63"/>
      <c r="R778" s="63"/>
      <c r="S778" s="63"/>
      <c r="T778" s="63"/>
      <c r="U778" s="63"/>
      <c r="V778" s="63"/>
      <c r="W778" s="63"/>
      <c r="X778" s="63"/>
    </row>
    <row r="779" spans="1:24" ht="12.75">
      <c r="A779" s="69"/>
      <c r="B779" s="63"/>
      <c r="C779" s="63"/>
      <c r="D779" s="63"/>
      <c r="E779" s="63"/>
      <c r="F779" s="63"/>
      <c r="G779" s="63"/>
      <c r="H779" s="63"/>
      <c r="I779" s="63"/>
      <c r="J779" s="63"/>
      <c r="K779" s="63"/>
      <c r="L779" s="63"/>
      <c r="M779" s="63"/>
      <c r="N779" s="63"/>
      <c r="O779" s="63"/>
      <c r="P779" s="63"/>
      <c r="Q779" s="63"/>
      <c r="R779" s="63"/>
      <c r="S779" s="63"/>
      <c r="T779" s="63"/>
      <c r="U779" s="63"/>
      <c r="V779" s="63"/>
      <c r="W779" s="63"/>
      <c r="X779" s="63"/>
    </row>
    <row r="780" spans="1:24" ht="12.75">
      <c r="A780" s="69"/>
      <c r="B780" s="63"/>
      <c r="C780" s="63"/>
      <c r="D780" s="63"/>
      <c r="E780" s="63"/>
      <c r="F780" s="63"/>
      <c r="G780" s="63"/>
      <c r="H780" s="63"/>
      <c r="I780" s="63"/>
      <c r="J780" s="63"/>
      <c r="K780" s="63"/>
      <c r="L780" s="63"/>
      <c r="M780" s="63"/>
      <c r="N780" s="63"/>
      <c r="O780" s="63"/>
      <c r="P780" s="63"/>
      <c r="Q780" s="63"/>
      <c r="R780" s="63"/>
      <c r="S780" s="63"/>
      <c r="T780" s="63"/>
      <c r="U780" s="63"/>
      <c r="V780" s="63"/>
      <c r="W780" s="63"/>
      <c r="X780" s="63"/>
    </row>
    <row r="781" spans="1:24" ht="12.75">
      <c r="A781" s="69"/>
      <c r="B781" s="63"/>
      <c r="C781" s="63"/>
      <c r="D781" s="63"/>
      <c r="E781" s="63"/>
      <c r="F781" s="63"/>
      <c r="G781" s="63"/>
      <c r="H781" s="63"/>
      <c r="I781" s="63"/>
      <c r="J781" s="63"/>
      <c r="K781" s="63"/>
      <c r="L781" s="63"/>
      <c r="M781" s="63"/>
      <c r="N781" s="63"/>
      <c r="O781" s="63"/>
      <c r="P781" s="63"/>
      <c r="Q781" s="63"/>
      <c r="R781" s="63"/>
      <c r="S781" s="63"/>
      <c r="T781" s="63"/>
      <c r="U781" s="63"/>
      <c r="V781" s="63"/>
      <c r="W781" s="63"/>
      <c r="X781" s="63"/>
    </row>
    <row r="782" spans="1:24" ht="12.75">
      <c r="A782" s="69"/>
      <c r="B782" s="63"/>
      <c r="C782" s="63"/>
      <c r="D782" s="63"/>
      <c r="E782" s="63"/>
      <c r="F782" s="63"/>
      <c r="G782" s="63"/>
      <c r="H782" s="63"/>
      <c r="I782" s="63"/>
      <c r="J782" s="63"/>
      <c r="K782" s="63"/>
      <c r="L782" s="63"/>
      <c r="M782" s="63"/>
      <c r="N782" s="63"/>
      <c r="O782" s="63"/>
      <c r="P782" s="63"/>
      <c r="Q782" s="63"/>
      <c r="R782" s="63"/>
      <c r="S782" s="63"/>
      <c r="T782" s="63"/>
      <c r="U782" s="63"/>
      <c r="V782" s="63"/>
      <c r="W782" s="63"/>
      <c r="X782" s="63"/>
    </row>
    <row r="783" spans="1:24" ht="12.75">
      <c r="A783" s="69"/>
      <c r="B783" s="63"/>
      <c r="C783" s="63"/>
      <c r="D783" s="63"/>
      <c r="E783" s="63"/>
      <c r="F783" s="63"/>
      <c r="G783" s="63"/>
      <c r="H783" s="63"/>
      <c r="I783" s="63"/>
      <c r="J783" s="63"/>
      <c r="K783" s="63"/>
      <c r="L783" s="63"/>
      <c r="M783" s="63"/>
      <c r="N783" s="63"/>
      <c r="O783" s="63"/>
      <c r="P783" s="63"/>
      <c r="Q783" s="63"/>
      <c r="R783" s="63"/>
      <c r="S783" s="63"/>
      <c r="T783" s="63"/>
      <c r="U783" s="63"/>
      <c r="V783" s="63"/>
      <c r="W783" s="63"/>
      <c r="X783" s="63"/>
    </row>
    <row r="784" spans="1:24" ht="12.75">
      <c r="A784" s="69"/>
      <c r="B784" s="63"/>
      <c r="C784" s="63"/>
      <c r="D784" s="63"/>
      <c r="E784" s="63"/>
      <c r="F784" s="63"/>
      <c r="G784" s="63"/>
      <c r="H784" s="63"/>
      <c r="I784" s="63"/>
      <c r="J784" s="63"/>
      <c r="K784" s="63"/>
      <c r="L784" s="63"/>
      <c r="M784" s="63"/>
      <c r="N784" s="63"/>
      <c r="O784" s="63"/>
      <c r="P784" s="63"/>
      <c r="Q784" s="63"/>
      <c r="R784" s="63"/>
      <c r="S784" s="63"/>
      <c r="T784" s="63"/>
      <c r="U784" s="63"/>
      <c r="V784" s="63"/>
      <c r="W784" s="63"/>
      <c r="X784" s="63"/>
    </row>
    <row r="785" spans="1:24" ht="12.75">
      <c r="A785" s="69"/>
      <c r="B785" s="63"/>
      <c r="C785" s="63"/>
      <c r="D785" s="63"/>
      <c r="E785" s="63"/>
      <c r="F785" s="63"/>
      <c r="G785" s="63"/>
      <c r="H785" s="63"/>
      <c r="I785" s="63"/>
      <c r="J785" s="63"/>
      <c r="K785" s="63"/>
      <c r="L785" s="63"/>
      <c r="M785" s="63"/>
      <c r="N785" s="63"/>
      <c r="O785" s="63"/>
      <c r="P785" s="63"/>
      <c r="Q785" s="63"/>
      <c r="R785" s="63"/>
      <c r="S785" s="63"/>
      <c r="T785" s="63"/>
      <c r="U785" s="63"/>
      <c r="V785" s="63"/>
      <c r="W785" s="63"/>
      <c r="X785" s="63"/>
    </row>
    <row r="786" spans="1:24" ht="12.75">
      <c r="A786" s="69"/>
      <c r="B786" s="63"/>
      <c r="C786" s="63"/>
      <c r="D786" s="63"/>
      <c r="E786" s="63"/>
      <c r="F786" s="63"/>
      <c r="G786" s="63"/>
      <c r="H786" s="63"/>
      <c r="I786" s="63"/>
      <c r="J786" s="63"/>
      <c r="K786" s="63"/>
      <c r="L786" s="63"/>
      <c r="M786" s="63"/>
      <c r="N786" s="63"/>
      <c r="O786" s="63"/>
      <c r="P786" s="63"/>
      <c r="Q786" s="63"/>
      <c r="R786" s="63"/>
      <c r="S786" s="63"/>
      <c r="T786" s="63"/>
      <c r="U786" s="63"/>
      <c r="V786" s="63"/>
      <c r="W786" s="63"/>
      <c r="X786" s="63"/>
    </row>
    <row r="787" spans="1:24" ht="12.75">
      <c r="A787" s="69"/>
      <c r="B787" s="63"/>
      <c r="C787" s="63"/>
      <c r="D787" s="63"/>
      <c r="E787" s="63"/>
      <c r="F787" s="63"/>
      <c r="G787" s="63"/>
      <c r="H787" s="63"/>
      <c r="I787" s="63"/>
      <c r="J787" s="63"/>
      <c r="K787" s="63"/>
      <c r="L787" s="63"/>
      <c r="M787" s="63"/>
      <c r="N787" s="63"/>
      <c r="O787" s="63"/>
      <c r="P787" s="63"/>
      <c r="Q787" s="63"/>
      <c r="R787" s="63"/>
      <c r="S787" s="63"/>
      <c r="T787" s="63"/>
      <c r="U787" s="63"/>
      <c r="V787" s="63"/>
      <c r="W787" s="63"/>
      <c r="X787" s="63"/>
    </row>
    <row r="788" spans="1:24" ht="12.75">
      <c r="A788" s="69"/>
      <c r="B788" s="63"/>
      <c r="C788" s="63"/>
      <c r="D788" s="63"/>
      <c r="E788" s="63"/>
      <c r="F788" s="63"/>
      <c r="G788" s="63"/>
      <c r="H788" s="63"/>
      <c r="I788" s="63"/>
      <c r="J788" s="63"/>
      <c r="K788" s="63"/>
      <c r="L788" s="63"/>
      <c r="M788" s="63"/>
      <c r="N788" s="63"/>
      <c r="O788" s="63"/>
      <c r="P788" s="63"/>
      <c r="Q788" s="63"/>
      <c r="R788" s="63"/>
      <c r="S788" s="63"/>
      <c r="T788" s="63"/>
      <c r="U788" s="63"/>
      <c r="V788" s="63"/>
      <c r="W788" s="63"/>
      <c r="X788" s="63"/>
    </row>
    <row r="789" spans="1:24" ht="12.75">
      <c r="A789" s="69"/>
      <c r="B789" s="63"/>
      <c r="C789" s="63"/>
      <c r="D789" s="63"/>
      <c r="E789" s="63"/>
      <c r="F789" s="63"/>
      <c r="G789" s="63"/>
      <c r="H789" s="63"/>
      <c r="I789" s="63"/>
      <c r="J789" s="63"/>
      <c r="K789" s="63"/>
      <c r="L789" s="63"/>
      <c r="M789" s="63"/>
      <c r="N789" s="63"/>
      <c r="O789" s="63"/>
      <c r="P789" s="63"/>
      <c r="Q789" s="63"/>
      <c r="R789" s="63"/>
      <c r="S789" s="63"/>
      <c r="T789" s="63"/>
      <c r="U789" s="63"/>
      <c r="V789" s="63"/>
      <c r="W789" s="63"/>
      <c r="X789" s="63"/>
    </row>
    <row r="790" spans="1:24" ht="12.75">
      <c r="A790" s="69"/>
      <c r="B790" s="63"/>
      <c r="C790" s="63"/>
      <c r="D790" s="63"/>
      <c r="E790" s="63"/>
      <c r="F790" s="63"/>
      <c r="G790" s="63"/>
      <c r="H790" s="63"/>
      <c r="I790" s="63"/>
      <c r="J790" s="63"/>
      <c r="K790" s="63"/>
      <c r="L790" s="63"/>
      <c r="M790" s="63"/>
      <c r="N790" s="63"/>
      <c r="O790" s="63"/>
      <c r="P790" s="63"/>
      <c r="Q790" s="63"/>
      <c r="R790" s="63"/>
      <c r="S790" s="63"/>
      <c r="T790" s="63"/>
      <c r="U790" s="63"/>
      <c r="V790" s="63"/>
      <c r="W790" s="63"/>
      <c r="X790" s="63"/>
    </row>
    <row r="791" spans="1:24" ht="12.75">
      <c r="A791" s="69"/>
      <c r="B791" s="63"/>
      <c r="C791" s="63"/>
      <c r="D791" s="63"/>
      <c r="E791" s="63"/>
      <c r="F791" s="63"/>
      <c r="G791" s="63"/>
      <c r="H791" s="63"/>
      <c r="I791" s="63"/>
      <c r="J791" s="63"/>
      <c r="K791" s="63"/>
      <c r="L791" s="63"/>
      <c r="M791" s="63"/>
      <c r="N791" s="63"/>
      <c r="O791" s="63"/>
      <c r="P791" s="63"/>
      <c r="Q791" s="63"/>
      <c r="R791" s="63"/>
      <c r="S791" s="63"/>
      <c r="T791" s="63"/>
      <c r="U791" s="63"/>
      <c r="V791" s="63"/>
      <c r="W791" s="63"/>
      <c r="X791" s="63"/>
    </row>
    <row r="792" spans="1:24" ht="12.75">
      <c r="A792" s="69"/>
      <c r="B792" s="63"/>
      <c r="C792" s="63"/>
      <c r="D792" s="63"/>
      <c r="E792" s="63"/>
      <c r="F792" s="63"/>
      <c r="G792" s="63"/>
      <c r="H792" s="63"/>
      <c r="I792" s="63"/>
      <c r="J792" s="63"/>
      <c r="K792" s="63"/>
      <c r="L792" s="63"/>
      <c r="M792" s="63"/>
      <c r="N792" s="63"/>
      <c r="O792" s="63"/>
      <c r="P792" s="63"/>
      <c r="Q792" s="63"/>
      <c r="R792" s="63"/>
      <c r="S792" s="63"/>
      <c r="T792" s="63"/>
      <c r="U792" s="63"/>
      <c r="V792" s="63"/>
      <c r="W792" s="63"/>
      <c r="X792" s="63"/>
    </row>
    <row r="793" spans="1:24" ht="12.75">
      <c r="A793" s="69"/>
      <c r="B793" s="63"/>
      <c r="C793" s="63"/>
      <c r="D793" s="63"/>
      <c r="E793" s="63"/>
      <c r="F793" s="63"/>
      <c r="G793" s="63"/>
      <c r="H793" s="63"/>
      <c r="I793" s="63"/>
      <c r="J793" s="63"/>
      <c r="K793" s="63"/>
      <c r="L793" s="63"/>
      <c r="M793" s="63"/>
      <c r="N793" s="63"/>
      <c r="O793" s="63"/>
      <c r="P793" s="63"/>
      <c r="Q793" s="63"/>
      <c r="R793" s="63"/>
      <c r="S793" s="63"/>
      <c r="T793" s="63"/>
      <c r="U793" s="63"/>
      <c r="V793" s="63"/>
      <c r="W793" s="63"/>
      <c r="X793" s="63"/>
    </row>
    <row r="794" spans="1:24" ht="12.75">
      <c r="A794" s="69"/>
      <c r="B794" s="63"/>
      <c r="C794" s="63"/>
      <c r="D794" s="63"/>
      <c r="E794" s="63"/>
      <c r="F794" s="63"/>
      <c r="G794" s="63"/>
      <c r="H794" s="63"/>
      <c r="I794" s="63"/>
      <c r="J794" s="63"/>
      <c r="K794" s="63"/>
      <c r="L794" s="63"/>
      <c r="M794" s="63"/>
      <c r="N794" s="63"/>
      <c r="O794" s="63"/>
      <c r="P794" s="63"/>
      <c r="Q794" s="63"/>
      <c r="R794" s="63"/>
      <c r="S794" s="63"/>
      <c r="T794" s="63"/>
      <c r="U794" s="63"/>
      <c r="V794" s="63"/>
      <c r="W794" s="63"/>
      <c r="X794" s="63"/>
    </row>
    <row r="795" spans="1:24" ht="12.75">
      <c r="A795" s="69"/>
      <c r="B795" s="63"/>
      <c r="C795" s="63"/>
      <c r="D795" s="63"/>
      <c r="E795" s="63"/>
      <c r="F795" s="63"/>
      <c r="G795" s="63"/>
      <c r="H795" s="63"/>
      <c r="I795" s="63"/>
      <c r="J795" s="63"/>
      <c r="K795" s="63"/>
      <c r="L795" s="63"/>
      <c r="M795" s="63"/>
      <c r="N795" s="63"/>
      <c r="O795" s="63"/>
      <c r="P795" s="63"/>
      <c r="Q795" s="63"/>
      <c r="R795" s="63"/>
      <c r="S795" s="63"/>
      <c r="T795" s="63"/>
      <c r="U795" s="63"/>
      <c r="V795" s="63"/>
      <c r="W795" s="63"/>
      <c r="X795" s="63"/>
    </row>
    <row r="796" spans="1:24" ht="12.75">
      <c r="A796" s="69"/>
      <c r="B796" s="63"/>
      <c r="C796" s="63"/>
      <c r="D796" s="63"/>
      <c r="E796" s="63"/>
      <c r="F796" s="63"/>
      <c r="G796" s="63"/>
      <c r="H796" s="63"/>
      <c r="I796" s="63"/>
      <c r="J796" s="63"/>
      <c r="K796" s="63"/>
      <c r="L796" s="63"/>
      <c r="M796" s="63"/>
      <c r="N796" s="63"/>
      <c r="O796" s="63"/>
      <c r="P796" s="63"/>
      <c r="Q796" s="63"/>
      <c r="R796" s="63"/>
      <c r="S796" s="63"/>
      <c r="T796" s="63"/>
      <c r="U796" s="63"/>
      <c r="V796" s="63"/>
      <c r="W796" s="63"/>
      <c r="X796" s="63"/>
    </row>
    <row r="797" spans="1:24" ht="12.75">
      <c r="A797" s="69"/>
      <c r="B797" s="63"/>
      <c r="C797" s="63"/>
      <c r="D797" s="63"/>
      <c r="E797" s="63"/>
      <c r="F797" s="63"/>
      <c r="G797" s="63"/>
      <c r="H797" s="63"/>
      <c r="I797" s="63"/>
      <c r="J797" s="63"/>
      <c r="K797" s="63"/>
      <c r="L797" s="63"/>
      <c r="M797" s="63"/>
      <c r="N797" s="63"/>
      <c r="O797" s="63"/>
      <c r="P797" s="63"/>
      <c r="Q797" s="63"/>
      <c r="R797" s="63"/>
      <c r="S797" s="63"/>
      <c r="T797" s="63"/>
      <c r="U797" s="63"/>
      <c r="V797" s="63"/>
      <c r="W797" s="63"/>
      <c r="X797" s="63"/>
    </row>
    <row r="798" spans="1:24" ht="12.75">
      <c r="A798" s="69"/>
      <c r="B798" s="63"/>
      <c r="C798" s="63"/>
      <c r="D798" s="63"/>
      <c r="E798" s="63"/>
      <c r="F798" s="63"/>
      <c r="G798" s="63"/>
      <c r="H798" s="63"/>
      <c r="I798" s="63"/>
      <c r="J798" s="63"/>
      <c r="K798" s="63"/>
      <c r="L798" s="63"/>
      <c r="M798" s="63"/>
      <c r="N798" s="63"/>
      <c r="O798" s="63"/>
      <c r="P798" s="63"/>
      <c r="Q798" s="63"/>
      <c r="R798" s="63"/>
      <c r="S798" s="63"/>
      <c r="T798" s="63"/>
      <c r="U798" s="63"/>
      <c r="V798" s="63"/>
      <c r="W798" s="63"/>
      <c r="X798" s="63"/>
    </row>
    <row r="799" spans="1:24" ht="12.75">
      <c r="A799" s="69"/>
      <c r="B799" s="63"/>
      <c r="C799" s="63"/>
      <c r="D799" s="63"/>
      <c r="E799" s="63"/>
      <c r="F799" s="63"/>
      <c r="G799" s="63"/>
      <c r="H799" s="63"/>
      <c r="I799" s="63"/>
      <c r="J799" s="63"/>
      <c r="K799" s="63"/>
      <c r="L799" s="63"/>
      <c r="M799" s="63"/>
      <c r="N799" s="63"/>
      <c r="O799" s="63"/>
      <c r="P799" s="63"/>
      <c r="Q799" s="63"/>
      <c r="R799" s="63"/>
      <c r="S799" s="63"/>
      <c r="T799" s="63"/>
      <c r="U799" s="63"/>
      <c r="V799" s="63"/>
      <c r="W799" s="63"/>
      <c r="X799" s="63"/>
    </row>
    <row r="800" spans="1:24" ht="12.75">
      <c r="A800" s="69"/>
      <c r="B800" s="63"/>
      <c r="C800" s="63"/>
      <c r="D800" s="63"/>
      <c r="E800" s="63"/>
      <c r="F800" s="63"/>
      <c r="G800" s="63"/>
      <c r="H800" s="63"/>
      <c r="I800" s="63"/>
      <c r="J800" s="63"/>
      <c r="K800" s="63"/>
      <c r="L800" s="63"/>
      <c r="M800" s="63"/>
      <c r="N800" s="63"/>
      <c r="O800" s="63"/>
      <c r="P800" s="63"/>
      <c r="Q800" s="63"/>
      <c r="R800" s="63"/>
      <c r="S800" s="63"/>
      <c r="T800" s="63"/>
      <c r="U800" s="63"/>
      <c r="V800" s="63"/>
      <c r="W800" s="63"/>
      <c r="X800" s="63"/>
    </row>
    <row r="801" spans="1:24" ht="12.75">
      <c r="A801" s="69"/>
      <c r="B801" s="63"/>
      <c r="C801" s="63"/>
      <c r="D801" s="63"/>
      <c r="E801" s="63"/>
      <c r="F801" s="63"/>
      <c r="G801" s="63"/>
      <c r="H801" s="63"/>
      <c r="I801" s="63"/>
      <c r="J801" s="63"/>
      <c r="K801" s="63"/>
      <c r="L801" s="63"/>
      <c r="M801" s="63"/>
      <c r="N801" s="63"/>
      <c r="O801" s="63"/>
      <c r="P801" s="63"/>
      <c r="Q801" s="63"/>
      <c r="R801" s="63"/>
      <c r="S801" s="63"/>
      <c r="T801" s="63"/>
      <c r="U801" s="63"/>
      <c r="V801" s="63"/>
      <c r="W801" s="63"/>
      <c r="X801" s="63"/>
    </row>
    <row r="802" spans="1:24" ht="12.75">
      <c r="A802" s="69"/>
      <c r="B802" s="63"/>
      <c r="C802" s="63"/>
      <c r="D802" s="63"/>
      <c r="E802" s="63"/>
      <c r="F802" s="63"/>
      <c r="G802" s="63"/>
      <c r="H802" s="63"/>
      <c r="I802" s="63"/>
      <c r="J802" s="63"/>
      <c r="K802" s="63"/>
      <c r="L802" s="63"/>
      <c r="M802" s="63"/>
      <c r="N802" s="63"/>
      <c r="O802" s="63"/>
      <c r="P802" s="63"/>
      <c r="Q802" s="63"/>
      <c r="R802" s="63"/>
      <c r="S802" s="63"/>
      <c r="T802" s="63"/>
      <c r="U802" s="63"/>
      <c r="V802" s="63"/>
      <c r="W802" s="63"/>
      <c r="X802" s="63"/>
    </row>
    <row r="803" spans="1:24" ht="12.75">
      <c r="A803" s="69"/>
      <c r="B803" s="63"/>
      <c r="C803" s="63"/>
      <c r="D803" s="63"/>
      <c r="E803" s="63"/>
      <c r="F803" s="63"/>
      <c r="G803" s="63"/>
      <c r="H803" s="63"/>
      <c r="I803" s="63"/>
      <c r="J803" s="63"/>
      <c r="K803" s="63"/>
      <c r="L803" s="63"/>
      <c r="M803" s="63"/>
      <c r="N803" s="63"/>
      <c r="O803" s="63"/>
      <c r="P803" s="63"/>
      <c r="Q803" s="63"/>
      <c r="R803" s="63"/>
      <c r="S803" s="63"/>
      <c r="T803" s="63"/>
      <c r="U803" s="63"/>
      <c r="V803" s="63"/>
      <c r="W803" s="63"/>
      <c r="X803" s="63"/>
    </row>
    <row r="804" spans="1:24" ht="12.75">
      <c r="A804" s="69"/>
      <c r="B804" s="63"/>
      <c r="C804" s="63"/>
      <c r="D804" s="63"/>
      <c r="E804" s="63"/>
      <c r="F804" s="63"/>
      <c r="G804" s="63"/>
      <c r="H804" s="63"/>
      <c r="I804" s="63"/>
      <c r="J804" s="63"/>
      <c r="K804" s="63"/>
      <c r="L804" s="63"/>
      <c r="M804" s="63"/>
      <c r="N804" s="63"/>
      <c r="O804" s="63"/>
      <c r="P804" s="63"/>
      <c r="Q804" s="63"/>
      <c r="R804" s="63"/>
      <c r="S804" s="63"/>
      <c r="T804" s="63"/>
      <c r="U804" s="63"/>
      <c r="V804" s="63"/>
      <c r="W804" s="63"/>
      <c r="X804" s="63"/>
    </row>
    <row r="805" spans="1:24" ht="12.75">
      <c r="A805" s="69"/>
      <c r="B805" s="63"/>
      <c r="C805" s="63"/>
      <c r="D805" s="63"/>
      <c r="E805" s="63"/>
      <c r="F805" s="63"/>
      <c r="G805" s="63"/>
      <c r="H805" s="63"/>
      <c r="I805" s="63"/>
      <c r="J805" s="63"/>
      <c r="K805" s="63"/>
      <c r="L805" s="63"/>
      <c r="M805" s="63"/>
      <c r="N805" s="63"/>
      <c r="O805" s="63"/>
      <c r="P805" s="63"/>
      <c r="Q805" s="63"/>
      <c r="R805" s="63"/>
      <c r="S805" s="63"/>
      <c r="T805" s="63"/>
      <c r="U805" s="63"/>
      <c r="V805" s="63"/>
      <c r="W805" s="63"/>
      <c r="X805" s="63"/>
    </row>
    <row r="806" spans="1:24" ht="12.75">
      <c r="A806" s="69"/>
      <c r="B806" s="63"/>
      <c r="C806" s="63"/>
      <c r="D806" s="63"/>
      <c r="E806" s="63"/>
      <c r="F806" s="63"/>
      <c r="G806" s="63"/>
      <c r="H806" s="63"/>
      <c r="I806" s="63"/>
      <c r="J806" s="63"/>
      <c r="K806" s="63"/>
      <c r="L806" s="63"/>
      <c r="M806" s="63"/>
      <c r="N806" s="63"/>
      <c r="O806" s="63"/>
      <c r="P806" s="63"/>
      <c r="Q806" s="63"/>
      <c r="R806" s="63"/>
      <c r="S806" s="63"/>
      <c r="T806" s="63"/>
      <c r="U806" s="63"/>
      <c r="V806" s="63"/>
      <c r="W806" s="63"/>
      <c r="X806" s="63"/>
    </row>
    <row r="807" spans="1:24" ht="12.75">
      <c r="A807" s="69"/>
      <c r="B807" s="63"/>
      <c r="C807" s="63"/>
      <c r="D807" s="63"/>
      <c r="E807" s="63"/>
      <c r="F807" s="63"/>
      <c r="G807" s="63"/>
      <c r="H807" s="63"/>
      <c r="I807" s="63"/>
      <c r="J807" s="63"/>
      <c r="K807" s="63"/>
      <c r="L807" s="63"/>
      <c r="M807" s="63"/>
      <c r="N807" s="63"/>
      <c r="O807" s="63"/>
      <c r="P807" s="63"/>
      <c r="Q807" s="63"/>
      <c r="R807" s="63"/>
      <c r="S807" s="63"/>
      <c r="T807" s="63"/>
      <c r="U807" s="63"/>
      <c r="V807" s="63"/>
      <c r="W807" s="63"/>
      <c r="X807" s="63"/>
    </row>
    <row r="808" spans="1:24" ht="12.75">
      <c r="A808" s="69"/>
      <c r="B808" s="63"/>
      <c r="C808" s="63"/>
      <c r="D808" s="63"/>
      <c r="E808" s="63"/>
      <c r="F808" s="63"/>
      <c r="G808" s="63"/>
      <c r="H808" s="63"/>
      <c r="I808" s="63"/>
      <c r="J808" s="63"/>
      <c r="K808" s="63"/>
      <c r="L808" s="63"/>
      <c r="M808" s="63"/>
      <c r="N808" s="63"/>
      <c r="O808" s="63"/>
      <c r="P808" s="63"/>
      <c r="Q808" s="63"/>
      <c r="R808" s="63"/>
      <c r="S808" s="63"/>
      <c r="T808" s="63"/>
      <c r="U808" s="63"/>
      <c r="V808" s="63"/>
      <c r="W808" s="63"/>
      <c r="X808" s="63"/>
    </row>
    <row r="809" spans="1:24" ht="12.75">
      <c r="A809" s="69"/>
      <c r="B809" s="63"/>
      <c r="C809" s="63"/>
      <c r="D809" s="63"/>
      <c r="E809" s="63"/>
      <c r="F809" s="63"/>
      <c r="G809" s="63"/>
      <c r="H809" s="63"/>
      <c r="I809" s="63"/>
      <c r="J809" s="63"/>
      <c r="K809" s="63"/>
      <c r="L809" s="63"/>
      <c r="M809" s="63"/>
      <c r="N809" s="63"/>
      <c r="O809" s="63"/>
      <c r="P809" s="63"/>
      <c r="Q809" s="63"/>
      <c r="R809" s="63"/>
      <c r="S809" s="63"/>
      <c r="T809" s="63"/>
      <c r="U809" s="63"/>
      <c r="V809" s="63"/>
      <c r="W809" s="63"/>
      <c r="X809" s="63"/>
    </row>
    <row r="810" spans="1:24" ht="12.75">
      <c r="A810" s="69"/>
      <c r="B810" s="63"/>
      <c r="C810" s="63"/>
      <c r="D810" s="63"/>
      <c r="E810" s="63"/>
      <c r="F810" s="63"/>
      <c r="G810" s="63"/>
      <c r="H810" s="63"/>
      <c r="I810" s="63"/>
      <c r="J810" s="63"/>
      <c r="K810" s="63"/>
      <c r="L810" s="63"/>
      <c r="M810" s="63"/>
      <c r="N810" s="63"/>
      <c r="O810" s="63"/>
      <c r="P810" s="63"/>
      <c r="Q810" s="63"/>
      <c r="R810" s="63"/>
      <c r="S810" s="63"/>
      <c r="T810" s="63"/>
      <c r="U810" s="63"/>
      <c r="V810" s="63"/>
      <c r="W810" s="63"/>
      <c r="X810" s="63"/>
    </row>
    <row r="811" spans="1:24" ht="12.75">
      <c r="A811" s="69"/>
      <c r="B811" s="63"/>
      <c r="C811" s="63"/>
      <c r="D811" s="63"/>
      <c r="E811" s="63"/>
      <c r="F811" s="63"/>
      <c r="G811" s="63"/>
      <c r="H811" s="63"/>
      <c r="I811" s="63"/>
      <c r="J811" s="63"/>
      <c r="K811" s="63"/>
      <c r="L811" s="63"/>
      <c r="M811" s="63"/>
      <c r="N811" s="63"/>
      <c r="O811" s="63"/>
      <c r="P811" s="63"/>
      <c r="Q811" s="63"/>
      <c r="R811" s="63"/>
      <c r="S811" s="63"/>
      <c r="T811" s="63"/>
      <c r="U811" s="63"/>
      <c r="V811" s="63"/>
      <c r="W811" s="63"/>
      <c r="X811" s="63"/>
    </row>
    <row r="812" spans="1:24" ht="12.75">
      <c r="A812" s="69"/>
      <c r="B812" s="63"/>
      <c r="C812" s="63"/>
      <c r="D812" s="63"/>
      <c r="E812" s="63"/>
      <c r="F812" s="63"/>
      <c r="G812" s="63"/>
      <c r="H812" s="63"/>
      <c r="I812" s="63"/>
      <c r="J812" s="63"/>
      <c r="K812" s="63"/>
      <c r="L812" s="63"/>
      <c r="M812" s="63"/>
      <c r="N812" s="63"/>
      <c r="O812" s="63"/>
      <c r="P812" s="63"/>
      <c r="Q812" s="63"/>
      <c r="R812" s="63"/>
      <c r="S812" s="63"/>
      <c r="T812" s="63"/>
      <c r="U812" s="63"/>
      <c r="V812" s="63"/>
      <c r="W812" s="63"/>
      <c r="X812" s="63"/>
    </row>
    <row r="813" spans="1:24" ht="12.75">
      <c r="A813" s="69"/>
      <c r="B813" s="63"/>
      <c r="C813" s="63"/>
      <c r="D813" s="63"/>
      <c r="E813" s="63"/>
      <c r="F813" s="63"/>
      <c r="G813" s="63"/>
      <c r="H813" s="63"/>
      <c r="I813" s="63"/>
      <c r="J813" s="63"/>
      <c r="K813" s="63"/>
      <c r="L813" s="63"/>
      <c r="M813" s="63"/>
      <c r="N813" s="63"/>
      <c r="O813" s="63"/>
      <c r="P813" s="63"/>
      <c r="Q813" s="63"/>
      <c r="R813" s="63"/>
      <c r="S813" s="63"/>
      <c r="T813" s="63"/>
      <c r="U813" s="63"/>
      <c r="V813" s="63"/>
      <c r="W813" s="63"/>
      <c r="X813" s="63"/>
    </row>
    <row r="814" spans="1:24" ht="12.75">
      <c r="A814" s="69"/>
      <c r="B814" s="63"/>
      <c r="C814" s="63"/>
      <c r="D814" s="63"/>
      <c r="E814" s="63"/>
      <c r="F814" s="63"/>
      <c r="G814" s="63"/>
      <c r="H814" s="63"/>
      <c r="I814" s="63"/>
      <c r="J814" s="63"/>
      <c r="K814" s="63"/>
      <c r="L814" s="63"/>
      <c r="M814" s="63"/>
      <c r="N814" s="63"/>
      <c r="O814" s="63"/>
      <c r="P814" s="63"/>
      <c r="Q814" s="63"/>
      <c r="R814" s="63"/>
      <c r="S814" s="63"/>
      <c r="T814" s="63"/>
      <c r="U814" s="63"/>
      <c r="V814" s="63"/>
      <c r="W814" s="63"/>
      <c r="X814" s="63"/>
    </row>
    <row r="815" spans="1:24" ht="12.75">
      <c r="A815" s="69"/>
      <c r="B815" s="63"/>
      <c r="C815" s="63"/>
      <c r="D815" s="63"/>
      <c r="E815" s="63"/>
      <c r="F815" s="63"/>
      <c r="G815" s="63"/>
      <c r="H815" s="63"/>
      <c r="I815" s="63"/>
      <c r="J815" s="63"/>
      <c r="K815" s="63"/>
      <c r="L815" s="63"/>
      <c r="M815" s="63"/>
      <c r="N815" s="63"/>
      <c r="O815" s="63"/>
      <c r="P815" s="63"/>
      <c r="Q815" s="63"/>
      <c r="R815" s="63"/>
      <c r="S815" s="63"/>
      <c r="T815" s="63"/>
      <c r="U815" s="63"/>
      <c r="V815" s="63"/>
      <c r="W815" s="63"/>
      <c r="X815" s="63"/>
    </row>
    <row r="816" spans="1:24" ht="12.75">
      <c r="A816" s="69"/>
      <c r="B816" s="63"/>
      <c r="C816" s="63"/>
      <c r="D816" s="63"/>
      <c r="E816" s="63"/>
      <c r="F816" s="63"/>
      <c r="G816" s="63"/>
      <c r="H816" s="63"/>
      <c r="I816" s="63"/>
      <c r="J816" s="63"/>
      <c r="K816" s="63"/>
      <c r="L816" s="63"/>
      <c r="M816" s="63"/>
      <c r="N816" s="63"/>
      <c r="O816" s="63"/>
      <c r="P816" s="63"/>
      <c r="Q816" s="63"/>
      <c r="R816" s="63"/>
      <c r="S816" s="63"/>
      <c r="T816" s="63"/>
      <c r="U816" s="63"/>
      <c r="V816" s="63"/>
      <c r="W816" s="63"/>
      <c r="X816" s="63"/>
    </row>
    <row r="817" spans="1:24" ht="12.75">
      <c r="A817" s="69"/>
      <c r="B817" s="63"/>
      <c r="C817" s="63"/>
      <c r="D817" s="63"/>
      <c r="E817" s="63"/>
      <c r="F817" s="63"/>
      <c r="G817" s="63"/>
      <c r="H817" s="63"/>
      <c r="I817" s="63"/>
      <c r="J817" s="63"/>
      <c r="K817" s="63"/>
      <c r="L817" s="63"/>
      <c r="M817" s="63"/>
      <c r="N817" s="63"/>
      <c r="O817" s="63"/>
      <c r="P817" s="63"/>
      <c r="Q817" s="63"/>
      <c r="R817" s="63"/>
      <c r="S817" s="63"/>
      <c r="T817" s="63"/>
      <c r="U817" s="63"/>
      <c r="V817" s="63"/>
      <c r="W817" s="63"/>
      <c r="X817" s="63"/>
    </row>
    <row r="818" spans="1:24" ht="12.75">
      <c r="A818" s="69"/>
      <c r="B818" s="63"/>
      <c r="C818" s="63"/>
      <c r="D818" s="63"/>
      <c r="E818" s="63"/>
      <c r="F818" s="63"/>
      <c r="G818" s="63"/>
      <c r="H818" s="63"/>
      <c r="I818" s="63"/>
      <c r="J818" s="63"/>
      <c r="K818" s="63"/>
      <c r="L818" s="63"/>
      <c r="M818" s="63"/>
      <c r="N818" s="63"/>
      <c r="O818" s="63"/>
      <c r="P818" s="63"/>
      <c r="Q818" s="63"/>
      <c r="R818" s="63"/>
      <c r="S818" s="63"/>
      <c r="T818" s="63"/>
      <c r="U818" s="63"/>
      <c r="V818" s="63"/>
      <c r="W818" s="63"/>
      <c r="X818" s="63"/>
    </row>
    <row r="819" spans="1:24" ht="12.75">
      <c r="A819" s="69"/>
      <c r="B819" s="63"/>
      <c r="C819" s="63"/>
      <c r="D819" s="63"/>
      <c r="E819" s="63"/>
      <c r="F819" s="63"/>
      <c r="G819" s="63"/>
      <c r="H819" s="63"/>
      <c r="I819" s="63"/>
      <c r="J819" s="63"/>
      <c r="K819" s="63"/>
      <c r="L819" s="63"/>
      <c r="M819" s="63"/>
      <c r="N819" s="63"/>
      <c r="O819" s="63"/>
      <c r="P819" s="63"/>
      <c r="Q819" s="63"/>
      <c r="R819" s="63"/>
      <c r="S819" s="63"/>
      <c r="T819" s="63"/>
      <c r="U819" s="63"/>
      <c r="V819" s="63"/>
      <c r="W819" s="63"/>
      <c r="X819" s="63"/>
    </row>
    <row r="820" spans="1:24" ht="12.75">
      <c r="A820" s="69"/>
      <c r="B820" s="63"/>
      <c r="C820" s="63"/>
      <c r="D820" s="63"/>
      <c r="E820" s="63"/>
      <c r="F820" s="63"/>
      <c r="G820" s="63"/>
      <c r="H820" s="63"/>
      <c r="I820" s="63"/>
      <c r="J820" s="63"/>
      <c r="K820" s="63"/>
      <c r="L820" s="63"/>
      <c r="M820" s="63"/>
      <c r="N820" s="63"/>
      <c r="O820" s="63"/>
      <c r="P820" s="63"/>
      <c r="Q820" s="63"/>
      <c r="R820" s="63"/>
      <c r="S820" s="63"/>
      <c r="T820" s="63"/>
      <c r="U820" s="63"/>
      <c r="V820" s="63"/>
      <c r="W820" s="63"/>
      <c r="X820" s="63"/>
    </row>
    <row r="821" spans="1:24" ht="12.75">
      <c r="A821" s="69"/>
      <c r="B821" s="63"/>
      <c r="C821" s="63"/>
      <c r="D821" s="63"/>
      <c r="E821" s="63"/>
      <c r="F821" s="63"/>
      <c r="G821" s="63"/>
      <c r="H821" s="63"/>
      <c r="I821" s="63"/>
      <c r="J821" s="63"/>
      <c r="K821" s="63"/>
      <c r="L821" s="63"/>
      <c r="M821" s="63"/>
      <c r="N821" s="63"/>
      <c r="O821" s="63"/>
      <c r="P821" s="63"/>
      <c r="Q821" s="63"/>
      <c r="R821" s="63"/>
      <c r="S821" s="63"/>
      <c r="T821" s="63"/>
      <c r="U821" s="63"/>
      <c r="V821" s="63"/>
      <c r="W821" s="63"/>
      <c r="X821" s="63"/>
    </row>
    <row r="822" spans="1:24" ht="12.75">
      <c r="A822" s="69"/>
      <c r="B822" s="63"/>
      <c r="C822" s="63"/>
      <c r="D822" s="63"/>
      <c r="E822" s="63"/>
      <c r="F822" s="63"/>
      <c r="G822" s="63"/>
      <c r="H822" s="63"/>
      <c r="I822" s="63"/>
      <c r="J822" s="63"/>
      <c r="K822" s="63"/>
      <c r="L822" s="63"/>
      <c r="M822" s="63"/>
      <c r="N822" s="63"/>
      <c r="O822" s="63"/>
      <c r="P822" s="63"/>
      <c r="Q822" s="63"/>
      <c r="R822" s="63"/>
      <c r="S822" s="63"/>
      <c r="T822" s="63"/>
      <c r="U822" s="63"/>
      <c r="V822" s="63"/>
      <c r="W822" s="63"/>
      <c r="X822" s="63"/>
    </row>
    <row r="823" spans="1:24" ht="12.75">
      <c r="A823" s="69"/>
      <c r="B823" s="63"/>
      <c r="C823" s="63"/>
      <c r="D823" s="63"/>
      <c r="E823" s="63"/>
      <c r="F823" s="63"/>
      <c r="G823" s="63"/>
      <c r="H823" s="63"/>
      <c r="I823" s="63"/>
      <c r="J823" s="63"/>
      <c r="K823" s="63"/>
      <c r="L823" s="63"/>
      <c r="M823" s="63"/>
      <c r="N823" s="63"/>
      <c r="O823" s="63"/>
      <c r="P823" s="63"/>
      <c r="Q823" s="63"/>
      <c r="R823" s="63"/>
      <c r="S823" s="63"/>
      <c r="T823" s="63"/>
      <c r="U823" s="63"/>
      <c r="V823" s="63"/>
      <c r="W823" s="63"/>
      <c r="X823" s="63"/>
    </row>
    <row r="824" spans="1:24" ht="12.75">
      <c r="A824" s="69"/>
      <c r="B824" s="63"/>
      <c r="C824" s="63"/>
      <c r="D824" s="63"/>
      <c r="E824" s="63"/>
      <c r="F824" s="63"/>
      <c r="G824" s="63"/>
      <c r="H824" s="63"/>
      <c r="I824" s="63"/>
      <c r="J824" s="63"/>
      <c r="K824" s="63"/>
      <c r="L824" s="63"/>
      <c r="M824" s="63"/>
      <c r="N824" s="63"/>
      <c r="O824" s="63"/>
      <c r="P824" s="63"/>
      <c r="Q824" s="63"/>
      <c r="R824" s="63"/>
      <c r="S824" s="63"/>
      <c r="T824" s="63"/>
      <c r="U824" s="63"/>
      <c r="V824" s="63"/>
      <c r="W824" s="63"/>
      <c r="X824" s="63"/>
    </row>
    <row r="825" spans="1:24" ht="12.75">
      <c r="A825" s="69"/>
      <c r="B825" s="63"/>
      <c r="C825" s="63"/>
      <c r="D825" s="63"/>
      <c r="E825" s="63"/>
      <c r="F825" s="63"/>
      <c r="G825" s="63"/>
      <c r="H825" s="63"/>
      <c r="I825" s="63"/>
      <c r="J825" s="63"/>
      <c r="K825" s="63"/>
      <c r="L825" s="63"/>
      <c r="M825" s="63"/>
      <c r="N825" s="63"/>
      <c r="O825" s="63"/>
      <c r="P825" s="63"/>
      <c r="Q825" s="63"/>
      <c r="R825" s="63"/>
      <c r="S825" s="63"/>
      <c r="T825" s="63"/>
      <c r="U825" s="63"/>
      <c r="V825" s="63"/>
      <c r="W825" s="63"/>
      <c r="X825" s="63"/>
    </row>
    <row r="826" spans="1:24" ht="12.75">
      <c r="A826" s="69"/>
      <c r="B826" s="63"/>
      <c r="C826" s="63"/>
      <c r="D826" s="63"/>
      <c r="E826" s="63"/>
      <c r="F826" s="63"/>
      <c r="G826" s="63"/>
      <c r="H826" s="63"/>
      <c r="I826" s="63"/>
      <c r="J826" s="63"/>
      <c r="K826" s="63"/>
      <c r="L826" s="63"/>
      <c r="M826" s="63"/>
      <c r="N826" s="63"/>
      <c r="O826" s="63"/>
      <c r="P826" s="63"/>
      <c r="Q826" s="63"/>
      <c r="R826" s="63"/>
      <c r="S826" s="63"/>
      <c r="T826" s="63"/>
      <c r="U826" s="63"/>
      <c r="V826" s="63"/>
      <c r="W826" s="63"/>
      <c r="X826" s="63"/>
    </row>
    <row r="827" spans="1:24" ht="12.75">
      <c r="A827" s="69"/>
      <c r="B827" s="63"/>
      <c r="C827" s="63"/>
      <c r="D827" s="63"/>
      <c r="E827" s="63"/>
      <c r="F827" s="63"/>
      <c r="G827" s="63"/>
      <c r="H827" s="63"/>
      <c r="I827" s="63"/>
      <c r="J827" s="63"/>
      <c r="K827" s="63"/>
      <c r="L827" s="63"/>
      <c r="M827" s="63"/>
      <c r="N827" s="63"/>
      <c r="O827" s="63"/>
      <c r="P827" s="63"/>
      <c r="Q827" s="63"/>
      <c r="R827" s="63"/>
      <c r="S827" s="63"/>
      <c r="T827" s="63"/>
      <c r="U827" s="63"/>
      <c r="V827" s="63"/>
      <c r="W827" s="63"/>
      <c r="X827" s="63"/>
    </row>
    <row r="828" spans="1:24" ht="12.75">
      <c r="A828" s="69"/>
      <c r="B828" s="63"/>
      <c r="C828" s="63"/>
      <c r="D828" s="63"/>
      <c r="E828" s="63"/>
      <c r="F828" s="63"/>
      <c r="G828" s="63"/>
      <c r="H828" s="63"/>
      <c r="I828" s="63"/>
      <c r="J828" s="63"/>
      <c r="K828" s="63"/>
      <c r="L828" s="63"/>
      <c r="M828" s="63"/>
      <c r="N828" s="63"/>
      <c r="O828" s="63"/>
      <c r="P828" s="63"/>
      <c r="Q828" s="63"/>
      <c r="R828" s="63"/>
      <c r="S828" s="63"/>
      <c r="T828" s="63"/>
      <c r="U828" s="63"/>
      <c r="V828" s="63"/>
      <c r="W828" s="63"/>
      <c r="X828" s="63"/>
    </row>
    <row r="829" spans="1:24" ht="12.75">
      <c r="A829" s="69"/>
      <c r="B829" s="63"/>
      <c r="C829" s="63"/>
      <c r="D829" s="63"/>
      <c r="E829" s="63"/>
      <c r="F829" s="63"/>
      <c r="G829" s="63"/>
      <c r="H829" s="63"/>
      <c r="I829" s="63"/>
      <c r="J829" s="63"/>
      <c r="K829" s="63"/>
      <c r="L829" s="63"/>
      <c r="M829" s="63"/>
      <c r="N829" s="63"/>
      <c r="O829" s="63"/>
      <c r="P829" s="63"/>
      <c r="Q829" s="63"/>
      <c r="R829" s="63"/>
      <c r="S829" s="63"/>
      <c r="T829" s="63"/>
      <c r="U829" s="63"/>
      <c r="V829" s="63"/>
      <c r="W829" s="63"/>
      <c r="X829" s="63"/>
    </row>
    <row r="830" spans="1:24" ht="12.75">
      <c r="A830" s="69"/>
      <c r="B830" s="63"/>
      <c r="C830" s="63"/>
      <c r="D830" s="63"/>
      <c r="E830" s="63"/>
      <c r="F830" s="63"/>
      <c r="G830" s="63"/>
      <c r="H830" s="63"/>
      <c r="I830" s="63"/>
      <c r="J830" s="63"/>
      <c r="K830" s="63"/>
      <c r="L830" s="63"/>
      <c r="M830" s="63"/>
      <c r="N830" s="63"/>
      <c r="O830" s="63"/>
      <c r="P830" s="63"/>
      <c r="Q830" s="63"/>
      <c r="R830" s="63"/>
      <c r="S830" s="63"/>
      <c r="T830" s="63"/>
      <c r="U830" s="63"/>
      <c r="V830" s="63"/>
      <c r="W830" s="63"/>
      <c r="X830" s="63"/>
    </row>
    <row r="831" spans="1:24" ht="12.75">
      <c r="A831" s="69"/>
      <c r="B831" s="63"/>
      <c r="C831" s="63"/>
      <c r="D831" s="63"/>
      <c r="E831" s="63"/>
      <c r="F831" s="63"/>
      <c r="G831" s="63"/>
      <c r="H831" s="63"/>
      <c r="I831" s="63"/>
      <c r="J831" s="63"/>
      <c r="K831" s="63"/>
      <c r="L831" s="63"/>
      <c r="M831" s="63"/>
      <c r="N831" s="63"/>
      <c r="O831" s="63"/>
      <c r="P831" s="63"/>
      <c r="Q831" s="63"/>
      <c r="R831" s="63"/>
      <c r="S831" s="63"/>
      <c r="T831" s="63"/>
      <c r="U831" s="63"/>
      <c r="V831" s="63"/>
      <c r="W831" s="63"/>
      <c r="X831" s="63"/>
    </row>
    <row r="832" spans="1:24" ht="12.75">
      <c r="A832" s="69"/>
      <c r="B832" s="63"/>
      <c r="C832" s="63"/>
      <c r="D832" s="63"/>
      <c r="E832" s="63"/>
      <c r="F832" s="63"/>
      <c r="G832" s="63"/>
      <c r="H832" s="63"/>
      <c r="I832" s="63"/>
      <c r="J832" s="63"/>
      <c r="K832" s="63"/>
      <c r="L832" s="63"/>
      <c r="M832" s="63"/>
      <c r="N832" s="63"/>
      <c r="O832" s="63"/>
      <c r="P832" s="63"/>
      <c r="Q832" s="63"/>
      <c r="R832" s="63"/>
      <c r="S832" s="63"/>
      <c r="T832" s="63"/>
      <c r="U832" s="63"/>
      <c r="V832" s="63"/>
      <c r="W832" s="63"/>
      <c r="X832" s="63"/>
    </row>
    <row r="833" spans="1:24" ht="12.75">
      <c r="A833" s="69"/>
      <c r="B833" s="63"/>
      <c r="C833" s="63"/>
      <c r="D833" s="63"/>
      <c r="E833" s="63"/>
      <c r="F833" s="63"/>
      <c r="G833" s="63"/>
      <c r="H833" s="63"/>
      <c r="I833" s="63"/>
      <c r="J833" s="63"/>
      <c r="K833" s="63"/>
      <c r="L833" s="63"/>
      <c r="M833" s="63"/>
      <c r="N833" s="63"/>
      <c r="O833" s="63"/>
      <c r="P833" s="63"/>
      <c r="Q833" s="63"/>
      <c r="R833" s="63"/>
      <c r="S833" s="63"/>
      <c r="T833" s="63"/>
      <c r="U833" s="63"/>
      <c r="V833" s="63"/>
      <c r="W833" s="63"/>
      <c r="X833" s="63"/>
    </row>
    <row r="834" spans="1:24" ht="12.75">
      <c r="A834" s="69"/>
      <c r="B834" s="63"/>
      <c r="C834" s="63"/>
      <c r="D834" s="63"/>
      <c r="E834" s="63"/>
      <c r="F834" s="63"/>
      <c r="G834" s="63"/>
      <c r="H834" s="63"/>
      <c r="I834" s="63"/>
      <c r="J834" s="63"/>
      <c r="K834" s="63"/>
      <c r="L834" s="63"/>
      <c r="M834" s="63"/>
      <c r="N834" s="63"/>
      <c r="O834" s="63"/>
      <c r="P834" s="63"/>
      <c r="Q834" s="63"/>
      <c r="R834" s="63"/>
      <c r="S834" s="63"/>
      <c r="T834" s="63"/>
      <c r="U834" s="63"/>
      <c r="V834" s="63"/>
      <c r="W834" s="63"/>
      <c r="X834" s="63"/>
    </row>
    <row r="835" spans="1:24" ht="12.75">
      <c r="A835" s="69"/>
      <c r="B835" s="63"/>
      <c r="C835" s="63"/>
      <c r="D835" s="63"/>
      <c r="E835" s="63"/>
      <c r="F835" s="63"/>
      <c r="G835" s="63"/>
      <c r="H835" s="63"/>
      <c r="I835" s="63"/>
      <c r="J835" s="63"/>
      <c r="K835" s="63"/>
      <c r="L835" s="63"/>
      <c r="M835" s="63"/>
      <c r="N835" s="63"/>
      <c r="O835" s="63"/>
      <c r="P835" s="63"/>
      <c r="Q835" s="63"/>
      <c r="R835" s="63"/>
      <c r="S835" s="63"/>
      <c r="T835" s="63"/>
      <c r="U835" s="63"/>
      <c r="V835" s="63"/>
      <c r="W835" s="63"/>
      <c r="X835" s="63"/>
    </row>
    <row r="836" spans="1:24" ht="12.75">
      <c r="A836" s="69"/>
      <c r="B836" s="63"/>
      <c r="C836" s="63"/>
      <c r="D836" s="63"/>
      <c r="E836" s="63"/>
      <c r="F836" s="63"/>
      <c r="G836" s="63"/>
      <c r="H836" s="63"/>
      <c r="I836" s="63"/>
      <c r="J836" s="63"/>
      <c r="K836" s="63"/>
      <c r="L836" s="63"/>
      <c r="M836" s="63"/>
      <c r="N836" s="63"/>
      <c r="O836" s="63"/>
      <c r="P836" s="63"/>
      <c r="Q836" s="63"/>
      <c r="R836" s="63"/>
      <c r="S836" s="63"/>
      <c r="T836" s="63"/>
      <c r="U836" s="63"/>
      <c r="V836" s="63"/>
      <c r="W836" s="63"/>
      <c r="X836" s="63"/>
    </row>
    <row r="837" spans="1:24" ht="12.75">
      <c r="A837" s="69"/>
      <c r="B837" s="63"/>
      <c r="C837" s="63"/>
      <c r="D837" s="63"/>
      <c r="E837" s="63"/>
      <c r="F837" s="63"/>
      <c r="G837" s="63"/>
      <c r="H837" s="63"/>
      <c r="I837" s="63"/>
      <c r="J837" s="63"/>
      <c r="K837" s="63"/>
      <c r="L837" s="63"/>
      <c r="M837" s="63"/>
      <c r="N837" s="63"/>
      <c r="O837" s="63"/>
      <c r="P837" s="63"/>
      <c r="Q837" s="63"/>
      <c r="R837" s="63"/>
      <c r="S837" s="63"/>
      <c r="T837" s="63"/>
      <c r="U837" s="63"/>
      <c r="V837" s="63"/>
      <c r="W837" s="63"/>
      <c r="X837" s="63"/>
    </row>
    <row r="838" spans="1:24" ht="12.75">
      <c r="A838" s="69"/>
      <c r="B838" s="63"/>
      <c r="C838" s="63"/>
      <c r="D838" s="63"/>
      <c r="E838" s="63"/>
      <c r="F838" s="63"/>
      <c r="G838" s="63"/>
      <c r="H838" s="63"/>
      <c r="I838" s="63"/>
      <c r="J838" s="63"/>
      <c r="K838" s="63"/>
      <c r="L838" s="63"/>
      <c r="M838" s="63"/>
      <c r="N838" s="63"/>
      <c r="O838" s="63"/>
      <c r="P838" s="63"/>
      <c r="Q838" s="63"/>
      <c r="R838" s="63"/>
      <c r="S838" s="63"/>
      <c r="T838" s="63"/>
      <c r="U838" s="63"/>
      <c r="V838" s="63"/>
      <c r="W838" s="63"/>
      <c r="X838" s="63"/>
    </row>
    <row r="839" spans="1:24" ht="12.75">
      <c r="A839" s="69"/>
      <c r="B839" s="63"/>
      <c r="C839" s="63"/>
      <c r="D839" s="63"/>
      <c r="E839" s="63"/>
      <c r="F839" s="63"/>
      <c r="G839" s="63"/>
      <c r="H839" s="63"/>
      <c r="I839" s="63"/>
      <c r="J839" s="63"/>
      <c r="K839" s="63"/>
      <c r="L839" s="63"/>
      <c r="M839" s="63"/>
      <c r="N839" s="63"/>
      <c r="O839" s="63"/>
      <c r="P839" s="63"/>
      <c r="Q839" s="63"/>
      <c r="R839" s="63"/>
      <c r="S839" s="63"/>
      <c r="T839" s="63"/>
      <c r="U839" s="63"/>
      <c r="V839" s="63"/>
      <c r="W839" s="63"/>
      <c r="X839" s="63"/>
    </row>
    <row r="840" spans="1:24" ht="12.75">
      <c r="A840" s="69"/>
      <c r="B840" s="63"/>
      <c r="C840" s="63"/>
      <c r="D840" s="63"/>
      <c r="E840" s="63"/>
      <c r="F840" s="63"/>
      <c r="G840" s="63"/>
      <c r="H840" s="63"/>
      <c r="I840" s="63"/>
      <c r="J840" s="63"/>
      <c r="K840" s="63"/>
      <c r="L840" s="63"/>
      <c r="M840" s="63"/>
      <c r="N840" s="63"/>
      <c r="O840" s="63"/>
      <c r="P840" s="63"/>
      <c r="Q840" s="63"/>
      <c r="R840" s="63"/>
      <c r="S840" s="63"/>
      <c r="T840" s="63"/>
      <c r="U840" s="63"/>
      <c r="V840" s="63"/>
      <c r="W840" s="63"/>
      <c r="X840" s="63"/>
    </row>
    <row r="841" spans="1:24" ht="12.75">
      <c r="A841" s="69"/>
      <c r="B841" s="63"/>
      <c r="C841" s="63"/>
      <c r="D841" s="63"/>
      <c r="E841" s="63"/>
      <c r="F841" s="63"/>
      <c r="G841" s="63"/>
      <c r="H841" s="63"/>
      <c r="I841" s="63"/>
      <c r="J841" s="63"/>
      <c r="K841" s="63"/>
      <c r="L841" s="63"/>
      <c r="M841" s="63"/>
      <c r="N841" s="63"/>
      <c r="O841" s="63"/>
      <c r="P841" s="63"/>
      <c r="Q841" s="63"/>
      <c r="R841" s="63"/>
      <c r="S841" s="63"/>
      <c r="T841" s="63"/>
      <c r="U841" s="63"/>
      <c r="V841" s="63"/>
      <c r="W841" s="63"/>
      <c r="X841" s="63"/>
    </row>
    <row r="842" spans="1:24" ht="12.75">
      <c r="A842" s="69"/>
      <c r="B842" s="63"/>
      <c r="C842" s="63"/>
      <c r="D842" s="63"/>
      <c r="E842" s="63"/>
      <c r="F842" s="63"/>
      <c r="G842" s="63"/>
      <c r="H842" s="63"/>
      <c r="I842" s="63"/>
      <c r="J842" s="63"/>
      <c r="K842" s="63"/>
      <c r="L842" s="63"/>
      <c r="M842" s="63"/>
      <c r="N842" s="63"/>
      <c r="O842" s="63"/>
      <c r="P842" s="63"/>
      <c r="Q842" s="63"/>
      <c r="R842" s="63"/>
      <c r="S842" s="63"/>
      <c r="T842" s="63"/>
      <c r="U842" s="63"/>
      <c r="V842" s="63"/>
      <c r="W842" s="63"/>
      <c r="X842" s="63"/>
    </row>
    <row r="843" spans="1:24" ht="12.75">
      <c r="A843" s="69"/>
      <c r="B843" s="63"/>
      <c r="C843" s="63"/>
      <c r="D843" s="63"/>
      <c r="E843" s="63"/>
      <c r="F843" s="63"/>
      <c r="G843" s="63"/>
      <c r="H843" s="63"/>
      <c r="I843" s="63"/>
      <c r="J843" s="63"/>
      <c r="K843" s="63"/>
      <c r="L843" s="63"/>
      <c r="M843" s="63"/>
      <c r="N843" s="63"/>
      <c r="O843" s="63"/>
      <c r="P843" s="63"/>
      <c r="Q843" s="63"/>
      <c r="R843" s="63"/>
      <c r="S843" s="63"/>
      <c r="T843" s="63"/>
      <c r="U843" s="63"/>
      <c r="V843" s="63"/>
      <c r="W843" s="63"/>
      <c r="X843" s="63"/>
    </row>
    <row r="844" spans="1:24" ht="12.75">
      <c r="A844" s="69"/>
      <c r="B844" s="63"/>
      <c r="C844" s="63"/>
      <c r="D844" s="63"/>
      <c r="E844" s="63"/>
      <c r="F844" s="63"/>
      <c r="G844" s="63"/>
      <c r="H844" s="63"/>
      <c r="I844" s="63"/>
      <c r="J844" s="63"/>
      <c r="K844" s="63"/>
      <c r="L844" s="63"/>
      <c r="M844" s="63"/>
      <c r="N844" s="63"/>
      <c r="O844" s="63"/>
      <c r="P844" s="63"/>
      <c r="Q844" s="63"/>
      <c r="R844" s="63"/>
      <c r="S844" s="63"/>
      <c r="T844" s="63"/>
      <c r="U844" s="63"/>
      <c r="V844" s="63"/>
      <c r="W844" s="63"/>
      <c r="X844" s="63"/>
    </row>
    <row r="845" spans="1:24" ht="12.75">
      <c r="A845" s="69"/>
      <c r="B845" s="63"/>
      <c r="C845" s="63"/>
      <c r="D845" s="63"/>
      <c r="E845" s="63"/>
      <c r="F845" s="63"/>
      <c r="G845" s="63"/>
      <c r="H845" s="63"/>
      <c r="I845" s="63"/>
      <c r="J845" s="63"/>
      <c r="K845" s="63"/>
      <c r="L845" s="63"/>
      <c r="M845" s="63"/>
      <c r="N845" s="63"/>
      <c r="O845" s="63"/>
      <c r="P845" s="63"/>
      <c r="Q845" s="63"/>
      <c r="R845" s="63"/>
      <c r="S845" s="63"/>
      <c r="T845" s="63"/>
      <c r="U845" s="63"/>
      <c r="V845" s="63"/>
      <c r="W845" s="63"/>
      <c r="X845" s="63"/>
    </row>
    <row r="846" spans="1:24" ht="12.75">
      <c r="A846" s="69"/>
      <c r="B846" s="63"/>
      <c r="C846" s="63"/>
      <c r="D846" s="63"/>
      <c r="E846" s="63"/>
      <c r="F846" s="63"/>
      <c r="G846" s="63"/>
      <c r="H846" s="63"/>
      <c r="I846" s="63"/>
      <c r="J846" s="63"/>
      <c r="K846" s="63"/>
      <c r="L846" s="63"/>
      <c r="M846" s="63"/>
      <c r="N846" s="63"/>
      <c r="O846" s="63"/>
      <c r="P846" s="63"/>
      <c r="Q846" s="63"/>
      <c r="R846" s="63"/>
      <c r="S846" s="63"/>
      <c r="T846" s="63"/>
      <c r="U846" s="63"/>
      <c r="V846" s="63"/>
      <c r="W846" s="63"/>
      <c r="X846" s="63"/>
    </row>
    <row r="847" spans="1:24" ht="12.75">
      <c r="A847" s="69"/>
      <c r="B847" s="63"/>
      <c r="C847" s="63"/>
      <c r="D847" s="63"/>
      <c r="E847" s="63"/>
      <c r="F847" s="63"/>
      <c r="G847" s="63"/>
      <c r="H847" s="63"/>
      <c r="I847" s="63"/>
      <c r="J847" s="63"/>
      <c r="K847" s="63"/>
      <c r="L847" s="63"/>
      <c r="M847" s="63"/>
      <c r="N847" s="63"/>
      <c r="O847" s="63"/>
      <c r="P847" s="63"/>
      <c r="Q847" s="63"/>
      <c r="R847" s="63"/>
      <c r="S847" s="63"/>
      <c r="T847" s="63"/>
      <c r="U847" s="63"/>
      <c r="V847" s="63"/>
      <c r="W847" s="63"/>
      <c r="X847" s="63"/>
    </row>
    <row r="848" spans="1:24" ht="12.75">
      <c r="A848" s="69"/>
      <c r="B848" s="63"/>
      <c r="C848" s="63"/>
      <c r="D848" s="63"/>
      <c r="E848" s="63"/>
      <c r="F848" s="63"/>
      <c r="G848" s="63"/>
      <c r="H848" s="63"/>
      <c r="I848" s="63"/>
      <c r="J848" s="63"/>
      <c r="K848" s="63"/>
      <c r="L848" s="63"/>
      <c r="M848" s="63"/>
      <c r="N848" s="63"/>
      <c r="O848" s="63"/>
      <c r="P848" s="63"/>
      <c r="Q848" s="63"/>
      <c r="R848" s="63"/>
      <c r="S848" s="63"/>
      <c r="T848" s="63"/>
      <c r="U848" s="63"/>
      <c r="V848" s="63"/>
      <c r="W848" s="63"/>
      <c r="X848" s="63"/>
    </row>
    <row r="849" spans="1:24" ht="12.75">
      <c r="A849" s="69"/>
      <c r="B849" s="63"/>
      <c r="C849" s="63"/>
      <c r="D849" s="63"/>
      <c r="E849" s="63"/>
      <c r="F849" s="63"/>
      <c r="G849" s="63"/>
      <c r="H849" s="63"/>
      <c r="I849" s="63"/>
      <c r="J849" s="63"/>
      <c r="K849" s="63"/>
      <c r="L849" s="63"/>
      <c r="M849" s="63"/>
      <c r="N849" s="63"/>
      <c r="O849" s="63"/>
      <c r="P849" s="63"/>
      <c r="Q849" s="63"/>
      <c r="R849" s="63"/>
      <c r="S849" s="63"/>
      <c r="T849" s="63"/>
      <c r="U849" s="63"/>
      <c r="V849" s="63"/>
      <c r="W849" s="63"/>
      <c r="X849" s="63"/>
    </row>
    <row r="850" spans="1:24" ht="12.75">
      <c r="A850" s="69"/>
      <c r="B850" s="63"/>
      <c r="C850" s="63"/>
      <c r="D850" s="63"/>
      <c r="E850" s="63"/>
      <c r="F850" s="63"/>
      <c r="G850" s="63"/>
      <c r="H850" s="63"/>
      <c r="I850" s="63"/>
      <c r="J850" s="63"/>
      <c r="K850" s="63"/>
      <c r="L850" s="63"/>
      <c r="M850" s="63"/>
      <c r="N850" s="63"/>
      <c r="O850" s="63"/>
      <c r="P850" s="63"/>
      <c r="Q850" s="63"/>
      <c r="R850" s="63"/>
      <c r="S850" s="63"/>
      <c r="T850" s="63"/>
      <c r="U850" s="63"/>
      <c r="V850" s="63"/>
      <c r="W850" s="63"/>
      <c r="X850" s="63"/>
    </row>
    <row r="851" spans="1:24" ht="12.75">
      <c r="A851" s="69"/>
      <c r="B851" s="63"/>
      <c r="C851" s="63"/>
      <c r="D851" s="63"/>
      <c r="E851" s="63"/>
      <c r="F851" s="63"/>
      <c r="G851" s="63"/>
      <c r="H851" s="63"/>
      <c r="I851" s="63"/>
      <c r="J851" s="63"/>
      <c r="K851" s="63"/>
      <c r="L851" s="63"/>
      <c r="M851" s="63"/>
      <c r="N851" s="63"/>
      <c r="O851" s="63"/>
      <c r="P851" s="63"/>
      <c r="Q851" s="63"/>
      <c r="R851" s="63"/>
      <c r="S851" s="63"/>
      <c r="T851" s="63"/>
      <c r="U851" s="63"/>
      <c r="V851" s="63"/>
      <c r="W851" s="63"/>
      <c r="X851" s="63"/>
    </row>
    <row r="852" spans="1:24" ht="12.75">
      <c r="A852" s="69"/>
      <c r="B852" s="63"/>
      <c r="C852" s="63"/>
      <c r="D852" s="63"/>
      <c r="E852" s="63"/>
      <c r="F852" s="63"/>
      <c r="G852" s="63"/>
      <c r="H852" s="63"/>
      <c r="I852" s="63"/>
      <c r="J852" s="63"/>
      <c r="K852" s="63"/>
      <c r="L852" s="63"/>
      <c r="M852" s="63"/>
      <c r="N852" s="63"/>
      <c r="O852" s="63"/>
      <c r="P852" s="63"/>
      <c r="Q852" s="63"/>
      <c r="R852" s="63"/>
      <c r="S852" s="63"/>
      <c r="T852" s="63"/>
      <c r="U852" s="63"/>
      <c r="V852" s="63"/>
      <c r="W852" s="63"/>
      <c r="X852" s="63"/>
    </row>
    <row r="853" spans="1:24" ht="12.75">
      <c r="A853" s="69"/>
      <c r="B853" s="63"/>
      <c r="C853" s="63"/>
      <c r="D853" s="63"/>
      <c r="E853" s="63"/>
      <c r="F853" s="63"/>
      <c r="G853" s="63"/>
      <c r="H853" s="63"/>
      <c r="I853" s="63"/>
      <c r="J853" s="63"/>
      <c r="K853" s="63"/>
      <c r="L853" s="63"/>
      <c r="M853" s="63"/>
      <c r="N853" s="63"/>
      <c r="O853" s="63"/>
      <c r="P853" s="63"/>
      <c r="Q853" s="63"/>
      <c r="R853" s="63"/>
      <c r="S853" s="63"/>
      <c r="T853" s="63"/>
      <c r="U853" s="63"/>
      <c r="V853" s="63"/>
      <c r="W853" s="63"/>
      <c r="X853" s="63"/>
    </row>
    <row r="854" spans="1:24" ht="12.75">
      <c r="A854" s="69"/>
      <c r="B854" s="63"/>
      <c r="C854" s="63"/>
      <c r="D854" s="63"/>
      <c r="E854" s="63"/>
      <c r="F854" s="63"/>
      <c r="G854" s="63"/>
      <c r="H854" s="63"/>
      <c r="I854" s="63"/>
      <c r="J854" s="63"/>
      <c r="K854" s="63"/>
      <c r="L854" s="63"/>
      <c r="M854" s="63"/>
      <c r="N854" s="63"/>
      <c r="O854" s="63"/>
      <c r="P854" s="63"/>
      <c r="Q854" s="63"/>
      <c r="R854" s="63"/>
      <c r="S854" s="63"/>
      <c r="T854" s="63"/>
      <c r="U854" s="63"/>
      <c r="V854" s="63"/>
      <c r="W854" s="63"/>
      <c r="X854" s="63"/>
    </row>
    <row r="855" spans="1:24" ht="12.75">
      <c r="A855" s="69"/>
      <c r="B855" s="63"/>
      <c r="C855" s="63"/>
      <c r="D855" s="63"/>
      <c r="E855" s="63"/>
      <c r="F855" s="63"/>
      <c r="G855" s="63"/>
      <c r="H855" s="63"/>
      <c r="I855" s="63"/>
      <c r="J855" s="63"/>
      <c r="K855" s="63"/>
      <c r="L855" s="63"/>
      <c r="M855" s="63"/>
      <c r="N855" s="63"/>
      <c r="O855" s="63"/>
      <c r="P855" s="63"/>
      <c r="Q855" s="63"/>
      <c r="R855" s="63"/>
      <c r="S855" s="63"/>
      <c r="T855" s="63"/>
      <c r="U855" s="63"/>
      <c r="V855" s="63"/>
      <c r="W855" s="63"/>
      <c r="X855" s="63"/>
    </row>
    <row r="856" spans="1:24" ht="12.75">
      <c r="A856" s="69"/>
      <c r="B856" s="63"/>
      <c r="C856" s="63"/>
      <c r="D856" s="63"/>
      <c r="E856" s="63"/>
      <c r="F856" s="63"/>
      <c r="G856" s="63"/>
      <c r="H856" s="63"/>
      <c r="I856" s="63"/>
      <c r="J856" s="63"/>
      <c r="K856" s="63"/>
      <c r="L856" s="63"/>
      <c r="M856" s="63"/>
      <c r="N856" s="63"/>
      <c r="O856" s="63"/>
      <c r="P856" s="63"/>
      <c r="Q856" s="63"/>
      <c r="R856" s="63"/>
      <c r="S856" s="63"/>
      <c r="T856" s="63"/>
      <c r="U856" s="63"/>
      <c r="V856" s="63"/>
      <c r="W856" s="63"/>
      <c r="X856" s="63"/>
    </row>
    <row r="857" spans="1:24" ht="12.75">
      <c r="A857" s="69"/>
      <c r="B857" s="63"/>
      <c r="C857" s="63"/>
      <c r="D857" s="63"/>
      <c r="E857" s="63"/>
      <c r="F857" s="63"/>
      <c r="G857" s="63"/>
      <c r="H857" s="63"/>
      <c r="I857" s="63"/>
      <c r="J857" s="63"/>
      <c r="K857" s="63"/>
      <c r="L857" s="63"/>
      <c r="M857" s="63"/>
      <c r="N857" s="63"/>
      <c r="O857" s="63"/>
      <c r="P857" s="63"/>
      <c r="Q857" s="63"/>
      <c r="R857" s="63"/>
      <c r="S857" s="63"/>
      <c r="T857" s="63"/>
      <c r="U857" s="63"/>
      <c r="V857" s="63"/>
      <c r="W857" s="63"/>
      <c r="X857" s="63"/>
    </row>
    <row r="858" spans="1:24" ht="12.75">
      <c r="A858" s="69"/>
      <c r="B858" s="63"/>
      <c r="C858" s="63"/>
      <c r="D858" s="63"/>
      <c r="E858" s="63"/>
      <c r="F858" s="63"/>
      <c r="G858" s="63"/>
      <c r="H858" s="63"/>
      <c r="I858" s="63"/>
      <c r="J858" s="63"/>
      <c r="K858" s="63"/>
      <c r="L858" s="63"/>
      <c r="M858" s="63"/>
      <c r="N858" s="63"/>
      <c r="O858" s="63"/>
      <c r="P858" s="63"/>
      <c r="Q858" s="63"/>
      <c r="R858" s="63"/>
      <c r="S858" s="63"/>
      <c r="T858" s="63"/>
      <c r="U858" s="63"/>
      <c r="V858" s="63"/>
      <c r="W858" s="63"/>
      <c r="X858" s="63"/>
    </row>
    <row r="859" spans="1:24" ht="12.75">
      <c r="A859" s="69"/>
      <c r="B859" s="63"/>
      <c r="C859" s="63"/>
      <c r="D859" s="63"/>
      <c r="E859" s="63"/>
      <c r="F859" s="63"/>
      <c r="G859" s="63"/>
      <c r="H859" s="63"/>
      <c r="I859" s="63"/>
      <c r="J859" s="63"/>
      <c r="K859" s="63"/>
      <c r="L859" s="63"/>
      <c r="M859" s="63"/>
      <c r="N859" s="63"/>
      <c r="O859" s="63"/>
      <c r="P859" s="63"/>
      <c r="Q859" s="63"/>
      <c r="R859" s="63"/>
      <c r="S859" s="63"/>
      <c r="T859" s="63"/>
      <c r="U859" s="63"/>
      <c r="V859" s="63"/>
      <c r="W859" s="63"/>
      <c r="X859" s="63"/>
    </row>
    <row r="860" spans="1:24" ht="12.75">
      <c r="A860" s="69"/>
      <c r="B860" s="63"/>
      <c r="C860" s="63"/>
      <c r="D860" s="63"/>
      <c r="E860" s="63"/>
      <c r="F860" s="63"/>
      <c r="G860" s="63"/>
      <c r="H860" s="63"/>
      <c r="I860" s="63"/>
      <c r="J860" s="63"/>
      <c r="K860" s="63"/>
      <c r="L860" s="63"/>
      <c r="M860" s="63"/>
      <c r="N860" s="63"/>
      <c r="O860" s="63"/>
      <c r="P860" s="63"/>
      <c r="Q860" s="63"/>
      <c r="R860" s="63"/>
      <c r="S860" s="63"/>
      <c r="T860" s="63"/>
      <c r="U860" s="63"/>
      <c r="V860" s="63"/>
      <c r="W860" s="63"/>
      <c r="X860" s="63"/>
    </row>
    <row r="861" spans="1:24" ht="12.75">
      <c r="A861" s="69"/>
      <c r="B861" s="63"/>
      <c r="C861" s="63"/>
      <c r="D861" s="63"/>
      <c r="E861" s="63"/>
      <c r="F861" s="63"/>
      <c r="G861" s="63"/>
      <c r="H861" s="63"/>
      <c r="I861" s="63"/>
      <c r="J861" s="63"/>
      <c r="K861" s="63"/>
      <c r="L861" s="63"/>
      <c r="M861" s="63"/>
      <c r="N861" s="63"/>
      <c r="O861" s="63"/>
      <c r="P861" s="63"/>
      <c r="Q861" s="63"/>
      <c r="R861" s="63"/>
      <c r="S861" s="63"/>
      <c r="T861" s="63"/>
      <c r="U861" s="63"/>
      <c r="V861" s="63"/>
      <c r="W861" s="63"/>
      <c r="X861" s="63"/>
    </row>
    <row r="862" spans="1:24" ht="12.75">
      <c r="A862" s="69"/>
      <c r="B862" s="63"/>
      <c r="C862" s="63"/>
      <c r="D862" s="63"/>
      <c r="E862" s="63"/>
      <c r="F862" s="63"/>
      <c r="G862" s="63"/>
      <c r="H862" s="63"/>
      <c r="I862" s="63"/>
      <c r="J862" s="63"/>
      <c r="K862" s="63"/>
      <c r="L862" s="63"/>
      <c r="M862" s="63"/>
      <c r="N862" s="63"/>
      <c r="O862" s="63"/>
      <c r="P862" s="63"/>
      <c r="Q862" s="63"/>
      <c r="R862" s="63"/>
      <c r="S862" s="63"/>
      <c r="T862" s="63"/>
      <c r="U862" s="63"/>
      <c r="V862" s="63"/>
      <c r="W862" s="63"/>
      <c r="X862" s="63"/>
    </row>
    <row r="863" spans="1:24" ht="12.75">
      <c r="A863" s="69"/>
      <c r="B863" s="63"/>
      <c r="C863" s="63"/>
      <c r="D863" s="63"/>
      <c r="E863" s="63"/>
      <c r="F863" s="63"/>
      <c r="G863" s="63"/>
      <c r="H863" s="63"/>
      <c r="I863" s="63"/>
      <c r="J863" s="63"/>
      <c r="K863" s="63"/>
      <c r="L863" s="63"/>
      <c r="M863" s="63"/>
      <c r="N863" s="63"/>
      <c r="O863" s="63"/>
      <c r="P863" s="63"/>
      <c r="Q863" s="63"/>
      <c r="R863" s="63"/>
      <c r="S863" s="63"/>
      <c r="T863" s="63"/>
      <c r="U863" s="63"/>
      <c r="V863" s="63"/>
      <c r="W863" s="63"/>
      <c r="X863" s="63"/>
    </row>
    <row r="864" spans="1:24" ht="12.75">
      <c r="A864" s="69"/>
      <c r="B864" s="63"/>
      <c r="C864" s="63"/>
      <c r="D864" s="63"/>
      <c r="E864" s="63"/>
      <c r="F864" s="63"/>
      <c r="G864" s="63"/>
      <c r="H864" s="63"/>
      <c r="I864" s="63"/>
      <c r="J864" s="63"/>
      <c r="K864" s="63"/>
      <c r="L864" s="63"/>
      <c r="M864" s="63"/>
      <c r="N864" s="63"/>
      <c r="O864" s="63"/>
      <c r="P864" s="63"/>
      <c r="Q864" s="63"/>
      <c r="R864" s="63"/>
      <c r="S864" s="63"/>
      <c r="T864" s="63"/>
      <c r="U864" s="63"/>
      <c r="V864" s="63"/>
      <c r="W864" s="63"/>
      <c r="X864" s="63"/>
    </row>
    <row r="865" spans="1:24" ht="12.75">
      <c r="A865" s="69"/>
      <c r="B865" s="63"/>
      <c r="C865" s="63"/>
      <c r="D865" s="63"/>
      <c r="E865" s="63"/>
      <c r="F865" s="63"/>
      <c r="G865" s="63"/>
      <c r="H865" s="63"/>
      <c r="I865" s="63"/>
      <c r="J865" s="63"/>
      <c r="K865" s="63"/>
      <c r="L865" s="63"/>
      <c r="M865" s="63"/>
      <c r="N865" s="63"/>
      <c r="O865" s="63"/>
      <c r="P865" s="63"/>
      <c r="Q865" s="63"/>
      <c r="R865" s="63"/>
      <c r="S865" s="63"/>
      <c r="T865" s="63"/>
      <c r="U865" s="63"/>
      <c r="V865" s="63"/>
      <c r="W865" s="63"/>
      <c r="X865" s="63"/>
    </row>
    <row r="866" spans="1:24" ht="12.75">
      <c r="A866" s="69"/>
      <c r="B866" s="63"/>
      <c r="C866" s="63"/>
      <c r="D866" s="63"/>
      <c r="E866" s="63"/>
      <c r="F866" s="63"/>
      <c r="G866" s="63"/>
      <c r="H866" s="63"/>
      <c r="I866" s="63"/>
      <c r="J866" s="63"/>
      <c r="K866" s="63"/>
      <c r="L866" s="63"/>
      <c r="M866" s="63"/>
      <c r="N866" s="63"/>
      <c r="O866" s="63"/>
      <c r="P866" s="63"/>
      <c r="Q866" s="63"/>
      <c r="R866" s="63"/>
      <c r="S866" s="63"/>
      <c r="T866" s="63"/>
      <c r="U866" s="63"/>
      <c r="V866" s="63"/>
      <c r="W866" s="63"/>
      <c r="X866" s="63"/>
    </row>
    <row r="867" spans="1:24" ht="12.75">
      <c r="A867" s="69"/>
      <c r="B867" s="63"/>
      <c r="C867" s="63"/>
      <c r="D867" s="63"/>
      <c r="E867" s="63"/>
      <c r="F867" s="63"/>
      <c r="G867" s="63"/>
      <c r="H867" s="63"/>
      <c r="I867" s="63"/>
      <c r="J867" s="63"/>
      <c r="K867" s="63"/>
      <c r="L867" s="63"/>
      <c r="M867" s="63"/>
      <c r="N867" s="63"/>
      <c r="O867" s="63"/>
      <c r="P867" s="63"/>
      <c r="Q867" s="63"/>
      <c r="R867" s="63"/>
      <c r="S867" s="63"/>
      <c r="T867" s="63"/>
      <c r="U867" s="63"/>
      <c r="V867" s="63"/>
      <c r="W867" s="63"/>
      <c r="X867" s="63"/>
    </row>
    <row r="868" spans="1:24" ht="12.75">
      <c r="A868" s="69"/>
      <c r="B868" s="63"/>
      <c r="C868" s="63"/>
      <c r="D868" s="63"/>
      <c r="E868" s="63"/>
      <c r="F868" s="63"/>
      <c r="G868" s="63"/>
      <c r="H868" s="63"/>
      <c r="I868" s="63"/>
      <c r="J868" s="63"/>
      <c r="K868" s="63"/>
      <c r="L868" s="63"/>
      <c r="M868" s="63"/>
      <c r="N868" s="63"/>
      <c r="O868" s="63"/>
      <c r="P868" s="63"/>
      <c r="Q868" s="63"/>
      <c r="R868" s="63"/>
      <c r="S868" s="63"/>
      <c r="T868" s="63"/>
      <c r="U868" s="63"/>
      <c r="V868" s="63"/>
      <c r="W868" s="63"/>
      <c r="X868" s="63"/>
    </row>
    <row r="869" spans="1:24" ht="12.75">
      <c r="A869" s="69"/>
      <c r="B869" s="63"/>
      <c r="C869" s="63"/>
      <c r="D869" s="63"/>
      <c r="E869" s="63"/>
      <c r="F869" s="63"/>
      <c r="G869" s="63"/>
      <c r="H869" s="63"/>
      <c r="I869" s="63"/>
      <c r="J869" s="63"/>
      <c r="K869" s="63"/>
      <c r="L869" s="63"/>
      <c r="M869" s="63"/>
      <c r="N869" s="63"/>
      <c r="O869" s="63"/>
      <c r="P869" s="63"/>
      <c r="Q869" s="63"/>
      <c r="R869" s="63"/>
      <c r="S869" s="63"/>
      <c r="T869" s="63"/>
      <c r="U869" s="63"/>
      <c r="V869" s="63"/>
      <c r="W869" s="63"/>
      <c r="X869" s="63"/>
    </row>
    <row r="870" spans="1:24" ht="12.75">
      <c r="A870" s="69"/>
      <c r="B870" s="63"/>
      <c r="C870" s="63"/>
      <c r="D870" s="63"/>
      <c r="E870" s="63"/>
      <c r="F870" s="63"/>
      <c r="G870" s="63"/>
      <c r="H870" s="63"/>
      <c r="I870" s="63"/>
      <c r="J870" s="63"/>
      <c r="K870" s="63"/>
      <c r="L870" s="63"/>
      <c r="M870" s="63"/>
      <c r="N870" s="63"/>
      <c r="O870" s="63"/>
      <c r="P870" s="63"/>
      <c r="Q870" s="63"/>
      <c r="R870" s="63"/>
      <c r="S870" s="63"/>
      <c r="T870" s="63"/>
      <c r="U870" s="63"/>
      <c r="V870" s="63"/>
      <c r="W870" s="63"/>
      <c r="X870" s="63"/>
    </row>
    <row r="871" spans="1:24" ht="12.75">
      <c r="A871" s="69"/>
      <c r="B871" s="63"/>
      <c r="C871" s="63"/>
      <c r="D871" s="63"/>
      <c r="E871" s="63"/>
      <c r="F871" s="63"/>
      <c r="G871" s="63"/>
      <c r="H871" s="63"/>
      <c r="I871" s="63"/>
      <c r="J871" s="63"/>
      <c r="K871" s="63"/>
      <c r="L871" s="63"/>
      <c r="M871" s="63"/>
      <c r="N871" s="63"/>
      <c r="O871" s="63"/>
      <c r="P871" s="63"/>
      <c r="Q871" s="63"/>
      <c r="R871" s="63"/>
      <c r="S871" s="63"/>
      <c r="T871" s="63"/>
      <c r="U871" s="63"/>
      <c r="V871" s="63"/>
      <c r="W871" s="63"/>
      <c r="X871" s="63"/>
    </row>
    <row r="872" spans="1:24" ht="12.75">
      <c r="A872" s="69"/>
      <c r="B872" s="63"/>
      <c r="C872" s="63"/>
      <c r="D872" s="63"/>
      <c r="E872" s="63"/>
      <c r="F872" s="63"/>
      <c r="G872" s="63"/>
      <c r="H872" s="63"/>
      <c r="I872" s="63"/>
      <c r="J872" s="63"/>
      <c r="K872" s="63"/>
      <c r="L872" s="63"/>
      <c r="M872" s="63"/>
      <c r="N872" s="63"/>
      <c r="O872" s="63"/>
      <c r="P872" s="63"/>
      <c r="Q872" s="63"/>
      <c r="R872" s="63"/>
      <c r="S872" s="63"/>
      <c r="T872" s="63"/>
      <c r="U872" s="63"/>
      <c r="V872" s="63"/>
      <c r="W872" s="63"/>
      <c r="X872" s="63"/>
    </row>
    <row r="873" spans="1:24" ht="12.75">
      <c r="A873" s="69"/>
      <c r="B873" s="63"/>
      <c r="C873" s="63"/>
      <c r="D873" s="63"/>
      <c r="E873" s="63"/>
      <c r="F873" s="63"/>
      <c r="G873" s="63"/>
      <c r="H873" s="63"/>
      <c r="I873" s="63"/>
      <c r="J873" s="63"/>
      <c r="K873" s="63"/>
      <c r="L873" s="63"/>
      <c r="M873" s="63"/>
      <c r="N873" s="63"/>
      <c r="O873" s="63"/>
      <c r="P873" s="63"/>
      <c r="Q873" s="63"/>
      <c r="R873" s="63"/>
      <c r="S873" s="63"/>
      <c r="T873" s="63"/>
      <c r="U873" s="63"/>
      <c r="V873" s="63"/>
      <c r="W873" s="63"/>
      <c r="X873" s="63"/>
    </row>
    <row r="874" spans="1:24" ht="12.75">
      <c r="A874" s="69"/>
      <c r="B874" s="63"/>
      <c r="C874" s="63"/>
      <c r="D874" s="63"/>
      <c r="E874" s="63"/>
      <c r="F874" s="63"/>
      <c r="G874" s="63"/>
      <c r="H874" s="63"/>
      <c r="I874" s="63"/>
      <c r="J874" s="63"/>
      <c r="K874" s="63"/>
      <c r="L874" s="63"/>
      <c r="M874" s="63"/>
      <c r="N874" s="63"/>
      <c r="O874" s="63"/>
      <c r="P874" s="63"/>
      <c r="Q874" s="63"/>
      <c r="R874" s="63"/>
      <c r="S874" s="63"/>
      <c r="T874" s="63"/>
      <c r="U874" s="63"/>
      <c r="V874" s="63"/>
      <c r="W874" s="63"/>
      <c r="X874" s="63"/>
    </row>
    <row r="875" spans="1:24" ht="12.75">
      <c r="A875" s="69"/>
      <c r="B875" s="63"/>
      <c r="C875" s="63"/>
      <c r="D875" s="63"/>
      <c r="E875" s="63"/>
      <c r="F875" s="63"/>
      <c r="G875" s="63"/>
      <c r="H875" s="63"/>
      <c r="I875" s="63"/>
      <c r="J875" s="63"/>
      <c r="K875" s="63"/>
      <c r="L875" s="63"/>
      <c r="M875" s="63"/>
      <c r="N875" s="63"/>
      <c r="O875" s="63"/>
      <c r="P875" s="63"/>
      <c r="Q875" s="63"/>
      <c r="R875" s="63"/>
      <c r="S875" s="63"/>
      <c r="T875" s="63"/>
      <c r="U875" s="63"/>
      <c r="V875" s="63"/>
      <c r="W875" s="63"/>
      <c r="X875" s="63"/>
    </row>
    <row r="876" spans="1:24" ht="12.75">
      <c r="A876" s="69"/>
      <c r="B876" s="63"/>
      <c r="C876" s="63"/>
      <c r="D876" s="63"/>
      <c r="E876" s="63"/>
      <c r="F876" s="63"/>
      <c r="G876" s="63"/>
      <c r="H876" s="63"/>
      <c r="I876" s="63"/>
      <c r="J876" s="63"/>
      <c r="K876" s="63"/>
      <c r="L876" s="63"/>
      <c r="M876" s="63"/>
      <c r="N876" s="63"/>
      <c r="O876" s="63"/>
      <c r="P876" s="63"/>
      <c r="Q876" s="63"/>
      <c r="R876" s="63"/>
      <c r="S876" s="63"/>
      <c r="T876" s="63"/>
      <c r="U876" s="63"/>
      <c r="V876" s="63"/>
      <c r="W876" s="63"/>
      <c r="X876" s="63"/>
    </row>
    <row r="877" spans="1:24" ht="12.75">
      <c r="A877" s="69"/>
      <c r="B877" s="63"/>
      <c r="C877" s="63"/>
      <c r="D877" s="63"/>
      <c r="E877" s="63"/>
      <c r="F877" s="63"/>
      <c r="G877" s="63"/>
      <c r="H877" s="63"/>
      <c r="I877" s="63"/>
      <c r="J877" s="63"/>
      <c r="K877" s="63"/>
      <c r="L877" s="63"/>
      <c r="M877" s="63"/>
      <c r="N877" s="63"/>
      <c r="O877" s="63"/>
      <c r="P877" s="63"/>
      <c r="Q877" s="63"/>
      <c r="R877" s="63"/>
      <c r="S877" s="63"/>
      <c r="T877" s="63"/>
      <c r="U877" s="63"/>
      <c r="V877" s="63"/>
      <c r="W877" s="63"/>
      <c r="X877" s="63"/>
    </row>
    <row r="878" spans="1:24" ht="12.75">
      <c r="A878" s="69"/>
      <c r="B878" s="63"/>
      <c r="C878" s="63"/>
      <c r="D878" s="63"/>
      <c r="E878" s="63"/>
      <c r="F878" s="63"/>
      <c r="G878" s="63"/>
      <c r="H878" s="63"/>
      <c r="I878" s="63"/>
      <c r="J878" s="63"/>
      <c r="K878" s="63"/>
      <c r="L878" s="63"/>
      <c r="M878" s="63"/>
      <c r="N878" s="63"/>
      <c r="O878" s="63"/>
      <c r="P878" s="63"/>
      <c r="Q878" s="63"/>
      <c r="R878" s="63"/>
      <c r="S878" s="63"/>
      <c r="T878" s="63"/>
      <c r="U878" s="63"/>
      <c r="V878" s="63"/>
      <c r="W878" s="63"/>
      <c r="X878" s="63"/>
    </row>
    <row r="879" spans="1:24" ht="12.75">
      <c r="A879" s="69"/>
      <c r="B879" s="63"/>
      <c r="C879" s="63"/>
      <c r="D879" s="63"/>
      <c r="E879" s="63"/>
      <c r="F879" s="63"/>
      <c r="G879" s="63"/>
      <c r="H879" s="63"/>
      <c r="I879" s="63"/>
      <c r="J879" s="63"/>
      <c r="K879" s="63"/>
      <c r="L879" s="63"/>
      <c r="M879" s="63"/>
      <c r="N879" s="63"/>
      <c r="O879" s="63"/>
      <c r="P879" s="63"/>
      <c r="Q879" s="63"/>
      <c r="R879" s="63"/>
      <c r="S879" s="63"/>
      <c r="T879" s="63"/>
      <c r="U879" s="63"/>
      <c r="V879" s="63"/>
      <c r="W879" s="63"/>
      <c r="X879" s="63"/>
    </row>
    <row r="880" spans="1:24" ht="12.75">
      <c r="A880" s="69"/>
      <c r="B880" s="63"/>
      <c r="C880" s="63"/>
      <c r="D880" s="63"/>
      <c r="E880" s="63"/>
      <c r="F880" s="63"/>
      <c r="G880" s="63"/>
      <c r="H880" s="63"/>
      <c r="I880" s="63"/>
      <c r="J880" s="63"/>
      <c r="K880" s="63"/>
      <c r="L880" s="63"/>
      <c r="M880" s="63"/>
      <c r="N880" s="63"/>
      <c r="O880" s="63"/>
      <c r="P880" s="63"/>
      <c r="Q880" s="63"/>
      <c r="R880" s="63"/>
      <c r="S880" s="63"/>
      <c r="T880" s="63"/>
      <c r="U880" s="63"/>
      <c r="V880" s="63"/>
      <c r="W880" s="63"/>
      <c r="X880" s="63"/>
    </row>
    <row r="881" spans="1:24" ht="12.75">
      <c r="A881" s="69"/>
      <c r="B881" s="63"/>
      <c r="C881" s="63"/>
      <c r="D881" s="63"/>
      <c r="E881" s="63"/>
      <c r="F881" s="63"/>
      <c r="G881" s="63"/>
      <c r="H881" s="63"/>
      <c r="I881" s="63"/>
      <c r="J881" s="63"/>
      <c r="K881" s="63"/>
      <c r="L881" s="63"/>
      <c r="M881" s="63"/>
      <c r="N881" s="63"/>
      <c r="O881" s="63"/>
      <c r="P881" s="63"/>
      <c r="Q881" s="63"/>
      <c r="R881" s="63"/>
      <c r="S881" s="63"/>
      <c r="T881" s="63"/>
      <c r="U881" s="63"/>
      <c r="V881" s="63"/>
      <c r="W881" s="63"/>
      <c r="X881" s="63"/>
    </row>
    <row r="882" spans="1:24" ht="12.75">
      <c r="A882" s="69"/>
      <c r="B882" s="63"/>
      <c r="C882" s="63"/>
      <c r="D882" s="63"/>
      <c r="E882" s="63"/>
      <c r="F882" s="63"/>
      <c r="G882" s="63"/>
      <c r="H882" s="63"/>
      <c r="I882" s="63"/>
      <c r="J882" s="63"/>
      <c r="K882" s="63"/>
      <c r="L882" s="63"/>
      <c r="M882" s="63"/>
      <c r="N882" s="63"/>
      <c r="O882" s="63"/>
      <c r="P882" s="63"/>
      <c r="Q882" s="63"/>
      <c r="R882" s="63"/>
      <c r="S882" s="63"/>
      <c r="T882" s="63"/>
      <c r="U882" s="63"/>
      <c r="V882" s="63"/>
      <c r="W882" s="63"/>
      <c r="X882" s="63"/>
    </row>
    <row r="883" spans="1:24" ht="12.75">
      <c r="A883" s="69"/>
      <c r="B883" s="63"/>
      <c r="C883" s="63"/>
      <c r="D883" s="63"/>
      <c r="E883" s="63"/>
      <c r="F883" s="63"/>
      <c r="G883" s="63"/>
      <c r="H883" s="63"/>
      <c r="I883" s="63"/>
      <c r="J883" s="63"/>
      <c r="K883" s="63"/>
      <c r="L883" s="63"/>
      <c r="M883" s="63"/>
      <c r="N883" s="63"/>
      <c r="O883" s="63"/>
      <c r="P883" s="63"/>
      <c r="Q883" s="63"/>
      <c r="R883" s="63"/>
      <c r="S883" s="63"/>
      <c r="T883" s="63"/>
      <c r="U883" s="63"/>
      <c r="V883" s="63"/>
      <c r="W883" s="63"/>
      <c r="X883" s="63"/>
    </row>
    <row r="884" spans="1:24" ht="12.75">
      <c r="A884" s="69"/>
      <c r="B884" s="63"/>
      <c r="C884" s="63"/>
      <c r="D884" s="63"/>
      <c r="E884" s="63"/>
      <c r="F884" s="63"/>
      <c r="G884" s="63"/>
      <c r="H884" s="63"/>
      <c r="I884" s="63"/>
      <c r="J884" s="63"/>
      <c r="K884" s="63"/>
      <c r="L884" s="63"/>
      <c r="M884" s="63"/>
      <c r="N884" s="63"/>
      <c r="O884" s="63"/>
      <c r="P884" s="63"/>
      <c r="Q884" s="63"/>
      <c r="R884" s="63"/>
      <c r="S884" s="63"/>
      <c r="T884" s="63"/>
      <c r="U884" s="63"/>
      <c r="V884" s="63"/>
      <c r="W884" s="63"/>
      <c r="X884" s="63"/>
    </row>
    <row r="885" spans="1:24" ht="12.75">
      <c r="A885" s="69"/>
      <c r="B885" s="63"/>
      <c r="C885" s="63"/>
      <c r="D885" s="63"/>
      <c r="E885" s="63"/>
      <c r="F885" s="63"/>
      <c r="G885" s="63"/>
      <c r="H885" s="63"/>
      <c r="I885" s="63"/>
      <c r="J885" s="63"/>
      <c r="K885" s="63"/>
      <c r="L885" s="63"/>
      <c r="M885" s="63"/>
      <c r="N885" s="63"/>
      <c r="O885" s="63"/>
      <c r="P885" s="63"/>
      <c r="Q885" s="63"/>
      <c r="R885" s="63"/>
      <c r="S885" s="63"/>
      <c r="T885" s="63"/>
      <c r="U885" s="63"/>
      <c r="V885" s="63"/>
      <c r="W885" s="63"/>
      <c r="X885" s="63"/>
    </row>
    <row r="886" spans="1:24" ht="12.75">
      <c r="A886" s="69"/>
      <c r="B886" s="63"/>
      <c r="C886" s="63"/>
      <c r="D886" s="63"/>
      <c r="E886" s="63"/>
      <c r="F886" s="63"/>
      <c r="G886" s="63"/>
      <c r="H886" s="63"/>
      <c r="I886" s="63"/>
      <c r="J886" s="63"/>
      <c r="K886" s="63"/>
      <c r="L886" s="63"/>
      <c r="M886" s="63"/>
      <c r="N886" s="63"/>
      <c r="O886" s="63"/>
      <c r="P886" s="63"/>
      <c r="Q886" s="63"/>
      <c r="R886" s="63"/>
      <c r="S886" s="63"/>
      <c r="T886" s="63"/>
      <c r="U886" s="63"/>
      <c r="V886" s="63"/>
      <c r="W886" s="63"/>
      <c r="X886" s="63"/>
    </row>
    <row r="887" spans="1:24" ht="12.75">
      <c r="A887" s="69"/>
      <c r="B887" s="63"/>
      <c r="C887" s="63"/>
      <c r="D887" s="63"/>
      <c r="E887" s="63"/>
      <c r="F887" s="63"/>
      <c r="G887" s="63"/>
      <c r="H887" s="63"/>
      <c r="I887" s="63"/>
      <c r="J887" s="63"/>
      <c r="K887" s="63"/>
      <c r="L887" s="63"/>
      <c r="M887" s="63"/>
      <c r="N887" s="63"/>
      <c r="O887" s="63"/>
      <c r="P887" s="63"/>
      <c r="Q887" s="63"/>
      <c r="R887" s="63"/>
      <c r="S887" s="63"/>
      <c r="T887" s="63"/>
      <c r="U887" s="63"/>
      <c r="V887" s="63"/>
      <c r="W887" s="63"/>
      <c r="X887" s="63"/>
    </row>
    <row r="888" spans="1:24" ht="12.75">
      <c r="A888" s="69"/>
      <c r="B888" s="63"/>
      <c r="C888" s="63"/>
      <c r="D888" s="63"/>
      <c r="E888" s="63"/>
      <c r="F888" s="63"/>
      <c r="G888" s="63"/>
      <c r="H888" s="63"/>
      <c r="I888" s="63"/>
      <c r="J888" s="63"/>
      <c r="K888" s="63"/>
      <c r="L888" s="63"/>
      <c r="M888" s="63"/>
      <c r="N888" s="63"/>
      <c r="O888" s="63"/>
      <c r="P888" s="63"/>
      <c r="Q888" s="63"/>
      <c r="R888" s="63"/>
      <c r="S888" s="63"/>
      <c r="T888" s="63"/>
      <c r="U888" s="63"/>
      <c r="V888" s="63"/>
      <c r="W888" s="63"/>
      <c r="X888" s="63"/>
    </row>
    <row r="889" spans="1:24" ht="12.75">
      <c r="A889" s="69"/>
      <c r="B889" s="63"/>
      <c r="C889" s="63"/>
      <c r="D889" s="63"/>
      <c r="E889" s="63"/>
      <c r="F889" s="63"/>
      <c r="G889" s="63"/>
      <c r="H889" s="63"/>
      <c r="I889" s="63"/>
      <c r="J889" s="63"/>
      <c r="K889" s="63"/>
      <c r="L889" s="63"/>
      <c r="M889" s="63"/>
      <c r="N889" s="63"/>
      <c r="O889" s="63"/>
      <c r="P889" s="63"/>
      <c r="Q889" s="63"/>
      <c r="R889" s="63"/>
      <c r="S889" s="63"/>
      <c r="T889" s="63"/>
      <c r="U889" s="63"/>
      <c r="V889" s="63"/>
      <c r="W889" s="63"/>
      <c r="X889" s="63"/>
    </row>
    <row r="890" spans="1:24" ht="12.75">
      <c r="A890" s="69"/>
      <c r="B890" s="63"/>
      <c r="C890" s="63"/>
      <c r="D890" s="63"/>
      <c r="E890" s="63"/>
      <c r="F890" s="63"/>
      <c r="G890" s="63"/>
      <c r="H890" s="63"/>
      <c r="I890" s="63"/>
      <c r="J890" s="63"/>
      <c r="K890" s="63"/>
      <c r="L890" s="63"/>
      <c r="M890" s="63"/>
      <c r="N890" s="63"/>
      <c r="O890" s="63"/>
      <c r="P890" s="63"/>
      <c r="Q890" s="63"/>
      <c r="R890" s="63"/>
      <c r="S890" s="63"/>
      <c r="T890" s="63"/>
      <c r="U890" s="63"/>
      <c r="V890" s="63"/>
      <c r="W890" s="63"/>
      <c r="X890" s="63"/>
    </row>
    <row r="891" spans="1:24" ht="12.75">
      <c r="A891" s="69"/>
      <c r="B891" s="63"/>
      <c r="C891" s="63"/>
      <c r="D891" s="63"/>
      <c r="E891" s="63"/>
      <c r="F891" s="63"/>
      <c r="G891" s="63"/>
      <c r="H891" s="63"/>
      <c r="I891" s="63"/>
      <c r="J891" s="63"/>
      <c r="K891" s="63"/>
      <c r="L891" s="63"/>
      <c r="M891" s="63"/>
      <c r="N891" s="63"/>
      <c r="O891" s="63"/>
      <c r="P891" s="63"/>
      <c r="Q891" s="63"/>
      <c r="R891" s="63"/>
      <c r="S891" s="63"/>
      <c r="T891" s="63"/>
      <c r="U891" s="63"/>
      <c r="V891" s="63"/>
      <c r="W891" s="63"/>
      <c r="X891" s="63"/>
    </row>
    <row r="892" spans="1:24" ht="12.75">
      <c r="A892" s="69"/>
      <c r="B892" s="63"/>
      <c r="C892" s="63"/>
      <c r="D892" s="63"/>
      <c r="E892" s="63"/>
      <c r="F892" s="63"/>
      <c r="G892" s="63"/>
      <c r="H892" s="63"/>
      <c r="I892" s="63"/>
      <c r="J892" s="63"/>
      <c r="K892" s="63"/>
      <c r="L892" s="63"/>
      <c r="M892" s="63"/>
      <c r="N892" s="63"/>
      <c r="O892" s="63"/>
      <c r="P892" s="63"/>
      <c r="Q892" s="63"/>
      <c r="R892" s="63"/>
      <c r="S892" s="63"/>
      <c r="T892" s="63"/>
      <c r="U892" s="63"/>
      <c r="V892" s="63"/>
      <c r="W892" s="63"/>
      <c r="X892" s="63"/>
    </row>
    <row r="893" spans="1:24" ht="12.75">
      <c r="A893" s="69"/>
      <c r="B893" s="63"/>
      <c r="C893" s="63"/>
      <c r="D893" s="63"/>
      <c r="E893" s="63"/>
      <c r="F893" s="63"/>
      <c r="G893" s="63"/>
      <c r="H893" s="63"/>
      <c r="I893" s="63"/>
      <c r="J893" s="63"/>
      <c r="K893" s="63"/>
      <c r="L893" s="63"/>
      <c r="M893" s="63"/>
      <c r="N893" s="63"/>
      <c r="O893" s="63"/>
      <c r="P893" s="63"/>
      <c r="Q893" s="63"/>
      <c r="R893" s="63"/>
      <c r="S893" s="63"/>
      <c r="T893" s="63"/>
      <c r="U893" s="63"/>
      <c r="V893" s="63"/>
      <c r="W893" s="63"/>
      <c r="X893" s="63"/>
    </row>
    <row r="894" spans="1:24" ht="12.75">
      <c r="A894" s="69"/>
      <c r="B894" s="63"/>
      <c r="C894" s="63"/>
      <c r="D894" s="63"/>
      <c r="E894" s="63"/>
      <c r="F894" s="63"/>
      <c r="G894" s="63"/>
      <c r="H894" s="63"/>
      <c r="I894" s="63"/>
      <c r="J894" s="63"/>
      <c r="K894" s="63"/>
      <c r="L894" s="63"/>
      <c r="M894" s="63"/>
      <c r="N894" s="63"/>
      <c r="O894" s="63"/>
      <c r="P894" s="63"/>
      <c r="Q894" s="63"/>
      <c r="R894" s="63"/>
      <c r="S894" s="63"/>
      <c r="T894" s="63"/>
      <c r="U894" s="63"/>
      <c r="V894" s="63"/>
      <c r="W894" s="63"/>
      <c r="X894" s="63"/>
    </row>
    <row r="895" spans="1:24" ht="12.75">
      <c r="A895" s="69"/>
      <c r="B895" s="63"/>
      <c r="C895" s="63"/>
      <c r="D895" s="63"/>
      <c r="E895" s="63"/>
      <c r="F895" s="63"/>
      <c r="G895" s="63"/>
      <c r="H895" s="63"/>
      <c r="I895" s="63"/>
      <c r="J895" s="63"/>
      <c r="K895" s="63"/>
      <c r="L895" s="63"/>
      <c r="M895" s="63"/>
      <c r="N895" s="63"/>
      <c r="O895" s="63"/>
      <c r="P895" s="63"/>
      <c r="Q895" s="63"/>
      <c r="R895" s="63"/>
      <c r="S895" s="63"/>
      <c r="T895" s="63"/>
      <c r="U895" s="63"/>
      <c r="V895" s="63"/>
      <c r="W895" s="63"/>
      <c r="X895" s="63"/>
    </row>
    <row r="896" spans="1:24" ht="12.75">
      <c r="A896" s="69"/>
      <c r="B896" s="63"/>
      <c r="C896" s="63"/>
      <c r="D896" s="63"/>
      <c r="E896" s="63"/>
      <c r="F896" s="63"/>
      <c r="G896" s="63"/>
      <c r="H896" s="63"/>
      <c r="I896" s="63"/>
      <c r="J896" s="63"/>
      <c r="K896" s="63"/>
      <c r="L896" s="63"/>
      <c r="M896" s="63"/>
      <c r="N896" s="63"/>
      <c r="O896" s="63"/>
      <c r="P896" s="63"/>
      <c r="Q896" s="63"/>
      <c r="R896" s="63"/>
      <c r="S896" s="63"/>
      <c r="T896" s="63"/>
      <c r="U896" s="63"/>
      <c r="V896" s="63"/>
      <c r="W896" s="63"/>
      <c r="X896" s="63"/>
    </row>
    <row r="897" spans="1:24" ht="12.75">
      <c r="A897" s="69"/>
      <c r="B897" s="63"/>
      <c r="C897" s="63"/>
      <c r="D897" s="63"/>
      <c r="E897" s="63"/>
      <c r="F897" s="63"/>
      <c r="G897" s="63"/>
      <c r="H897" s="63"/>
      <c r="I897" s="63"/>
      <c r="J897" s="63"/>
      <c r="K897" s="63"/>
      <c r="L897" s="63"/>
      <c r="M897" s="63"/>
      <c r="N897" s="63"/>
      <c r="O897" s="63"/>
      <c r="P897" s="63"/>
      <c r="Q897" s="63"/>
      <c r="R897" s="63"/>
      <c r="S897" s="63"/>
      <c r="T897" s="63"/>
      <c r="U897" s="63"/>
      <c r="V897" s="63"/>
      <c r="W897" s="63"/>
      <c r="X897" s="63"/>
    </row>
    <row r="898" spans="1:24" ht="12.75">
      <c r="A898" s="69"/>
      <c r="B898" s="63"/>
      <c r="C898" s="63"/>
      <c r="D898" s="63"/>
      <c r="E898" s="63"/>
      <c r="F898" s="63"/>
      <c r="G898" s="63"/>
      <c r="H898" s="63"/>
      <c r="I898" s="63"/>
      <c r="J898" s="63"/>
      <c r="K898" s="63"/>
      <c r="L898" s="63"/>
      <c r="M898" s="63"/>
      <c r="N898" s="63"/>
      <c r="O898" s="63"/>
      <c r="P898" s="63"/>
      <c r="Q898" s="63"/>
      <c r="R898" s="63"/>
      <c r="S898" s="63"/>
      <c r="T898" s="63"/>
      <c r="U898" s="63"/>
      <c r="V898" s="63"/>
      <c r="W898" s="63"/>
      <c r="X898" s="63"/>
    </row>
    <row r="899" spans="1:24" ht="12.75">
      <c r="A899" s="69"/>
      <c r="B899" s="63"/>
      <c r="C899" s="63"/>
      <c r="D899" s="63"/>
      <c r="E899" s="63"/>
      <c r="F899" s="63"/>
      <c r="G899" s="63"/>
      <c r="H899" s="63"/>
      <c r="I899" s="63"/>
      <c r="J899" s="63"/>
      <c r="K899" s="63"/>
      <c r="L899" s="63"/>
      <c r="M899" s="63"/>
      <c r="N899" s="63"/>
      <c r="O899" s="63"/>
      <c r="P899" s="63"/>
      <c r="Q899" s="63"/>
      <c r="R899" s="63"/>
      <c r="S899" s="63"/>
      <c r="T899" s="63"/>
      <c r="U899" s="63"/>
      <c r="V899" s="63"/>
      <c r="W899" s="63"/>
      <c r="X899" s="63"/>
    </row>
    <row r="900" spans="1:24" ht="12.75">
      <c r="A900" s="69"/>
      <c r="B900" s="63"/>
      <c r="C900" s="63"/>
      <c r="D900" s="63"/>
      <c r="E900" s="63"/>
      <c r="F900" s="63"/>
      <c r="G900" s="63"/>
      <c r="H900" s="63"/>
      <c r="I900" s="63"/>
      <c r="J900" s="63"/>
      <c r="K900" s="63"/>
      <c r="L900" s="63"/>
      <c r="M900" s="63"/>
      <c r="N900" s="63"/>
      <c r="O900" s="63"/>
      <c r="P900" s="63"/>
      <c r="Q900" s="63"/>
      <c r="R900" s="63"/>
      <c r="S900" s="63"/>
      <c r="T900" s="63"/>
      <c r="U900" s="63"/>
      <c r="V900" s="63"/>
      <c r="W900" s="63"/>
      <c r="X900" s="63"/>
    </row>
    <row r="901" spans="1:24" ht="12.75">
      <c r="A901" s="69"/>
      <c r="B901" s="63"/>
      <c r="C901" s="63"/>
      <c r="D901" s="63"/>
      <c r="E901" s="63"/>
      <c r="F901" s="63"/>
      <c r="G901" s="63"/>
      <c r="H901" s="63"/>
      <c r="I901" s="63"/>
      <c r="J901" s="63"/>
      <c r="K901" s="63"/>
      <c r="L901" s="63"/>
      <c r="M901" s="63"/>
      <c r="N901" s="63"/>
      <c r="O901" s="63"/>
      <c r="P901" s="63"/>
      <c r="Q901" s="63"/>
      <c r="R901" s="63"/>
      <c r="S901" s="63"/>
      <c r="T901" s="63"/>
      <c r="U901" s="63"/>
      <c r="V901" s="63"/>
      <c r="W901" s="63"/>
      <c r="X901" s="63"/>
    </row>
    <row r="902" spans="1:24" ht="12.75">
      <c r="A902" s="69"/>
      <c r="B902" s="63"/>
      <c r="C902" s="63"/>
      <c r="D902" s="63"/>
      <c r="E902" s="63"/>
      <c r="F902" s="63"/>
      <c r="G902" s="63"/>
      <c r="H902" s="63"/>
      <c r="I902" s="63"/>
      <c r="J902" s="63"/>
      <c r="K902" s="63"/>
      <c r="L902" s="63"/>
      <c r="M902" s="63"/>
      <c r="N902" s="63"/>
      <c r="O902" s="63"/>
      <c r="P902" s="63"/>
      <c r="Q902" s="63"/>
      <c r="R902" s="63"/>
      <c r="S902" s="63"/>
      <c r="T902" s="63"/>
      <c r="U902" s="63"/>
      <c r="V902" s="63"/>
      <c r="W902" s="63"/>
      <c r="X902" s="63"/>
    </row>
    <row r="903" spans="1:24" ht="12.75">
      <c r="A903" s="69"/>
      <c r="B903" s="63"/>
      <c r="C903" s="63"/>
      <c r="D903" s="63"/>
      <c r="E903" s="63"/>
      <c r="F903" s="63"/>
      <c r="G903" s="63"/>
      <c r="H903" s="63"/>
      <c r="I903" s="63"/>
      <c r="J903" s="63"/>
      <c r="K903" s="63"/>
      <c r="L903" s="63"/>
      <c r="M903" s="63"/>
      <c r="N903" s="63"/>
      <c r="O903" s="63"/>
      <c r="P903" s="63"/>
      <c r="Q903" s="63"/>
      <c r="R903" s="63"/>
      <c r="S903" s="63"/>
      <c r="T903" s="63"/>
      <c r="U903" s="63"/>
      <c r="V903" s="63"/>
      <c r="W903" s="63"/>
      <c r="X903" s="63"/>
    </row>
    <row r="904" spans="1:24" ht="12.75">
      <c r="A904" s="69"/>
      <c r="B904" s="63"/>
      <c r="C904" s="63"/>
      <c r="D904" s="63"/>
      <c r="E904" s="63"/>
      <c r="F904" s="63"/>
      <c r="G904" s="63"/>
      <c r="H904" s="63"/>
      <c r="I904" s="63"/>
      <c r="J904" s="63"/>
      <c r="K904" s="63"/>
      <c r="L904" s="63"/>
      <c r="M904" s="63"/>
      <c r="N904" s="63"/>
      <c r="O904" s="63"/>
      <c r="P904" s="63"/>
      <c r="Q904" s="63"/>
      <c r="R904" s="63"/>
      <c r="S904" s="63"/>
      <c r="T904" s="63"/>
      <c r="U904" s="63"/>
      <c r="V904" s="63"/>
      <c r="W904" s="63"/>
      <c r="X904" s="63"/>
    </row>
    <row r="905" spans="1:24" ht="12.75">
      <c r="A905" s="69"/>
      <c r="B905" s="63"/>
      <c r="C905" s="63"/>
      <c r="D905" s="63"/>
      <c r="E905" s="63"/>
      <c r="F905" s="63"/>
      <c r="G905" s="63"/>
      <c r="H905" s="63"/>
      <c r="I905" s="63"/>
      <c r="J905" s="63"/>
      <c r="K905" s="63"/>
      <c r="L905" s="63"/>
      <c r="M905" s="63"/>
      <c r="N905" s="63"/>
      <c r="O905" s="63"/>
      <c r="P905" s="63"/>
      <c r="Q905" s="63"/>
      <c r="R905" s="63"/>
      <c r="S905" s="63"/>
      <c r="T905" s="63"/>
      <c r="U905" s="63"/>
      <c r="V905" s="63"/>
      <c r="W905" s="63"/>
      <c r="X905" s="63"/>
    </row>
    <row r="906" spans="1:24" ht="12.75">
      <c r="A906" s="69"/>
      <c r="B906" s="63"/>
      <c r="C906" s="63"/>
      <c r="D906" s="63"/>
      <c r="E906" s="63"/>
      <c r="F906" s="63"/>
      <c r="G906" s="63"/>
      <c r="H906" s="63"/>
      <c r="I906" s="63"/>
      <c r="J906" s="63"/>
      <c r="K906" s="63"/>
      <c r="L906" s="63"/>
      <c r="M906" s="63"/>
      <c r="N906" s="63"/>
      <c r="O906" s="63"/>
      <c r="P906" s="63"/>
      <c r="Q906" s="63"/>
      <c r="R906" s="63"/>
      <c r="S906" s="63"/>
      <c r="T906" s="63"/>
      <c r="U906" s="63"/>
      <c r="V906" s="63"/>
      <c r="W906" s="63"/>
      <c r="X906" s="63"/>
    </row>
    <row r="907" spans="1:24" ht="12.75">
      <c r="A907" s="69"/>
      <c r="B907" s="63"/>
      <c r="C907" s="63"/>
      <c r="D907" s="63"/>
      <c r="E907" s="63"/>
      <c r="F907" s="63"/>
      <c r="G907" s="63"/>
      <c r="H907" s="63"/>
      <c r="I907" s="63"/>
      <c r="J907" s="63"/>
      <c r="K907" s="63"/>
      <c r="L907" s="63"/>
      <c r="M907" s="63"/>
      <c r="N907" s="63"/>
      <c r="O907" s="63"/>
      <c r="P907" s="63"/>
      <c r="Q907" s="63"/>
      <c r="R907" s="63"/>
      <c r="S907" s="63"/>
      <c r="T907" s="63"/>
      <c r="U907" s="63"/>
      <c r="V907" s="63"/>
      <c r="W907" s="63"/>
      <c r="X907" s="63"/>
    </row>
    <row r="908" spans="1:24" ht="12.75">
      <c r="A908" s="69"/>
      <c r="B908" s="63"/>
      <c r="C908" s="63"/>
      <c r="D908" s="63"/>
      <c r="E908" s="63"/>
      <c r="F908" s="63"/>
      <c r="G908" s="63"/>
      <c r="H908" s="63"/>
      <c r="I908" s="63"/>
      <c r="J908" s="63"/>
      <c r="K908" s="63"/>
      <c r="L908" s="63"/>
      <c r="M908" s="63"/>
      <c r="N908" s="63"/>
      <c r="O908" s="63"/>
      <c r="P908" s="63"/>
      <c r="Q908" s="63"/>
      <c r="R908" s="63"/>
      <c r="S908" s="63"/>
      <c r="T908" s="63"/>
      <c r="U908" s="63"/>
      <c r="V908" s="63"/>
      <c r="W908" s="63"/>
      <c r="X908" s="63"/>
    </row>
    <row r="909" spans="1:24" ht="12.75">
      <c r="A909" s="69"/>
      <c r="B909" s="63"/>
      <c r="C909" s="63"/>
      <c r="D909" s="63"/>
      <c r="E909" s="63"/>
      <c r="F909" s="63"/>
      <c r="G909" s="63"/>
      <c r="H909" s="63"/>
      <c r="I909" s="63"/>
      <c r="J909" s="63"/>
      <c r="K909" s="63"/>
      <c r="L909" s="63"/>
      <c r="M909" s="63"/>
      <c r="N909" s="63"/>
      <c r="O909" s="63"/>
      <c r="P909" s="63"/>
      <c r="Q909" s="63"/>
      <c r="R909" s="63"/>
      <c r="S909" s="63"/>
      <c r="T909" s="63"/>
      <c r="U909" s="63"/>
      <c r="V909" s="63"/>
      <c r="W909" s="63"/>
      <c r="X909" s="63"/>
    </row>
    <row r="910" spans="1:24" ht="12.75">
      <c r="A910" s="69"/>
      <c r="B910" s="63"/>
      <c r="C910" s="63"/>
      <c r="D910" s="63"/>
      <c r="E910" s="63"/>
      <c r="F910" s="63"/>
      <c r="G910" s="63"/>
      <c r="H910" s="63"/>
      <c r="I910" s="63"/>
      <c r="J910" s="63"/>
      <c r="K910" s="63"/>
      <c r="L910" s="63"/>
      <c r="M910" s="63"/>
      <c r="N910" s="63"/>
      <c r="O910" s="63"/>
      <c r="P910" s="63"/>
      <c r="Q910" s="63"/>
      <c r="R910" s="63"/>
      <c r="S910" s="63"/>
      <c r="T910" s="63"/>
      <c r="U910" s="63"/>
      <c r="V910" s="63"/>
      <c r="W910" s="63"/>
      <c r="X910" s="63"/>
    </row>
    <row r="911" spans="1:24" ht="12.75">
      <c r="A911" s="69"/>
      <c r="B911" s="63"/>
      <c r="C911" s="63"/>
      <c r="D911" s="63"/>
      <c r="E911" s="63"/>
      <c r="F911" s="63"/>
      <c r="G911" s="63"/>
      <c r="H911" s="63"/>
      <c r="I911" s="63"/>
      <c r="J911" s="63"/>
      <c r="K911" s="63"/>
      <c r="L911" s="63"/>
      <c r="M911" s="63"/>
      <c r="N911" s="63"/>
      <c r="O911" s="63"/>
      <c r="P911" s="63"/>
      <c r="Q911" s="63"/>
      <c r="R911" s="63"/>
      <c r="S911" s="63"/>
      <c r="T911" s="63"/>
      <c r="U911" s="63"/>
      <c r="V911" s="63"/>
      <c r="W911" s="63"/>
      <c r="X911" s="63"/>
    </row>
    <row r="912" spans="1:24" ht="12.75">
      <c r="A912" s="69"/>
      <c r="B912" s="63"/>
      <c r="C912" s="63"/>
      <c r="D912" s="63"/>
      <c r="E912" s="63"/>
      <c r="F912" s="63"/>
      <c r="G912" s="63"/>
      <c r="H912" s="63"/>
      <c r="I912" s="63"/>
      <c r="J912" s="63"/>
      <c r="K912" s="63"/>
      <c r="L912" s="63"/>
      <c r="M912" s="63"/>
      <c r="N912" s="63"/>
      <c r="O912" s="63"/>
      <c r="P912" s="63"/>
      <c r="Q912" s="63"/>
      <c r="R912" s="63"/>
      <c r="S912" s="63"/>
      <c r="T912" s="63"/>
      <c r="U912" s="63"/>
      <c r="V912" s="63"/>
      <c r="W912" s="63"/>
      <c r="X912" s="63"/>
    </row>
    <row r="913" spans="1:24" ht="12.75">
      <c r="A913" s="69"/>
      <c r="B913" s="63"/>
      <c r="C913" s="63"/>
      <c r="D913" s="63"/>
      <c r="E913" s="63"/>
      <c r="F913" s="63"/>
      <c r="G913" s="63"/>
      <c r="H913" s="63"/>
      <c r="I913" s="63"/>
      <c r="J913" s="63"/>
      <c r="K913" s="63"/>
      <c r="L913" s="63"/>
      <c r="M913" s="63"/>
      <c r="N913" s="63"/>
      <c r="O913" s="63"/>
      <c r="P913" s="63"/>
      <c r="Q913" s="63"/>
      <c r="R913" s="63"/>
      <c r="S913" s="63"/>
      <c r="T913" s="63"/>
      <c r="U913" s="63"/>
      <c r="V913" s="63"/>
      <c r="W913" s="63"/>
      <c r="X913" s="63"/>
    </row>
    <row r="914" spans="1:24" ht="12.75">
      <c r="A914" s="69"/>
      <c r="B914" s="63"/>
      <c r="C914" s="63"/>
      <c r="D914" s="63"/>
      <c r="E914" s="63"/>
      <c r="F914" s="63"/>
      <c r="G914" s="63"/>
      <c r="H914" s="63"/>
      <c r="I914" s="63"/>
      <c r="J914" s="63"/>
      <c r="K914" s="63"/>
      <c r="L914" s="63"/>
      <c r="M914" s="63"/>
      <c r="N914" s="63"/>
      <c r="O914" s="63"/>
      <c r="P914" s="63"/>
      <c r="Q914" s="63"/>
      <c r="R914" s="63"/>
      <c r="S914" s="63"/>
      <c r="T914" s="63"/>
      <c r="U914" s="63"/>
      <c r="V914" s="63"/>
      <c r="W914" s="63"/>
      <c r="X914" s="63"/>
    </row>
    <row r="915" spans="1:24" ht="12.75">
      <c r="A915" s="69"/>
      <c r="B915" s="63"/>
      <c r="C915" s="63"/>
      <c r="D915" s="63"/>
      <c r="E915" s="63"/>
      <c r="F915" s="63"/>
      <c r="G915" s="63"/>
      <c r="H915" s="63"/>
      <c r="I915" s="63"/>
      <c r="J915" s="63"/>
      <c r="K915" s="63"/>
      <c r="L915" s="63"/>
      <c r="M915" s="63"/>
      <c r="N915" s="63"/>
      <c r="O915" s="63"/>
      <c r="P915" s="63"/>
      <c r="Q915" s="63"/>
      <c r="R915" s="63"/>
      <c r="S915" s="63"/>
      <c r="T915" s="63"/>
      <c r="U915" s="63"/>
      <c r="V915" s="63"/>
      <c r="W915" s="63"/>
      <c r="X915" s="63"/>
    </row>
    <row r="916" spans="1:24" ht="12.75">
      <c r="A916" s="69"/>
      <c r="B916" s="63"/>
      <c r="C916" s="63"/>
      <c r="D916" s="63"/>
      <c r="E916" s="63"/>
      <c r="F916" s="63"/>
      <c r="G916" s="63"/>
      <c r="H916" s="63"/>
      <c r="I916" s="63"/>
      <c r="J916" s="63"/>
      <c r="K916" s="63"/>
      <c r="L916" s="63"/>
      <c r="M916" s="63"/>
      <c r="N916" s="63"/>
      <c r="O916" s="63"/>
      <c r="P916" s="63"/>
      <c r="Q916" s="63"/>
      <c r="R916" s="63"/>
      <c r="S916" s="63"/>
      <c r="T916" s="63"/>
      <c r="U916" s="63"/>
      <c r="V916" s="63"/>
      <c r="W916" s="63"/>
      <c r="X916" s="63"/>
    </row>
    <row r="917" spans="1:24" ht="12.75">
      <c r="A917" s="69"/>
      <c r="B917" s="63"/>
      <c r="C917" s="63"/>
      <c r="D917" s="63"/>
      <c r="E917" s="63"/>
      <c r="F917" s="63"/>
      <c r="G917" s="63"/>
      <c r="H917" s="63"/>
      <c r="I917" s="63"/>
      <c r="J917" s="63"/>
      <c r="K917" s="63"/>
      <c r="L917" s="63"/>
      <c r="M917" s="63"/>
      <c r="N917" s="63"/>
      <c r="O917" s="63"/>
      <c r="P917" s="63"/>
      <c r="Q917" s="63"/>
      <c r="R917" s="63"/>
      <c r="S917" s="63"/>
      <c r="T917" s="63"/>
      <c r="U917" s="63"/>
      <c r="V917" s="63"/>
      <c r="W917" s="63"/>
      <c r="X917" s="63"/>
    </row>
    <row r="918" spans="1:24" ht="12.75">
      <c r="A918" s="69"/>
      <c r="B918" s="63"/>
      <c r="C918" s="63"/>
      <c r="D918" s="63"/>
      <c r="E918" s="63"/>
      <c r="F918" s="63"/>
      <c r="G918" s="63"/>
      <c r="H918" s="63"/>
      <c r="I918" s="63"/>
      <c r="J918" s="63"/>
      <c r="K918" s="63"/>
      <c r="L918" s="63"/>
      <c r="M918" s="63"/>
      <c r="N918" s="63"/>
      <c r="O918" s="63"/>
      <c r="P918" s="63"/>
      <c r="Q918" s="63"/>
      <c r="R918" s="63"/>
      <c r="S918" s="63"/>
      <c r="T918" s="63"/>
      <c r="U918" s="63"/>
      <c r="V918" s="63"/>
      <c r="W918" s="63"/>
      <c r="X918" s="63"/>
    </row>
    <row r="919" spans="1:24" ht="12.75">
      <c r="A919" s="69"/>
      <c r="B919" s="63"/>
      <c r="C919" s="63"/>
      <c r="D919" s="63"/>
      <c r="E919" s="63"/>
      <c r="F919" s="63"/>
      <c r="G919" s="63"/>
      <c r="H919" s="63"/>
      <c r="I919" s="63"/>
      <c r="J919" s="63"/>
      <c r="K919" s="63"/>
      <c r="L919" s="63"/>
      <c r="M919" s="63"/>
      <c r="N919" s="63"/>
      <c r="O919" s="63"/>
      <c r="P919" s="63"/>
      <c r="Q919" s="63"/>
      <c r="R919" s="63"/>
      <c r="S919" s="63"/>
      <c r="T919" s="63"/>
      <c r="U919" s="63"/>
      <c r="V919" s="63"/>
      <c r="W919" s="63"/>
      <c r="X919" s="63"/>
    </row>
    <row r="920" spans="1:24" ht="12.75">
      <c r="A920" s="69"/>
      <c r="B920" s="63"/>
      <c r="C920" s="63"/>
      <c r="D920" s="63"/>
      <c r="E920" s="63"/>
      <c r="F920" s="63"/>
      <c r="G920" s="63"/>
      <c r="H920" s="63"/>
      <c r="I920" s="63"/>
      <c r="J920" s="63"/>
      <c r="K920" s="63"/>
      <c r="L920" s="63"/>
      <c r="M920" s="63"/>
      <c r="N920" s="63"/>
      <c r="O920" s="63"/>
      <c r="P920" s="63"/>
      <c r="Q920" s="63"/>
      <c r="R920" s="63"/>
      <c r="S920" s="63"/>
      <c r="T920" s="63"/>
      <c r="U920" s="63"/>
      <c r="V920" s="63"/>
      <c r="W920" s="63"/>
      <c r="X920" s="63"/>
    </row>
    <row r="921" spans="1:24" ht="12.75">
      <c r="A921" s="69"/>
      <c r="B921" s="63"/>
      <c r="C921" s="63"/>
      <c r="D921" s="63"/>
      <c r="E921" s="63"/>
      <c r="F921" s="63"/>
      <c r="G921" s="63"/>
      <c r="H921" s="63"/>
      <c r="I921" s="63"/>
      <c r="J921" s="63"/>
      <c r="K921" s="63"/>
      <c r="L921" s="63"/>
      <c r="M921" s="63"/>
      <c r="N921" s="63"/>
      <c r="O921" s="63"/>
      <c r="P921" s="63"/>
      <c r="Q921" s="63"/>
      <c r="R921" s="63"/>
      <c r="S921" s="63"/>
      <c r="T921" s="63"/>
      <c r="U921" s="63"/>
      <c r="V921" s="63"/>
      <c r="W921" s="63"/>
      <c r="X921" s="63"/>
    </row>
    <row r="922" spans="1:24" ht="12.75">
      <c r="A922" s="69"/>
      <c r="B922" s="63"/>
      <c r="C922" s="63"/>
      <c r="D922" s="63"/>
      <c r="E922" s="63"/>
      <c r="F922" s="63"/>
      <c r="G922" s="63"/>
      <c r="H922" s="63"/>
      <c r="I922" s="63"/>
      <c r="J922" s="63"/>
      <c r="K922" s="63"/>
      <c r="L922" s="63"/>
      <c r="M922" s="63"/>
      <c r="N922" s="63"/>
      <c r="O922" s="63"/>
      <c r="P922" s="63"/>
      <c r="Q922" s="63"/>
      <c r="R922" s="63"/>
      <c r="S922" s="63"/>
      <c r="T922" s="63"/>
      <c r="U922" s="63"/>
      <c r="V922" s="63"/>
      <c r="W922" s="63"/>
      <c r="X922" s="63"/>
    </row>
    <row r="923" spans="1:24" ht="12.75">
      <c r="A923" s="69"/>
      <c r="B923" s="63"/>
      <c r="C923" s="63"/>
      <c r="D923" s="63"/>
      <c r="E923" s="63"/>
      <c r="F923" s="63"/>
      <c r="G923" s="63"/>
      <c r="H923" s="63"/>
      <c r="I923" s="63"/>
      <c r="J923" s="63"/>
      <c r="K923" s="63"/>
      <c r="L923" s="63"/>
      <c r="M923" s="63"/>
      <c r="N923" s="63"/>
      <c r="O923" s="63"/>
      <c r="P923" s="63"/>
      <c r="Q923" s="63"/>
      <c r="R923" s="63"/>
      <c r="S923" s="63"/>
      <c r="T923" s="63"/>
      <c r="U923" s="63"/>
      <c r="V923" s="63"/>
      <c r="W923" s="63"/>
      <c r="X923" s="63"/>
    </row>
    <row r="924" spans="1:24" ht="12.75">
      <c r="A924" s="69"/>
      <c r="B924" s="63"/>
      <c r="C924" s="63"/>
      <c r="D924" s="63"/>
      <c r="E924" s="63"/>
      <c r="F924" s="63"/>
      <c r="G924" s="63"/>
      <c r="H924" s="63"/>
      <c r="I924" s="63"/>
      <c r="J924" s="63"/>
      <c r="K924" s="63"/>
      <c r="L924" s="63"/>
      <c r="M924" s="63"/>
      <c r="N924" s="63"/>
      <c r="O924" s="63"/>
      <c r="P924" s="63"/>
      <c r="Q924" s="63"/>
      <c r="R924" s="63"/>
      <c r="S924" s="63"/>
      <c r="T924" s="63"/>
      <c r="U924" s="63"/>
      <c r="V924" s="63"/>
      <c r="W924" s="63"/>
      <c r="X924" s="63"/>
    </row>
    <row r="925" spans="1:24" ht="12.75">
      <c r="A925" s="69"/>
      <c r="B925" s="63"/>
      <c r="C925" s="63"/>
      <c r="D925" s="63"/>
      <c r="E925" s="63"/>
      <c r="F925" s="63"/>
      <c r="G925" s="63"/>
      <c r="H925" s="63"/>
      <c r="I925" s="63"/>
      <c r="J925" s="63"/>
      <c r="K925" s="63"/>
      <c r="L925" s="63"/>
      <c r="M925" s="63"/>
      <c r="N925" s="63"/>
      <c r="O925" s="63"/>
      <c r="P925" s="63"/>
      <c r="Q925" s="63"/>
      <c r="R925" s="63"/>
      <c r="S925" s="63"/>
      <c r="T925" s="63"/>
      <c r="U925" s="63"/>
      <c r="V925" s="63"/>
      <c r="W925" s="63"/>
      <c r="X925" s="63"/>
    </row>
    <row r="926" spans="1:24" ht="12.75">
      <c r="A926" s="69"/>
      <c r="B926" s="63"/>
      <c r="C926" s="63"/>
      <c r="D926" s="63"/>
      <c r="E926" s="63"/>
      <c r="F926" s="63"/>
      <c r="G926" s="63"/>
      <c r="H926" s="63"/>
      <c r="I926" s="63"/>
      <c r="J926" s="63"/>
      <c r="K926" s="63"/>
      <c r="L926" s="63"/>
      <c r="M926" s="63"/>
      <c r="N926" s="63"/>
      <c r="O926" s="63"/>
      <c r="P926" s="63"/>
      <c r="Q926" s="63"/>
      <c r="R926" s="63"/>
      <c r="S926" s="63"/>
      <c r="T926" s="63"/>
      <c r="U926" s="63"/>
      <c r="V926" s="63"/>
      <c r="W926" s="63"/>
      <c r="X926" s="63"/>
    </row>
    <row r="927" spans="1:24" ht="12.75">
      <c r="A927" s="69"/>
      <c r="B927" s="63"/>
      <c r="C927" s="63"/>
      <c r="D927" s="63"/>
      <c r="E927" s="63"/>
      <c r="F927" s="63"/>
      <c r="G927" s="63"/>
      <c r="H927" s="63"/>
      <c r="I927" s="63"/>
      <c r="J927" s="63"/>
      <c r="K927" s="63"/>
      <c r="L927" s="63"/>
      <c r="M927" s="63"/>
      <c r="N927" s="63"/>
      <c r="O927" s="63"/>
      <c r="P927" s="63"/>
      <c r="Q927" s="63"/>
      <c r="R927" s="63"/>
      <c r="S927" s="63"/>
      <c r="T927" s="63"/>
      <c r="U927" s="63"/>
      <c r="V927" s="63"/>
      <c r="W927" s="63"/>
      <c r="X927" s="63"/>
    </row>
    <row r="928" spans="1:24" ht="12.75">
      <c r="A928" s="69"/>
      <c r="B928" s="63"/>
      <c r="C928" s="63"/>
      <c r="D928" s="63"/>
      <c r="E928" s="63"/>
      <c r="F928" s="63"/>
      <c r="G928" s="63"/>
      <c r="H928" s="63"/>
      <c r="I928" s="63"/>
      <c r="J928" s="63"/>
      <c r="K928" s="63"/>
      <c r="L928" s="63"/>
      <c r="M928" s="63"/>
      <c r="N928" s="63"/>
      <c r="O928" s="63"/>
      <c r="P928" s="63"/>
      <c r="Q928" s="63"/>
      <c r="R928" s="63"/>
      <c r="S928" s="63"/>
      <c r="T928" s="63"/>
      <c r="U928" s="63"/>
      <c r="V928" s="63"/>
      <c r="W928" s="63"/>
      <c r="X928" s="63"/>
    </row>
    <row r="929" spans="1:24" ht="12.75">
      <c r="A929" s="69"/>
      <c r="B929" s="63"/>
      <c r="C929" s="63"/>
      <c r="D929" s="63"/>
      <c r="E929" s="63"/>
      <c r="F929" s="63"/>
      <c r="G929" s="63"/>
      <c r="H929" s="63"/>
      <c r="I929" s="63"/>
      <c r="J929" s="63"/>
      <c r="K929" s="63"/>
      <c r="L929" s="63"/>
      <c r="M929" s="63"/>
      <c r="N929" s="63"/>
      <c r="O929" s="63"/>
      <c r="P929" s="63"/>
      <c r="Q929" s="63"/>
      <c r="R929" s="63"/>
      <c r="S929" s="63"/>
      <c r="T929" s="63"/>
      <c r="U929" s="63"/>
      <c r="V929" s="63"/>
      <c r="W929" s="63"/>
      <c r="X929" s="63"/>
    </row>
    <row r="930" spans="1:24" ht="12.75">
      <c r="A930" s="69"/>
      <c r="B930" s="63"/>
      <c r="C930" s="63"/>
      <c r="D930" s="63"/>
      <c r="E930" s="63"/>
      <c r="F930" s="63"/>
      <c r="G930" s="63"/>
      <c r="H930" s="63"/>
      <c r="I930" s="63"/>
      <c r="J930" s="63"/>
      <c r="K930" s="63"/>
      <c r="L930" s="63"/>
      <c r="M930" s="63"/>
      <c r="N930" s="63"/>
      <c r="O930" s="63"/>
      <c r="P930" s="63"/>
      <c r="Q930" s="63"/>
      <c r="R930" s="63"/>
      <c r="S930" s="63"/>
      <c r="T930" s="63"/>
      <c r="U930" s="63"/>
      <c r="V930" s="63"/>
      <c r="W930" s="63"/>
      <c r="X930" s="63"/>
    </row>
    <row r="931" spans="1:24" ht="12.75">
      <c r="A931" s="69"/>
      <c r="B931" s="63"/>
      <c r="C931" s="63"/>
      <c r="D931" s="63"/>
      <c r="E931" s="63"/>
      <c r="F931" s="63"/>
      <c r="G931" s="63"/>
      <c r="H931" s="63"/>
      <c r="I931" s="63"/>
      <c r="J931" s="63"/>
      <c r="K931" s="63"/>
      <c r="L931" s="63"/>
      <c r="M931" s="63"/>
      <c r="N931" s="63"/>
      <c r="O931" s="63"/>
      <c r="P931" s="63"/>
      <c r="Q931" s="63"/>
      <c r="R931" s="63"/>
      <c r="S931" s="63"/>
      <c r="T931" s="63"/>
      <c r="U931" s="63"/>
      <c r="V931" s="63"/>
      <c r="W931" s="63"/>
      <c r="X931" s="63"/>
    </row>
    <row r="932" spans="1:24" ht="12.75">
      <c r="A932" s="69"/>
      <c r="B932" s="63"/>
      <c r="C932" s="63"/>
      <c r="D932" s="63"/>
      <c r="E932" s="63"/>
      <c r="F932" s="63"/>
      <c r="G932" s="63"/>
      <c r="H932" s="63"/>
      <c r="I932" s="63"/>
      <c r="J932" s="63"/>
      <c r="K932" s="63"/>
      <c r="L932" s="63"/>
      <c r="M932" s="63"/>
      <c r="N932" s="63"/>
      <c r="O932" s="63"/>
      <c r="P932" s="63"/>
      <c r="Q932" s="63"/>
      <c r="R932" s="63"/>
      <c r="S932" s="63"/>
      <c r="T932" s="63"/>
      <c r="U932" s="63"/>
      <c r="V932" s="63"/>
      <c r="W932" s="63"/>
      <c r="X932" s="63"/>
    </row>
    <row r="933" spans="1:24" ht="12.75">
      <c r="A933" s="69"/>
      <c r="B933" s="63"/>
      <c r="C933" s="63"/>
      <c r="D933" s="63"/>
      <c r="E933" s="63"/>
      <c r="F933" s="63"/>
      <c r="G933" s="63"/>
      <c r="H933" s="63"/>
      <c r="I933" s="63"/>
      <c r="J933" s="63"/>
      <c r="K933" s="63"/>
      <c r="L933" s="63"/>
      <c r="M933" s="63"/>
      <c r="N933" s="63"/>
      <c r="O933" s="63"/>
      <c r="P933" s="63"/>
      <c r="Q933" s="63"/>
      <c r="R933" s="63"/>
      <c r="S933" s="63"/>
      <c r="T933" s="63"/>
      <c r="U933" s="63"/>
      <c r="V933" s="63"/>
      <c r="W933" s="63"/>
      <c r="X933" s="63"/>
    </row>
    <row r="934" spans="1:24" ht="12.75">
      <c r="A934" s="69"/>
      <c r="B934" s="63"/>
      <c r="C934" s="63"/>
      <c r="D934" s="63"/>
      <c r="E934" s="63"/>
      <c r="F934" s="63"/>
      <c r="G934" s="63"/>
      <c r="H934" s="63"/>
      <c r="I934" s="63"/>
      <c r="J934" s="63"/>
      <c r="K934" s="63"/>
      <c r="L934" s="63"/>
      <c r="M934" s="63"/>
      <c r="N934" s="63"/>
      <c r="O934" s="63"/>
      <c r="P934" s="63"/>
      <c r="Q934" s="63"/>
      <c r="R934" s="63"/>
      <c r="S934" s="63"/>
      <c r="T934" s="63"/>
      <c r="U934" s="63"/>
      <c r="V934" s="63"/>
      <c r="W934" s="63"/>
      <c r="X934" s="63"/>
    </row>
    <row r="935" spans="1:24" ht="12.75">
      <c r="A935" s="69"/>
      <c r="B935" s="63"/>
      <c r="C935" s="63"/>
      <c r="D935" s="63"/>
      <c r="E935" s="63"/>
      <c r="F935" s="63"/>
      <c r="G935" s="63"/>
      <c r="H935" s="63"/>
      <c r="I935" s="63"/>
      <c r="J935" s="63"/>
      <c r="K935" s="63"/>
      <c r="L935" s="63"/>
      <c r="M935" s="63"/>
      <c r="N935" s="63"/>
      <c r="O935" s="63"/>
      <c r="P935" s="63"/>
      <c r="Q935" s="63"/>
      <c r="R935" s="63"/>
      <c r="S935" s="63"/>
      <c r="T935" s="63"/>
      <c r="U935" s="63"/>
      <c r="V935" s="63"/>
      <c r="W935" s="63"/>
      <c r="X935" s="63"/>
    </row>
    <row r="936" spans="1:24" ht="12.75">
      <c r="A936" s="69"/>
      <c r="B936" s="63"/>
      <c r="C936" s="63"/>
      <c r="D936" s="63"/>
      <c r="E936" s="63"/>
      <c r="F936" s="63"/>
      <c r="G936" s="63"/>
      <c r="H936" s="63"/>
      <c r="I936" s="63"/>
      <c r="J936" s="63"/>
      <c r="K936" s="63"/>
      <c r="L936" s="63"/>
      <c r="M936" s="63"/>
      <c r="N936" s="63"/>
      <c r="O936" s="63"/>
      <c r="P936" s="63"/>
      <c r="Q936" s="63"/>
      <c r="R936" s="63"/>
      <c r="S936" s="63"/>
      <c r="T936" s="63"/>
      <c r="U936" s="63"/>
      <c r="V936" s="63"/>
      <c r="W936" s="63"/>
      <c r="X936" s="63"/>
    </row>
    <row r="937" spans="1:24" ht="12.75">
      <c r="A937" s="69"/>
      <c r="B937" s="63"/>
      <c r="C937" s="63"/>
      <c r="D937" s="63"/>
      <c r="E937" s="63"/>
      <c r="F937" s="63"/>
      <c r="G937" s="63"/>
      <c r="H937" s="63"/>
      <c r="I937" s="63"/>
      <c r="J937" s="63"/>
      <c r="K937" s="63"/>
      <c r="L937" s="63"/>
      <c r="M937" s="63"/>
      <c r="N937" s="63"/>
      <c r="O937" s="63"/>
      <c r="P937" s="63"/>
      <c r="Q937" s="63"/>
      <c r="R937" s="63"/>
      <c r="S937" s="63"/>
      <c r="T937" s="63"/>
      <c r="U937" s="63"/>
      <c r="V937" s="63"/>
      <c r="W937" s="63"/>
      <c r="X937" s="63"/>
    </row>
    <row r="938" spans="1:24" ht="12.75">
      <c r="A938" s="69"/>
      <c r="B938" s="63"/>
      <c r="C938" s="63"/>
      <c r="D938" s="63"/>
      <c r="E938" s="63"/>
      <c r="F938" s="63"/>
      <c r="G938" s="63"/>
      <c r="H938" s="63"/>
      <c r="I938" s="63"/>
      <c r="J938" s="63"/>
      <c r="K938" s="63"/>
      <c r="L938" s="63"/>
      <c r="M938" s="63"/>
      <c r="N938" s="63"/>
      <c r="O938" s="63"/>
      <c r="P938" s="63"/>
      <c r="Q938" s="63"/>
      <c r="R938" s="63"/>
      <c r="S938" s="63"/>
      <c r="T938" s="63"/>
      <c r="U938" s="63"/>
      <c r="V938" s="63"/>
      <c r="W938" s="63"/>
      <c r="X938" s="63"/>
    </row>
    <row r="939" spans="1:24" ht="12.75">
      <c r="A939" s="69"/>
      <c r="B939" s="63"/>
      <c r="C939" s="63"/>
      <c r="D939" s="63"/>
      <c r="E939" s="63"/>
      <c r="F939" s="63"/>
      <c r="G939" s="63"/>
      <c r="H939" s="63"/>
      <c r="I939" s="63"/>
      <c r="J939" s="63"/>
      <c r="K939" s="63"/>
      <c r="L939" s="63"/>
      <c r="M939" s="63"/>
      <c r="N939" s="63"/>
      <c r="O939" s="63"/>
      <c r="P939" s="63"/>
      <c r="Q939" s="63"/>
      <c r="R939" s="63"/>
      <c r="S939" s="63"/>
      <c r="T939" s="63"/>
      <c r="U939" s="63"/>
      <c r="V939" s="63"/>
      <c r="W939" s="63"/>
      <c r="X939" s="63"/>
    </row>
    <row r="940" spans="1:24" ht="12.75">
      <c r="A940" s="69"/>
      <c r="B940" s="63"/>
      <c r="C940" s="63"/>
      <c r="D940" s="63"/>
      <c r="E940" s="63"/>
      <c r="F940" s="63"/>
      <c r="G940" s="63"/>
      <c r="H940" s="63"/>
      <c r="I940" s="63"/>
      <c r="J940" s="63"/>
      <c r="K940" s="63"/>
      <c r="L940" s="63"/>
      <c r="M940" s="63"/>
      <c r="N940" s="63"/>
      <c r="O940" s="63"/>
      <c r="P940" s="63"/>
      <c r="Q940" s="63"/>
      <c r="R940" s="63"/>
      <c r="S940" s="63"/>
      <c r="T940" s="63"/>
      <c r="U940" s="63"/>
      <c r="V940" s="63"/>
      <c r="W940" s="63"/>
      <c r="X940" s="63"/>
    </row>
    <row r="941" spans="1:24" ht="12.75">
      <c r="A941" s="69"/>
      <c r="B941" s="63"/>
      <c r="C941" s="63"/>
      <c r="D941" s="63"/>
      <c r="E941" s="63"/>
      <c r="F941" s="63"/>
      <c r="G941" s="63"/>
      <c r="H941" s="63"/>
      <c r="I941" s="63"/>
      <c r="J941" s="63"/>
      <c r="K941" s="63"/>
      <c r="L941" s="63"/>
      <c r="M941" s="63"/>
      <c r="N941" s="63"/>
      <c r="O941" s="63"/>
      <c r="P941" s="63"/>
      <c r="Q941" s="63"/>
      <c r="R941" s="63"/>
      <c r="S941" s="63"/>
      <c r="T941" s="63"/>
      <c r="U941" s="63"/>
      <c r="V941" s="63"/>
      <c r="W941" s="63"/>
      <c r="X941" s="63"/>
    </row>
    <row r="942" spans="1:24" ht="12.75">
      <c r="A942" s="69"/>
      <c r="B942" s="63"/>
      <c r="C942" s="63"/>
      <c r="D942" s="63"/>
      <c r="E942" s="63"/>
      <c r="F942" s="63"/>
      <c r="G942" s="63"/>
      <c r="H942" s="63"/>
      <c r="I942" s="63"/>
      <c r="J942" s="63"/>
      <c r="K942" s="63"/>
      <c r="L942" s="63"/>
      <c r="M942" s="63"/>
      <c r="N942" s="63"/>
      <c r="O942" s="63"/>
      <c r="P942" s="63"/>
      <c r="Q942" s="63"/>
      <c r="R942" s="63"/>
      <c r="S942" s="63"/>
      <c r="T942" s="63"/>
      <c r="U942" s="63"/>
      <c r="V942" s="63"/>
      <c r="W942" s="63"/>
      <c r="X942" s="63"/>
    </row>
    <row r="943" spans="1:24" ht="12.75">
      <c r="A943" s="69"/>
      <c r="B943" s="63"/>
      <c r="C943" s="63"/>
      <c r="D943" s="63"/>
      <c r="E943" s="63"/>
      <c r="F943" s="63"/>
      <c r="G943" s="63"/>
      <c r="H943" s="63"/>
      <c r="I943" s="63"/>
      <c r="J943" s="63"/>
      <c r="K943" s="63"/>
      <c r="L943" s="63"/>
      <c r="M943" s="63"/>
      <c r="N943" s="63"/>
      <c r="O943" s="63"/>
      <c r="P943" s="63"/>
      <c r="Q943" s="63"/>
      <c r="R943" s="63"/>
      <c r="S943" s="63"/>
      <c r="T943" s="63"/>
      <c r="U943" s="63"/>
      <c r="V943" s="63"/>
      <c r="W943" s="63"/>
      <c r="X943" s="63"/>
    </row>
    <row r="944" spans="1:24" ht="12.75">
      <c r="A944" s="69"/>
      <c r="B944" s="63"/>
      <c r="C944" s="63"/>
      <c r="D944" s="63"/>
      <c r="E944" s="63"/>
      <c r="F944" s="63"/>
      <c r="G944" s="63"/>
      <c r="H944" s="63"/>
      <c r="I944" s="63"/>
      <c r="J944" s="63"/>
      <c r="K944" s="63"/>
      <c r="L944" s="63"/>
      <c r="M944" s="63"/>
      <c r="N944" s="63"/>
      <c r="O944" s="63"/>
      <c r="P944" s="63"/>
      <c r="Q944" s="63"/>
      <c r="R944" s="63"/>
      <c r="S944" s="63"/>
      <c r="T944" s="63"/>
      <c r="U944" s="63"/>
      <c r="V944" s="63"/>
      <c r="W944" s="63"/>
      <c r="X944" s="63"/>
    </row>
    <row r="945" spans="1:24" ht="12.75">
      <c r="A945" s="69"/>
      <c r="B945" s="63"/>
      <c r="C945" s="63"/>
      <c r="D945" s="63"/>
      <c r="E945" s="63"/>
      <c r="F945" s="63"/>
      <c r="G945" s="63"/>
      <c r="H945" s="63"/>
      <c r="I945" s="63"/>
      <c r="J945" s="63"/>
      <c r="K945" s="63"/>
      <c r="L945" s="63"/>
      <c r="M945" s="63"/>
      <c r="N945" s="63"/>
      <c r="O945" s="63"/>
      <c r="P945" s="63"/>
      <c r="Q945" s="63"/>
      <c r="R945" s="63"/>
      <c r="S945" s="63"/>
      <c r="T945" s="63"/>
      <c r="U945" s="63"/>
      <c r="V945" s="63"/>
      <c r="W945" s="63"/>
      <c r="X945" s="63"/>
    </row>
    <row r="946" spans="1:24" ht="12.75">
      <c r="A946" s="69"/>
      <c r="B946" s="63"/>
      <c r="C946" s="63"/>
      <c r="D946" s="63"/>
      <c r="E946" s="63"/>
      <c r="F946" s="63"/>
      <c r="G946" s="63"/>
      <c r="H946" s="63"/>
      <c r="I946" s="63"/>
      <c r="J946" s="63"/>
      <c r="K946" s="63"/>
      <c r="L946" s="63"/>
      <c r="M946" s="63"/>
      <c r="N946" s="63"/>
      <c r="O946" s="63"/>
      <c r="P946" s="63"/>
      <c r="Q946" s="63"/>
      <c r="R946" s="63"/>
      <c r="S946" s="63"/>
      <c r="T946" s="63"/>
      <c r="U946" s="63"/>
      <c r="V946" s="63"/>
      <c r="W946" s="63"/>
      <c r="X946" s="63"/>
    </row>
    <row r="947" spans="1:24" ht="12.75">
      <c r="A947" s="69"/>
      <c r="B947" s="63"/>
      <c r="C947" s="63"/>
      <c r="D947" s="63"/>
      <c r="E947" s="63"/>
      <c r="F947" s="63"/>
      <c r="G947" s="63"/>
      <c r="H947" s="63"/>
      <c r="I947" s="63"/>
      <c r="J947" s="63"/>
      <c r="K947" s="63"/>
      <c r="L947" s="63"/>
      <c r="M947" s="63"/>
      <c r="N947" s="63"/>
      <c r="O947" s="63"/>
      <c r="P947" s="63"/>
      <c r="Q947" s="63"/>
      <c r="R947" s="63"/>
      <c r="S947" s="63"/>
      <c r="T947" s="63"/>
      <c r="U947" s="63"/>
      <c r="V947" s="63"/>
      <c r="W947" s="63"/>
      <c r="X947" s="63"/>
    </row>
    <row r="948" spans="1:24" ht="12.75">
      <c r="A948" s="69"/>
      <c r="B948" s="63"/>
      <c r="C948" s="63"/>
      <c r="D948" s="63"/>
      <c r="E948" s="63"/>
      <c r="F948" s="63"/>
      <c r="G948" s="63"/>
      <c r="H948" s="63"/>
      <c r="I948" s="63"/>
      <c r="J948" s="63"/>
      <c r="K948" s="63"/>
      <c r="L948" s="63"/>
      <c r="M948" s="63"/>
      <c r="N948" s="63"/>
      <c r="O948" s="63"/>
      <c r="P948" s="63"/>
      <c r="Q948" s="63"/>
      <c r="R948" s="63"/>
      <c r="S948" s="63"/>
      <c r="T948" s="63"/>
      <c r="U948" s="63"/>
      <c r="V948" s="63"/>
      <c r="W948" s="63"/>
      <c r="X948" s="63"/>
    </row>
    <row r="949" spans="1:24" ht="12.75">
      <c r="A949" s="69"/>
      <c r="B949" s="63"/>
      <c r="C949" s="63"/>
      <c r="D949" s="63"/>
      <c r="E949" s="63"/>
      <c r="F949" s="63"/>
      <c r="G949" s="63"/>
      <c r="H949" s="63"/>
      <c r="I949" s="63"/>
      <c r="J949" s="63"/>
      <c r="K949" s="63"/>
      <c r="L949" s="63"/>
      <c r="M949" s="63"/>
      <c r="N949" s="63"/>
      <c r="O949" s="63"/>
      <c r="P949" s="63"/>
      <c r="Q949" s="63"/>
      <c r="R949" s="63"/>
      <c r="S949" s="63"/>
      <c r="T949" s="63"/>
      <c r="U949" s="63"/>
      <c r="V949" s="63"/>
      <c r="W949" s="63"/>
      <c r="X949" s="63"/>
    </row>
    <row r="950" spans="1:24" ht="12.75">
      <c r="A950" s="69"/>
      <c r="B950" s="63"/>
      <c r="C950" s="63"/>
      <c r="D950" s="63"/>
      <c r="E950" s="63"/>
      <c r="F950" s="63"/>
      <c r="G950" s="63"/>
      <c r="H950" s="63"/>
      <c r="I950" s="63"/>
      <c r="J950" s="63"/>
      <c r="K950" s="63"/>
      <c r="L950" s="63"/>
      <c r="M950" s="63"/>
      <c r="N950" s="63"/>
      <c r="O950" s="63"/>
      <c r="P950" s="63"/>
      <c r="Q950" s="63"/>
      <c r="R950" s="63"/>
      <c r="S950" s="63"/>
      <c r="T950" s="63"/>
      <c r="U950" s="63"/>
      <c r="V950" s="63"/>
      <c r="W950" s="63"/>
      <c r="X950" s="63"/>
    </row>
    <row r="951" spans="1:24" ht="12.75">
      <c r="A951" s="69"/>
      <c r="B951" s="63"/>
      <c r="C951" s="63"/>
      <c r="D951" s="63"/>
      <c r="E951" s="63"/>
      <c r="F951" s="63"/>
      <c r="G951" s="63"/>
      <c r="H951" s="63"/>
      <c r="I951" s="63"/>
      <c r="J951" s="63"/>
      <c r="K951" s="63"/>
      <c r="L951" s="63"/>
      <c r="M951" s="63"/>
      <c r="N951" s="63"/>
      <c r="O951" s="63"/>
      <c r="P951" s="63"/>
      <c r="Q951" s="63"/>
      <c r="R951" s="63"/>
      <c r="S951" s="63"/>
      <c r="T951" s="63"/>
      <c r="U951" s="63"/>
      <c r="V951" s="63"/>
      <c r="W951" s="63"/>
      <c r="X951" s="63"/>
    </row>
    <row r="952" spans="1:24" ht="12.75">
      <c r="A952" s="69"/>
      <c r="B952" s="63"/>
      <c r="C952" s="63"/>
      <c r="D952" s="63"/>
      <c r="E952" s="63"/>
      <c r="F952" s="63"/>
      <c r="G952" s="63"/>
      <c r="H952" s="63"/>
      <c r="I952" s="63"/>
      <c r="J952" s="63"/>
      <c r="K952" s="63"/>
      <c r="L952" s="63"/>
      <c r="M952" s="63"/>
      <c r="N952" s="63"/>
      <c r="O952" s="63"/>
      <c r="P952" s="63"/>
      <c r="Q952" s="63"/>
      <c r="R952" s="63"/>
      <c r="S952" s="63"/>
      <c r="T952" s="63"/>
      <c r="U952" s="63"/>
      <c r="V952" s="63"/>
      <c r="W952" s="63"/>
      <c r="X952" s="63"/>
    </row>
    <row r="953" spans="1:24" ht="12.75">
      <c r="A953" s="69"/>
      <c r="B953" s="63"/>
      <c r="C953" s="63"/>
      <c r="D953" s="63"/>
      <c r="E953" s="63"/>
      <c r="F953" s="63"/>
      <c r="G953" s="63"/>
      <c r="H953" s="63"/>
      <c r="I953" s="63"/>
      <c r="J953" s="63"/>
      <c r="K953" s="63"/>
      <c r="L953" s="63"/>
      <c r="M953" s="63"/>
      <c r="N953" s="63"/>
      <c r="O953" s="63"/>
      <c r="P953" s="63"/>
      <c r="Q953" s="63"/>
      <c r="R953" s="63"/>
      <c r="S953" s="63"/>
      <c r="T953" s="63"/>
      <c r="U953" s="63"/>
      <c r="V953" s="63"/>
      <c r="W953" s="63"/>
      <c r="X953" s="63"/>
    </row>
    <row r="954" spans="1:24" ht="12.75">
      <c r="A954" s="69"/>
      <c r="B954" s="63"/>
      <c r="C954" s="63"/>
      <c r="D954" s="63"/>
      <c r="E954" s="63"/>
      <c r="F954" s="63"/>
      <c r="G954" s="63"/>
      <c r="H954" s="63"/>
      <c r="I954" s="63"/>
      <c r="J954" s="63"/>
      <c r="K954" s="63"/>
      <c r="L954" s="63"/>
      <c r="M954" s="63"/>
      <c r="N954" s="63"/>
      <c r="O954" s="63"/>
      <c r="P954" s="63"/>
      <c r="Q954" s="63"/>
      <c r="R954" s="63"/>
      <c r="S954" s="63"/>
      <c r="T954" s="63"/>
      <c r="U954" s="63"/>
      <c r="V954" s="63"/>
      <c r="W954" s="63"/>
      <c r="X954" s="63"/>
    </row>
    <row r="955" spans="1:24" ht="12.75">
      <c r="A955" s="69"/>
      <c r="B955" s="63"/>
      <c r="C955" s="63"/>
      <c r="D955" s="63"/>
      <c r="E955" s="63"/>
      <c r="F955" s="63"/>
      <c r="G955" s="63"/>
      <c r="H955" s="63"/>
      <c r="I955" s="63"/>
      <c r="J955" s="63"/>
      <c r="K955" s="63"/>
      <c r="L955" s="63"/>
      <c r="M955" s="63"/>
      <c r="N955" s="63"/>
      <c r="O955" s="63"/>
      <c r="P955" s="63"/>
      <c r="Q955" s="63"/>
      <c r="R955" s="63"/>
      <c r="S955" s="63"/>
      <c r="T955" s="63"/>
      <c r="U955" s="63"/>
      <c r="V955" s="63"/>
      <c r="W955" s="63"/>
      <c r="X955" s="63"/>
    </row>
    <row r="956" spans="1:24" ht="12.75">
      <c r="A956" s="69"/>
      <c r="B956" s="63"/>
      <c r="C956" s="63"/>
      <c r="D956" s="63"/>
      <c r="E956" s="63"/>
      <c r="F956" s="63"/>
      <c r="G956" s="63"/>
      <c r="H956" s="63"/>
      <c r="I956" s="63"/>
      <c r="J956" s="63"/>
      <c r="K956" s="63"/>
      <c r="L956" s="63"/>
      <c r="M956" s="63"/>
      <c r="N956" s="63"/>
      <c r="O956" s="63"/>
      <c r="P956" s="63"/>
      <c r="Q956" s="63"/>
      <c r="R956" s="63"/>
      <c r="S956" s="63"/>
      <c r="T956" s="63"/>
      <c r="U956" s="63"/>
      <c r="V956" s="63"/>
      <c r="W956" s="63"/>
      <c r="X956" s="63"/>
    </row>
    <row r="957" spans="1:24" ht="12.75">
      <c r="A957" s="69"/>
      <c r="B957" s="63"/>
      <c r="C957" s="63"/>
      <c r="D957" s="63"/>
      <c r="E957" s="63"/>
      <c r="F957" s="63"/>
      <c r="G957" s="63"/>
      <c r="H957" s="63"/>
      <c r="I957" s="63"/>
      <c r="J957" s="63"/>
      <c r="K957" s="63"/>
      <c r="L957" s="63"/>
      <c r="M957" s="63"/>
      <c r="N957" s="63"/>
      <c r="O957" s="63"/>
      <c r="P957" s="63"/>
      <c r="Q957" s="63"/>
      <c r="R957" s="63"/>
      <c r="S957" s="63"/>
      <c r="T957" s="63"/>
      <c r="U957" s="63"/>
      <c r="V957" s="63"/>
      <c r="W957" s="63"/>
      <c r="X957" s="63"/>
    </row>
    <row r="958" spans="1:24" ht="12.75">
      <c r="A958" s="69"/>
      <c r="B958" s="63"/>
      <c r="C958" s="63"/>
      <c r="D958" s="63"/>
      <c r="E958" s="63"/>
      <c r="F958" s="63"/>
      <c r="G958" s="63"/>
      <c r="H958" s="63"/>
      <c r="I958" s="63"/>
      <c r="J958" s="63"/>
      <c r="K958" s="63"/>
      <c r="L958" s="63"/>
      <c r="M958" s="63"/>
      <c r="N958" s="63"/>
      <c r="O958" s="63"/>
      <c r="P958" s="63"/>
      <c r="Q958" s="63"/>
      <c r="R958" s="63"/>
      <c r="S958" s="63"/>
      <c r="T958" s="63"/>
      <c r="U958" s="63"/>
      <c r="V958" s="63"/>
      <c r="W958" s="63"/>
      <c r="X958" s="63"/>
    </row>
    <row r="959" spans="1:24" ht="12.75">
      <c r="A959" s="69"/>
      <c r="B959" s="63"/>
      <c r="C959" s="63"/>
      <c r="D959" s="63"/>
      <c r="E959" s="63"/>
      <c r="F959" s="63"/>
      <c r="G959" s="63"/>
      <c r="H959" s="63"/>
      <c r="I959" s="63"/>
      <c r="J959" s="63"/>
      <c r="K959" s="63"/>
      <c r="L959" s="63"/>
      <c r="M959" s="63"/>
      <c r="N959" s="63"/>
      <c r="O959" s="63"/>
      <c r="P959" s="63"/>
      <c r="Q959" s="63"/>
      <c r="R959" s="63"/>
      <c r="S959" s="63"/>
      <c r="T959" s="63"/>
      <c r="U959" s="63"/>
      <c r="V959" s="63"/>
      <c r="W959" s="63"/>
      <c r="X959" s="63"/>
    </row>
    <row r="960" spans="1:24" ht="12.75">
      <c r="A960" s="69"/>
      <c r="B960" s="63"/>
      <c r="C960" s="63"/>
      <c r="D960" s="63"/>
      <c r="E960" s="63"/>
      <c r="F960" s="63"/>
      <c r="G960" s="63"/>
      <c r="H960" s="63"/>
      <c r="I960" s="63"/>
      <c r="J960" s="63"/>
      <c r="K960" s="63"/>
      <c r="L960" s="63"/>
      <c r="M960" s="63"/>
      <c r="N960" s="63"/>
      <c r="O960" s="63"/>
      <c r="P960" s="63"/>
      <c r="Q960" s="63"/>
      <c r="R960" s="63"/>
      <c r="S960" s="63"/>
      <c r="T960" s="63"/>
      <c r="U960" s="63"/>
      <c r="V960" s="63"/>
      <c r="W960" s="63"/>
      <c r="X960" s="63"/>
    </row>
    <row r="961" spans="1:24" ht="12.75">
      <c r="A961" s="69"/>
      <c r="B961" s="63"/>
      <c r="C961" s="63"/>
      <c r="D961" s="63"/>
      <c r="E961" s="63"/>
      <c r="F961" s="63"/>
      <c r="G961" s="63"/>
      <c r="H961" s="63"/>
      <c r="I961" s="63"/>
      <c r="J961" s="63"/>
      <c r="K961" s="63"/>
      <c r="L961" s="63"/>
      <c r="M961" s="63"/>
      <c r="N961" s="63"/>
      <c r="O961" s="63"/>
      <c r="P961" s="63"/>
      <c r="Q961" s="63"/>
      <c r="R961" s="63"/>
      <c r="S961" s="63"/>
      <c r="T961" s="63"/>
      <c r="U961" s="63"/>
      <c r="V961" s="63"/>
      <c r="W961" s="63"/>
      <c r="X961" s="63"/>
    </row>
    <row r="962" spans="1:24" ht="12.75">
      <c r="A962" s="69"/>
      <c r="B962" s="63"/>
      <c r="C962" s="63"/>
      <c r="D962" s="63"/>
      <c r="E962" s="63"/>
      <c r="F962" s="63"/>
      <c r="G962" s="63"/>
      <c r="H962" s="63"/>
      <c r="I962" s="63"/>
      <c r="J962" s="63"/>
      <c r="K962" s="63"/>
      <c r="L962" s="63"/>
      <c r="M962" s="63"/>
      <c r="N962" s="63"/>
      <c r="O962" s="63"/>
      <c r="P962" s="63"/>
      <c r="Q962" s="63"/>
      <c r="R962" s="63"/>
      <c r="S962" s="63"/>
      <c r="T962" s="63"/>
      <c r="U962" s="63"/>
      <c r="V962" s="63"/>
      <c r="W962" s="63"/>
      <c r="X962" s="63"/>
    </row>
    <row r="963" spans="1:24" ht="12.75">
      <c r="A963" s="69"/>
      <c r="B963" s="63"/>
      <c r="C963" s="63"/>
      <c r="D963" s="63"/>
      <c r="E963" s="63"/>
      <c r="F963" s="63"/>
      <c r="G963" s="63"/>
      <c r="H963" s="63"/>
      <c r="I963" s="63"/>
      <c r="J963" s="63"/>
      <c r="K963" s="63"/>
      <c r="L963" s="63"/>
      <c r="M963" s="63"/>
      <c r="N963" s="63"/>
      <c r="O963" s="63"/>
      <c r="P963" s="63"/>
      <c r="Q963" s="63"/>
      <c r="R963" s="63"/>
      <c r="S963" s="63"/>
      <c r="T963" s="63"/>
      <c r="U963" s="63"/>
      <c r="V963" s="63"/>
      <c r="W963" s="63"/>
      <c r="X963" s="63"/>
    </row>
    <row r="964" spans="1:24" ht="12.75">
      <c r="A964" s="69"/>
      <c r="B964" s="63"/>
      <c r="C964" s="63"/>
      <c r="D964" s="63"/>
      <c r="E964" s="63"/>
      <c r="F964" s="63"/>
      <c r="G964" s="63"/>
      <c r="H964" s="63"/>
      <c r="I964" s="63"/>
      <c r="J964" s="63"/>
      <c r="K964" s="63"/>
      <c r="L964" s="63"/>
      <c r="M964" s="63"/>
      <c r="N964" s="63"/>
      <c r="O964" s="63"/>
      <c r="P964" s="63"/>
      <c r="Q964" s="63"/>
      <c r="R964" s="63"/>
      <c r="S964" s="63"/>
      <c r="T964" s="63"/>
      <c r="U964" s="63"/>
      <c r="V964" s="63"/>
      <c r="W964" s="63"/>
      <c r="X964" s="63"/>
    </row>
    <row r="965" spans="1:24" ht="12.75">
      <c r="A965" s="69"/>
      <c r="B965" s="63"/>
      <c r="C965" s="63"/>
      <c r="D965" s="63"/>
      <c r="E965" s="63"/>
      <c r="F965" s="63"/>
      <c r="G965" s="63"/>
      <c r="H965" s="63"/>
      <c r="I965" s="63"/>
      <c r="J965" s="63"/>
      <c r="K965" s="63"/>
      <c r="L965" s="63"/>
      <c r="M965" s="63"/>
      <c r="N965" s="63"/>
      <c r="O965" s="63"/>
      <c r="P965" s="63"/>
      <c r="Q965" s="63"/>
      <c r="R965" s="63"/>
      <c r="S965" s="63"/>
      <c r="T965" s="63"/>
      <c r="U965" s="63"/>
      <c r="V965" s="63"/>
      <c r="W965" s="63"/>
      <c r="X965" s="63"/>
    </row>
    <row r="966" spans="1:24" ht="12.75">
      <c r="A966" s="69"/>
      <c r="B966" s="63"/>
      <c r="C966" s="63"/>
      <c r="D966" s="63"/>
      <c r="E966" s="63"/>
      <c r="F966" s="63"/>
      <c r="G966" s="63"/>
      <c r="H966" s="63"/>
      <c r="I966" s="63"/>
      <c r="J966" s="63"/>
      <c r="K966" s="63"/>
      <c r="L966" s="63"/>
      <c r="M966" s="63"/>
      <c r="N966" s="63"/>
      <c r="O966" s="63"/>
      <c r="P966" s="63"/>
      <c r="Q966" s="63"/>
      <c r="R966" s="63"/>
      <c r="S966" s="63"/>
      <c r="T966" s="63"/>
      <c r="U966" s="63"/>
      <c r="V966" s="63"/>
      <c r="W966" s="63"/>
      <c r="X966" s="63"/>
    </row>
    <row r="967" spans="1:24" ht="12.75">
      <c r="A967" s="69"/>
      <c r="B967" s="63"/>
      <c r="C967" s="63"/>
      <c r="D967" s="63"/>
      <c r="E967" s="63"/>
      <c r="F967" s="63"/>
      <c r="G967" s="63"/>
      <c r="H967" s="63"/>
      <c r="I967" s="63"/>
      <c r="J967" s="63"/>
      <c r="K967" s="63"/>
      <c r="L967" s="63"/>
      <c r="M967" s="63"/>
      <c r="N967" s="63"/>
      <c r="O967" s="63"/>
      <c r="P967" s="63"/>
      <c r="Q967" s="63"/>
      <c r="R967" s="63"/>
      <c r="S967" s="63"/>
      <c r="T967" s="63"/>
      <c r="U967" s="63"/>
      <c r="V967" s="63"/>
      <c r="W967" s="63"/>
      <c r="X967" s="63"/>
    </row>
    <row r="968" spans="1:24" ht="12.75">
      <c r="A968" s="69"/>
      <c r="B968" s="63"/>
      <c r="C968" s="63"/>
      <c r="D968" s="63"/>
      <c r="E968" s="63"/>
      <c r="F968" s="63"/>
      <c r="G968" s="63"/>
      <c r="H968" s="63"/>
      <c r="I968" s="63"/>
      <c r="J968" s="63"/>
      <c r="K968" s="63"/>
      <c r="L968" s="63"/>
      <c r="M968" s="63"/>
      <c r="N968" s="63"/>
      <c r="O968" s="63"/>
      <c r="P968" s="63"/>
      <c r="Q968" s="63"/>
      <c r="R968" s="63"/>
      <c r="S968" s="63"/>
      <c r="T968" s="63"/>
      <c r="U968" s="63"/>
      <c r="V968" s="63"/>
      <c r="W968" s="63"/>
      <c r="X968" s="63"/>
    </row>
    <row r="969" spans="1:24" ht="12.75">
      <c r="A969" s="69"/>
      <c r="B969" s="63"/>
      <c r="C969" s="63"/>
      <c r="D969" s="63"/>
      <c r="E969" s="63"/>
      <c r="F969" s="63"/>
      <c r="G969" s="63"/>
      <c r="H969" s="63"/>
      <c r="I969" s="63"/>
      <c r="J969" s="63"/>
      <c r="K969" s="63"/>
      <c r="L969" s="63"/>
      <c r="M969" s="63"/>
      <c r="N969" s="63"/>
      <c r="O969" s="63"/>
      <c r="P969" s="63"/>
      <c r="Q969" s="63"/>
      <c r="R969" s="63"/>
      <c r="S969" s="63"/>
      <c r="T969" s="63"/>
      <c r="U969" s="63"/>
      <c r="V969" s="63"/>
      <c r="W969" s="63"/>
      <c r="X969" s="63"/>
    </row>
    <row r="970" spans="1:24" ht="12.75">
      <c r="A970" s="69"/>
      <c r="B970" s="63"/>
      <c r="C970" s="63"/>
      <c r="D970" s="63"/>
      <c r="E970" s="63"/>
      <c r="F970" s="63"/>
      <c r="G970" s="63"/>
      <c r="H970" s="63"/>
      <c r="I970" s="63"/>
      <c r="J970" s="63"/>
      <c r="K970" s="63"/>
      <c r="L970" s="63"/>
      <c r="M970" s="63"/>
      <c r="N970" s="63"/>
      <c r="O970" s="63"/>
      <c r="P970" s="63"/>
      <c r="Q970" s="63"/>
      <c r="R970" s="63"/>
      <c r="S970" s="63"/>
      <c r="T970" s="63"/>
      <c r="U970" s="63"/>
      <c r="V970" s="63"/>
      <c r="W970" s="63"/>
      <c r="X970" s="63"/>
    </row>
    <row r="971" spans="1:24" ht="12.75">
      <c r="A971" s="69"/>
      <c r="B971" s="63"/>
      <c r="C971" s="63"/>
      <c r="D971" s="63"/>
      <c r="E971" s="63"/>
      <c r="F971" s="63"/>
      <c r="G971" s="63"/>
      <c r="H971" s="63"/>
      <c r="I971" s="63"/>
      <c r="J971" s="63"/>
      <c r="K971" s="63"/>
      <c r="L971" s="63"/>
      <c r="M971" s="63"/>
      <c r="N971" s="63"/>
      <c r="O971" s="63"/>
      <c r="P971" s="63"/>
      <c r="Q971" s="63"/>
      <c r="R971" s="63"/>
      <c r="S971" s="63"/>
      <c r="T971" s="63"/>
      <c r="U971" s="63"/>
      <c r="V971" s="63"/>
      <c r="W971" s="63"/>
      <c r="X971" s="63"/>
    </row>
    <row r="972" spans="1:24" ht="12.75">
      <c r="A972" s="69"/>
      <c r="B972" s="63"/>
      <c r="C972" s="63"/>
      <c r="D972" s="63"/>
      <c r="E972" s="63"/>
      <c r="F972" s="63"/>
      <c r="G972" s="63"/>
      <c r="H972" s="63"/>
      <c r="I972" s="63"/>
      <c r="J972" s="63"/>
      <c r="K972" s="63"/>
      <c r="L972" s="63"/>
      <c r="M972" s="63"/>
      <c r="N972" s="63"/>
      <c r="O972" s="63"/>
      <c r="P972" s="63"/>
      <c r="Q972" s="63"/>
      <c r="R972" s="63"/>
      <c r="S972" s="63"/>
      <c r="T972" s="63"/>
      <c r="U972" s="63"/>
      <c r="V972" s="63"/>
      <c r="W972" s="63"/>
      <c r="X972" s="63"/>
    </row>
    <row r="973" spans="1:24" ht="12.75">
      <c r="A973" s="69"/>
      <c r="B973" s="63"/>
      <c r="C973" s="63"/>
      <c r="D973" s="63"/>
      <c r="E973" s="63"/>
      <c r="F973" s="63"/>
      <c r="G973" s="63"/>
      <c r="H973" s="63"/>
      <c r="I973" s="63"/>
      <c r="J973" s="63"/>
      <c r="K973" s="63"/>
      <c r="L973" s="63"/>
      <c r="M973" s="63"/>
      <c r="N973" s="63"/>
      <c r="O973" s="63"/>
      <c r="P973" s="63"/>
      <c r="Q973" s="63"/>
      <c r="R973" s="63"/>
      <c r="S973" s="63"/>
      <c r="T973" s="63"/>
      <c r="U973" s="63"/>
      <c r="V973" s="63"/>
      <c r="W973" s="63"/>
      <c r="X973" s="63"/>
    </row>
    <row r="974" spans="1:24" ht="12.75">
      <c r="A974" s="69"/>
      <c r="B974" s="63"/>
      <c r="C974" s="63"/>
      <c r="D974" s="63"/>
      <c r="E974" s="63"/>
      <c r="F974" s="63"/>
      <c r="G974" s="63"/>
      <c r="H974" s="63"/>
      <c r="I974" s="63"/>
      <c r="J974" s="63"/>
      <c r="K974" s="63"/>
      <c r="L974" s="63"/>
      <c r="M974" s="63"/>
      <c r="N974" s="63"/>
      <c r="O974" s="63"/>
      <c r="P974" s="63"/>
      <c r="Q974" s="63"/>
      <c r="R974" s="63"/>
      <c r="S974" s="63"/>
      <c r="T974" s="63"/>
      <c r="U974" s="63"/>
      <c r="V974" s="63"/>
      <c r="W974" s="63"/>
      <c r="X974" s="63"/>
    </row>
    <row r="975" spans="1:24" ht="12.75">
      <c r="A975" s="69"/>
      <c r="B975" s="63"/>
      <c r="C975" s="63"/>
      <c r="D975" s="63"/>
      <c r="E975" s="63"/>
      <c r="F975" s="63"/>
      <c r="G975" s="63"/>
      <c r="H975" s="63"/>
      <c r="I975" s="63"/>
      <c r="J975" s="63"/>
      <c r="K975" s="63"/>
      <c r="L975" s="63"/>
      <c r="M975" s="63"/>
      <c r="N975" s="63"/>
      <c r="O975" s="63"/>
      <c r="P975" s="63"/>
      <c r="Q975" s="63"/>
      <c r="R975" s="63"/>
      <c r="S975" s="63"/>
      <c r="T975" s="63"/>
      <c r="U975" s="63"/>
      <c r="V975" s="63"/>
      <c r="W975" s="63"/>
      <c r="X975" s="63"/>
    </row>
    <row r="976" spans="1:24" ht="12.75">
      <c r="A976" s="69"/>
      <c r="B976" s="63"/>
      <c r="C976" s="63"/>
      <c r="D976" s="63"/>
      <c r="E976" s="63"/>
      <c r="F976" s="63"/>
      <c r="G976" s="63"/>
      <c r="H976" s="63"/>
      <c r="I976" s="63"/>
      <c r="J976" s="63"/>
      <c r="K976" s="63"/>
      <c r="L976" s="63"/>
      <c r="M976" s="63"/>
      <c r="N976" s="63"/>
      <c r="O976" s="63"/>
      <c r="P976" s="63"/>
      <c r="Q976" s="63"/>
      <c r="R976" s="63"/>
      <c r="S976" s="63"/>
      <c r="T976" s="63"/>
      <c r="U976" s="63"/>
      <c r="V976" s="63"/>
      <c r="W976" s="63"/>
      <c r="X976" s="63"/>
    </row>
    <row r="977" spans="1:24" ht="12.75">
      <c r="A977" s="69"/>
      <c r="B977" s="63"/>
      <c r="C977" s="63"/>
      <c r="D977" s="63"/>
      <c r="E977" s="63"/>
      <c r="F977" s="63"/>
      <c r="G977" s="63"/>
      <c r="H977" s="63"/>
      <c r="I977" s="63"/>
      <c r="J977" s="63"/>
      <c r="K977" s="63"/>
      <c r="L977" s="63"/>
      <c r="M977" s="63"/>
      <c r="N977" s="63"/>
      <c r="O977" s="63"/>
      <c r="P977" s="63"/>
      <c r="Q977" s="63"/>
      <c r="R977" s="63"/>
      <c r="S977" s="63"/>
      <c r="T977" s="63"/>
      <c r="U977" s="63"/>
      <c r="V977" s="63"/>
      <c r="W977" s="63"/>
      <c r="X977" s="63"/>
    </row>
    <row r="978" spans="1:24" ht="12.75">
      <c r="A978" s="69"/>
      <c r="B978" s="63"/>
      <c r="C978" s="63"/>
      <c r="D978" s="63"/>
      <c r="E978" s="63"/>
      <c r="F978" s="63"/>
      <c r="G978" s="63"/>
      <c r="H978" s="63"/>
      <c r="I978" s="63"/>
      <c r="J978" s="63"/>
      <c r="K978" s="63"/>
      <c r="L978" s="63"/>
      <c r="M978" s="63"/>
      <c r="N978" s="63"/>
      <c r="O978" s="63"/>
      <c r="P978" s="63"/>
      <c r="Q978" s="63"/>
      <c r="R978" s="63"/>
      <c r="S978" s="63"/>
      <c r="T978" s="63"/>
      <c r="U978" s="63"/>
      <c r="V978" s="63"/>
      <c r="W978" s="63"/>
      <c r="X978" s="63"/>
    </row>
    <row r="979" spans="1:24" ht="12.75">
      <c r="A979" s="69"/>
      <c r="B979" s="63"/>
      <c r="C979" s="63"/>
      <c r="D979" s="63"/>
      <c r="E979" s="63"/>
      <c r="F979" s="63"/>
      <c r="G979" s="63"/>
      <c r="H979" s="63"/>
      <c r="I979" s="63"/>
      <c r="J979" s="63"/>
      <c r="K979" s="63"/>
      <c r="L979" s="63"/>
      <c r="M979" s="63"/>
      <c r="N979" s="63"/>
      <c r="O979" s="63"/>
      <c r="P979" s="63"/>
      <c r="Q979" s="63"/>
      <c r="R979" s="63"/>
      <c r="S979" s="63"/>
      <c r="T979" s="63"/>
      <c r="U979" s="63"/>
      <c r="V979" s="63"/>
      <c r="W979" s="63"/>
      <c r="X979" s="63"/>
    </row>
    <row r="980" spans="1:24" ht="12.75">
      <c r="A980" s="69"/>
      <c r="B980" s="63"/>
      <c r="C980" s="63"/>
      <c r="D980" s="63"/>
      <c r="E980" s="63"/>
      <c r="F980" s="63"/>
      <c r="G980" s="63"/>
      <c r="H980" s="63"/>
      <c r="I980" s="63"/>
      <c r="J980" s="63"/>
      <c r="K980" s="63"/>
      <c r="L980" s="63"/>
      <c r="M980" s="63"/>
      <c r="N980" s="63"/>
      <c r="O980" s="63"/>
      <c r="P980" s="63"/>
      <c r="Q980" s="63"/>
      <c r="R980" s="63"/>
      <c r="S980" s="63"/>
      <c r="T980" s="63"/>
      <c r="U980" s="63"/>
      <c r="V980" s="63"/>
      <c r="W980" s="63"/>
      <c r="X980" s="63"/>
    </row>
    <row r="981" spans="1:24" ht="12.75">
      <c r="A981" s="69"/>
      <c r="B981" s="63"/>
      <c r="C981" s="63"/>
      <c r="D981" s="63"/>
      <c r="E981" s="63"/>
      <c r="F981" s="63"/>
      <c r="G981" s="63"/>
      <c r="H981" s="63"/>
      <c r="I981" s="63"/>
      <c r="J981" s="63"/>
      <c r="K981" s="63"/>
      <c r="L981" s="63"/>
      <c r="M981" s="63"/>
      <c r="N981" s="63"/>
      <c r="O981" s="63"/>
      <c r="P981" s="63"/>
      <c r="Q981" s="63"/>
      <c r="R981" s="63"/>
      <c r="S981" s="63"/>
      <c r="T981" s="63"/>
      <c r="U981" s="63"/>
      <c r="V981" s="63"/>
      <c r="W981" s="63"/>
      <c r="X981" s="63"/>
    </row>
    <row r="982" spans="1:24" ht="12.75">
      <c r="A982" s="69"/>
      <c r="B982" s="63"/>
      <c r="C982" s="63"/>
      <c r="D982" s="63"/>
      <c r="E982" s="63"/>
      <c r="F982" s="63"/>
      <c r="G982" s="63"/>
      <c r="H982" s="63"/>
      <c r="I982" s="63"/>
      <c r="J982" s="63"/>
      <c r="K982" s="63"/>
      <c r="L982" s="63"/>
      <c r="M982" s="63"/>
      <c r="N982" s="63"/>
      <c r="O982" s="63"/>
      <c r="P982" s="63"/>
      <c r="Q982" s="63"/>
      <c r="R982" s="63"/>
      <c r="S982" s="63"/>
      <c r="T982" s="63"/>
      <c r="U982" s="63"/>
      <c r="V982" s="63"/>
      <c r="W982" s="63"/>
      <c r="X982" s="63"/>
    </row>
    <row r="983" spans="1:24" ht="12.75">
      <c r="A983" s="69"/>
      <c r="B983" s="63"/>
      <c r="C983" s="63"/>
      <c r="D983" s="63"/>
      <c r="E983" s="63"/>
      <c r="F983" s="63"/>
      <c r="G983" s="63"/>
      <c r="H983" s="63"/>
      <c r="I983" s="63"/>
      <c r="J983" s="63"/>
      <c r="K983" s="63"/>
      <c r="L983" s="63"/>
      <c r="M983" s="63"/>
      <c r="N983" s="63"/>
      <c r="O983" s="63"/>
      <c r="P983" s="63"/>
      <c r="Q983" s="63"/>
      <c r="R983" s="63"/>
      <c r="S983" s="63"/>
      <c r="T983" s="63"/>
      <c r="U983" s="63"/>
      <c r="V983" s="63"/>
      <c r="W983" s="63"/>
      <c r="X983" s="63"/>
    </row>
    <row r="984" spans="1:24" ht="12.75">
      <c r="A984" s="69"/>
      <c r="B984" s="63"/>
      <c r="C984" s="63"/>
      <c r="D984" s="63"/>
      <c r="E984" s="63"/>
      <c r="F984" s="63"/>
      <c r="G984" s="63"/>
      <c r="H984" s="63"/>
      <c r="I984" s="63"/>
      <c r="J984" s="63"/>
      <c r="K984" s="63"/>
      <c r="L984" s="63"/>
      <c r="M984" s="63"/>
      <c r="N984" s="63"/>
      <c r="O984" s="63"/>
      <c r="P984" s="63"/>
      <c r="Q984" s="63"/>
      <c r="R984" s="63"/>
      <c r="S984" s="63"/>
      <c r="T984" s="63"/>
      <c r="U984" s="63"/>
      <c r="V984" s="63"/>
      <c r="W984" s="63"/>
      <c r="X984" s="63"/>
    </row>
    <row r="985" spans="1:24" ht="12.75">
      <c r="A985" s="69"/>
      <c r="B985" s="63"/>
      <c r="C985" s="63"/>
      <c r="D985" s="63"/>
      <c r="E985" s="63"/>
      <c r="F985" s="63"/>
      <c r="G985" s="63"/>
      <c r="H985" s="63"/>
      <c r="I985" s="63"/>
      <c r="J985" s="63"/>
      <c r="K985" s="63"/>
      <c r="L985" s="63"/>
      <c r="M985" s="63"/>
      <c r="N985" s="63"/>
      <c r="O985" s="63"/>
      <c r="P985" s="63"/>
      <c r="Q985" s="63"/>
      <c r="R985" s="63"/>
      <c r="S985" s="63"/>
      <c r="T985" s="63"/>
      <c r="U985" s="63"/>
      <c r="V985" s="63"/>
      <c r="W985" s="63"/>
      <c r="X985" s="63"/>
    </row>
    <row r="986" spans="1:24" ht="12.75">
      <c r="A986" s="69"/>
      <c r="B986" s="63"/>
      <c r="C986" s="63"/>
      <c r="D986" s="63"/>
      <c r="E986" s="63"/>
      <c r="F986" s="63"/>
      <c r="G986" s="63"/>
      <c r="H986" s="63"/>
      <c r="I986" s="63"/>
      <c r="J986" s="63"/>
      <c r="K986" s="63"/>
      <c r="L986" s="63"/>
      <c r="M986" s="63"/>
      <c r="N986" s="63"/>
      <c r="O986" s="63"/>
      <c r="P986" s="63"/>
      <c r="Q986" s="63"/>
      <c r="R986" s="63"/>
      <c r="S986" s="63"/>
      <c r="T986" s="63"/>
      <c r="U986" s="63"/>
      <c r="V986" s="63"/>
      <c r="W986" s="63"/>
      <c r="X986" s="63"/>
    </row>
    <row r="987" spans="1:24" ht="12.75">
      <c r="A987" s="69"/>
      <c r="B987" s="63"/>
      <c r="C987" s="63"/>
      <c r="D987" s="63"/>
      <c r="E987" s="63"/>
      <c r="F987" s="63"/>
      <c r="G987" s="63"/>
      <c r="H987" s="63"/>
      <c r="I987" s="63"/>
      <c r="J987" s="63"/>
      <c r="K987" s="63"/>
      <c r="L987" s="63"/>
      <c r="M987" s="63"/>
      <c r="N987" s="63"/>
      <c r="O987" s="63"/>
      <c r="P987" s="63"/>
      <c r="Q987" s="63"/>
      <c r="R987" s="63"/>
      <c r="S987" s="63"/>
      <c r="T987" s="63"/>
      <c r="U987" s="63"/>
      <c r="V987" s="63"/>
      <c r="W987" s="63"/>
      <c r="X987" s="63"/>
    </row>
    <row r="988" spans="1:24" ht="12.75">
      <c r="A988" s="69"/>
      <c r="B988" s="63"/>
      <c r="C988" s="63"/>
      <c r="D988" s="63"/>
      <c r="E988" s="63"/>
      <c r="F988" s="63"/>
      <c r="G988" s="63"/>
      <c r="H988" s="63"/>
      <c r="I988" s="63"/>
      <c r="J988" s="63"/>
      <c r="K988" s="63"/>
      <c r="L988" s="63"/>
      <c r="M988" s="63"/>
      <c r="N988" s="63"/>
      <c r="O988" s="63"/>
      <c r="P988" s="63"/>
      <c r="Q988" s="63"/>
      <c r="R988" s="63"/>
      <c r="S988" s="63"/>
      <c r="T988" s="63"/>
      <c r="U988" s="63"/>
      <c r="V988" s="63"/>
      <c r="W988" s="63"/>
      <c r="X988" s="63"/>
    </row>
    <row r="989" spans="1:24" ht="12.75">
      <c r="A989" s="69"/>
      <c r="B989" s="63"/>
      <c r="C989" s="63"/>
      <c r="D989" s="63"/>
      <c r="E989" s="63"/>
      <c r="F989" s="63"/>
      <c r="G989" s="63"/>
      <c r="H989" s="63"/>
      <c r="I989" s="63"/>
      <c r="J989" s="63"/>
      <c r="K989" s="63"/>
      <c r="L989" s="63"/>
      <c r="M989" s="63"/>
      <c r="N989" s="63"/>
      <c r="O989" s="63"/>
      <c r="P989" s="63"/>
      <c r="Q989" s="63"/>
      <c r="R989" s="63"/>
      <c r="S989" s="63"/>
      <c r="T989" s="63"/>
      <c r="U989" s="63"/>
      <c r="V989" s="63"/>
      <c r="W989" s="63"/>
      <c r="X989" s="63"/>
    </row>
    <row r="990" spans="1:24" ht="12.75">
      <c r="A990" s="69"/>
      <c r="B990" s="63"/>
      <c r="C990" s="63"/>
      <c r="D990" s="63"/>
      <c r="E990" s="63"/>
      <c r="F990" s="63"/>
      <c r="G990" s="63"/>
      <c r="H990" s="63"/>
      <c r="I990" s="63"/>
      <c r="J990" s="63"/>
      <c r="K990" s="63"/>
      <c r="L990" s="63"/>
      <c r="M990" s="63"/>
      <c r="N990" s="63"/>
      <c r="O990" s="63"/>
      <c r="P990" s="63"/>
      <c r="Q990" s="63"/>
      <c r="R990" s="63"/>
      <c r="S990" s="63"/>
      <c r="T990" s="63"/>
      <c r="U990" s="63"/>
      <c r="V990" s="63"/>
      <c r="W990" s="63"/>
      <c r="X990" s="63"/>
    </row>
    <row r="991" spans="1:24" ht="12.75">
      <c r="A991" s="69"/>
      <c r="B991" s="63"/>
      <c r="C991" s="63"/>
      <c r="D991" s="63"/>
      <c r="E991" s="63"/>
      <c r="F991" s="63"/>
      <c r="G991" s="63"/>
      <c r="H991" s="63"/>
      <c r="I991" s="63"/>
      <c r="J991" s="63"/>
      <c r="K991" s="63"/>
      <c r="L991" s="63"/>
      <c r="M991" s="63"/>
      <c r="N991" s="63"/>
      <c r="O991" s="63"/>
      <c r="P991" s="63"/>
      <c r="Q991" s="63"/>
      <c r="R991" s="63"/>
      <c r="S991" s="63"/>
      <c r="T991" s="63"/>
      <c r="U991" s="63"/>
      <c r="V991" s="63"/>
      <c r="W991" s="63"/>
      <c r="X991" s="63"/>
    </row>
    <row r="992" spans="1:24" ht="12.75">
      <c r="A992" s="69"/>
      <c r="B992" s="63"/>
      <c r="C992" s="63"/>
      <c r="D992" s="63"/>
      <c r="E992" s="63"/>
      <c r="F992" s="63"/>
      <c r="G992" s="63"/>
      <c r="H992" s="63"/>
      <c r="I992" s="63"/>
      <c r="J992" s="63"/>
      <c r="K992" s="63"/>
      <c r="L992" s="63"/>
      <c r="M992" s="63"/>
      <c r="N992" s="63"/>
      <c r="O992" s="63"/>
      <c r="P992" s="63"/>
      <c r="Q992" s="63"/>
      <c r="R992" s="63"/>
      <c r="S992" s="63"/>
      <c r="T992" s="63"/>
      <c r="U992" s="63"/>
      <c r="V992" s="63"/>
      <c r="W992" s="63"/>
      <c r="X992" s="63"/>
    </row>
    <row r="993" spans="1:24" ht="12.75">
      <c r="A993" s="69"/>
      <c r="B993" s="63"/>
      <c r="C993" s="63"/>
      <c r="D993" s="63"/>
      <c r="E993" s="63"/>
      <c r="F993" s="63"/>
      <c r="G993" s="63"/>
      <c r="H993" s="63"/>
      <c r="I993" s="63"/>
      <c r="J993" s="63"/>
      <c r="K993" s="63"/>
      <c r="L993" s="63"/>
      <c r="M993" s="63"/>
      <c r="N993" s="63"/>
      <c r="O993" s="63"/>
      <c r="P993" s="63"/>
      <c r="Q993" s="63"/>
      <c r="R993" s="63"/>
      <c r="S993" s="63"/>
      <c r="T993" s="63"/>
      <c r="U993" s="63"/>
      <c r="V993" s="63"/>
      <c r="W993" s="63"/>
      <c r="X993" s="63"/>
    </row>
  </sheetData>
  <hyperlinks>
    <hyperlink ref="K8" r:id="rId1"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G991"/>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28515625" customWidth="1"/>
    <col min="2" max="3" width="32.85546875" customWidth="1"/>
    <col min="4" max="5" width="14.140625" customWidth="1"/>
    <col min="6" max="6" width="35.28515625" customWidth="1"/>
    <col min="7" max="7" width="14.140625" customWidth="1"/>
    <col min="8" max="8" width="21.28515625" customWidth="1"/>
    <col min="9" max="33" width="14.140625" customWidth="1"/>
  </cols>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12.75">
      <c r="A2" s="70">
        <v>2016</v>
      </c>
      <c r="B2" s="71" t="s">
        <v>1894</v>
      </c>
      <c r="C2" s="71" t="s">
        <v>237</v>
      </c>
      <c r="D2" s="72">
        <v>42560</v>
      </c>
      <c r="E2" s="72">
        <v>42581</v>
      </c>
      <c r="F2" s="71" t="s">
        <v>1895</v>
      </c>
      <c r="G2" s="71" t="s">
        <v>69</v>
      </c>
      <c r="H2" s="71" t="s">
        <v>238</v>
      </c>
      <c r="I2" s="71" t="s">
        <v>239</v>
      </c>
      <c r="J2" s="71" t="s">
        <v>240</v>
      </c>
      <c r="K2" s="71" t="s">
        <v>241</v>
      </c>
      <c r="L2" s="71" t="s">
        <v>242</v>
      </c>
      <c r="M2" s="71">
        <v>650785463</v>
      </c>
      <c r="N2" s="73"/>
      <c r="O2" s="74">
        <v>530</v>
      </c>
      <c r="P2" s="73"/>
      <c r="Q2" s="71" t="s">
        <v>54</v>
      </c>
      <c r="R2" s="71" t="s">
        <v>55</v>
      </c>
      <c r="S2" s="71" t="s">
        <v>243</v>
      </c>
      <c r="T2" s="71" t="s">
        <v>244</v>
      </c>
      <c r="U2" s="71" t="s">
        <v>103</v>
      </c>
      <c r="V2" s="71" t="s">
        <v>55</v>
      </c>
      <c r="W2" s="73"/>
      <c r="X2" s="73"/>
      <c r="Y2" s="73"/>
      <c r="Z2" s="73"/>
      <c r="AA2" s="73"/>
      <c r="AB2" s="73"/>
      <c r="AC2" s="73"/>
      <c r="AD2" s="73"/>
      <c r="AE2" s="73"/>
      <c r="AF2" s="73"/>
      <c r="AG2" s="73"/>
    </row>
    <row r="3" spans="1:33" ht="12.75">
      <c r="A3" s="75">
        <v>2016</v>
      </c>
      <c r="B3" s="76" t="s">
        <v>1894</v>
      </c>
      <c r="C3" s="76" t="s">
        <v>237</v>
      </c>
      <c r="D3" s="72">
        <v>42566</v>
      </c>
      <c r="E3" s="77">
        <v>42578</v>
      </c>
      <c r="F3" s="71" t="s">
        <v>1895</v>
      </c>
      <c r="G3" s="71" t="s">
        <v>69</v>
      </c>
      <c r="H3" s="78" t="s">
        <v>239</v>
      </c>
      <c r="I3" s="73"/>
      <c r="J3" s="73"/>
      <c r="K3" s="73"/>
      <c r="L3" s="71"/>
      <c r="M3" s="73"/>
      <c r="N3" s="73"/>
      <c r="O3" s="73"/>
      <c r="P3" s="73"/>
      <c r="Q3" s="73"/>
      <c r="R3" s="73"/>
      <c r="S3" s="73"/>
      <c r="T3" s="73"/>
      <c r="U3" s="73"/>
      <c r="V3" s="73"/>
      <c r="W3" s="73"/>
      <c r="X3" s="73"/>
      <c r="Y3" s="73"/>
      <c r="Z3" s="73"/>
      <c r="AA3" s="73"/>
      <c r="AB3" s="73"/>
      <c r="AC3" s="73"/>
      <c r="AD3" s="73"/>
      <c r="AE3" s="73"/>
      <c r="AF3" s="73"/>
      <c r="AG3" s="73"/>
    </row>
    <row r="4" spans="1:33" ht="12.75">
      <c r="A4" s="75">
        <v>2016</v>
      </c>
      <c r="B4" s="76" t="s">
        <v>1896</v>
      </c>
      <c r="C4" s="76" t="s">
        <v>252</v>
      </c>
      <c r="D4" s="77">
        <v>42580</v>
      </c>
      <c r="E4" s="77">
        <v>42589</v>
      </c>
      <c r="F4" s="76" t="s">
        <v>1895</v>
      </c>
      <c r="G4" s="76" t="s">
        <v>184</v>
      </c>
      <c r="H4" s="76" t="s">
        <v>253</v>
      </c>
      <c r="I4" s="76" t="s">
        <v>254</v>
      </c>
      <c r="J4" s="76" t="s">
        <v>255</v>
      </c>
      <c r="K4" s="76" t="s">
        <v>256</v>
      </c>
      <c r="L4" s="76" t="s">
        <v>257</v>
      </c>
      <c r="M4" s="76">
        <v>605966487</v>
      </c>
      <c r="N4" s="76" t="s">
        <v>258</v>
      </c>
      <c r="O4" s="76" t="s">
        <v>259</v>
      </c>
      <c r="P4" s="76" t="s">
        <v>260</v>
      </c>
      <c r="Q4" s="76" t="s">
        <v>54</v>
      </c>
      <c r="R4" s="76" t="s">
        <v>55</v>
      </c>
      <c r="S4" s="76" t="s">
        <v>261</v>
      </c>
      <c r="T4" s="76" t="s">
        <v>262</v>
      </c>
      <c r="U4" s="76" t="s">
        <v>103</v>
      </c>
      <c r="V4" s="76" t="s">
        <v>263</v>
      </c>
      <c r="W4" s="76" t="s">
        <v>264</v>
      </c>
      <c r="X4" s="76"/>
      <c r="Y4" s="76"/>
      <c r="Z4" s="76"/>
      <c r="AA4" s="76"/>
      <c r="AB4" s="76"/>
      <c r="AC4" s="76"/>
      <c r="AD4" s="76"/>
      <c r="AE4" s="76"/>
      <c r="AF4" s="76"/>
      <c r="AG4" s="76"/>
    </row>
    <row r="5" spans="1:33" ht="15" customHeight="1">
      <c r="A5" s="79">
        <v>2015</v>
      </c>
      <c r="B5" s="80" t="s">
        <v>268</v>
      </c>
      <c r="C5" s="81" t="s">
        <v>269</v>
      </c>
      <c r="D5" s="82">
        <v>42200</v>
      </c>
      <c r="E5" s="82">
        <v>42215</v>
      </c>
      <c r="F5" s="76" t="s">
        <v>1895</v>
      </c>
      <c r="G5" s="80" t="s">
        <v>69</v>
      </c>
      <c r="H5" s="80" t="s">
        <v>270</v>
      </c>
      <c r="I5" s="80" t="s">
        <v>271</v>
      </c>
      <c r="J5" s="80"/>
      <c r="K5" s="80"/>
      <c r="L5" s="80"/>
      <c r="M5" s="80"/>
      <c r="N5" s="80"/>
      <c r="O5" s="80"/>
      <c r="P5" s="80"/>
      <c r="Q5" s="80"/>
      <c r="R5" s="80"/>
      <c r="S5" s="80"/>
      <c r="T5" s="80"/>
      <c r="U5" s="80"/>
      <c r="V5" s="80"/>
      <c r="W5" s="80"/>
      <c r="X5" s="80"/>
      <c r="Y5" s="80"/>
      <c r="Z5" s="80"/>
      <c r="AA5" s="80"/>
      <c r="AB5" s="80"/>
      <c r="AC5" s="80"/>
      <c r="AD5" s="80"/>
      <c r="AE5" s="80"/>
      <c r="AF5" s="80"/>
      <c r="AG5" s="80"/>
    </row>
    <row r="6" spans="1:33" ht="12.75">
      <c r="A6" s="79">
        <v>2012</v>
      </c>
      <c r="B6" s="80" t="s">
        <v>236</v>
      </c>
      <c r="C6" s="81" t="s">
        <v>237</v>
      </c>
      <c r="D6" s="82">
        <v>41106</v>
      </c>
      <c r="E6" s="82">
        <v>41120</v>
      </c>
      <c r="F6" s="80" t="s">
        <v>69</v>
      </c>
      <c r="G6" s="80" t="s">
        <v>69</v>
      </c>
      <c r="H6" s="80" t="s">
        <v>275</v>
      </c>
      <c r="I6" s="80" t="s">
        <v>276</v>
      </c>
      <c r="J6" s="73"/>
      <c r="K6" s="83"/>
      <c r="L6" s="73"/>
      <c r="M6" s="73"/>
      <c r="N6" s="73"/>
      <c r="O6" s="73"/>
      <c r="P6" s="73"/>
      <c r="Q6" s="73"/>
      <c r="R6" s="73"/>
      <c r="S6" s="73"/>
      <c r="T6" s="73"/>
      <c r="U6" s="73"/>
      <c r="V6" s="73"/>
      <c r="W6" s="73"/>
      <c r="X6" s="73"/>
      <c r="Y6" s="73"/>
      <c r="Z6" s="73"/>
      <c r="AA6" s="73"/>
      <c r="AB6" s="73"/>
      <c r="AC6" s="73"/>
      <c r="AD6" s="73"/>
      <c r="AE6" s="73"/>
      <c r="AF6" s="73"/>
      <c r="AG6" s="73"/>
    </row>
    <row r="7" spans="1:33" ht="12.75">
      <c r="A7" s="79">
        <v>2012</v>
      </c>
      <c r="B7" s="80" t="s">
        <v>236</v>
      </c>
      <c r="C7" s="81" t="s">
        <v>237</v>
      </c>
      <c r="D7" s="82">
        <v>41103</v>
      </c>
      <c r="E7" s="82">
        <v>41120</v>
      </c>
      <c r="F7" s="80" t="s">
        <v>69</v>
      </c>
      <c r="G7" s="80" t="s">
        <v>69</v>
      </c>
      <c r="H7" s="80" t="s">
        <v>69</v>
      </c>
      <c r="I7" s="80" t="s">
        <v>280</v>
      </c>
      <c r="J7" s="73"/>
      <c r="K7" s="84" t="s">
        <v>281</v>
      </c>
      <c r="L7" s="73"/>
      <c r="M7" s="73"/>
      <c r="N7" s="73"/>
      <c r="O7" s="73"/>
      <c r="P7" s="73"/>
      <c r="Q7" s="73"/>
      <c r="R7" s="73"/>
      <c r="S7" s="73"/>
      <c r="T7" s="73"/>
      <c r="U7" s="73"/>
      <c r="V7" s="73"/>
      <c r="W7" s="73"/>
      <c r="X7" s="73"/>
      <c r="Y7" s="73"/>
      <c r="Z7" s="73"/>
      <c r="AA7" s="73"/>
      <c r="AB7" s="73"/>
      <c r="AC7" s="73"/>
      <c r="AD7" s="73"/>
      <c r="AE7" s="73"/>
      <c r="AF7" s="73"/>
      <c r="AG7" s="73"/>
    </row>
    <row r="8" spans="1:33" ht="12.75">
      <c r="A8" s="79">
        <v>43645</v>
      </c>
      <c r="B8" s="80" t="s">
        <v>1886</v>
      </c>
      <c r="C8" s="81" t="s">
        <v>285</v>
      </c>
      <c r="D8" s="82">
        <v>43663</v>
      </c>
      <c r="E8" s="82">
        <v>43674</v>
      </c>
      <c r="F8" s="80" t="s">
        <v>1895</v>
      </c>
      <c r="G8" s="80" t="s">
        <v>69</v>
      </c>
      <c r="H8" s="80" t="s">
        <v>239</v>
      </c>
      <c r="I8" s="80" t="s">
        <v>239</v>
      </c>
      <c r="J8" s="73" t="s">
        <v>240</v>
      </c>
      <c r="K8" s="84" t="s">
        <v>286</v>
      </c>
      <c r="L8" s="73" t="s">
        <v>287</v>
      </c>
      <c r="M8" s="73">
        <v>650785463</v>
      </c>
      <c r="N8" s="73" t="s">
        <v>288</v>
      </c>
      <c r="O8" s="73" t="s">
        <v>289</v>
      </c>
      <c r="P8" s="73" t="s">
        <v>290</v>
      </c>
      <c r="Q8" s="73" t="s">
        <v>100</v>
      </c>
      <c r="R8" s="73" t="s">
        <v>55</v>
      </c>
      <c r="S8" s="73" t="s">
        <v>101</v>
      </c>
      <c r="T8" s="73" t="s">
        <v>291</v>
      </c>
      <c r="U8" s="73" t="s">
        <v>292</v>
      </c>
      <c r="V8" s="73" t="s">
        <v>293</v>
      </c>
      <c r="W8" s="73" t="s">
        <v>294</v>
      </c>
      <c r="X8" s="73" t="s">
        <v>55</v>
      </c>
      <c r="Y8" s="73"/>
      <c r="Z8" s="73"/>
      <c r="AA8" s="73"/>
      <c r="AB8" s="73"/>
      <c r="AC8" s="73"/>
      <c r="AD8" s="73"/>
      <c r="AE8" s="73"/>
      <c r="AF8" s="73"/>
      <c r="AG8" s="73"/>
    </row>
    <row r="9" spans="1:33" ht="12.75">
      <c r="A9" s="85"/>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row>
    <row r="10" spans="1:33" ht="12.75">
      <c r="A10" s="86"/>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row>
    <row r="11" spans="1:33" ht="12.75">
      <c r="A11" s="86"/>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row>
    <row r="12" spans="1:33" ht="12.75">
      <c r="A12" s="86"/>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row>
    <row r="13" spans="1:33" ht="12.75">
      <c r="A13" s="86"/>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row>
    <row r="14" spans="1:33" ht="12.75">
      <c r="A14" s="86"/>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row>
    <row r="15" spans="1:33" ht="12.75">
      <c r="A15" s="86"/>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row>
    <row r="16" spans="1:33" ht="12.75">
      <c r="A16" s="86"/>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row>
    <row r="17" spans="1:33" ht="12.75">
      <c r="A17" s="86"/>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row>
    <row r="18" spans="1:33" ht="12.75">
      <c r="A18" s="8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row>
    <row r="19" spans="1:33" ht="12.75">
      <c r="A19" s="8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row>
    <row r="20" spans="1:33" ht="12.75">
      <c r="A20" s="8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row>
    <row r="21" spans="1:33" ht="12.75">
      <c r="A21" s="8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row>
    <row r="22" spans="1:33" ht="12.75">
      <c r="A22" s="8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row>
    <row r="23" spans="1:33" ht="12.75">
      <c r="A23" s="8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row>
    <row r="24" spans="1:33" ht="12.75">
      <c r="A24" s="8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row>
    <row r="25" spans="1:33" ht="12.75">
      <c r="A25" s="8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row>
    <row r="26" spans="1:33" ht="12.75">
      <c r="A26" s="8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row>
    <row r="27" spans="1:33" ht="12.75">
      <c r="A27" s="8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row>
    <row r="28" spans="1:33" ht="12.75">
      <c r="A28" s="8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row>
    <row r="29" spans="1:33" ht="12.75">
      <c r="A29" s="8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row>
    <row r="30" spans="1:33" ht="12.75">
      <c r="A30" s="8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row>
    <row r="31" spans="1:33" ht="12.75">
      <c r="A31" s="8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row>
    <row r="32" spans="1:33" ht="12.75">
      <c r="A32" s="8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row>
    <row r="33" spans="1:33" ht="12.75">
      <c r="A33" s="8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row>
    <row r="34" spans="1:33" ht="12.75">
      <c r="A34" s="8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row>
    <row r="35" spans="1:33" ht="12.75">
      <c r="A35" s="8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row>
    <row r="36" spans="1:33" ht="12.75">
      <c r="A36" s="8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row>
    <row r="37" spans="1:33" ht="12.75">
      <c r="A37" s="8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row>
    <row r="38" spans="1:33" ht="12.75">
      <c r="A38" s="8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row>
    <row r="39" spans="1:33" ht="12.75">
      <c r="A39" s="8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row>
    <row r="40" spans="1:33" ht="12.75">
      <c r="A40" s="8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row>
    <row r="41" spans="1:33" ht="12.75">
      <c r="A41" s="8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row>
    <row r="42" spans="1:33" ht="12.75">
      <c r="A42" s="8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row>
    <row r="43" spans="1:33" ht="12.75">
      <c r="A43" s="8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row>
    <row r="44" spans="1:33" ht="12.75">
      <c r="A44" s="8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row>
    <row r="45" spans="1:33" ht="12.75">
      <c r="A45" s="8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row>
    <row r="46" spans="1:33" ht="12.75">
      <c r="A46" s="8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row>
    <row r="47" spans="1:33" ht="12.75">
      <c r="A47" s="8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row>
    <row r="48" spans="1:33" ht="12.75">
      <c r="A48" s="8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row>
    <row r="49" spans="1:33" ht="12.75">
      <c r="A49" s="8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row>
    <row r="50" spans="1:33" ht="12.75">
      <c r="A50" s="8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row>
    <row r="51" spans="1:33" ht="12.75">
      <c r="A51" s="8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row>
    <row r="52" spans="1:33" ht="12.75">
      <c r="A52" s="8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row>
    <row r="53" spans="1:33" ht="12.75">
      <c r="A53" s="8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row>
    <row r="54" spans="1:33" ht="12.75">
      <c r="A54" s="8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row>
    <row r="55" spans="1:33" ht="12.75">
      <c r="A55" s="8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row>
    <row r="56" spans="1:33" ht="12.75">
      <c r="A56" s="8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row>
    <row r="57" spans="1:33" ht="12.75">
      <c r="A57" s="8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row>
    <row r="58" spans="1:33" ht="12.75">
      <c r="A58" s="8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row>
    <row r="59" spans="1:33" ht="12.75">
      <c r="A59" s="8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row>
    <row r="60" spans="1:33" ht="12.75">
      <c r="A60" s="8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row>
    <row r="61" spans="1:33" ht="12.75">
      <c r="A61" s="8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row>
    <row r="62" spans="1:33" ht="12.75">
      <c r="A62" s="8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3" ht="12.75">
      <c r="A63" s="8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row>
    <row r="64" spans="1:33" ht="12.75">
      <c r="A64" s="8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row>
    <row r="65" spans="1:33" ht="12.75">
      <c r="A65" s="8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row>
    <row r="66" spans="1:33" ht="12.75">
      <c r="A66" s="86"/>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row>
    <row r="67" spans="1:33" ht="12.75">
      <c r="A67" s="8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row>
    <row r="68" spans="1:33" ht="12.75">
      <c r="A68" s="86"/>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row>
    <row r="69" spans="1:33" ht="12.75">
      <c r="A69" s="86"/>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row>
    <row r="70" spans="1:33" ht="12.75">
      <c r="A70" s="86"/>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row>
    <row r="71" spans="1:33" ht="12.75">
      <c r="A71" s="86"/>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row>
    <row r="72" spans="1:33" ht="12.75">
      <c r="A72" s="86"/>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row>
    <row r="73" spans="1:33" ht="12.75">
      <c r="A73" s="86"/>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row>
    <row r="74" spans="1:33" ht="12.75">
      <c r="A74" s="86"/>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row>
    <row r="75" spans="1:33" ht="12.75">
      <c r="A75" s="86"/>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row>
    <row r="76" spans="1:33" ht="12.75">
      <c r="A76" s="86"/>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row>
    <row r="77" spans="1:33" ht="12.75">
      <c r="A77" s="86"/>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row>
    <row r="78" spans="1:33" ht="12.75">
      <c r="A78" s="86"/>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row>
    <row r="79" spans="1:33" ht="12.75">
      <c r="A79" s="86"/>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row>
    <row r="80" spans="1:33" ht="12.75">
      <c r="A80" s="86"/>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row>
    <row r="81" spans="1:33" ht="12.75">
      <c r="A81" s="86"/>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row>
    <row r="82" spans="1:33" ht="12.75">
      <c r="A82" s="86"/>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row>
    <row r="83" spans="1:33" ht="12.75">
      <c r="A83" s="86"/>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row>
    <row r="84" spans="1:33" ht="12.75">
      <c r="A84" s="86"/>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row>
    <row r="85" spans="1:33" ht="12.75">
      <c r="A85" s="86"/>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row>
    <row r="86" spans="1:33" ht="12.75">
      <c r="A86" s="86"/>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row>
    <row r="87" spans="1:33" ht="12.75">
      <c r="A87" s="86"/>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row>
    <row r="88" spans="1:33" ht="12.75">
      <c r="A88" s="86"/>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row>
    <row r="89" spans="1:33" ht="12.75">
      <c r="A89" s="86"/>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row>
    <row r="90" spans="1:33" ht="12.75">
      <c r="A90" s="86"/>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row>
    <row r="91" spans="1:33" ht="12.75">
      <c r="A91" s="86"/>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row>
    <row r="92" spans="1:33" ht="12.75">
      <c r="A92" s="86"/>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row>
    <row r="93" spans="1:33" ht="12.75">
      <c r="A93" s="86"/>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row>
    <row r="94" spans="1:33" ht="12.75">
      <c r="A94" s="86"/>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row>
    <row r="95" spans="1:33" ht="12.75">
      <c r="A95" s="86"/>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row>
    <row r="96" spans="1:33" ht="12.75">
      <c r="A96" s="86"/>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row>
    <row r="97" spans="1:33" ht="12.75">
      <c r="A97" s="86"/>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row>
    <row r="98" spans="1:33" ht="12.75">
      <c r="A98" s="86"/>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row>
    <row r="99" spans="1:33" ht="12.75">
      <c r="A99" s="86"/>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row>
    <row r="100" spans="1:33" ht="12.75">
      <c r="A100" s="86"/>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row>
    <row r="101" spans="1:33" ht="12.75">
      <c r="A101" s="86"/>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row>
    <row r="102" spans="1:33" ht="12.75">
      <c r="A102" s="86"/>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row>
    <row r="103" spans="1:33" ht="12.75">
      <c r="A103" s="86"/>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row>
    <row r="104" spans="1:33" ht="12.75">
      <c r="A104" s="86"/>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row>
    <row r="105" spans="1:33" ht="12.75">
      <c r="A105" s="86"/>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row>
    <row r="106" spans="1:33" ht="12.75">
      <c r="A106" s="86"/>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row>
    <row r="107" spans="1:33" ht="12.75">
      <c r="A107" s="86"/>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row>
    <row r="108" spans="1:33" ht="12.75">
      <c r="A108" s="86"/>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row>
    <row r="109" spans="1:33" ht="12.75">
      <c r="A109" s="86"/>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row>
    <row r="110" spans="1:33" ht="12.75">
      <c r="A110" s="86"/>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row>
    <row r="111" spans="1:33" ht="12.75">
      <c r="A111" s="86"/>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row>
    <row r="112" spans="1:33" ht="12.75">
      <c r="A112" s="86"/>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row>
    <row r="113" spans="1:33" ht="12.75">
      <c r="A113" s="86"/>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row>
    <row r="114" spans="1:33" ht="12.75">
      <c r="A114" s="86"/>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row>
    <row r="115" spans="1:33" ht="12.75">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row>
    <row r="116" spans="1:33" ht="12.75">
      <c r="A116" s="86"/>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row>
    <row r="117" spans="1:33" ht="12.75">
      <c r="A117" s="86"/>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row>
    <row r="118" spans="1:33" ht="12.75">
      <c r="A118" s="86"/>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row>
    <row r="119" spans="1:33" ht="12.75">
      <c r="A119" s="86"/>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row>
    <row r="120" spans="1:33" ht="12.75">
      <c r="A120" s="86"/>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row>
    <row r="121" spans="1:33" ht="12.75">
      <c r="A121" s="86"/>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row>
    <row r="122" spans="1:33" ht="12.75">
      <c r="A122" s="86"/>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row>
    <row r="123" spans="1:33" ht="12.75">
      <c r="A123" s="86"/>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row>
    <row r="124" spans="1:33" ht="12.75">
      <c r="A124" s="86"/>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row>
    <row r="125" spans="1:33" ht="12.75">
      <c r="A125" s="86"/>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row>
    <row r="126" spans="1:33" ht="12.75">
      <c r="A126" s="86"/>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row>
    <row r="127" spans="1:33" ht="12.75">
      <c r="A127" s="86"/>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row>
    <row r="128" spans="1:33" ht="12.75">
      <c r="A128" s="86"/>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row>
    <row r="129" spans="1:33" ht="12.75">
      <c r="A129" s="86"/>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row>
    <row r="130" spans="1:33" ht="12.75">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row>
    <row r="131" spans="1:33" ht="12.7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row>
    <row r="132" spans="1:33" ht="12.75">
      <c r="A132" s="86"/>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row>
    <row r="133" spans="1:33" ht="12.75">
      <c r="A133" s="86"/>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row>
    <row r="134" spans="1:33" ht="12.75">
      <c r="A134" s="86"/>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row>
    <row r="135" spans="1:33" ht="12.75">
      <c r="A135" s="86"/>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row>
    <row r="136" spans="1:33" ht="12.75">
      <c r="A136" s="86"/>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row>
    <row r="137" spans="1:33" ht="12.75">
      <c r="A137" s="86"/>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row>
    <row r="138" spans="1:33" ht="12.75">
      <c r="A138" s="86"/>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row>
    <row r="139" spans="1:33" ht="12.75">
      <c r="A139" s="86"/>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row>
    <row r="140" spans="1:33" ht="12.75">
      <c r="A140" s="86"/>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row>
    <row r="141" spans="1:33" ht="12.75">
      <c r="A141" s="86"/>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row>
    <row r="142" spans="1:33" ht="12.75">
      <c r="A142" s="86"/>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row>
    <row r="143" spans="1:33" ht="12.75">
      <c r="A143" s="86"/>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row>
    <row r="144" spans="1:33" ht="12.75">
      <c r="A144" s="86"/>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row>
    <row r="145" spans="1:33" ht="12.75">
      <c r="A145" s="86"/>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row>
    <row r="146" spans="1:33" ht="12.75">
      <c r="A146" s="86"/>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row>
    <row r="147" spans="1:33" ht="12.75">
      <c r="A147" s="86"/>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row>
    <row r="148" spans="1:33" ht="12.75">
      <c r="A148" s="86"/>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row>
    <row r="149" spans="1:33" ht="12.75">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row>
    <row r="150" spans="1:33" ht="12.75">
      <c r="A150" s="86"/>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row>
    <row r="151" spans="1:33" ht="12.75">
      <c r="A151" s="86"/>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row>
    <row r="152" spans="1:33" ht="12.75">
      <c r="A152" s="86"/>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row>
    <row r="153" spans="1:33" ht="12.75">
      <c r="A153" s="86"/>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row>
    <row r="154" spans="1:33" ht="12.75">
      <c r="A154" s="86"/>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row>
    <row r="155" spans="1:33" ht="12.75">
      <c r="A155" s="86"/>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row>
    <row r="156" spans="1:33" ht="12.75">
      <c r="A156" s="86"/>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row>
    <row r="157" spans="1:33" ht="12.75">
      <c r="A157" s="86"/>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row>
    <row r="158" spans="1:33" ht="12.75">
      <c r="A158" s="86"/>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row>
    <row r="159" spans="1:33" ht="12.75">
      <c r="A159" s="86"/>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row>
    <row r="160" spans="1:33" ht="12.75">
      <c r="A160" s="86"/>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row>
    <row r="161" spans="1:33" ht="12.75">
      <c r="A161" s="86"/>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row>
    <row r="162" spans="1:33" ht="12.75">
      <c r="A162" s="86"/>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row>
    <row r="163" spans="1:33" ht="12.75">
      <c r="A163" s="86"/>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row>
    <row r="164" spans="1:33" ht="12.75">
      <c r="A164" s="86"/>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row>
    <row r="165" spans="1:33" ht="12.75">
      <c r="A165" s="86"/>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row>
    <row r="166" spans="1:33" ht="12.75">
      <c r="A166" s="86"/>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row>
    <row r="167" spans="1:33" ht="12.75">
      <c r="A167" s="86"/>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row>
    <row r="168" spans="1:33" ht="12.75">
      <c r="A168" s="86"/>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row>
    <row r="169" spans="1:33" ht="12.75">
      <c r="A169" s="86"/>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row>
    <row r="170" spans="1:33" ht="12.75">
      <c r="A170" s="86"/>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row>
    <row r="171" spans="1:33" ht="12.75">
      <c r="A171" s="86"/>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row>
    <row r="172" spans="1:33" ht="12.75">
      <c r="A172" s="86"/>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row>
    <row r="173" spans="1:33" ht="12.75">
      <c r="A173" s="86"/>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row>
    <row r="174" spans="1:33" ht="12.75">
      <c r="A174" s="86"/>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row>
    <row r="175" spans="1:33" ht="12.75">
      <c r="A175" s="86"/>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row>
    <row r="176" spans="1:33" ht="12.75">
      <c r="A176" s="86"/>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row>
    <row r="177" spans="1:33" ht="12.75">
      <c r="A177" s="86"/>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row>
    <row r="178" spans="1:33" ht="12.75">
      <c r="A178" s="86"/>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row>
    <row r="179" spans="1:33" ht="12.75">
      <c r="A179" s="86"/>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row>
    <row r="180" spans="1:33" ht="12.75">
      <c r="A180" s="86"/>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row>
    <row r="181" spans="1:33" ht="12.75">
      <c r="A181" s="86"/>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row>
    <row r="182" spans="1:33" ht="12.75">
      <c r="A182" s="86"/>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row>
    <row r="183" spans="1:33" ht="12.75">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row>
    <row r="184" spans="1:33" ht="12.75">
      <c r="A184" s="86"/>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row>
    <row r="185" spans="1:33" ht="12.75">
      <c r="A185" s="86"/>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row>
    <row r="186" spans="1:33" ht="12.75">
      <c r="A186" s="86"/>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row>
    <row r="187" spans="1:33" ht="12.75">
      <c r="A187" s="86"/>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row>
    <row r="188" spans="1:33" ht="12.75">
      <c r="A188" s="86"/>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row>
    <row r="189" spans="1:33" ht="12.75">
      <c r="A189" s="86"/>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row>
    <row r="190" spans="1:33" ht="12.75">
      <c r="A190" s="86"/>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row>
    <row r="191" spans="1:33" ht="12.75">
      <c r="A191" s="86"/>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row>
    <row r="192" spans="1:33" ht="12.75">
      <c r="A192" s="86"/>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row>
    <row r="193" spans="1:33" ht="12.75">
      <c r="A193" s="86"/>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row>
    <row r="194" spans="1:33" ht="12.75">
      <c r="A194" s="86"/>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row>
    <row r="195" spans="1:33" ht="12.75">
      <c r="A195" s="86"/>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row>
    <row r="196" spans="1:33" ht="12.75">
      <c r="A196" s="86"/>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row>
    <row r="197" spans="1:33" ht="12.75">
      <c r="A197" s="86"/>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row>
    <row r="198" spans="1:33" ht="12.75">
      <c r="A198" s="86"/>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row>
    <row r="199" spans="1:33" ht="12.75">
      <c r="A199" s="86"/>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row>
    <row r="200" spans="1:33" ht="12.75">
      <c r="A200" s="86"/>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row>
    <row r="201" spans="1:33" ht="12.75">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row>
    <row r="202" spans="1:33" ht="12.75">
      <c r="A202" s="86"/>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row>
    <row r="203" spans="1:33" ht="12.75">
      <c r="A203" s="86"/>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row>
    <row r="204" spans="1:33" ht="12.75">
      <c r="A204" s="86"/>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row>
    <row r="205" spans="1:33" ht="12.75">
      <c r="A205" s="86"/>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row>
    <row r="206" spans="1:33" ht="12.75">
      <c r="A206" s="86"/>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row>
    <row r="207" spans="1:33" ht="12.75">
      <c r="A207" s="86"/>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row>
    <row r="208" spans="1:33" ht="12.75">
      <c r="A208" s="86"/>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row>
    <row r="209" spans="1:33" ht="12.75">
      <c r="A209" s="86"/>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row>
    <row r="210" spans="1:33" ht="12.75">
      <c r="A210" s="86"/>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row>
    <row r="211" spans="1:33" ht="12.75">
      <c r="A211" s="86"/>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row>
    <row r="212" spans="1:33" ht="12.75">
      <c r="A212" s="86"/>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row>
    <row r="213" spans="1:33" ht="12.75">
      <c r="A213" s="86"/>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row>
    <row r="214" spans="1:33" ht="12.75">
      <c r="A214" s="86"/>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row>
    <row r="215" spans="1:33" ht="12.75">
      <c r="A215" s="86"/>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row>
    <row r="216" spans="1:33" ht="12.75">
      <c r="A216" s="86"/>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row>
    <row r="217" spans="1:33" ht="12.75">
      <c r="A217" s="86"/>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row>
    <row r="218" spans="1:33" ht="12.75">
      <c r="A218" s="86"/>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row>
    <row r="219" spans="1:33" ht="12.75">
      <c r="A219" s="86"/>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row>
    <row r="220" spans="1:33" ht="12.75">
      <c r="A220" s="86"/>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row>
    <row r="221" spans="1:33" ht="12.75">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row>
    <row r="222" spans="1:33" ht="12.75">
      <c r="A222" s="86"/>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row>
    <row r="223" spans="1:33" ht="12.75">
      <c r="A223" s="86"/>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row>
    <row r="224" spans="1:33" ht="12.75">
      <c r="A224" s="86"/>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row>
    <row r="225" spans="1:33" ht="12.75">
      <c r="A225" s="86"/>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row>
    <row r="226" spans="1:33" ht="12.75">
      <c r="A226" s="86"/>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row>
    <row r="227" spans="1:33" ht="12.75">
      <c r="A227" s="86"/>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row>
    <row r="228" spans="1:33" ht="12.75">
      <c r="A228" s="86"/>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row>
    <row r="229" spans="1:33" ht="12.75">
      <c r="A229" s="86"/>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row>
    <row r="230" spans="1:33" ht="12.75">
      <c r="A230" s="86"/>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row>
    <row r="231" spans="1:33" ht="12.75">
      <c r="A231" s="86"/>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row>
    <row r="232" spans="1:33" ht="12.75">
      <c r="A232" s="86"/>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row>
    <row r="233" spans="1:33" ht="12.75">
      <c r="A233" s="86"/>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row>
    <row r="234" spans="1:33" ht="12.75">
      <c r="A234" s="86"/>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row>
    <row r="235" spans="1:33" ht="12.75">
      <c r="A235" s="86"/>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row>
    <row r="236" spans="1:33" ht="12.75">
      <c r="A236" s="86"/>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row>
    <row r="237" spans="1:33" ht="12.75">
      <c r="A237" s="86"/>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row>
    <row r="238" spans="1:33" ht="12.75">
      <c r="A238" s="86"/>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row>
    <row r="239" spans="1:33" ht="12.75">
      <c r="A239" s="86"/>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row>
    <row r="240" spans="1:33" ht="12.75">
      <c r="A240" s="86"/>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row>
    <row r="241" spans="1:33" ht="12.75">
      <c r="A241" s="86"/>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row>
    <row r="242" spans="1:33" ht="12.75">
      <c r="A242" s="86"/>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row>
    <row r="243" spans="1:33" ht="12.75">
      <c r="A243" s="86"/>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row>
    <row r="244" spans="1:33" ht="12.75">
      <c r="A244" s="86"/>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row>
    <row r="245" spans="1:33" ht="12.75">
      <c r="A245" s="86"/>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row>
    <row r="246" spans="1:33" ht="12.75">
      <c r="A246" s="86"/>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row>
    <row r="247" spans="1:33" ht="12.75">
      <c r="A247" s="86"/>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row>
    <row r="248" spans="1:33" ht="12.75">
      <c r="A248" s="86"/>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row>
    <row r="249" spans="1:33" ht="12.75">
      <c r="A249" s="86"/>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row>
    <row r="250" spans="1:33" ht="12.75">
      <c r="A250" s="86"/>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row>
    <row r="251" spans="1:33" ht="12.75">
      <c r="A251" s="86"/>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row>
    <row r="252" spans="1:33" ht="12.75">
      <c r="A252" s="86"/>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row>
    <row r="253" spans="1:33" ht="12.75">
      <c r="A253" s="86"/>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row>
    <row r="254" spans="1:33" ht="12.75">
      <c r="A254" s="86"/>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row>
    <row r="255" spans="1:33" ht="12.75">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row>
    <row r="256" spans="1:33" ht="12.75">
      <c r="A256" s="86"/>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row>
    <row r="257" spans="1:33" ht="12.75">
      <c r="A257" s="86"/>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row>
    <row r="258" spans="1:33" ht="12.75">
      <c r="A258" s="86"/>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row>
    <row r="259" spans="1:33" ht="12.75">
      <c r="A259" s="86"/>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row>
    <row r="260" spans="1:33" ht="12.75">
      <c r="A260" s="86"/>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row>
    <row r="261" spans="1:33" ht="12.75">
      <c r="A261" s="86"/>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row>
    <row r="262" spans="1:33" ht="12.75">
      <c r="A262" s="86"/>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row>
    <row r="263" spans="1:33" ht="12.75">
      <c r="A263" s="86"/>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row>
    <row r="264" spans="1:33" ht="12.75">
      <c r="A264" s="86"/>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row>
    <row r="265" spans="1:33" ht="12.75">
      <c r="A265" s="86"/>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row>
    <row r="266" spans="1:33" ht="12.75">
      <c r="A266" s="86"/>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row>
    <row r="267" spans="1:33" ht="12.75">
      <c r="A267" s="86"/>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row>
    <row r="268" spans="1:33" ht="12.75">
      <c r="A268" s="86"/>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row>
    <row r="269" spans="1:33" ht="12.75">
      <c r="A269" s="86"/>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row>
    <row r="270" spans="1:33" ht="12.75">
      <c r="A270" s="86"/>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row>
    <row r="271" spans="1:33" ht="12.75">
      <c r="A271" s="86"/>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row>
    <row r="272" spans="1:33" ht="12.75">
      <c r="A272" s="86"/>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row>
    <row r="273" spans="1:33" ht="12.75">
      <c r="A273" s="86"/>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row>
    <row r="274" spans="1:33" ht="12.75">
      <c r="A274" s="86"/>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row>
    <row r="275" spans="1:33" ht="12.75">
      <c r="A275" s="86"/>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row>
    <row r="276" spans="1:33" ht="12.75">
      <c r="A276" s="86"/>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row>
    <row r="277" spans="1:33" ht="12.75">
      <c r="A277" s="86"/>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row>
    <row r="278" spans="1:33" ht="12.75">
      <c r="A278" s="86"/>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row>
    <row r="279" spans="1:33" ht="12.75">
      <c r="A279" s="86"/>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row>
    <row r="280" spans="1:33" ht="12.75">
      <c r="A280" s="86"/>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row>
    <row r="281" spans="1:33" ht="12.75">
      <c r="A281" s="86"/>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row>
    <row r="282" spans="1:33" ht="12.75">
      <c r="A282" s="86"/>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row>
    <row r="283" spans="1:33" ht="12.75">
      <c r="A283" s="86"/>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row>
    <row r="284" spans="1:33" ht="12.75">
      <c r="A284" s="86"/>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row>
    <row r="285" spans="1:33" ht="12.75">
      <c r="A285" s="86"/>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row>
    <row r="286" spans="1:33" ht="12.75">
      <c r="A286" s="86"/>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row>
    <row r="287" spans="1:33" ht="12.75">
      <c r="A287" s="86"/>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row>
    <row r="288" spans="1:33" ht="12.75">
      <c r="A288" s="86"/>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row>
    <row r="289" spans="1:33" ht="12.75">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row>
    <row r="290" spans="1:33" ht="12.75">
      <c r="A290" s="86"/>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row>
    <row r="291" spans="1:33" ht="12.75">
      <c r="A291" s="86"/>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row>
    <row r="292" spans="1:33" ht="12.75">
      <c r="A292" s="86"/>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row>
    <row r="293" spans="1:33" ht="12.75">
      <c r="A293" s="86"/>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row>
    <row r="294" spans="1:33" ht="12.75">
      <c r="A294" s="86"/>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row>
    <row r="295" spans="1:33" ht="12.75">
      <c r="A295" s="86"/>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row>
    <row r="296" spans="1:33" ht="12.75">
      <c r="A296" s="86"/>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row>
    <row r="297" spans="1:33" ht="12.75">
      <c r="A297" s="86"/>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row>
    <row r="298" spans="1:33" ht="12.75">
      <c r="A298" s="86"/>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row>
    <row r="299" spans="1:33" ht="12.75">
      <c r="A299" s="86"/>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row>
    <row r="300" spans="1:33" ht="12.75">
      <c r="A300" s="86"/>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row>
    <row r="301" spans="1:33" ht="12.75">
      <c r="A301" s="86"/>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row>
    <row r="302" spans="1:33" ht="12.75">
      <c r="A302" s="86"/>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row>
    <row r="303" spans="1:33" ht="12.75">
      <c r="A303" s="86"/>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row>
    <row r="304" spans="1:33" ht="12.75">
      <c r="A304" s="86"/>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row>
    <row r="305" spans="1:33" ht="12.75">
      <c r="A305" s="86"/>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row>
    <row r="306" spans="1:33" ht="12.75">
      <c r="A306" s="86"/>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row>
    <row r="307" spans="1:33" ht="12.75">
      <c r="A307" s="86"/>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row>
    <row r="308" spans="1:33" ht="12.75">
      <c r="A308" s="86"/>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row>
    <row r="309" spans="1:33" ht="12.75">
      <c r="A309" s="86"/>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row>
    <row r="310" spans="1:33" ht="12.75">
      <c r="A310" s="86"/>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row>
    <row r="311" spans="1:33" ht="12.75">
      <c r="A311" s="86"/>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row>
    <row r="312" spans="1:33" ht="12.75">
      <c r="A312" s="86"/>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row>
    <row r="313" spans="1:33" ht="12.75">
      <c r="A313" s="86"/>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row>
    <row r="314" spans="1:33" ht="12.75">
      <c r="A314" s="86"/>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row>
    <row r="315" spans="1:33" ht="12.75">
      <c r="A315" s="86"/>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row>
    <row r="316" spans="1:33" ht="12.75">
      <c r="A316" s="86"/>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row>
    <row r="317" spans="1:33" ht="12.75">
      <c r="A317" s="86"/>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row>
    <row r="318" spans="1:33" ht="12.75">
      <c r="A318" s="86"/>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row>
    <row r="319" spans="1:33" ht="12.75">
      <c r="A319" s="86"/>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row>
    <row r="320" spans="1:33" ht="12.75">
      <c r="A320" s="86"/>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row>
    <row r="321" spans="1:33" ht="12.75">
      <c r="A321" s="86"/>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row>
    <row r="322" spans="1:33" ht="12.75">
      <c r="A322" s="86"/>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row>
    <row r="323" spans="1:33" ht="12.75">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row>
    <row r="324" spans="1:33" ht="12.75">
      <c r="A324" s="86"/>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row>
    <row r="325" spans="1:33" ht="12.75">
      <c r="A325" s="86"/>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row>
    <row r="326" spans="1:33" ht="12.75">
      <c r="A326" s="86"/>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row>
    <row r="327" spans="1:33" ht="12.75">
      <c r="A327" s="86"/>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row>
    <row r="328" spans="1:33" ht="12.75">
      <c r="A328" s="86"/>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row>
    <row r="329" spans="1:33" ht="12.75">
      <c r="A329" s="86"/>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row>
    <row r="330" spans="1:33" ht="12.75">
      <c r="A330" s="86"/>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row>
    <row r="331" spans="1:33" ht="12.75">
      <c r="A331" s="86"/>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row>
    <row r="332" spans="1:33" ht="12.75">
      <c r="A332" s="86"/>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row>
    <row r="333" spans="1:33" ht="12.75">
      <c r="A333" s="86"/>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row>
    <row r="334" spans="1:33" ht="12.75">
      <c r="A334" s="86"/>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row>
    <row r="335" spans="1:33" ht="12.75">
      <c r="A335" s="86"/>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row>
    <row r="336" spans="1:33" ht="12.75">
      <c r="A336" s="86"/>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row>
    <row r="337" spans="1:33" ht="12.75">
      <c r="A337" s="86"/>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row>
    <row r="338" spans="1:33" ht="12.75">
      <c r="A338" s="86"/>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row>
    <row r="339" spans="1:33" ht="12.75">
      <c r="A339" s="86"/>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row>
    <row r="340" spans="1:33" ht="12.75">
      <c r="A340" s="86"/>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row>
    <row r="341" spans="1:33" ht="12.75">
      <c r="A341" s="86"/>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row>
    <row r="342" spans="1:33" ht="12.75">
      <c r="A342" s="86"/>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row>
    <row r="343" spans="1:33" ht="12.75">
      <c r="A343" s="86"/>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row>
    <row r="344" spans="1:33" ht="12.75">
      <c r="A344" s="86"/>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row>
    <row r="345" spans="1:33" ht="12.75">
      <c r="A345" s="86"/>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row>
    <row r="346" spans="1:33" ht="12.75">
      <c r="A346" s="86"/>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row>
    <row r="347" spans="1:33" ht="12.75">
      <c r="A347" s="86"/>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row>
    <row r="348" spans="1:33" ht="12.75">
      <c r="A348" s="86"/>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row>
    <row r="349" spans="1:33" ht="12.75">
      <c r="A349" s="86"/>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row>
    <row r="350" spans="1:33" ht="12.75">
      <c r="A350" s="86"/>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row>
    <row r="351" spans="1:33" ht="12.75">
      <c r="A351" s="86"/>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row>
    <row r="352" spans="1:33" ht="12.75">
      <c r="A352" s="86"/>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row>
    <row r="353" spans="1:33" ht="12.75">
      <c r="A353" s="86"/>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row>
    <row r="354" spans="1:33" ht="12.75">
      <c r="A354" s="86"/>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row>
    <row r="355" spans="1:33" ht="12.75">
      <c r="A355" s="86"/>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row>
    <row r="356" spans="1:33" ht="12.75">
      <c r="A356" s="86"/>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row>
    <row r="357" spans="1:33" ht="12.75">
      <c r="A357" s="86"/>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row>
    <row r="358" spans="1:33" ht="12.75">
      <c r="A358" s="86"/>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row>
    <row r="359" spans="1:33" ht="12.75">
      <c r="A359" s="86"/>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row>
    <row r="360" spans="1:33" ht="12.75">
      <c r="A360" s="86"/>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row>
    <row r="361" spans="1:33" ht="12.75">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row>
    <row r="362" spans="1:33" ht="12.75">
      <c r="A362" s="86"/>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row>
    <row r="363" spans="1:33" ht="12.75">
      <c r="A363" s="86"/>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row>
    <row r="364" spans="1:33" ht="12.75">
      <c r="A364" s="86"/>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row>
    <row r="365" spans="1:33" ht="12.75">
      <c r="A365" s="86"/>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row>
    <row r="366" spans="1:33" ht="12.75">
      <c r="A366" s="86"/>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row>
    <row r="367" spans="1:33" ht="12.75">
      <c r="A367" s="86"/>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row>
    <row r="368" spans="1:33" ht="12.75">
      <c r="A368" s="86"/>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row>
    <row r="369" spans="1:33" ht="12.75">
      <c r="A369" s="86"/>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row>
    <row r="370" spans="1:33" ht="12.75">
      <c r="A370" s="86"/>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row>
    <row r="371" spans="1:33" ht="12.75">
      <c r="A371" s="86"/>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row>
    <row r="372" spans="1:33" ht="12.75">
      <c r="A372" s="86"/>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row>
    <row r="373" spans="1:33" ht="12.75">
      <c r="A373" s="86"/>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row>
    <row r="374" spans="1:33" ht="12.75">
      <c r="A374" s="86"/>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row>
    <row r="375" spans="1:33" ht="12.75">
      <c r="A375" s="86"/>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row>
    <row r="376" spans="1:33" ht="12.75">
      <c r="A376" s="86"/>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row>
    <row r="377" spans="1:33" ht="12.75">
      <c r="A377" s="86"/>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row>
    <row r="378" spans="1:33" ht="12.75">
      <c r="A378" s="86"/>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row>
    <row r="379" spans="1:33" ht="12.75">
      <c r="A379" s="86"/>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row>
    <row r="380" spans="1:33" ht="12.75">
      <c r="A380" s="86"/>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row>
    <row r="381" spans="1:33" ht="12.75">
      <c r="A381" s="86"/>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row>
    <row r="382" spans="1:33" ht="12.75">
      <c r="A382" s="86"/>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row>
    <row r="383" spans="1:33" ht="12.75">
      <c r="A383" s="86"/>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row>
    <row r="384" spans="1:33" ht="12.75">
      <c r="A384" s="86"/>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row>
    <row r="385" spans="1:33" ht="12.75">
      <c r="A385" s="86"/>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row>
    <row r="386" spans="1:33" ht="12.75">
      <c r="A386" s="86"/>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row>
    <row r="387" spans="1:33" ht="12.75">
      <c r="A387" s="86"/>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row>
    <row r="388" spans="1:33" ht="12.75">
      <c r="A388" s="86"/>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row>
    <row r="389" spans="1:33" ht="12.75">
      <c r="A389" s="86"/>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row>
    <row r="390" spans="1:33" ht="12.75">
      <c r="A390" s="86"/>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row>
    <row r="391" spans="1:33" ht="12.75">
      <c r="A391" s="86"/>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row>
    <row r="392" spans="1:33" ht="12.75">
      <c r="A392" s="86"/>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row>
    <row r="393" spans="1:33" ht="12.75">
      <c r="A393" s="86"/>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row>
    <row r="394" spans="1:33" ht="12.75">
      <c r="A394" s="86"/>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row>
    <row r="395" spans="1:33" ht="12.75">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row>
    <row r="396" spans="1:33" ht="12.75">
      <c r="A396" s="86"/>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row>
    <row r="397" spans="1:33" ht="12.75">
      <c r="A397" s="86"/>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row>
    <row r="398" spans="1:33" ht="12.75">
      <c r="A398" s="86"/>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row>
    <row r="399" spans="1:33" ht="12.75">
      <c r="A399" s="86"/>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row>
    <row r="400" spans="1:33" ht="12.75">
      <c r="A400" s="86"/>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row>
    <row r="401" spans="1:33" ht="12.75">
      <c r="A401" s="86"/>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row>
    <row r="402" spans="1:33" ht="12.75">
      <c r="A402" s="86"/>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row>
    <row r="403" spans="1:33" ht="12.75">
      <c r="A403" s="86"/>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row>
    <row r="404" spans="1:33" ht="12.75">
      <c r="A404" s="86"/>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row>
    <row r="405" spans="1:33" ht="12.75">
      <c r="A405" s="86"/>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row>
    <row r="406" spans="1:33" ht="12.75">
      <c r="A406" s="86"/>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row>
    <row r="407" spans="1:33" ht="12.75">
      <c r="A407" s="86"/>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row>
    <row r="408" spans="1:33" ht="12.75">
      <c r="A408" s="86"/>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row>
    <row r="409" spans="1:33" ht="12.75">
      <c r="A409" s="86"/>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row>
    <row r="410" spans="1:33" ht="12.75">
      <c r="A410" s="86"/>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row>
    <row r="411" spans="1:33" ht="12.75">
      <c r="A411" s="86"/>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row>
    <row r="412" spans="1:33" ht="12.75">
      <c r="A412" s="86"/>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row>
    <row r="413" spans="1:33" ht="12.75">
      <c r="A413" s="86"/>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row>
    <row r="414" spans="1:33" ht="12.75">
      <c r="A414" s="86"/>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row>
    <row r="415" spans="1:33" ht="12.75">
      <c r="A415" s="86"/>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row>
    <row r="416" spans="1:33" ht="12.75">
      <c r="A416" s="86"/>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row>
    <row r="417" spans="1:33" ht="12.75">
      <c r="A417" s="86"/>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row>
    <row r="418" spans="1:33" ht="12.75">
      <c r="A418" s="86"/>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row>
    <row r="419" spans="1:33" ht="12.75">
      <c r="A419" s="86"/>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row>
    <row r="420" spans="1:33" ht="12.75">
      <c r="A420" s="86"/>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row>
    <row r="421" spans="1:33" ht="12.75">
      <c r="A421" s="86"/>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row>
    <row r="422" spans="1:33" ht="12.75">
      <c r="A422" s="86"/>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row>
    <row r="423" spans="1:33" ht="12.75">
      <c r="A423" s="86"/>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row>
    <row r="424" spans="1:33" ht="12.75">
      <c r="A424" s="86"/>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row>
    <row r="425" spans="1:33" ht="12.75">
      <c r="A425" s="86"/>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row>
    <row r="426" spans="1:33" ht="12.75">
      <c r="A426" s="86"/>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row>
    <row r="427" spans="1:33" ht="12.75">
      <c r="A427" s="86"/>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row>
    <row r="428" spans="1:33" ht="12.75">
      <c r="A428" s="86"/>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row>
    <row r="429" spans="1:33" ht="12.75">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row>
    <row r="430" spans="1:33" ht="12.75">
      <c r="A430" s="86"/>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row>
    <row r="431" spans="1:33" ht="12.75">
      <c r="A431" s="86"/>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row>
    <row r="432" spans="1:33" ht="12.75">
      <c r="A432" s="86"/>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row>
    <row r="433" spans="1:33" ht="12.75">
      <c r="A433" s="86"/>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row>
    <row r="434" spans="1:33" ht="12.75">
      <c r="A434" s="86"/>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row>
    <row r="435" spans="1:33" ht="12.75">
      <c r="A435" s="86"/>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row>
    <row r="436" spans="1:33" ht="12.75">
      <c r="A436" s="86"/>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row>
    <row r="437" spans="1:33" ht="12.75">
      <c r="A437" s="86"/>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row>
    <row r="438" spans="1:33" ht="12.75">
      <c r="A438" s="86"/>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row>
    <row r="439" spans="1:33" ht="12.75">
      <c r="A439" s="86"/>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row>
    <row r="440" spans="1:33" ht="12.75">
      <c r="A440" s="86"/>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row>
    <row r="441" spans="1:33" ht="12.75">
      <c r="A441" s="86"/>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row>
    <row r="442" spans="1:33" ht="12.75">
      <c r="A442" s="86"/>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row>
    <row r="443" spans="1:33" ht="12.75">
      <c r="A443" s="86"/>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row>
    <row r="444" spans="1:33" ht="12.75">
      <c r="A444" s="86"/>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row>
    <row r="445" spans="1:33" ht="12.75">
      <c r="A445" s="86"/>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row>
    <row r="446" spans="1:33" ht="12.75">
      <c r="A446" s="86"/>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row>
    <row r="447" spans="1:33" ht="12.75">
      <c r="A447" s="86"/>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row>
    <row r="448" spans="1:33" ht="12.75">
      <c r="A448" s="86"/>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row>
    <row r="449" spans="1:33" ht="12.75">
      <c r="A449" s="86"/>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row>
    <row r="450" spans="1:33" ht="12.75">
      <c r="A450" s="86"/>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row>
    <row r="451" spans="1:33" ht="12.75">
      <c r="A451" s="86"/>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row>
    <row r="452" spans="1:33" ht="12.75">
      <c r="A452" s="86"/>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row>
    <row r="453" spans="1:33" ht="12.75">
      <c r="A453" s="86"/>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row>
    <row r="454" spans="1:33" ht="12.75">
      <c r="A454" s="86"/>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row>
    <row r="455" spans="1:33" ht="12.75">
      <c r="A455" s="86"/>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row>
    <row r="456" spans="1:33" ht="12.75">
      <c r="A456" s="86"/>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row>
    <row r="457" spans="1:33" ht="12.75">
      <c r="A457" s="86"/>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row>
    <row r="458" spans="1:33" ht="12.75">
      <c r="A458" s="86"/>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row>
    <row r="459" spans="1:33" ht="12.75">
      <c r="A459" s="86"/>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row>
    <row r="460" spans="1:33" ht="12.75">
      <c r="A460" s="86"/>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row>
    <row r="461" spans="1:33" ht="12.75">
      <c r="A461" s="86"/>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row>
    <row r="462" spans="1:33" ht="12.75">
      <c r="A462" s="86"/>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row>
    <row r="463" spans="1:33" ht="12.75">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row>
    <row r="464" spans="1:33" ht="12.75">
      <c r="A464" s="86"/>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row>
    <row r="465" spans="1:33" ht="12.75">
      <c r="A465" s="86"/>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row>
    <row r="466" spans="1:33" ht="12.75">
      <c r="A466" s="86"/>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row>
    <row r="467" spans="1:33" ht="12.75">
      <c r="A467" s="86"/>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row>
    <row r="468" spans="1:33" ht="12.75">
      <c r="A468" s="86"/>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row>
    <row r="469" spans="1:33" ht="12.75">
      <c r="A469" s="86"/>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row>
    <row r="470" spans="1:33" ht="12.75">
      <c r="A470" s="86"/>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row>
    <row r="471" spans="1:33" ht="12.75">
      <c r="A471" s="86"/>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row>
    <row r="472" spans="1:33" ht="12.75">
      <c r="A472" s="86"/>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row>
    <row r="473" spans="1:33" ht="12.75">
      <c r="A473" s="86"/>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row>
    <row r="474" spans="1:33" ht="12.75">
      <c r="A474" s="86"/>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row>
    <row r="475" spans="1:33" ht="12.75">
      <c r="A475" s="86"/>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row>
    <row r="476" spans="1:33" ht="12.75">
      <c r="A476" s="86"/>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row>
    <row r="477" spans="1:33" ht="12.75">
      <c r="A477" s="86"/>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row>
    <row r="478" spans="1:33" ht="12.75">
      <c r="A478" s="86"/>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row>
    <row r="479" spans="1:33" ht="12.75">
      <c r="A479" s="86"/>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row>
    <row r="480" spans="1:33" ht="12.75">
      <c r="A480" s="86"/>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row>
    <row r="481" spans="1:33" ht="12.75">
      <c r="A481" s="86"/>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row>
    <row r="482" spans="1:33" ht="12.75">
      <c r="A482" s="86"/>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row>
    <row r="483" spans="1:33" ht="12.75">
      <c r="A483" s="86"/>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row>
    <row r="484" spans="1:33" ht="12.75">
      <c r="A484" s="86"/>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row>
    <row r="485" spans="1:33" ht="12.75">
      <c r="A485" s="86"/>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row>
    <row r="486" spans="1:33" ht="12.75">
      <c r="A486" s="86"/>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row>
    <row r="487" spans="1:33" ht="12.75">
      <c r="A487" s="86"/>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row>
    <row r="488" spans="1:33" ht="12.75">
      <c r="A488" s="86"/>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row>
    <row r="489" spans="1:33" ht="12.75">
      <c r="A489" s="86"/>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pans="1:33" ht="12.75">
      <c r="A490" s="86"/>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pans="1:33" ht="12.75">
      <c r="A491" s="86"/>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pans="1:33" ht="12.75">
      <c r="A492" s="86"/>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pans="1:33" ht="12.75">
      <c r="A493" s="86"/>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pans="1:33" ht="12.75">
      <c r="A494" s="86"/>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pans="1:33" ht="12.75">
      <c r="A495" s="86"/>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pans="1:33" ht="12.75">
      <c r="A496" s="86"/>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pans="1:33" ht="12.75">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pans="1:33" ht="12.75">
      <c r="A498" s="86"/>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pans="1:33" ht="12.75">
      <c r="A499" s="86"/>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pans="1:33" ht="12.75">
      <c r="A500" s="86"/>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pans="1:33" ht="12.75">
      <c r="A501" s="86"/>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pans="1:33" ht="12.75">
      <c r="A502" s="86"/>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pans="1:33" ht="12.75">
      <c r="A503" s="86"/>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pans="1:33" ht="12.75">
      <c r="A504" s="86"/>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pans="1:33" ht="12.75">
      <c r="A505" s="86"/>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pans="1:33" ht="12.75">
      <c r="A506" s="86"/>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pans="1:33" ht="12.75">
      <c r="A507" s="86"/>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pans="1:33" ht="12.75">
      <c r="A508" s="86"/>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pans="1:33" ht="12.75">
      <c r="A509" s="86"/>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pans="1:33" ht="12.75">
      <c r="A510" s="86"/>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pans="1:33" ht="12.75">
      <c r="A511" s="86"/>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pans="1:33" ht="12.75">
      <c r="A512" s="86"/>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pans="1:33" ht="12.75">
      <c r="A513" s="86"/>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pans="1:33" ht="12.75">
      <c r="A514" s="86"/>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pans="1:33" ht="12.75">
      <c r="A515" s="86"/>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pans="1:33" ht="12.75">
      <c r="A516" s="86"/>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row>
    <row r="517" spans="1:33" ht="12.75">
      <c r="A517" s="86"/>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row>
    <row r="518" spans="1:33" ht="12.75">
      <c r="A518" s="86"/>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row>
    <row r="519" spans="1:33" ht="12.75">
      <c r="A519" s="86"/>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row>
    <row r="520" spans="1:33" ht="12.75">
      <c r="A520" s="86"/>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row>
    <row r="521" spans="1:33" ht="12.75">
      <c r="A521" s="86"/>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row>
    <row r="522" spans="1:33" ht="12.75">
      <c r="A522" s="86"/>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row>
    <row r="523" spans="1:33" ht="12.75">
      <c r="A523" s="86"/>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row>
    <row r="524" spans="1:33" ht="12.75">
      <c r="A524" s="86"/>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row>
    <row r="525" spans="1:33" ht="12.75">
      <c r="A525" s="86"/>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row>
    <row r="526" spans="1:33" ht="12.75">
      <c r="A526" s="86"/>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row>
    <row r="527" spans="1:33" ht="12.75">
      <c r="A527" s="86"/>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row>
    <row r="528" spans="1:33" ht="12.75">
      <c r="A528" s="86"/>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row>
    <row r="529" spans="1:33" ht="12.75">
      <c r="A529" s="86"/>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row>
    <row r="530" spans="1:33" ht="12.75">
      <c r="A530" s="86"/>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row>
    <row r="531" spans="1:33" ht="12.75">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row>
    <row r="532" spans="1:33" ht="12.75">
      <c r="A532" s="86"/>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row>
    <row r="533" spans="1:33" ht="12.75">
      <c r="A533" s="86"/>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row>
    <row r="534" spans="1:33" ht="12.75">
      <c r="A534" s="86"/>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row>
    <row r="535" spans="1:33" ht="12.75">
      <c r="A535" s="86"/>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row>
    <row r="536" spans="1:33" ht="12.75">
      <c r="A536" s="86"/>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row>
    <row r="537" spans="1:33" ht="12.75">
      <c r="A537" s="86"/>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row>
    <row r="538" spans="1:33" ht="12.75">
      <c r="A538" s="86"/>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row>
    <row r="539" spans="1:33" ht="12.75">
      <c r="A539" s="86"/>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row>
    <row r="540" spans="1:33" ht="12.75">
      <c r="A540" s="86"/>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row>
    <row r="541" spans="1:33" ht="12.75">
      <c r="A541" s="86"/>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row>
    <row r="542" spans="1:33" ht="12.75">
      <c r="A542" s="86"/>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row>
    <row r="543" spans="1:33" ht="12.75">
      <c r="A543" s="86"/>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row>
    <row r="544" spans="1:33" ht="12.75">
      <c r="A544" s="86"/>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row>
    <row r="545" spans="1:33" ht="12.75">
      <c r="A545" s="86"/>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row>
    <row r="546" spans="1:33" ht="12.75">
      <c r="A546" s="86"/>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row>
    <row r="547" spans="1:33" ht="12.75">
      <c r="A547" s="86"/>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row>
    <row r="548" spans="1:33" ht="12.75">
      <c r="A548" s="86"/>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row>
    <row r="549" spans="1:33" ht="12.75">
      <c r="A549" s="86"/>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row>
    <row r="550" spans="1:33" ht="12.75">
      <c r="A550" s="86"/>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row>
    <row r="551" spans="1:33" ht="12.75">
      <c r="A551" s="86"/>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row>
    <row r="552" spans="1:33" ht="12.75">
      <c r="A552" s="86"/>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row>
    <row r="553" spans="1:33" ht="12.75">
      <c r="A553" s="86"/>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row>
    <row r="554" spans="1:33" ht="12.75">
      <c r="A554" s="86"/>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row>
    <row r="555" spans="1:33" ht="12.75">
      <c r="A555" s="86"/>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row>
    <row r="556" spans="1:33" ht="12.75">
      <c r="A556" s="86"/>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row>
    <row r="557" spans="1:33" ht="12.75">
      <c r="A557" s="86"/>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row>
    <row r="558" spans="1:33" ht="12.75">
      <c r="A558" s="86"/>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row>
    <row r="559" spans="1:33" ht="12.75">
      <c r="A559" s="86"/>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row>
    <row r="560" spans="1:33" ht="12.75">
      <c r="A560" s="86"/>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row>
    <row r="561" spans="1:33" ht="12.75">
      <c r="A561" s="86"/>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row>
    <row r="562" spans="1:33" ht="12.75">
      <c r="A562" s="86"/>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row>
    <row r="563" spans="1:33" ht="12.75">
      <c r="A563" s="86"/>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row>
    <row r="564" spans="1:33" ht="12.75">
      <c r="A564" s="86"/>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row>
    <row r="565" spans="1:33" ht="12.75">
      <c r="A565" s="86"/>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row>
    <row r="566" spans="1:33" ht="12.75">
      <c r="A566" s="86"/>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row>
    <row r="567" spans="1:33" ht="12.75">
      <c r="A567" s="86"/>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row>
    <row r="568" spans="1:33" ht="12.75">
      <c r="A568" s="86"/>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row>
    <row r="569" spans="1:33" ht="12.75">
      <c r="A569" s="86"/>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row>
    <row r="570" spans="1:33" ht="12.75">
      <c r="A570" s="86"/>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row>
    <row r="571" spans="1:33" ht="12.75">
      <c r="A571" s="86"/>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row>
    <row r="572" spans="1:33" ht="12.75">
      <c r="A572" s="86"/>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row>
    <row r="573" spans="1:33" ht="12.75">
      <c r="A573" s="86"/>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row>
    <row r="574" spans="1:33" ht="12.75">
      <c r="A574" s="86"/>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row>
    <row r="575" spans="1:33" ht="12.75">
      <c r="A575" s="86"/>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row>
    <row r="576" spans="1:33" ht="12.75">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ht="12.75">
      <c r="A577" s="86"/>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ht="12.75">
      <c r="A578" s="86"/>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ht="12.75">
      <c r="A579" s="86"/>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ht="12.75">
      <c r="A580" s="86"/>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ht="12.75">
      <c r="A581" s="86"/>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row>
    <row r="582" spans="1:33" ht="12.75">
      <c r="A582" s="86"/>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row>
    <row r="583" spans="1:33" ht="12.75">
      <c r="A583" s="86"/>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row>
    <row r="584" spans="1:33" ht="12.75">
      <c r="A584" s="86"/>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row>
    <row r="585" spans="1:33" ht="12.75">
      <c r="A585" s="86"/>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row>
    <row r="586" spans="1:33" ht="12.75">
      <c r="A586" s="86"/>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row>
    <row r="587" spans="1:33" ht="12.75">
      <c r="A587" s="86"/>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row>
    <row r="588" spans="1:33" ht="12.75">
      <c r="A588" s="86"/>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row>
    <row r="589" spans="1:33" ht="12.75">
      <c r="A589" s="86"/>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row>
    <row r="590" spans="1:33" ht="12.75">
      <c r="A590" s="86"/>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row>
    <row r="591" spans="1:33" ht="12.75">
      <c r="A591" s="86"/>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row>
    <row r="592" spans="1:33" ht="12.75">
      <c r="A592" s="86"/>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row>
    <row r="593" spans="1:33" ht="12.75">
      <c r="A593" s="86"/>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row>
    <row r="594" spans="1:33" ht="12.75">
      <c r="A594" s="86"/>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row>
    <row r="595" spans="1:33" ht="12.75">
      <c r="A595" s="86"/>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row>
    <row r="596" spans="1:33" ht="12.75">
      <c r="A596" s="86"/>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row>
    <row r="597" spans="1:33" ht="12.75">
      <c r="A597" s="86"/>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row>
    <row r="598" spans="1:33" ht="12.75">
      <c r="A598" s="86"/>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row>
    <row r="599" spans="1:33" ht="12.75">
      <c r="A599" s="86"/>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row>
    <row r="600" spans="1:33" ht="12.75">
      <c r="A600" s="86"/>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row>
    <row r="601" spans="1:33" ht="12.75">
      <c r="A601" s="86"/>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row>
    <row r="602" spans="1:33" ht="12.75">
      <c r="A602" s="86"/>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row>
    <row r="603" spans="1:33" ht="12.75">
      <c r="A603" s="86"/>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row>
    <row r="604" spans="1:33" ht="12.75">
      <c r="A604" s="86"/>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row>
    <row r="605" spans="1:33" ht="12.75">
      <c r="A605" s="86"/>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row>
    <row r="606" spans="1:33" ht="12.75">
      <c r="A606" s="86"/>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row>
    <row r="607" spans="1:33" ht="12.75">
      <c r="A607" s="86"/>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row>
    <row r="608" spans="1:33" ht="12.75">
      <c r="A608" s="86"/>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row>
    <row r="609" spans="1:33" ht="12.75">
      <c r="A609" s="86"/>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row>
    <row r="610" spans="1:33" ht="12.75">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row>
    <row r="611" spans="1:33" ht="12.75">
      <c r="A611" s="86"/>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row>
    <row r="612" spans="1:33" ht="12.75">
      <c r="A612" s="86"/>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row>
    <row r="613" spans="1:33" ht="12.75">
      <c r="A613" s="86"/>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row>
    <row r="614" spans="1:33" ht="12.75">
      <c r="A614" s="86"/>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row>
    <row r="615" spans="1:33" ht="12.75">
      <c r="A615" s="86"/>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row>
    <row r="616" spans="1:33" ht="12.75">
      <c r="A616" s="86"/>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row>
    <row r="617" spans="1:33" ht="12.75">
      <c r="A617" s="86"/>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row>
    <row r="618" spans="1:33" ht="12.75">
      <c r="A618" s="86"/>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row>
    <row r="619" spans="1:33" ht="12.75">
      <c r="A619" s="86"/>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row>
    <row r="620" spans="1:33" ht="12.75">
      <c r="A620" s="86"/>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row>
    <row r="621" spans="1:33" ht="12.75">
      <c r="A621" s="86"/>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row>
    <row r="622" spans="1:33" ht="12.75">
      <c r="A622" s="86"/>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row>
    <row r="623" spans="1:33" ht="12.75">
      <c r="A623" s="86"/>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row>
    <row r="624" spans="1:33" ht="12.75">
      <c r="A624" s="86"/>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row>
    <row r="625" spans="1:33" ht="12.75">
      <c r="A625" s="86"/>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row>
    <row r="626" spans="1:33" ht="12.75">
      <c r="A626" s="86"/>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row>
    <row r="627" spans="1:33" ht="12.75">
      <c r="A627" s="86"/>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row>
    <row r="628" spans="1:33" ht="12.75">
      <c r="A628" s="86"/>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row>
    <row r="629" spans="1:33" ht="12.75">
      <c r="A629" s="86"/>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row>
    <row r="630" spans="1:33" ht="12.75">
      <c r="A630" s="86"/>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row>
    <row r="631" spans="1:33" ht="12.75">
      <c r="A631" s="86"/>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row>
    <row r="632" spans="1:33" ht="12.75">
      <c r="A632" s="86"/>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row>
    <row r="633" spans="1:33" ht="12.75">
      <c r="A633" s="86"/>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row>
    <row r="634" spans="1:33" ht="12.75">
      <c r="A634" s="86"/>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row>
    <row r="635" spans="1:33" ht="12.75">
      <c r="A635" s="86"/>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row>
    <row r="636" spans="1:33" ht="12.75">
      <c r="A636" s="86"/>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row>
    <row r="637" spans="1:33" ht="12.75">
      <c r="A637" s="86"/>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row>
    <row r="638" spans="1:33" ht="12.75">
      <c r="A638" s="86"/>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row>
    <row r="639" spans="1:33" ht="12.75">
      <c r="A639" s="86"/>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row>
    <row r="640" spans="1:33" ht="12.75">
      <c r="A640" s="86"/>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row>
    <row r="641" spans="1:33" ht="12.75">
      <c r="A641" s="86"/>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row>
    <row r="642" spans="1:33" ht="12.75">
      <c r="A642" s="86"/>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row>
    <row r="643" spans="1:33" ht="12.75">
      <c r="A643" s="86"/>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row>
    <row r="644" spans="1:33" ht="12.75">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row>
    <row r="645" spans="1:33" ht="12.75">
      <c r="A645" s="86"/>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row>
    <row r="646" spans="1:33" ht="12.75">
      <c r="A646" s="86"/>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row>
    <row r="647" spans="1:33" ht="12.75">
      <c r="A647" s="86"/>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row>
    <row r="648" spans="1:33" ht="12.75">
      <c r="A648" s="86"/>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row>
    <row r="649" spans="1:33" ht="12.75">
      <c r="A649" s="86"/>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row>
    <row r="650" spans="1:33" ht="12.75">
      <c r="A650" s="86"/>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row>
    <row r="651" spans="1:33" ht="12.75">
      <c r="A651" s="86"/>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row>
    <row r="652" spans="1:33" ht="12.75">
      <c r="A652" s="86"/>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row>
    <row r="653" spans="1:33" ht="12.75">
      <c r="A653" s="86"/>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row>
    <row r="654" spans="1:33" ht="12.75">
      <c r="A654" s="86"/>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row>
    <row r="655" spans="1:33" ht="12.75">
      <c r="A655" s="86"/>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row>
    <row r="656" spans="1:33" ht="12.75">
      <c r="A656" s="86"/>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row>
    <row r="657" spans="1:33" ht="12.75">
      <c r="A657" s="86"/>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row>
    <row r="658" spans="1:33" ht="12.75">
      <c r="A658" s="86"/>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row>
    <row r="659" spans="1:33" ht="12.75">
      <c r="A659" s="86"/>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row>
    <row r="660" spans="1:33" ht="12.75">
      <c r="A660" s="86"/>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row>
    <row r="661" spans="1:33" ht="12.75">
      <c r="A661" s="86"/>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row>
    <row r="662" spans="1:33" ht="12.75">
      <c r="A662" s="86"/>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row>
    <row r="663" spans="1:33" ht="12.75">
      <c r="A663" s="86"/>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row>
    <row r="664" spans="1:33" ht="12.75">
      <c r="A664" s="86"/>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row>
    <row r="665" spans="1:33" ht="12.75">
      <c r="A665" s="86"/>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row>
    <row r="666" spans="1:33" ht="12.75">
      <c r="A666" s="86"/>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row>
    <row r="667" spans="1:33" ht="12.75">
      <c r="A667" s="86"/>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row>
    <row r="668" spans="1:33" ht="12.75">
      <c r="A668" s="86"/>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row>
    <row r="669" spans="1:33" ht="12.75">
      <c r="A669" s="86"/>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row>
    <row r="670" spans="1:33" ht="12.75">
      <c r="A670" s="86"/>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row>
    <row r="671" spans="1:33" ht="12.75">
      <c r="A671" s="86"/>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row>
    <row r="672" spans="1:33" ht="12.75">
      <c r="A672" s="86"/>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row>
    <row r="673" spans="1:33" ht="12.75">
      <c r="A673" s="86"/>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row>
    <row r="674" spans="1:33" ht="12.75">
      <c r="A674" s="86"/>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row>
    <row r="675" spans="1:33" ht="12.75">
      <c r="A675" s="86"/>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row>
    <row r="676" spans="1:33" ht="12.75">
      <c r="A676" s="86"/>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row>
    <row r="677" spans="1:33" ht="12.75">
      <c r="A677" s="86"/>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row>
    <row r="678" spans="1:33" ht="12.75">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row>
    <row r="679" spans="1:33" ht="12.75">
      <c r="A679" s="86"/>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row>
    <row r="680" spans="1:33" ht="12.75">
      <c r="A680" s="86"/>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row>
    <row r="681" spans="1:33" ht="12.75">
      <c r="A681" s="86"/>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row>
    <row r="682" spans="1:33" ht="12.75">
      <c r="A682" s="86"/>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row>
    <row r="683" spans="1:33" ht="12.75">
      <c r="A683" s="86"/>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row>
    <row r="684" spans="1:33" ht="12.75">
      <c r="A684" s="86"/>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row>
    <row r="685" spans="1:33" ht="12.75">
      <c r="A685" s="86"/>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row>
    <row r="686" spans="1:33" ht="12.75">
      <c r="A686" s="86"/>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row>
    <row r="687" spans="1:33" ht="12.75">
      <c r="A687" s="86"/>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row>
    <row r="688" spans="1:33" ht="12.75">
      <c r="A688" s="86"/>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row>
    <row r="689" spans="1:33" ht="12.75">
      <c r="A689" s="86"/>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row>
    <row r="690" spans="1:33" ht="12.75">
      <c r="A690" s="86"/>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row>
    <row r="691" spans="1:33" ht="12.75">
      <c r="A691" s="86"/>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row>
    <row r="692" spans="1:33" ht="12.75">
      <c r="A692" s="86"/>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row>
    <row r="693" spans="1:33" ht="12.75">
      <c r="A693" s="86"/>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row>
    <row r="694" spans="1:33" ht="12.75">
      <c r="A694" s="86"/>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row>
    <row r="695" spans="1:33" ht="12.75">
      <c r="A695" s="86"/>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row>
    <row r="696" spans="1:33" ht="12.75">
      <c r="A696" s="86"/>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row>
    <row r="697" spans="1:33" ht="12.75">
      <c r="A697" s="86"/>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row>
    <row r="698" spans="1:33" ht="12.75">
      <c r="A698" s="86"/>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row>
    <row r="699" spans="1:33" ht="12.75">
      <c r="A699" s="86"/>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row>
    <row r="700" spans="1:33" ht="12.75">
      <c r="A700" s="86"/>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row>
    <row r="701" spans="1:33" ht="12.75">
      <c r="A701" s="86"/>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row>
    <row r="702" spans="1:33" ht="12.75">
      <c r="A702" s="86"/>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row>
    <row r="703" spans="1:33" ht="12.75">
      <c r="A703" s="86"/>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row>
    <row r="704" spans="1:33" ht="12.75">
      <c r="A704" s="86"/>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row>
    <row r="705" spans="1:33" ht="12.75">
      <c r="A705" s="86"/>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row>
    <row r="706" spans="1:33" ht="12.75">
      <c r="A706" s="86"/>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row>
    <row r="707" spans="1:33" ht="12.75">
      <c r="A707" s="86"/>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row>
    <row r="708" spans="1:33" ht="12.75">
      <c r="A708" s="86"/>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row>
    <row r="709" spans="1:33" ht="12.75">
      <c r="A709" s="86"/>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row>
    <row r="710" spans="1:33" ht="12.75">
      <c r="A710" s="86"/>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row>
    <row r="711" spans="1:33" ht="12.75">
      <c r="A711" s="86"/>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row>
    <row r="712" spans="1:33" ht="12.75">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row>
    <row r="713" spans="1:33" ht="12.75">
      <c r="A713" s="86"/>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row>
    <row r="714" spans="1:33" ht="12.75">
      <c r="A714" s="86"/>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row>
    <row r="715" spans="1:33" ht="12.75">
      <c r="A715" s="86"/>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row>
    <row r="716" spans="1:33" ht="12.75">
      <c r="A716" s="86"/>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row>
    <row r="717" spans="1:33" ht="12.75">
      <c r="A717" s="86"/>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row>
    <row r="718" spans="1:33" ht="12.75">
      <c r="A718" s="86"/>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row>
    <row r="719" spans="1:33" ht="12.75">
      <c r="A719" s="86"/>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row>
    <row r="720" spans="1:33" ht="12.75">
      <c r="A720" s="86"/>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row>
    <row r="721" spans="1:33" ht="12.75">
      <c r="A721" s="86"/>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row>
    <row r="722" spans="1:33" ht="12.75">
      <c r="A722" s="86"/>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row>
    <row r="723" spans="1:33" ht="12.75">
      <c r="A723" s="86"/>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row>
    <row r="724" spans="1:33" ht="12.75">
      <c r="A724" s="86"/>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row>
    <row r="725" spans="1:33" ht="12.75">
      <c r="A725" s="86"/>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row>
    <row r="726" spans="1:33" ht="12.75">
      <c r="A726" s="86"/>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row>
    <row r="727" spans="1:33" ht="12.75">
      <c r="A727" s="86"/>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row>
    <row r="728" spans="1:33" ht="12.75">
      <c r="A728" s="86"/>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row>
    <row r="729" spans="1:33" ht="12.75">
      <c r="A729" s="86"/>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row>
    <row r="730" spans="1:33" ht="12.75">
      <c r="A730" s="86"/>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row>
    <row r="731" spans="1:33" ht="12.75">
      <c r="A731" s="86"/>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row>
    <row r="732" spans="1:33" ht="12.75">
      <c r="A732" s="86"/>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row>
    <row r="733" spans="1:33" ht="12.75">
      <c r="A733" s="86"/>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row>
    <row r="734" spans="1:33" ht="12.75">
      <c r="A734" s="86"/>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row>
    <row r="735" spans="1:33" ht="12.75">
      <c r="A735" s="86"/>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row>
    <row r="736" spans="1:33" ht="12.75">
      <c r="A736" s="86"/>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row>
    <row r="737" spans="1:33" ht="12.75">
      <c r="A737" s="86"/>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row>
    <row r="738" spans="1:33" ht="12.75">
      <c r="A738" s="86"/>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row>
    <row r="739" spans="1:33" ht="12.75">
      <c r="A739" s="86"/>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row>
    <row r="740" spans="1:33" ht="12.75">
      <c r="A740" s="86"/>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row>
    <row r="741" spans="1:33" ht="12.75">
      <c r="A741" s="86"/>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row>
    <row r="742" spans="1:33" ht="12.75">
      <c r="A742" s="86"/>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row>
    <row r="743" spans="1:33" ht="12.75">
      <c r="A743" s="86"/>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row>
    <row r="744" spans="1:33" ht="12.75">
      <c r="A744" s="86"/>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row>
    <row r="745" spans="1:33" ht="12.75">
      <c r="A745" s="86"/>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row>
    <row r="746" spans="1:33" ht="12.75">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row>
    <row r="747" spans="1:33" ht="12.75">
      <c r="A747" s="86"/>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row>
    <row r="748" spans="1:33" ht="12.75">
      <c r="A748" s="86"/>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row>
    <row r="749" spans="1:33" ht="12.75">
      <c r="A749" s="86"/>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row>
    <row r="750" spans="1:33" ht="12.75">
      <c r="A750" s="86"/>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row>
    <row r="751" spans="1:33" ht="12.75">
      <c r="A751" s="86"/>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row>
    <row r="752" spans="1:33" ht="12.75">
      <c r="A752" s="86"/>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row>
    <row r="753" spans="1:33" ht="12.75">
      <c r="A753" s="86"/>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row>
    <row r="754" spans="1:33" ht="12.75">
      <c r="A754" s="86"/>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row>
    <row r="755" spans="1:33" ht="12.75">
      <c r="A755" s="86"/>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row>
    <row r="756" spans="1:33" ht="12.75">
      <c r="A756" s="86"/>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row>
    <row r="757" spans="1:33" ht="12.75">
      <c r="A757" s="86"/>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row>
    <row r="758" spans="1:33" ht="12.75">
      <c r="A758" s="86"/>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row>
    <row r="759" spans="1:33" ht="12.75">
      <c r="A759" s="86"/>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row>
    <row r="760" spans="1:33" ht="12.75">
      <c r="A760" s="86"/>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row>
    <row r="761" spans="1:33" ht="12.75">
      <c r="A761" s="86"/>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row>
    <row r="762" spans="1:33" ht="12.75">
      <c r="A762" s="86"/>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row>
    <row r="763" spans="1:33" ht="12.75">
      <c r="A763" s="86"/>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row>
    <row r="764" spans="1:33" ht="12.75">
      <c r="A764" s="86"/>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row>
    <row r="765" spans="1:33" ht="12.75">
      <c r="A765" s="86"/>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row>
    <row r="766" spans="1:33" ht="12.75">
      <c r="A766" s="86"/>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row>
    <row r="767" spans="1:33" ht="12.75">
      <c r="A767" s="86"/>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row>
    <row r="768" spans="1:33" ht="12.75">
      <c r="A768" s="86"/>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row>
    <row r="769" spans="1:33" ht="12.75">
      <c r="A769" s="86"/>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row>
    <row r="770" spans="1:33" ht="12.75">
      <c r="A770" s="86"/>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row>
    <row r="771" spans="1:33" ht="12.75">
      <c r="A771" s="86"/>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row>
    <row r="772" spans="1:33" ht="12.75">
      <c r="A772" s="86"/>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row>
    <row r="773" spans="1:33" ht="12.75">
      <c r="A773" s="86"/>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row>
    <row r="774" spans="1:33" ht="12.75">
      <c r="A774" s="86"/>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row>
    <row r="775" spans="1:33" ht="12.75">
      <c r="A775" s="86"/>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row>
    <row r="776" spans="1:33" ht="12.75">
      <c r="A776" s="86"/>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row>
    <row r="777" spans="1:33" ht="12.75">
      <c r="A777" s="86"/>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row>
    <row r="778" spans="1:33" ht="12.75">
      <c r="A778" s="86"/>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row>
    <row r="779" spans="1:33" ht="12.75">
      <c r="A779" s="86"/>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row>
    <row r="780" spans="1:33" ht="12.75">
      <c r="A780" s="86"/>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row>
    <row r="781" spans="1:33" ht="12.75">
      <c r="A781" s="86"/>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row>
    <row r="782" spans="1:33" ht="12.75">
      <c r="A782" s="86"/>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row>
    <row r="783" spans="1:33" ht="12.75">
      <c r="A783" s="86"/>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row>
    <row r="784" spans="1:33" ht="12.75">
      <c r="A784" s="86"/>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row>
    <row r="785" spans="1:33" ht="12.75">
      <c r="A785" s="86"/>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row>
    <row r="786" spans="1:33" ht="12.75">
      <c r="A786" s="86"/>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row>
    <row r="787" spans="1:33" ht="12.75">
      <c r="A787" s="86"/>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row>
    <row r="788" spans="1:33" ht="12.75">
      <c r="A788" s="86"/>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row>
    <row r="789" spans="1:33" ht="12.75">
      <c r="A789" s="86"/>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row>
    <row r="790" spans="1:33" ht="12.75">
      <c r="A790" s="86"/>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row>
    <row r="791" spans="1:33" ht="12.75">
      <c r="A791" s="86"/>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row>
    <row r="792" spans="1:33" ht="12.75">
      <c r="A792" s="86"/>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row>
    <row r="793" spans="1:33" ht="12.75">
      <c r="A793" s="86"/>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row>
    <row r="794" spans="1:33" ht="12.75">
      <c r="A794" s="86"/>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row>
    <row r="795" spans="1:33" ht="12.75">
      <c r="A795" s="86"/>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row>
    <row r="796" spans="1:33" ht="12.75">
      <c r="A796" s="86"/>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row>
    <row r="797" spans="1:33" ht="12.75">
      <c r="A797" s="86"/>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row>
    <row r="798" spans="1:33" ht="12.75">
      <c r="A798" s="86"/>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row>
    <row r="799" spans="1:33" ht="12.75">
      <c r="A799" s="86"/>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row>
    <row r="800" spans="1:33" ht="12.75">
      <c r="A800" s="86"/>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row>
    <row r="801" spans="1:33" ht="12.75">
      <c r="A801" s="86"/>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row>
    <row r="802" spans="1:33" ht="12.75">
      <c r="A802" s="86"/>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row>
    <row r="803" spans="1:33" ht="12.75">
      <c r="A803" s="86"/>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row>
    <row r="804" spans="1:33" ht="12.75">
      <c r="A804" s="86"/>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row>
    <row r="805" spans="1:33" ht="12.75">
      <c r="A805" s="86"/>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row>
    <row r="806" spans="1:33" ht="12.75">
      <c r="A806" s="86"/>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row>
    <row r="807" spans="1:33" ht="12.75">
      <c r="A807" s="86"/>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row>
    <row r="808" spans="1:33" ht="12.75">
      <c r="A808" s="86"/>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row>
    <row r="809" spans="1:33" ht="12.75">
      <c r="A809" s="86"/>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row>
    <row r="810" spans="1:33" ht="12.75">
      <c r="A810" s="86"/>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row>
    <row r="811" spans="1:33" ht="12.75">
      <c r="A811" s="86"/>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row>
    <row r="812" spans="1:33" ht="12.75">
      <c r="A812" s="86"/>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row>
    <row r="813" spans="1:33" ht="12.75">
      <c r="A813" s="86"/>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row>
    <row r="814" spans="1:33" ht="12.75">
      <c r="A814" s="86"/>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row>
    <row r="815" spans="1:33" ht="12.75">
      <c r="A815" s="86"/>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row>
    <row r="816" spans="1:33" ht="12.75">
      <c r="A816" s="86"/>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row>
    <row r="817" spans="1:33" ht="12.75">
      <c r="A817" s="86"/>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row>
    <row r="818" spans="1:33" ht="12.75">
      <c r="A818" s="86"/>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row>
    <row r="819" spans="1:33" ht="12.75">
      <c r="A819" s="86"/>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row>
    <row r="820" spans="1:33" ht="12.75">
      <c r="A820" s="86"/>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row>
    <row r="821" spans="1:33" ht="12.75">
      <c r="A821" s="86"/>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row>
    <row r="822" spans="1:33" ht="12.75">
      <c r="A822" s="86"/>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row>
    <row r="823" spans="1:33" ht="12.75">
      <c r="A823" s="86"/>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row>
    <row r="824" spans="1:33" ht="12.75">
      <c r="A824" s="86"/>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row>
    <row r="825" spans="1:33" ht="12.75">
      <c r="A825" s="86"/>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row>
    <row r="826" spans="1:33" ht="12.75">
      <c r="A826" s="86"/>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row>
    <row r="827" spans="1:33" ht="12.75">
      <c r="A827" s="86"/>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row>
    <row r="828" spans="1:33" ht="12.75">
      <c r="A828" s="86"/>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row>
    <row r="829" spans="1:33" ht="12.75">
      <c r="A829" s="86"/>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row>
    <row r="830" spans="1:33" ht="12.75">
      <c r="A830" s="86"/>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row>
    <row r="831" spans="1:33" ht="12.75">
      <c r="A831" s="86"/>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row>
    <row r="832" spans="1:33" ht="12.75">
      <c r="A832" s="86"/>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row>
    <row r="833" spans="1:33" ht="12.75">
      <c r="A833" s="86"/>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row>
    <row r="834" spans="1:33" ht="12.75">
      <c r="A834" s="86"/>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row>
    <row r="835" spans="1:33" ht="12.75">
      <c r="A835" s="86"/>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row>
    <row r="836" spans="1:33" ht="12.75">
      <c r="A836" s="86"/>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row>
    <row r="837" spans="1:33" ht="12.75">
      <c r="A837" s="86"/>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row>
    <row r="838" spans="1:33" ht="12.75">
      <c r="A838" s="86"/>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row>
    <row r="839" spans="1:33" ht="12.75">
      <c r="A839" s="86"/>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row>
    <row r="840" spans="1:33" ht="12.75">
      <c r="A840" s="86"/>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row>
    <row r="841" spans="1:33" ht="12.75">
      <c r="A841" s="86"/>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row>
    <row r="842" spans="1:33" ht="12.75">
      <c r="A842" s="86"/>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row>
    <row r="843" spans="1:33" ht="12.75">
      <c r="A843" s="86"/>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row>
    <row r="844" spans="1:33" ht="12.75">
      <c r="A844" s="86"/>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row>
    <row r="845" spans="1:33" ht="12.75">
      <c r="A845" s="86"/>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row>
    <row r="846" spans="1:33" ht="12.75">
      <c r="A846" s="86"/>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row>
    <row r="847" spans="1:33" ht="12.75">
      <c r="A847" s="86"/>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row>
    <row r="848" spans="1:33" ht="12.75">
      <c r="A848" s="86"/>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row>
    <row r="849" spans="1:33" ht="12.75">
      <c r="A849" s="86"/>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row>
    <row r="850" spans="1:33" ht="12.75">
      <c r="A850" s="86"/>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row>
    <row r="851" spans="1:33" ht="12.75">
      <c r="A851" s="86"/>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row>
    <row r="852" spans="1:33" ht="12.75">
      <c r="A852" s="86"/>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row>
    <row r="853" spans="1:33" ht="12.75">
      <c r="A853" s="86"/>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row>
    <row r="854" spans="1:33" ht="12.75">
      <c r="A854" s="86"/>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row>
    <row r="855" spans="1:33" ht="12.75">
      <c r="A855" s="86"/>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row>
    <row r="856" spans="1:33" ht="12.75">
      <c r="A856" s="86"/>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row>
    <row r="857" spans="1:33" ht="12.75">
      <c r="A857" s="86"/>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row>
    <row r="858" spans="1:33" ht="12.75">
      <c r="A858" s="86"/>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row>
    <row r="859" spans="1:33" ht="12.75">
      <c r="A859" s="86"/>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row>
    <row r="860" spans="1:33" ht="12.75">
      <c r="A860" s="86"/>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row>
    <row r="861" spans="1:33" ht="12.75">
      <c r="A861" s="86"/>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row>
    <row r="862" spans="1:33" ht="12.75">
      <c r="A862" s="86"/>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row>
    <row r="863" spans="1:33" ht="12.75">
      <c r="A863" s="86"/>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row>
    <row r="864" spans="1:33" ht="12.75">
      <c r="A864" s="86"/>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row>
    <row r="865" spans="1:33" ht="12.75">
      <c r="A865" s="86"/>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row>
    <row r="866" spans="1:33" ht="12.75">
      <c r="A866" s="86"/>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row>
    <row r="867" spans="1:33" ht="12.75">
      <c r="A867" s="86"/>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row>
    <row r="868" spans="1:33" ht="12.75">
      <c r="A868" s="86"/>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row>
    <row r="869" spans="1:33" ht="12.75">
      <c r="A869" s="86"/>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row>
    <row r="870" spans="1:33" ht="12.75">
      <c r="A870" s="86"/>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row>
    <row r="871" spans="1:33" ht="12.75">
      <c r="A871" s="86"/>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row>
    <row r="872" spans="1:33" ht="12.75">
      <c r="A872" s="86"/>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row>
    <row r="873" spans="1:33" ht="12.75">
      <c r="A873" s="86"/>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row>
    <row r="874" spans="1:33" ht="12.75">
      <c r="A874" s="86"/>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row>
    <row r="875" spans="1:33" ht="12.75">
      <c r="A875" s="86"/>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row>
    <row r="876" spans="1:33" ht="12.75">
      <c r="A876" s="86"/>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row>
    <row r="877" spans="1:33" ht="12.75">
      <c r="A877" s="86"/>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row>
    <row r="878" spans="1:33" ht="12.75">
      <c r="A878" s="86"/>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row>
    <row r="879" spans="1:33" ht="12.75">
      <c r="A879" s="86"/>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row>
    <row r="880" spans="1:33" ht="12.75">
      <c r="A880" s="86"/>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row>
    <row r="881" spans="1:33" ht="12.75">
      <c r="A881" s="86"/>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row>
    <row r="882" spans="1:33" ht="12.75">
      <c r="A882" s="86"/>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row>
    <row r="883" spans="1:33" ht="12.75">
      <c r="A883" s="86"/>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row>
    <row r="884" spans="1:33" ht="12.75">
      <c r="A884" s="86"/>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row>
    <row r="885" spans="1:33" ht="12.75">
      <c r="A885" s="86"/>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row>
    <row r="886" spans="1:33" ht="12.75">
      <c r="A886" s="86"/>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row>
    <row r="887" spans="1:33" ht="12.75">
      <c r="A887" s="86"/>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row>
    <row r="888" spans="1:33" ht="12.75">
      <c r="A888" s="86"/>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row>
    <row r="889" spans="1:33" ht="12.75">
      <c r="A889" s="86"/>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row>
    <row r="890" spans="1:33" ht="12.75">
      <c r="A890" s="86"/>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row>
    <row r="891" spans="1:33" ht="12.75">
      <c r="A891" s="86"/>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row>
    <row r="892" spans="1:33" ht="12.75">
      <c r="A892" s="86"/>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row>
    <row r="893" spans="1:33" ht="12.75">
      <c r="A893" s="86"/>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row>
    <row r="894" spans="1:33" ht="12.75">
      <c r="A894" s="86"/>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row>
    <row r="895" spans="1:33" ht="12.75">
      <c r="A895" s="86"/>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row>
    <row r="896" spans="1:33" ht="12.75">
      <c r="A896" s="86"/>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row>
    <row r="897" spans="1:33" ht="12.75">
      <c r="A897" s="86"/>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row>
    <row r="898" spans="1:33" ht="12.75">
      <c r="A898" s="86"/>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row>
    <row r="899" spans="1:33" ht="12.75">
      <c r="A899" s="86"/>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row>
    <row r="900" spans="1:33" ht="12.75">
      <c r="A900" s="86"/>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row>
    <row r="901" spans="1:33" ht="12.75">
      <c r="A901" s="86"/>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row>
    <row r="902" spans="1:33" ht="12.75">
      <c r="A902" s="86"/>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row>
    <row r="903" spans="1:33" ht="12.75">
      <c r="A903" s="86"/>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row>
    <row r="904" spans="1:33" ht="12.75">
      <c r="A904" s="86"/>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row>
    <row r="905" spans="1:33" ht="12.75">
      <c r="A905" s="86"/>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row>
    <row r="906" spans="1:33" ht="12.75">
      <c r="A906" s="86"/>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row>
    <row r="907" spans="1:33" ht="12.75">
      <c r="A907" s="86"/>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row>
    <row r="908" spans="1:33" ht="12.75">
      <c r="A908" s="86"/>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row>
    <row r="909" spans="1:33" ht="12.75">
      <c r="A909" s="86"/>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row>
    <row r="910" spans="1:33" ht="12.75">
      <c r="A910" s="86"/>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row>
    <row r="911" spans="1:33" ht="12.75">
      <c r="A911" s="86"/>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row>
    <row r="912" spans="1:33" ht="12.75">
      <c r="A912" s="86"/>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row>
    <row r="913" spans="1:33" ht="12.75">
      <c r="A913" s="86"/>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row>
    <row r="914" spans="1:33" ht="12.75">
      <c r="A914" s="86"/>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row>
    <row r="915" spans="1:33" ht="12.75">
      <c r="A915" s="86"/>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row>
    <row r="916" spans="1:33" ht="12.75">
      <c r="A916" s="86"/>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row>
    <row r="917" spans="1:33" ht="12.75">
      <c r="A917" s="86"/>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row>
    <row r="918" spans="1:33" ht="12.75">
      <c r="A918" s="86"/>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row>
    <row r="919" spans="1:33" ht="12.75">
      <c r="A919" s="86"/>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row>
    <row r="920" spans="1:33" ht="12.75">
      <c r="A920" s="86"/>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row>
    <row r="921" spans="1:33" ht="12.75">
      <c r="A921" s="86"/>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row>
    <row r="922" spans="1:33" ht="12.75">
      <c r="A922" s="86"/>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row>
    <row r="923" spans="1:33" ht="12.75">
      <c r="A923" s="86"/>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row>
    <row r="924" spans="1:33" ht="12.75">
      <c r="A924" s="86"/>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row>
    <row r="925" spans="1:33" ht="12.75">
      <c r="A925" s="86"/>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row>
    <row r="926" spans="1:33" ht="12.75">
      <c r="A926" s="86"/>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row>
    <row r="927" spans="1:33" ht="12.75">
      <c r="A927" s="86"/>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row>
    <row r="928" spans="1:33" ht="12.75">
      <c r="A928" s="86"/>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row>
    <row r="929" spans="1:33" ht="12.75">
      <c r="A929" s="86"/>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row>
    <row r="930" spans="1:33" ht="12.75">
      <c r="A930" s="86"/>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row>
    <row r="931" spans="1:33" ht="12.75">
      <c r="A931" s="86"/>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row>
    <row r="932" spans="1:33" ht="12.75">
      <c r="A932" s="86"/>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row>
    <row r="933" spans="1:33" ht="12.75">
      <c r="A933" s="86"/>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row>
    <row r="934" spans="1:33" ht="12.75">
      <c r="A934" s="86"/>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row>
    <row r="935" spans="1:33" ht="12.75">
      <c r="A935" s="86"/>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row>
    <row r="936" spans="1:33" ht="12.75">
      <c r="A936" s="86"/>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row>
    <row r="937" spans="1:33" ht="12.75">
      <c r="A937" s="86"/>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row>
    <row r="938" spans="1:33" ht="12.75">
      <c r="A938" s="86"/>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row>
    <row r="939" spans="1:33" ht="12.75">
      <c r="A939" s="86"/>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row>
    <row r="940" spans="1:33" ht="12.75">
      <c r="A940" s="86"/>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row>
    <row r="941" spans="1:33" ht="12.75">
      <c r="A941" s="86"/>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row>
    <row r="942" spans="1:33" ht="12.75">
      <c r="A942" s="86"/>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row>
    <row r="943" spans="1:33" ht="12.75">
      <c r="A943" s="86"/>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row>
    <row r="944" spans="1:33" ht="12.75">
      <c r="A944" s="86"/>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row>
    <row r="945" spans="1:33" ht="12.75">
      <c r="A945" s="86"/>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row>
    <row r="946" spans="1:33" ht="12.75">
      <c r="A946" s="86"/>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row>
    <row r="947" spans="1:33" ht="12.75">
      <c r="A947" s="86"/>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row>
    <row r="948" spans="1:33" ht="12.75">
      <c r="A948" s="86"/>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row>
    <row r="949" spans="1:33" ht="12.75">
      <c r="A949" s="86"/>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row>
    <row r="950" spans="1:33" ht="12.75">
      <c r="A950" s="86"/>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row>
    <row r="951" spans="1:33" ht="12.75">
      <c r="A951" s="86"/>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row>
    <row r="952" spans="1:33" ht="12.75">
      <c r="A952" s="86"/>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row>
    <row r="953" spans="1:33" ht="12.75">
      <c r="A953" s="86"/>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row>
    <row r="954" spans="1:33" ht="12.75">
      <c r="A954" s="86"/>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row>
    <row r="955" spans="1:33" ht="12.75">
      <c r="A955" s="86"/>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row>
    <row r="956" spans="1:33" ht="12.75">
      <c r="A956" s="86"/>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row>
    <row r="957" spans="1:33" ht="12.75">
      <c r="A957" s="86"/>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row>
    <row r="958" spans="1:33" ht="12.75">
      <c r="A958" s="86"/>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row>
    <row r="959" spans="1:33" ht="12.75">
      <c r="A959" s="86"/>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row>
    <row r="960" spans="1:33" ht="12.75">
      <c r="A960" s="86"/>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row>
    <row r="961" spans="1:33" ht="12.75">
      <c r="A961" s="86"/>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row>
    <row r="962" spans="1:33" ht="12.75">
      <c r="A962" s="86"/>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row>
    <row r="963" spans="1:33" ht="12.75">
      <c r="A963" s="86"/>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row>
    <row r="964" spans="1:33" ht="12.75">
      <c r="A964" s="86"/>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row>
    <row r="965" spans="1:33" ht="12.75">
      <c r="A965" s="86"/>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row>
    <row r="966" spans="1:33" ht="12.75">
      <c r="A966" s="86"/>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row>
    <row r="967" spans="1:33" ht="12.75">
      <c r="A967" s="86"/>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row>
    <row r="968" spans="1:33" ht="12.75">
      <c r="A968" s="86"/>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row>
    <row r="969" spans="1:33" ht="12.75">
      <c r="A969" s="86"/>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row>
    <row r="970" spans="1:33" ht="12.75">
      <c r="A970" s="86"/>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row>
    <row r="971" spans="1:33" ht="12.75">
      <c r="A971" s="86"/>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row>
    <row r="972" spans="1:33" ht="12.75">
      <c r="A972" s="86"/>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row>
    <row r="973" spans="1:33" ht="12.75">
      <c r="A973" s="86"/>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row>
    <row r="974" spans="1:33" ht="12.75">
      <c r="A974" s="86"/>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row>
    <row r="975" spans="1:33" ht="12.75">
      <c r="A975" s="86"/>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row>
    <row r="976" spans="1:33" ht="12.75">
      <c r="A976" s="86"/>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row>
    <row r="977" spans="1:33" ht="12.75">
      <c r="A977" s="86"/>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row>
    <row r="978" spans="1:33" ht="12.75">
      <c r="A978" s="86"/>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row>
    <row r="979" spans="1:33" ht="12.75">
      <c r="A979" s="86"/>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row>
    <row r="980" spans="1:33" ht="12.75">
      <c r="A980" s="86"/>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row>
    <row r="981" spans="1:33" ht="12.75">
      <c r="A981" s="86"/>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row>
    <row r="982" spans="1:33" ht="12.75">
      <c r="A982" s="86"/>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row>
    <row r="983" spans="1:33" ht="12.75">
      <c r="A983" s="86"/>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row>
    <row r="984" spans="1:33" ht="12.75">
      <c r="A984" s="86"/>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row>
    <row r="985" spans="1:33" ht="12.75">
      <c r="A985" s="86"/>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row>
    <row r="986" spans="1:33" ht="12.75">
      <c r="A986" s="86"/>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row>
    <row r="987" spans="1:33" ht="12.75">
      <c r="A987" s="86"/>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row>
    <row r="988" spans="1:33" ht="12.75">
      <c r="A988" s="86"/>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row>
    <row r="989" spans="1:33" ht="12.75">
      <c r="A989" s="86"/>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row>
    <row r="990" spans="1:33" ht="12.75">
      <c r="A990" s="86"/>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row>
    <row r="991" spans="1:33" ht="12.75">
      <c r="A991" s="86"/>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row>
  </sheetData>
  <hyperlinks>
    <hyperlink ref="K7" r:id="rId1"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G996"/>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4" width="14.140625" customWidth="1"/>
    <col min="5" max="5" width="17.5703125" customWidth="1"/>
    <col min="6" max="6" width="35.28515625" customWidth="1"/>
    <col min="7" max="33" width="14.140625" customWidth="1"/>
  </cols>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12.75">
      <c r="A2" s="79">
        <v>2015</v>
      </c>
      <c r="B2" s="80" t="s">
        <v>298</v>
      </c>
      <c r="C2" s="81" t="s">
        <v>299</v>
      </c>
      <c r="D2" s="82">
        <v>42187</v>
      </c>
      <c r="E2" s="82">
        <v>42197</v>
      </c>
      <c r="F2" s="71" t="s">
        <v>1897</v>
      </c>
      <c r="G2" s="80" t="s">
        <v>144</v>
      </c>
      <c r="H2" s="80" t="s">
        <v>300</v>
      </c>
      <c r="I2" s="80" t="s">
        <v>301</v>
      </c>
      <c r="J2" s="80"/>
      <c r="K2" s="80"/>
      <c r="L2" s="80"/>
      <c r="M2" s="80"/>
      <c r="N2" s="80"/>
      <c r="O2" s="80"/>
      <c r="P2" s="80"/>
      <c r="Q2" s="80"/>
      <c r="R2" s="80"/>
      <c r="S2" s="80"/>
      <c r="T2" s="80"/>
      <c r="U2" s="80"/>
      <c r="V2" s="80"/>
      <c r="W2" s="80"/>
      <c r="X2" s="80"/>
      <c r="Y2" s="80"/>
      <c r="Z2" s="80"/>
      <c r="AA2" s="80"/>
      <c r="AB2" s="80"/>
      <c r="AC2" s="80"/>
      <c r="AD2" s="80"/>
      <c r="AE2" s="80"/>
      <c r="AF2" s="80"/>
      <c r="AG2" s="80"/>
    </row>
    <row r="3" spans="1:33" ht="12.75">
      <c r="A3" s="79">
        <v>2015</v>
      </c>
      <c r="B3" s="88" t="s">
        <v>1898</v>
      </c>
      <c r="C3" s="81" t="s">
        <v>306</v>
      </c>
      <c r="D3" s="82">
        <v>42199</v>
      </c>
      <c r="E3" s="82">
        <v>42215</v>
      </c>
      <c r="F3" s="71" t="s">
        <v>1897</v>
      </c>
      <c r="G3" s="88" t="s">
        <v>144</v>
      </c>
      <c r="H3" s="88" t="s">
        <v>307</v>
      </c>
      <c r="I3" s="88" t="s">
        <v>307</v>
      </c>
      <c r="J3" s="80"/>
      <c r="K3" s="80" t="s">
        <v>308</v>
      </c>
      <c r="L3" s="88"/>
      <c r="M3" s="80"/>
      <c r="N3" s="80"/>
      <c r="O3" s="80"/>
      <c r="P3" s="80"/>
      <c r="Q3" s="88"/>
      <c r="R3" s="88"/>
      <c r="S3" s="88"/>
      <c r="T3" s="80"/>
      <c r="U3" s="88"/>
      <c r="V3" s="88"/>
      <c r="W3" s="80"/>
      <c r="X3" s="80"/>
      <c r="Y3" s="80"/>
      <c r="Z3" s="80"/>
      <c r="AA3" s="80"/>
      <c r="AB3" s="80"/>
      <c r="AC3" s="80"/>
      <c r="AD3" s="80"/>
      <c r="AE3" s="80"/>
      <c r="AF3" s="80"/>
      <c r="AG3" s="80"/>
    </row>
    <row r="4" spans="1:33" ht="12.75">
      <c r="A4" s="79">
        <v>2016</v>
      </c>
      <c r="B4" s="88" t="s">
        <v>312</v>
      </c>
      <c r="C4" s="89" t="s">
        <v>313</v>
      </c>
      <c r="D4" s="82">
        <v>42181</v>
      </c>
      <c r="E4" s="82">
        <v>42185</v>
      </c>
      <c r="F4" s="71" t="s">
        <v>1897</v>
      </c>
      <c r="G4" s="88" t="s">
        <v>144</v>
      </c>
      <c r="H4" s="88" t="s">
        <v>314</v>
      </c>
      <c r="I4" s="88" t="s">
        <v>315</v>
      </c>
      <c r="J4" s="80"/>
      <c r="K4" s="80"/>
      <c r="L4" s="88"/>
      <c r="M4" s="80"/>
      <c r="N4" s="80"/>
      <c r="O4" s="80"/>
      <c r="P4" s="80"/>
      <c r="Q4" s="88"/>
      <c r="R4" s="88"/>
      <c r="S4" s="88"/>
      <c r="T4" s="80"/>
      <c r="U4" s="88"/>
      <c r="V4" s="88"/>
      <c r="W4" s="80"/>
      <c r="X4" s="80"/>
      <c r="Y4" s="80"/>
      <c r="Z4" s="80"/>
      <c r="AA4" s="80"/>
      <c r="AB4" s="80"/>
      <c r="AC4" s="80"/>
      <c r="AD4" s="80"/>
      <c r="AE4" s="80"/>
      <c r="AF4" s="80"/>
      <c r="AG4" s="80"/>
    </row>
    <row r="5" spans="1:33" ht="12.75">
      <c r="A5" s="75">
        <v>2016</v>
      </c>
      <c r="B5" s="76" t="s">
        <v>1899</v>
      </c>
      <c r="C5" s="76" t="s">
        <v>299</v>
      </c>
      <c r="D5" s="77">
        <v>42555</v>
      </c>
      <c r="E5" s="77">
        <v>42562</v>
      </c>
      <c r="F5" s="76" t="s">
        <v>144</v>
      </c>
      <c r="G5" s="76" t="s">
        <v>144</v>
      </c>
      <c r="H5" s="76" t="s">
        <v>1900</v>
      </c>
      <c r="I5" s="76" t="s">
        <v>320</v>
      </c>
      <c r="J5" s="87"/>
      <c r="K5" s="87"/>
      <c r="L5" s="76" t="s">
        <v>321</v>
      </c>
      <c r="M5" s="76" t="s">
        <v>322</v>
      </c>
      <c r="N5" s="76" t="s">
        <v>323</v>
      </c>
      <c r="O5" s="76" t="s">
        <v>324</v>
      </c>
      <c r="P5" s="76" t="s">
        <v>325</v>
      </c>
      <c r="Q5" s="76" t="s">
        <v>54</v>
      </c>
      <c r="R5" s="76" t="s">
        <v>55</v>
      </c>
      <c r="S5" s="76" t="s">
        <v>326</v>
      </c>
      <c r="T5" s="76" t="s">
        <v>327</v>
      </c>
      <c r="U5" s="76" t="s">
        <v>328</v>
      </c>
      <c r="V5" s="76" t="s">
        <v>329</v>
      </c>
      <c r="W5" s="76" t="s">
        <v>330</v>
      </c>
      <c r="X5" s="76"/>
      <c r="Y5" s="76"/>
      <c r="Z5" s="76"/>
      <c r="AA5" s="76"/>
      <c r="AB5" s="76"/>
      <c r="AC5" s="76"/>
      <c r="AD5" s="76"/>
      <c r="AE5" s="76"/>
      <c r="AF5" s="76"/>
      <c r="AG5" s="76"/>
    </row>
    <row r="6" spans="1:33" ht="12.75">
      <c r="A6" s="90">
        <v>2016</v>
      </c>
      <c r="B6" s="91" t="s">
        <v>1901</v>
      </c>
      <c r="C6" s="91" t="s">
        <v>335</v>
      </c>
      <c r="D6" s="92">
        <v>42552</v>
      </c>
      <c r="E6" s="93">
        <v>42566</v>
      </c>
      <c r="F6" s="91" t="s">
        <v>144</v>
      </c>
      <c r="G6" s="91" t="s">
        <v>193</v>
      </c>
      <c r="H6" s="91" t="s">
        <v>1902</v>
      </c>
      <c r="I6" s="91" t="s">
        <v>337</v>
      </c>
      <c r="J6" s="94"/>
      <c r="K6" s="94"/>
      <c r="L6" s="91" t="s">
        <v>338</v>
      </c>
      <c r="M6" s="94"/>
      <c r="N6" s="94"/>
      <c r="O6" s="94"/>
      <c r="P6" s="94"/>
      <c r="Q6" s="94"/>
      <c r="R6" s="94"/>
      <c r="S6" s="94"/>
      <c r="T6" s="94"/>
      <c r="U6" s="94"/>
      <c r="V6" s="94"/>
      <c r="W6" s="94"/>
      <c r="X6" s="94"/>
      <c r="Y6" s="94"/>
      <c r="Z6" s="94"/>
      <c r="AA6" s="94"/>
      <c r="AB6" s="94"/>
      <c r="AC6" s="94"/>
      <c r="AD6" s="94"/>
      <c r="AE6" s="94"/>
      <c r="AF6" s="94"/>
      <c r="AG6" s="94"/>
    </row>
    <row r="7" spans="1:33" ht="12.75">
      <c r="A7" s="70">
        <v>2016</v>
      </c>
      <c r="B7" s="71" t="s">
        <v>1891</v>
      </c>
      <c r="C7" s="71" t="s">
        <v>150</v>
      </c>
      <c r="D7" s="72">
        <v>42566</v>
      </c>
      <c r="E7" s="72">
        <v>42581</v>
      </c>
      <c r="F7" s="71" t="s">
        <v>144</v>
      </c>
      <c r="G7" s="71" t="s">
        <v>144</v>
      </c>
      <c r="H7" s="71" t="s">
        <v>342</v>
      </c>
      <c r="I7" s="71" t="s">
        <v>343</v>
      </c>
      <c r="J7" s="71" t="s">
        <v>344</v>
      </c>
      <c r="K7" s="71" t="s">
        <v>345</v>
      </c>
      <c r="L7" s="71" t="s">
        <v>346</v>
      </c>
      <c r="M7" s="73"/>
      <c r="N7" s="73"/>
      <c r="O7" s="73"/>
      <c r="P7" s="73"/>
      <c r="Q7" s="71" t="s">
        <v>54</v>
      </c>
      <c r="R7" s="71" t="s">
        <v>55</v>
      </c>
      <c r="S7" s="71" t="s">
        <v>347</v>
      </c>
      <c r="T7" s="71" t="s">
        <v>348</v>
      </c>
      <c r="U7" s="71" t="s">
        <v>103</v>
      </c>
      <c r="V7" s="71" t="s">
        <v>103</v>
      </c>
      <c r="W7" s="71" t="s">
        <v>349</v>
      </c>
      <c r="X7" s="71"/>
      <c r="Y7" s="71"/>
      <c r="Z7" s="71"/>
      <c r="AA7" s="71"/>
      <c r="AB7" s="71"/>
      <c r="AC7" s="71"/>
      <c r="AD7" s="71"/>
      <c r="AE7" s="71"/>
      <c r="AF7" s="71"/>
      <c r="AG7" s="71"/>
    </row>
    <row r="8" spans="1:33" ht="12.75">
      <c r="A8" s="79">
        <v>2017</v>
      </c>
      <c r="B8" s="73" t="s">
        <v>1903</v>
      </c>
      <c r="C8" s="81" t="s">
        <v>306</v>
      </c>
      <c r="D8" s="82">
        <v>42931</v>
      </c>
      <c r="E8" s="82">
        <v>42944</v>
      </c>
      <c r="F8" s="80" t="s">
        <v>144</v>
      </c>
      <c r="G8" s="80" t="s">
        <v>1904</v>
      </c>
      <c r="H8" s="80" t="s">
        <v>342</v>
      </c>
      <c r="I8" s="80" t="s">
        <v>353</v>
      </c>
      <c r="J8" s="80" t="s">
        <v>354</v>
      </c>
      <c r="K8" s="80" t="s">
        <v>355</v>
      </c>
      <c r="L8" s="80" t="s">
        <v>356</v>
      </c>
      <c r="M8" s="80"/>
      <c r="N8" s="80"/>
      <c r="O8" s="80"/>
      <c r="P8" s="80"/>
      <c r="Q8" s="80"/>
      <c r="R8" s="80" t="s">
        <v>55</v>
      </c>
      <c r="S8" s="80"/>
      <c r="T8" s="80"/>
      <c r="U8" s="80" t="s">
        <v>357</v>
      </c>
      <c r="V8" s="80"/>
      <c r="W8" s="80"/>
      <c r="X8" s="80"/>
      <c r="Y8" s="80"/>
      <c r="Z8" s="80"/>
      <c r="AA8" s="80"/>
      <c r="AB8" s="80"/>
      <c r="AC8" s="80"/>
      <c r="AD8" s="80"/>
      <c r="AE8" s="80"/>
      <c r="AF8" s="80"/>
      <c r="AG8" s="80"/>
    </row>
    <row r="9" spans="1:33" ht="12.75">
      <c r="A9" s="79">
        <v>2017</v>
      </c>
      <c r="B9" s="80" t="s">
        <v>1905</v>
      </c>
      <c r="C9" s="81" t="s">
        <v>361</v>
      </c>
      <c r="D9" s="82">
        <v>42929</v>
      </c>
      <c r="E9" s="82">
        <v>42946</v>
      </c>
      <c r="F9" s="80" t="s">
        <v>144</v>
      </c>
      <c r="G9" s="80" t="s">
        <v>144</v>
      </c>
      <c r="H9" s="80" t="s">
        <v>362</v>
      </c>
      <c r="I9" s="80" t="s">
        <v>363</v>
      </c>
      <c r="J9" s="80" t="s">
        <v>364</v>
      </c>
      <c r="K9" s="80" t="s">
        <v>365</v>
      </c>
      <c r="L9" s="80" t="s">
        <v>366</v>
      </c>
      <c r="M9" s="95">
        <v>610259490</v>
      </c>
      <c r="N9" s="80" t="s">
        <v>367</v>
      </c>
      <c r="O9" s="80" t="s">
        <v>368</v>
      </c>
      <c r="P9" s="80" t="s">
        <v>369</v>
      </c>
      <c r="Q9" s="80" t="s">
        <v>54</v>
      </c>
      <c r="R9" s="80" t="s">
        <v>55</v>
      </c>
      <c r="S9" s="80" t="s">
        <v>370</v>
      </c>
      <c r="T9" s="80" t="s">
        <v>371</v>
      </c>
      <c r="U9" s="80" t="s">
        <v>103</v>
      </c>
      <c r="V9" s="80" t="s">
        <v>372</v>
      </c>
      <c r="W9" s="80" t="s">
        <v>373</v>
      </c>
      <c r="X9" s="80"/>
      <c r="Y9" s="80"/>
      <c r="Z9" s="80"/>
      <c r="AA9" s="80"/>
      <c r="AB9" s="80"/>
      <c r="AC9" s="80"/>
      <c r="AD9" s="80"/>
      <c r="AE9" s="80"/>
      <c r="AF9" s="80"/>
      <c r="AG9" s="80"/>
    </row>
    <row r="10" spans="1:33" ht="12.75">
      <c r="A10" s="79">
        <v>2018</v>
      </c>
      <c r="B10" s="88" t="s">
        <v>1886</v>
      </c>
      <c r="C10" s="81" t="s">
        <v>133</v>
      </c>
      <c r="D10" s="82">
        <v>43299</v>
      </c>
      <c r="E10" s="82">
        <v>43310</v>
      </c>
      <c r="F10" s="88" t="s">
        <v>144</v>
      </c>
      <c r="G10" s="88" t="s">
        <v>144</v>
      </c>
      <c r="H10" s="88" t="s">
        <v>377</v>
      </c>
      <c r="I10" s="88" t="s">
        <v>378</v>
      </c>
      <c r="J10" s="80" t="s">
        <v>379</v>
      </c>
      <c r="K10" s="80" t="s">
        <v>380</v>
      </c>
      <c r="L10" s="88" t="s">
        <v>381</v>
      </c>
      <c r="M10" s="80" t="s">
        <v>382</v>
      </c>
      <c r="N10" s="80" t="s">
        <v>383</v>
      </c>
      <c r="O10" s="80" t="s">
        <v>384</v>
      </c>
      <c r="P10" s="80" t="s">
        <v>385</v>
      </c>
      <c r="Q10" s="88" t="s">
        <v>54</v>
      </c>
      <c r="R10" s="88" t="s">
        <v>55</v>
      </c>
      <c r="S10" s="88" t="s">
        <v>386</v>
      </c>
      <c r="T10" s="80" t="s">
        <v>387</v>
      </c>
      <c r="U10" s="88" t="s">
        <v>388</v>
      </c>
      <c r="V10" s="88" t="s">
        <v>372</v>
      </c>
      <c r="W10" s="80" t="s">
        <v>389</v>
      </c>
      <c r="X10" s="80"/>
      <c r="Y10" s="80"/>
      <c r="Z10" s="80"/>
      <c r="AA10" s="80"/>
      <c r="AB10" s="80"/>
      <c r="AC10" s="80"/>
      <c r="AD10" s="80"/>
      <c r="AE10" s="80"/>
      <c r="AF10" s="80"/>
      <c r="AG10" s="80"/>
    </row>
    <row r="11" spans="1:33" ht="12.75">
      <c r="A11" s="79">
        <v>2016</v>
      </c>
      <c r="B11" s="88" t="s">
        <v>1894</v>
      </c>
      <c r="C11" s="81" t="s">
        <v>237</v>
      </c>
      <c r="D11" s="82">
        <v>42567</v>
      </c>
      <c r="E11" s="82">
        <v>42577</v>
      </c>
      <c r="F11" s="88" t="s">
        <v>393</v>
      </c>
      <c r="G11" s="88" t="s">
        <v>393</v>
      </c>
      <c r="H11" s="88" t="s">
        <v>1906</v>
      </c>
      <c r="I11" s="88" t="s">
        <v>395</v>
      </c>
      <c r="J11" s="80"/>
      <c r="K11" s="80"/>
      <c r="L11" s="88"/>
      <c r="M11" s="80"/>
      <c r="N11" s="80"/>
      <c r="O11" s="80"/>
      <c r="P11" s="80"/>
      <c r="Q11" s="88"/>
      <c r="R11" s="88"/>
      <c r="S11" s="88"/>
      <c r="T11" s="80"/>
      <c r="U11" s="88"/>
      <c r="V11" s="88"/>
      <c r="W11" s="80"/>
      <c r="X11" s="80"/>
      <c r="Y11" s="80"/>
      <c r="Z11" s="80"/>
      <c r="AA11" s="80"/>
      <c r="AB11" s="80"/>
      <c r="AC11" s="80"/>
      <c r="AD11" s="80"/>
      <c r="AE11" s="80"/>
      <c r="AF11" s="80"/>
      <c r="AG11" s="80"/>
    </row>
    <row r="12" spans="1:33" ht="12.75">
      <c r="A12" s="79">
        <v>2012</v>
      </c>
      <c r="B12" s="88" t="s">
        <v>305</v>
      </c>
      <c r="C12" s="81" t="s">
        <v>306</v>
      </c>
      <c r="D12" s="82">
        <v>41106</v>
      </c>
      <c r="E12" s="82">
        <v>41119</v>
      </c>
      <c r="F12" s="88" t="s">
        <v>144</v>
      </c>
      <c r="G12" s="88" t="s">
        <v>144</v>
      </c>
      <c r="H12" s="88" t="s">
        <v>307</v>
      </c>
      <c r="I12" s="88" t="s">
        <v>399</v>
      </c>
      <c r="J12" s="80"/>
      <c r="K12" s="80"/>
      <c r="L12" s="88"/>
      <c r="M12" s="80"/>
      <c r="N12" s="80"/>
      <c r="O12" s="80"/>
      <c r="P12" s="80"/>
      <c r="Q12" s="88"/>
      <c r="R12" s="88"/>
      <c r="S12" s="88"/>
      <c r="T12" s="80"/>
      <c r="U12" s="88"/>
      <c r="V12" s="88"/>
      <c r="W12" s="80"/>
      <c r="X12" s="80"/>
      <c r="Y12" s="80"/>
      <c r="Z12" s="80"/>
      <c r="AA12" s="80"/>
      <c r="AB12" s="80"/>
      <c r="AC12" s="80"/>
      <c r="AD12" s="80"/>
      <c r="AE12" s="80"/>
      <c r="AF12" s="80"/>
      <c r="AG12" s="80"/>
    </row>
    <row r="13" spans="1:33" ht="12.75">
      <c r="A13" s="79">
        <v>2019</v>
      </c>
      <c r="B13" s="88" t="s">
        <v>1884</v>
      </c>
      <c r="C13" s="81" t="s">
        <v>403</v>
      </c>
      <c r="D13" s="82">
        <v>43659</v>
      </c>
      <c r="E13" s="82">
        <v>43676</v>
      </c>
      <c r="F13" s="88" t="s">
        <v>144</v>
      </c>
      <c r="G13" s="88" t="s">
        <v>144</v>
      </c>
      <c r="H13" s="88" t="s">
        <v>404</v>
      </c>
      <c r="I13" s="88" t="s">
        <v>405</v>
      </c>
      <c r="J13" s="80" t="s">
        <v>406</v>
      </c>
      <c r="K13" s="80" t="s">
        <v>407</v>
      </c>
      <c r="L13" s="88" t="s">
        <v>408</v>
      </c>
      <c r="M13" s="80" t="s">
        <v>409</v>
      </c>
      <c r="N13" s="80" t="s">
        <v>410</v>
      </c>
      <c r="O13" s="80" t="s">
        <v>411</v>
      </c>
      <c r="P13" s="80" t="s">
        <v>412</v>
      </c>
      <c r="Q13" s="88" t="s">
        <v>54</v>
      </c>
      <c r="R13" s="88" t="s">
        <v>55</v>
      </c>
      <c r="S13" s="88" t="s">
        <v>413</v>
      </c>
      <c r="T13" s="80" t="s">
        <v>414</v>
      </c>
      <c r="U13" s="88" t="s">
        <v>415</v>
      </c>
      <c r="V13" s="88" t="s">
        <v>416</v>
      </c>
      <c r="W13" s="80" t="s">
        <v>417</v>
      </c>
      <c r="X13" s="80" t="s">
        <v>103</v>
      </c>
      <c r="Y13" s="80"/>
      <c r="Z13" s="80"/>
      <c r="AA13" s="80"/>
      <c r="AB13" s="80"/>
      <c r="AC13" s="80"/>
      <c r="AD13" s="80"/>
      <c r="AE13" s="80"/>
      <c r="AF13" s="80"/>
      <c r="AG13" s="80"/>
    </row>
    <row r="14" spans="1:33" ht="12.75">
      <c r="A14" s="79">
        <v>2019</v>
      </c>
      <c r="B14" s="88" t="s">
        <v>1905</v>
      </c>
      <c r="C14" s="81" t="s">
        <v>361</v>
      </c>
      <c r="D14" s="82">
        <v>43659</v>
      </c>
      <c r="E14" s="82">
        <v>43676</v>
      </c>
      <c r="F14" s="88" t="s">
        <v>144</v>
      </c>
      <c r="G14" s="88" t="s">
        <v>144</v>
      </c>
      <c r="H14" s="88" t="s">
        <v>421</v>
      </c>
      <c r="I14" s="88" t="s">
        <v>422</v>
      </c>
      <c r="J14" s="80" t="s">
        <v>423</v>
      </c>
      <c r="K14" s="80" t="s">
        <v>424</v>
      </c>
      <c r="L14" s="88" t="s">
        <v>425</v>
      </c>
      <c r="M14" s="80">
        <v>616302131</v>
      </c>
      <c r="N14" s="80" t="s">
        <v>426</v>
      </c>
      <c r="O14" s="80" t="s">
        <v>427</v>
      </c>
      <c r="P14" s="80" t="s">
        <v>428</v>
      </c>
      <c r="Q14" s="88" t="s">
        <v>54</v>
      </c>
      <c r="R14" s="88" t="s">
        <v>103</v>
      </c>
      <c r="S14" s="88" t="s">
        <v>429</v>
      </c>
      <c r="T14" s="80" t="s">
        <v>430</v>
      </c>
      <c r="U14" s="88" t="s">
        <v>103</v>
      </c>
      <c r="V14" s="88" t="s">
        <v>431</v>
      </c>
      <c r="W14" s="80" t="s">
        <v>432</v>
      </c>
      <c r="X14" s="80" t="s">
        <v>55</v>
      </c>
      <c r="Y14" s="80"/>
      <c r="Z14" s="80"/>
      <c r="AA14" s="80"/>
      <c r="AB14" s="80"/>
      <c r="AC14" s="80"/>
      <c r="AD14" s="80"/>
      <c r="AE14" s="80"/>
      <c r="AF14" s="80"/>
      <c r="AG14" s="80"/>
    </row>
    <row r="15" spans="1:33" ht="12.75">
      <c r="A15" s="79">
        <v>2019</v>
      </c>
      <c r="B15" s="88" t="s">
        <v>1907</v>
      </c>
      <c r="C15" s="81" t="s">
        <v>436</v>
      </c>
      <c r="D15" s="82">
        <v>43661</v>
      </c>
      <c r="E15" s="82">
        <v>43676</v>
      </c>
      <c r="F15" s="88" t="s">
        <v>144</v>
      </c>
      <c r="G15" s="88" t="s">
        <v>144</v>
      </c>
      <c r="H15" s="88" t="s">
        <v>437</v>
      </c>
      <c r="I15" s="88" t="s">
        <v>438</v>
      </c>
      <c r="J15" s="80" t="s">
        <v>439</v>
      </c>
      <c r="K15" s="80" t="s">
        <v>440</v>
      </c>
      <c r="L15" s="88" t="s">
        <v>441</v>
      </c>
      <c r="M15" s="80">
        <v>942727550</v>
      </c>
      <c r="N15" s="80" t="s">
        <v>442</v>
      </c>
      <c r="O15" s="80" t="s">
        <v>443</v>
      </c>
      <c r="P15" s="80" t="s">
        <v>136</v>
      </c>
      <c r="Q15" s="88" t="s">
        <v>54</v>
      </c>
      <c r="R15" s="88" t="s">
        <v>55</v>
      </c>
      <c r="S15" s="88" t="s">
        <v>444</v>
      </c>
      <c r="T15" s="80" t="s">
        <v>445</v>
      </c>
      <c r="U15" s="88" t="s">
        <v>103</v>
      </c>
      <c r="V15" s="88" t="s">
        <v>55</v>
      </c>
      <c r="W15" s="80" t="s">
        <v>446</v>
      </c>
      <c r="X15" s="80" t="s">
        <v>55</v>
      </c>
      <c r="Y15" s="80"/>
      <c r="Z15" s="80"/>
      <c r="AA15" s="80"/>
      <c r="AB15" s="80"/>
      <c r="AC15" s="80"/>
      <c r="AD15" s="80"/>
      <c r="AE15" s="80"/>
      <c r="AF15" s="80"/>
      <c r="AG15" s="80"/>
    </row>
    <row r="16" spans="1:33" ht="12.75">
      <c r="A16" s="79">
        <v>2019</v>
      </c>
      <c r="B16" s="88" t="s">
        <v>1894</v>
      </c>
      <c r="C16" s="81" t="s">
        <v>450</v>
      </c>
      <c r="D16" s="82">
        <v>43662</v>
      </c>
      <c r="E16" s="82">
        <v>43676</v>
      </c>
      <c r="F16" s="88" t="s">
        <v>144</v>
      </c>
      <c r="G16" s="88" t="s">
        <v>144</v>
      </c>
      <c r="H16" s="88" t="s">
        <v>451</v>
      </c>
      <c r="I16" s="88" t="s">
        <v>452</v>
      </c>
      <c r="J16" s="80" t="s">
        <v>453</v>
      </c>
      <c r="K16" s="80" t="s">
        <v>454</v>
      </c>
      <c r="L16" s="88" t="s">
        <v>455</v>
      </c>
      <c r="M16" s="80">
        <v>656800040</v>
      </c>
      <c r="N16" s="80" t="s">
        <v>456</v>
      </c>
      <c r="O16" s="80" t="s">
        <v>457</v>
      </c>
      <c r="P16" s="80" t="s">
        <v>458</v>
      </c>
      <c r="Q16" s="88" t="s">
        <v>100</v>
      </c>
      <c r="R16" s="88" t="s">
        <v>55</v>
      </c>
      <c r="S16" s="88" t="s">
        <v>459</v>
      </c>
      <c r="T16" s="80" t="s">
        <v>460</v>
      </c>
      <c r="U16" s="88" t="s">
        <v>103</v>
      </c>
      <c r="V16" s="88" t="s">
        <v>461</v>
      </c>
      <c r="W16" s="80" t="s">
        <v>462</v>
      </c>
      <c r="X16" s="80" t="s">
        <v>55</v>
      </c>
      <c r="Y16" s="80"/>
      <c r="Z16" s="80"/>
      <c r="AA16" s="80"/>
      <c r="AB16" s="80"/>
      <c r="AC16" s="80"/>
      <c r="AD16" s="80"/>
      <c r="AE16" s="80"/>
      <c r="AF16" s="80"/>
      <c r="AG16" s="80"/>
    </row>
    <row r="17" spans="1:33" ht="12.75">
      <c r="A17" s="86"/>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row>
    <row r="18" spans="1:33" ht="12.75">
      <c r="A18" s="8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row>
    <row r="19" spans="1:33" ht="12.75">
      <c r="A19" s="8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row>
    <row r="20" spans="1:33" ht="12.75">
      <c r="A20" s="8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row>
    <row r="21" spans="1:33" ht="12.75">
      <c r="A21" s="8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row>
    <row r="22" spans="1:33" ht="12.75">
      <c r="A22" s="8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row>
    <row r="23" spans="1:33" ht="12.75">
      <c r="A23" s="8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row>
    <row r="24" spans="1:33" ht="12.75">
      <c r="A24" s="8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row>
    <row r="25" spans="1:33" ht="12.75">
      <c r="A25" s="8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row>
    <row r="26" spans="1:33" ht="12.75">
      <c r="A26" s="8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row>
    <row r="27" spans="1:33" ht="12.75">
      <c r="A27" s="8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row>
    <row r="28" spans="1:33" ht="12.75">
      <c r="A28" s="8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row>
    <row r="29" spans="1:33" ht="12.75">
      <c r="A29" s="8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row>
    <row r="30" spans="1:33" ht="12.75">
      <c r="A30" s="8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row>
    <row r="31" spans="1:33" ht="12.75">
      <c r="A31" s="8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row>
    <row r="32" spans="1:33" ht="12.75">
      <c r="A32" s="8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row>
    <row r="33" spans="1:33" ht="12.75">
      <c r="A33" s="8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row>
    <row r="34" spans="1:33" ht="12.75">
      <c r="A34" s="8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row>
    <row r="35" spans="1:33" ht="12.75">
      <c r="A35" s="8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row>
    <row r="36" spans="1:33" ht="12.75">
      <c r="A36" s="8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row>
    <row r="37" spans="1:33" ht="12.75">
      <c r="A37" s="8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row>
    <row r="38" spans="1:33" ht="12.75">
      <c r="A38" s="8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row>
    <row r="39" spans="1:33" ht="12.75">
      <c r="A39" s="8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row>
    <row r="40" spans="1:33" ht="12.75">
      <c r="A40" s="8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row>
    <row r="41" spans="1:33" ht="12.75">
      <c r="A41" s="8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row>
    <row r="42" spans="1:33" ht="12.75">
      <c r="A42" s="8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row>
    <row r="43" spans="1:33" ht="12.75">
      <c r="A43" s="8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row>
    <row r="44" spans="1:33" ht="12.75">
      <c r="A44" s="8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row>
    <row r="45" spans="1:33" ht="12.75">
      <c r="A45" s="8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row>
    <row r="46" spans="1:33" ht="12.75">
      <c r="A46" s="8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row>
    <row r="47" spans="1:33" ht="12.75">
      <c r="A47" s="8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row>
    <row r="48" spans="1:33" ht="12.75">
      <c r="A48" s="8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row>
    <row r="49" spans="1:33" ht="12.75">
      <c r="A49" s="8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row>
    <row r="50" spans="1:33" ht="12.75">
      <c r="A50" s="8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row>
    <row r="51" spans="1:33" ht="12.75">
      <c r="A51" s="8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row>
    <row r="52" spans="1:33" ht="12.75">
      <c r="A52" s="8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row>
    <row r="53" spans="1:33" ht="12.75">
      <c r="A53" s="8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row>
    <row r="54" spans="1:33" ht="12.75">
      <c r="A54" s="8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row>
    <row r="55" spans="1:33" ht="12.75">
      <c r="A55" s="8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row>
    <row r="56" spans="1:33" ht="12.75">
      <c r="A56" s="8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row>
    <row r="57" spans="1:33" ht="12.75">
      <c r="A57" s="8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row>
    <row r="58" spans="1:33" ht="12.75">
      <c r="A58" s="8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row>
    <row r="59" spans="1:33" ht="12.75">
      <c r="A59" s="8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row>
    <row r="60" spans="1:33" ht="12.75">
      <c r="A60" s="8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row>
    <row r="61" spans="1:33" ht="12.75">
      <c r="A61" s="8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row>
    <row r="62" spans="1:33" ht="12.75">
      <c r="A62" s="8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3" ht="12.75">
      <c r="A63" s="8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row>
    <row r="64" spans="1:33" ht="12.75">
      <c r="A64" s="8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row>
    <row r="65" spans="1:33" ht="12.75">
      <c r="A65" s="8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row>
    <row r="66" spans="1:33" ht="12.75">
      <c r="A66" s="86"/>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row>
    <row r="67" spans="1:33" ht="12.75">
      <c r="A67" s="8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row>
    <row r="68" spans="1:33" ht="12.75">
      <c r="A68" s="86"/>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row>
    <row r="69" spans="1:33" ht="12.75">
      <c r="A69" s="86"/>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row>
    <row r="70" spans="1:33" ht="12.75">
      <c r="A70" s="86"/>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row>
    <row r="71" spans="1:33" ht="12.75">
      <c r="A71" s="86"/>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row>
    <row r="72" spans="1:33" ht="12.75">
      <c r="A72" s="86"/>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row>
    <row r="73" spans="1:33" ht="12.75">
      <c r="A73" s="86"/>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row>
    <row r="74" spans="1:33" ht="12.75">
      <c r="A74" s="86"/>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row>
    <row r="75" spans="1:33" ht="12.75">
      <c r="A75" s="86"/>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row>
    <row r="76" spans="1:33" ht="12.75">
      <c r="A76" s="86"/>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row>
    <row r="77" spans="1:33" ht="12.75">
      <c r="A77" s="86"/>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row>
    <row r="78" spans="1:33" ht="12.75">
      <c r="A78" s="86"/>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row>
    <row r="79" spans="1:33" ht="12.75">
      <c r="A79" s="86"/>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row>
    <row r="80" spans="1:33" ht="12.75">
      <c r="A80" s="86"/>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row>
    <row r="81" spans="1:33" ht="12.75">
      <c r="A81" s="86"/>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row>
    <row r="82" spans="1:33" ht="12.75">
      <c r="A82" s="86"/>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row>
    <row r="83" spans="1:33" ht="12.75">
      <c r="A83" s="86"/>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row>
    <row r="84" spans="1:33" ht="12.75">
      <c r="A84" s="86"/>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row>
    <row r="85" spans="1:33" ht="12.75">
      <c r="A85" s="86"/>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row>
    <row r="86" spans="1:33" ht="12.75">
      <c r="A86" s="86"/>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row>
    <row r="87" spans="1:33" ht="12.75">
      <c r="A87" s="86"/>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row>
    <row r="88" spans="1:33" ht="12.75">
      <c r="A88" s="86"/>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row>
    <row r="89" spans="1:33" ht="12.75">
      <c r="A89" s="86"/>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row>
    <row r="90" spans="1:33" ht="12.75">
      <c r="A90" s="86"/>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row>
    <row r="91" spans="1:33" ht="12.75">
      <c r="A91" s="86"/>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row>
    <row r="92" spans="1:33" ht="12.75">
      <c r="A92" s="86"/>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row>
    <row r="93" spans="1:33" ht="12.75">
      <c r="A93" s="86"/>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row>
    <row r="94" spans="1:33" ht="12.75">
      <c r="A94" s="86"/>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row>
    <row r="95" spans="1:33" ht="12.75">
      <c r="A95" s="86"/>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row>
    <row r="96" spans="1:33" ht="12.75">
      <c r="A96" s="86"/>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row>
    <row r="97" spans="1:33" ht="12.75">
      <c r="A97" s="86"/>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row>
    <row r="98" spans="1:33" ht="12.75">
      <c r="A98" s="86"/>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row>
    <row r="99" spans="1:33" ht="12.75">
      <c r="A99" s="86"/>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row>
    <row r="100" spans="1:33" ht="12.75">
      <c r="A100" s="86"/>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row>
    <row r="101" spans="1:33" ht="12.75">
      <c r="A101" s="86"/>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row>
    <row r="102" spans="1:33" ht="12.75">
      <c r="A102" s="86"/>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row>
    <row r="103" spans="1:33" ht="12.75">
      <c r="A103" s="86"/>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row>
    <row r="104" spans="1:33" ht="12.75">
      <c r="A104" s="86"/>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row>
    <row r="105" spans="1:33" ht="12.75">
      <c r="A105" s="86"/>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row>
    <row r="106" spans="1:33" ht="12.75">
      <c r="A106" s="86"/>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row>
    <row r="107" spans="1:33" ht="12.75">
      <c r="A107" s="86"/>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row>
    <row r="108" spans="1:33" ht="12.75">
      <c r="A108" s="86"/>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row>
    <row r="109" spans="1:33" ht="12.75">
      <c r="A109" s="86"/>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row>
    <row r="110" spans="1:33" ht="12.75">
      <c r="A110" s="86"/>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row>
    <row r="111" spans="1:33" ht="12.75">
      <c r="A111" s="86"/>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row>
    <row r="112" spans="1:33" ht="12.75">
      <c r="A112" s="86"/>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row>
    <row r="113" spans="1:33" ht="12.75">
      <c r="A113" s="86"/>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row>
    <row r="114" spans="1:33" ht="12.75">
      <c r="A114" s="86"/>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row>
    <row r="115" spans="1:33" ht="12.75">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row>
    <row r="116" spans="1:33" ht="12.75">
      <c r="A116" s="86"/>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row>
    <row r="117" spans="1:33" ht="12.75">
      <c r="A117" s="86"/>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row>
    <row r="118" spans="1:33" ht="12.75">
      <c r="A118" s="86"/>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row>
    <row r="119" spans="1:33" ht="12.75">
      <c r="A119" s="86"/>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row>
    <row r="120" spans="1:33" ht="12.75">
      <c r="A120" s="86"/>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row>
    <row r="121" spans="1:33" ht="12.75">
      <c r="A121" s="86"/>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row>
    <row r="122" spans="1:33" ht="12.75">
      <c r="A122" s="86"/>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row>
    <row r="123" spans="1:33" ht="12.75">
      <c r="A123" s="86"/>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row>
    <row r="124" spans="1:33" ht="12.75">
      <c r="A124" s="86"/>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row>
    <row r="125" spans="1:33" ht="12.75">
      <c r="A125" s="86"/>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row>
    <row r="126" spans="1:33" ht="12.75">
      <c r="A126" s="86"/>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row>
    <row r="127" spans="1:33" ht="12.75">
      <c r="A127" s="86"/>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row>
    <row r="128" spans="1:33" ht="12.75">
      <c r="A128" s="86"/>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row>
    <row r="129" spans="1:33" ht="12.75">
      <c r="A129" s="86"/>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row>
    <row r="130" spans="1:33" ht="12.75">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row>
    <row r="131" spans="1:33" ht="12.7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row>
    <row r="132" spans="1:33" ht="12.75">
      <c r="A132" s="86"/>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row>
    <row r="133" spans="1:33" ht="12.75">
      <c r="A133" s="86"/>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row>
    <row r="134" spans="1:33" ht="12.75">
      <c r="A134" s="86"/>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row>
    <row r="135" spans="1:33" ht="12.75">
      <c r="A135" s="86"/>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row>
    <row r="136" spans="1:33" ht="12.75">
      <c r="A136" s="86"/>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row>
    <row r="137" spans="1:33" ht="12.75">
      <c r="A137" s="86"/>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row>
    <row r="138" spans="1:33" ht="12.75">
      <c r="A138" s="86"/>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row>
    <row r="139" spans="1:33" ht="12.75">
      <c r="A139" s="86"/>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row>
    <row r="140" spans="1:33" ht="12.75">
      <c r="A140" s="86"/>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row>
    <row r="141" spans="1:33" ht="12.75">
      <c r="A141" s="86"/>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row>
    <row r="142" spans="1:33" ht="12.75">
      <c r="A142" s="86"/>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row>
    <row r="143" spans="1:33" ht="12.75">
      <c r="A143" s="86"/>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row>
    <row r="144" spans="1:33" ht="12.75">
      <c r="A144" s="86"/>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row>
    <row r="145" spans="1:33" ht="12.75">
      <c r="A145" s="86"/>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row>
    <row r="146" spans="1:33" ht="12.75">
      <c r="A146" s="86"/>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row>
    <row r="147" spans="1:33" ht="12.75">
      <c r="A147" s="86"/>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row>
    <row r="148" spans="1:33" ht="12.75">
      <c r="A148" s="86"/>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row>
    <row r="149" spans="1:33" ht="12.75">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row>
    <row r="150" spans="1:33" ht="12.75">
      <c r="A150" s="86"/>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row>
    <row r="151" spans="1:33" ht="12.75">
      <c r="A151" s="86"/>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row>
    <row r="152" spans="1:33" ht="12.75">
      <c r="A152" s="86"/>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row>
    <row r="153" spans="1:33" ht="12.75">
      <c r="A153" s="86"/>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row>
    <row r="154" spans="1:33" ht="12.75">
      <c r="A154" s="86"/>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row>
    <row r="155" spans="1:33" ht="12.75">
      <c r="A155" s="86"/>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row>
    <row r="156" spans="1:33" ht="12.75">
      <c r="A156" s="86"/>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row>
    <row r="157" spans="1:33" ht="12.75">
      <c r="A157" s="86"/>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row>
    <row r="158" spans="1:33" ht="12.75">
      <c r="A158" s="86"/>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row>
    <row r="159" spans="1:33" ht="12.75">
      <c r="A159" s="86"/>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row>
    <row r="160" spans="1:33" ht="12.75">
      <c r="A160" s="86"/>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row>
    <row r="161" spans="1:33" ht="12.75">
      <c r="A161" s="86"/>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row>
    <row r="162" spans="1:33" ht="12.75">
      <c r="A162" s="86"/>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row>
    <row r="163" spans="1:33" ht="12.75">
      <c r="A163" s="86"/>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row>
    <row r="164" spans="1:33" ht="12.75">
      <c r="A164" s="86"/>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row>
    <row r="165" spans="1:33" ht="12.75">
      <c r="A165" s="86"/>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row>
    <row r="166" spans="1:33" ht="12.75">
      <c r="A166" s="86"/>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row>
    <row r="167" spans="1:33" ht="12.75">
      <c r="A167" s="86"/>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row>
    <row r="168" spans="1:33" ht="12.75">
      <c r="A168" s="86"/>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row>
    <row r="169" spans="1:33" ht="12.75">
      <c r="A169" s="86"/>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row>
    <row r="170" spans="1:33" ht="12.75">
      <c r="A170" s="86"/>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row>
    <row r="171" spans="1:33" ht="12.75">
      <c r="A171" s="86"/>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row>
    <row r="172" spans="1:33" ht="12.75">
      <c r="A172" s="86"/>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row>
    <row r="173" spans="1:33" ht="12.75">
      <c r="A173" s="86"/>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row>
    <row r="174" spans="1:33" ht="12.75">
      <c r="A174" s="86"/>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row>
    <row r="175" spans="1:33" ht="12.75">
      <c r="A175" s="86"/>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row>
    <row r="176" spans="1:33" ht="12.75">
      <c r="A176" s="86"/>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row>
    <row r="177" spans="1:33" ht="12.75">
      <c r="A177" s="86"/>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row>
    <row r="178" spans="1:33" ht="12.75">
      <c r="A178" s="86"/>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row>
    <row r="179" spans="1:33" ht="12.75">
      <c r="A179" s="86"/>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row>
    <row r="180" spans="1:33" ht="12.75">
      <c r="A180" s="86"/>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row>
    <row r="181" spans="1:33" ht="12.75">
      <c r="A181" s="86"/>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row>
    <row r="182" spans="1:33" ht="12.75">
      <c r="A182" s="86"/>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row>
    <row r="183" spans="1:33" ht="12.75">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row>
    <row r="184" spans="1:33" ht="12.75">
      <c r="A184" s="86"/>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row>
    <row r="185" spans="1:33" ht="12.75">
      <c r="A185" s="86"/>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row>
    <row r="186" spans="1:33" ht="12.75">
      <c r="A186" s="86"/>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row>
    <row r="187" spans="1:33" ht="12.75">
      <c r="A187" s="86"/>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row>
    <row r="188" spans="1:33" ht="12.75">
      <c r="A188" s="86"/>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row>
    <row r="189" spans="1:33" ht="12.75">
      <c r="A189" s="86"/>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row>
    <row r="190" spans="1:33" ht="12.75">
      <c r="A190" s="86"/>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row>
    <row r="191" spans="1:33" ht="12.75">
      <c r="A191" s="86"/>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row>
    <row r="192" spans="1:33" ht="12.75">
      <c r="A192" s="86"/>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row>
    <row r="193" spans="1:33" ht="12.75">
      <c r="A193" s="86"/>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row>
    <row r="194" spans="1:33" ht="12.75">
      <c r="A194" s="86"/>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row>
    <row r="195" spans="1:33" ht="12.75">
      <c r="A195" s="86"/>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row>
    <row r="196" spans="1:33" ht="12.75">
      <c r="A196" s="86"/>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row>
    <row r="197" spans="1:33" ht="12.75">
      <c r="A197" s="86"/>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row>
    <row r="198" spans="1:33" ht="12.75">
      <c r="A198" s="86"/>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row>
    <row r="199" spans="1:33" ht="12.75">
      <c r="A199" s="86"/>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row>
    <row r="200" spans="1:33" ht="12.75">
      <c r="A200" s="86"/>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row>
    <row r="201" spans="1:33" ht="12.75">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row>
    <row r="202" spans="1:33" ht="12.75">
      <c r="A202" s="86"/>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row>
    <row r="203" spans="1:33" ht="12.75">
      <c r="A203" s="86"/>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row>
    <row r="204" spans="1:33" ht="12.75">
      <c r="A204" s="86"/>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row>
    <row r="205" spans="1:33" ht="12.75">
      <c r="A205" s="86"/>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row>
    <row r="206" spans="1:33" ht="12.75">
      <c r="A206" s="86"/>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row>
    <row r="207" spans="1:33" ht="12.75">
      <c r="A207" s="86"/>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row>
    <row r="208" spans="1:33" ht="12.75">
      <c r="A208" s="86"/>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row>
    <row r="209" spans="1:33" ht="12.75">
      <c r="A209" s="86"/>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row>
    <row r="210" spans="1:33" ht="12.75">
      <c r="A210" s="86"/>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row>
    <row r="211" spans="1:33" ht="12.75">
      <c r="A211" s="86"/>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row>
    <row r="212" spans="1:33" ht="12.75">
      <c r="A212" s="86"/>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row>
    <row r="213" spans="1:33" ht="12.75">
      <c r="A213" s="86"/>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row>
    <row r="214" spans="1:33" ht="12.75">
      <c r="A214" s="86"/>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row>
    <row r="215" spans="1:33" ht="12.75">
      <c r="A215" s="86"/>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row>
    <row r="216" spans="1:33" ht="12.75">
      <c r="A216" s="86"/>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row>
    <row r="217" spans="1:33" ht="12.75">
      <c r="A217" s="86"/>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row>
    <row r="218" spans="1:33" ht="12.75">
      <c r="A218" s="86"/>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row>
    <row r="219" spans="1:33" ht="12.75">
      <c r="A219" s="86"/>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row>
    <row r="220" spans="1:33" ht="12.75">
      <c r="A220" s="86"/>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row>
    <row r="221" spans="1:33" ht="12.75">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row>
    <row r="222" spans="1:33" ht="12.75">
      <c r="A222" s="86"/>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row>
    <row r="223" spans="1:33" ht="12.75">
      <c r="A223" s="86"/>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row>
    <row r="224" spans="1:33" ht="12.75">
      <c r="A224" s="86"/>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row>
    <row r="225" spans="1:33" ht="12.75">
      <c r="A225" s="86"/>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row>
    <row r="226" spans="1:33" ht="12.75">
      <c r="A226" s="86"/>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row>
    <row r="227" spans="1:33" ht="12.75">
      <c r="A227" s="86"/>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row>
    <row r="228" spans="1:33" ht="12.75">
      <c r="A228" s="86"/>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row>
    <row r="229" spans="1:33" ht="12.75">
      <c r="A229" s="86"/>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row>
    <row r="230" spans="1:33" ht="12.75">
      <c r="A230" s="86"/>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row>
    <row r="231" spans="1:33" ht="12.75">
      <c r="A231" s="86"/>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row>
    <row r="232" spans="1:33" ht="12.75">
      <c r="A232" s="86"/>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row>
    <row r="233" spans="1:33" ht="12.75">
      <c r="A233" s="86"/>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row>
    <row r="234" spans="1:33" ht="12.75">
      <c r="A234" s="86"/>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row>
    <row r="235" spans="1:33" ht="12.75">
      <c r="A235" s="86"/>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row>
    <row r="236" spans="1:33" ht="12.75">
      <c r="A236" s="86"/>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row>
    <row r="237" spans="1:33" ht="12.75">
      <c r="A237" s="86"/>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row>
    <row r="238" spans="1:33" ht="12.75">
      <c r="A238" s="86"/>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row>
    <row r="239" spans="1:33" ht="12.75">
      <c r="A239" s="86"/>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row>
    <row r="240" spans="1:33" ht="12.75">
      <c r="A240" s="86"/>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row>
    <row r="241" spans="1:33" ht="12.75">
      <c r="A241" s="86"/>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row>
    <row r="242" spans="1:33" ht="12.75">
      <c r="A242" s="86"/>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row>
    <row r="243" spans="1:33" ht="12.75">
      <c r="A243" s="86"/>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row>
    <row r="244" spans="1:33" ht="12.75">
      <c r="A244" s="86"/>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row>
    <row r="245" spans="1:33" ht="12.75">
      <c r="A245" s="86"/>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row>
    <row r="246" spans="1:33" ht="12.75">
      <c r="A246" s="86"/>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row>
    <row r="247" spans="1:33" ht="12.75">
      <c r="A247" s="86"/>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row>
    <row r="248" spans="1:33" ht="12.75">
      <c r="A248" s="86"/>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row>
    <row r="249" spans="1:33" ht="12.75">
      <c r="A249" s="86"/>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row>
    <row r="250" spans="1:33" ht="12.75">
      <c r="A250" s="86"/>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row>
    <row r="251" spans="1:33" ht="12.75">
      <c r="A251" s="86"/>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row>
    <row r="252" spans="1:33" ht="12.75">
      <c r="A252" s="86"/>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row>
    <row r="253" spans="1:33" ht="12.75">
      <c r="A253" s="86"/>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row>
    <row r="254" spans="1:33" ht="12.75">
      <c r="A254" s="86"/>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row>
    <row r="255" spans="1:33" ht="12.75">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row>
    <row r="256" spans="1:33" ht="12.75">
      <c r="A256" s="86"/>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row>
    <row r="257" spans="1:33" ht="12.75">
      <c r="A257" s="86"/>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row>
    <row r="258" spans="1:33" ht="12.75">
      <c r="A258" s="86"/>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row>
    <row r="259" spans="1:33" ht="12.75">
      <c r="A259" s="86"/>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row>
    <row r="260" spans="1:33" ht="12.75">
      <c r="A260" s="86"/>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row>
    <row r="261" spans="1:33" ht="12.75">
      <c r="A261" s="86"/>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row>
    <row r="262" spans="1:33" ht="12.75">
      <c r="A262" s="86"/>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row>
    <row r="263" spans="1:33" ht="12.75">
      <c r="A263" s="86"/>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row>
    <row r="264" spans="1:33" ht="12.75">
      <c r="A264" s="86"/>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row>
    <row r="265" spans="1:33" ht="12.75">
      <c r="A265" s="86"/>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row>
    <row r="266" spans="1:33" ht="12.75">
      <c r="A266" s="86"/>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row>
    <row r="267" spans="1:33" ht="12.75">
      <c r="A267" s="86"/>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row>
    <row r="268" spans="1:33" ht="12.75">
      <c r="A268" s="86"/>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row>
    <row r="269" spans="1:33" ht="12.75">
      <c r="A269" s="86"/>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row>
    <row r="270" spans="1:33" ht="12.75">
      <c r="A270" s="86"/>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row>
    <row r="271" spans="1:33" ht="12.75">
      <c r="A271" s="86"/>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row>
    <row r="272" spans="1:33" ht="12.75">
      <c r="A272" s="86"/>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row>
    <row r="273" spans="1:33" ht="12.75">
      <c r="A273" s="86"/>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row>
    <row r="274" spans="1:33" ht="12.75">
      <c r="A274" s="86"/>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row>
    <row r="275" spans="1:33" ht="12.75">
      <c r="A275" s="86"/>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row>
    <row r="276" spans="1:33" ht="12.75">
      <c r="A276" s="86"/>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row>
    <row r="277" spans="1:33" ht="12.75">
      <c r="A277" s="86"/>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row>
    <row r="278" spans="1:33" ht="12.75">
      <c r="A278" s="86"/>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row>
    <row r="279" spans="1:33" ht="12.75">
      <c r="A279" s="86"/>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row>
    <row r="280" spans="1:33" ht="12.75">
      <c r="A280" s="86"/>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row>
    <row r="281" spans="1:33" ht="12.75">
      <c r="A281" s="86"/>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row>
    <row r="282" spans="1:33" ht="12.75">
      <c r="A282" s="86"/>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row>
    <row r="283" spans="1:33" ht="12.75">
      <c r="A283" s="86"/>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row>
    <row r="284" spans="1:33" ht="12.75">
      <c r="A284" s="86"/>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row>
    <row r="285" spans="1:33" ht="12.75">
      <c r="A285" s="86"/>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row>
    <row r="286" spans="1:33" ht="12.75">
      <c r="A286" s="86"/>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row>
    <row r="287" spans="1:33" ht="12.75">
      <c r="A287" s="86"/>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row>
    <row r="288" spans="1:33" ht="12.75">
      <c r="A288" s="86"/>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row>
    <row r="289" spans="1:33" ht="12.75">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row>
    <row r="290" spans="1:33" ht="12.75">
      <c r="A290" s="86"/>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row>
    <row r="291" spans="1:33" ht="12.75">
      <c r="A291" s="86"/>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row>
    <row r="292" spans="1:33" ht="12.75">
      <c r="A292" s="86"/>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row>
    <row r="293" spans="1:33" ht="12.75">
      <c r="A293" s="86"/>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row>
    <row r="294" spans="1:33" ht="12.75">
      <c r="A294" s="86"/>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row>
    <row r="295" spans="1:33" ht="12.75">
      <c r="A295" s="86"/>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row>
    <row r="296" spans="1:33" ht="12.75">
      <c r="A296" s="86"/>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row>
    <row r="297" spans="1:33" ht="12.75">
      <c r="A297" s="86"/>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row>
    <row r="298" spans="1:33" ht="12.75">
      <c r="A298" s="86"/>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row>
    <row r="299" spans="1:33" ht="12.75">
      <c r="A299" s="86"/>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row>
    <row r="300" spans="1:33" ht="12.75">
      <c r="A300" s="86"/>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row>
    <row r="301" spans="1:33" ht="12.75">
      <c r="A301" s="86"/>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row>
    <row r="302" spans="1:33" ht="12.75">
      <c r="A302" s="86"/>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row>
    <row r="303" spans="1:33" ht="12.75">
      <c r="A303" s="86"/>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row>
    <row r="304" spans="1:33" ht="12.75">
      <c r="A304" s="86"/>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row>
    <row r="305" spans="1:33" ht="12.75">
      <c r="A305" s="86"/>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row>
    <row r="306" spans="1:33" ht="12.75">
      <c r="A306" s="86"/>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row>
    <row r="307" spans="1:33" ht="12.75">
      <c r="A307" s="86"/>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row>
    <row r="308" spans="1:33" ht="12.75">
      <c r="A308" s="86"/>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row>
    <row r="309" spans="1:33" ht="12.75">
      <c r="A309" s="86"/>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row>
    <row r="310" spans="1:33" ht="12.75">
      <c r="A310" s="86"/>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row>
    <row r="311" spans="1:33" ht="12.75">
      <c r="A311" s="86"/>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row>
    <row r="312" spans="1:33" ht="12.75">
      <c r="A312" s="86"/>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row>
    <row r="313" spans="1:33" ht="12.75">
      <c r="A313" s="86"/>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row>
    <row r="314" spans="1:33" ht="12.75">
      <c r="A314" s="86"/>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row>
    <row r="315" spans="1:33" ht="12.75">
      <c r="A315" s="86"/>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row>
    <row r="316" spans="1:33" ht="12.75">
      <c r="A316" s="86"/>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row>
    <row r="317" spans="1:33" ht="12.75">
      <c r="A317" s="86"/>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row>
    <row r="318" spans="1:33" ht="12.75">
      <c r="A318" s="86"/>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row>
    <row r="319" spans="1:33" ht="12.75">
      <c r="A319" s="86"/>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row>
    <row r="320" spans="1:33" ht="12.75">
      <c r="A320" s="86"/>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row>
    <row r="321" spans="1:33" ht="12.75">
      <c r="A321" s="86"/>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row>
    <row r="322" spans="1:33" ht="12.75">
      <c r="A322" s="86"/>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row>
    <row r="323" spans="1:33" ht="12.75">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row>
    <row r="324" spans="1:33" ht="12.75">
      <c r="A324" s="86"/>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row>
    <row r="325" spans="1:33" ht="12.75">
      <c r="A325" s="86"/>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row>
    <row r="326" spans="1:33" ht="12.75">
      <c r="A326" s="86"/>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row>
    <row r="327" spans="1:33" ht="12.75">
      <c r="A327" s="86"/>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row>
    <row r="328" spans="1:33" ht="12.75">
      <c r="A328" s="86"/>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row>
    <row r="329" spans="1:33" ht="12.75">
      <c r="A329" s="86"/>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row>
    <row r="330" spans="1:33" ht="12.75">
      <c r="A330" s="86"/>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row>
    <row r="331" spans="1:33" ht="12.75">
      <c r="A331" s="86"/>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row>
    <row r="332" spans="1:33" ht="12.75">
      <c r="A332" s="86"/>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row>
    <row r="333" spans="1:33" ht="12.75">
      <c r="A333" s="86"/>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row>
    <row r="334" spans="1:33" ht="12.75">
      <c r="A334" s="86"/>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row>
    <row r="335" spans="1:33" ht="12.75">
      <c r="A335" s="86"/>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row>
    <row r="336" spans="1:33" ht="12.75">
      <c r="A336" s="86"/>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row>
    <row r="337" spans="1:33" ht="12.75">
      <c r="A337" s="86"/>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row>
    <row r="338" spans="1:33" ht="12.75">
      <c r="A338" s="86"/>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row>
    <row r="339" spans="1:33" ht="12.75">
      <c r="A339" s="86"/>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row>
    <row r="340" spans="1:33" ht="12.75">
      <c r="A340" s="86"/>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row>
    <row r="341" spans="1:33" ht="12.75">
      <c r="A341" s="86"/>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row>
    <row r="342" spans="1:33" ht="12.75">
      <c r="A342" s="86"/>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row>
    <row r="343" spans="1:33" ht="12.75">
      <c r="A343" s="86"/>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row>
    <row r="344" spans="1:33" ht="12.75">
      <c r="A344" s="86"/>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row>
    <row r="345" spans="1:33" ht="12.75">
      <c r="A345" s="86"/>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row>
    <row r="346" spans="1:33" ht="12.75">
      <c r="A346" s="86"/>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row>
    <row r="347" spans="1:33" ht="12.75">
      <c r="A347" s="86"/>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row>
    <row r="348" spans="1:33" ht="12.75">
      <c r="A348" s="86"/>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row>
    <row r="349" spans="1:33" ht="12.75">
      <c r="A349" s="86"/>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row>
    <row r="350" spans="1:33" ht="12.75">
      <c r="A350" s="86"/>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row>
    <row r="351" spans="1:33" ht="12.75">
      <c r="A351" s="86"/>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row>
    <row r="352" spans="1:33" ht="12.75">
      <c r="A352" s="86"/>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row>
    <row r="353" spans="1:33" ht="12.75">
      <c r="A353" s="86"/>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row>
    <row r="354" spans="1:33" ht="12.75">
      <c r="A354" s="86"/>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row>
    <row r="355" spans="1:33" ht="12.75">
      <c r="A355" s="86"/>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row>
    <row r="356" spans="1:33" ht="12.75">
      <c r="A356" s="86"/>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row>
    <row r="357" spans="1:33" ht="12.75">
      <c r="A357" s="86"/>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row>
    <row r="358" spans="1:33" ht="12.75">
      <c r="A358" s="86"/>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row>
    <row r="359" spans="1:33" ht="12.75">
      <c r="A359" s="86"/>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row>
    <row r="360" spans="1:33" ht="12.75">
      <c r="A360" s="86"/>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row>
    <row r="361" spans="1:33" ht="12.75">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row>
    <row r="362" spans="1:33" ht="12.75">
      <c r="A362" s="86"/>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row>
    <row r="363" spans="1:33" ht="12.75">
      <c r="A363" s="86"/>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row>
    <row r="364" spans="1:33" ht="12.75">
      <c r="A364" s="86"/>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row>
    <row r="365" spans="1:33" ht="12.75">
      <c r="A365" s="86"/>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row>
    <row r="366" spans="1:33" ht="12.75">
      <c r="A366" s="86"/>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row>
    <row r="367" spans="1:33" ht="12.75">
      <c r="A367" s="86"/>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row>
    <row r="368" spans="1:33" ht="12.75">
      <c r="A368" s="86"/>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row>
    <row r="369" spans="1:33" ht="12.75">
      <c r="A369" s="86"/>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row>
    <row r="370" spans="1:33" ht="12.75">
      <c r="A370" s="86"/>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row>
    <row r="371" spans="1:33" ht="12.75">
      <c r="A371" s="86"/>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row>
    <row r="372" spans="1:33" ht="12.75">
      <c r="A372" s="86"/>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row>
    <row r="373" spans="1:33" ht="12.75">
      <c r="A373" s="86"/>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row>
    <row r="374" spans="1:33" ht="12.75">
      <c r="A374" s="86"/>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row>
    <row r="375" spans="1:33" ht="12.75">
      <c r="A375" s="86"/>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row>
    <row r="376" spans="1:33" ht="12.75">
      <c r="A376" s="86"/>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row>
    <row r="377" spans="1:33" ht="12.75">
      <c r="A377" s="86"/>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row>
    <row r="378" spans="1:33" ht="12.75">
      <c r="A378" s="86"/>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row>
    <row r="379" spans="1:33" ht="12.75">
      <c r="A379" s="86"/>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row>
    <row r="380" spans="1:33" ht="12.75">
      <c r="A380" s="86"/>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row>
    <row r="381" spans="1:33" ht="12.75">
      <c r="A381" s="86"/>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row>
    <row r="382" spans="1:33" ht="12.75">
      <c r="A382" s="86"/>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row>
    <row r="383" spans="1:33" ht="12.75">
      <c r="A383" s="86"/>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row>
    <row r="384" spans="1:33" ht="12.75">
      <c r="A384" s="86"/>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row>
    <row r="385" spans="1:33" ht="12.75">
      <c r="A385" s="86"/>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row>
    <row r="386" spans="1:33" ht="12.75">
      <c r="A386" s="86"/>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row>
    <row r="387" spans="1:33" ht="12.75">
      <c r="A387" s="86"/>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row>
    <row r="388" spans="1:33" ht="12.75">
      <c r="A388" s="86"/>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row>
    <row r="389" spans="1:33" ht="12.75">
      <c r="A389" s="86"/>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row>
    <row r="390" spans="1:33" ht="12.75">
      <c r="A390" s="86"/>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row>
    <row r="391" spans="1:33" ht="12.75">
      <c r="A391" s="86"/>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row>
    <row r="392" spans="1:33" ht="12.75">
      <c r="A392" s="86"/>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row>
    <row r="393" spans="1:33" ht="12.75">
      <c r="A393" s="86"/>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row>
    <row r="394" spans="1:33" ht="12.75">
      <c r="A394" s="86"/>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row>
    <row r="395" spans="1:33" ht="12.75">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row>
    <row r="396" spans="1:33" ht="12.75">
      <c r="A396" s="86"/>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row>
    <row r="397" spans="1:33" ht="12.75">
      <c r="A397" s="86"/>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row>
    <row r="398" spans="1:33" ht="12.75">
      <c r="A398" s="86"/>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row>
    <row r="399" spans="1:33" ht="12.75">
      <c r="A399" s="86"/>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row>
    <row r="400" spans="1:33" ht="12.75">
      <c r="A400" s="86"/>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row>
    <row r="401" spans="1:33" ht="12.75">
      <c r="A401" s="86"/>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row>
    <row r="402" spans="1:33" ht="12.75">
      <c r="A402" s="86"/>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row>
    <row r="403" spans="1:33" ht="12.75">
      <c r="A403" s="86"/>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row>
    <row r="404" spans="1:33" ht="12.75">
      <c r="A404" s="86"/>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row>
    <row r="405" spans="1:33" ht="12.75">
      <c r="A405" s="86"/>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row>
    <row r="406" spans="1:33" ht="12.75">
      <c r="A406" s="86"/>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row>
    <row r="407" spans="1:33" ht="12.75">
      <c r="A407" s="86"/>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row>
    <row r="408" spans="1:33" ht="12.75">
      <c r="A408" s="86"/>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row>
    <row r="409" spans="1:33" ht="12.75">
      <c r="A409" s="86"/>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row>
    <row r="410" spans="1:33" ht="12.75">
      <c r="A410" s="86"/>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row>
    <row r="411" spans="1:33" ht="12.75">
      <c r="A411" s="86"/>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row>
    <row r="412" spans="1:33" ht="12.75">
      <c r="A412" s="86"/>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row>
    <row r="413" spans="1:33" ht="12.75">
      <c r="A413" s="86"/>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row>
    <row r="414" spans="1:33" ht="12.75">
      <c r="A414" s="86"/>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row>
    <row r="415" spans="1:33" ht="12.75">
      <c r="A415" s="86"/>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row>
    <row r="416" spans="1:33" ht="12.75">
      <c r="A416" s="86"/>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row>
    <row r="417" spans="1:33" ht="12.75">
      <c r="A417" s="86"/>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row>
    <row r="418" spans="1:33" ht="12.75">
      <c r="A418" s="86"/>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row>
    <row r="419" spans="1:33" ht="12.75">
      <c r="A419" s="86"/>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row>
    <row r="420" spans="1:33" ht="12.75">
      <c r="A420" s="86"/>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row>
    <row r="421" spans="1:33" ht="12.75">
      <c r="A421" s="86"/>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row>
    <row r="422" spans="1:33" ht="12.75">
      <c r="A422" s="86"/>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row>
    <row r="423" spans="1:33" ht="12.75">
      <c r="A423" s="86"/>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row>
    <row r="424" spans="1:33" ht="12.75">
      <c r="A424" s="86"/>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row>
    <row r="425" spans="1:33" ht="12.75">
      <c r="A425" s="86"/>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row>
    <row r="426" spans="1:33" ht="12.75">
      <c r="A426" s="86"/>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row>
    <row r="427" spans="1:33" ht="12.75">
      <c r="A427" s="86"/>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row>
    <row r="428" spans="1:33" ht="12.75">
      <c r="A428" s="86"/>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row>
    <row r="429" spans="1:33" ht="12.75">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row>
    <row r="430" spans="1:33" ht="12.75">
      <c r="A430" s="86"/>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row>
    <row r="431" spans="1:33" ht="12.75">
      <c r="A431" s="86"/>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row>
    <row r="432" spans="1:33" ht="12.75">
      <c r="A432" s="86"/>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row>
    <row r="433" spans="1:33" ht="12.75">
      <c r="A433" s="86"/>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row>
    <row r="434" spans="1:33" ht="12.75">
      <c r="A434" s="86"/>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row>
    <row r="435" spans="1:33" ht="12.75">
      <c r="A435" s="86"/>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row>
    <row r="436" spans="1:33" ht="12.75">
      <c r="A436" s="86"/>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row>
    <row r="437" spans="1:33" ht="12.75">
      <c r="A437" s="86"/>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row>
    <row r="438" spans="1:33" ht="12.75">
      <c r="A438" s="86"/>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row>
    <row r="439" spans="1:33" ht="12.75">
      <c r="A439" s="86"/>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row>
    <row r="440" spans="1:33" ht="12.75">
      <c r="A440" s="86"/>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row>
    <row r="441" spans="1:33" ht="12.75">
      <c r="A441" s="86"/>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row>
    <row r="442" spans="1:33" ht="12.75">
      <c r="A442" s="86"/>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row>
    <row r="443" spans="1:33" ht="12.75">
      <c r="A443" s="86"/>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row>
    <row r="444" spans="1:33" ht="12.75">
      <c r="A444" s="86"/>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row>
    <row r="445" spans="1:33" ht="12.75">
      <c r="A445" s="86"/>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row>
    <row r="446" spans="1:33" ht="12.75">
      <c r="A446" s="86"/>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row>
    <row r="447" spans="1:33" ht="12.75">
      <c r="A447" s="86"/>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row>
    <row r="448" spans="1:33" ht="12.75">
      <c r="A448" s="86"/>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row>
    <row r="449" spans="1:33" ht="12.75">
      <c r="A449" s="86"/>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row>
    <row r="450" spans="1:33" ht="12.75">
      <c r="A450" s="86"/>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row>
    <row r="451" spans="1:33" ht="12.75">
      <c r="A451" s="86"/>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row>
    <row r="452" spans="1:33" ht="12.75">
      <c r="A452" s="86"/>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row>
    <row r="453" spans="1:33" ht="12.75">
      <c r="A453" s="86"/>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row>
    <row r="454" spans="1:33" ht="12.75">
      <c r="A454" s="86"/>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row>
    <row r="455" spans="1:33" ht="12.75">
      <c r="A455" s="86"/>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row>
    <row r="456" spans="1:33" ht="12.75">
      <c r="A456" s="86"/>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row>
    <row r="457" spans="1:33" ht="12.75">
      <c r="A457" s="86"/>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row>
    <row r="458" spans="1:33" ht="12.75">
      <c r="A458" s="86"/>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row>
    <row r="459" spans="1:33" ht="12.75">
      <c r="A459" s="86"/>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row>
    <row r="460" spans="1:33" ht="12.75">
      <c r="A460" s="86"/>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row>
    <row r="461" spans="1:33" ht="12.75">
      <c r="A461" s="86"/>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row>
    <row r="462" spans="1:33" ht="12.75">
      <c r="A462" s="86"/>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row>
    <row r="463" spans="1:33" ht="12.75">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row>
    <row r="464" spans="1:33" ht="12.75">
      <c r="A464" s="86"/>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row>
    <row r="465" spans="1:33" ht="12.75">
      <c r="A465" s="86"/>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row>
    <row r="466" spans="1:33" ht="12.75">
      <c r="A466" s="86"/>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row>
    <row r="467" spans="1:33" ht="12.75">
      <c r="A467" s="86"/>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row>
    <row r="468" spans="1:33" ht="12.75">
      <c r="A468" s="86"/>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row>
    <row r="469" spans="1:33" ht="12.75">
      <c r="A469" s="86"/>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row>
    <row r="470" spans="1:33" ht="12.75">
      <c r="A470" s="86"/>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row>
    <row r="471" spans="1:33" ht="12.75">
      <c r="A471" s="86"/>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row>
    <row r="472" spans="1:33" ht="12.75">
      <c r="A472" s="86"/>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row>
    <row r="473" spans="1:33" ht="12.75">
      <c r="A473" s="86"/>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row>
    <row r="474" spans="1:33" ht="12.75">
      <c r="A474" s="86"/>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row>
    <row r="475" spans="1:33" ht="12.75">
      <c r="A475" s="86"/>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row>
    <row r="476" spans="1:33" ht="12.75">
      <c r="A476" s="86"/>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row>
    <row r="477" spans="1:33" ht="12.75">
      <c r="A477" s="86"/>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row>
    <row r="478" spans="1:33" ht="12.75">
      <c r="A478" s="86"/>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row>
    <row r="479" spans="1:33" ht="12.75">
      <c r="A479" s="86"/>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row>
    <row r="480" spans="1:33" ht="12.75">
      <c r="A480" s="86"/>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row>
    <row r="481" spans="1:33" ht="12.75">
      <c r="A481" s="86"/>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row>
    <row r="482" spans="1:33" ht="12.75">
      <c r="A482" s="86"/>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row>
    <row r="483" spans="1:33" ht="12.75">
      <c r="A483" s="86"/>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row>
    <row r="484" spans="1:33" ht="12.75">
      <c r="A484" s="86"/>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row>
    <row r="485" spans="1:33" ht="12.75">
      <c r="A485" s="86"/>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row>
    <row r="486" spans="1:33" ht="12.75">
      <c r="A486" s="86"/>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row>
    <row r="487" spans="1:33" ht="12.75">
      <c r="A487" s="86"/>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row>
    <row r="488" spans="1:33" ht="12.75">
      <c r="A488" s="86"/>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row>
    <row r="489" spans="1:33" ht="12.75">
      <c r="A489" s="86"/>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pans="1:33" ht="12.75">
      <c r="A490" s="86"/>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pans="1:33" ht="12.75">
      <c r="A491" s="86"/>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pans="1:33" ht="12.75">
      <c r="A492" s="86"/>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pans="1:33" ht="12.75">
      <c r="A493" s="86"/>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pans="1:33" ht="12.75">
      <c r="A494" s="86"/>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pans="1:33" ht="12.75">
      <c r="A495" s="86"/>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pans="1:33" ht="12.75">
      <c r="A496" s="86"/>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pans="1:33" ht="12.75">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pans="1:33" ht="12.75">
      <c r="A498" s="86"/>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pans="1:33" ht="12.75">
      <c r="A499" s="86"/>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pans="1:33" ht="12.75">
      <c r="A500" s="86"/>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pans="1:33" ht="12.75">
      <c r="A501" s="86"/>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pans="1:33" ht="12.75">
      <c r="A502" s="86"/>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pans="1:33" ht="12.75">
      <c r="A503" s="86"/>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pans="1:33" ht="12.75">
      <c r="A504" s="86"/>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pans="1:33" ht="12.75">
      <c r="A505" s="86"/>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pans="1:33" ht="12.75">
      <c r="A506" s="86"/>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pans="1:33" ht="12.75">
      <c r="A507" s="86"/>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pans="1:33" ht="12.75">
      <c r="A508" s="86"/>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pans="1:33" ht="12.75">
      <c r="A509" s="86"/>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pans="1:33" ht="12.75">
      <c r="A510" s="86"/>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pans="1:33" ht="12.75">
      <c r="A511" s="86"/>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pans="1:33" ht="12.75">
      <c r="A512" s="86"/>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pans="1:33" ht="12.75">
      <c r="A513" s="86"/>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pans="1:33" ht="12.75">
      <c r="A514" s="86"/>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pans="1:33" ht="12.75">
      <c r="A515" s="86"/>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pans="1:33" ht="12.75">
      <c r="A516" s="86"/>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row>
    <row r="517" spans="1:33" ht="12.75">
      <c r="A517" s="86"/>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row>
    <row r="518" spans="1:33" ht="12.75">
      <c r="A518" s="86"/>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row>
    <row r="519" spans="1:33" ht="12.75">
      <c r="A519" s="86"/>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row>
    <row r="520" spans="1:33" ht="12.75">
      <c r="A520" s="86"/>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row>
    <row r="521" spans="1:33" ht="12.75">
      <c r="A521" s="86"/>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row>
    <row r="522" spans="1:33" ht="12.75">
      <c r="A522" s="86"/>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row>
    <row r="523" spans="1:33" ht="12.75">
      <c r="A523" s="86"/>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row>
    <row r="524" spans="1:33" ht="12.75">
      <c r="A524" s="86"/>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row>
    <row r="525" spans="1:33" ht="12.75">
      <c r="A525" s="86"/>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row>
    <row r="526" spans="1:33" ht="12.75">
      <c r="A526" s="86"/>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row>
    <row r="527" spans="1:33" ht="12.75">
      <c r="A527" s="86"/>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row>
    <row r="528" spans="1:33" ht="12.75">
      <c r="A528" s="86"/>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row>
    <row r="529" spans="1:33" ht="12.75">
      <c r="A529" s="86"/>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row>
    <row r="530" spans="1:33" ht="12.75">
      <c r="A530" s="86"/>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row>
    <row r="531" spans="1:33" ht="12.75">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row>
    <row r="532" spans="1:33" ht="12.75">
      <c r="A532" s="86"/>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row>
    <row r="533" spans="1:33" ht="12.75">
      <c r="A533" s="86"/>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row>
    <row r="534" spans="1:33" ht="12.75">
      <c r="A534" s="86"/>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row>
    <row r="535" spans="1:33" ht="12.75">
      <c r="A535" s="86"/>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row>
    <row r="536" spans="1:33" ht="12.75">
      <c r="A536" s="86"/>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row>
    <row r="537" spans="1:33" ht="12.75">
      <c r="A537" s="86"/>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row>
    <row r="538" spans="1:33" ht="12.75">
      <c r="A538" s="86"/>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row>
    <row r="539" spans="1:33" ht="12.75">
      <c r="A539" s="86"/>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row>
    <row r="540" spans="1:33" ht="12.75">
      <c r="A540" s="86"/>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row>
    <row r="541" spans="1:33" ht="12.75">
      <c r="A541" s="86"/>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row>
    <row r="542" spans="1:33" ht="12.75">
      <c r="A542" s="86"/>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row>
    <row r="543" spans="1:33" ht="12.75">
      <c r="A543" s="86"/>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row>
    <row r="544" spans="1:33" ht="12.75">
      <c r="A544" s="86"/>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row>
    <row r="545" spans="1:33" ht="12.75">
      <c r="A545" s="86"/>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row>
    <row r="546" spans="1:33" ht="12.75">
      <c r="A546" s="86"/>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row>
    <row r="547" spans="1:33" ht="12.75">
      <c r="A547" s="86"/>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row>
    <row r="548" spans="1:33" ht="12.75">
      <c r="A548" s="86"/>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row>
    <row r="549" spans="1:33" ht="12.75">
      <c r="A549" s="86"/>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row>
    <row r="550" spans="1:33" ht="12.75">
      <c r="A550" s="86"/>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row>
    <row r="551" spans="1:33" ht="12.75">
      <c r="A551" s="86"/>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row>
    <row r="552" spans="1:33" ht="12.75">
      <c r="A552" s="86"/>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row>
    <row r="553" spans="1:33" ht="12.75">
      <c r="A553" s="86"/>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row>
    <row r="554" spans="1:33" ht="12.75">
      <c r="A554" s="86"/>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row>
    <row r="555" spans="1:33" ht="12.75">
      <c r="A555" s="86"/>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row>
    <row r="556" spans="1:33" ht="12.75">
      <c r="A556" s="86"/>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row>
    <row r="557" spans="1:33" ht="12.75">
      <c r="A557" s="86"/>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row>
    <row r="558" spans="1:33" ht="12.75">
      <c r="A558" s="86"/>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row>
    <row r="559" spans="1:33" ht="12.75">
      <c r="A559" s="86"/>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row>
    <row r="560" spans="1:33" ht="12.75">
      <c r="A560" s="86"/>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row>
    <row r="561" spans="1:33" ht="12.75">
      <c r="A561" s="86"/>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row>
    <row r="562" spans="1:33" ht="12.75">
      <c r="A562" s="86"/>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row>
    <row r="563" spans="1:33" ht="12.75">
      <c r="A563" s="86"/>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row>
    <row r="564" spans="1:33" ht="12.75">
      <c r="A564" s="86"/>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row>
    <row r="565" spans="1:33" ht="12.75">
      <c r="A565" s="86"/>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row>
    <row r="566" spans="1:33" ht="12.75">
      <c r="A566" s="86"/>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row>
    <row r="567" spans="1:33" ht="12.75">
      <c r="A567" s="86"/>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row>
    <row r="568" spans="1:33" ht="12.75">
      <c r="A568" s="86"/>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row>
    <row r="569" spans="1:33" ht="12.75">
      <c r="A569" s="86"/>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row>
    <row r="570" spans="1:33" ht="12.75">
      <c r="A570" s="86"/>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row>
    <row r="571" spans="1:33" ht="12.75">
      <c r="A571" s="86"/>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row>
    <row r="572" spans="1:33" ht="12.75">
      <c r="A572" s="86"/>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row>
    <row r="573" spans="1:33" ht="12.75">
      <c r="A573" s="86"/>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row>
    <row r="574" spans="1:33" ht="12.75">
      <c r="A574" s="86"/>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row>
    <row r="575" spans="1:33" ht="12.75">
      <c r="A575" s="86"/>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row>
    <row r="576" spans="1:33" ht="12.75">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ht="12.75">
      <c r="A577" s="86"/>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ht="12.75">
      <c r="A578" s="86"/>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ht="12.75">
      <c r="A579" s="86"/>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ht="12.75">
      <c r="A580" s="86"/>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ht="12.75">
      <c r="A581" s="86"/>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row>
    <row r="582" spans="1:33" ht="12.75">
      <c r="A582" s="86"/>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row>
    <row r="583" spans="1:33" ht="12.75">
      <c r="A583" s="86"/>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row>
    <row r="584" spans="1:33" ht="12.75">
      <c r="A584" s="86"/>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row>
    <row r="585" spans="1:33" ht="12.75">
      <c r="A585" s="86"/>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row>
    <row r="586" spans="1:33" ht="12.75">
      <c r="A586" s="86"/>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row>
    <row r="587" spans="1:33" ht="12.75">
      <c r="A587" s="86"/>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row>
    <row r="588" spans="1:33" ht="12.75">
      <c r="A588" s="86"/>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row>
    <row r="589" spans="1:33" ht="12.75">
      <c r="A589" s="86"/>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row>
    <row r="590" spans="1:33" ht="12.75">
      <c r="A590" s="86"/>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row>
    <row r="591" spans="1:33" ht="12.75">
      <c r="A591" s="86"/>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row>
    <row r="592" spans="1:33" ht="12.75">
      <c r="A592" s="86"/>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row>
    <row r="593" spans="1:33" ht="12.75">
      <c r="A593" s="86"/>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row>
    <row r="594" spans="1:33" ht="12.75">
      <c r="A594" s="86"/>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row>
    <row r="595" spans="1:33" ht="12.75">
      <c r="A595" s="86"/>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row>
    <row r="596" spans="1:33" ht="12.75">
      <c r="A596" s="86"/>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row>
    <row r="597" spans="1:33" ht="12.75">
      <c r="A597" s="86"/>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row>
    <row r="598" spans="1:33" ht="12.75">
      <c r="A598" s="86"/>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row>
    <row r="599" spans="1:33" ht="12.75">
      <c r="A599" s="86"/>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row>
    <row r="600" spans="1:33" ht="12.75">
      <c r="A600" s="86"/>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row>
    <row r="601" spans="1:33" ht="12.75">
      <c r="A601" s="86"/>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row>
    <row r="602" spans="1:33" ht="12.75">
      <c r="A602" s="86"/>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row>
    <row r="603" spans="1:33" ht="12.75">
      <c r="A603" s="86"/>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row>
    <row r="604" spans="1:33" ht="12.75">
      <c r="A604" s="86"/>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row>
    <row r="605" spans="1:33" ht="12.75">
      <c r="A605" s="86"/>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row>
    <row r="606" spans="1:33" ht="12.75">
      <c r="A606" s="86"/>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row>
    <row r="607" spans="1:33" ht="12.75">
      <c r="A607" s="86"/>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row>
    <row r="608" spans="1:33" ht="12.75">
      <c r="A608" s="86"/>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row>
    <row r="609" spans="1:33" ht="12.75">
      <c r="A609" s="86"/>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row>
    <row r="610" spans="1:33" ht="12.75">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row>
    <row r="611" spans="1:33" ht="12.75">
      <c r="A611" s="86"/>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row>
    <row r="612" spans="1:33" ht="12.75">
      <c r="A612" s="86"/>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row>
    <row r="613" spans="1:33" ht="12.75">
      <c r="A613" s="86"/>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row>
    <row r="614" spans="1:33" ht="12.75">
      <c r="A614" s="86"/>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row>
    <row r="615" spans="1:33" ht="12.75">
      <c r="A615" s="86"/>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row>
    <row r="616" spans="1:33" ht="12.75">
      <c r="A616" s="86"/>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row>
    <row r="617" spans="1:33" ht="12.75">
      <c r="A617" s="86"/>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row>
    <row r="618" spans="1:33" ht="12.75">
      <c r="A618" s="86"/>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row>
    <row r="619" spans="1:33" ht="12.75">
      <c r="A619" s="86"/>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row>
    <row r="620" spans="1:33" ht="12.75">
      <c r="A620" s="86"/>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row>
    <row r="621" spans="1:33" ht="12.75">
      <c r="A621" s="86"/>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row>
    <row r="622" spans="1:33" ht="12.75">
      <c r="A622" s="86"/>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row>
    <row r="623" spans="1:33" ht="12.75">
      <c r="A623" s="86"/>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row>
    <row r="624" spans="1:33" ht="12.75">
      <c r="A624" s="86"/>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row>
    <row r="625" spans="1:33" ht="12.75">
      <c r="A625" s="86"/>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row>
    <row r="626" spans="1:33" ht="12.75">
      <c r="A626" s="86"/>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row>
    <row r="627" spans="1:33" ht="12.75">
      <c r="A627" s="86"/>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row>
    <row r="628" spans="1:33" ht="12.75">
      <c r="A628" s="86"/>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row>
    <row r="629" spans="1:33" ht="12.75">
      <c r="A629" s="86"/>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row>
    <row r="630" spans="1:33" ht="12.75">
      <c r="A630" s="86"/>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row>
    <row r="631" spans="1:33" ht="12.75">
      <c r="A631" s="86"/>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row>
    <row r="632" spans="1:33" ht="12.75">
      <c r="A632" s="86"/>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row>
    <row r="633" spans="1:33" ht="12.75">
      <c r="A633" s="86"/>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row>
    <row r="634" spans="1:33" ht="12.75">
      <c r="A634" s="86"/>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row>
    <row r="635" spans="1:33" ht="12.75">
      <c r="A635" s="86"/>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row>
    <row r="636" spans="1:33" ht="12.75">
      <c r="A636" s="86"/>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row>
    <row r="637" spans="1:33" ht="12.75">
      <c r="A637" s="86"/>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row>
    <row r="638" spans="1:33" ht="12.75">
      <c r="A638" s="86"/>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row>
    <row r="639" spans="1:33" ht="12.75">
      <c r="A639" s="86"/>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row>
    <row r="640" spans="1:33" ht="12.75">
      <c r="A640" s="86"/>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row>
    <row r="641" spans="1:33" ht="12.75">
      <c r="A641" s="86"/>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row>
    <row r="642" spans="1:33" ht="12.75">
      <c r="A642" s="86"/>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row>
    <row r="643" spans="1:33" ht="12.75">
      <c r="A643" s="86"/>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row>
    <row r="644" spans="1:33" ht="12.75">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row>
    <row r="645" spans="1:33" ht="12.75">
      <c r="A645" s="86"/>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row>
    <row r="646" spans="1:33" ht="12.75">
      <c r="A646" s="86"/>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row>
    <row r="647" spans="1:33" ht="12.75">
      <c r="A647" s="86"/>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row>
    <row r="648" spans="1:33" ht="12.75">
      <c r="A648" s="86"/>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row>
    <row r="649" spans="1:33" ht="12.75">
      <c r="A649" s="86"/>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row>
    <row r="650" spans="1:33" ht="12.75">
      <c r="A650" s="86"/>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row>
    <row r="651" spans="1:33" ht="12.75">
      <c r="A651" s="86"/>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row>
    <row r="652" spans="1:33" ht="12.75">
      <c r="A652" s="86"/>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row>
    <row r="653" spans="1:33" ht="12.75">
      <c r="A653" s="86"/>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row>
    <row r="654" spans="1:33" ht="12.75">
      <c r="A654" s="86"/>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row>
    <row r="655" spans="1:33" ht="12.75">
      <c r="A655" s="86"/>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row>
    <row r="656" spans="1:33" ht="12.75">
      <c r="A656" s="86"/>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row>
    <row r="657" spans="1:33" ht="12.75">
      <c r="A657" s="86"/>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row>
    <row r="658" spans="1:33" ht="12.75">
      <c r="A658" s="86"/>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row>
    <row r="659" spans="1:33" ht="12.75">
      <c r="A659" s="86"/>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row>
    <row r="660" spans="1:33" ht="12.75">
      <c r="A660" s="86"/>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row>
    <row r="661" spans="1:33" ht="12.75">
      <c r="A661" s="86"/>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row>
    <row r="662" spans="1:33" ht="12.75">
      <c r="A662" s="86"/>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row>
    <row r="663" spans="1:33" ht="12.75">
      <c r="A663" s="86"/>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row>
    <row r="664" spans="1:33" ht="12.75">
      <c r="A664" s="86"/>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row>
    <row r="665" spans="1:33" ht="12.75">
      <c r="A665" s="86"/>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row>
    <row r="666" spans="1:33" ht="12.75">
      <c r="A666" s="86"/>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row>
    <row r="667" spans="1:33" ht="12.75">
      <c r="A667" s="86"/>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row>
    <row r="668" spans="1:33" ht="12.75">
      <c r="A668" s="86"/>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row>
    <row r="669" spans="1:33" ht="12.75">
      <c r="A669" s="86"/>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row>
    <row r="670" spans="1:33" ht="12.75">
      <c r="A670" s="86"/>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row>
    <row r="671" spans="1:33" ht="12.75">
      <c r="A671" s="86"/>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row>
    <row r="672" spans="1:33" ht="12.75">
      <c r="A672" s="86"/>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row>
    <row r="673" spans="1:33" ht="12.75">
      <c r="A673" s="86"/>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row>
    <row r="674" spans="1:33" ht="12.75">
      <c r="A674" s="86"/>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row>
    <row r="675" spans="1:33" ht="12.75">
      <c r="A675" s="86"/>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row>
    <row r="676" spans="1:33" ht="12.75">
      <c r="A676" s="86"/>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row>
    <row r="677" spans="1:33" ht="12.75">
      <c r="A677" s="86"/>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row>
    <row r="678" spans="1:33" ht="12.75">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row>
    <row r="679" spans="1:33" ht="12.75">
      <c r="A679" s="86"/>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row>
    <row r="680" spans="1:33" ht="12.75">
      <c r="A680" s="86"/>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row>
    <row r="681" spans="1:33" ht="12.75">
      <c r="A681" s="86"/>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row>
    <row r="682" spans="1:33" ht="12.75">
      <c r="A682" s="86"/>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row>
    <row r="683" spans="1:33" ht="12.75">
      <c r="A683" s="86"/>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row>
    <row r="684" spans="1:33" ht="12.75">
      <c r="A684" s="86"/>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row>
    <row r="685" spans="1:33" ht="12.75">
      <c r="A685" s="86"/>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row>
    <row r="686" spans="1:33" ht="12.75">
      <c r="A686" s="86"/>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row>
    <row r="687" spans="1:33" ht="12.75">
      <c r="A687" s="86"/>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row>
    <row r="688" spans="1:33" ht="12.75">
      <c r="A688" s="86"/>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row>
    <row r="689" spans="1:33" ht="12.75">
      <c r="A689" s="86"/>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row>
    <row r="690" spans="1:33" ht="12.75">
      <c r="A690" s="86"/>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row>
    <row r="691" spans="1:33" ht="12.75">
      <c r="A691" s="86"/>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row>
    <row r="692" spans="1:33" ht="12.75">
      <c r="A692" s="86"/>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row>
    <row r="693" spans="1:33" ht="12.75">
      <c r="A693" s="86"/>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row>
    <row r="694" spans="1:33" ht="12.75">
      <c r="A694" s="86"/>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row>
    <row r="695" spans="1:33" ht="12.75">
      <c r="A695" s="86"/>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row>
    <row r="696" spans="1:33" ht="12.75">
      <c r="A696" s="86"/>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row>
    <row r="697" spans="1:33" ht="12.75">
      <c r="A697" s="86"/>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row>
    <row r="698" spans="1:33" ht="12.75">
      <c r="A698" s="86"/>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row>
    <row r="699" spans="1:33" ht="12.75">
      <c r="A699" s="86"/>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row>
    <row r="700" spans="1:33" ht="12.75">
      <c r="A700" s="86"/>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row>
    <row r="701" spans="1:33" ht="12.75">
      <c r="A701" s="86"/>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row>
    <row r="702" spans="1:33" ht="12.75">
      <c r="A702" s="86"/>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row>
    <row r="703" spans="1:33" ht="12.75">
      <c r="A703" s="86"/>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row>
    <row r="704" spans="1:33" ht="12.75">
      <c r="A704" s="86"/>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row>
    <row r="705" spans="1:33" ht="12.75">
      <c r="A705" s="86"/>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row>
    <row r="706" spans="1:33" ht="12.75">
      <c r="A706" s="86"/>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row>
    <row r="707" spans="1:33" ht="12.75">
      <c r="A707" s="86"/>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row>
    <row r="708" spans="1:33" ht="12.75">
      <c r="A708" s="86"/>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row>
    <row r="709" spans="1:33" ht="12.75">
      <c r="A709" s="86"/>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row>
    <row r="710" spans="1:33" ht="12.75">
      <c r="A710" s="86"/>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row>
    <row r="711" spans="1:33" ht="12.75">
      <c r="A711" s="86"/>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row>
    <row r="712" spans="1:33" ht="12.75">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row>
    <row r="713" spans="1:33" ht="12.75">
      <c r="A713" s="86"/>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row>
    <row r="714" spans="1:33" ht="12.75">
      <c r="A714" s="86"/>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row>
    <row r="715" spans="1:33" ht="12.75">
      <c r="A715" s="86"/>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row>
    <row r="716" spans="1:33" ht="12.75">
      <c r="A716" s="86"/>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row>
    <row r="717" spans="1:33" ht="12.75">
      <c r="A717" s="86"/>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row>
    <row r="718" spans="1:33" ht="12.75">
      <c r="A718" s="86"/>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row>
    <row r="719" spans="1:33" ht="12.75">
      <c r="A719" s="86"/>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row>
    <row r="720" spans="1:33" ht="12.75">
      <c r="A720" s="86"/>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row>
    <row r="721" spans="1:33" ht="12.75">
      <c r="A721" s="86"/>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row>
    <row r="722" spans="1:33" ht="12.75">
      <c r="A722" s="86"/>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row>
    <row r="723" spans="1:33" ht="12.75">
      <c r="A723" s="86"/>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row>
    <row r="724" spans="1:33" ht="12.75">
      <c r="A724" s="86"/>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row>
    <row r="725" spans="1:33" ht="12.75">
      <c r="A725" s="86"/>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row>
    <row r="726" spans="1:33" ht="12.75">
      <c r="A726" s="86"/>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row>
    <row r="727" spans="1:33" ht="12.75">
      <c r="A727" s="86"/>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row>
    <row r="728" spans="1:33" ht="12.75">
      <c r="A728" s="86"/>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row>
    <row r="729" spans="1:33" ht="12.75">
      <c r="A729" s="86"/>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row>
    <row r="730" spans="1:33" ht="12.75">
      <c r="A730" s="86"/>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row>
    <row r="731" spans="1:33" ht="12.75">
      <c r="A731" s="86"/>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row>
    <row r="732" spans="1:33" ht="12.75">
      <c r="A732" s="86"/>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row>
    <row r="733" spans="1:33" ht="12.75">
      <c r="A733" s="86"/>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row>
    <row r="734" spans="1:33" ht="12.75">
      <c r="A734" s="86"/>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row>
    <row r="735" spans="1:33" ht="12.75">
      <c r="A735" s="86"/>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row>
    <row r="736" spans="1:33" ht="12.75">
      <c r="A736" s="86"/>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row>
    <row r="737" spans="1:33" ht="12.75">
      <c r="A737" s="86"/>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row>
    <row r="738" spans="1:33" ht="12.75">
      <c r="A738" s="86"/>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row>
    <row r="739" spans="1:33" ht="12.75">
      <c r="A739" s="86"/>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row>
    <row r="740" spans="1:33" ht="12.75">
      <c r="A740" s="86"/>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row>
    <row r="741" spans="1:33" ht="12.75">
      <c r="A741" s="86"/>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row>
    <row r="742" spans="1:33" ht="12.75">
      <c r="A742" s="86"/>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row>
    <row r="743" spans="1:33" ht="12.75">
      <c r="A743" s="86"/>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row>
    <row r="744" spans="1:33" ht="12.75">
      <c r="A744" s="86"/>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row>
    <row r="745" spans="1:33" ht="12.75">
      <c r="A745" s="86"/>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row>
    <row r="746" spans="1:33" ht="12.75">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row>
    <row r="747" spans="1:33" ht="12.75">
      <c r="A747" s="86"/>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row>
    <row r="748" spans="1:33" ht="12.75">
      <c r="A748" s="86"/>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row>
    <row r="749" spans="1:33" ht="12.75">
      <c r="A749" s="86"/>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row>
    <row r="750" spans="1:33" ht="12.75">
      <c r="A750" s="86"/>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row>
    <row r="751" spans="1:33" ht="12.75">
      <c r="A751" s="86"/>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row>
    <row r="752" spans="1:33" ht="12.75">
      <c r="A752" s="86"/>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row>
    <row r="753" spans="1:33" ht="12.75">
      <c r="A753" s="86"/>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row>
    <row r="754" spans="1:33" ht="12.75">
      <c r="A754" s="86"/>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row>
    <row r="755" spans="1:33" ht="12.75">
      <c r="A755" s="86"/>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row>
    <row r="756" spans="1:33" ht="12.75">
      <c r="A756" s="86"/>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row>
    <row r="757" spans="1:33" ht="12.75">
      <c r="A757" s="86"/>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row>
    <row r="758" spans="1:33" ht="12.75">
      <c r="A758" s="86"/>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row>
    <row r="759" spans="1:33" ht="12.75">
      <c r="A759" s="86"/>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row>
    <row r="760" spans="1:33" ht="12.75">
      <c r="A760" s="86"/>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row>
    <row r="761" spans="1:33" ht="12.75">
      <c r="A761" s="86"/>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row>
    <row r="762" spans="1:33" ht="12.75">
      <c r="A762" s="86"/>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row>
    <row r="763" spans="1:33" ht="12.75">
      <c r="A763" s="86"/>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row>
    <row r="764" spans="1:33" ht="12.75">
      <c r="A764" s="86"/>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row>
    <row r="765" spans="1:33" ht="12.75">
      <c r="A765" s="86"/>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row>
    <row r="766" spans="1:33" ht="12.75">
      <c r="A766" s="86"/>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row>
    <row r="767" spans="1:33" ht="12.75">
      <c r="A767" s="86"/>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row>
    <row r="768" spans="1:33" ht="12.75">
      <c r="A768" s="86"/>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row>
    <row r="769" spans="1:33" ht="12.75">
      <c r="A769" s="86"/>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row>
    <row r="770" spans="1:33" ht="12.75">
      <c r="A770" s="86"/>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row>
    <row r="771" spans="1:33" ht="12.75">
      <c r="A771" s="86"/>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row>
    <row r="772" spans="1:33" ht="12.75">
      <c r="A772" s="86"/>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row>
    <row r="773" spans="1:33" ht="12.75">
      <c r="A773" s="86"/>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row>
    <row r="774" spans="1:33" ht="12.75">
      <c r="A774" s="86"/>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row>
    <row r="775" spans="1:33" ht="12.75">
      <c r="A775" s="86"/>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row>
    <row r="776" spans="1:33" ht="12.75">
      <c r="A776" s="86"/>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row>
    <row r="777" spans="1:33" ht="12.75">
      <c r="A777" s="86"/>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row>
    <row r="778" spans="1:33" ht="12.75">
      <c r="A778" s="86"/>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row>
    <row r="779" spans="1:33" ht="12.75">
      <c r="A779" s="86"/>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row>
    <row r="780" spans="1:33" ht="12.75">
      <c r="A780" s="86"/>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row>
    <row r="781" spans="1:33" ht="12.75">
      <c r="A781" s="86"/>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row>
    <row r="782" spans="1:33" ht="12.75">
      <c r="A782" s="86"/>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row>
    <row r="783" spans="1:33" ht="12.75">
      <c r="A783" s="86"/>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row>
    <row r="784" spans="1:33" ht="12.75">
      <c r="A784" s="86"/>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row>
    <row r="785" spans="1:33" ht="12.75">
      <c r="A785" s="86"/>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row>
    <row r="786" spans="1:33" ht="12.75">
      <c r="A786" s="86"/>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row>
    <row r="787" spans="1:33" ht="12.75">
      <c r="A787" s="86"/>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row>
    <row r="788" spans="1:33" ht="12.75">
      <c r="A788" s="86"/>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row>
    <row r="789" spans="1:33" ht="12.75">
      <c r="A789" s="86"/>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row>
    <row r="790" spans="1:33" ht="12.75">
      <c r="A790" s="86"/>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row>
    <row r="791" spans="1:33" ht="12.75">
      <c r="A791" s="86"/>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row>
    <row r="792" spans="1:33" ht="12.75">
      <c r="A792" s="86"/>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row>
    <row r="793" spans="1:33" ht="12.75">
      <c r="A793" s="86"/>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row>
    <row r="794" spans="1:33" ht="12.75">
      <c r="A794" s="86"/>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row>
    <row r="795" spans="1:33" ht="12.75">
      <c r="A795" s="86"/>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row>
    <row r="796" spans="1:33" ht="12.75">
      <c r="A796" s="86"/>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row>
    <row r="797" spans="1:33" ht="12.75">
      <c r="A797" s="86"/>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row>
    <row r="798" spans="1:33" ht="12.75">
      <c r="A798" s="86"/>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row>
    <row r="799" spans="1:33" ht="12.75">
      <c r="A799" s="86"/>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row>
    <row r="800" spans="1:33" ht="12.75">
      <c r="A800" s="86"/>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row>
    <row r="801" spans="1:33" ht="12.75">
      <c r="A801" s="86"/>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row>
    <row r="802" spans="1:33" ht="12.75">
      <c r="A802" s="86"/>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row>
    <row r="803" spans="1:33" ht="12.75">
      <c r="A803" s="86"/>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row>
    <row r="804" spans="1:33" ht="12.75">
      <c r="A804" s="86"/>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row>
    <row r="805" spans="1:33" ht="12.75">
      <c r="A805" s="86"/>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row>
    <row r="806" spans="1:33" ht="12.75">
      <c r="A806" s="86"/>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row>
    <row r="807" spans="1:33" ht="12.75">
      <c r="A807" s="86"/>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row>
    <row r="808" spans="1:33" ht="12.75">
      <c r="A808" s="86"/>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row>
    <row r="809" spans="1:33" ht="12.75">
      <c r="A809" s="86"/>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row>
    <row r="810" spans="1:33" ht="12.75">
      <c r="A810" s="86"/>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row>
    <row r="811" spans="1:33" ht="12.75">
      <c r="A811" s="86"/>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row>
    <row r="812" spans="1:33" ht="12.75">
      <c r="A812" s="86"/>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row>
    <row r="813" spans="1:33" ht="12.75">
      <c r="A813" s="86"/>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row>
    <row r="814" spans="1:33" ht="12.75">
      <c r="A814" s="86"/>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row>
    <row r="815" spans="1:33" ht="12.75">
      <c r="A815" s="86"/>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row>
    <row r="816" spans="1:33" ht="12.75">
      <c r="A816" s="86"/>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row>
    <row r="817" spans="1:33" ht="12.75">
      <c r="A817" s="86"/>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row>
    <row r="818" spans="1:33" ht="12.75">
      <c r="A818" s="86"/>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row>
    <row r="819" spans="1:33" ht="12.75">
      <c r="A819" s="86"/>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row>
    <row r="820" spans="1:33" ht="12.75">
      <c r="A820" s="86"/>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row>
    <row r="821" spans="1:33" ht="12.75">
      <c r="A821" s="86"/>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row>
    <row r="822" spans="1:33" ht="12.75">
      <c r="A822" s="86"/>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row>
    <row r="823" spans="1:33" ht="12.75">
      <c r="A823" s="86"/>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row>
    <row r="824" spans="1:33" ht="12.75">
      <c r="A824" s="86"/>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row>
    <row r="825" spans="1:33" ht="12.75">
      <c r="A825" s="86"/>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row>
    <row r="826" spans="1:33" ht="12.75">
      <c r="A826" s="86"/>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row>
    <row r="827" spans="1:33" ht="12.75">
      <c r="A827" s="86"/>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row>
    <row r="828" spans="1:33" ht="12.75">
      <c r="A828" s="86"/>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row>
    <row r="829" spans="1:33" ht="12.75">
      <c r="A829" s="86"/>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row>
    <row r="830" spans="1:33" ht="12.75">
      <c r="A830" s="86"/>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row>
    <row r="831" spans="1:33" ht="12.75">
      <c r="A831" s="86"/>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row>
    <row r="832" spans="1:33" ht="12.75">
      <c r="A832" s="86"/>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row>
    <row r="833" spans="1:33" ht="12.75">
      <c r="A833" s="86"/>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row>
    <row r="834" spans="1:33" ht="12.75">
      <c r="A834" s="86"/>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row>
    <row r="835" spans="1:33" ht="12.75">
      <c r="A835" s="86"/>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row>
    <row r="836" spans="1:33" ht="12.75">
      <c r="A836" s="86"/>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row>
    <row r="837" spans="1:33" ht="12.75">
      <c r="A837" s="86"/>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row>
    <row r="838" spans="1:33" ht="12.75">
      <c r="A838" s="86"/>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row>
    <row r="839" spans="1:33" ht="12.75">
      <c r="A839" s="86"/>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row>
    <row r="840" spans="1:33" ht="12.75">
      <c r="A840" s="86"/>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row>
    <row r="841" spans="1:33" ht="12.75">
      <c r="A841" s="86"/>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row>
    <row r="842" spans="1:33" ht="12.75">
      <c r="A842" s="86"/>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row>
    <row r="843" spans="1:33" ht="12.75">
      <c r="A843" s="86"/>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row>
    <row r="844" spans="1:33" ht="12.75">
      <c r="A844" s="86"/>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row>
    <row r="845" spans="1:33" ht="12.75">
      <c r="A845" s="86"/>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row>
    <row r="846" spans="1:33" ht="12.75">
      <c r="A846" s="86"/>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row>
    <row r="847" spans="1:33" ht="12.75">
      <c r="A847" s="86"/>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row>
    <row r="848" spans="1:33" ht="12.75">
      <c r="A848" s="86"/>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row>
    <row r="849" spans="1:33" ht="12.75">
      <c r="A849" s="86"/>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row>
    <row r="850" spans="1:33" ht="12.75">
      <c r="A850" s="86"/>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row>
    <row r="851" spans="1:33" ht="12.75">
      <c r="A851" s="86"/>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row>
    <row r="852" spans="1:33" ht="12.75">
      <c r="A852" s="86"/>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row>
    <row r="853" spans="1:33" ht="12.75">
      <c r="A853" s="86"/>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row>
    <row r="854" spans="1:33" ht="12.75">
      <c r="A854" s="86"/>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row>
    <row r="855" spans="1:33" ht="12.75">
      <c r="A855" s="86"/>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row>
    <row r="856" spans="1:33" ht="12.75">
      <c r="A856" s="86"/>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row>
    <row r="857" spans="1:33" ht="12.75">
      <c r="A857" s="86"/>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row>
    <row r="858" spans="1:33" ht="12.75">
      <c r="A858" s="86"/>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row>
    <row r="859" spans="1:33" ht="12.75">
      <c r="A859" s="86"/>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row>
    <row r="860" spans="1:33" ht="12.75">
      <c r="A860" s="86"/>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row>
    <row r="861" spans="1:33" ht="12.75">
      <c r="A861" s="86"/>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row>
    <row r="862" spans="1:33" ht="12.75">
      <c r="A862" s="86"/>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row>
    <row r="863" spans="1:33" ht="12.75">
      <c r="A863" s="86"/>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row>
    <row r="864" spans="1:33" ht="12.75">
      <c r="A864" s="86"/>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row>
    <row r="865" spans="1:33" ht="12.75">
      <c r="A865" s="86"/>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row>
    <row r="866" spans="1:33" ht="12.75">
      <c r="A866" s="86"/>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row>
    <row r="867" spans="1:33" ht="12.75">
      <c r="A867" s="86"/>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row>
    <row r="868" spans="1:33" ht="12.75">
      <c r="A868" s="86"/>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row>
    <row r="869" spans="1:33" ht="12.75">
      <c r="A869" s="86"/>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row>
    <row r="870" spans="1:33" ht="12.75">
      <c r="A870" s="86"/>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row>
    <row r="871" spans="1:33" ht="12.75">
      <c r="A871" s="86"/>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row>
    <row r="872" spans="1:33" ht="12.75">
      <c r="A872" s="86"/>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row>
    <row r="873" spans="1:33" ht="12.75">
      <c r="A873" s="86"/>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row>
    <row r="874" spans="1:33" ht="12.75">
      <c r="A874" s="86"/>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row>
    <row r="875" spans="1:33" ht="12.75">
      <c r="A875" s="86"/>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row>
    <row r="876" spans="1:33" ht="12.75">
      <c r="A876" s="86"/>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row>
    <row r="877" spans="1:33" ht="12.75">
      <c r="A877" s="86"/>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row>
    <row r="878" spans="1:33" ht="12.75">
      <c r="A878" s="86"/>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row>
    <row r="879" spans="1:33" ht="12.75">
      <c r="A879" s="86"/>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row>
    <row r="880" spans="1:33" ht="12.75">
      <c r="A880" s="86"/>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row>
    <row r="881" spans="1:33" ht="12.75">
      <c r="A881" s="86"/>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row>
    <row r="882" spans="1:33" ht="12.75">
      <c r="A882" s="86"/>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row>
    <row r="883" spans="1:33" ht="12.75">
      <c r="A883" s="86"/>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row>
    <row r="884" spans="1:33" ht="12.75">
      <c r="A884" s="86"/>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row>
    <row r="885" spans="1:33" ht="12.75">
      <c r="A885" s="86"/>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row>
    <row r="886" spans="1:33" ht="12.75">
      <c r="A886" s="86"/>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row>
    <row r="887" spans="1:33" ht="12.75">
      <c r="A887" s="86"/>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row>
    <row r="888" spans="1:33" ht="12.75">
      <c r="A888" s="86"/>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row>
    <row r="889" spans="1:33" ht="12.75">
      <c r="A889" s="86"/>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row>
    <row r="890" spans="1:33" ht="12.75">
      <c r="A890" s="86"/>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row>
    <row r="891" spans="1:33" ht="12.75">
      <c r="A891" s="86"/>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row>
    <row r="892" spans="1:33" ht="12.75">
      <c r="A892" s="86"/>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row>
    <row r="893" spans="1:33" ht="12.75">
      <c r="A893" s="86"/>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row>
    <row r="894" spans="1:33" ht="12.75">
      <c r="A894" s="86"/>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row>
    <row r="895" spans="1:33" ht="12.75">
      <c r="A895" s="86"/>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row>
    <row r="896" spans="1:33" ht="12.75">
      <c r="A896" s="86"/>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row>
    <row r="897" spans="1:33" ht="12.75">
      <c r="A897" s="86"/>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row>
    <row r="898" spans="1:33" ht="12.75">
      <c r="A898" s="86"/>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row>
    <row r="899" spans="1:33" ht="12.75">
      <c r="A899" s="86"/>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row>
    <row r="900" spans="1:33" ht="12.75">
      <c r="A900" s="86"/>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row>
    <row r="901" spans="1:33" ht="12.75">
      <c r="A901" s="86"/>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row>
    <row r="902" spans="1:33" ht="12.75">
      <c r="A902" s="86"/>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row>
    <row r="903" spans="1:33" ht="12.75">
      <c r="A903" s="86"/>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row>
    <row r="904" spans="1:33" ht="12.75">
      <c r="A904" s="86"/>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row>
    <row r="905" spans="1:33" ht="12.75">
      <c r="A905" s="86"/>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row>
    <row r="906" spans="1:33" ht="12.75">
      <c r="A906" s="86"/>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row>
    <row r="907" spans="1:33" ht="12.75">
      <c r="A907" s="86"/>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row>
    <row r="908" spans="1:33" ht="12.75">
      <c r="A908" s="86"/>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row>
    <row r="909" spans="1:33" ht="12.75">
      <c r="A909" s="86"/>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row>
    <row r="910" spans="1:33" ht="12.75">
      <c r="A910" s="86"/>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row>
    <row r="911" spans="1:33" ht="12.75">
      <c r="A911" s="86"/>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row>
    <row r="912" spans="1:33" ht="12.75">
      <c r="A912" s="86"/>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row>
    <row r="913" spans="1:33" ht="12.75">
      <c r="A913" s="86"/>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row>
    <row r="914" spans="1:33" ht="12.75">
      <c r="A914" s="86"/>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row>
    <row r="915" spans="1:33" ht="12.75">
      <c r="A915" s="86"/>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row>
    <row r="916" spans="1:33" ht="12.75">
      <c r="A916" s="86"/>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row>
    <row r="917" spans="1:33" ht="12.75">
      <c r="A917" s="86"/>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row>
    <row r="918" spans="1:33" ht="12.75">
      <c r="A918" s="86"/>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row>
    <row r="919" spans="1:33" ht="12.75">
      <c r="A919" s="86"/>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row>
    <row r="920" spans="1:33" ht="12.75">
      <c r="A920" s="86"/>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row>
    <row r="921" spans="1:33" ht="12.75">
      <c r="A921" s="86"/>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row>
    <row r="922" spans="1:33" ht="12.75">
      <c r="A922" s="86"/>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row>
    <row r="923" spans="1:33" ht="12.75">
      <c r="A923" s="86"/>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row>
    <row r="924" spans="1:33" ht="12.75">
      <c r="A924" s="86"/>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row>
    <row r="925" spans="1:33" ht="12.75">
      <c r="A925" s="86"/>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row>
    <row r="926" spans="1:33" ht="12.75">
      <c r="A926" s="86"/>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row>
    <row r="927" spans="1:33" ht="12.75">
      <c r="A927" s="86"/>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row>
    <row r="928" spans="1:33" ht="12.75">
      <c r="A928" s="86"/>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row>
    <row r="929" spans="1:33" ht="12.75">
      <c r="A929" s="86"/>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row>
    <row r="930" spans="1:33" ht="12.75">
      <c r="A930" s="86"/>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row>
    <row r="931" spans="1:33" ht="12.75">
      <c r="A931" s="86"/>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row>
    <row r="932" spans="1:33" ht="12.75">
      <c r="A932" s="86"/>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row>
    <row r="933" spans="1:33" ht="12.75">
      <c r="A933" s="86"/>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row>
    <row r="934" spans="1:33" ht="12.75">
      <c r="A934" s="86"/>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row>
    <row r="935" spans="1:33" ht="12.75">
      <c r="A935" s="86"/>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row>
    <row r="936" spans="1:33" ht="12.75">
      <c r="A936" s="86"/>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row>
    <row r="937" spans="1:33" ht="12.75">
      <c r="A937" s="86"/>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row>
    <row r="938" spans="1:33" ht="12.75">
      <c r="A938" s="86"/>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row>
    <row r="939" spans="1:33" ht="12.75">
      <c r="A939" s="86"/>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row>
    <row r="940" spans="1:33" ht="12.75">
      <c r="A940" s="86"/>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row>
    <row r="941" spans="1:33" ht="12.75">
      <c r="A941" s="86"/>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row>
    <row r="942" spans="1:33" ht="12.75">
      <c r="A942" s="86"/>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row>
    <row r="943" spans="1:33" ht="12.75">
      <c r="A943" s="86"/>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row>
    <row r="944" spans="1:33" ht="12.75">
      <c r="A944" s="86"/>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row>
    <row r="945" spans="1:33" ht="12.75">
      <c r="A945" s="86"/>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row>
    <row r="946" spans="1:33" ht="12.75">
      <c r="A946" s="86"/>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row>
    <row r="947" spans="1:33" ht="12.75">
      <c r="A947" s="86"/>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row>
    <row r="948" spans="1:33" ht="12.75">
      <c r="A948" s="86"/>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row>
    <row r="949" spans="1:33" ht="12.75">
      <c r="A949" s="86"/>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row>
    <row r="950" spans="1:33" ht="12.75">
      <c r="A950" s="86"/>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row>
    <row r="951" spans="1:33" ht="12.75">
      <c r="A951" s="86"/>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row>
    <row r="952" spans="1:33" ht="12.75">
      <c r="A952" s="86"/>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row>
    <row r="953" spans="1:33" ht="12.75">
      <c r="A953" s="86"/>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row>
    <row r="954" spans="1:33" ht="12.75">
      <c r="A954" s="86"/>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row>
    <row r="955" spans="1:33" ht="12.75">
      <c r="A955" s="86"/>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row>
    <row r="956" spans="1:33" ht="12.75">
      <c r="A956" s="86"/>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row>
    <row r="957" spans="1:33" ht="12.75">
      <c r="A957" s="86"/>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row>
    <row r="958" spans="1:33" ht="12.75">
      <c r="A958" s="86"/>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row>
    <row r="959" spans="1:33" ht="12.75">
      <c r="A959" s="86"/>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row>
    <row r="960" spans="1:33" ht="12.75">
      <c r="A960" s="86"/>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row>
    <row r="961" spans="1:33" ht="12.75">
      <c r="A961" s="86"/>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row>
    <row r="962" spans="1:33" ht="12.75">
      <c r="A962" s="86"/>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row>
    <row r="963" spans="1:33" ht="12.75">
      <c r="A963" s="86"/>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row>
    <row r="964" spans="1:33" ht="12.75">
      <c r="A964" s="86"/>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row>
    <row r="965" spans="1:33" ht="12.75">
      <c r="A965" s="86"/>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row>
    <row r="966" spans="1:33" ht="12.75">
      <c r="A966" s="86"/>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row>
    <row r="967" spans="1:33" ht="12.75">
      <c r="A967" s="86"/>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row>
    <row r="968" spans="1:33" ht="12.75">
      <c r="A968" s="86"/>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row>
    <row r="969" spans="1:33" ht="12.75">
      <c r="A969" s="86"/>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row>
    <row r="970" spans="1:33" ht="12.75">
      <c r="A970" s="86"/>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row>
    <row r="971" spans="1:33" ht="12.75">
      <c r="A971" s="86"/>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row>
    <row r="972" spans="1:33" ht="12.75">
      <c r="A972" s="86"/>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row>
    <row r="973" spans="1:33" ht="12.75">
      <c r="A973" s="86"/>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row>
    <row r="974" spans="1:33" ht="12.75">
      <c r="A974" s="86"/>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row>
    <row r="975" spans="1:33" ht="12.75">
      <c r="A975" s="86"/>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row>
    <row r="976" spans="1:33" ht="12.75">
      <c r="A976" s="86"/>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row>
    <row r="977" spans="1:33" ht="12.75">
      <c r="A977" s="86"/>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row>
    <row r="978" spans="1:33" ht="12.75">
      <c r="A978" s="86"/>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row>
    <row r="979" spans="1:33" ht="12.75">
      <c r="A979" s="86"/>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row>
    <row r="980" spans="1:33" ht="12.75">
      <c r="A980" s="86"/>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row>
    <row r="981" spans="1:33" ht="12.75">
      <c r="A981" s="86"/>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row>
    <row r="982" spans="1:33" ht="12.75">
      <c r="A982" s="86"/>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row>
    <row r="983" spans="1:33" ht="12.75">
      <c r="A983" s="86"/>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row>
    <row r="984" spans="1:33" ht="12.75">
      <c r="A984" s="86"/>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row>
    <row r="985" spans="1:33" ht="12.75">
      <c r="A985" s="86"/>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row>
    <row r="986" spans="1:33" ht="12.75">
      <c r="A986" s="86"/>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row>
    <row r="987" spans="1:33" ht="12.75">
      <c r="A987" s="86"/>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row>
    <row r="988" spans="1:33" ht="12.75">
      <c r="A988" s="86"/>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row>
    <row r="989" spans="1:33" ht="12.75">
      <c r="A989" s="86"/>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row>
    <row r="990" spans="1:33" ht="12.75">
      <c r="A990" s="86"/>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row>
    <row r="991" spans="1:33" ht="12.75">
      <c r="A991" s="86"/>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row>
    <row r="992" spans="1:33" ht="12.75">
      <c r="A992" s="86"/>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row>
    <row r="993" spans="1:33" ht="12.75">
      <c r="A993" s="86"/>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row>
    <row r="994" spans="1:33" ht="12.75">
      <c r="A994" s="86"/>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row>
    <row r="995" spans="1:33" ht="12.75">
      <c r="A995" s="86"/>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row>
    <row r="996" spans="1:33" ht="12.75">
      <c r="A996" s="86"/>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G1052"/>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5.42578125" customWidth="1"/>
    <col min="3" max="3" width="32.85546875" customWidth="1"/>
    <col min="4" max="4" width="16.5703125" customWidth="1"/>
    <col min="5" max="5" width="14.140625" customWidth="1"/>
    <col min="6" max="6" width="20.5703125" customWidth="1"/>
    <col min="7" max="9" width="14.140625" customWidth="1"/>
    <col min="10" max="10" width="32.85546875" customWidth="1"/>
    <col min="11" max="33" width="14.140625" customWidth="1"/>
  </cols>
  <sheetData>
    <row r="1" spans="1:33" ht="52.5" customHeight="1">
      <c r="A1" s="56" t="s">
        <v>1877</v>
      </c>
      <c r="B1" s="96" t="s">
        <v>1878</v>
      </c>
      <c r="C1" s="56" t="s">
        <v>1879</v>
      </c>
      <c r="D1" s="57" t="s">
        <v>19</v>
      </c>
      <c r="E1" s="57" t="s">
        <v>20</v>
      </c>
      <c r="F1" s="9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21.75" customHeight="1">
      <c r="A2" s="97">
        <v>2015</v>
      </c>
      <c r="B2" s="98" t="s">
        <v>1908</v>
      </c>
      <c r="C2" s="99" t="s">
        <v>468</v>
      </c>
      <c r="D2" s="100">
        <v>42201</v>
      </c>
      <c r="E2" s="101">
        <v>42215</v>
      </c>
      <c r="F2" s="102" t="s">
        <v>1909</v>
      </c>
      <c r="G2" s="103" t="s">
        <v>203</v>
      </c>
      <c r="H2" s="103" t="s">
        <v>1910</v>
      </c>
      <c r="I2" s="103" t="s">
        <v>470</v>
      </c>
      <c r="J2" s="103"/>
      <c r="K2" s="103" t="s">
        <v>471</v>
      </c>
      <c r="L2" s="103"/>
      <c r="M2" s="103"/>
      <c r="N2" s="103"/>
      <c r="O2" s="103"/>
      <c r="P2" s="103"/>
      <c r="Q2" s="103"/>
      <c r="R2" s="103"/>
      <c r="S2" s="103"/>
      <c r="T2" s="103"/>
      <c r="U2" s="103"/>
      <c r="V2" s="103"/>
      <c r="W2" s="103"/>
      <c r="X2" s="103"/>
      <c r="Y2" s="103"/>
      <c r="Z2" s="103"/>
      <c r="AA2" s="103"/>
      <c r="AB2" s="103"/>
      <c r="AC2" s="103"/>
      <c r="AD2" s="103"/>
      <c r="AE2" s="103"/>
      <c r="AF2" s="103"/>
      <c r="AG2" s="103"/>
    </row>
    <row r="3" spans="1:33" ht="21.75" customHeight="1">
      <c r="A3" s="97">
        <v>2017</v>
      </c>
      <c r="B3" s="98" t="s">
        <v>1908</v>
      </c>
      <c r="C3" s="99" t="s">
        <v>468</v>
      </c>
      <c r="D3" s="100">
        <v>42932</v>
      </c>
      <c r="E3" s="101">
        <v>42946</v>
      </c>
      <c r="F3" s="102" t="s">
        <v>1909</v>
      </c>
      <c r="G3" s="103" t="s">
        <v>85</v>
      </c>
      <c r="H3" s="103" t="s">
        <v>1911</v>
      </c>
      <c r="I3" s="103" t="s">
        <v>476</v>
      </c>
      <c r="J3" s="103"/>
      <c r="K3" s="103"/>
      <c r="L3" s="103" t="s">
        <v>477</v>
      </c>
      <c r="M3" s="103"/>
      <c r="N3" s="103"/>
      <c r="O3" s="103"/>
      <c r="P3" s="103"/>
      <c r="Q3" s="103" t="s">
        <v>54</v>
      </c>
      <c r="R3" s="103" t="s">
        <v>55</v>
      </c>
      <c r="S3" s="103"/>
      <c r="T3" s="103" t="s">
        <v>478</v>
      </c>
      <c r="U3" s="103" t="s">
        <v>479</v>
      </c>
      <c r="V3" s="103" t="s">
        <v>103</v>
      </c>
      <c r="W3" s="103"/>
      <c r="X3" s="103"/>
      <c r="Y3" s="103"/>
      <c r="Z3" s="103"/>
      <c r="AA3" s="103"/>
      <c r="AB3" s="103"/>
      <c r="AC3" s="103"/>
      <c r="AD3" s="103"/>
      <c r="AE3" s="103"/>
      <c r="AF3" s="103"/>
      <c r="AG3" s="103"/>
    </row>
    <row r="4" spans="1:33" ht="21.75" customHeight="1">
      <c r="A4" s="97">
        <v>2012</v>
      </c>
      <c r="B4" s="98" t="s">
        <v>483</v>
      </c>
      <c r="C4" s="99" t="s">
        <v>484</v>
      </c>
      <c r="D4" s="100">
        <v>41104</v>
      </c>
      <c r="E4" s="101">
        <v>41119</v>
      </c>
      <c r="F4" s="102" t="s">
        <v>1909</v>
      </c>
      <c r="G4" s="103" t="s">
        <v>85</v>
      </c>
      <c r="H4" s="103" t="s">
        <v>485</v>
      </c>
      <c r="I4" s="103" t="s">
        <v>486</v>
      </c>
      <c r="J4" s="103"/>
      <c r="K4" s="104" t="s">
        <v>487</v>
      </c>
      <c r="L4" s="103"/>
      <c r="M4" s="103"/>
      <c r="N4" s="103"/>
      <c r="O4" s="103"/>
      <c r="P4" s="103"/>
      <c r="Q4" s="103"/>
      <c r="R4" s="103"/>
      <c r="S4" s="103"/>
      <c r="T4" s="103"/>
      <c r="U4" s="103"/>
      <c r="V4" s="103"/>
      <c r="W4" s="103"/>
      <c r="X4" s="103"/>
      <c r="Y4" s="103"/>
      <c r="Z4" s="103"/>
      <c r="AA4" s="103"/>
      <c r="AB4" s="103"/>
      <c r="AC4" s="103"/>
      <c r="AD4" s="103"/>
      <c r="AE4" s="103"/>
      <c r="AF4" s="103"/>
      <c r="AG4" s="103"/>
    </row>
    <row r="5" spans="1:33" ht="21.75" customHeight="1">
      <c r="A5" s="97">
        <v>2015</v>
      </c>
      <c r="B5" s="98" t="s">
        <v>483</v>
      </c>
      <c r="C5" s="99" t="s">
        <v>484</v>
      </c>
      <c r="D5" s="100">
        <v>42200</v>
      </c>
      <c r="E5" s="101">
        <v>42215</v>
      </c>
      <c r="F5" s="102" t="s">
        <v>1909</v>
      </c>
      <c r="G5" s="103" t="s">
        <v>85</v>
      </c>
      <c r="H5" s="103" t="s">
        <v>1912</v>
      </c>
      <c r="I5" s="103" t="s">
        <v>492</v>
      </c>
      <c r="J5" s="103"/>
      <c r="K5" s="103"/>
      <c r="L5" s="103"/>
      <c r="M5" s="103"/>
      <c r="N5" s="103"/>
      <c r="O5" s="103"/>
      <c r="P5" s="103"/>
      <c r="Q5" s="103"/>
      <c r="R5" s="103"/>
      <c r="S5" s="103"/>
      <c r="T5" s="103"/>
      <c r="U5" s="103"/>
      <c r="V5" s="103"/>
      <c r="W5" s="103"/>
      <c r="X5" s="103"/>
      <c r="Y5" s="103"/>
      <c r="Z5" s="103"/>
      <c r="AA5" s="103"/>
      <c r="AB5" s="103"/>
      <c r="AC5" s="103"/>
      <c r="AD5" s="103"/>
      <c r="AE5" s="103"/>
      <c r="AF5" s="103"/>
      <c r="AG5" s="103"/>
    </row>
    <row r="6" spans="1:33" ht="21.75" customHeight="1">
      <c r="A6" s="97">
        <v>2015</v>
      </c>
      <c r="B6" s="98" t="s">
        <v>496</v>
      </c>
      <c r="C6" s="99" t="s">
        <v>1913</v>
      </c>
      <c r="D6" s="100">
        <v>42201</v>
      </c>
      <c r="E6" s="101">
        <v>42215</v>
      </c>
      <c r="F6" s="102" t="s">
        <v>1909</v>
      </c>
      <c r="G6" s="103" t="s">
        <v>85</v>
      </c>
      <c r="H6" s="103" t="s">
        <v>498</v>
      </c>
      <c r="I6" s="103" t="s">
        <v>499</v>
      </c>
      <c r="J6" s="103"/>
      <c r="K6" s="103" t="s">
        <v>500</v>
      </c>
      <c r="L6" s="103"/>
      <c r="M6" s="103"/>
      <c r="N6" s="103"/>
      <c r="O6" s="103"/>
      <c r="P6" s="103"/>
      <c r="Q6" s="103"/>
      <c r="R6" s="103"/>
      <c r="S6" s="103"/>
      <c r="T6" s="103"/>
      <c r="U6" s="103"/>
      <c r="V6" s="103"/>
      <c r="W6" s="103"/>
      <c r="X6" s="103"/>
      <c r="Y6" s="103"/>
      <c r="Z6" s="103"/>
      <c r="AA6" s="103"/>
      <c r="AB6" s="103"/>
      <c r="AC6" s="103"/>
      <c r="AD6" s="103"/>
      <c r="AE6" s="103"/>
      <c r="AF6" s="103"/>
      <c r="AG6" s="103"/>
    </row>
    <row r="7" spans="1:33" ht="21.75" customHeight="1">
      <c r="A7" s="97">
        <v>2017</v>
      </c>
      <c r="B7" s="98" t="s">
        <v>1914</v>
      </c>
      <c r="C7" s="103" t="str">
        <f t="shared" ref="C7:C9" si="0">C6</f>
        <v xml:space="preserve">gs,alud@scoutsdemadrid.org </v>
      </c>
      <c r="D7" s="100">
        <v>42938</v>
      </c>
      <c r="E7" s="101">
        <v>42946</v>
      </c>
      <c r="F7" s="102" t="s">
        <v>1909</v>
      </c>
      <c r="G7" s="103" t="s">
        <v>195</v>
      </c>
      <c r="H7" s="103" t="s">
        <v>504</v>
      </c>
      <c r="I7" s="103"/>
      <c r="J7" s="103"/>
      <c r="K7" s="103"/>
      <c r="L7" s="103" t="s">
        <v>505</v>
      </c>
      <c r="M7" s="103"/>
      <c r="N7" s="103"/>
      <c r="O7" s="103"/>
      <c r="P7" s="103"/>
      <c r="Q7" s="103"/>
      <c r="R7" s="103"/>
      <c r="S7" s="103"/>
      <c r="T7" s="103"/>
      <c r="U7" s="103"/>
      <c r="V7" s="103"/>
      <c r="W7" s="103"/>
      <c r="X7" s="103"/>
      <c r="Y7" s="103"/>
      <c r="Z7" s="103"/>
      <c r="AA7" s="103"/>
      <c r="AB7" s="103"/>
      <c r="AC7" s="103"/>
      <c r="AD7" s="103"/>
      <c r="AE7" s="103"/>
      <c r="AF7" s="103"/>
      <c r="AG7" s="103"/>
    </row>
    <row r="8" spans="1:33" ht="21.75" customHeight="1">
      <c r="A8" s="97">
        <v>2018</v>
      </c>
      <c r="B8" s="98" t="s">
        <v>1914</v>
      </c>
      <c r="C8" s="103" t="str">
        <f t="shared" si="0"/>
        <v xml:space="preserve">gs,alud@scoutsdemadrid.org </v>
      </c>
      <c r="D8" s="100">
        <v>43297</v>
      </c>
      <c r="E8" s="101">
        <v>43311</v>
      </c>
      <c r="F8" s="102" t="s">
        <v>1909</v>
      </c>
      <c r="G8" s="103" t="s">
        <v>1915</v>
      </c>
      <c r="H8" s="103" t="s">
        <v>509</v>
      </c>
      <c r="I8" s="103" t="s">
        <v>510</v>
      </c>
      <c r="J8" s="103" t="s">
        <v>511</v>
      </c>
      <c r="K8" s="103" t="s">
        <v>512</v>
      </c>
      <c r="L8" s="103" t="s">
        <v>513</v>
      </c>
      <c r="M8" s="103" t="s">
        <v>514</v>
      </c>
      <c r="N8" s="103" t="s">
        <v>515</v>
      </c>
      <c r="O8" s="105">
        <v>364</v>
      </c>
      <c r="P8" s="103" t="s">
        <v>511</v>
      </c>
      <c r="Q8" s="103" t="s">
        <v>54</v>
      </c>
      <c r="R8" s="103" t="s">
        <v>55</v>
      </c>
      <c r="S8" s="103" t="s">
        <v>516</v>
      </c>
      <c r="T8" s="103" t="s">
        <v>517</v>
      </c>
      <c r="U8" s="103" t="s">
        <v>518</v>
      </c>
      <c r="V8" s="103" t="s">
        <v>519</v>
      </c>
      <c r="W8" s="103" t="s">
        <v>520</v>
      </c>
      <c r="X8" s="103"/>
      <c r="Y8" s="103"/>
      <c r="Z8" s="103"/>
      <c r="AA8" s="103"/>
      <c r="AB8" s="103"/>
      <c r="AC8" s="103"/>
      <c r="AD8" s="103"/>
      <c r="AE8" s="103"/>
      <c r="AF8" s="103"/>
      <c r="AG8" s="103"/>
    </row>
    <row r="9" spans="1:33" ht="21.75" customHeight="1">
      <c r="A9" s="97">
        <v>2018</v>
      </c>
      <c r="B9" s="98" t="s">
        <v>1914</v>
      </c>
      <c r="C9" s="103" t="str">
        <f t="shared" si="0"/>
        <v xml:space="preserve">gs,alud@scoutsdemadrid.org </v>
      </c>
      <c r="D9" s="100">
        <v>43297</v>
      </c>
      <c r="E9" s="101">
        <v>43311</v>
      </c>
      <c r="F9" s="102" t="s">
        <v>1909</v>
      </c>
      <c r="G9" s="103" t="s">
        <v>1915</v>
      </c>
      <c r="H9" s="103" t="s">
        <v>509</v>
      </c>
      <c r="I9" s="103" t="s">
        <v>510</v>
      </c>
      <c r="J9" s="103" t="s">
        <v>511</v>
      </c>
      <c r="K9" s="103" t="s">
        <v>512</v>
      </c>
      <c r="L9" s="103" t="s">
        <v>513</v>
      </c>
      <c r="M9" s="103" t="s">
        <v>514</v>
      </c>
      <c r="N9" s="103" t="s">
        <v>515</v>
      </c>
      <c r="O9" s="105">
        <v>364</v>
      </c>
      <c r="P9" s="103" t="s">
        <v>511</v>
      </c>
      <c r="Q9" s="103" t="s">
        <v>54</v>
      </c>
      <c r="R9" s="103" t="s">
        <v>55</v>
      </c>
      <c r="S9" s="103" t="s">
        <v>516</v>
      </c>
      <c r="T9" s="103" t="s">
        <v>517</v>
      </c>
      <c r="U9" s="103" t="s">
        <v>518</v>
      </c>
      <c r="V9" s="103" t="s">
        <v>519</v>
      </c>
      <c r="W9" s="103" t="s">
        <v>520</v>
      </c>
      <c r="X9" s="103"/>
      <c r="Y9" s="103"/>
      <c r="Z9" s="103"/>
      <c r="AA9" s="103"/>
      <c r="AB9" s="103"/>
      <c r="AC9" s="103"/>
      <c r="AD9" s="103"/>
      <c r="AE9" s="103"/>
      <c r="AF9" s="103"/>
      <c r="AG9" s="103"/>
    </row>
    <row r="10" spans="1:33" ht="21.75" customHeight="1">
      <c r="A10" s="97">
        <v>2012</v>
      </c>
      <c r="B10" s="98" t="s">
        <v>236</v>
      </c>
      <c r="C10" s="99" t="s">
        <v>237</v>
      </c>
      <c r="D10" s="100">
        <v>41106</v>
      </c>
      <c r="E10" s="101">
        <v>41120</v>
      </c>
      <c r="F10" s="102" t="s">
        <v>1909</v>
      </c>
      <c r="G10" s="103" t="s">
        <v>190</v>
      </c>
      <c r="H10" s="103" t="s">
        <v>526</v>
      </c>
      <c r="I10" s="103" t="s">
        <v>527</v>
      </c>
      <c r="J10" s="103"/>
      <c r="K10" s="104" t="s">
        <v>528</v>
      </c>
      <c r="L10" s="103"/>
      <c r="M10" s="103"/>
      <c r="N10" s="103"/>
      <c r="O10" s="103"/>
      <c r="P10" s="103"/>
      <c r="Q10" s="103"/>
      <c r="R10" s="103"/>
      <c r="S10" s="103"/>
      <c r="T10" s="103"/>
      <c r="U10" s="103"/>
      <c r="V10" s="103"/>
      <c r="W10" s="103"/>
      <c r="X10" s="103"/>
      <c r="Y10" s="103"/>
      <c r="Z10" s="103"/>
      <c r="AA10" s="103"/>
      <c r="AB10" s="103"/>
      <c r="AC10" s="103"/>
      <c r="AD10" s="103"/>
      <c r="AE10" s="103"/>
      <c r="AF10" s="103"/>
      <c r="AG10" s="103"/>
    </row>
    <row r="11" spans="1:33" ht="21.75" customHeight="1">
      <c r="A11" s="97">
        <v>2015</v>
      </c>
      <c r="B11" s="98" t="s">
        <v>236</v>
      </c>
      <c r="C11" s="103" t="str">
        <f t="shared" ref="C11:C14" si="1">C10</f>
        <v xml:space="preserve">gs.amoros@scoutsdemadrid.org </v>
      </c>
      <c r="D11" s="100">
        <v>42198</v>
      </c>
      <c r="E11" s="101">
        <v>42215</v>
      </c>
      <c r="F11" s="102" t="s">
        <v>1909</v>
      </c>
      <c r="G11" s="103" t="s">
        <v>108</v>
      </c>
      <c r="H11" s="103" t="s">
        <v>1916</v>
      </c>
      <c r="I11" s="103" t="s">
        <v>533</v>
      </c>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row>
    <row r="12" spans="1:33" ht="21.75" customHeight="1">
      <c r="A12" s="97">
        <v>2017</v>
      </c>
      <c r="B12" s="98" t="s">
        <v>1894</v>
      </c>
      <c r="C12" s="103" t="str">
        <f t="shared" si="1"/>
        <v xml:space="preserve">gs.amoros@scoutsdemadrid.org </v>
      </c>
      <c r="D12" s="100">
        <v>42930</v>
      </c>
      <c r="E12" s="101">
        <v>42946</v>
      </c>
      <c r="F12" s="102" t="s">
        <v>1909</v>
      </c>
      <c r="G12" s="103" t="s">
        <v>85</v>
      </c>
      <c r="H12" s="103" t="s">
        <v>1917</v>
      </c>
      <c r="I12" s="103"/>
      <c r="J12" s="103"/>
      <c r="K12" s="103"/>
      <c r="L12" s="103" t="s">
        <v>537</v>
      </c>
      <c r="M12" s="103"/>
      <c r="N12" s="103"/>
      <c r="O12" s="103"/>
      <c r="P12" s="103"/>
      <c r="Q12" s="103"/>
      <c r="R12" s="103"/>
      <c r="S12" s="103"/>
      <c r="T12" s="103"/>
      <c r="U12" s="103"/>
      <c r="V12" s="103"/>
      <c r="W12" s="103"/>
      <c r="X12" s="103"/>
      <c r="Y12" s="103"/>
      <c r="Z12" s="103"/>
      <c r="AA12" s="103"/>
      <c r="AB12" s="103"/>
      <c r="AC12" s="103"/>
      <c r="AD12" s="103"/>
      <c r="AE12" s="103"/>
      <c r="AF12" s="103"/>
      <c r="AG12" s="103"/>
    </row>
    <row r="13" spans="1:33" ht="21.75" customHeight="1">
      <c r="A13" s="97">
        <v>2017</v>
      </c>
      <c r="B13" s="98" t="s">
        <v>1894</v>
      </c>
      <c r="C13" s="103" t="str">
        <f t="shared" si="1"/>
        <v xml:space="preserve">gs.amoros@scoutsdemadrid.org </v>
      </c>
      <c r="D13" s="100">
        <v>42932</v>
      </c>
      <c r="E13" s="101">
        <v>42946</v>
      </c>
      <c r="F13" s="102" t="s">
        <v>1909</v>
      </c>
      <c r="G13" s="103" t="s">
        <v>195</v>
      </c>
      <c r="H13" s="103" t="s">
        <v>504</v>
      </c>
      <c r="I13" s="103" t="s">
        <v>541</v>
      </c>
      <c r="J13" s="103"/>
      <c r="K13" s="103"/>
      <c r="L13" s="103" t="s">
        <v>542</v>
      </c>
      <c r="M13" s="103"/>
      <c r="N13" s="103"/>
      <c r="O13" s="103"/>
      <c r="P13" s="103"/>
      <c r="Q13" s="103"/>
      <c r="R13" s="103"/>
      <c r="S13" s="103"/>
      <c r="T13" s="103"/>
      <c r="U13" s="103"/>
      <c r="V13" s="103"/>
      <c r="W13" s="103" t="s">
        <v>543</v>
      </c>
      <c r="X13" s="103"/>
      <c r="Y13" s="103"/>
      <c r="Z13" s="103"/>
      <c r="AA13" s="103"/>
      <c r="AB13" s="103"/>
      <c r="AC13" s="103"/>
      <c r="AD13" s="103"/>
      <c r="AE13" s="103"/>
      <c r="AF13" s="103"/>
      <c r="AG13" s="103"/>
    </row>
    <row r="14" spans="1:33" ht="21.75" customHeight="1">
      <c r="A14" s="97">
        <v>2018</v>
      </c>
      <c r="B14" s="98" t="s">
        <v>1894</v>
      </c>
      <c r="C14" s="103" t="str">
        <f t="shared" si="1"/>
        <v xml:space="preserve">gs.amoros@scoutsdemadrid.org </v>
      </c>
      <c r="D14" s="100">
        <v>43294</v>
      </c>
      <c r="E14" s="101">
        <v>43342</v>
      </c>
      <c r="F14" s="102" t="s">
        <v>1909</v>
      </c>
      <c r="G14" s="103" t="s">
        <v>195</v>
      </c>
      <c r="H14" s="103" t="s">
        <v>547</v>
      </c>
      <c r="I14" s="103" t="s">
        <v>548</v>
      </c>
      <c r="J14" s="103" t="s">
        <v>549</v>
      </c>
      <c r="K14" s="103" t="s">
        <v>550</v>
      </c>
      <c r="L14" s="103" t="s">
        <v>551</v>
      </c>
      <c r="M14" s="106">
        <v>975371250</v>
      </c>
      <c r="N14" s="103" t="s">
        <v>552</v>
      </c>
      <c r="O14" s="107">
        <v>7.8</v>
      </c>
      <c r="P14" s="103" t="s">
        <v>553</v>
      </c>
      <c r="Q14" s="103" t="s">
        <v>54</v>
      </c>
      <c r="R14" s="103" t="s">
        <v>55</v>
      </c>
      <c r="S14" s="103" t="s">
        <v>211</v>
      </c>
      <c r="T14" s="103" t="s">
        <v>554</v>
      </c>
      <c r="U14" s="103" t="s">
        <v>555</v>
      </c>
      <c r="V14" s="103" t="s">
        <v>556</v>
      </c>
      <c r="W14" s="103" t="s">
        <v>557</v>
      </c>
      <c r="X14" s="103"/>
      <c r="Y14" s="103"/>
      <c r="Z14" s="103"/>
      <c r="AA14" s="103"/>
      <c r="AB14" s="103"/>
      <c r="AC14" s="103"/>
      <c r="AD14" s="103"/>
      <c r="AE14" s="103"/>
      <c r="AF14" s="103"/>
      <c r="AG14" s="103"/>
    </row>
    <row r="15" spans="1:33" ht="21.75" customHeight="1">
      <c r="A15" s="97">
        <v>2015</v>
      </c>
      <c r="B15" s="108" t="s">
        <v>89</v>
      </c>
      <c r="C15" s="99" t="s">
        <v>90</v>
      </c>
      <c r="D15" s="100">
        <v>42186</v>
      </c>
      <c r="E15" s="101">
        <v>42169</v>
      </c>
      <c r="F15" s="102" t="s">
        <v>1909</v>
      </c>
      <c r="G15" s="109" t="s">
        <v>166</v>
      </c>
      <c r="H15" s="109" t="s">
        <v>561</v>
      </c>
      <c r="I15" s="109" t="s">
        <v>561</v>
      </c>
      <c r="J15" s="103"/>
      <c r="K15" s="103"/>
      <c r="L15" s="109"/>
      <c r="M15" s="103"/>
      <c r="N15" s="103"/>
      <c r="O15" s="103"/>
      <c r="P15" s="103"/>
      <c r="Q15" s="109"/>
      <c r="R15" s="109"/>
      <c r="S15" s="109"/>
      <c r="T15" s="103"/>
      <c r="U15" s="109"/>
      <c r="V15" s="109"/>
      <c r="W15" s="103"/>
      <c r="X15" s="103"/>
      <c r="Y15" s="103"/>
      <c r="Z15" s="103"/>
      <c r="AA15" s="103"/>
      <c r="AB15" s="103"/>
      <c r="AC15" s="103"/>
      <c r="AD15" s="103"/>
      <c r="AE15" s="103"/>
      <c r="AF15" s="103"/>
      <c r="AG15" s="103"/>
    </row>
    <row r="16" spans="1:33" ht="21.75" customHeight="1">
      <c r="A16" s="97">
        <v>2018</v>
      </c>
      <c r="B16" s="98" t="s">
        <v>1884</v>
      </c>
      <c r="C16" s="103" t="str">
        <f>C15</f>
        <v xml:space="preserve">gs.buenpastor@scoutsdemadrid.org </v>
      </c>
      <c r="D16" s="100">
        <v>43294</v>
      </c>
      <c r="E16" s="101">
        <v>43311</v>
      </c>
      <c r="F16" s="102" t="s">
        <v>1909</v>
      </c>
      <c r="G16" s="103" t="s">
        <v>166</v>
      </c>
      <c r="H16" s="103" t="s">
        <v>565</v>
      </c>
      <c r="I16" s="103" t="s">
        <v>566</v>
      </c>
      <c r="J16" s="103" t="s">
        <v>567</v>
      </c>
      <c r="K16" s="103" t="s">
        <v>568</v>
      </c>
      <c r="L16" s="103" t="s">
        <v>569</v>
      </c>
      <c r="M16" s="106">
        <v>605670665</v>
      </c>
      <c r="N16" s="103" t="s">
        <v>570</v>
      </c>
      <c r="O16" s="103" t="s">
        <v>571</v>
      </c>
      <c r="P16" s="103" t="s">
        <v>572</v>
      </c>
      <c r="Q16" s="103" t="s">
        <v>54</v>
      </c>
      <c r="R16" s="103" t="s">
        <v>55</v>
      </c>
      <c r="S16" s="103" t="s">
        <v>573</v>
      </c>
      <c r="T16" s="103" t="s">
        <v>574</v>
      </c>
      <c r="U16" s="103" t="s">
        <v>575</v>
      </c>
      <c r="V16" s="103" t="s">
        <v>372</v>
      </c>
      <c r="W16" s="103" t="s">
        <v>576</v>
      </c>
      <c r="X16" s="103"/>
      <c r="Y16" s="103"/>
      <c r="Z16" s="103"/>
      <c r="AA16" s="103"/>
      <c r="AB16" s="103"/>
      <c r="AC16" s="103"/>
      <c r="AD16" s="103"/>
      <c r="AE16" s="103"/>
      <c r="AF16" s="103"/>
      <c r="AG16" s="103"/>
    </row>
    <row r="17" spans="1:33" ht="21.75" customHeight="1">
      <c r="A17" s="97">
        <v>2019</v>
      </c>
      <c r="B17" s="102" t="s">
        <v>1918</v>
      </c>
      <c r="C17" s="99" t="s">
        <v>581</v>
      </c>
      <c r="D17" s="97">
        <v>43647</v>
      </c>
      <c r="E17" s="97">
        <v>43661</v>
      </c>
      <c r="F17" s="102" t="s">
        <v>1909</v>
      </c>
      <c r="G17" s="97" t="s">
        <v>166</v>
      </c>
      <c r="H17" s="97" t="s">
        <v>1919</v>
      </c>
      <c r="I17" s="97" t="s">
        <v>583</v>
      </c>
      <c r="J17" s="97" t="s">
        <v>584</v>
      </c>
      <c r="K17" s="97" t="s">
        <v>585</v>
      </c>
      <c r="L17" s="97" t="s">
        <v>586</v>
      </c>
      <c r="M17" s="97" t="s">
        <v>587</v>
      </c>
      <c r="N17" s="97" t="s">
        <v>588</v>
      </c>
      <c r="O17" s="97" t="s">
        <v>589</v>
      </c>
      <c r="P17" s="97" t="s">
        <v>590</v>
      </c>
      <c r="Q17" s="97" t="s">
        <v>54</v>
      </c>
      <c r="R17" s="97" t="s">
        <v>103</v>
      </c>
      <c r="S17" s="97" t="s">
        <v>591</v>
      </c>
      <c r="T17" s="97" t="s">
        <v>592</v>
      </c>
      <c r="U17" s="97" t="s">
        <v>593</v>
      </c>
      <c r="V17" s="97" t="s">
        <v>590</v>
      </c>
      <c r="W17" s="97" t="s">
        <v>594</v>
      </c>
      <c r="X17" s="97" t="s">
        <v>55</v>
      </c>
      <c r="Y17" s="97"/>
      <c r="Z17" s="97"/>
      <c r="AA17" s="97"/>
      <c r="AB17" s="97"/>
      <c r="AC17" s="97"/>
      <c r="AD17" s="97"/>
      <c r="AE17" s="97"/>
      <c r="AF17" s="97"/>
      <c r="AG17" s="97"/>
    </row>
    <row r="18" spans="1:33" ht="21.75" customHeight="1">
      <c r="A18" s="97">
        <v>2012</v>
      </c>
      <c r="B18" s="98" t="s">
        <v>598</v>
      </c>
      <c r="C18" s="99" t="s">
        <v>581</v>
      </c>
      <c r="D18" s="100">
        <v>41091</v>
      </c>
      <c r="E18" s="101">
        <v>41115</v>
      </c>
      <c r="F18" s="102" t="s">
        <v>1909</v>
      </c>
      <c r="G18" s="103" t="s">
        <v>85</v>
      </c>
      <c r="H18" s="103" t="s">
        <v>600</v>
      </c>
      <c r="I18" s="103" t="s">
        <v>600</v>
      </c>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row>
    <row r="19" spans="1:33" ht="21.75" customHeight="1">
      <c r="A19" s="97">
        <v>2016</v>
      </c>
      <c r="B19" s="98" t="s">
        <v>268</v>
      </c>
      <c r="C19" s="99" t="s">
        <v>269</v>
      </c>
      <c r="D19" s="100">
        <v>41101</v>
      </c>
      <c r="E19" s="101">
        <v>41120</v>
      </c>
      <c r="F19" s="102" t="s">
        <v>1909</v>
      </c>
      <c r="G19" s="103" t="s">
        <v>195</v>
      </c>
      <c r="H19" s="103" t="s">
        <v>604</v>
      </c>
      <c r="I19" s="103" t="s">
        <v>605</v>
      </c>
      <c r="J19" s="103"/>
      <c r="K19" s="104" t="s">
        <v>606</v>
      </c>
      <c r="L19" s="103"/>
      <c r="M19" s="103"/>
      <c r="N19" s="103"/>
      <c r="O19" s="103"/>
      <c r="P19" s="103"/>
      <c r="Q19" s="103"/>
      <c r="R19" s="103"/>
      <c r="S19" s="103"/>
      <c r="T19" s="103"/>
      <c r="U19" s="103"/>
      <c r="V19" s="103"/>
      <c r="W19" s="103"/>
      <c r="X19" s="103"/>
      <c r="Y19" s="103"/>
      <c r="Z19" s="103"/>
      <c r="AA19" s="103"/>
      <c r="AB19" s="103"/>
      <c r="AC19" s="103"/>
      <c r="AD19" s="103"/>
      <c r="AE19" s="103"/>
      <c r="AF19" s="103"/>
      <c r="AG19" s="103"/>
    </row>
    <row r="20" spans="1:33" ht="21.75" customHeight="1">
      <c r="A20" s="97">
        <v>2016</v>
      </c>
      <c r="B20" s="102" t="s">
        <v>1907</v>
      </c>
      <c r="C20" s="99" t="str">
        <f t="shared" ref="C20:C23" si="2">C19</f>
        <v xml:space="preserve">gs.claret@scoutsdemadrid.org </v>
      </c>
      <c r="D20" s="110">
        <v>42566</v>
      </c>
      <c r="E20" s="111">
        <v>42581</v>
      </c>
      <c r="F20" s="102" t="s">
        <v>1909</v>
      </c>
      <c r="G20" s="99" t="s">
        <v>1920</v>
      </c>
      <c r="H20" s="99" t="s">
        <v>1921</v>
      </c>
      <c r="I20" s="99" t="s">
        <v>611</v>
      </c>
      <c r="J20" s="103"/>
      <c r="K20" s="99" t="s">
        <v>612</v>
      </c>
      <c r="L20" s="99" t="s">
        <v>569</v>
      </c>
      <c r="M20" s="99">
        <v>605670665</v>
      </c>
      <c r="N20" s="103"/>
      <c r="O20" s="99" t="s">
        <v>613</v>
      </c>
      <c r="P20" s="99" t="s">
        <v>136</v>
      </c>
      <c r="Q20" s="99" t="s">
        <v>54</v>
      </c>
      <c r="R20" s="99" t="s">
        <v>55</v>
      </c>
      <c r="S20" s="99" t="s">
        <v>614</v>
      </c>
      <c r="T20" s="99" t="s">
        <v>615</v>
      </c>
      <c r="U20" s="99" t="s">
        <v>616</v>
      </c>
      <c r="V20" s="99" t="s">
        <v>230</v>
      </c>
      <c r="W20" s="99" t="s">
        <v>617</v>
      </c>
      <c r="X20" s="99"/>
      <c r="Y20" s="99"/>
      <c r="Z20" s="99"/>
      <c r="AA20" s="99"/>
      <c r="AB20" s="99"/>
      <c r="AC20" s="99"/>
      <c r="AD20" s="99"/>
      <c r="AE20" s="99"/>
      <c r="AF20" s="99"/>
      <c r="AG20" s="99"/>
    </row>
    <row r="21" spans="1:33" ht="21.75" customHeight="1">
      <c r="A21" s="97">
        <v>2016</v>
      </c>
      <c r="B21" s="102" t="s">
        <v>1907</v>
      </c>
      <c r="C21" s="99" t="str">
        <f t="shared" si="2"/>
        <v xml:space="preserve">gs.claret@scoutsdemadrid.org </v>
      </c>
      <c r="D21" s="110">
        <v>42566</v>
      </c>
      <c r="E21" s="111">
        <v>42581</v>
      </c>
      <c r="F21" s="102" t="s">
        <v>1909</v>
      </c>
      <c r="G21" s="99" t="s">
        <v>1920</v>
      </c>
      <c r="H21" s="99" t="s">
        <v>1921</v>
      </c>
      <c r="I21" s="99" t="s">
        <v>611</v>
      </c>
      <c r="J21" s="103"/>
      <c r="K21" s="99" t="s">
        <v>612</v>
      </c>
      <c r="L21" s="99" t="s">
        <v>569</v>
      </c>
      <c r="M21" s="99">
        <v>605670665</v>
      </c>
      <c r="N21" s="103"/>
      <c r="O21" s="99" t="s">
        <v>613</v>
      </c>
      <c r="P21" s="99" t="s">
        <v>136</v>
      </c>
      <c r="Q21" s="99" t="s">
        <v>54</v>
      </c>
      <c r="R21" s="99" t="s">
        <v>55</v>
      </c>
      <c r="S21" s="99" t="s">
        <v>614</v>
      </c>
      <c r="T21" s="99" t="s">
        <v>615</v>
      </c>
      <c r="U21" s="99" t="s">
        <v>616</v>
      </c>
      <c r="V21" s="99" t="s">
        <v>230</v>
      </c>
      <c r="W21" s="99" t="s">
        <v>617</v>
      </c>
      <c r="X21" s="99"/>
      <c r="Y21" s="99"/>
      <c r="Z21" s="99"/>
      <c r="AA21" s="99"/>
      <c r="AB21" s="99"/>
      <c r="AC21" s="99"/>
      <c r="AD21" s="99"/>
      <c r="AE21" s="99"/>
      <c r="AF21" s="99"/>
      <c r="AG21" s="99"/>
    </row>
    <row r="22" spans="1:33" ht="21.75" customHeight="1">
      <c r="A22" s="97">
        <v>2017</v>
      </c>
      <c r="B22" s="98" t="s">
        <v>1907</v>
      </c>
      <c r="C22" s="103" t="str">
        <f t="shared" si="2"/>
        <v xml:space="preserve">gs.claret@scoutsdemadrid.org </v>
      </c>
      <c r="D22" s="100">
        <v>42931</v>
      </c>
      <c r="E22" s="101">
        <v>42916</v>
      </c>
      <c r="F22" s="102" t="s">
        <v>1909</v>
      </c>
      <c r="G22" s="103" t="s">
        <v>85</v>
      </c>
      <c r="H22" s="103" t="s">
        <v>623</v>
      </c>
      <c r="I22" s="103" t="s">
        <v>624</v>
      </c>
      <c r="J22" s="103" t="s">
        <v>625</v>
      </c>
      <c r="K22" s="103" t="s">
        <v>626</v>
      </c>
      <c r="L22" s="103" t="s">
        <v>627</v>
      </c>
      <c r="M22" s="106">
        <v>647711306</v>
      </c>
      <c r="N22" s="103"/>
      <c r="O22" s="103" t="s">
        <v>628</v>
      </c>
      <c r="P22" s="103" t="s">
        <v>629</v>
      </c>
      <c r="Q22" s="103" t="s">
        <v>54</v>
      </c>
      <c r="R22" s="103" t="s">
        <v>55</v>
      </c>
      <c r="S22" s="103" t="s">
        <v>630</v>
      </c>
      <c r="T22" s="103" t="s">
        <v>631</v>
      </c>
      <c r="U22" s="103" t="s">
        <v>103</v>
      </c>
      <c r="V22" s="103" t="s">
        <v>55</v>
      </c>
      <c r="W22" s="103" t="s">
        <v>632</v>
      </c>
      <c r="X22" s="103"/>
      <c r="Y22" s="103"/>
      <c r="Z22" s="103"/>
      <c r="AA22" s="103"/>
      <c r="AB22" s="103"/>
      <c r="AC22" s="103"/>
      <c r="AD22" s="103"/>
      <c r="AE22" s="103"/>
      <c r="AF22" s="103"/>
      <c r="AG22" s="103"/>
    </row>
    <row r="23" spans="1:33" ht="21.75" customHeight="1">
      <c r="A23" s="97">
        <v>2018</v>
      </c>
      <c r="B23" s="98" t="s">
        <v>1907</v>
      </c>
      <c r="C23" s="103" t="str">
        <f t="shared" si="2"/>
        <v xml:space="preserve">gs.claret@scoutsdemadrid.org </v>
      </c>
      <c r="D23" s="100">
        <v>43296</v>
      </c>
      <c r="E23" s="101">
        <v>43311</v>
      </c>
      <c r="F23" s="102" t="s">
        <v>1909</v>
      </c>
      <c r="G23" s="103" t="s">
        <v>166</v>
      </c>
      <c r="H23" s="103" t="s">
        <v>636</v>
      </c>
      <c r="I23" s="103" t="s">
        <v>637</v>
      </c>
      <c r="J23" s="103" t="s">
        <v>638</v>
      </c>
      <c r="K23" s="103" t="s">
        <v>639</v>
      </c>
      <c r="L23" s="103" t="s">
        <v>640</v>
      </c>
      <c r="M23" s="106">
        <v>987741310</v>
      </c>
      <c r="N23" s="103" t="s">
        <v>641</v>
      </c>
      <c r="O23" s="103" t="s">
        <v>642</v>
      </c>
      <c r="P23" s="106">
        <v>1</v>
      </c>
      <c r="Q23" s="103" t="s">
        <v>54</v>
      </c>
      <c r="R23" s="103" t="s">
        <v>55</v>
      </c>
      <c r="S23" s="103" t="s">
        <v>643</v>
      </c>
      <c r="T23" s="103" t="s">
        <v>644</v>
      </c>
      <c r="U23" s="103" t="s">
        <v>103</v>
      </c>
      <c r="V23" s="103" t="s">
        <v>372</v>
      </c>
      <c r="W23" s="103" t="s">
        <v>645</v>
      </c>
      <c r="X23" s="103"/>
      <c r="Y23" s="103"/>
      <c r="Z23" s="103"/>
      <c r="AA23" s="103"/>
      <c r="AB23" s="103"/>
      <c r="AC23" s="103"/>
      <c r="AD23" s="103"/>
      <c r="AE23" s="103"/>
      <c r="AF23" s="103"/>
      <c r="AG23" s="103"/>
    </row>
    <row r="24" spans="1:33" ht="21.75" customHeight="1">
      <c r="A24" s="97">
        <v>2016</v>
      </c>
      <c r="B24" s="102" t="s">
        <v>1922</v>
      </c>
      <c r="C24" s="99" t="s">
        <v>650</v>
      </c>
      <c r="D24" s="110">
        <v>42573</v>
      </c>
      <c r="E24" s="111">
        <v>42577</v>
      </c>
      <c r="F24" s="102" t="s">
        <v>1909</v>
      </c>
      <c r="G24" s="99" t="s">
        <v>195</v>
      </c>
      <c r="H24" s="99" t="s">
        <v>504</v>
      </c>
      <c r="I24" s="99" t="s">
        <v>541</v>
      </c>
      <c r="J24" s="103"/>
      <c r="K24" s="103"/>
      <c r="L24" s="99" t="s">
        <v>651</v>
      </c>
      <c r="M24" s="103"/>
      <c r="N24" s="103"/>
      <c r="O24" s="103"/>
      <c r="P24" s="103"/>
      <c r="Q24" s="99" t="s">
        <v>54</v>
      </c>
      <c r="R24" s="99" t="s">
        <v>55</v>
      </c>
      <c r="S24" s="103"/>
      <c r="T24" s="103"/>
      <c r="U24" s="103"/>
      <c r="V24" s="103"/>
      <c r="W24" s="103"/>
      <c r="X24" s="103"/>
      <c r="Y24" s="103"/>
      <c r="Z24" s="103"/>
      <c r="AA24" s="103"/>
      <c r="AB24" s="103"/>
      <c r="AC24" s="103"/>
      <c r="AD24" s="103"/>
      <c r="AE24" s="103"/>
      <c r="AF24" s="103"/>
      <c r="AG24" s="103"/>
    </row>
    <row r="25" spans="1:33" ht="21.75" customHeight="1">
      <c r="A25" s="97">
        <v>2016</v>
      </c>
      <c r="B25" s="102" t="s">
        <v>1922</v>
      </c>
      <c r="C25" s="99" t="str">
        <f>C24</f>
        <v xml:space="preserve">gs.elremolino@scoutsdemadrid.org </v>
      </c>
      <c r="D25" s="110">
        <v>42573</v>
      </c>
      <c r="E25" s="111">
        <v>42577</v>
      </c>
      <c r="F25" s="102" t="s">
        <v>1909</v>
      </c>
      <c r="G25" s="99" t="s">
        <v>195</v>
      </c>
      <c r="H25" s="99" t="s">
        <v>504</v>
      </c>
      <c r="I25" s="99" t="s">
        <v>541</v>
      </c>
      <c r="J25" s="103"/>
      <c r="K25" s="103"/>
      <c r="L25" s="99" t="s">
        <v>651</v>
      </c>
      <c r="M25" s="103"/>
      <c r="N25" s="103"/>
      <c r="O25" s="103"/>
      <c r="P25" s="103"/>
      <c r="Q25" s="99" t="s">
        <v>54</v>
      </c>
      <c r="R25" s="99" t="s">
        <v>55</v>
      </c>
      <c r="S25" s="103"/>
      <c r="T25" s="103"/>
      <c r="U25" s="103"/>
      <c r="V25" s="103"/>
      <c r="W25" s="103"/>
      <c r="X25" s="103"/>
      <c r="Y25" s="103"/>
      <c r="Z25" s="103"/>
      <c r="AA25" s="103"/>
      <c r="AB25" s="103"/>
      <c r="AC25" s="103"/>
      <c r="AD25" s="103"/>
      <c r="AE25" s="103"/>
      <c r="AF25" s="103"/>
      <c r="AG25" s="103"/>
    </row>
    <row r="26" spans="1:33" ht="21.75" customHeight="1">
      <c r="A26" s="97">
        <v>2012</v>
      </c>
      <c r="B26" s="98" t="s">
        <v>657</v>
      </c>
      <c r="C26" s="99" t="s">
        <v>658</v>
      </c>
      <c r="D26" s="100">
        <v>41121</v>
      </c>
      <c r="E26" s="101">
        <v>41133</v>
      </c>
      <c r="F26" s="102" t="s">
        <v>1909</v>
      </c>
      <c r="G26" s="103" t="s">
        <v>1923</v>
      </c>
      <c r="H26" s="103" t="s">
        <v>1924</v>
      </c>
      <c r="I26" s="103" t="s">
        <v>660</v>
      </c>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row>
    <row r="27" spans="1:33" ht="21.75" customHeight="1">
      <c r="A27" s="97">
        <v>2015</v>
      </c>
      <c r="B27" s="98" t="s">
        <v>657</v>
      </c>
      <c r="C27" s="103" t="str">
        <f t="shared" ref="C27:C28" si="3">C26</f>
        <v xml:space="preserve">gs.encuentro@scoutsdemadrid.org </v>
      </c>
      <c r="D27" s="100">
        <v>42219</v>
      </c>
      <c r="E27" s="101">
        <v>42232</v>
      </c>
      <c r="F27" s="102" t="s">
        <v>1909</v>
      </c>
      <c r="G27" s="103" t="s">
        <v>108</v>
      </c>
      <c r="H27" s="103" t="s">
        <v>1925</v>
      </c>
      <c r="I27" s="103" t="s">
        <v>665</v>
      </c>
      <c r="J27" s="103"/>
      <c r="K27" s="103" t="s">
        <v>666</v>
      </c>
      <c r="L27" s="103"/>
      <c r="M27" s="103"/>
      <c r="N27" s="103"/>
      <c r="O27" s="103"/>
      <c r="P27" s="103"/>
      <c r="Q27" s="103"/>
      <c r="R27" s="103"/>
      <c r="S27" s="103"/>
      <c r="T27" s="103"/>
      <c r="U27" s="103"/>
      <c r="V27" s="103"/>
      <c r="W27" s="103"/>
      <c r="X27" s="103"/>
      <c r="Y27" s="103"/>
      <c r="Z27" s="103"/>
      <c r="AA27" s="103"/>
      <c r="AB27" s="103"/>
      <c r="AC27" s="103"/>
      <c r="AD27" s="103"/>
      <c r="AE27" s="103"/>
      <c r="AF27" s="103"/>
      <c r="AG27" s="103"/>
    </row>
    <row r="28" spans="1:33" ht="21.75" customHeight="1">
      <c r="A28" s="97">
        <v>2019</v>
      </c>
      <c r="B28" s="102" t="s">
        <v>1926</v>
      </c>
      <c r="C28" s="103" t="str">
        <f t="shared" si="3"/>
        <v xml:space="preserve">gs.encuentro@scoutsdemadrid.org </v>
      </c>
      <c r="D28" s="97">
        <v>43679</v>
      </c>
      <c r="E28" s="97">
        <v>43688</v>
      </c>
      <c r="F28" s="102" t="s">
        <v>1909</v>
      </c>
      <c r="G28" s="97" t="s">
        <v>85</v>
      </c>
      <c r="H28" s="97" t="s">
        <v>670</v>
      </c>
      <c r="I28" s="97" t="s">
        <v>671</v>
      </c>
      <c r="J28" s="97" t="s">
        <v>672</v>
      </c>
      <c r="K28" s="97" t="s">
        <v>673</v>
      </c>
      <c r="L28" s="97" t="s">
        <v>674</v>
      </c>
      <c r="M28" s="97" t="s">
        <v>675</v>
      </c>
      <c r="N28" s="97" t="s">
        <v>672</v>
      </c>
      <c r="O28" s="97" t="s">
        <v>676</v>
      </c>
      <c r="P28" s="97" t="s">
        <v>677</v>
      </c>
      <c r="Q28" s="97" t="s">
        <v>54</v>
      </c>
      <c r="R28" s="97" t="s">
        <v>55</v>
      </c>
      <c r="S28" s="97" t="s">
        <v>678</v>
      </c>
      <c r="T28" s="97" t="s">
        <v>679</v>
      </c>
      <c r="U28" s="97" t="s">
        <v>680</v>
      </c>
      <c r="V28" s="97" t="s">
        <v>103</v>
      </c>
      <c r="W28" s="97" t="s">
        <v>681</v>
      </c>
      <c r="X28" s="97" t="s">
        <v>103</v>
      </c>
      <c r="Y28" s="97"/>
      <c r="Z28" s="97"/>
      <c r="AA28" s="97"/>
      <c r="AB28" s="97"/>
      <c r="AC28" s="97"/>
      <c r="AD28" s="97"/>
      <c r="AE28" s="97"/>
      <c r="AF28" s="97"/>
      <c r="AG28" s="97"/>
    </row>
    <row r="29" spans="1:33" ht="21.75" customHeight="1">
      <c r="A29" s="97">
        <v>2012</v>
      </c>
      <c r="B29" s="98" t="s">
        <v>67</v>
      </c>
      <c r="C29" s="99" t="s">
        <v>68</v>
      </c>
      <c r="D29" s="112"/>
      <c r="E29" s="103"/>
      <c r="F29" s="102" t="s">
        <v>1909</v>
      </c>
      <c r="G29" s="103"/>
      <c r="H29" s="103"/>
      <c r="I29" s="103" t="s">
        <v>498</v>
      </c>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row>
    <row r="30" spans="1:33" ht="21.75" customHeight="1">
      <c r="A30" s="97">
        <v>2016</v>
      </c>
      <c r="B30" s="98" t="s">
        <v>1927</v>
      </c>
      <c r="C30" s="103" t="str">
        <f t="shared" ref="C30:C33" si="4">C29</f>
        <v xml:space="preserve">gs.fatima@scoutsdemadrid.org </v>
      </c>
      <c r="D30" s="100">
        <v>41109</v>
      </c>
      <c r="E30" s="101">
        <v>41121</v>
      </c>
      <c r="F30" s="102" t="s">
        <v>1909</v>
      </c>
      <c r="G30" s="103" t="s">
        <v>1928</v>
      </c>
      <c r="H30" s="103" t="s">
        <v>1929</v>
      </c>
      <c r="I30" s="103" t="s">
        <v>687</v>
      </c>
      <c r="J30" s="103"/>
      <c r="K30" s="104" t="s">
        <v>688</v>
      </c>
      <c r="L30" s="103"/>
      <c r="M30" s="103"/>
      <c r="N30" s="103"/>
      <c r="O30" s="103"/>
      <c r="P30" s="103"/>
      <c r="Q30" s="103"/>
      <c r="R30" s="103"/>
      <c r="S30" s="103"/>
      <c r="T30" s="103"/>
      <c r="U30" s="103"/>
      <c r="V30" s="103"/>
      <c r="W30" s="103"/>
      <c r="X30" s="103"/>
      <c r="Y30" s="103"/>
      <c r="Z30" s="103"/>
      <c r="AA30" s="103"/>
      <c r="AB30" s="103"/>
      <c r="AC30" s="103"/>
      <c r="AD30" s="103"/>
      <c r="AE30" s="103"/>
      <c r="AF30" s="103"/>
      <c r="AG30" s="103"/>
    </row>
    <row r="31" spans="1:33" ht="21.75" customHeight="1">
      <c r="A31" s="97">
        <v>2016</v>
      </c>
      <c r="B31" s="102" t="s">
        <v>1927</v>
      </c>
      <c r="C31" s="99" t="str">
        <f t="shared" si="4"/>
        <v xml:space="preserve">gs.fatima@scoutsdemadrid.org </v>
      </c>
      <c r="D31" s="110">
        <v>42554</v>
      </c>
      <c r="E31" s="111">
        <v>42566</v>
      </c>
      <c r="F31" s="102" t="s">
        <v>1909</v>
      </c>
      <c r="G31" s="99" t="s">
        <v>85</v>
      </c>
      <c r="H31" s="99" t="s">
        <v>1930</v>
      </c>
      <c r="I31" s="99" t="s">
        <v>692</v>
      </c>
      <c r="J31" s="99" t="s">
        <v>693</v>
      </c>
      <c r="K31" s="99" t="s">
        <v>694</v>
      </c>
      <c r="L31" s="99" t="s">
        <v>695</v>
      </c>
      <c r="M31" s="99">
        <v>638233456</v>
      </c>
      <c r="N31" s="99" t="s">
        <v>696</v>
      </c>
      <c r="O31" s="99" t="s">
        <v>697</v>
      </c>
      <c r="P31" s="99" t="s">
        <v>698</v>
      </c>
      <c r="Q31" s="99" t="s">
        <v>54</v>
      </c>
      <c r="R31" s="99" t="s">
        <v>55</v>
      </c>
      <c r="S31" s="99" t="s">
        <v>699</v>
      </c>
      <c r="T31" s="99" t="s">
        <v>700</v>
      </c>
      <c r="U31" s="99" t="s">
        <v>701</v>
      </c>
      <c r="V31" s="99" t="s">
        <v>702</v>
      </c>
      <c r="W31" s="99" t="s">
        <v>703</v>
      </c>
      <c r="X31" s="99"/>
      <c r="Y31" s="99"/>
      <c r="Z31" s="99"/>
      <c r="AA31" s="99"/>
      <c r="AB31" s="99"/>
      <c r="AC31" s="99"/>
      <c r="AD31" s="99"/>
      <c r="AE31" s="99"/>
      <c r="AF31" s="99"/>
      <c r="AG31" s="99"/>
    </row>
    <row r="32" spans="1:33" ht="21.75" customHeight="1">
      <c r="A32" s="97">
        <v>2016</v>
      </c>
      <c r="B32" s="102" t="s">
        <v>1927</v>
      </c>
      <c r="C32" s="99" t="str">
        <f t="shared" si="4"/>
        <v xml:space="preserve">gs.fatima@scoutsdemadrid.org </v>
      </c>
      <c r="D32" s="110">
        <v>42554</v>
      </c>
      <c r="E32" s="111">
        <v>42566</v>
      </c>
      <c r="F32" s="102" t="s">
        <v>1909</v>
      </c>
      <c r="G32" s="99" t="s">
        <v>85</v>
      </c>
      <c r="H32" s="99" t="s">
        <v>1930</v>
      </c>
      <c r="I32" s="99" t="s">
        <v>692</v>
      </c>
      <c r="J32" s="99" t="s">
        <v>693</v>
      </c>
      <c r="K32" s="99" t="s">
        <v>694</v>
      </c>
      <c r="L32" s="99" t="s">
        <v>695</v>
      </c>
      <c r="M32" s="99">
        <v>638233456</v>
      </c>
      <c r="N32" s="99" t="s">
        <v>696</v>
      </c>
      <c r="O32" s="99" t="s">
        <v>697</v>
      </c>
      <c r="P32" s="99" t="s">
        <v>698</v>
      </c>
      <c r="Q32" s="99" t="s">
        <v>54</v>
      </c>
      <c r="R32" s="99" t="s">
        <v>55</v>
      </c>
      <c r="S32" s="99" t="s">
        <v>699</v>
      </c>
      <c r="T32" s="99" t="s">
        <v>700</v>
      </c>
      <c r="U32" s="99" t="s">
        <v>701</v>
      </c>
      <c r="V32" s="99" t="s">
        <v>702</v>
      </c>
      <c r="W32" s="99" t="s">
        <v>703</v>
      </c>
      <c r="X32" s="99"/>
      <c r="Y32" s="99"/>
      <c r="Z32" s="99"/>
      <c r="AA32" s="99"/>
      <c r="AB32" s="99"/>
      <c r="AC32" s="99"/>
      <c r="AD32" s="99"/>
      <c r="AE32" s="99"/>
      <c r="AF32" s="99"/>
      <c r="AG32" s="99"/>
    </row>
    <row r="33" spans="1:33" ht="21.75" customHeight="1">
      <c r="A33" s="97">
        <v>2018</v>
      </c>
      <c r="B33" s="98" t="s">
        <v>1927</v>
      </c>
      <c r="C33" s="103" t="str">
        <f t="shared" si="4"/>
        <v xml:space="preserve">gs.fatima@scoutsdemadrid.org </v>
      </c>
      <c r="D33" s="100">
        <v>43297</v>
      </c>
      <c r="E33" s="101">
        <v>43307</v>
      </c>
      <c r="F33" s="102" t="s">
        <v>1909</v>
      </c>
      <c r="G33" s="103" t="s">
        <v>85</v>
      </c>
      <c r="H33" s="103" t="s">
        <v>498</v>
      </c>
      <c r="I33" s="103" t="s">
        <v>709</v>
      </c>
      <c r="J33" s="103" t="s">
        <v>710</v>
      </c>
      <c r="K33" s="103" t="s">
        <v>711</v>
      </c>
      <c r="L33" s="103" t="s">
        <v>712</v>
      </c>
      <c r="M33" s="106">
        <v>609212260</v>
      </c>
      <c r="N33" s="113" t="s">
        <v>713</v>
      </c>
      <c r="O33" s="103" t="s">
        <v>714</v>
      </c>
      <c r="P33" s="103" t="s">
        <v>715</v>
      </c>
      <c r="Q33" s="103" t="s">
        <v>100</v>
      </c>
      <c r="R33" s="103" t="s">
        <v>55</v>
      </c>
      <c r="S33" s="103" t="s">
        <v>716</v>
      </c>
      <c r="T33" s="103" t="s">
        <v>717</v>
      </c>
      <c r="U33" s="103" t="s">
        <v>718</v>
      </c>
      <c r="V33" s="103" t="s">
        <v>372</v>
      </c>
      <c r="W33" s="103" t="s">
        <v>719</v>
      </c>
      <c r="X33" s="103"/>
      <c r="Y33" s="103"/>
      <c r="Z33" s="103"/>
      <c r="AA33" s="103"/>
      <c r="AB33" s="103"/>
      <c r="AC33" s="103"/>
      <c r="AD33" s="103"/>
      <c r="AE33" s="103"/>
      <c r="AF33" s="103"/>
      <c r="AG33" s="103"/>
    </row>
    <row r="34" spans="1:33" ht="21.75" customHeight="1">
      <c r="A34" s="97">
        <v>2015</v>
      </c>
      <c r="B34" s="108" t="s">
        <v>723</v>
      </c>
      <c r="C34" s="99" t="s">
        <v>187</v>
      </c>
      <c r="D34" s="100">
        <v>42201</v>
      </c>
      <c r="E34" s="101">
        <v>42216</v>
      </c>
      <c r="F34" s="102" t="s">
        <v>1909</v>
      </c>
      <c r="G34" s="109" t="s">
        <v>166</v>
      </c>
      <c r="H34" s="109" t="s">
        <v>561</v>
      </c>
      <c r="I34" s="109" t="s">
        <v>561</v>
      </c>
      <c r="J34" s="103"/>
      <c r="K34" s="103" t="s">
        <v>724</v>
      </c>
      <c r="L34" s="114"/>
      <c r="M34" s="103"/>
      <c r="N34" s="103"/>
      <c r="O34" s="103"/>
      <c r="P34" s="103"/>
      <c r="Q34" s="109"/>
      <c r="R34" s="109"/>
      <c r="S34" s="109"/>
      <c r="T34" s="103"/>
      <c r="U34" s="109"/>
      <c r="V34" s="109"/>
      <c r="W34" s="103"/>
      <c r="X34" s="103"/>
      <c r="Y34" s="103"/>
      <c r="Z34" s="103"/>
      <c r="AA34" s="103"/>
      <c r="AB34" s="103"/>
      <c r="AC34" s="103"/>
      <c r="AD34" s="103"/>
      <c r="AE34" s="103"/>
      <c r="AF34" s="103"/>
      <c r="AG34" s="103"/>
    </row>
    <row r="35" spans="1:33" ht="21.75" customHeight="1">
      <c r="A35" s="97">
        <v>2015</v>
      </c>
      <c r="B35" s="98" t="s">
        <v>728</v>
      </c>
      <c r="C35" s="99" t="s">
        <v>729</v>
      </c>
      <c r="D35" s="100">
        <v>42200</v>
      </c>
      <c r="E35" s="101">
        <v>42215</v>
      </c>
      <c r="F35" s="102" t="s">
        <v>1909</v>
      </c>
      <c r="G35" s="103" t="s">
        <v>108</v>
      </c>
      <c r="H35" s="103" t="s">
        <v>731</v>
      </c>
      <c r="I35" s="113" t="s">
        <v>731</v>
      </c>
      <c r="J35" s="103"/>
      <c r="K35" s="103" t="s">
        <v>732</v>
      </c>
      <c r="L35" s="103"/>
      <c r="M35" s="103"/>
      <c r="N35" s="103"/>
      <c r="O35" s="103"/>
      <c r="P35" s="103"/>
      <c r="Q35" s="103"/>
      <c r="R35" s="103"/>
      <c r="S35" s="103"/>
      <c r="T35" s="103"/>
      <c r="U35" s="113"/>
      <c r="V35" s="113"/>
      <c r="W35" s="103"/>
      <c r="X35" s="103"/>
      <c r="Y35" s="103"/>
      <c r="Z35" s="103"/>
      <c r="AA35" s="103"/>
      <c r="AB35" s="103"/>
      <c r="AC35" s="103"/>
      <c r="AD35" s="103"/>
      <c r="AE35" s="103"/>
      <c r="AF35" s="103"/>
      <c r="AG35" s="103"/>
    </row>
    <row r="36" spans="1:33" ht="21.75" customHeight="1">
      <c r="A36" s="97">
        <v>2015</v>
      </c>
      <c r="B36" s="98" t="s">
        <v>728</v>
      </c>
      <c r="C36" s="99" t="s">
        <v>729</v>
      </c>
      <c r="D36" s="100">
        <v>42201</v>
      </c>
      <c r="E36" s="101">
        <v>42215</v>
      </c>
      <c r="F36" s="102" t="s">
        <v>1909</v>
      </c>
      <c r="G36" s="103" t="s">
        <v>1931</v>
      </c>
      <c r="H36" s="103" t="s">
        <v>1932</v>
      </c>
      <c r="I36" s="103" t="s">
        <v>737</v>
      </c>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row>
    <row r="37" spans="1:33" ht="21.75" customHeight="1">
      <c r="A37" s="97">
        <v>2016</v>
      </c>
      <c r="B37" s="102" t="s">
        <v>1933</v>
      </c>
      <c r="C37" s="99" t="str">
        <f t="shared" ref="C37:C40" si="5">C36</f>
        <v xml:space="preserve">gs.goa@scoutsdemadrid.org </v>
      </c>
      <c r="D37" s="110">
        <v>42567</v>
      </c>
      <c r="E37" s="111">
        <v>42581</v>
      </c>
      <c r="F37" s="102" t="s">
        <v>1909</v>
      </c>
      <c r="G37" s="99" t="s">
        <v>166</v>
      </c>
      <c r="H37" s="99" t="s">
        <v>1934</v>
      </c>
      <c r="I37" s="99" t="s">
        <v>742</v>
      </c>
      <c r="J37" s="99" t="s">
        <v>743</v>
      </c>
      <c r="K37" s="99" t="s">
        <v>744</v>
      </c>
      <c r="L37" s="99" t="s">
        <v>745</v>
      </c>
      <c r="M37" s="103"/>
      <c r="N37" s="103"/>
      <c r="O37" s="99" t="s">
        <v>746</v>
      </c>
      <c r="P37" s="99" t="s">
        <v>747</v>
      </c>
      <c r="Q37" s="99" t="s">
        <v>100</v>
      </c>
      <c r="R37" s="99" t="s">
        <v>103</v>
      </c>
      <c r="S37" s="99" t="s">
        <v>748</v>
      </c>
      <c r="T37" s="99" t="s">
        <v>749</v>
      </c>
      <c r="U37" s="99" t="s">
        <v>616</v>
      </c>
      <c r="V37" s="99" t="s">
        <v>55</v>
      </c>
      <c r="W37" s="99" t="s">
        <v>750</v>
      </c>
      <c r="X37" s="99"/>
      <c r="Y37" s="99"/>
      <c r="Z37" s="99"/>
      <c r="AA37" s="99"/>
      <c r="AB37" s="99"/>
      <c r="AC37" s="99"/>
      <c r="AD37" s="99"/>
      <c r="AE37" s="99"/>
      <c r="AF37" s="99"/>
      <c r="AG37" s="99"/>
    </row>
    <row r="38" spans="1:33" ht="21.75" customHeight="1">
      <c r="A38" s="97">
        <v>2017</v>
      </c>
      <c r="B38" s="98" t="s">
        <v>1933</v>
      </c>
      <c r="C38" s="103" t="str">
        <f t="shared" si="5"/>
        <v xml:space="preserve">gs.goa@scoutsdemadrid.org </v>
      </c>
      <c r="D38" s="100">
        <v>42932</v>
      </c>
      <c r="E38" s="101">
        <v>42938</v>
      </c>
      <c r="F38" s="102" t="s">
        <v>1909</v>
      </c>
      <c r="G38" s="103" t="s">
        <v>85</v>
      </c>
      <c r="H38" s="103" t="s">
        <v>754</v>
      </c>
      <c r="I38" s="103" t="s">
        <v>755</v>
      </c>
      <c r="J38" s="103" t="s">
        <v>756</v>
      </c>
      <c r="K38" s="103"/>
      <c r="L38" s="103" t="s">
        <v>757</v>
      </c>
      <c r="M38" s="106">
        <v>630881829</v>
      </c>
      <c r="N38" s="103" t="s">
        <v>758</v>
      </c>
      <c r="O38" s="103" t="s">
        <v>759</v>
      </c>
      <c r="P38" s="103" t="s">
        <v>760</v>
      </c>
      <c r="Q38" s="103" t="s">
        <v>54</v>
      </c>
      <c r="R38" s="103" t="s">
        <v>55</v>
      </c>
      <c r="S38" s="103" t="s">
        <v>761</v>
      </c>
      <c r="T38" s="103" t="s">
        <v>762</v>
      </c>
      <c r="U38" s="103" t="s">
        <v>763</v>
      </c>
      <c r="V38" s="103" t="s">
        <v>764</v>
      </c>
      <c r="W38" s="103" t="s">
        <v>765</v>
      </c>
      <c r="X38" s="103"/>
      <c r="Y38" s="103"/>
      <c r="Z38" s="103"/>
      <c r="AA38" s="103"/>
      <c r="AB38" s="103"/>
      <c r="AC38" s="103"/>
      <c r="AD38" s="103"/>
      <c r="AE38" s="103"/>
      <c r="AF38" s="103"/>
      <c r="AG38" s="103"/>
    </row>
    <row r="39" spans="1:33" ht="21.75" customHeight="1">
      <c r="A39" s="97">
        <v>2018</v>
      </c>
      <c r="B39" s="98" t="s">
        <v>1933</v>
      </c>
      <c r="C39" s="103" t="str">
        <f t="shared" si="5"/>
        <v xml:space="preserve">gs.goa@scoutsdemadrid.org </v>
      </c>
      <c r="D39" s="100">
        <v>43297</v>
      </c>
      <c r="E39" s="101">
        <v>43311</v>
      </c>
      <c r="F39" s="102" t="s">
        <v>1909</v>
      </c>
      <c r="G39" s="103" t="s">
        <v>166</v>
      </c>
      <c r="H39" s="103" t="s">
        <v>769</v>
      </c>
      <c r="I39" s="103" t="s">
        <v>770</v>
      </c>
      <c r="J39" s="103" t="s">
        <v>771</v>
      </c>
      <c r="K39" s="103" t="s">
        <v>772</v>
      </c>
      <c r="L39" s="103" t="s">
        <v>773</v>
      </c>
      <c r="M39" s="106">
        <v>626749450</v>
      </c>
      <c r="N39" s="103" t="s">
        <v>774</v>
      </c>
      <c r="O39" s="103" t="s">
        <v>259</v>
      </c>
      <c r="P39" s="103" t="s">
        <v>775</v>
      </c>
      <c r="Q39" s="103" t="s">
        <v>54</v>
      </c>
      <c r="R39" s="103" t="s">
        <v>55</v>
      </c>
      <c r="S39" s="103" t="s">
        <v>776</v>
      </c>
      <c r="T39" s="103" t="s">
        <v>777</v>
      </c>
      <c r="U39" s="103" t="s">
        <v>103</v>
      </c>
      <c r="V39" s="103" t="s">
        <v>778</v>
      </c>
      <c r="W39" s="103" t="s">
        <v>779</v>
      </c>
      <c r="X39" s="103"/>
      <c r="Y39" s="103"/>
      <c r="Z39" s="103"/>
      <c r="AA39" s="103"/>
      <c r="AB39" s="103"/>
      <c r="AC39" s="103"/>
      <c r="AD39" s="103"/>
      <c r="AE39" s="103"/>
      <c r="AF39" s="103"/>
      <c r="AG39" s="103"/>
    </row>
    <row r="40" spans="1:33" ht="21.75" customHeight="1">
      <c r="A40" s="97">
        <v>2019</v>
      </c>
      <c r="B40" s="102" t="s">
        <v>1933</v>
      </c>
      <c r="C40" s="103" t="str">
        <f t="shared" si="5"/>
        <v xml:space="preserve">gs.goa@scoutsdemadrid.org </v>
      </c>
      <c r="D40" s="97">
        <v>43662</v>
      </c>
      <c r="E40" s="97">
        <v>43676</v>
      </c>
      <c r="F40" s="102" t="s">
        <v>1909</v>
      </c>
      <c r="G40" s="97" t="s">
        <v>166</v>
      </c>
      <c r="H40" s="97" t="s">
        <v>1935</v>
      </c>
      <c r="I40" s="97" t="s">
        <v>784</v>
      </c>
      <c r="J40" s="97" t="s">
        <v>785</v>
      </c>
      <c r="K40" s="97" t="s">
        <v>786</v>
      </c>
      <c r="L40" s="97" t="s">
        <v>787</v>
      </c>
      <c r="M40" s="97">
        <v>645924866</v>
      </c>
      <c r="N40" s="97" t="s">
        <v>785</v>
      </c>
      <c r="O40" s="97" t="s">
        <v>788</v>
      </c>
      <c r="P40" s="97" t="s">
        <v>789</v>
      </c>
      <c r="Q40" s="97" t="s">
        <v>54</v>
      </c>
      <c r="R40" s="97" t="s">
        <v>55</v>
      </c>
      <c r="S40" s="97" t="s">
        <v>790</v>
      </c>
      <c r="T40" s="97" t="s">
        <v>791</v>
      </c>
      <c r="U40" s="97" t="s">
        <v>103</v>
      </c>
      <c r="V40" s="97" t="s">
        <v>55</v>
      </c>
      <c r="W40" s="97" t="s">
        <v>792</v>
      </c>
      <c r="X40" s="97" t="s">
        <v>55</v>
      </c>
      <c r="Y40" s="97"/>
      <c r="Z40" s="97"/>
      <c r="AA40" s="97"/>
      <c r="AB40" s="97"/>
      <c r="AC40" s="97"/>
      <c r="AD40" s="97"/>
      <c r="AE40" s="97"/>
      <c r="AF40" s="97"/>
      <c r="AG40" s="97"/>
    </row>
    <row r="41" spans="1:33" ht="21.75" customHeight="1">
      <c r="A41" s="97">
        <v>2016</v>
      </c>
      <c r="B41" s="102" t="s">
        <v>796</v>
      </c>
      <c r="C41" s="99" t="s">
        <v>797</v>
      </c>
      <c r="D41" s="110">
        <v>42560</v>
      </c>
      <c r="E41" s="111">
        <v>42566</v>
      </c>
      <c r="F41" s="102" t="s">
        <v>1909</v>
      </c>
      <c r="G41" s="99" t="s">
        <v>195</v>
      </c>
      <c r="H41" s="99" t="s">
        <v>504</v>
      </c>
      <c r="I41" s="99" t="s">
        <v>541</v>
      </c>
      <c r="J41" s="103"/>
      <c r="K41" s="99" t="s">
        <v>798</v>
      </c>
      <c r="L41" s="99" t="s">
        <v>651</v>
      </c>
      <c r="M41" s="99">
        <v>975370000</v>
      </c>
      <c r="N41" s="103"/>
      <c r="O41" s="99" t="s">
        <v>799</v>
      </c>
      <c r="P41" s="103"/>
      <c r="Q41" s="99" t="s">
        <v>54</v>
      </c>
      <c r="R41" s="99" t="s">
        <v>55</v>
      </c>
      <c r="S41" s="99" t="s">
        <v>800</v>
      </c>
      <c r="T41" s="99" t="s">
        <v>801</v>
      </c>
      <c r="U41" s="99" t="s">
        <v>802</v>
      </c>
      <c r="V41" s="99" t="s">
        <v>125</v>
      </c>
      <c r="W41" s="99" t="s">
        <v>803</v>
      </c>
      <c r="X41" s="99"/>
      <c r="Y41" s="99"/>
      <c r="Z41" s="99"/>
      <c r="AA41" s="99"/>
      <c r="AB41" s="99"/>
      <c r="AC41" s="99"/>
      <c r="AD41" s="99"/>
      <c r="AE41" s="99"/>
      <c r="AF41" s="99"/>
      <c r="AG41" s="99"/>
    </row>
    <row r="42" spans="1:33" ht="21.75" customHeight="1">
      <c r="A42" s="97">
        <v>2015</v>
      </c>
      <c r="B42" s="98" t="s">
        <v>807</v>
      </c>
      <c r="C42" s="99" t="s">
        <v>808</v>
      </c>
      <c r="D42" s="100">
        <v>42189</v>
      </c>
      <c r="E42" s="101">
        <v>42197</v>
      </c>
      <c r="F42" s="102" t="s">
        <v>1909</v>
      </c>
      <c r="G42" s="103" t="s">
        <v>108</v>
      </c>
      <c r="H42" s="103" t="s">
        <v>1936</v>
      </c>
      <c r="I42" s="103" t="s">
        <v>810</v>
      </c>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row>
    <row r="43" spans="1:33" ht="21.75" customHeight="1">
      <c r="A43" s="97">
        <v>2018</v>
      </c>
      <c r="B43" s="98" t="s">
        <v>1937</v>
      </c>
      <c r="C43" s="99" t="s">
        <v>808</v>
      </c>
      <c r="D43" s="100">
        <v>43281</v>
      </c>
      <c r="E43" s="101">
        <v>43289</v>
      </c>
      <c r="F43" s="102" t="s">
        <v>1909</v>
      </c>
      <c r="G43" s="103" t="s">
        <v>1938</v>
      </c>
      <c r="H43" s="103" t="s">
        <v>754</v>
      </c>
      <c r="I43" s="103" t="s">
        <v>814</v>
      </c>
      <c r="J43" s="103" t="s">
        <v>815</v>
      </c>
      <c r="K43" s="103" t="s">
        <v>816</v>
      </c>
      <c r="L43" s="103" t="s">
        <v>817</v>
      </c>
      <c r="M43" s="106">
        <v>630881829</v>
      </c>
      <c r="N43" s="103" t="s">
        <v>818</v>
      </c>
      <c r="O43" s="103" t="s">
        <v>819</v>
      </c>
      <c r="P43" s="103" t="s">
        <v>820</v>
      </c>
      <c r="Q43" s="103" t="s">
        <v>54</v>
      </c>
      <c r="R43" s="103" t="s">
        <v>55</v>
      </c>
      <c r="S43" s="103" t="s">
        <v>821</v>
      </c>
      <c r="T43" s="103" t="s">
        <v>822</v>
      </c>
      <c r="U43" s="103" t="s">
        <v>823</v>
      </c>
      <c r="V43" s="103" t="s">
        <v>55</v>
      </c>
      <c r="W43" s="103" t="s">
        <v>824</v>
      </c>
      <c r="X43" s="103"/>
      <c r="Y43" s="103"/>
      <c r="Z43" s="103"/>
      <c r="AA43" s="103"/>
      <c r="AB43" s="103"/>
      <c r="AC43" s="103"/>
      <c r="AD43" s="103"/>
      <c r="AE43" s="103"/>
      <c r="AF43" s="103"/>
      <c r="AG43" s="103"/>
    </row>
    <row r="44" spans="1:33" ht="21.75" customHeight="1">
      <c r="A44" s="97">
        <v>2019</v>
      </c>
      <c r="B44" s="102" t="s">
        <v>1937</v>
      </c>
      <c r="C44" s="99" t="s">
        <v>808</v>
      </c>
      <c r="D44" s="97">
        <v>43652</v>
      </c>
      <c r="E44" s="97">
        <v>43660</v>
      </c>
      <c r="F44" s="102" t="s">
        <v>1909</v>
      </c>
      <c r="G44" s="97" t="s">
        <v>85</v>
      </c>
      <c r="H44" s="97" t="s">
        <v>754</v>
      </c>
      <c r="I44" s="97" t="s">
        <v>814</v>
      </c>
      <c r="J44" s="97" t="s">
        <v>828</v>
      </c>
      <c r="K44" s="97" t="s">
        <v>829</v>
      </c>
      <c r="L44" s="97" t="s">
        <v>830</v>
      </c>
      <c r="M44" s="97">
        <v>630881829</v>
      </c>
      <c r="N44" s="97" t="s">
        <v>831</v>
      </c>
      <c r="O44" s="97" t="s">
        <v>832</v>
      </c>
      <c r="P44" s="97" t="s">
        <v>833</v>
      </c>
      <c r="Q44" s="97" t="s">
        <v>100</v>
      </c>
      <c r="R44" s="97" t="s">
        <v>55</v>
      </c>
      <c r="S44" s="97" t="s">
        <v>444</v>
      </c>
      <c r="T44" s="97" t="s">
        <v>834</v>
      </c>
      <c r="U44" s="97" t="s">
        <v>835</v>
      </c>
      <c r="V44" s="97" t="s">
        <v>836</v>
      </c>
      <c r="W44" s="97" t="s">
        <v>837</v>
      </c>
      <c r="X44" s="97" t="s">
        <v>103</v>
      </c>
      <c r="Y44" s="97"/>
      <c r="Z44" s="97"/>
      <c r="AA44" s="97"/>
      <c r="AB44" s="97"/>
      <c r="AC44" s="97"/>
      <c r="AD44" s="97"/>
      <c r="AE44" s="97"/>
      <c r="AF44" s="97"/>
      <c r="AG44" s="97"/>
    </row>
    <row r="45" spans="1:33" ht="21.75" customHeight="1">
      <c r="A45" s="97">
        <v>2017</v>
      </c>
      <c r="B45" s="98" t="s">
        <v>1885</v>
      </c>
      <c r="C45" s="99" t="s">
        <v>840</v>
      </c>
      <c r="D45" s="100">
        <v>42932</v>
      </c>
      <c r="E45" s="101">
        <v>42946</v>
      </c>
      <c r="F45" s="102" t="s">
        <v>1909</v>
      </c>
      <c r="G45" s="103" t="s">
        <v>203</v>
      </c>
      <c r="H45" s="103" t="s">
        <v>841</v>
      </c>
      <c r="I45" s="103" t="s">
        <v>842</v>
      </c>
      <c r="J45" s="103"/>
      <c r="K45" s="103"/>
      <c r="L45" s="103" t="s">
        <v>843</v>
      </c>
      <c r="M45" s="103"/>
      <c r="N45" s="103"/>
      <c r="O45" s="103" t="s">
        <v>844</v>
      </c>
      <c r="P45" s="103"/>
      <c r="Q45" s="103" t="s">
        <v>54</v>
      </c>
      <c r="R45" s="103" t="s">
        <v>103</v>
      </c>
      <c r="S45" s="103" t="s">
        <v>845</v>
      </c>
      <c r="T45" s="103"/>
      <c r="U45" s="103" t="s">
        <v>846</v>
      </c>
      <c r="V45" s="103" t="s">
        <v>847</v>
      </c>
      <c r="W45" s="103" t="s">
        <v>848</v>
      </c>
      <c r="X45" s="103"/>
      <c r="Y45" s="103"/>
      <c r="Z45" s="103"/>
      <c r="AA45" s="103"/>
      <c r="AB45" s="103"/>
      <c r="AC45" s="103"/>
      <c r="AD45" s="103"/>
      <c r="AE45" s="103"/>
      <c r="AF45" s="103"/>
      <c r="AG45" s="103"/>
    </row>
    <row r="46" spans="1:33" ht="21.75" customHeight="1">
      <c r="A46" s="97">
        <v>2018</v>
      </c>
      <c r="B46" s="98" t="s">
        <v>1885</v>
      </c>
      <c r="C46" s="99" t="s">
        <v>840</v>
      </c>
      <c r="D46" s="100">
        <v>43297</v>
      </c>
      <c r="E46" s="101">
        <v>43311</v>
      </c>
      <c r="F46" s="102" t="s">
        <v>1909</v>
      </c>
      <c r="G46" s="103" t="s">
        <v>166</v>
      </c>
      <c r="H46" s="103" t="s">
        <v>1939</v>
      </c>
      <c r="I46" s="103" t="s">
        <v>853</v>
      </c>
      <c r="J46" s="103" t="s">
        <v>854</v>
      </c>
      <c r="K46" s="103" t="s">
        <v>855</v>
      </c>
      <c r="L46" s="103" t="s">
        <v>856</v>
      </c>
      <c r="M46" s="103" t="s">
        <v>857</v>
      </c>
      <c r="N46" s="103" t="s">
        <v>858</v>
      </c>
      <c r="O46" s="103" t="s">
        <v>859</v>
      </c>
      <c r="P46" s="103" t="s">
        <v>860</v>
      </c>
      <c r="Q46" s="103" t="s">
        <v>100</v>
      </c>
      <c r="R46" s="103" t="s">
        <v>55</v>
      </c>
      <c r="S46" s="103" t="s">
        <v>861</v>
      </c>
      <c r="T46" s="103" t="s">
        <v>862</v>
      </c>
      <c r="U46" s="103" t="s">
        <v>863</v>
      </c>
      <c r="V46" s="103" t="s">
        <v>372</v>
      </c>
      <c r="W46" s="103" t="s">
        <v>864</v>
      </c>
      <c r="X46" s="103"/>
      <c r="Y46" s="103"/>
      <c r="Z46" s="103"/>
      <c r="AA46" s="103"/>
      <c r="AB46" s="103"/>
      <c r="AC46" s="103"/>
      <c r="AD46" s="103"/>
      <c r="AE46" s="103"/>
      <c r="AF46" s="103"/>
      <c r="AG46" s="103"/>
    </row>
    <row r="47" spans="1:33" ht="21.75" customHeight="1">
      <c r="A47" s="97">
        <v>2015</v>
      </c>
      <c r="B47" s="98" t="s">
        <v>1940</v>
      </c>
      <c r="C47" s="99" t="s">
        <v>869</v>
      </c>
      <c r="D47" s="100">
        <v>42201</v>
      </c>
      <c r="E47" s="101">
        <v>42215</v>
      </c>
      <c r="F47" s="102" t="s">
        <v>1909</v>
      </c>
      <c r="G47" s="103" t="s">
        <v>1941</v>
      </c>
      <c r="H47" s="103" t="s">
        <v>1942</v>
      </c>
      <c r="I47" s="103" t="s">
        <v>565</v>
      </c>
      <c r="J47" s="103"/>
      <c r="K47" s="103"/>
      <c r="L47" s="103"/>
      <c r="M47" s="103"/>
      <c r="N47" s="103"/>
      <c r="O47" s="103"/>
      <c r="P47" s="103"/>
      <c r="Q47" s="103"/>
      <c r="R47" s="103"/>
      <c r="S47" s="103"/>
      <c r="T47" s="103"/>
      <c r="U47" s="103"/>
      <c r="V47" s="103"/>
      <c r="W47" s="103"/>
      <c r="X47" s="103"/>
      <c r="Y47" s="103"/>
      <c r="Z47" s="103"/>
      <c r="AA47" s="103"/>
      <c r="AB47" s="103"/>
      <c r="AC47" s="103"/>
      <c r="AD47" s="103"/>
      <c r="AE47" s="103"/>
      <c r="AF47" s="103"/>
      <c r="AG47" s="103"/>
    </row>
    <row r="48" spans="1:33" ht="21.75" customHeight="1">
      <c r="A48" s="97">
        <v>2016</v>
      </c>
      <c r="B48" s="102" t="s">
        <v>1943</v>
      </c>
      <c r="C48" s="99" t="s">
        <v>869</v>
      </c>
      <c r="D48" s="110">
        <v>42567</v>
      </c>
      <c r="E48" s="111">
        <v>42581</v>
      </c>
      <c r="F48" s="102" t="s">
        <v>1909</v>
      </c>
      <c r="G48" s="99" t="s">
        <v>195</v>
      </c>
      <c r="H48" s="99" t="s">
        <v>504</v>
      </c>
      <c r="I48" s="99" t="s">
        <v>541</v>
      </c>
      <c r="J48" s="103"/>
      <c r="K48" s="103"/>
      <c r="L48" s="99" t="s">
        <v>651</v>
      </c>
      <c r="M48" s="103"/>
      <c r="N48" s="103"/>
      <c r="O48" s="103"/>
      <c r="P48" s="103"/>
      <c r="Q48" s="99" t="s">
        <v>54</v>
      </c>
      <c r="R48" s="99" t="s">
        <v>55</v>
      </c>
      <c r="S48" s="103"/>
      <c r="T48" s="103"/>
      <c r="U48" s="103"/>
      <c r="V48" s="103"/>
      <c r="W48" s="103"/>
      <c r="X48" s="103"/>
      <c r="Y48" s="103"/>
      <c r="Z48" s="103"/>
      <c r="AA48" s="103"/>
      <c r="AB48" s="103"/>
      <c r="AC48" s="103"/>
      <c r="AD48" s="103"/>
      <c r="AE48" s="103"/>
      <c r="AF48" s="103"/>
      <c r="AG48" s="103"/>
    </row>
    <row r="49" spans="1:33" ht="21.75" customHeight="1">
      <c r="A49" s="97">
        <v>2019</v>
      </c>
      <c r="B49" s="102" t="s">
        <v>1943</v>
      </c>
      <c r="C49" s="99" t="s">
        <v>869</v>
      </c>
      <c r="D49" s="97">
        <v>43658</v>
      </c>
      <c r="E49" s="97">
        <v>43676</v>
      </c>
      <c r="F49" s="102" t="s">
        <v>1909</v>
      </c>
      <c r="G49" s="97" t="s">
        <v>85</v>
      </c>
      <c r="H49" s="97" t="s">
        <v>660</v>
      </c>
      <c r="I49" s="97" t="s">
        <v>877</v>
      </c>
      <c r="J49" s="97" t="s">
        <v>878</v>
      </c>
      <c r="K49" s="97" t="s">
        <v>879</v>
      </c>
      <c r="L49" s="97" t="s">
        <v>880</v>
      </c>
      <c r="M49" s="97">
        <v>920207441</v>
      </c>
      <c r="N49" s="97" t="s">
        <v>881</v>
      </c>
      <c r="O49" s="97" t="s">
        <v>882</v>
      </c>
      <c r="P49" s="97">
        <v>14</v>
      </c>
      <c r="Q49" s="97" t="s">
        <v>54</v>
      </c>
      <c r="R49" s="97" t="s">
        <v>55</v>
      </c>
      <c r="S49" s="97" t="s">
        <v>883</v>
      </c>
      <c r="T49" s="97" t="s">
        <v>884</v>
      </c>
      <c r="U49" s="97" t="s">
        <v>103</v>
      </c>
      <c r="V49" s="97" t="s">
        <v>885</v>
      </c>
      <c r="W49" s="97" t="s">
        <v>886</v>
      </c>
      <c r="X49" s="97" t="s">
        <v>55</v>
      </c>
      <c r="Y49" s="97"/>
      <c r="Z49" s="97"/>
      <c r="AA49" s="97"/>
      <c r="AB49" s="97"/>
      <c r="AC49" s="97"/>
      <c r="AD49" s="97"/>
      <c r="AE49" s="97"/>
      <c r="AF49" s="97"/>
      <c r="AG49" s="97"/>
    </row>
    <row r="50" spans="1:33" ht="21.75" customHeight="1">
      <c r="A50" s="97">
        <v>2019</v>
      </c>
      <c r="B50" s="102" t="s">
        <v>1944</v>
      </c>
      <c r="C50" s="97" t="s">
        <v>904</v>
      </c>
      <c r="D50" s="97">
        <v>43639</v>
      </c>
      <c r="E50" s="97">
        <v>43645</v>
      </c>
      <c r="F50" s="102" t="s">
        <v>1909</v>
      </c>
      <c r="G50" s="97" t="s">
        <v>85</v>
      </c>
      <c r="H50" s="97" t="s">
        <v>1945</v>
      </c>
      <c r="I50" s="97" t="s">
        <v>907</v>
      </c>
      <c r="J50" s="97" t="s">
        <v>909</v>
      </c>
      <c r="K50" s="97" t="s">
        <v>910</v>
      </c>
      <c r="L50" s="97" t="s">
        <v>911</v>
      </c>
      <c r="M50" s="97">
        <v>918983176</v>
      </c>
      <c r="N50" s="97" t="s">
        <v>913</v>
      </c>
      <c r="O50" s="97" t="s">
        <v>714</v>
      </c>
      <c r="P50" s="97">
        <v>9</v>
      </c>
      <c r="Q50" s="97" t="s">
        <v>54</v>
      </c>
      <c r="R50" s="97" t="s">
        <v>55</v>
      </c>
      <c r="S50" s="97" t="s">
        <v>883</v>
      </c>
      <c r="T50" s="97" t="s">
        <v>914</v>
      </c>
      <c r="U50" s="97" t="s">
        <v>915</v>
      </c>
      <c r="V50" s="97" t="s">
        <v>916</v>
      </c>
      <c r="W50" s="97" t="s">
        <v>918</v>
      </c>
      <c r="X50" s="97" t="s">
        <v>103</v>
      </c>
      <c r="Y50" s="97"/>
      <c r="Z50" s="97"/>
      <c r="AA50" s="97"/>
      <c r="AB50" s="97"/>
      <c r="AC50" s="97"/>
      <c r="AD50" s="97"/>
      <c r="AE50" s="97"/>
      <c r="AF50" s="97"/>
      <c r="AG50" s="97"/>
    </row>
    <row r="51" spans="1:33" ht="21.75" customHeight="1">
      <c r="A51" s="97">
        <v>2012</v>
      </c>
      <c r="B51" s="98" t="s">
        <v>1946</v>
      </c>
      <c r="C51" s="99" t="s">
        <v>934</v>
      </c>
      <c r="D51" s="100">
        <v>41106</v>
      </c>
      <c r="E51" s="101">
        <v>41117</v>
      </c>
      <c r="F51" s="102" t="s">
        <v>1909</v>
      </c>
      <c r="G51" s="103" t="s">
        <v>1928</v>
      </c>
      <c r="H51" s="103" t="s">
        <v>1947</v>
      </c>
      <c r="I51" s="103" t="s">
        <v>936</v>
      </c>
      <c r="J51" s="103"/>
      <c r="K51" s="104" t="s">
        <v>937</v>
      </c>
      <c r="L51" s="113"/>
      <c r="M51" s="103"/>
      <c r="N51" s="103"/>
      <c r="O51" s="103"/>
      <c r="P51" s="103"/>
      <c r="Q51" s="103"/>
      <c r="R51" s="103"/>
      <c r="S51" s="103"/>
      <c r="T51" s="103"/>
      <c r="U51" s="103"/>
      <c r="V51" s="103"/>
      <c r="W51" s="103"/>
      <c r="X51" s="103"/>
      <c r="Y51" s="103"/>
      <c r="Z51" s="103"/>
      <c r="AA51" s="103"/>
      <c r="AB51" s="103"/>
      <c r="AC51" s="103"/>
      <c r="AD51" s="103"/>
      <c r="AE51" s="103"/>
      <c r="AF51" s="103"/>
      <c r="AG51" s="103"/>
    </row>
    <row r="52" spans="1:33" ht="21.75" customHeight="1">
      <c r="A52" s="97">
        <v>2017</v>
      </c>
      <c r="B52" s="98" t="s">
        <v>1948</v>
      </c>
      <c r="C52" s="99" t="s">
        <v>934</v>
      </c>
      <c r="D52" s="100">
        <v>42933</v>
      </c>
      <c r="E52" s="101">
        <v>42946</v>
      </c>
      <c r="F52" s="102" t="s">
        <v>1909</v>
      </c>
      <c r="G52" s="103" t="s">
        <v>85</v>
      </c>
      <c r="H52" s="103" t="s">
        <v>942</v>
      </c>
      <c r="I52" s="103" t="s">
        <v>943</v>
      </c>
      <c r="J52" s="103"/>
      <c r="K52" s="103" t="s">
        <v>944</v>
      </c>
      <c r="L52" s="103" t="s">
        <v>945</v>
      </c>
      <c r="M52" s="106">
        <v>920386061</v>
      </c>
      <c r="N52" s="103" t="s">
        <v>946</v>
      </c>
      <c r="O52" s="103" t="s">
        <v>947</v>
      </c>
      <c r="P52" s="103"/>
      <c r="Q52" s="103" t="s">
        <v>54</v>
      </c>
      <c r="R52" s="103" t="s">
        <v>55</v>
      </c>
      <c r="S52" s="103" t="s">
        <v>948</v>
      </c>
      <c r="T52" s="103" t="s">
        <v>949</v>
      </c>
      <c r="U52" s="103" t="s">
        <v>950</v>
      </c>
      <c r="V52" s="103" t="s">
        <v>55</v>
      </c>
      <c r="W52" s="103" t="s">
        <v>951</v>
      </c>
      <c r="X52" s="103"/>
      <c r="Y52" s="103"/>
      <c r="Z52" s="103"/>
      <c r="AA52" s="103"/>
      <c r="AB52" s="103"/>
      <c r="AC52" s="103"/>
      <c r="AD52" s="103"/>
      <c r="AE52" s="103"/>
      <c r="AF52" s="103"/>
      <c r="AG52" s="103"/>
    </row>
    <row r="53" spans="1:33" ht="21.75" customHeight="1">
      <c r="A53" s="97">
        <v>2015</v>
      </c>
      <c r="B53" s="108" t="s">
        <v>955</v>
      </c>
      <c r="C53" s="109"/>
      <c r="D53" s="100">
        <v>42201</v>
      </c>
      <c r="E53" s="101">
        <v>42215</v>
      </c>
      <c r="F53" s="102" t="s">
        <v>1909</v>
      </c>
      <c r="G53" s="109" t="s">
        <v>203</v>
      </c>
      <c r="H53" s="109" t="s">
        <v>956</v>
      </c>
      <c r="I53" s="109" t="s">
        <v>957</v>
      </c>
      <c r="J53" s="103"/>
      <c r="K53" s="103" t="s">
        <v>958</v>
      </c>
      <c r="L53" s="109"/>
      <c r="M53" s="103"/>
      <c r="N53" s="103"/>
      <c r="O53" s="103"/>
      <c r="P53" s="103"/>
      <c r="Q53" s="109"/>
      <c r="R53" s="109"/>
      <c r="S53" s="109"/>
      <c r="T53" s="103"/>
      <c r="U53" s="109"/>
      <c r="V53" s="109"/>
      <c r="W53" s="103"/>
      <c r="X53" s="103"/>
      <c r="Y53" s="103"/>
      <c r="Z53" s="103"/>
      <c r="AA53" s="103"/>
      <c r="AB53" s="103"/>
      <c r="AC53" s="103"/>
      <c r="AD53" s="103"/>
      <c r="AE53" s="103"/>
      <c r="AF53" s="103"/>
      <c r="AG53" s="103"/>
    </row>
    <row r="54" spans="1:33" ht="21.75" customHeight="1">
      <c r="A54" s="97">
        <v>2016</v>
      </c>
      <c r="B54" s="102" t="s">
        <v>1949</v>
      </c>
      <c r="C54" s="99"/>
      <c r="D54" s="110">
        <v>42567</v>
      </c>
      <c r="E54" s="111">
        <v>42581</v>
      </c>
      <c r="F54" s="102" t="s">
        <v>1909</v>
      </c>
      <c r="G54" s="99" t="s">
        <v>194</v>
      </c>
      <c r="H54" s="99" t="s">
        <v>1950</v>
      </c>
      <c r="I54" s="99" t="s">
        <v>963</v>
      </c>
      <c r="J54" s="103"/>
      <c r="K54" s="99" t="s">
        <v>964</v>
      </c>
      <c r="L54" s="99" t="s">
        <v>965</v>
      </c>
      <c r="M54" s="99">
        <v>620870024</v>
      </c>
      <c r="N54" s="99" t="s">
        <v>967</v>
      </c>
      <c r="O54" s="103"/>
      <c r="P54" s="103"/>
      <c r="Q54" s="99" t="s">
        <v>54</v>
      </c>
      <c r="R54" s="99" t="s">
        <v>55</v>
      </c>
      <c r="S54" s="99" t="s">
        <v>968</v>
      </c>
      <c r="T54" s="99" t="s">
        <v>969</v>
      </c>
      <c r="U54" s="99" t="s">
        <v>971</v>
      </c>
      <c r="V54" s="99" t="s">
        <v>972</v>
      </c>
      <c r="W54" s="99" t="s">
        <v>973</v>
      </c>
      <c r="X54" s="99"/>
      <c r="Y54" s="99"/>
      <c r="Z54" s="99"/>
      <c r="AA54" s="99"/>
      <c r="AB54" s="99"/>
      <c r="AC54" s="99"/>
      <c r="AD54" s="99"/>
      <c r="AE54" s="99"/>
      <c r="AF54" s="99"/>
      <c r="AG54" s="99"/>
    </row>
    <row r="55" spans="1:33" ht="21.75" customHeight="1">
      <c r="A55" s="97">
        <v>2016</v>
      </c>
      <c r="B55" s="102" t="s">
        <v>1949</v>
      </c>
      <c r="C55" s="99"/>
      <c r="D55" s="110">
        <v>42567</v>
      </c>
      <c r="E55" s="111">
        <v>42581</v>
      </c>
      <c r="F55" s="102" t="s">
        <v>1909</v>
      </c>
      <c r="G55" s="99" t="s">
        <v>194</v>
      </c>
      <c r="H55" s="99" t="s">
        <v>1950</v>
      </c>
      <c r="I55" s="99" t="s">
        <v>963</v>
      </c>
      <c r="J55" s="103"/>
      <c r="K55" s="99" t="s">
        <v>964</v>
      </c>
      <c r="L55" s="99" t="s">
        <v>965</v>
      </c>
      <c r="M55" s="99">
        <v>620870024</v>
      </c>
      <c r="N55" s="99" t="s">
        <v>967</v>
      </c>
      <c r="O55" s="103"/>
      <c r="P55" s="103"/>
      <c r="Q55" s="99" t="s">
        <v>54</v>
      </c>
      <c r="R55" s="99" t="s">
        <v>55</v>
      </c>
      <c r="S55" s="99" t="s">
        <v>968</v>
      </c>
      <c r="T55" s="99" t="s">
        <v>969</v>
      </c>
      <c r="U55" s="99" t="s">
        <v>971</v>
      </c>
      <c r="V55" s="99" t="s">
        <v>972</v>
      </c>
      <c r="W55" s="99" t="s">
        <v>973</v>
      </c>
      <c r="X55" s="99"/>
      <c r="Y55" s="99"/>
      <c r="Z55" s="99"/>
      <c r="AA55" s="99"/>
      <c r="AB55" s="99"/>
      <c r="AC55" s="99"/>
      <c r="AD55" s="99"/>
      <c r="AE55" s="99"/>
      <c r="AF55" s="99"/>
      <c r="AG55" s="99"/>
    </row>
    <row r="56" spans="1:33" ht="21.75" customHeight="1">
      <c r="A56" s="97">
        <v>2017</v>
      </c>
      <c r="B56" s="98" t="s">
        <v>1949</v>
      </c>
      <c r="C56" s="103"/>
      <c r="D56" s="100">
        <v>42932</v>
      </c>
      <c r="E56" s="101">
        <v>42946</v>
      </c>
      <c r="F56" s="102" t="s">
        <v>1909</v>
      </c>
      <c r="G56" s="103" t="s">
        <v>85</v>
      </c>
      <c r="H56" s="103" t="s">
        <v>1911</v>
      </c>
      <c r="I56" s="103" t="s">
        <v>988</v>
      </c>
      <c r="J56" s="103"/>
      <c r="K56" s="103"/>
      <c r="L56" s="103" t="s">
        <v>989</v>
      </c>
      <c r="M56" s="106">
        <v>607909418</v>
      </c>
      <c r="N56" s="103" t="s">
        <v>990</v>
      </c>
      <c r="O56" s="103"/>
      <c r="P56" s="103"/>
      <c r="Q56" s="103" t="s">
        <v>54</v>
      </c>
      <c r="R56" s="103" t="s">
        <v>55</v>
      </c>
      <c r="S56" s="103" t="s">
        <v>991</v>
      </c>
      <c r="T56" s="103" t="s">
        <v>992</v>
      </c>
      <c r="U56" s="103" t="s">
        <v>993</v>
      </c>
      <c r="V56" s="103"/>
      <c r="W56" s="103" t="s">
        <v>994</v>
      </c>
      <c r="X56" s="103"/>
      <c r="Y56" s="103"/>
      <c r="Z56" s="103"/>
      <c r="AA56" s="103"/>
      <c r="AB56" s="103"/>
      <c r="AC56" s="103"/>
      <c r="AD56" s="103"/>
      <c r="AE56" s="103"/>
      <c r="AF56" s="103"/>
      <c r="AG56" s="103"/>
    </row>
    <row r="57" spans="1:33" ht="21.75" customHeight="1">
      <c r="A57" s="97">
        <v>2018</v>
      </c>
      <c r="B57" s="98" t="s">
        <v>1949</v>
      </c>
      <c r="C57" s="103"/>
      <c r="D57" s="100">
        <v>43297</v>
      </c>
      <c r="E57" s="101">
        <v>43311</v>
      </c>
      <c r="F57" s="102" t="s">
        <v>1909</v>
      </c>
      <c r="G57" s="103" t="s">
        <v>190</v>
      </c>
      <c r="H57" s="103" t="s">
        <v>1951</v>
      </c>
      <c r="I57" s="103" t="s">
        <v>999</v>
      </c>
      <c r="J57" s="103" t="s">
        <v>1000</v>
      </c>
      <c r="K57" s="103" t="s">
        <v>1001</v>
      </c>
      <c r="L57" s="103" t="s">
        <v>1002</v>
      </c>
      <c r="M57" s="106">
        <v>632724526</v>
      </c>
      <c r="N57" s="103" t="s">
        <v>1003</v>
      </c>
      <c r="O57" s="103" t="s">
        <v>1004</v>
      </c>
      <c r="P57" s="103" t="s">
        <v>1005</v>
      </c>
      <c r="Q57" s="103" t="s">
        <v>54</v>
      </c>
      <c r="R57" s="103" t="s">
        <v>55</v>
      </c>
      <c r="S57" s="103" t="s">
        <v>1006</v>
      </c>
      <c r="T57" s="103" t="s">
        <v>1007</v>
      </c>
      <c r="U57" s="103" t="s">
        <v>1008</v>
      </c>
      <c r="V57" s="103" t="s">
        <v>55</v>
      </c>
      <c r="W57" s="103" t="s">
        <v>1009</v>
      </c>
      <c r="X57" s="103"/>
      <c r="Y57" s="103"/>
      <c r="Z57" s="103"/>
      <c r="AA57" s="103"/>
      <c r="AB57" s="103"/>
      <c r="AC57" s="103"/>
      <c r="AD57" s="103"/>
      <c r="AE57" s="103"/>
      <c r="AF57" s="103"/>
      <c r="AG57" s="103"/>
    </row>
    <row r="58" spans="1:33" ht="21.75" customHeight="1">
      <c r="A58" s="97">
        <v>2015</v>
      </c>
      <c r="B58" s="108" t="s">
        <v>132</v>
      </c>
      <c r="C58" s="99" t="s">
        <v>133</v>
      </c>
      <c r="D58" s="100">
        <v>42201</v>
      </c>
      <c r="E58" s="101">
        <v>42212</v>
      </c>
      <c r="F58" s="102" t="s">
        <v>1909</v>
      </c>
      <c r="G58" s="109" t="s">
        <v>166</v>
      </c>
      <c r="H58" s="109" t="s">
        <v>1013</v>
      </c>
      <c r="I58" s="109" t="s">
        <v>1014</v>
      </c>
      <c r="J58" s="103"/>
      <c r="K58" s="103"/>
      <c r="L58" s="109"/>
      <c r="M58" s="103"/>
      <c r="N58" s="103"/>
      <c r="O58" s="103"/>
      <c r="P58" s="103"/>
      <c r="Q58" s="109"/>
      <c r="R58" s="109"/>
      <c r="S58" s="109"/>
      <c r="T58" s="103"/>
      <c r="U58" s="109"/>
      <c r="V58" s="109"/>
      <c r="W58" s="103"/>
      <c r="X58" s="103"/>
      <c r="Y58" s="103"/>
      <c r="Z58" s="103"/>
      <c r="AA58" s="103"/>
      <c r="AB58" s="103"/>
      <c r="AC58" s="103"/>
      <c r="AD58" s="103"/>
      <c r="AE58" s="103"/>
      <c r="AF58" s="103"/>
      <c r="AG58" s="103"/>
    </row>
    <row r="59" spans="1:33" ht="21.75" customHeight="1">
      <c r="A59" s="97">
        <v>2012</v>
      </c>
      <c r="B59" s="98" t="s">
        <v>1018</v>
      </c>
      <c r="C59" s="103"/>
      <c r="D59" s="100">
        <v>41105</v>
      </c>
      <c r="E59" s="101">
        <v>41120</v>
      </c>
      <c r="F59" s="102" t="s">
        <v>1909</v>
      </c>
      <c r="G59" s="103" t="s">
        <v>1941</v>
      </c>
      <c r="H59" s="103" t="s">
        <v>561</v>
      </c>
      <c r="I59" s="103" t="s">
        <v>1019</v>
      </c>
      <c r="J59" s="103"/>
      <c r="K59" s="103"/>
      <c r="L59" s="103"/>
      <c r="M59" s="103"/>
      <c r="N59" s="103"/>
      <c r="O59" s="103"/>
      <c r="P59" s="103"/>
      <c r="Q59" s="103"/>
      <c r="R59" s="103"/>
      <c r="S59" s="103"/>
      <c r="T59" s="103"/>
      <c r="U59" s="103"/>
      <c r="V59" s="103"/>
      <c r="W59" s="103"/>
      <c r="X59" s="103"/>
      <c r="Y59" s="103"/>
      <c r="Z59" s="103"/>
      <c r="AA59" s="103"/>
      <c r="AB59" s="103"/>
      <c r="AC59" s="103"/>
      <c r="AD59" s="103"/>
      <c r="AE59" s="103"/>
      <c r="AF59" s="103"/>
      <c r="AG59" s="103"/>
    </row>
    <row r="60" spans="1:33" ht="21.75" customHeight="1">
      <c r="A60" s="97">
        <v>2015</v>
      </c>
      <c r="B60" s="108" t="s">
        <v>1023</v>
      </c>
      <c r="C60" s="99" t="s">
        <v>1024</v>
      </c>
      <c r="D60" s="100">
        <v>42204</v>
      </c>
      <c r="E60" s="101">
        <v>42218</v>
      </c>
      <c r="F60" s="102" t="s">
        <v>1909</v>
      </c>
      <c r="G60" s="109" t="s">
        <v>203</v>
      </c>
      <c r="H60" s="109" t="s">
        <v>1952</v>
      </c>
      <c r="I60" s="109" t="s">
        <v>1026</v>
      </c>
      <c r="J60" s="103"/>
      <c r="K60" s="103"/>
      <c r="L60" s="109"/>
      <c r="M60" s="103"/>
      <c r="N60" s="103"/>
      <c r="O60" s="103"/>
      <c r="P60" s="103"/>
      <c r="Q60" s="109"/>
      <c r="R60" s="109"/>
      <c r="S60" s="109"/>
      <c r="T60" s="103"/>
      <c r="U60" s="109"/>
      <c r="V60" s="109"/>
      <c r="W60" s="103"/>
      <c r="X60" s="103"/>
      <c r="Y60" s="103"/>
      <c r="Z60" s="103"/>
      <c r="AA60" s="103"/>
      <c r="AB60" s="103"/>
      <c r="AC60" s="103"/>
      <c r="AD60" s="103"/>
      <c r="AE60" s="103"/>
      <c r="AF60" s="103"/>
      <c r="AG60" s="103"/>
    </row>
    <row r="61" spans="1:33" ht="21.75" customHeight="1">
      <c r="A61" s="97">
        <v>2016</v>
      </c>
      <c r="B61" s="102" t="s">
        <v>1953</v>
      </c>
      <c r="C61" s="99" t="s">
        <v>1030</v>
      </c>
      <c r="D61" s="110">
        <v>42568</v>
      </c>
      <c r="E61" s="111">
        <v>42581</v>
      </c>
      <c r="F61" s="102" t="s">
        <v>1909</v>
      </c>
      <c r="G61" s="99" t="s">
        <v>195</v>
      </c>
      <c r="H61" s="99" t="s">
        <v>1031</v>
      </c>
      <c r="I61" s="103"/>
      <c r="J61" s="103"/>
      <c r="K61" s="99" t="s">
        <v>1032</v>
      </c>
      <c r="L61" s="99" t="s">
        <v>1033</v>
      </c>
      <c r="M61" s="103"/>
      <c r="N61" s="103"/>
      <c r="O61" s="103"/>
      <c r="P61" s="103"/>
      <c r="Q61" s="99" t="s">
        <v>54</v>
      </c>
      <c r="R61" s="99" t="s">
        <v>55</v>
      </c>
      <c r="S61" s="103"/>
      <c r="T61" s="103"/>
      <c r="U61" s="99" t="s">
        <v>103</v>
      </c>
      <c r="V61" s="103"/>
      <c r="W61" s="103"/>
      <c r="X61" s="103"/>
      <c r="Y61" s="103"/>
      <c r="Z61" s="103"/>
      <c r="AA61" s="103"/>
      <c r="AB61" s="103"/>
      <c r="AC61" s="103"/>
      <c r="AD61" s="103"/>
      <c r="AE61" s="103"/>
      <c r="AF61" s="103"/>
      <c r="AG61" s="103"/>
    </row>
    <row r="62" spans="1:33" ht="21.75" customHeight="1">
      <c r="A62" s="97">
        <v>2018</v>
      </c>
      <c r="B62" s="98" t="s">
        <v>1953</v>
      </c>
      <c r="C62" s="99" t="s">
        <v>1030</v>
      </c>
      <c r="D62" s="100">
        <v>43294</v>
      </c>
      <c r="E62" s="101">
        <v>43310</v>
      </c>
      <c r="F62" s="102" t="s">
        <v>1909</v>
      </c>
      <c r="G62" s="103" t="s">
        <v>1928</v>
      </c>
      <c r="H62" s="103" t="s">
        <v>1954</v>
      </c>
      <c r="I62" s="103" t="s">
        <v>1038</v>
      </c>
      <c r="J62" s="103" t="s">
        <v>878</v>
      </c>
      <c r="K62" s="103" t="s">
        <v>1039</v>
      </c>
      <c r="L62" s="103" t="s">
        <v>1040</v>
      </c>
      <c r="M62" s="106">
        <v>696635580</v>
      </c>
      <c r="N62" s="103" t="s">
        <v>1041</v>
      </c>
      <c r="O62" s="103" t="s">
        <v>1042</v>
      </c>
      <c r="P62" s="103" t="s">
        <v>1043</v>
      </c>
      <c r="Q62" s="103" t="s">
        <v>54</v>
      </c>
      <c r="R62" s="103" t="s">
        <v>55</v>
      </c>
      <c r="S62" s="103" t="s">
        <v>1044</v>
      </c>
      <c r="T62" s="103" t="s">
        <v>1045</v>
      </c>
      <c r="U62" s="103" t="s">
        <v>616</v>
      </c>
      <c r="V62" s="103" t="s">
        <v>230</v>
      </c>
      <c r="W62" s="103" t="s">
        <v>1046</v>
      </c>
      <c r="X62" s="103"/>
      <c r="Y62" s="103"/>
      <c r="Z62" s="103"/>
      <c r="AA62" s="103"/>
      <c r="AB62" s="103"/>
      <c r="AC62" s="103"/>
      <c r="AD62" s="103"/>
      <c r="AE62" s="103"/>
      <c r="AF62" s="103"/>
      <c r="AG62" s="103"/>
    </row>
    <row r="63" spans="1:33" ht="21.75" customHeight="1">
      <c r="A63" s="97">
        <v>2019</v>
      </c>
      <c r="B63" s="102" t="s">
        <v>1953</v>
      </c>
      <c r="C63" s="99" t="s">
        <v>1030</v>
      </c>
      <c r="D63" s="97">
        <v>43666</v>
      </c>
      <c r="E63" s="97">
        <v>43675</v>
      </c>
      <c r="F63" s="102" t="s">
        <v>1909</v>
      </c>
      <c r="G63" s="97" t="s">
        <v>1928</v>
      </c>
      <c r="H63" s="97" t="s">
        <v>1955</v>
      </c>
      <c r="I63" s="97" t="s">
        <v>1051</v>
      </c>
      <c r="J63" s="97" t="s">
        <v>1052</v>
      </c>
      <c r="K63" s="97" t="s">
        <v>1053</v>
      </c>
      <c r="L63" s="97" t="s">
        <v>1054</v>
      </c>
      <c r="M63" s="97" t="s">
        <v>1055</v>
      </c>
      <c r="N63" s="97" t="s">
        <v>1056</v>
      </c>
      <c r="O63" s="97" t="s">
        <v>1057</v>
      </c>
      <c r="P63" s="97" t="s">
        <v>1058</v>
      </c>
      <c r="Q63" s="97" t="s">
        <v>54</v>
      </c>
      <c r="R63" s="97" t="s">
        <v>55</v>
      </c>
      <c r="S63" s="97" t="s">
        <v>1059</v>
      </c>
      <c r="T63" s="97" t="s">
        <v>1060</v>
      </c>
      <c r="U63" s="97" t="s">
        <v>1061</v>
      </c>
      <c r="V63" s="97" t="s">
        <v>55</v>
      </c>
      <c r="W63" s="97" t="s">
        <v>1062</v>
      </c>
      <c r="X63" s="97" t="s">
        <v>55</v>
      </c>
      <c r="Y63" s="97"/>
      <c r="Z63" s="97"/>
      <c r="AA63" s="97"/>
      <c r="AB63" s="97"/>
      <c r="AC63" s="97"/>
      <c r="AD63" s="97"/>
      <c r="AE63" s="97"/>
      <c r="AF63" s="97"/>
      <c r="AG63" s="97"/>
    </row>
    <row r="64" spans="1:33" ht="21.75" customHeight="1">
      <c r="A64" s="97">
        <v>2018</v>
      </c>
      <c r="B64" s="98" t="s">
        <v>1956</v>
      </c>
      <c r="C64" s="99" t="s">
        <v>313</v>
      </c>
      <c r="D64" s="100">
        <v>43277</v>
      </c>
      <c r="E64" s="101">
        <v>43281</v>
      </c>
      <c r="F64" s="102" t="s">
        <v>1909</v>
      </c>
      <c r="G64" s="103" t="s">
        <v>1957</v>
      </c>
      <c r="H64" s="103" t="s">
        <v>1067</v>
      </c>
      <c r="I64" s="103" t="s">
        <v>1068</v>
      </c>
      <c r="J64" s="103" t="s">
        <v>1069</v>
      </c>
      <c r="K64" s="103" t="s">
        <v>1069</v>
      </c>
      <c r="L64" s="103" t="s">
        <v>1070</v>
      </c>
      <c r="M64" s="106">
        <v>947131168</v>
      </c>
      <c r="N64" s="103" t="s">
        <v>1071</v>
      </c>
      <c r="O64" s="103" t="s">
        <v>1072</v>
      </c>
      <c r="P64" s="103" t="s">
        <v>136</v>
      </c>
      <c r="Q64" s="103" t="s">
        <v>54</v>
      </c>
      <c r="R64" s="103" t="s">
        <v>55</v>
      </c>
      <c r="S64" s="103" t="s">
        <v>386</v>
      </c>
      <c r="T64" s="103" t="s">
        <v>1073</v>
      </c>
      <c r="U64" s="103" t="s">
        <v>1074</v>
      </c>
      <c r="V64" s="103" t="s">
        <v>1075</v>
      </c>
      <c r="W64" s="103" t="s">
        <v>1076</v>
      </c>
      <c r="X64" s="103"/>
      <c r="Y64" s="103"/>
      <c r="Z64" s="103"/>
      <c r="AA64" s="103"/>
      <c r="AB64" s="103"/>
      <c r="AC64" s="103"/>
      <c r="AD64" s="103"/>
      <c r="AE64" s="103"/>
      <c r="AF64" s="103"/>
      <c r="AG64" s="103"/>
    </row>
    <row r="65" spans="1:33" ht="21.75" customHeight="1">
      <c r="A65" s="97">
        <v>2017</v>
      </c>
      <c r="B65" s="98" t="s">
        <v>1958</v>
      </c>
      <c r="C65" s="99" t="s">
        <v>1081</v>
      </c>
      <c r="D65" s="100">
        <v>42936</v>
      </c>
      <c r="E65" s="101">
        <v>42946</v>
      </c>
      <c r="F65" s="102" t="s">
        <v>1909</v>
      </c>
      <c r="G65" s="103" t="s">
        <v>1938</v>
      </c>
      <c r="H65" s="103" t="s">
        <v>1959</v>
      </c>
      <c r="I65" s="103" t="s">
        <v>1083</v>
      </c>
      <c r="J65" s="103"/>
      <c r="K65" s="103"/>
      <c r="L65" s="103" t="s">
        <v>1084</v>
      </c>
      <c r="M65" s="103"/>
      <c r="N65" s="103"/>
      <c r="O65" s="103"/>
      <c r="P65" s="103"/>
      <c r="Q65" s="103" t="s">
        <v>54</v>
      </c>
      <c r="R65" s="103" t="s">
        <v>55</v>
      </c>
      <c r="S65" s="106">
        <v>50</v>
      </c>
      <c r="T65" s="103" t="s">
        <v>1085</v>
      </c>
      <c r="U65" s="103" t="s">
        <v>1086</v>
      </c>
      <c r="V65" s="103" t="s">
        <v>372</v>
      </c>
      <c r="W65" s="103"/>
      <c r="X65" s="103"/>
      <c r="Y65" s="103"/>
      <c r="Z65" s="103"/>
      <c r="AA65" s="103"/>
      <c r="AB65" s="103"/>
      <c r="AC65" s="103"/>
      <c r="AD65" s="103"/>
      <c r="AE65" s="103"/>
      <c r="AF65" s="103"/>
      <c r="AG65" s="103"/>
    </row>
    <row r="66" spans="1:33" ht="21.75" customHeight="1">
      <c r="A66" s="97">
        <v>2017</v>
      </c>
      <c r="B66" s="98" t="s">
        <v>1958</v>
      </c>
      <c r="C66" s="99" t="s">
        <v>1081</v>
      </c>
      <c r="D66" s="100">
        <v>42936</v>
      </c>
      <c r="E66" s="101">
        <v>42946</v>
      </c>
      <c r="F66" s="102" t="s">
        <v>1909</v>
      </c>
      <c r="G66" s="103" t="s">
        <v>1938</v>
      </c>
      <c r="H66" s="103" t="s">
        <v>1959</v>
      </c>
      <c r="I66" s="103" t="s">
        <v>1083</v>
      </c>
      <c r="J66" s="103"/>
      <c r="K66" s="103"/>
      <c r="L66" s="103" t="s">
        <v>1084</v>
      </c>
      <c r="M66" s="103"/>
      <c r="N66" s="103"/>
      <c r="O66" s="103"/>
      <c r="P66" s="103"/>
      <c r="Q66" s="103" t="s">
        <v>54</v>
      </c>
      <c r="R66" s="103" t="s">
        <v>55</v>
      </c>
      <c r="S66" s="106">
        <v>50</v>
      </c>
      <c r="T66" s="103" t="s">
        <v>1085</v>
      </c>
      <c r="U66" s="103" t="s">
        <v>1086</v>
      </c>
      <c r="V66" s="103" t="s">
        <v>372</v>
      </c>
      <c r="W66" s="103"/>
      <c r="X66" s="103"/>
      <c r="Y66" s="103"/>
      <c r="Z66" s="103"/>
      <c r="AA66" s="103"/>
      <c r="AB66" s="103"/>
      <c r="AC66" s="103"/>
      <c r="AD66" s="103"/>
      <c r="AE66" s="103"/>
      <c r="AF66" s="103"/>
      <c r="AG66" s="103"/>
    </row>
    <row r="67" spans="1:33" ht="21.75" customHeight="1">
      <c r="A67" s="97">
        <v>2019</v>
      </c>
      <c r="B67" s="102" t="s">
        <v>1958</v>
      </c>
      <c r="C67" s="99" t="s">
        <v>1081</v>
      </c>
      <c r="D67" s="97">
        <v>43666</v>
      </c>
      <c r="E67" s="97">
        <v>43676</v>
      </c>
      <c r="F67" s="102" t="s">
        <v>1909</v>
      </c>
      <c r="G67" s="97" t="s">
        <v>1928</v>
      </c>
      <c r="H67" s="97" t="s">
        <v>1960</v>
      </c>
      <c r="I67" s="97" t="s">
        <v>1092</v>
      </c>
      <c r="J67" s="97" t="s">
        <v>1093</v>
      </c>
      <c r="K67" s="97" t="s">
        <v>1094</v>
      </c>
      <c r="L67" s="97" t="s">
        <v>1095</v>
      </c>
      <c r="M67" s="97">
        <v>666688206</v>
      </c>
      <c r="N67" s="97" t="s">
        <v>1096</v>
      </c>
      <c r="O67" s="97" t="s">
        <v>1097</v>
      </c>
      <c r="P67" s="97" t="s">
        <v>1098</v>
      </c>
      <c r="Q67" s="97" t="s">
        <v>54</v>
      </c>
      <c r="R67" s="97" t="s">
        <v>55</v>
      </c>
      <c r="S67" s="97" t="s">
        <v>1099</v>
      </c>
      <c r="T67" s="97" t="s">
        <v>1100</v>
      </c>
      <c r="U67" s="97" t="s">
        <v>1101</v>
      </c>
      <c r="V67" s="97" t="s">
        <v>1102</v>
      </c>
      <c r="W67" s="97" t="s">
        <v>1103</v>
      </c>
      <c r="X67" s="97" t="s">
        <v>55</v>
      </c>
      <c r="Y67" s="97"/>
      <c r="Z67" s="97"/>
      <c r="AA67" s="97"/>
      <c r="AB67" s="97"/>
      <c r="AC67" s="97"/>
      <c r="AD67" s="97"/>
      <c r="AE67" s="97"/>
      <c r="AF67" s="97"/>
      <c r="AG67" s="97"/>
    </row>
    <row r="68" spans="1:33" ht="21.75" customHeight="1">
      <c r="A68" s="97">
        <v>2016</v>
      </c>
      <c r="B68" s="102" t="s">
        <v>1961</v>
      </c>
      <c r="C68" s="99" t="s">
        <v>1108</v>
      </c>
      <c r="D68" s="110">
        <v>42566</v>
      </c>
      <c r="E68" s="111">
        <v>42581</v>
      </c>
      <c r="F68" s="102" t="s">
        <v>1909</v>
      </c>
      <c r="G68" s="99" t="s">
        <v>203</v>
      </c>
      <c r="H68" s="99" t="s">
        <v>1962</v>
      </c>
      <c r="I68" s="103"/>
      <c r="J68" s="103"/>
      <c r="K68" s="103"/>
      <c r="L68" s="99" t="s">
        <v>1110</v>
      </c>
      <c r="M68" s="103"/>
      <c r="N68" s="103"/>
      <c r="O68" s="103"/>
      <c r="P68" s="103"/>
      <c r="Q68" s="99" t="s">
        <v>54</v>
      </c>
      <c r="R68" s="99" t="s">
        <v>55</v>
      </c>
      <c r="S68" s="99" t="s">
        <v>386</v>
      </c>
      <c r="T68" s="99" t="s">
        <v>1111</v>
      </c>
      <c r="U68" s="99" t="s">
        <v>1112</v>
      </c>
      <c r="V68" s="99" t="s">
        <v>293</v>
      </c>
      <c r="W68" s="103"/>
      <c r="X68" s="103"/>
      <c r="Y68" s="103"/>
      <c r="Z68" s="103"/>
      <c r="AA68" s="103"/>
      <c r="AB68" s="103"/>
      <c r="AC68" s="103"/>
      <c r="AD68" s="103"/>
      <c r="AE68" s="103"/>
      <c r="AF68" s="103"/>
      <c r="AG68" s="103"/>
    </row>
    <row r="69" spans="1:33" ht="21.75" customHeight="1">
      <c r="A69" s="97">
        <v>2016</v>
      </c>
      <c r="B69" s="102" t="s">
        <v>1961</v>
      </c>
      <c r="C69" s="99" t="s">
        <v>1108</v>
      </c>
      <c r="D69" s="110">
        <v>42566</v>
      </c>
      <c r="E69" s="111">
        <v>42581</v>
      </c>
      <c r="F69" s="102" t="s">
        <v>1909</v>
      </c>
      <c r="G69" s="99" t="s">
        <v>203</v>
      </c>
      <c r="H69" s="99" t="s">
        <v>1962</v>
      </c>
      <c r="I69" s="115" t="s">
        <v>1116</v>
      </c>
      <c r="J69" s="115" t="s">
        <v>1117</v>
      </c>
      <c r="K69" s="116"/>
      <c r="L69" s="115" t="s">
        <v>1110</v>
      </c>
      <c r="M69" s="117">
        <v>660166209</v>
      </c>
      <c r="N69" s="115" t="s">
        <v>1118</v>
      </c>
      <c r="O69" s="116"/>
      <c r="P69" s="115" t="s">
        <v>1119</v>
      </c>
      <c r="Q69" s="115" t="s">
        <v>54</v>
      </c>
      <c r="R69" s="115" t="s">
        <v>55</v>
      </c>
      <c r="S69" s="115" t="s">
        <v>386</v>
      </c>
      <c r="T69" s="115" t="s">
        <v>1111</v>
      </c>
      <c r="U69" s="115" t="s">
        <v>1112</v>
      </c>
      <c r="V69" s="115" t="s">
        <v>293</v>
      </c>
      <c r="W69" s="116"/>
      <c r="X69" s="116"/>
      <c r="Y69" s="116"/>
      <c r="Z69" s="116"/>
      <c r="AA69" s="116"/>
      <c r="AB69" s="116"/>
      <c r="AC69" s="116"/>
      <c r="AD69" s="116"/>
      <c r="AE69" s="116"/>
      <c r="AF69" s="116"/>
      <c r="AG69" s="116"/>
    </row>
    <row r="70" spans="1:33" ht="21.75" customHeight="1">
      <c r="A70" s="97">
        <v>2018</v>
      </c>
      <c r="B70" s="98" t="s">
        <v>1961</v>
      </c>
      <c r="C70" s="99" t="s">
        <v>1108</v>
      </c>
      <c r="D70" s="100">
        <v>43295</v>
      </c>
      <c r="E70" s="101">
        <v>43309</v>
      </c>
      <c r="F70" s="102" t="s">
        <v>1909</v>
      </c>
      <c r="G70" s="103" t="s">
        <v>1938</v>
      </c>
      <c r="H70" s="103" t="s">
        <v>498</v>
      </c>
      <c r="I70" s="103" t="s">
        <v>1122</v>
      </c>
      <c r="J70" s="103" t="s">
        <v>1123</v>
      </c>
      <c r="K70" s="103" t="s">
        <v>1124</v>
      </c>
      <c r="L70" s="103" t="s">
        <v>1125</v>
      </c>
      <c r="M70" s="106">
        <v>647711306</v>
      </c>
      <c r="N70" s="103" t="s">
        <v>1126</v>
      </c>
      <c r="O70" s="103" t="s">
        <v>1127</v>
      </c>
      <c r="P70" s="103" t="s">
        <v>1128</v>
      </c>
      <c r="Q70" s="103" t="s">
        <v>54</v>
      </c>
      <c r="R70" s="103" t="s">
        <v>55</v>
      </c>
      <c r="S70" s="106">
        <v>500</v>
      </c>
      <c r="T70" s="103" t="s">
        <v>1129</v>
      </c>
      <c r="U70" s="103" t="s">
        <v>1112</v>
      </c>
      <c r="V70" s="103" t="s">
        <v>125</v>
      </c>
      <c r="W70" s="103" t="s">
        <v>1130</v>
      </c>
      <c r="X70" s="103"/>
      <c r="Y70" s="103"/>
      <c r="Z70" s="103"/>
      <c r="AA70" s="103"/>
      <c r="AB70" s="103"/>
      <c r="AC70" s="103"/>
      <c r="AD70" s="103"/>
      <c r="AE70" s="103"/>
      <c r="AF70" s="103"/>
      <c r="AG70" s="103"/>
    </row>
    <row r="71" spans="1:33" ht="21.75" customHeight="1">
      <c r="A71" s="97">
        <v>2017</v>
      </c>
      <c r="B71" s="98" t="s">
        <v>1891</v>
      </c>
      <c r="C71" s="99" t="s">
        <v>150</v>
      </c>
      <c r="D71" s="100">
        <v>42931</v>
      </c>
      <c r="E71" s="101">
        <v>42946</v>
      </c>
      <c r="F71" s="102" t="s">
        <v>1909</v>
      </c>
      <c r="G71" s="103" t="s">
        <v>190</v>
      </c>
      <c r="H71" s="103" t="s">
        <v>1134</v>
      </c>
      <c r="I71" s="103" t="s">
        <v>1135</v>
      </c>
      <c r="J71" s="103"/>
      <c r="K71" s="103" t="s">
        <v>1136</v>
      </c>
      <c r="L71" s="103" t="s">
        <v>1137</v>
      </c>
      <c r="M71" s="103"/>
      <c r="N71" s="103"/>
      <c r="O71" s="103"/>
      <c r="P71" s="103"/>
      <c r="Q71" s="103" t="s">
        <v>100</v>
      </c>
      <c r="R71" s="103" t="s">
        <v>55</v>
      </c>
      <c r="S71" s="103" t="s">
        <v>211</v>
      </c>
      <c r="T71" s="103" t="s">
        <v>1138</v>
      </c>
      <c r="U71" s="103"/>
      <c r="V71" s="103"/>
      <c r="W71" s="103"/>
      <c r="X71" s="103"/>
      <c r="Y71" s="103"/>
      <c r="Z71" s="103"/>
      <c r="AA71" s="103"/>
      <c r="AB71" s="103"/>
      <c r="AC71" s="103"/>
      <c r="AD71" s="103"/>
      <c r="AE71" s="103"/>
      <c r="AF71" s="103"/>
      <c r="AG71" s="103"/>
    </row>
    <row r="72" spans="1:33" ht="21.75" customHeight="1">
      <c r="A72" s="97">
        <v>2019</v>
      </c>
      <c r="B72" s="102" t="s">
        <v>1891</v>
      </c>
      <c r="C72" s="99" t="s">
        <v>150</v>
      </c>
      <c r="D72" s="97">
        <v>43662</v>
      </c>
      <c r="E72" s="97">
        <v>43677</v>
      </c>
      <c r="F72" s="102" t="s">
        <v>1909</v>
      </c>
      <c r="G72" s="97" t="s">
        <v>166</v>
      </c>
      <c r="H72" s="97" t="s">
        <v>1142</v>
      </c>
      <c r="I72" s="97" t="s">
        <v>1143</v>
      </c>
      <c r="J72" s="97" t="s">
        <v>1144</v>
      </c>
      <c r="K72" s="97" t="s">
        <v>1145</v>
      </c>
      <c r="L72" s="97" t="s">
        <v>1146</v>
      </c>
      <c r="M72" s="97">
        <v>987488364</v>
      </c>
      <c r="N72" s="97" t="s">
        <v>641</v>
      </c>
      <c r="O72" s="97">
        <v>600</v>
      </c>
      <c r="P72" s="97" t="s">
        <v>1147</v>
      </c>
      <c r="Q72" s="97" t="s">
        <v>100</v>
      </c>
      <c r="R72" s="97" t="s">
        <v>55</v>
      </c>
      <c r="S72" s="97" t="s">
        <v>1148</v>
      </c>
      <c r="T72" s="97" t="s">
        <v>1148</v>
      </c>
      <c r="U72" s="97" t="s">
        <v>103</v>
      </c>
      <c r="V72" s="97" t="s">
        <v>210</v>
      </c>
      <c r="W72" s="97" t="s">
        <v>1149</v>
      </c>
      <c r="X72" s="97" t="s">
        <v>55</v>
      </c>
      <c r="Y72" s="97"/>
      <c r="Z72" s="97"/>
      <c r="AA72" s="97"/>
      <c r="AB72" s="97"/>
      <c r="AC72" s="97"/>
      <c r="AD72" s="97"/>
      <c r="AE72" s="97"/>
      <c r="AF72" s="97"/>
      <c r="AG72" s="97"/>
    </row>
    <row r="73" spans="1:33" ht="21.75" customHeight="1">
      <c r="A73" s="97">
        <v>2016</v>
      </c>
      <c r="B73" s="102" t="s">
        <v>1963</v>
      </c>
      <c r="C73" s="99"/>
      <c r="D73" s="110">
        <v>42569</v>
      </c>
      <c r="E73" s="111">
        <v>42582</v>
      </c>
      <c r="F73" s="102" t="s">
        <v>1909</v>
      </c>
      <c r="G73" s="99" t="s">
        <v>1964</v>
      </c>
      <c r="H73" s="99" t="s">
        <v>1965</v>
      </c>
      <c r="I73" s="99" t="s">
        <v>1155</v>
      </c>
      <c r="J73" s="103"/>
      <c r="K73" s="103"/>
      <c r="L73" s="99" t="s">
        <v>1156</v>
      </c>
      <c r="M73" s="103"/>
      <c r="N73" s="99" t="s">
        <v>1157</v>
      </c>
      <c r="O73" s="103"/>
      <c r="P73" s="103"/>
      <c r="Q73" s="99" t="s">
        <v>54</v>
      </c>
      <c r="R73" s="99" t="s">
        <v>55</v>
      </c>
      <c r="S73" s="103"/>
      <c r="T73" s="103"/>
      <c r="U73" s="103"/>
      <c r="V73" s="103"/>
      <c r="W73" s="103"/>
      <c r="X73" s="103"/>
      <c r="Y73" s="103"/>
      <c r="Z73" s="103"/>
      <c r="AA73" s="103"/>
      <c r="AB73" s="103"/>
      <c r="AC73" s="103"/>
      <c r="AD73" s="103"/>
      <c r="AE73" s="103"/>
      <c r="AF73" s="103"/>
      <c r="AG73" s="103"/>
    </row>
    <row r="74" spans="1:33" ht="21.75" customHeight="1">
      <c r="A74" s="97">
        <v>2016</v>
      </c>
      <c r="B74" s="102" t="s">
        <v>1963</v>
      </c>
      <c r="C74" s="99"/>
      <c r="D74" s="110">
        <v>42569</v>
      </c>
      <c r="E74" s="111">
        <v>42582</v>
      </c>
      <c r="F74" s="102" t="s">
        <v>1909</v>
      </c>
      <c r="G74" s="99" t="s">
        <v>1964</v>
      </c>
      <c r="H74" s="99" t="s">
        <v>1965</v>
      </c>
      <c r="I74" s="99" t="s">
        <v>1155</v>
      </c>
      <c r="J74" s="103"/>
      <c r="K74" s="103"/>
      <c r="L74" s="99" t="s">
        <v>1156</v>
      </c>
      <c r="M74" s="103"/>
      <c r="N74" s="99" t="s">
        <v>1157</v>
      </c>
      <c r="O74" s="103"/>
      <c r="P74" s="103"/>
      <c r="Q74" s="99" t="s">
        <v>54</v>
      </c>
      <c r="R74" s="99" t="s">
        <v>55</v>
      </c>
      <c r="S74" s="103"/>
      <c r="T74" s="103"/>
      <c r="U74" s="103"/>
      <c r="V74" s="103"/>
      <c r="W74" s="103"/>
      <c r="X74" s="103"/>
      <c r="Y74" s="103"/>
      <c r="Z74" s="103"/>
      <c r="AA74" s="103"/>
      <c r="AB74" s="103"/>
      <c r="AC74" s="103"/>
      <c r="AD74" s="103"/>
      <c r="AE74" s="103"/>
      <c r="AF74" s="103"/>
      <c r="AG74" s="103"/>
    </row>
    <row r="75" spans="1:33" ht="21.75" customHeight="1">
      <c r="A75" s="97">
        <v>2012</v>
      </c>
      <c r="B75" s="98" t="s">
        <v>1163</v>
      </c>
      <c r="C75" s="103"/>
      <c r="D75" s="100">
        <v>41091</v>
      </c>
      <c r="E75" s="101">
        <v>41105</v>
      </c>
      <c r="F75" s="102" t="s">
        <v>1909</v>
      </c>
      <c r="G75" s="103" t="s">
        <v>1966</v>
      </c>
      <c r="H75" s="103" t="s">
        <v>1164</v>
      </c>
      <c r="I75" s="103" t="s">
        <v>1165</v>
      </c>
      <c r="J75" s="103"/>
      <c r="K75" s="104" t="s">
        <v>1166</v>
      </c>
      <c r="L75" s="103"/>
      <c r="M75" s="103"/>
      <c r="N75" s="103"/>
      <c r="O75" s="103"/>
      <c r="P75" s="103"/>
      <c r="Q75" s="103"/>
      <c r="R75" s="103"/>
      <c r="S75" s="103"/>
      <c r="T75" s="103"/>
      <c r="U75" s="103"/>
      <c r="V75" s="103"/>
      <c r="W75" s="103"/>
      <c r="X75" s="103"/>
      <c r="Y75" s="103"/>
      <c r="Z75" s="103"/>
      <c r="AA75" s="103"/>
      <c r="AB75" s="103"/>
      <c r="AC75" s="103"/>
      <c r="AD75" s="103"/>
      <c r="AE75" s="103"/>
      <c r="AF75" s="103"/>
      <c r="AG75" s="103"/>
    </row>
    <row r="76" spans="1:33" ht="21.75" customHeight="1">
      <c r="A76" s="97">
        <v>2012</v>
      </c>
      <c r="B76" s="102" t="s">
        <v>1967</v>
      </c>
      <c r="C76" s="99" t="s">
        <v>1171</v>
      </c>
      <c r="D76" s="100">
        <v>41099</v>
      </c>
      <c r="E76" s="101">
        <v>369836</v>
      </c>
      <c r="F76" s="102" t="s">
        <v>1909</v>
      </c>
      <c r="G76" s="103" t="s">
        <v>195</v>
      </c>
      <c r="H76" s="103" t="s">
        <v>1172</v>
      </c>
      <c r="I76" s="103" t="s">
        <v>1173</v>
      </c>
      <c r="J76" s="103"/>
      <c r="K76" s="104" t="s">
        <v>1174</v>
      </c>
      <c r="L76" s="103"/>
      <c r="M76" s="103"/>
      <c r="N76" s="103"/>
      <c r="O76" s="103"/>
      <c r="P76" s="103"/>
      <c r="Q76" s="103"/>
      <c r="R76" s="103"/>
      <c r="S76" s="103"/>
      <c r="T76" s="103"/>
      <c r="U76" s="103"/>
      <c r="V76" s="103"/>
      <c r="W76" s="103"/>
      <c r="X76" s="103"/>
      <c r="Y76" s="103"/>
      <c r="Z76" s="103"/>
      <c r="AA76" s="103"/>
      <c r="AB76" s="103"/>
      <c r="AC76" s="103"/>
      <c r="AD76" s="103"/>
      <c r="AE76" s="103"/>
      <c r="AF76" s="103"/>
      <c r="AG76" s="103"/>
    </row>
    <row r="77" spans="1:33" ht="21.75" customHeight="1">
      <c r="A77" s="97">
        <v>2015</v>
      </c>
      <c r="B77" s="102" t="s">
        <v>1967</v>
      </c>
      <c r="C77" s="99" t="s">
        <v>1171</v>
      </c>
      <c r="D77" s="100">
        <v>42189</v>
      </c>
      <c r="E77" s="101">
        <v>42210</v>
      </c>
      <c r="F77" s="102" t="s">
        <v>1909</v>
      </c>
      <c r="G77" s="103" t="s">
        <v>195</v>
      </c>
      <c r="H77" s="103" t="s">
        <v>1177</v>
      </c>
      <c r="I77" s="103" t="s">
        <v>1178</v>
      </c>
      <c r="J77" s="103"/>
      <c r="K77" s="103" t="s">
        <v>1179</v>
      </c>
      <c r="L77" s="103"/>
      <c r="M77" s="103"/>
      <c r="N77" s="103"/>
      <c r="O77" s="103"/>
      <c r="P77" s="103"/>
      <c r="Q77" s="103"/>
      <c r="R77" s="103"/>
      <c r="S77" s="103"/>
      <c r="T77" s="103"/>
      <c r="U77" s="103"/>
      <c r="V77" s="103"/>
      <c r="W77" s="103"/>
      <c r="X77" s="103"/>
      <c r="Y77" s="103"/>
      <c r="Z77" s="103"/>
      <c r="AA77" s="103"/>
      <c r="AB77" s="103"/>
      <c r="AC77" s="103"/>
      <c r="AD77" s="103"/>
      <c r="AE77" s="103"/>
      <c r="AF77" s="103"/>
      <c r="AG77" s="103"/>
    </row>
    <row r="78" spans="1:33" ht="48.75" customHeight="1">
      <c r="A78" s="97">
        <v>2016</v>
      </c>
      <c r="B78" s="102" t="s">
        <v>1967</v>
      </c>
      <c r="C78" s="99" t="s">
        <v>1171</v>
      </c>
      <c r="D78" s="110">
        <v>42565</v>
      </c>
      <c r="E78" s="111">
        <v>42582</v>
      </c>
      <c r="F78" s="102" t="s">
        <v>1909</v>
      </c>
      <c r="G78" s="99" t="s">
        <v>108</v>
      </c>
      <c r="H78" s="99" t="s">
        <v>1968</v>
      </c>
      <c r="I78" s="99" t="s">
        <v>1184</v>
      </c>
      <c r="J78" s="103"/>
      <c r="K78" s="99" t="s">
        <v>1185</v>
      </c>
      <c r="L78" s="99" t="s">
        <v>1186</v>
      </c>
      <c r="M78" s="99">
        <v>622363650</v>
      </c>
      <c r="N78" s="99" t="s">
        <v>1187</v>
      </c>
      <c r="O78" s="118">
        <v>1000</v>
      </c>
      <c r="P78" s="103"/>
      <c r="Q78" s="99" t="s">
        <v>54</v>
      </c>
      <c r="R78" s="99" t="s">
        <v>55</v>
      </c>
      <c r="S78" s="99" t="s">
        <v>101</v>
      </c>
      <c r="T78" s="99" t="s">
        <v>1188</v>
      </c>
      <c r="U78" s="99" t="s">
        <v>103</v>
      </c>
      <c r="V78" s="99" t="s">
        <v>55</v>
      </c>
      <c r="W78" s="103"/>
      <c r="X78" s="103"/>
      <c r="Y78" s="103"/>
      <c r="Z78" s="103"/>
      <c r="AA78" s="103"/>
      <c r="AB78" s="103"/>
      <c r="AC78" s="103"/>
      <c r="AD78" s="103"/>
      <c r="AE78" s="103"/>
      <c r="AF78" s="103"/>
      <c r="AG78" s="103"/>
    </row>
    <row r="79" spans="1:33" ht="21.75" customHeight="1">
      <c r="A79" s="97">
        <v>2016</v>
      </c>
      <c r="B79" s="102" t="s">
        <v>1967</v>
      </c>
      <c r="C79" s="99" t="s">
        <v>1171</v>
      </c>
      <c r="D79" s="110">
        <v>42565</v>
      </c>
      <c r="E79" s="111">
        <v>42582</v>
      </c>
      <c r="F79" s="102" t="s">
        <v>1909</v>
      </c>
      <c r="G79" s="99" t="s">
        <v>108</v>
      </c>
      <c r="H79" s="99" t="s">
        <v>1968</v>
      </c>
      <c r="I79" s="99" t="s">
        <v>1184</v>
      </c>
      <c r="J79" s="103"/>
      <c r="K79" s="99" t="s">
        <v>1185</v>
      </c>
      <c r="L79" s="99" t="s">
        <v>1186</v>
      </c>
      <c r="M79" s="99">
        <v>622363650</v>
      </c>
      <c r="N79" s="99" t="s">
        <v>1187</v>
      </c>
      <c r="O79" s="118">
        <v>1000</v>
      </c>
      <c r="P79" s="103"/>
      <c r="Q79" s="99" t="s">
        <v>54</v>
      </c>
      <c r="R79" s="99" t="s">
        <v>55</v>
      </c>
      <c r="S79" s="99" t="s">
        <v>101</v>
      </c>
      <c r="T79" s="99" t="s">
        <v>1188</v>
      </c>
      <c r="U79" s="99" t="s">
        <v>103</v>
      </c>
      <c r="V79" s="99" t="s">
        <v>55</v>
      </c>
      <c r="W79" s="103"/>
      <c r="X79" s="103"/>
      <c r="Y79" s="103"/>
      <c r="Z79" s="103"/>
      <c r="AA79" s="103"/>
      <c r="AB79" s="103"/>
      <c r="AC79" s="103"/>
      <c r="AD79" s="103"/>
      <c r="AE79" s="103"/>
      <c r="AF79" s="103"/>
      <c r="AG79" s="103"/>
    </row>
    <row r="80" spans="1:33" ht="21.75" customHeight="1">
      <c r="A80" s="97">
        <v>2016</v>
      </c>
      <c r="B80" s="102" t="s">
        <v>1967</v>
      </c>
      <c r="C80" s="99" t="s">
        <v>1171</v>
      </c>
      <c r="D80" s="110">
        <v>42560</v>
      </c>
      <c r="E80" s="111">
        <v>42566</v>
      </c>
      <c r="F80" s="102" t="s">
        <v>1909</v>
      </c>
      <c r="G80" s="99" t="s">
        <v>195</v>
      </c>
      <c r="H80" s="99" t="s">
        <v>504</v>
      </c>
      <c r="I80" s="99" t="s">
        <v>541</v>
      </c>
      <c r="J80" s="103"/>
      <c r="K80" s="99" t="s">
        <v>798</v>
      </c>
      <c r="L80" s="99" t="s">
        <v>651</v>
      </c>
      <c r="M80" s="99">
        <v>975370000</v>
      </c>
      <c r="N80" s="103"/>
      <c r="O80" s="99" t="s">
        <v>799</v>
      </c>
      <c r="P80" s="103"/>
      <c r="Q80" s="99" t="s">
        <v>54</v>
      </c>
      <c r="R80" s="99" t="s">
        <v>55</v>
      </c>
      <c r="S80" s="99" t="s">
        <v>800</v>
      </c>
      <c r="T80" s="99" t="s">
        <v>801</v>
      </c>
      <c r="U80" s="99" t="s">
        <v>802</v>
      </c>
      <c r="V80" s="99" t="s">
        <v>125</v>
      </c>
      <c r="W80" s="99" t="s">
        <v>803</v>
      </c>
      <c r="X80" s="99"/>
      <c r="Y80" s="99"/>
      <c r="Z80" s="99"/>
      <c r="AA80" s="99"/>
      <c r="AB80" s="99"/>
      <c r="AC80" s="99"/>
      <c r="AD80" s="99"/>
      <c r="AE80" s="99"/>
      <c r="AF80" s="99"/>
      <c r="AG80" s="99"/>
    </row>
    <row r="81" spans="1:33" ht="21.75" customHeight="1">
      <c r="A81" s="97">
        <v>2017</v>
      </c>
      <c r="B81" s="98" t="s">
        <v>1967</v>
      </c>
      <c r="C81" s="99" t="s">
        <v>1171</v>
      </c>
      <c r="D81" s="100">
        <v>42929</v>
      </c>
      <c r="E81" s="101">
        <v>42935</v>
      </c>
      <c r="F81" s="102" t="s">
        <v>1909</v>
      </c>
      <c r="G81" s="103" t="s">
        <v>195</v>
      </c>
      <c r="H81" s="103" t="s">
        <v>1197</v>
      </c>
      <c r="I81" s="103" t="s">
        <v>1198</v>
      </c>
      <c r="J81" s="103"/>
      <c r="K81" s="103" t="s">
        <v>1199</v>
      </c>
      <c r="L81" s="103" t="s">
        <v>1200</v>
      </c>
      <c r="M81" s="103"/>
      <c r="N81" s="103"/>
      <c r="O81" s="103"/>
      <c r="P81" s="103"/>
      <c r="Q81" s="103" t="s">
        <v>54</v>
      </c>
      <c r="R81" s="103" t="s">
        <v>55</v>
      </c>
      <c r="S81" s="103" t="s">
        <v>1201</v>
      </c>
      <c r="T81" s="103" t="s">
        <v>1202</v>
      </c>
      <c r="U81" s="103" t="s">
        <v>1203</v>
      </c>
      <c r="V81" s="103" t="s">
        <v>1204</v>
      </c>
      <c r="W81" s="103"/>
      <c r="X81" s="103"/>
      <c r="Y81" s="103"/>
      <c r="Z81" s="103"/>
      <c r="AA81" s="103"/>
      <c r="AB81" s="103"/>
      <c r="AC81" s="103"/>
      <c r="AD81" s="103"/>
      <c r="AE81" s="103"/>
      <c r="AF81" s="103"/>
      <c r="AG81" s="103"/>
    </row>
    <row r="82" spans="1:33" ht="21.75" customHeight="1">
      <c r="A82" s="97">
        <v>2018</v>
      </c>
      <c r="B82" s="98" t="s">
        <v>1967</v>
      </c>
      <c r="C82" s="99" t="s">
        <v>1171</v>
      </c>
      <c r="D82" s="100">
        <v>43293</v>
      </c>
      <c r="E82" s="101">
        <v>43309</v>
      </c>
      <c r="F82" s="102" t="s">
        <v>1909</v>
      </c>
      <c r="G82" s="103" t="s">
        <v>195</v>
      </c>
      <c r="H82" s="103" t="s">
        <v>1172</v>
      </c>
      <c r="I82" s="103" t="s">
        <v>1208</v>
      </c>
      <c r="J82" s="106">
        <v>0</v>
      </c>
      <c r="K82" s="103" t="s">
        <v>1209</v>
      </c>
      <c r="L82" s="103" t="s">
        <v>1210</v>
      </c>
      <c r="M82" s="103" t="s">
        <v>1211</v>
      </c>
      <c r="N82" s="103" t="s">
        <v>1212</v>
      </c>
      <c r="O82" s="105">
        <v>2018</v>
      </c>
      <c r="P82" s="106">
        <v>2</v>
      </c>
      <c r="Q82" s="103" t="s">
        <v>54</v>
      </c>
      <c r="R82" s="103" t="s">
        <v>55</v>
      </c>
      <c r="S82" s="103" t="s">
        <v>1213</v>
      </c>
      <c r="T82" s="103" t="s">
        <v>672</v>
      </c>
      <c r="U82" s="103" t="s">
        <v>103</v>
      </c>
      <c r="V82" s="103" t="s">
        <v>55</v>
      </c>
      <c r="W82" s="103" t="s">
        <v>672</v>
      </c>
      <c r="X82" s="103"/>
      <c r="Y82" s="103"/>
      <c r="Z82" s="103"/>
      <c r="AA82" s="103"/>
      <c r="AB82" s="103"/>
      <c r="AC82" s="103"/>
      <c r="AD82" s="103"/>
      <c r="AE82" s="103"/>
      <c r="AF82" s="103"/>
      <c r="AG82" s="103"/>
    </row>
    <row r="83" spans="1:33" ht="21.75" customHeight="1">
      <c r="A83" s="97">
        <v>2019</v>
      </c>
      <c r="B83" s="102" t="s">
        <v>1967</v>
      </c>
      <c r="C83" s="99" t="s">
        <v>1171</v>
      </c>
      <c r="D83" s="97">
        <v>43657</v>
      </c>
      <c r="E83" s="97">
        <v>43673</v>
      </c>
      <c r="F83" s="102" t="s">
        <v>1909</v>
      </c>
      <c r="G83" s="97" t="s">
        <v>195</v>
      </c>
      <c r="H83" s="97" t="s">
        <v>1172</v>
      </c>
      <c r="I83" s="97" t="s">
        <v>1217</v>
      </c>
      <c r="J83" s="97" t="s">
        <v>1218</v>
      </c>
      <c r="K83" s="97" t="s">
        <v>1219</v>
      </c>
      <c r="L83" s="97" t="s">
        <v>1220</v>
      </c>
      <c r="M83" s="97">
        <v>975226634</v>
      </c>
      <c r="N83" s="97" t="s">
        <v>1221</v>
      </c>
      <c r="O83" s="97" t="s">
        <v>1222</v>
      </c>
      <c r="P83" s="97" t="s">
        <v>1223</v>
      </c>
      <c r="Q83" s="97" t="s">
        <v>54</v>
      </c>
      <c r="R83" s="97" t="s">
        <v>55</v>
      </c>
      <c r="S83" s="97" t="s">
        <v>1224</v>
      </c>
      <c r="T83" s="97" t="s">
        <v>1225</v>
      </c>
      <c r="U83" s="97" t="s">
        <v>103</v>
      </c>
      <c r="V83" s="97" t="s">
        <v>55</v>
      </c>
      <c r="W83" s="97" t="s">
        <v>1226</v>
      </c>
      <c r="X83" s="97" t="s">
        <v>55</v>
      </c>
      <c r="Y83" s="97"/>
      <c r="Z83" s="97"/>
      <c r="AA83" s="97"/>
      <c r="AB83" s="97"/>
      <c r="AC83" s="97"/>
      <c r="AD83" s="97"/>
      <c r="AE83" s="97"/>
      <c r="AF83" s="97"/>
      <c r="AG83" s="97"/>
    </row>
    <row r="84" spans="1:33" ht="21.75" customHeight="1">
      <c r="A84" s="97">
        <v>2015</v>
      </c>
      <c r="B84" s="98" t="s">
        <v>1969</v>
      </c>
      <c r="C84" s="99" t="s">
        <v>1231</v>
      </c>
      <c r="D84" s="100">
        <v>42188</v>
      </c>
      <c r="E84" s="101">
        <v>42197</v>
      </c>
      <c r="F84" s="102" t="s">
        <v>1909</v>
      </c>
      <c r="G84" s="103" t="s">
        <v>85</v>
      </c>
      <c r="H84" s="103" t="s">
        <v>1233</v>
      </c>
      <c r="I84" s="103" t="s">
        <v>1233</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row>
    <row r="85" spans="1:33" ht="21.75" customHeight="1">
      <c r="A85" s="97">
        <v>2012</v>
      </c>
      <c r="B85" s="98" t="s">
        <v>1901</v>
      </c>
      <c r="C85" s="99" t="s">
        <v>335</v>
      </c>
      <c r="D85" s="100">
        <v>41091</v>
      </c>
      <c r="E85" s="101">
        <v>41105</v>
      </c>
      <c r="F85" s="102" t="s">
        <v>1909</v>
      </c>
      <c r="G85" s="103" t="s">
        <v>1970</v>
      </c>
      <c r="H85" s="103" t="s">
        <v>1971</v>
      </c>
      <c r="I85" s="103" t="s">
        <v>1238</v>
      </c>
      <c r="J85" s="103"/>
      <c r="K85" s="104" t="s">
        <v>1239</v>
      </c>
      <c r="L85" s="103"/>
      <c r="M85" s="103"/>
      <c r="N85" s="103"/>
      <c r="O85" s="103"/>
      <c r="P85" s="103"/>
      <c r="Q85" s="103"/>
      <c r="R85" s="103"/>
      <c r="S85" s="103"/>
      <c r="T85" s="103"/>
      <c r="U85" s="103"/>
      <c r="V85" s="103"/>
      <c r="W85" s="103"/>
      <c r="X85" s="103"/>
      <c r="Y85" s="103"/>
      <c r="Z85" s="103"/>
      <c r="AA85" s="103"/>
      <c r="AB85" s="103"/>
      <c r="AC85" s="103"/>
      <c r="AD85" s="103"/>
      <c r="AE85" s="103"/>
      <c r="AF85" s="103"/>
      <c r="AG85" s="103"/>
    </row>
    <row r="86" spans="1:33" ht="21.75" customHeight="1">
      <c r="A86" s="97">
        <v>2019</v>
      </c>
      <c r="B86" s="102" t="s">
        <v>1901</v>
      </c>
      <c r="C86" s="99" t="s">
        <v>335</v>
      </c>
      <c r="D86" s="97">
        <v>43647</v>
      </c>
      <c r="E86" s="97">
        <v>43661</v>
      </c>
      <c r="F86" s="102" t="s">
        <v>1909</v>
      </c>
      <c r="G86" s="97" t="s">
        <v>166</v>
      </c>
      <c r="H86" s="97" t="s">
        <v>166</v>
      </c>
      <c r="I86" s="97" t="s">
        <v>1243</v>
      </c>
      <c r="J86" s="97" t="s">
        <v>1244</v>
      </c>
      <c r="K86" s="97" t="s">
        <v>1245</v>
      </c>
      <c r="L86" s="97" t="s">
        <v>1246</v>
      </c>
      <c r="M86" s="97" t="s">
        <v>1247</v>
      </c>
      <c r="N86" s="97" t="s">
        <v>382</v>
      </c>
      <c r="O86" s="97">
        <v>260</v>
      </c>
      <c r="P86" s="97" t="s">
        <v>1248</v>
      </c>
      <c r="Q86" s="97" t="s">
        <v>54</v>
      </c>
      <c r="R86" s="97" t="s">
        <v>103</v>
      </c>
      <c r="S86" s="97" t="s">
        <v>516</v>
      </c>
      <c r="T86" s="97" t="s">
        <v>1249</v>
      </c>
      <c r="U86" s="97" t="s">
        <v>103</v>
      </c>
      <c r="V86" s="97" t="s">
        <v>103</v>
      </c>
      <c r="W86" s="97" t="s">
        <v>1250</v>
      </c>
      <c r="X86" s="97" t="s">
        <v>55</v>
      </c>
      <c r="Y86" s="97"/>
      <c r="Z86" s="97"/>
      <c r="AA86" s="97"/>
      <c r="AB86" s="97"/>
      <c r="AC86" s="97"/>
      <c r="AD86" s="97"/>
      <c r="AE86" s="97"/>
      <c r="AF86" s="97"/>
      <c r="AG86" s="97"/>
    </row>
    <row r="87" spans="1:33" ht="21.75" customHeight="1">
      <c r="A87" s="97">
        <v>2017</v>
      </c>
      <c r="B87" s="98" t="s">
        <v>1972</v>
      </c>
      <c r="C87" s="99" t="s">
        <v>1255</v>
      </c>
      <c r="D87" s="100">
        <v>42924</v>
      </c>
      <c r="E87" s="101">
        <v>42932</v>
      </c>
      <c r="F87" s="102" t="s">
        <v>1909</v>
      </c>
      <c r="G87" s="103" t="s">
        <v>85</v>
      </c>
      <c r="H87" s="103" t="s">
        <v>942</v>
      </c>
      <c r="I87" s="103" t="s">
        <v>1256</v>
      </c>
      <c r="J87" s="103"/>
      <c r="K87" s="103"/>
      <c r="L87" s="103" t="s">
        <v>1257</v>
      </c>
      <c r="M87" s="103"/>
      <c r="N87" s="103"/>
      <c r="O87" s="103"/>
      <c r="P87" s="103"/>
      <c r="Q87" s="103" t="s">
        <v>54</v>
      </c>
      <c r="R87" s="103" t="s">
        <v>55</v>
      </c>
      <c r="S87" s="103" t="s">
        <v>1258</v>
      </c>
      <c r="T87" s="103"/>
      <c r="U87" s="103" t="s">
        <v>1259</v>
      </c>
      <c r="V87" s="103" t="s">
        <v>1260</v>
      </c>
      <c r="W87" s="103"/>
      <c r="X87" s="103"/>
      <c r="Y87" s="103"/>
      <c r="Z87" s="103"/>
      <c r="AA87" s="103"/>
      <c r="AB87" s="103"/>
      <c r="AC87" s="103"/>
      <c r="AD87" s="103"/>
      <c r="AE87" s="103"/>
      <c r="AF87" s="103"/>
      <c r="AG87" s="103"/>
    </row>
    <row r="88" spans="1:33" ht="21.75" customHeight="1">
      <c r="A88" s="97">
        <v>2018</v>
      </c>
      <c r="B88" s="98" t="s">
        <v>1972</v>
      </c>
      <c r="C88" s="99" t="s">
        <v>1255</v>
      </c>
      <c r="D88" s="100">
        <v>43282</v>
      </c>
      <c r="E88" s="101">
        <v>43288</v>
      </c>
      <c r="F88" s="102" t="s">
        <v>1909</v>
      </c>
      <c r="G88" s="103" t="s">
        <v>192</v>
      </c>
      <c r="H88" s="103" t="s">
        <v>1264</v>
      </c>
      <c r="I88" s="103" t="s">
        <v>1265</v>
      </c>
      <c r="J88" s="106">
        <v>0</v>
      </c>
      <c r="K88" s="103" t="s">
        <v>1266</v>
      </c>
      <c r="L88" s="103" t="s">
        <v>1267</v>
      </c>
      <c r="M88" s="103" t="s">
        <v>1268</v>
      </c>
      <c r="N88" s="103" t="s">
        <v>1269</v>
      </c>
      <c r="O88" s="103" t="s">
        <v>1270</v>
      </c>
      <c r="P88" s="103" t="s">
        <v>136</v>
      </c>
      <c r="Q88" s="103" t="s">
        <v>1271</v>
      </c>
      <c r="R88" s="103" t="s">
        <v>55</v>
      </c>
      <c r="S88" s="103" t="s">
        <v>821</v>
      </c>
      <c r="T88" s="103" t="s">
        <v>1272</v>
      </c>
      <c r="U88" s="103" t="s">
        <v>1273</v>
      </c>
      <c r="V88" s="103" t="s">
        <v>1112</v>
      </c>
      <c r="W88" s="103" t="s">
        <v>1274</v>
      </c>
      <c r="X88" s="103"/>
      <c r="Y88" s="103"/>
      <c r="Z88" s="103"/>
      <c r="AA88" s="103"/>
      <c r="AB88" s="103"/>
      <c r="AC88" s="103"/>
      <c r="AD88" s="103"/>
      <c r="AE88" s="103"/>
      <c r="AF88" s="103"/>
      <c r="AG88" s="103"/>
    </row>
    <row r="89" spans="1:33" ht="21.75" customHeight="1">
      <c r="A89" s="97">
        <v>2019</v>
      </c>
      <c r="B89" s="102" t="s">
        <v>1972</v>
      </c>
      <c r="C89" s="99" t="s">
        <v>1255</v>
      </c>
      <c r="D89" s="97">
        <v>43646</v>
      </c>
      <c r="E89" s="97">
        <v>43650</v>
      </c>
      <c r="F89" s="102" t="s">
        <v>1909</v>
      </c>
      <c r="G89" s="97" t="s">
        <v>192</v>
      </c>
      <c r="H89" s="97" t="s">
        <v>1278</v>
      </c>
      <c r="I89" s="97" t="s">
        <v>1279</v>
      </c>
      <c r="J89" s="97" t="s">
        <v>1280</v>
      </c>
      <c r="K89" s="97" t="s">
        <v>1281</v>
      </c>
      <c r="L89" s="97" t="s">
        <v>1282</v>
      </c>
      <c r="M89" s="97" t="s">
        <v>1283</v>
      </c>
      <c r="N89" s="97" t="s">
        <v>1284</v>
      </c>
      <c r="O89" s="97" t="s">
        <v>1285</v>
      </c>
      <c r="P89" s="97" t="s">
        <v>136</v>
      </c>
      <c r="Q89" s="97" t="s">
        <v>54</v>
      </c>
      <c r="R89" s="97" t="s">
        <v>55</v>
      </c>
      <c r="S89" s="97" t="s">
        <v>382</v>
      </c>
      <c r="T89" s="97" t="s">
        <v>382</v>
      </c>
      <c r="U89" s="97" t="s">
        <v>1286</v>
      </c>
      <c r="V89" s="97" t="s">
        <v>125</v>
      </c>
      <c r="W89" s="97" t="s">
        <v>1287</v>
      </c>
      <c r="X89" s="97" t="s">
        <v>103</v>
      </c>
      <c r="Y89" s="97"/>
      <c r="Z89" s="97"/>
      <c r="AA89" s="97"/>
      <c r="AB89" s="97"/>
      <c r="AC89" s="97"/>
      <c r="AD89" s="97"/>
      <c r="AE89" s="97"/>
      <c r="AF89" s="97"/>
      <c r="AG89" s="97"/>
    </row>
    <row r="90" spans="1:33" ht="21.75" customHeight="1">
      <c r="A90" s="97">
        <v>2016</v>
      </c>
      <c r="B90" s="102" t="s">
        <v>1903</v>
      </c>
      <c r="C90" s="99" t="s">
        <v>306</v>
      </c>
      <c r="D90" s="110">
        <v>42564</v>
      </c>
      <c r="E90" s="111">
        <v>42581</v>
      </c>
      <c r="F90" s="102" t="s">
        <v>1909</v>
      </c>
      <c r="G90" s="99" t="s">
        <v>1938</v>
      </c>
      <c r="H90" s="99" t="s">
        <v>1912</v>
      </c>
      <c r="I90" s="99" t="s">
        <v>492</v>
      </c>
      <c r="J90" s="99">
        <v>1043</v>
      </c>
      <c r="K90" s="99" t="s">
        <v>1291</v>
      </c>
      <c r="L90" s="99" t="s">
        <v>1292</v>
      </c>
      <c r="M90" s="99">
        <v>638233456</v>
      </c>
      <c r="N90" s="99" t="s">
        <v>696</v>
      </c>
      <c r="O90" s="99" t="s">
        <v>1293</v>
      </c>
      <c r="P90" s="99" t="s">
        <v>1294</v>
      </c>
      <c r="Q90" s="99" t="s">
        <v>54</v>
      </c>
      <c r="R90" s="99" t="s">
        <v>55</v>
      </c>
      <c r="S90" s="99" t="s">
        <v>1295</v>
      </c>
      <c r="T90" s="99" t="s">
        <v>1296</v>
      </c>
      <c r="U90" s="99" t="s">
        <v>1297</v>
      </c>
      <c r="V90" s="99" t="s">
        <v>103</v>
      </c>
      <c r="W90" s="103"/>
      <c r="X90" s="103"/>
      <c r="Y90" s="103"/>
      <c r="Z90" s="103"/>
      <c r="AA90" s="103"/>
      <c r="AB90" s="103"/>
      <c r="AC90" s="103"/>
      <c r="AD90" s="103"/>
      <c r="AE90" s="103"/>
      <c r="AF90" s="103"/>
      <c r="AG90" s="103"/>
    </row>
    <row r="91" spans="1:33" ht="21.75" customHeight="1">
      <c r="A91" s="97">
        <v>2016</v>
      </c>
      <c r="B91" s="102" t="s">
        <v>1903</v>
      </c>
      <c r="C91" s="99" t="s">
        <v>306</v>
      </c>
      <c r="D91" s="110">
        <v>42564</v>
      </c>
      <c r="E91" s="111">
        <v>42581</v>
      </c>
      <c r="F91" s="102" t="s">
        <v>1909</v>
      </c>
      <c r="G91" s="99" t="s">
        <v>1938</v>
      </c>
      <c r="H91" s="99" t="s">
        <v>1912</v>
      </c>
      <c r="I91" s="99" t="s">
        <v>492</v>
      </c>
      <c r="J91" s="99">
        <v>1043</v>
      </c>
      <c r="K91" s="99" t="s">
        <v>1291</v>
      </c>
      <c r="L91" s="99" t="s">
        <v>1292</v>
      </c>
      <c r="M91" s="99">
        <v>638233456</v>
      </c>
      <c r="N91" s="99" t="s">
        <v>696</v>
      </c>
      <c r="O91" s="99" t="s">
        <v>1293</v>
      </c>
      <c r="P91" s="99" t="s">
        <v>1294</v>
      </c>
      <c r="Q91" s="99" t="s">
        <v>54</v>
      </c>
      <c r="R91" s="99" t="s">
        <v>55</v>
      </c>
      <c r="S91" s="99" t="s">
        <v>1295</v>
      </c>
      <c r="T91" s="99" t="s">
        <v>1296</v>
      </c>
      <c r="U91" s="99" t="s">
        <v>1297</v>
      </c>
      <c r="V91" s="99" t="s">
        <v>103</v>
      </c>
      <c r="W91" s="103"/>
      <c r="X91" s="103"/>
      <c r="Y91" s="103"/>
      <c r="Z91" s="103"/>
      <c r="AA91" s="103"/>
      <c r="AB91" s="103"/>
      <c r="AC91" s="103"/>
      <c r="AD91" s="103"/>
      <c r="AE91" s="103"/>
      <c r="AF91" s="103"/>
      <c r="AG91" s="103"/>
    </row>
    <row r="92" spans="1:33" ht="21.75" customHeight="1">
      <c r="A92" s="97">
        <v>2015</v>
      </c>
      <c r="B92" s="98" t="s">
        <v>168</v>
      </c>
      <c r="C92" s="99" t="s">
        <v>1303</v>
      </c>
      <c r="D92" s="100">
        <v>42188</v>
      </c>
      <c r="E92" s="101">
        <v>42199</v>
      </c>
      <c r="F92" s="102" t="s">
        <v>1909</v>
      </c>
      <c r="G92" s="103" t="s">
        <v>85</v>
      </c>
      <c r="H92" s="103" t="s">
        <v>670</v>
      </c>
      <c r="I92" s="103" t="s">
        <v>1304</v>
      </c>
      <c r="J92" s="103"/>
      <c r="K92" s="103" t="s">
        <v>1305</v>
      </c>
      <c r="L92" s="103"/>
      <c r="M92" s="103"/>
      <c r="N92" s="103"/>
      <c r="O92" s="103"/>
      <c r="P92" s="103"/>
      <c r="Q92" s="103"/>
      <c r="R92" s="103"/>
      <c r="S92" s="103"/>
      <c r="T92" s="103"/>
      <c r="U92" s="103"/>
      <c r="V92" s="103"/>
      <c r="W92" s="103"/>
      <c r="X92" s="103"/>
      <c r="Y92" s="103"/>
      <c r="Z92" s="103"/>
      <c r="AA92" s="103"/>
      <c r="AB92" s="103"/>
      <c r="AC92" s="103"/>
      <c r="AD92" s="103"/>
      <c r="AE92" s="103"/>
      <c r="AF92" s="103"/>
      <c r="AG92" s="103"/>
    </row>
    <row r="93" spans="1:33" ht="21.75" customHeight="1">
      <c r="A93" s="97">
        <v>2017</v>
      </c>
      <c r="B93" s="98" t="s">
        <v>1890</v>
      </c>
      <c r="C93" s="99" t="s">
        <v>1303</v>
      </c>
      <c r="D93" s="100">
        <v>42938</v>
      </c>
      <c r="E93" s="101">
        <v>42946</v>
      </c>
      <c r="F93" s="102" t="s">
        <v>1909</v>
      </c>
      <c r="G93" s="103" t="s">
        <v>85</v>
      </c>
      <c r="H93" s="103" t="s">
        <v>754</v>
      </c>
      <c r="I93" s="103" t="s">
        <v>1309</v>
      </c>
      <c r="J93" s="103"/>
      <c r="K93" s="103"/>
      <c r="L93" s="103" t="s">
        <v>1310</v>
      </c>
      <c r="M93" s="106">
        <v>630881829</v>
      </c>
      <c r="N93" s="103"/>
      <c r="O93" s="103"/>
      <c r="P93" s="103"/>
      <c r="Q93" s="103" t="s">
        <v>54</v>
      </c>
      <c r="R93" s="103" t="s">
        <v>55</v>
      </c>
      <c r="S93" s="103" t="s">
        <v>1311</v>
      </c>
      <c r="T93" s="103"/>
      <c r="U93" s="103" t="s">
        <v>1312</v>
      </c>
      <c r="V93" s="103"/>
      <c r="W93" s="103"/>
      <c r="X93" s="103"/>
      <c r="Y93" s="103"/>
      <c r="Z93" s="103"/>
      <c r="AA93" s="103"/>
      <c r="AB93" s="103"/>
      <c r="AC93" s="103"/>
      <c r="AD93" s="103"/>
      <c r="AE93" s="103"/>
      <c r="AF93" s="103"/>
      <c r="AG93" s="103"/>
    </row>
    <row r="94" spans="1:33" ht="21.75" customHeight="1">
      <c r="A94" s="97">
        <v>2018</v>
      </c>
      <c r="B94" s="98" t="s">
        <v>1890</v>
      </c>
      <c r="C94" s="99" t="s">
        <v>1303</v>
      </c>
      <c r="D94" s="100">
        <v>43281</v>
      </c>
      <c r="E94" s="101">
        <v>43289</v>
      </c>
      <c r="F94" s="102" t="s">
        <v>1909</v>
      </c>
      <c r="G94" s="103" t="s">
        <v>1973</v>
      </c>
      <c r="H94" s="103" t="s">
        <v>1974</v>
      </c>
      <c r="I94" s="103" t="s">
        <v>1316</v>
      </c>
      <c r="J94" s="103" t="s">
        <v>1317</v>
      </c>
      <c r="K94" s="103" t="s">
        <v>1318</v>
      </c>
      <c r="L94" s="103" t="s">
        <v>1319</v>
      </c>
      <c r="M94" s="106">
        <v>920374030</v>
      </c>
      <c r="N94" s="103" t="s">
        <v>1320</v>
      </c>
      <c r="O94" s="106">
        <v>70</v>
      </c>
      <c r="P94" s="103" t="s">
        <v>1321</v>
      </c>
      <c r="Q94" s="103" t="s">
        <v>54</v>
      </c>
      <c r="R94" s="103" t="s">
        <v>55</v>
      </c>
      <c r="S94" s="103" t="s">
        <v>1099</v>
      </c>
      <c r="T94" s="103" t="s">
        <v>1322</v>
      </c>
      <c r="U94" s="103" t="s">
        <v>1323</v>
      </c>
      <c r="V94" s="103" t="s">
        <v>125</v>
      </c>
      <c r="W94" s="103" t="s">
        <v>1324</v>
      </c>
      <c r="X94" s="103"/>
      <c r="Y94" s="103"/>
      <c r="Z94" s="103"/>
      <c r="AA94" s="103"/>
      <c r="AB94" s="103"/>
      <c r="AC94" s="103"/>
      <c r="AD94" s="103"/>
      <c r="AE94" s="103"/>
      <c r="AF94" s="103"/>
      <c r="AG94" s="103"/>
    </row>
    <row r="95" spans="1:33" ht="21.75" customHeight="1">
      <c r="A95" s="79"/>
      <c r="B95" s="119"/>
      <c r="C95" s="79"/>
      <c r="D95" s="79"/>
      <c r="E95" s="79"/>
      <c r="F95" s="119"/>
      <c r="G95" s="79"/>
      <c r="H95" s="79"/>
      <c r="I95" s="79"/>
      <c r="J95" s="79"/>
      <c r="K95" s="79"/>
      <c r="L95" s="79"/>
      <c r="M95" s="79"/>
      <c r="N95" s="79"/>
      <c r="O95" s="79"/>
      <c r="P95" s="79"/>
      <c r="Q95" s="79"/>
      <c r="R95" s="79"/>
      <c r="S95" s="79"/>
      <c r="T95" s="79"/>
      <c r="U95" s="79"/>
      <c r="V95" s="79"/>
      <c r="W95" s="79"/>
      <c r="X95" s="79"/>
      <c r="Y95" s="79"/>
      <c r="Z95" s="79"/>
      <c r="AA95" s="79"/>
      <c r="AB95" s="79"/>
      <c r="AC95" s="79"/>
      <c r="AD95" s="79"/>
      <c r="AE95" s="79"/>
      <c r="AF95" s="79"/>
      <c r="AG95" s="79"/>
    </row>
    <row r="96" spans="1:33" ht="21.75" customHeight="1">
      <c r="A96" s="79"/>
      <c r="B96" s="119"/>
      <c r="C96" s="79"/>
      <c r="D96" s="79"/>
      <c r="E96" s="79"/>
      <c r="F96" s="119"/>
      <c r="G96" s="79"/>
      <c r="H96" s="79"/>
      <c r="I96" s="79"/>
      <c r="J96" s="79"/>
      <c r="K96" s="79"/>
      <c r="L96" s="79"/>
      <c r="M96" s="79"/>
      <c r="N96" s="79"/>
      <c r="O96" s="79"/>
      <c r="P96" s="79"/>
      <c r="Q96" s="79"/>
      <c r="R96" s="79"/>
      <c r="S96" s="79"/>
      <c r="T96" s="79"/>
      <c r="U96" s="79"/>
      <c r="V96" s="79"/>
      <c r="W96" s="79"/>
      <c r="X96" s="79"/>
      <c r="Y96" s="79"/>
      <c r="Z96" s="79"/>
      <c r="AA96" s="79"/>
      <c r="AB96" s="79"/>
      <c r="AC96" s="79"/>
      <c r="AD96" s="79"/>
      <c r="AE96" s="79"/>
      <c r="AF96" s="79"/>
      <c r="AG96" s="79"/>
    </row>
    <row r="97" spans="1:33" ht="21.75" customHeight="1">
      <c r="A97" s="79"/>
      <c r="B97" s="119"/>
      <c r="C97" s="79"/>
      <c r="D97" s="79"/>
      <c r="E97" s="79"/>
      <c r="F97" s="119"/>
      <c r="G97" s="79"/>
      <c r="H97" s="79"/>
      <c r="I97" s="79"/>
      <c r="J97" s="79"/>
      <c r="K97" s="79"/>
      <c r="L97" s="79"/>
      <c r="M97" s="79"/>
      <c r="N97" s="79"/>
      <c r="O97" s="79"/>
      <c r="P97" s="79"/>
      <c r="Q97" s="79"/>
      <c r="R97" s="79"/>
      <c r="S97" s="79"/>
      <c r="T97" s="79"/>
      <c r="U97" s="79"/>
      <c r="V97" s="79"/>
      <c r="W97" s="79"/>
      <c r="X97" s="79"/>
      <c r="Y97" s="79"/>
      <c r="Z97" s="79"/>
      <c r="AA97" s="79"/>
      <c r="AB97" s="79"/>
      <c r="AC97" s="79"/>
      <c r="AD97" s="79"/>
      <c r="AE97" s="79"/>
      <c r="AF97" s="79"/>
      <c r="AG97" s="79"/>
    </row>
    <row r="98" spans="1:33" ht="21.75" customHeight="1">
      <c r="A98" s="79"/>
      <c r="B98" s="119"/>
      <c r="C98" s="79"/>
      <c r="D98" s="79"/>
      <c r="E98" s="79"/>
      <c r="F98" s="119"/>
      <c r="G98" s="79"/>
      <c r="H98" s="79"/>
      <c r="I98" s="79"/>
      <c r="J98" s="79"/>
      <c r="K98" s="79"/>
      <c r="L98" s="79"/>
      <c r="M98" s="79"/>
      <c r="N98" s="79"/>
      <c r="O98" s="79"/>
      <c r="P98" s="79"/>
      <c r="Q98" s="79"/>
      <c r="R98" s="79"/>
      <c r="S98" s="79"/>
      <c r="T98" s="79"/>
      <c r="U98" s="79"/>
      <c r="V98" s="79"/>
      <c r="W98" s="79"/>
      <c r="X98" s="79"/>
      <c r="Y98" s="79"/>
      <c r="Z98" s="79"/>
      <c r="AA98" s="79"/>
      <c r="AB98" s="79"/>
      <c r="AC98" s="79"/>
      <c r="AD98" s="79"/>
      <c r="AE98" s="79"/>
      <c r="AF98" s="79"/>
      <c r="AG98" s="79"/>
    </row>
    <row r="99" spans="1:33" ht="21.75" customHeight="1">
      <c r="A99" s="79"/>
      <c r="B99" s="119"/>
      <c r="C99" s="79"/>
      <c r="D99" s="79"/>
      <c r="E99" s="79"/>
      <c r="F99" s="119"/>
      <c r="G99" s="79"/>
      <c r="H99" s="79"/>
      <c r="I99" s="79"/>
      <c r="J99" s="79"/>
      <c r="K99" s="79"/>
      <c r="L99" s="79"/>
      <c r="M99" s="79"/>
      <c r="N99" s="79"/>
      <c r="O99" s="79"/>
      <c r="P99" s="79"/>
      <c r="Q99" s="79"/>
      <c r="R99" s="79"/>
      <c r="S99" s="79"/>
      <c r="T99" s="79"/>
      <c r="U99" s="79"/>
      <c r="V99" s="79"/>
      <c r="W99" s="79"/>
      <c r="X99" s="79"/>
      <c r="Y99" s="79"/>
      <c r="Z99" s="79"/>
      <c r="AA99" s="79"/>
      <c r="AB99" s="79"/>
      <c r="AC99" s="79"/>
      <c r="AD99" s="79"/>
      <c r="AE99" s="79"/>
      <c r="AF99" s="79"/>
      <c r="AG99" s="79"/>
    </row>
    <row r="100" spans="1:33" ht="21.75" customHeight="1">
      <c r="A100" s="79"/>
      <c r="B100" s="119"/>
      <c r="C100" s="79"/>
      <c r="D100" s="79"/>
      <c r="E100" s="79"/>
      <c r="F100" s="119"/>
      <c r="G100" s="79"/>
      <c r="H100" s="79"/>
      <c r="I100" s="79"/>
      <c r="J100" s="79"/>
      <c r="K100" s="79"/>
      <c r="L100" s="79"/>
      <c r="M100" s="79"/>
      <c r="N100" s="79"/>
      <c r="O100" s="79"/>
      <c r="P100" s="79"/>
      <c r="Q100" s="79"/>
      <c r="R100" s="79"/>
      <c r="S100" s="79"/>
      <c r="T100" s="79"/>
      <c r="U100" s="79"/>
      <c r="V100" s="79"/>
      <c r="W100" s="79"/>
      <c r="X100" s="79"/>
      <c r="Y100" s="79"/>
      <c r="Z100" s="79"/>
      <c r="AA100" s="79"/>
      <c r="AB100" s="79"/>
      <c r="AC100" s="79"/>
      <c r="AD100" s="79"/>
      <c r="AE100" s="79"/>
      <c r="AF100" s="79"/>
      <c r="AG100" s="79"/>
    </row>
    <row r="101" spans="1:33" ht="21.75" customHeight="1">
      <c r="A101" s="79"/>
      <c r="B101" s="119"/>
      <c r="C101" s="79"/>
      <c r="D101" s="79"/>
      <c r="E101" s="79"/>
      <c r="F101" s="119"/>
      <c r="G101" s="79"/>
      <c r="H101" s="79"/>
      <c r="I101" s="79"/>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row>
    <row r="102" spans="1:33" ht="21.75" customHeight="1">
      <c r="A102" s="79"/>
      <c r="B102" s="119"/>
      <c r="C102" s="79"/>
      <c r="D102" s="79"/>
      <c r="E102" s="79"/>
      <c r="F102" s="119"/>
      <c r="G102" s="79"/>
      <c r="H102" s="79"/>
      <c r="I102" s="79"/>
      <c r="J102" s="79"/>
      <c r="K102" s="79"/>
      <c r="L102" s="79"/>
      <c r="M102" s="79"/>
      <c r="N102" s="79"/>
      <c r="O102" s="79"/>
      <c r="P102" s="79"/>
      <c r="Q102" s="79"/>
      <c r="R102" s="79"/>
      <c r="S102" s="79"/>
      <c r="T102" s="79"/>
      <c r="U102" s="79"/>
      <c r="V102" s="79"/>
      <c r="W102" s="79"/>
      <c r="X102" s="79"/>
      <c r="Y102" s="79"/>
      <c r="Z102" s="79"/>
      <c r="AA102" s="79"/>
      <c r="AB102" s="79"/>
      <c r="AC102" s="79"/>
      <c r="AD102" s="79"/>
      <c r="AE102" s="79"/>
      <c r="AF102" s="79"/>
      <c r="AG102" s="79"/>
    </row>
    <row r="103" spans="1:33" ht="21.75" customHeight="1">
      <c r="A103" s="79"/>
      <c r="B103" s="119"/>
      <c r="C103" s="79"/>
      <c r="D103" s="79"/>
      <c r="E103" s="79"/>
      <c r="F103" s="119"/>
      <c r="G103" s="79"/>
      <c r="H103" s="79"/>
      <c r="I103" s="79"/>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row>
    <row r="104" spans="1:33" ht="21.75" customHeight="1">
      <c r="A104" s="79"/>
      <c r="B104" s="119"/>
      <c r="C104" s="79"/>
      <c r="D104" s="79"/>
      <c r="E104" s="79"/>
      <c r="F104" s="119"/>
      <c r="G104" s="79"/>
      <c r="H104" s="79"/>
      <c r="I104" s="79"/>
      <c r="J104" s="79"/>
      <c r="K104" s="79"/>
      <c r="L104" s="79"/>
      <c r="M104" s="79"/>
      <c r="N104" s="79"/>
      <c r="O104" s="79"/>
      <c r="P104" s="79"/>
      <c r="Q104" s="79"/>
      <c r="R104" s="79"/>
      <c r="S104" s="79"/>
      <c r="T104" s="79"/>
      <c r="U104" s="79"/>
      <c r="V104" s="79"/>
      <c r="W104" s="79"/>
      <c r="X104" s="79"/>
      <c r="Y104" s="79"/>
      <c r="Z104" s="79"/>
      <c r="AA104" s="79"/>
      <c r="AB104" s="79"/>
      <c r="AC104" s="79"/>
      <c r="AD104" s="79"/>
      <c r="AE104" s="79"/>
      <c r="AF104" s="79"/>
      <c r="AG104" s="79"/>
    </row>
    <row r="105" spans="1:33" ht="21.75" customHeight="1">
      <c r="A105" s="79"/>
      <c r="B105" s="119"/>
      <c r="C105" s="79"/>
      <c r="D105" s="79"/>
      <c r="E105" s="79"/>
      <c r="F105" s="119"/>
      <c r="G105" s="79"/>
      <c r="H105" s="79"/>
      <c r="I105" s="79"/>
      <c r="J105" s="79"/>
      <c r="K105" s="79"/>
      <c r="L105" s="79"/>
      <c r="M105" s="79"/>
      <c r="N105" s="79"/>
      <c r="O105" s="79"/>
      <c r="P105" s="79"/>
      <c r="Q105" s="79"/>
      <c r="R105" s="79"/>
      <c r="S105" s="79"/>
      <c r="T105" s="79"/>
      <c r="U105" s="79"/>
      <c r="V105" s="79"/>
      <c r="W105" s="79"/>
      <c r="X105" s="79"/>
      <c r="Y105" s="79"/>
      <c r="Z105" s="79"/>
      <c r="AA105" s="79"/>
      <c r="AB105" s="79"/>
      <c r="AC105" s="79"/>
      <c r="AD105" s="79"/>
      <c r="AE105" s="79"/>
      <c r="AF105" s="79"/>
      <c r="AG105" s="79"/>
    </row>
    <row r="106" spans="1:33" ht="21.75" customHeight="1">
      <c r="A106" s="79"/>
      <c r="B106" s="119"/>
      <c r="C106" s="79"/>
      <c r="D106" s="79"/>
      <c r="E106" s="79"/>
      <c r="F106" s="119"/>
      <c r="G106" s="79"/>
      <c r="H106" s="79"/>
      <c r="I106" s="79"/>
      <c r="J106" s="79"/>
      <c r="K106" s="79"/>
      <c r="L106" s="79"/>
      <c r="M106" s="79"/>
      <c r="N106" s="79"/>
      <c r="O106" s="79"/>
      <c r="P106" s="79"/>
      <c r="Q106" s="79"/>
      <c r="R106" s="79"/>
      <c r="S106" s="79"/>
      <c r="T106" s="79"/>
      <c r="U106" s="79"/>
      <c r="V106" s="79"/>
      <c r="W106" s="79"/>
      <c r="X106" s="79"/>
      <c r="Y106" s="79"/>
      <c r="Z106" s="79"/>
      <c r="AA106" s="79"/>
      <c r="AB106" s="79"/>
      <c r="AC106" s="79"/>
      <c r="AD106" s="79"/>
      <c r="AE106" s="79"/>
      <c r="AF106" s="79"/>
      <c r="AG106" s="79"/>
    </row>
    <row r="107" spans="1:33" ht="21.75" customHeight="1">
      <c r="A107" s="79"/>
      <c r="B107" s="119"/>
      <c r="C107" s="79"/>
      <c r="D107" s="79"/>
      <c r="E107" s="79"/>
      <c r="F107" s="119"/>
      <c r="G107" s="79"/>
      <c r="H107" s="79"/>
      <c r="I107" s="79"/>
      <c r="J107" s="79"/>
      <c r="K107" s="79"/>
      <c r="L107" s="79"/>
      <c r="M107" s="79"/>
      <c r="N107" s="79"/>
      <c r="O107" s="79"/>
      <c r="P107" s="79"/>
      <c r="Q107" s="79"/>
      <c r="R107" s="79"/>
      <c r="S107" s="79"/>
      <c r="T107" s="79"/>
      <c r="U107" s="79"/>
      <c r="V107" s="79"/>
      <c r="W107" s="79"/>
      <c r="X107" s="79"/>
      <c r="Y107" s="79"/>
      <c r="Z107" s="79"/>
      <c r="AA107" s="79"/>
      <c r="AB107" s="79"/>
      <c r="AC107" s="79"/>
      <c r="AD107" s="79"/>
      <c r="AE107" s="79"/>
      <c r="AF107" s="79"/>
      <c r="AG107" s="79"/>
    </row>
    <row r="108" spans="1:33" ht="21.75" customHeight="1">
      <c r="A108" s="79"/>
      <c r="B108" s="119"/>
      <c r="C108" s="79"/>
      <c r="D108" s="79"/>
      <c r="E108" s="79"/>
      <c r="F108" s="119"/>
      <c r="G108" s="79"/>
      <c r="H108" s="79"/>
      <c r="I108" s="79"/>
      <c r="J108" s="79"/>
      <c r="K108" s="79"/>
      <c r="L108" s="79"/>
      <c r="M108" s="79"/>
      <c r="N108" s="79"/>
      <c r="O108" s="79"/>
      <c r="P108" s="79"/>
      <c r="Q108" s="79"/>
      <c r="R108" s="79"/>
      <c r="S108" s="79"/>
      <c r="T108" s="79"/>
      <c r="U108" s="79"/>
      <c r="V108" s="79"/>
      <c r="W108" s="79"/>
      <c r="X108" s="79"/>
      <c r="Y108" s="79"/>
      <c r="Z108" s="79"/>
      <c r="AA108" s="79"/>
      <c r="AB108" s="79"/>
      <c r="AC108" s="79"/>
      <c r="AD108" s="79"/>
      <c r="AE108" s="79"/>
      <c r="AF108" s="79"/>
      <c r="AG108" s="79"/>
    </row>
    <row r="109" spans="1:33" ht="21.75" customHeight="1">
      <c r="A109" s="79"/>
      <c r="B109" s="119"/>
      <c r="C109" s="79"/>
      <c r="D109" s="79"/>
      <c r="E109" s="79"/>
      <c r="F109" s="119"/>
      <c r="G109" s="79"/>
      <c r="H109" s="79"/>
      <c r="I109" s="79"/>
      <c r="J109" s="79"/>
      <c r="K109" s="79"/>
      <c r="L109" s="79"/>
      <c r="M109" s="79"/>
      <c r="N109" s="79"/>
      <c r="O109" s="79"/>
      <c r="P109" s="79"/>
      <c r="Q109" s="79"/>
      <c r="R109" s="79"/>
      <c r="S109" s="79"/>
      <c r="T109" s="79"/>
      <c r="U109" s="79"/>
      <c r="V109" s="79"/>
      <c r="W109" s="79"/>
      <c r="X109" s="79"/>
      <c r="Y109" s="79"/>
      <c r="Z109" s="79"/>
      <c r="AA109" s="79"/>
      <c r="AB109" s="79"/>
      <c r="AC109" s="79"/>
      <c r="AD109" s="79"/>
      <c r="AE109" s="79"/>
      <c r="AF109" s="79"/>
      <c r="AG109" s="79"/>
    </row>
    <row r="110" spans="1:33" ht="21.75" customHeight="1">
      <c r="A110" s="79"/>
      <c r="B110" s="119"/>
      <c r="C110" s="79"/>
      <c r="D110" s="79"/>
      <c r="E110" s="79"/>
      <c r="F110" s="119"/>
      <c r="G110" s="79"/>
      <c r="H110" s="79"/>
      <c r="I110" s="79"/>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row>
    <row r="111" spans="1:33" ht="21.75" customHeight="1">
      <c r="A111" s="79"/>
      <c r="B111" s="119"/>
      <c r="C111" s="79"/>
      <c r="D111" s="79"/>
      <c r="E111" s="79"/>
      <c r="F111" s="119"/>
      <c r="G111" s="79"/>
      <c r="H111" s="79"/>
      <c r="I111" s="79"/>
      <c r="J111" s="79"/>
      <c r="K111" s="79"/>
      <c r="L111" s="79"/>
      <c r="M111" s="79"/>
      <c r="N111" s="79"/>
      <c r="O111" s="79"/>
      <c r="P111" s="79"/>
      <c r="Q111" s="79"/>
      <c r="R111" s="79"/>
      <c r="S111" s="79"/>
      <c r="T111" s="79"/>
      <c r="U111" s="79"/>
      <c r="V111" s="79"/>
      <c r="W111" s="79"/>
      <c r="X111" s="79"/>
      <c r="Y111" s="79"/>
      <c r="Z111" s="79"/>
      <c r="AA111" s="79"/>
      <c r="AB111" s="79"/>
      <c r="AC111" s="79"/>
      <c r="AD111" s="79"/>
      <c r="AE111" s="79"/>
      <c r="AF111" s="79"/>
      <c r="AG111" s="79"/>
    </row>
    <row r="112" spans="1:33" ht="21.75" customHeight="1">
      <c r="A112" s="79"/>
      <c r="B112" s="119"/>
      <c r="C112" s="79"/>
      <c r="D112" s="79"/>
      <c r="E112" s="79"/>
      <c r="F112" s="119"/>
      <c r="G112" s="79"/>
      <c r="H112" s="79"/>
      <c r="I112" s="79"/>
      <c r="J112" s="79"/>
      <c r="K112" s="79"/>
      <c r="L112" s="79"/>
      <c r="M112" s="79"/>
      <c r="N112" s="79"/>
      <c r="O112" s="79"/>
      <c r="P112" s="79"/>
      <c r="Q112" s="79"/>
      <c r="R112" s="79"/>
      <c r="S112" s="79"/>
      <c r="T112" s="79"/>
      <c r="U112" s="79"/>
      <c r="V112" s="79"/>
      <c r="W112" s="79"/>
      <c r="X112" s="79"/>
      <c r="Y112" s="79"/>
      <c r="Z112" s="79"/>
      <c r="AA112" s="79"/>
      <c r="AB112" s="79"/>
      <c r="AC112" s="79"/>
      <c r="AD112" s="79"/>
      <c r="AE112" s="79"/>
      <c r="AF112" s="79"/>
      <c r="AG112" s="79"/>
    </row>
    <row r="113" spans="1:33" ht="21.75" customHeight="1">
      <c r="A113" s="79"/>
      <c r="B113" s="119"/>
      <c r="C113" s="79"/>
      <c r="D113" s="79"/>
      <c r="E113" s="79"/>
      <c r="F113" s="119"/>
      <c r="G113" s="79"/>
      <c r="H113" s="79"/>
      <c r="I113" s="79"/>
      <c r="J113" s="79"/>
      <c r="K113" s="79"/>
      <c r="L113" s="79"/>
      <c r="M113" s="79"/>
      <c r="N113" s="79"/>
      <c r="O113" s="79"/>
      <c r="P113" s="79"/>
      <c r="Q113" s="79"/>
      <c r="R113" s="79"/>
      <c r="S113" s="79"/>
      <c r="T113" s="79"/>
      <c r="U113" s="79"/>
      <c r="V113" s="79"/>
      <c r="W113" s="79"/>
      <c r="X113" s="79"/>
      <c r="Y113" s="79"/>
      <c r="Z113" s="79"/>
      <c r="AA113" s="79"/>
      <c r="AB113" s="79"/>
      <c r="AC113" s="79"/>
      <c r="AD113" s="79"/>
      <c r="AE113" s="79"/>
      <c r="AF113" s="79"/>
      <c r="AG113" s="79"/>
    </row>
    <row r="114" spans="1:33" ht="21.75" customHeight="1">
      <c r="A114" s="79"/>
      <c r="B114" s="119"/>
      <c r="C114" s="79"/>
      <c r="D114" s="79"/>
      <c r="E114" s="79"/>
      <c r="F114" s="119"/>
      <c r="G114" s="79"/>
      <c r="H114" s="79"/>
      <c r="I114" s="79"/>
      <c r="J114" s="79"/>
      <c r="K114" s="79"/>
      <c r="L114" s="79"/>
      <c r="M114" s="79"/>
      <c r="N114" s="79"/>
      <c r="O114" s="79"/>
      <c r="P114" s="79"/>
      <c r="Q114" s="79"/>
      <c r="R114" s="79"/>
      <c r="S114" s="79"/>
      <c r="T114" s="79"/>
      <c r="U114" s="79"/>
      <c r="V114" s="79"/>
      <c r="W114" s="79"/>
      <c r="X114" s="79"/>
      <c r="Y114" s="79"/>
      <c r="Z114" s="79"/>
      <c r="AA114" s="79"/>
      <c r="AB114" s="79"/>
      <c r="AC114" s="79"/>
      <c r="AD114" s="79"/>
      <c r="AE114" s="79"/>
      <c r="AF114" s="79"/>
      <c r="AG114" s="79"/>
    </row>
    <row r="115" spans="1:33" ht="21.75" customHeight="1">
      <c r="A115" s="79"/>
      <c r="B115" s="119"/>
      <c r="C115" s="79"/>
      <c r="D115" s="79"/>
      <c r="E115" s="79"/>
      <c r="F115" s="119"/>
      <c r="G115" s="79"/>
      <c r="H115" s="79"/>
      <c r="I115" s="79"/>
      <c r="J115" s="79"/>
      <c r="K115" s="79"/>
      <c r="L115" s="79"/>
      <c r="M115" s="79"/>
      <c r="N115" s="79"/>
      <c r="O115" s="79"/>
      <c r="P115" s="79"/>
      <c r="Q115" s="79"/>
      <c r="R115" s="79"/>
      <c r="S115" s="79"/>
      <c r="T115" s="79"/>
      <c r="U115" s="79"/>
      <c r="V115" s="79"/>
      <c r="W115" s="79"/>
      <c r="X115" s="79"/>
      <c r="Y115" s="79"/>
      <c r="Z115" s="79"/>
      <c r="AA115" s="79"/>
      <c r="AB115" s="79"/>
      <c r="AC115" s="79"/>
      <c r="AD115" s="79"/>
      <c r="AE115" s="79"/>
      <c r="AF115" s="79"/>
      <c r="AG115" s="79"/>
    </row>
    <row r="116" spans="1:33" ht="21.75" customHeight="1">
      <c r="A116" s="79"/>
      <c r="B116" s="119"/>
      <c r="C116" s="79"/>
      <c r="D116" s="79"/>
      <c r="E116" s="79"/>
      <c r="F116" s="11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c r="AD116" s="79"/>
      <c r="AE116" s="79"/>
      <c r="AF116" s="79"/>
      <c r="AG116" s="79"/>
    </row>
    <row r="117" spans="1:33" ht="21.75" customHeight="1">
      <c r="A117" s="79"/>
      <c r="B117" s="119"/>
      <c r="C117" s="79"/>
      <c r="D117" s="79"/>
      <c r="E117" s="79"/>
      <c r="F117" s="11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c r="AD117" s="79"/>
      <c r="AE117" s="79"/>
      <c r="AF117" s="79"/>
      <c r="AG117" s="79"/>
    </row>
    <row r="118" spans="1:33" ht="21.75" customHeight="1">
      <c r="A118" s="79"/>
      <c r="B118" s="119"/>
      <c r="C118" s="79"/>
      <c r="D118" s="79"/>
      <c r="E118" s="79"/>
      <c r="F118" s="11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c r="AE118" s="79"/>
      <c r="AF118" s="79"/>
      <c r="AG118" s="79"/>
    </row>
    <row r="119" spans="1:33" ht="21.75" customHeight="1">
      <c r="A119" s="79"/>
      <c r="B119" s="119"/>
      <c r="C119" s="79"/>
      <c r="D119" s="79"/>
      <c r="E119" s="79"/>
      <c r="F119" s="11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c r="AE119" s="79"/>
      <c r="AF119" s="79"/>
      <c r="AG119" s="79"/>
    </row>
    <row r="120" spans="1:33" ht="21.75" customHeight="1">
      <c r="A120" s="79"/>
      <c r="B120" s="119"/>
      <c r="C120" s="79"/>
      <c r="D120" s="79"/>
      <c r="E120" s="79"/>
      <c r="F120" s="11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c r="AE120" s="79"/>
      <c r="AF120" s="79"/>
      <c r="AG120" s="79"/>
    </row>
    <row r="121" spans="1:33" ht="21.75" customHeight="1">
      <c r="A121" s="79"/>
      <c r="B121" s="119"/>
      <c r="C121" s="79"/>
      <c r="D121" s="79"/>
      <c r="E121" s="79"/>
      <c r="F121" s="11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c r="AE121" s="79"/>
      <c r="AF121" s="79"/>
      <c r="AG121" s="79"/>
    </row>
    <row r="122" spans="1:33" ht="21.75" customHeight="1">
      <c r="A122" s="79"/>
      <c r="B122" s="119"/>
      <c r="C122" s="79"/>
      <c r="D122" s="79"/>
      <c r="E122" s="79"/>
      <c r="F122" s="11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c r="AE122" s="79"/>
      <c r="AF122" s="79"/>
      <c r="AG122" s="79"/>
    </row>
    <row r="123" spans="1:33" ht="21.75" customHeight="1">
      <c r="A123" s="79"/>
      <c r="B123" s="119"/>
      <c r="C123" s="79"/>
      <c r="D123" s="79"/>
      <c r="E123" s="79"/>
      <c r="F123" s="11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row>
    <row r="124" spans="1:33" ht="21.75" customHeight="1">
      <c r="A124" s="79"/>
      <c r="B124" s="119"/>
      <c r="C124" s="79"/>
      <c r="D124" s="79"/>
      <c r="E124" s="79"/>
      <c r="F124" s="11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row>
    <row r="125" spans="1:33" ht="21.75" customHeight="1">
      <c r="A125" s="86"/>
      <c r="B125" s="120"/>
      <c r="C125" s="87"/>
      <c r="D125" s="86"/>
      <c r="E125" s="87"/>
      <c r="F125" s="120"/>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row>
    <row r="126" spans="1:33" ht="21.75" customHeight="1">
      <c r="A126" s="86"/>
      <c r="B126" s="120"/>
      <c r="C126" s="87"/>
      <c r="D126" s="86"/>
      <c r="E126" s="87"/>
      <c r="F126" s="120"/>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row>
    <row r="127" spans="1:33" ht="21.75" customHeight="1">
      <c r="A127" s="86"/>
      <c r="B127" s="120"/>
      <c r="C127" s="87"/>
      <c r="D127" s="86"/>
      <c r="E127" s="87"/>
      <c r="F127" s="120"/>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row>
    <row r="128" spans="1:33" ht="21.75" customHeight="1">
      <c r="A128" s="86"/>
      <c r="B128" s="120"/>
      <c r="C128" s="87"/>
      <c r="D128" s="86"/>
      <c r="E128" s="87"/>
      <c r="F128" s="120"/>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row>
    <row r="129" spans="1:33" ht="21.75" customHeight="1">
      <c r="A129" s="86"/>
      <c r="B129" s="120"/>
      <c r="C129" s="87"/>
      <c r="D129" s="86"/>
      <c r="E129" s="87"/>
      <c r="F129" s="120"/>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row>
    <row r="130" spans="1:33" ht="21.75" customHeight="1">
      <c r="A130" s="86"/>
      <c r="B130" s="120"/>
      <c r="C130" s="87"/>
      <c r="D130" s="86"/>
      <c r="E130" s="87"/>
      <c r="F130" s="120"/>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row>
    <row r="131" spans="1:33" ht="21.75" customHeight="1">
      <c r="A131" s="86"/>
      <c r="B131" s="120"/>
      <c r="C131" s="87"/>
      <c r="D131" s="86"/>
      <c r="E131" s="87"/>
      <c r="F131" s="120"/>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row>
    <row r="132" spans="1:33" ht="21.75" customHeight="1">
      <c r="A132" s="86"/>
      <c r="B132" s="120"/>
      <c r="C132" s="87"/>
      <c r="D132" s="86"/>
      <c r="E132" s="87"/>
      <c r="F132" s="120"/>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row>
    <row r="133" spans="1:33" ht="21.75" customHeight="1">
      <c r="A133" s="86"/>
      <c r="B133" s="120"/>
      <c r="C133" s="87"/>
      <c r="D133" s="86"/>
      <c r="E133" s="87"/>
      <c r="F133" s="120"/>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row>
    <row r="134" spans="1:33" ht="21.75" customHeight="1">
      <c r="A134" s="86"/>
      <c r="B134" s="120"/>
      <c r="C134" s="87"/>
      <c r="D134" s="86"/>
      <c r="E134" s="87"/>
      <c r="F134" s="120"/>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row>
    <row r="135" spans="1:33" ht="21.75" customHeight="1">
      <c r="A135" s="86"/>
      <c r="B135" s="120"/>
      <c r="C135" s="87"/>
      <c r="D135" s="86"/>
      <c r="E135" s="87"/>
      <c r="F135" s="120"/>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row>
    <row r="136" spans="1:33" ht="21.75" customHeight="1">
      <c r="A136" s="86"/>
      <c r="B136" s="120"/>
      <c r="C136" s="87"/>
      <c r="D136" s="86"/>
      <c r="E136" s="87"/>
      <c r="F136" s="120"/>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row>
    <row r="137" spans="1:33" ht="21.75" customHeight="1">
      <c r="A137" s="86"/>
      <c r="B137" s="120"/>
      <c r="C137" s="87"/>
      <c r="D137" s="86"/>
      <c r="E137" s="87"/>
      <c r="F137" s="120"/>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row>
    <row r="138" spans="1:33" ht="21.75" customHeight="1">
      <c r="A138" s="86"/>
      <c r="B138" s="120"/>
      <c r="C138" s="87"/>
      <c r="D138" s="86"/>
      <c r="E138" s="87"/>
      <c r="F138" s="120"/>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row>
    <row r="139" spans="1:33" ht="21.75" customHeight="1">
      <c r="A139" s="86"/>
      <c r="B139" s="120"/>
      <c r="C139" s="87"/>
      <c r="D139" s="86"/>
      <c r="E139" s="87"/>
      <c r="F139" s="120"/>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row>
    <row r="140" spans="1:33" ht="21.75" customHeight="1">
      <c r="A140" s="86"/>
      <c r="B140" s="120"/>
      <c r="C140" s="87"/>
      <c r="D140" s="86"/>
      <c r="E140" s="87"/>
      <c r="F140" s="120"/>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row>
    <row r="141" spans="1:33" ht="21.75" customHeight="1">
      <c r="A141" s="86"/>
      <c r="B141" s="120"/>
      <c r="C141" s="87"/>
      <c r="D141" s="86"/>
      <c r="E141" s="87"/>
      <c r="F141" s="120"/>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row>
    <row r="142" spans="1:33" ht="21.75" customHeight="1">
      <c r="A142" s="86"/>
      <c r="B142" s="120"/>
      <c r="C142" s="87"/>
      <c r="D142" s="86"/>
      <c r="E142" s="87"/>
      <c r="F142" s="120"/>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row>
    <row r="143" spans="1:33" ht="21.75" customHeight="1">
      <c r="A143" s="86"/>
      <c r="B143" s="120"/>
      <c r="C143" s="87"/>
      <c r="D143" s="86"/>
      <c r="E143" s="87"/>
      <c r="F143" s="120"/>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row>
    <row r="144" spans="1:33" ht="21.75" customHeight="1">
      <c r="A144" s="86"/>
      <c r="B144" s="120"/>
      <c r="C144" s="87"/>
      <c r="D144" s="86"/>
      <c r="E144" s="87"/>
      <c r="F144" s="120"/>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row>
    <row r="145" spans="1:33" ht="21.75" customHeight="1">
      <c r="A145" s="86"/>
      <c r="B145" s="120"/>
      <c r="C145" s="87"/>
      <c r="D145" s="86"/>
      <c r="E145" s="87"/>
      <c r="F145" s="120"/>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row>
    <row r="146" spans="1:33" ht="21.75" customHeight="1">
      <c r="A146" s="86"/>
      <c r="B146" s="120"/>
      <c r="C146" s="87"/>
      <c r="D146" s="86"/>
      <c r="E146" s="87"/>
      <c r="F146" s="120"/>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row>
    <row r="147" spans="1:33" ht="21.75" customHeight="1">
      <c r="A147" s="86"/>
      <c r="B147" s="120"/>
      <c r="C147" s="87"/>
      <c r="D147" s="86"/>
      <c r="E147" s="87"/>
      <c r="F147" s="120"/>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row>
    <row r="148" spans="1:33" ht="21.75" customHeight="1">
      <c r="A148" s="86"/>
      <c r="B148" s="120"/>
      <c r="C148" s="87"/>
      <c r="D148" s="86"/>
      <c r="E148" s="87"/>
      <c r="F148" s="120"/>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row>
    <row r="149" spans="1:33" ht="21.75" customHeight="1">
      <c r="A149" s="86"/>
      <c r="B149" s="120"/>
      <c r="C149" s="87"/>
      <c r="D149" s="86"/>
      <c r="E149" s="87"/>
      <c r="F149" s="120"/>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row>
    <row r="150" spans="1:33" ht="21.75" customHeight="1">
      <c r="A150" s="86"/>
      <c r="B150" s="120"/>
      <c r="C150" s="87"/>
      <c r="D150" s="86"/>
      <c r="E150" s="87"/>
      <c r="F150" s="120"/>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row>
    <row r="151" spans="1:33" ht="21.75" customHeight="1">
      <c r="A151" s="86"/>
      <c r="B151" s="120"/>
      <c r="C151" s="87"/>
      <c r="D151" s="86"/>
      <c r="E151" s="87"/>
      <c r="F151" s="120"/>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row>
    <row r="152" spans="1:33" ht="21.75" customHeight="1">
      <c r="A152" s="86"/>
      <c r="B152" s="120"/>
      <c r="C152" s="87"/>
      <c r="D152" s="86"/>
      <c r="E152" s="87"/>
      <c r="F152" s="120"/>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row>
    <row r="153" spans="1:33" ht="21.75" customHeight="1">
      <c r="A153" s="86"/>
      <c r="B153" s="120"/>
      <c r="C153" s="87"/>
      <c r="D153" s="86"/>
      <c r="E153" s="87"/>
      <c r="F153" s="120"/>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row>
    <row r="154" spans="1:33" ht="21.75" customHeight="1">
      <c r="A154" s="86"/>
      <c r="B154" s="120"/>
      <c r="C154" s="87"/>
      <c r="D154" s="86"/>
      <c r="E154" s="87"/>
      <c r="F154" s="120"/>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row>
    <row r="155" spans="1:33" ht="21.75" customHeight="1">
      <c r="A155" s="86"/>
      <c r="B155" s="120"/>
      <c r="C155" s="87"/>
      <c r="D155" s="86"/>
      <c r="E155" s="87"/>
      <c r="F155" s="120"/>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row>
    <row r="156" spans="1:33" ht="21.75" customHeight="1">
      <c r="A156" s="86"/>
      <c r="B156" s="120"/>
      <c r="C156" s="87"/>
      <c r="D156" s="86"/>
      <c r="E156" s="87"/>
      <c r="F156" s="120"/>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row>
    <row r="157" spans="1:33" ht="21.75" customHeight="1">
      <c r="A157" s="86"/>
      <c r="B157" s="120"/>
      <c r="C157" s="87"/>
      <c r="D157" s="86"/>
      <c r="E157" s="87"/>
      <c r="F157" s="120"/>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row>
    <row r="158" spans="1:33" ht="21.75" customHeight="1">
      <c r="A158" s="86"/>
      <c r="B158" s="120"/>
      <c r="C158" s="87"/>
      <c r="D158" s="86"/>
      <c r="E158" s="87"/>
      <c r="F158" s="120"/>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row>
    <row r="159" spans="1:33" ht="21.75" customHeight="1">
      <c r="A159" s="86"/>
      <c r="B159" s="120"/>
      <c r="C159" s="87"/>
      <c r="D159" s="86"/>
      <c r="E159" s="87"/>
      <c r="F159" s="120"/>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row>
    <row r="160" spans="1:33" ht="21.75" customHeight="1">
      <c r="A160" s="86"/>
      <c r="B160" s="120"/>
      <c r="C160" s="87"/>
      <c r="D160" s="86"/>
      <c r="E160" s="87"/>
      <c r="F160" s="120"/>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row>
    <row r="161" spans="1:33" ht="21.75" customHeight="1">
      <c r="A161" s="86"/>
      <c r="B161" s="120"/>
      <c r="C161" s="87"/>
      <c r="D161" s="86"/>
      <c r="E161" s="87"/>
      <c r="F161" s="120"/>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row>
    <row r="162" spans="1:33" ht="21.75" customHeight="1">
      <c r="A162" s="86"/>
      <c r="B162" s="120"/>
      <c r="C162" s="87"/>
      <c r="D162" s="86"/>
      <c r="E162" s="87"/>
      <c r="F162" s="120"/>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row>
    <row r="163" spans="1:33" ht="21.75" customHeight="1">
      <c r="A163" s="86"/>
      <c r="B163" s="120"/>
      <c r="C163" s="87"/>
      <c r="D163" s="86"/>
      <c r="E163" s="87"/>
      <c r="F163" s="120"/>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row>
    <row r="164" spans="1:33" ht="21.75" customHeight="1">
      <c r="A164" s="86"/>
      <c r="B164" s="120"/>
      <c r="C164" s="87"/>
      <c r="D164" s="86"/>
      <c r="E164" s="87"/>
      <c r="F164" s="120"/>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row>
    <row r="165" spans="1:33" ht="21.75" customHeight="1">
      <c r="A165" s="86"/>
      <c r="B165" s="120"/>
      <c r="C165" s="87"/>
      <c r="D165" s="86"/>
      <c r="E165" s="87"/>
      <c r="F165" s="120"/>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row>
    <row r="166" spans="1:33" ht="21.75" customHeight="1">
      <c r="A166" s="86"/>
      <c r="B166" s="120"/>
      <c r="C166" s="87"/>
      <c r="D166" s="86"/>
      <c r="E166" s="87"/>
      <c r="F166" s="120"/>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row>
    <row r="167" spans="1:33" ht="21.75" customHeight="1">
      <c r="A167" s="86"/>
      <c r="B167" s="120"/>
      <c r="C167" s="87"/>
      <c r="D167" s="86"/>
      <c r="E167" s="87"/>
      <c r="F167" s="120"/>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row>
    <row r="168" spans="1:33" ht="21.75" customHeight="1">
      <c r="A168" s="86"/>
      <c r="B168" s="120"/>
      <c r="C168" s="87"/>
      <c r="D168" s="86"/>
      <c r="E168" s="87"/>
      <c r="F168" s="120"/>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row>
    <row r="169" spans="1:33" ht="21.75" customHeight="1">
      <c r="A169" s="86"/>
      <c r="B169" s="120"/>
      <c r="C169" s="87"/>
      <c r="D169" s="86"/>
      <c r="E169" s="87"/>
      <c r="F169" s="120"/>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row>
    <row r="170" spans="1:33" ht="21.75" customHeight="1">
      <c r="A170" s="86"/>
      <c r="B170" s="120"/>
      <c r="C170" s="87"/>
      <c r="D170" s="86"/>
      <c r="E170" s="87"/>
      <c r="F170" s="120"/>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row>
    <row r="171" spans="1:33" ht="21.75" customHeight="1">
      <c r="A171" s="86"/>
      <c r="B171" s="120"/>
      <c r="C171" s="87"/>
      <c r="D171" s="86"/>
      <c r="E171" s="87"/>
      <c r="F171" s="120"/>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row>
    <row r="172" spans="1:33" ht="21.75" customHeight="1">
      <c r="A172" s="86"/>
      <c r="B172" s="120"/>
      <c r="C172" s="87"/>
      <c r="D172" s="86"/>
      <c r="E172" s="87"/>
      <c r="F172" s="120"/>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row>
    <row r="173" spans="1:33" ht="21.75" customHeight="1">
      <c r="A173" s="86"/>
      <c r="B173" s="120"/>
      <c r="C173" s="87"/>
      <c r="D173" s="86"/>
      <c r="E173" s="87"/>
      <c r="F173" s="120"/>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row>
    <row r="174" spans="1:33" ht="21.75" customHeight="1">
      <c r="A174" s="86"/>
      <c r="B174" s="120"/>
      <c r="C174" s="87"/>
      <c r="D174" s="86"/>
      <c r="E174" s="87"/>
      <c r="F174" s="120"/>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row>
    <row r="175" spans="1:33" ht="21.75" customHeight="1">
      <c r="A175" s="86"/>
      <c r="B175" s="120"/>
      <c r="C175" s="87"/>
      <c r="D175" s="86"/>
      <c r="E175" s="87"/>
      <c r="F175" s="120"/>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row>
    <row r="176" spans="1:33" ht="21.75" customHeight="1">
      <c r="A176" s="86"/>
      <c r="B176" s="120"/>
      <c r="C176" s="87"/>
      <c r="D176" s="86"/>
      <c r="E176" s="87"/>
      <c r="F176" s="120"/>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row>
    <row r="177" spans="1:33" ht="21.75" customHeight="1">
      <c r="A177" s="86"/>
      <c r="B177" s="120"/>
      <c r="C177" s="87"/>
      <c r="D177" s="86"/>
      <c r="E177" s="87"/>
      <c r="F177" s="120"/>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row>
    <row r="178" spans="1:33" ht="21.75" customHeight="1">
      <c r="A178" s="86"/>
      <c r="B178" s="120"/>
      <c r="C178" s="87"/>
      <c r="D178" s="86"/>
      <c r="E178" s="87"/>
      <c r="F178" s="120"/>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row>
    <row r="179" spans="1:33" ht="21.75" customHeight="1">
      <c r="A179" s="86"/>
      <c r="B179" s="120"/>
      <c r="C179" s="87"/>
      <c r="D179" s="86"/>
      <c r="E179" s="87"/>
      <c r="F179" s="120"/>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row>
    <row r="180" spans="1:33" ht="21.75" customHeight="1">
      <c r="A180" s="86"/>
      <c r="B180" s="120"/>
      <c r="C180" s="87"/>
      <c r="D180" s="86"/>
      <c r="E180" s="87"/>
      <c r="F180" s="120"/>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row>
    <row r="181" spans="1:33" ht="21.75" customHeight="1">
      <c r="A181" s="86"/>
      <c r="B181" s="120"/>
      <c r="C181" s="87"/>
      <c r="D181" s="86"/>
      <c r="E181" s="87"/>
      <c r="F181" s="120"/>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row>
    <row r="182" spans="1:33" ht="21.75" customHeight="1">
      <c r="A182" s="86"/>
      <c r="B182" s="120"/>
      <c r="C182" s="87"/>
      <c r="D182" s="86"/>
      <c r="E182" s="87"/>
      <c r="F182" s="120"/>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row>
    <row r="183" spans="1:33" ht="21.75" customHeight="1">
      <c r="A183" s="86"/>
      <c r="B183" s="120"/>
      <c r="C183" s="87"/>
      <c r="D183" s="86"/>
      <c r="E183" s="87"/>
      <c r="F183" s="120"/>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row>
    <row r="184" spans="1:33" ht="21.75" customHeight="1">
      <c r="A184" s="86"/>
      <c r="B184" s="120"/>
      <c r="C184" s="87"/>
      <c r="D184" s="86"/>
      <c r="E184" s="87"/>
      <c r="F184" s="120"/>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row>
    <row r="185" spans="1:33" ht="21.75" customHeight="1">
      <c r="A185" s="86"/>
      <c r="B185" s="120"/>
      <c r="C185" s="87"/>
      <c r="D185" s="86"/>
      <c r="E185" s="87"/>
      <c r="F185" s="120"/>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row>
    <row r="186" spans="1:33" ht="21.75" customHeight="1">
      <c r="A186" s="86"/>
      <c r="B186" s="120"/>
      <c r="C186" s="87"/>
      <c r="D186" s="86"/>
      <c r="E186" s="87"/>
      <c r="F186" s="120"/>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row>
    <row r="187" spans="1:33" ht="21.75" customHeight="1">
      <c r="A187" s="86"/>
      <c r="B187" s="120"/>
      <c r="C187" s="87"/>
      <c r="D187" s="86"/>
      <c r="E187" s="87"/>
      <c r="F187" s="120"/>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row>
    <row r="188" spans="1:33" ht="21.75" customHeight="1">
      <c r="A188" s="86"/>
      <c r="B188" s="120"/>
      <c r="C188" s="87"/>
      <c r="D188" s="86"/>
      <c r="E188" s="87"/>
      <c r="F188" s="120"/>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row>
    <row r="189" spans="1:33" ht="21.75" customHeight="1">
      <c r="A189" s="86"/>
      <c r="B189" s="120"/>
      <c r="C189" s="87"/>
      <c r="D189" s="86"/>
      <c r="E189" s="87"/>
      <c r="F189" s="120"/>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row>
    <row r="190" spans="1:33" ht="21.75" customHeight="1">
      <c r="A190" s="86"/>
      <c r="B190" s="120"/>
      <c r="C190" s="87"/>
      <c r="D190" s="86"/>
      <c r="E190" s="87"/>
      <c r="F190" s="120"/>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row>
    <row r="191" spans="1:33" ht="21.75" customHeight="1">
      <c r="A191" s="86"/>
      <c r="B191" s="120"/>
      <c r="C191" s="87"/>
      <c r="D191" s="86"/>
      <c r="E191" s="87"/>
      <c r="F191" s="120"/>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row>
    <row r="192" spans="1:33" ht="21.75" customHeight="1">
      <c r="A192" s="86"/>
      <c r="B192" s="120"/>
      <c r="C192" s="87"/>
      <c r="D192" s="86"/>
      <c r="E192" s="87"/>
      <c r="F192" s="120"/>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row>
    <row r="193" spans="1:33" ht="21.75" customHeight="1">
      <c r="A193" s="86"/>
      <c r="B193" s="120"/>
      <c r="C193" s="87"/>
      <c r="D193" s="86"/>
      <c r="E193" s="87"/>
      <c r="F193" s="120"/>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row>
    <row r="194" spans="1:33" ht="21.75" customHeight="1">
      <c r="A194" s="86"/>
      <c r="B194" s="120"/>
      <c r="C194" s="87"/>
      <c r="D194" s="86"/>
      <c r="E194" s="87"/>
      <c r="F194" s="120"/>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row>
    <row r="195" spans="1:33" ht="21.75" customHeight="1">
      <c r="A195" s="86"/>
      <c r="B195" s="120"/>
      <c r="C195" s="87"/>
      <c r="D195" s="86"/>
      <c r="E195" s="87"/>
      <c r="F195" s="120"/>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row>
    <row r="196" spans="1:33" ht="21.75" customHeight="1">
      <c r="A196" s="86"/>
      <c r="B196" s="120"/>
      <c r="C196" s="87"/>
      <c r="D196" s="86"/>
      <c r="E196" s="87"/>
      <c r="F196" s="120"/>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row>
    <row r="197" spans="1:33" ht="21.75" customHeight="1">
      <c r="A197" s="86"/>
      <c r="B197" s="120"/>
      <c r="C197" s="87"/>
      <c r="D197" s="86"/>
      <c r="E197" s="87"/>
      <c r="F197" s="120"/>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row>
    <row r="198" spans="1:33" ht="21.75" customHeight="1">
      <c r="A198" s="86"/>
      <c r="B198" s="120"/>
      <c r="C198" s="87"/>
      <c r="D198" s="86"/>
      <c r="E198" s="87"/>
      <c r="F198" s="120"/>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row>
    <row r="199" spans="1:33" ht="21.75" customHeight="1">
      <c r="A199" s="86"/>
      <c r="B199" s="120"/>
      <c r="C199" s="87"/>
      <c r="D199" s="86"/>
      <c r="E199" s="87"/>
      <c r="F199" s="120"/>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row>
    <row r="200" spans="1:33" ht="21.75" customHeight="1">
      <c r="A200" s="86"/>
      <c r="B200" s="120"/>
      <c r="C200" s="87"/>
      <c r="D200" s="86"/>
      <c r="E200" s="87"/>
      <c r="F200" s="120"/>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row>
    <row r="201" spans="1:33" ht="21.75" customHeight="1">
      <c r="A201" s="86"/>
      <c r="B201" s="120"/>
      <c r="C201" s="87"/>
      <c r="D201" s="86"/>
      <c r="E201" s="87"/>
      <c r="F201" s="120"/>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row>
    <row r="202" spans="1:33" ht="21.75" customHeight="1">
      <c r="A202" s="86"/>
      <c r="B202" s="120"/>
      <c r="C202" s="87"/>
      <c r="D202" s="86"/>
      <c r="E202" s="87"/>
      <c r="F202" s="120"/>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row>
    <row r="203" spans="1:33" ht="21.75" customHeight="1">
      <c r="A203" s="86"/>
      <c r="B203" s="120"/>
      <c r="C203" s="87"/>
      <c r="D203" s="86"/>
      <c r="E203" s="87"/>
      <c r="F203" s="120"/>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row>
    <row r="204" spans="1:33" ht="21.75" customHeight="1">
      <c r="A204" s="86"/>
      <c r="B204" s="120"/>
      <c r="C204" s="87"/>
      <c r="D204" s="86"/>
      <c r="E204" s="87"/>
      <c r="F204" s="120"/>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row>
    <row r="205" spans="1:33" ht="21.75" customHeight="1">
      <c r="A205" s="86"/>
      <c r="B205" s="120"/>
      <c r="C205" s="87"/>
      <c r="D205" s="86"/>
      <c r="E205" s="87"/>
      <c r="F205" s="120"/>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row>
    <row r="206" spans="1:33" ht="21.75" customHeight="1">
      <c r="A206" s="86"/>
      <c r="B206" s="120"/>
      <c r="C206" s="87"/>
      <c r="D206" s="86"/>
      <c r="E206" s="87"/>
      <c r="F206" s="120"/>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row>
    <row r="207" spans="1:33" ht="21.75" customHeight="1">
      <c r="A207" s="86"/>
      <c r="B207" s="120"/>
      <c r="C207" s="87"/>
      <c r="D207" s="86"/>
      <c r="E207" s="87"/>
      <c r="F207" s="120"/>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row>
    <row r="208" spans="1:33" ht="21.75" customHeight="1">
      <c r="A208" s="86"/>
      <c r="B208" s="120"/>
      <c r="C208" s="87"/>
      <c r="D208" s="86"/>
      <c r="E208" s="87"/>
      <c r="F208" s="120"/>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row>
    <row r="209" spans="1:33" ht="21.75" customHeight="1">
      <c r="A209" s="86"/>
      <c r="B209" s="120"/>
      <c r="C209" s="87"/>
      <c r="D209" s="86"/>
      <c r="E209" s="87"/>
      <c r="F209" s="120"/>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row>
    <row r="210" spans="1:33" ht="21.75" customHeight="1">
      <c r="A210" s="86"/>
      <c r="B210" s="120"/>
      <c r="C210" s="87"/>
      <c r="D210" s="86"/>
      <c r="E210" s="87"/>
      <c r="F210" s="120"/>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row>
    <row r="211" spans="1:33" ht="21.75" customHeight="1">
      <c r="A211" s="86"/>
      <c r="B211" s="120"/>
      <c r="C211" s="87"/>
      <c r="D211" s="86"/>
      <c r="E211" s="87"/>
      <c r="F211" s="120"/>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row>
    <row r="212" spans="1:33" ht="21.75" customHeight="1">
      <c r="A212" s="86"/>
      <c r="B212" s="120"/>
      <c r="C212" s="87"/>
      <c r="D212" s="86"/>
      <c r="E212" s="87"/>
      <c r="F212" s="120"/>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row>
    <row r="213" spans="1:33" ht="21.75" customHeight="1">
      <c r="A213" s="86"/>
      <c r="B213" s="120"/>
      <c r="C213" s="87"/>
      <c r="D213" s="86"/>
      <c r="E213" s="87"/>
      <c r="F213" s="120"/>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row>
    <row r="214" spans="1:33" ht="21.75" customHeight="1">
      <c r="A214" s="86"/>
      <c r="B214" s="120"/>
      <c r="C214" s="87"/>
      <c r="D214" s="86"/>
      <c r="E214" s="87"/>
      <c r="F214" s="120"/>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row>
    <row r="215" spans="1:33" ht="21.75" customHeight="1">
      <c r="A215" s="86"/>
      <c r="B215" s="120"/>
      <c r="C215" s="87"/>
      <c r="D215" s="86"/>
      <c r="E215" s="87"/>
      <c r="F215" s="120"/>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row>
    <row r="216" spans="1:33" ht="21.75" customHeight="1">
      <c r="A216" s="86"/>
      <c r="B216" s="120"/>
      <c r="C216" s="87"/>
      <c r="D216" s="86"/>
      <c r="E216" s="87"/>
      <c r="F216" s="120"/>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row>
    <row r="217" spans="1:33" ht="21.75" customHeight="1">
      <c r="A217" s="86"/>
      <c r="B217" s="120"/>
      <c r="C217" s="87"/>
      <c r="D217" s="86"/>
      <c r="E217" s="87"/>
      <c r="F217" s="120"/>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row>
    <row r="218" spans="1:33" ht="21.75" customHeight="1">
      <c r="A218" s="86"/>
      <c r="B218" s="120"/>
      <c r="C218" s="87"/>
      <c r="D218" s="86"/>
      <c r="E218" s="87"/>
      <c r="F218" s="120"/>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row>
    <row r="219" spans="1:33" ht="21.75" customHeight="1">
      <c r="A219" s="86"/>
      <c r="B219" s="120"/>
      <c r="C219" s="87"/>
      <c r="D219" s="86"/>
      <c r="E219" s="87"/>
      <c r="F219" s="120"/>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row>
    <row r="220" spans="1:33" ht="21.75" customHeight="1">
      <c r="A220" s="86"/>
      <c r="B220" s="120"/>
      <c r="C220" s="87"/>
      <c r="D220" s="86"/>
      <c r="E220" s="87"/>
      <c r="F220" s="120"/>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row>
    <row r="221" spans="1:33" ht="21.75" customHeight="1">
      <c r="A221" s="86"/>
      <c r="B221" s="120"/>
      <c r="C221" s="87"/>
      <c r="D221" s="86"/>
      <c r="E221" s="87"/>
      <c r="F221" s="120"/>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row>
    <row r="222" spans="1:33" ht="21.75" customHeight="1">
      <c r="A222" s="86"/>
      <c r="B222" s="120"/>
      <c r="C222" s="87"/>
      <c r="D222" s="86"/>
      <c r="E222" s="87"/>
      <c r="F222" s="120"/>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row>
    <row r="223" spans="1:33" ht="21.75" customHeight="1">
      <c r="A223" s="86"/>
      <c r="B223" s="120"/>
      <c r="C223" s="87"/>
      <c r="D223" s="86"/>
      <c r="E223" s="87"/>
      <c r="F223" s="120"/>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row>
    <row r="224" spans="1:33" ht="21.75" customHeight="1">
      <c r="A224" s="86"/>
      <c r="B224" s="120"/>
      <c r="C224" s="87"/>
      <c r="D224" s="86"/>
      <c r="E224" s="87"/>
      <c r="F224" s="120"/>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row>
    <row r="225" spans="1:33" ht="21.75" customHeight="1">
      <c r="A225" s="86"/>
      <c r="B225" s="120"/>
      <c r="C225" s="87"/>
      <c r="D225" s="86"/>
      <c r="E225" s="87"/>
      <c r="F225" s="120"/>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row>
    <row r="226" spans="1:33" ht="21.75" customHeight="1">
      <c r="A226" s="86"/>
      <c r="B226" s="120"/>
      <c r="C226" s="87"/>
      <c r="D226" s="86"/>
      <c r="E226" s="87"/>
      <c r="F226" s="120"/>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row>
    <row r="227" spans="1:33" ht="21.75" customHeight="1">
      <c r="A227" s="86"/>
      <c r="B227" s="120"/>
      <c r="C227" s="87"/>
      <c r="D227" s="86"/>
      <c r="E227" s="87"/>
      <c r="F227" s="120"/>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row>
    <row r="228" spans="1:33" ht="21.75" customHeight="1">
      <c r="A228" s="86"/>
      <c r="B228" s="120"/>
      <c r="C228" s="87"/>
      <c r="D228" s="86"/>
      <c r="E228" s="87"/>
      <c r="F228" s="120"/>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row>
    <row r="229" spans="1:33" ht="21.75" customHeight="1">
      <c r="A229" s="86"/>
      <c r="B229" s="120"/>
      <c r="C229" s="87"/>
      <c r="D229" s="86"/>
      <c r="E229" s="87"/>
      <c r="F229" s="120"/>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row>
    <row r="230" spans="1:33" ht="21.75" customHeight="1">
      <c r="A230" s="86"/>
      <c r="B230" s="120"/>
      <c r="C230" s="87"/>
      <c r="D230" s="86"/>
      <c r="E230" s="87"/>
      <c r="F230" s="120"/>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row>
    <row r="231" spans="1:33" ht="21.75" customHeight="1">
      <c r="A231" s="86"/>
      <c r="B231" s="120"/>
      <c r="C231" s="87"/>
      <c r="D231" s="86"/>
      <c r="E231" s="87"/>
      <c r="F231" s="120"/>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row>
    <row r="232" spans="1:33" ht="21.75" customHeight="1">
      <c r="A232" s="86"/>
      <c r="B232" s="120"/>
      <c r="C232" s="87"/>
      <c r="D232" s="86"/>
      <c r="E232" s="87"/>
      <c r="F232" s="120"/>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row>
    <row r="233" spans="1:33" ht="21.75" customHeight="1">
      <c r="A233" s="86"/>
      <c r="B233" s="120"/>
      <c r="C233" s="87"/>
      <c r="D233" s="86"/>
      <c r="E233" s="87"/>
      <c r="F233" s="120"/>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row>
    <row r="234" spans="1:33" ht="21.75" customHeight="1">
      <c r="A234" s="86"/>
      <c r="B234" s="120"/>
      <c r="C234" s="87"/>
      <c r="D234" s="86"/>
      <c r="E234" s="87"/>
      <c r="F234" s="120"/>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row>
    <row r="235" spans="1:33" ht="21.75" customHeight="1">
      <c r="A235" s="86"/>
      <c r="B235" s="120"/>
      <c r="C235" s="87"/>
      <c r="D235" s="86"/>
      <c r="E235" s="87"/>
      <c r="F235" s="120"/>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row>
    <row r="236" spans="1:33" ht="21.75" customHeight="1">
      <c r="A236" s="86"/>
      <c r="B236" s="120"/>
      <c r="C236" s="87"/>
      <c r="D236" s="86"/>
      <c r="E236" s="87"/>
      <c r="F236" s="120"/>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row>
    <row r="237" spans="1:33" ht="21.75" customHeight="1">
      <c r="A237" s="86"/>
      <c r="B237" s="120"/>
      <c r="C237" s="87"/>
      <c r="D237" s="86"/>
      <c r="E237" s="87"/>
      <c r="F237" s="120"/>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row>
    <row r="238" spans="1:33" ht="21.75" customHeight="1">
      <c r="A238" s="86"/>
      <c r="B238" s="120"/>
      <c r="C238" s="87"/>
      <c r="D238" s="86"/>
      <c r="E238" s="87"/>
      <c r="F238" s="120"/>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row>
    <row r="239" spans="1:33" ht="21.75" customHeight="1">
      <c r="A239" s="86"/>
      <c r="B239" s="120"/>
      <c r="C239" s="87"/>
      <c r="D239" s="86"/>
      <c r="E239" s="87"/>
      <c r="F239" s="120"/>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row>
    <row r="240" spans="1:33" ht="21.75" customHeight="1">
      <c r="A240" s="86"/>
      <c r="B240" s="120"/>
      <c r="C240" s="87"/>
      <c r="D240" s="86"/>
      <c r="E240" s="87"/>
      <c r="F240" s="120"/>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row>
    <row r="241" spans="1:33" ht="21.75" customHeight="1">
      <c r="A241" s="86"/>
      <c r="B241" s="120"/>
      <c r="C241" s="87"/>
      <c r="D241" s="86"/>
      <c r="E241" s="87"/>
      <c r="F241" s="120"/>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row>
    <row r="242" spans="1:33" ht="21.75" customHeight="1">
      <c r="A242" s="86"/>
      <c r="B242" s="120"/>
      <c r="C242" s="87"/>
      <c r="D242" s="86"/>
      <c r="E242" s="87"/>
      <c r="F242" s="120"/>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row>
    <row r="243" spans="1:33" ht="21.75" customHeight="1">
      <c r="A243" s="86"/>
      <c r="B243" s="120"/>
      <c r="C243" s="87"/>
      <c r="D243" s="86"/>
      <c r="E243" s="87"/>
      <c r="F243" s="120"/>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row>
    <row r="244" spans="1:33" ht="21.75" customHeight="1">
      <c r="A244" s="86"/>
      <c r="B244" s="120"/>
      <c r="C244" s="87"/>
      <c r="D244" s="86"/>
      <c r="E244" s="87"/>
      <c r="F244" s="120"/>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row>
    <row r="245" spans="1:33" ht="21.75" customHeight="1">
      <c r="A245" s="86"/>
      <c r="B245" s="120"/>
      <c r="C245" s="87"/>
      <c r="D245" s="86"/>
      <c r="E245" s="87"/>
      <c r="F245" s="120"/>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row>
    <row r="246" spans="1:33" ht="21.75" customHeight="1">
      <c r="A246" s="86"/>
      <c r="B246" s="120"/>
      <c r="C246" s="87"/>
      <c r="D246" s="86"/>
      <c r="E246" s="87"/>
      <c r="F246" s="120"/>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row>
    <row r="247" spans="1:33" ht="21.75" customHeight="1">
      <c r="A247" s="86"/>
      <c r="B247" s="120"/>
      <c r="C247" s="87"/>
      <c r="D247" s="86"/>
      <c r="E247" s="87"/>
      <c r="F247" s="120"/>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row>
    <row r="248" spans="1:33" ht="21.75" customHeight="1">
      <c r="A248" s="86"/>
      <c r="B248" s="120"/>
      <c r="C248" s="87"/>
      <c r="D248" s="86"/>
      <c r="E248" s="87"/>
      <c r="F248" s="120"/>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row>
    <row r="249" spans="1:33" ht="21.75" customHeight="1">
      <c r="A249" s="86"/>
      <c r="B249" s="120"/>
      <c r="C249" s="87"/>
      <c r="D249" s="86"/>
      <c r="E249" s="87"/>
      <c r="F249" s="120"/>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row>
    <row r="250" spans="1:33" ht="21.75" customHeight="1">
      <c r="A250" s="86"/>
      <c r="B250" s="120"/>
      <c r="C250" s="87"/>
      <c r="D250" s="86"/>
      <c r="E250" s="87"/>
      <c r="F250" s="120"/>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row>
    <row r="251" spans="1:33" ht="21.75" customHeight="1">
      <c r="A251" s="86"/>
      <c r="B251" s="120"/>
      <c r="C251" s="87"/>
      <c r="D251" s="86"/>
      <c r="E251" s="87"/>
      <c r="F251" s="120"/>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row>
    <row r="252" spans="1:33" ht="21.75" customHeight="1">
      <c r="A252" s="86"/>
      <c r="B252" s="120"/>
      <c r="C252" s="87"/>
      <c r="D252" s="86"/>
      <c r="E252" s="87"/>
      <c r="F252" s="120"/>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row>
    <row r="253" spans="1:33" ht="21.75" customHeight="1">
      <c r="A253" s="86"/>
      <c r="B253" s="120"/>
      <c r="C253" s="87"/>
      <c r="D253" s="86"/>
      <c r="E253" s="87"/>
      <c r="F253" s="120"/>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row>
    <row r="254" spans="1:33" ht="21.75" customHeight="1">
      <c r="A254" s="86"/>
      <c r="B254" s="120"/>
      <c r="C254" s="87"/>
      <c r="D254" s="86"/>
      <c r="E254" s="87"/>
      <c r="F254" s="120"/>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row>
    <row r="255" spans="1:33" ht="21.75" customHeight="1">
      <c r="A255" s="86"/>
      <c r="B255" s="120"/>
      <c r="C255" s="87"/>
      <c r="D255" s="86"/>
      <c r="E255" s="87"/>
      <c r="F255" s="120"/>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row>
    <row r="256" spans="1:33" ht="21.75" customHeight="1">
      <c r="A256" s="86"/>
      <c r="B256" s="120"/>
      <c r="C256" s="87"/>
      <c r="D256" s="86"/>
      <c r="E256" s="87"/>
      <c r="F256" s="120"/>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row>
    <row r="257" spans="1:33" ht="21.75" customHeight="1">
      <c r="A257" s="86"/>
      <c r="B257" s="120"/>
      <c r="C257" s="87"/>
      <c r="D257" s="86"/>
      <c r="E257" s="87"/>
      <c r="F257" s="120"/>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row>
    <row r="258" spans="1:33" ht="21.75" customHeight="1">
      <c r="A258" s="86"/>
      <c r="B258" s="120"/>
      <c r="C258" s="87"/>
      <c r="D258" s="86"/>
      <c r="E258" s="87"/>
      <c r="F258" s="120"/>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row>
    <row r="259" spans="1:33" ht="21.75" customHeight="1">
      <c r="A259" s="86"/>
      <c r="B259" s="120"/>
      <c r="C259" s="87"/>
      <c r="D259" s="86"/>
      <c r="E259" s="87"/>
      <c r="F259" s="120"/>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row>
    <row r="260" spans="1:33" ht="21.75" customHeight="1">
      <c r="A260" s="86"/>
      <c r="B260" s="120"/>
      <c r="C260" s="87"/>
      <c r="D260" s="86"/>
      <c r="E260" s="87"/>
      <c r="F260" s="120"/>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row>
    <row r="261" spans="1:33" ht="21.75" customHeight="1">
      <c r="A261" s="86"/>
      <c r="B261" s="120"/>
      <c r="C261" s="87"/>
      <c r="D261" s="86"/>
      <c r="E261" s="87"/>
      <c r="F261" s="120"/>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row>
    <row r="262" spans="1:33" ht="21.75" customHeight="1">
      <c r="A262" s="86"/>
      <c r="B262" s="120"/>
      <c r="C262" s="87"/>
      <c r="D262" s="86"/>
      <c r="E262" s="87"/>
      <c r="F262" s="120"/>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row>
    <row r="263" spans="1:33" ht="21.75" customHeight="1">
      <c r="A263" s="86"/>
      <c r="B263" s="120"/>
      <c r="C263" s="87"/>
      <c r="D263" s="86"/>
      <c r="E263" s="87"/>
      <c r="F263" s="120"/>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row>
    <row r="264" spans="1:33" ht="21.75" customHeight="1">
      <c r="A264" s="86"/>
      <c r="B264" s="120"/>
      <c r="C264" s="87"/>
      <c r="D264" s="86"/>
      <c r="E264" s="87"/>
      <c r="F264" s="120"/>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row>
    <row r="265" spans="1:33" ht="21.75" customHeight="1">
      <c r="A265" s="86"/>
      <c r="B265" s="120"/>
      <c r="C265" s="87"/>
      <c r="D265" s="86"/>
      <c r="E265" s="87"/>
      <c r="F265" s="120"/>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row>
    <row r="266" spans="1:33" ht="21.75" customHeight="1">
      <c r="A266" s="86"/>
      <c r="B266" s="120"/>
      <c r="C266" s="87"/>
      <c r="D266" s="86"/>
      <c r="E266" s="87"/>
      <c r="F266" s="120"/>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row>
    <row r="267" spans="1:33" ht="21.75" customHeight="1">
      <c r="A267" s="86"/>
      <c r="B267" s="120"/>
      <c r="C267" s="87"/>
      <c r="D267" s="86"/>
      <c r="E267" s="87"/>
      <c r="F267" s="120"/>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row>
    <row r="268" spans="1:33" ht="21.75" customHeight="1">
      <c r="A268" s="86"/>
      <c r="B268" s="120"/>
      <c r="C268" s="87"/>
      <c r="D268" s="86"/>
      <c r="E268" s="87"/>
      <c r="F268" s="120"/>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row>
    <row r="269" spans="1:33" ht="21.75" customHeight="1">
      <c r="A269" s="86"/>
      <c r="B269" s="120"/>
      <c r="C269" s="87"/>
      <c r="D269" s="86"/>
      <c r="E269" s="87"/>
      <c r="F269" s="120"/>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row>
    <row r="270" spans="1:33" ht="21.75" customHeight="1">
      <c r="A270" s="86"/>
      <c r="B270" s="120"/>
      <c r="C270" s="87"/>
      <c r="D270" s="86"/>
      <c r="E270" s="87"/>
      <c r="F270" s="120"/>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row>
    <row r="271" spans="1:33" ht="21.75" customHeight="1">
      <c r="A271" s="86"/>
      <c r="B271" s="120"/>
      <c r="C271" s="87"/>
      <c r="D271" s="86"/>
      <c r="E271" s="87"/>
      <c r="F271" s="120"/>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row>
    <row r="272" spans="1:33" ht="21.75" customHeight="1">
      <c r="A272" s="86"/>
      <c r="B272" s="120"/>
      <c r="C272" s="87"/>
      <c r="D272" s="86"/>
      <c r="E272" s="87"/>
      <c r="F272" s="120"/>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row>
    <row r="273" spans="1:33" ht="21.75" customHeight="1">
      <c r="A273" s="86"/>
      <c r="B273" s="120"/>
      <c r="C273" s="87"/>
      <c r="D273" s="86"/>
      <c r="E273" s="87"/>
      <c r="F273" s="120"/>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row>
    <row r="274" spans="1:33" ht="21.75" customHeight="1">
      <c r="A274" s="86"/>
      <c r="B274" s="120"/>
      <c r="C274" s="87"/>
      <c r="D274" s="86"/>
      <c r="E274" s="87"/>
      <c r="F274" s="120"/>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row>
    <row r="275" spans="1:33" ht="21.75" customHeight="1">
      <c r="A275" s="86"/>
      <c r="B275" s="120"/>
      <c r="C275" s="87"/>
      <c r="D275" s="86"/>
      <c r="E275" s="87"/>
      <c r="F275" s="120"/>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row>
    <row r="276" spans="1:33" ht="21.75" customHeight="1">
      <c r="A276" s="86"/>
      <c r="B276" s="120"/>
      <c r="C276" s="87"/>
      <c r="D276" s="86"/>
      <c r="E276" s="87"/>
      <c r="F276" s="120"/>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row>
    <row r="277" spans="1:33" ht="21.75" customHeight="1">
      <c r="A277" s="86"/>
      <c r="B277" s="120"/>
      <c r="C277" s="87"/>
      <c r="D277" s="86"/>
      <c r="E277" s="87"/>
      <c r="F277" s="120"/>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row>
    <row r="278" spans="1:33" ht="21.75" customHeight="1">
      <c r="A278" s="86"/>
      <c r="B278" s="120"/>
      <c r="C278" s="87"/>
      <c r="D278" s="86"/>
      <c r="E278" s="87"/>
      <c r="F278" s="120"/>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row>
    <row r="279" spans="1:33" ht="21.75" customHeight="1">
      <c r="A279" s="86"/>
      <c r="B279" s="120"/>
      <c r="C279" s="87"/>
      <c r="D279" s="86"/>
      <c r="E279" s="87"/>
      <c r="F279" s="120"/>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row>
    <row r="280" spans="1:33" ht="21.75" customHeight="1">
      <c r="A280" s="86"/>
      <c r="B280" s="120"/>
      <c r="C280" s="87"/>
      <c r="D280" s="86"/>
      <c r="E280" s="87"/>
      <c r="F280" s="120"/>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row>
    <row r="281" spans="1:33" ht="21.75" customHeight="1">
      <c r="A281" s="86"/>
      <c r="B281" s="120"/>
      <c r="C281" s="87"/>
      <c r="D281" s="86"/>
      <c r="E281" s="87"/>
      <c r="F281" s="120"/>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row>
    <row r="282" spans="1:33" ht="21.75" customHeight="1">
      <c r="A282" s="86"/>
      <c r="B282" s="120"/>
      <c r="C282" s="87"/>
      <c r="D282" s="86"/>
      <c r="E282" s="87"/>
      <c r="F282" s="120"/>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row>
    <row r="283" spans="1:33" ht="21.75" customHeight="1">
      <c r="A283" s="86"/>
      <c r="B283" s="120"/>
      <c r="C283" s="87"/>
      <c r="D283" s="86"/>
      <c r="E283" s="87"/>
      <c r="F283" s="120"/>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row>
    <row r="284" spans="1:33" ht="21.75" customHeight="1">
      <c r="A284" s="86"/>
      <c r="B284" s="120"/>
      <c r="C284" s="87"/>
      <c r="D284" s="86"/>
      <c r="E284" s="87"/>
      <c r="F284" s="120"/>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row>
    <row r="285" spans="1:33" ht="21.75" customHeight="1">
      <c r="A285" s="86"/>
      <c r="B285" s="120"/>
      <c r="C285" s="87"/>
      <c r="D285" s="86"/>
      <c r="E285" s="87"/>
      <c r="F285" s="120"/>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row>
    <row r="286" spans="1:33" ht="21.75" customHeight="1">
      <c r="A286" s="86"/>
      <c r="B286" s="120"/>
      <c r="C286" s="87"/>
      <c r="D286" s="86"/>
      <c r="E286" s="87"/>
      <c r="F286" s="120"/>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row>
    <row r="287" spans="1:33" ht="21.75" customHeight="1">
      <c r="A287" s="86"/>
      <c r="B287" s="120"/>
      <c r="C287" s="87"/>
      <c r="D287" s="86"/>
      <c r="E287" s="87"/>
      <c r="F287" s="120"/>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row>
    <row r="288" spans="1:33" ht="21.75" customHeight="1">
      <c r="A288" s="86"/>
      <c r="B288" s="120"/>
      <c r="C288" s="87"/>
      <c r="D288" s="86"/>
      <c r="E288" s="87"/>
      <c r="F288" s="120"/>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row>
    <row r="289" spans="1:33" ht="21.75" customHeight="1">
      <c r="A289" s="86"/>
      <c r="B289" s="120"/>
      <c r="C289" s="87"/>
      <c r="D289" s="86"/>
      <c r="E289" s="87"/>
      <c r="F289" s="120"/>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row>
    <row r="290" spans="1:33" ht="21.75" customHeight="1">
      <c r="A290" s="86"/>
      <c r="B290" s="120"/>
      <c r="C290" s="87"/>
      <c r="D290" s="86"/>
      <c r="E290" s="87"/>
      <c r="F290" s="120"/>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row>
    <row r="291" spans="1:33" ht="21.75" customHeight="1">
      <c r="A291" s="86"/>
      <c r="B291" s="120"/>
      <c r="C291" s="87"/>
      <c r="D291" s="86"/>
      <c r="E291" s="87"/>
      <c r="F291" s="120"/>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row>
    <row r="292" spans="1:33" ht="21.75" customHeight="1">
      <c r="A292" s="86"/>
      <c r="B292" s="120"/>
      <c r="C292" s="87"/>
      <c r="D292" s="86"/>
      <c r="E292" s="87"/>
      <c r="F292" s="120"/>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row>
    <row r="293" spans="1:33" ht="21.75" customHeight="1">
      <c r="A293" s="86"/>
      <c r="B293" s="120"/>
      <c r="C293" s="87"/>
      <c r="D293" s="86"/>
      <c r="E293" s="87"/>
      <c r="F293" s="120"/>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row>
    <row r="294" spans="1:33" ht="21.75" customHeight="1">
      <c r="A294" s="86"/>
      <c r="B294" s="120"/>
      <c r="C294" s="87"/>
      <c r="D294" s="86"/>
      <c r="E294" s="87"/>
      <c r="F294" s="120"/>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row>
    <row r="295" spans="1:33" ht="21.75" customHeight="1">
      <c r="A295" s="86"/>
      <c r="B295" s="120"/>
      <c r="C295" s="87"/>
      <c r="D295" s="86"/>
      <c r="E295" s="87"/>
      <c r="F295" s="120"/>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row>
    <row r="296" spans="1:33" ht="21.75" customHeight="1">
      <c r="A296" s="86"/>
      <c r="B296" s="120"/>
      <c r="C296" s="87"/>
      <c r="D296" s="86"/>
      <c r="E296" s="87"/>
      <c r="F296" s="120"/>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row>
    <row r="297" spans="1:33" ht="21.75" customHeight="1">
      <c r="A297" s="86"/>
      <c r="B297" s="120"/>
      <c r="C297" s="87"/>
      <c r="D297" s="86"/>
      <c r="E297" s="87"/>
      <c r="F297" s="120"/>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row>
    <row r="298" spans="1:33" ht="21.75" customHeight="1">
      <c r="A298" s="86"/>
      <c r="B298" s="120"/>
      <c r="C298" s="87"/>
      <c r="D298" s="86"/>
      <c r="E298" s="87"/>
      <c r="F298" s="120"/>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row>
    <row r="299" spans="1:33" ht="21.75" customHeight="1">
      <c r="A299" s="86"/>
      <c r="B299" s="120"/>
      <c r="C299" s="87"/>
      <c r="D299" s="86"/>
      <c r="E299" s="87"/>
      <c r="F299" s="120"/>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row>
    <row r="300" spans="1:33" ht="21.75" customHeight="1">
      <c r="A300" s="86"/>
      <c r="B300" s="120"/>
      <c r="C300" s="87"/>
      <c r="D300" s="86"/>
      <c r="E300" s="87"/>
      <c r="F300" s="120"/>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row>
    <row r="301" spans="1:33" ht="21.75" customHeight="1">
      <c r="A301" s="86"/>
      <c r="B301" s="120"/>
      <c r="C301" s="87"/>
      <c r="D301" s="86"/>
      <c r="E301" s="87"/>
      <c r="F301" s="120"/>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row>
    <row r="302" spans="1:33" ht="21.75" customHeight="1">
      <c r="A302" s="86"/>
      <c r="B302" s="120"/>
      <c r="C302" s="87"/>
      <c r="D302" s="86"/>
      <c r="E302" s="87"/>
      <c r="F302" s="120"/>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row>
    <row r="303" spans="1:33" ht="21.75" customHeight="1">
      <c r="A303" s="86"/>
      <c r="B303" s="120"/>
      <c r="C303" s="87"/>
      <c r="D303" s="86"/>
      <c r="E303" s="87"/>
      <c r="F303" s="120"/>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row>
    <row r="304" spans="1:33" ht="21.75" customHeight="1">
      <c r="A304" s="86"/>
      <c r="B304" s="120"/>
      <c r="C304" s="87"/>
      <c r="D304" s="86"/>
      <c r="E304" s="87"/>
      <c r="F304" s="120"/>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row>
    <row r="305" spans="1:33" ht="21.75" customHeight="1">
      <c r="A305" s="86"/>
      <c r="B305" s="120"/>
      <c r="C305" s="87"/>
      <c r="D305" s="86"/>
      <c r="E305" s="87"/>
      <c r="F305" s="120"/>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row>
    <row r="306" spans="1:33" ht="21.75" customHeight="1">
      <c r="A306" s="86"/>
      <c r="B306" s="120"/>
      <c r="C306" s="87"/>
      <c r="D306" s="86"/>
      <c r="E306" s="87"/>
      <c r="F306" s="120"/>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row>
    <row r="307" spans="1:33" ht="21.75" customHeight="1">
      <c r="A307" s="86"/>
      <c r="B307" s="120"/>
      <c r="C307" s="87"/>
      <c r="D307" s="86"/>
      <c r="E307" s="87"/>
      <c r="F307" s="120"/>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row>
    <row r="308" spans="1:33" ht="21.75" customHeight="1">
      <c r="A308" s="86"/>
      <c r="B308" s="120"/>
      <c r="C308" s="87"/>
      <c r="D308" s="86"/>
      <c r="E308" s="87"/>
      <c r="F308" s="120"/>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row>
    <row r="309" spans="1:33" ht="21.75" customHeight="1">
      <c r="A309" s="86"/>
      <c r="B309" s="120"/>
      <c r="C309" s="87"/>
      <c r="D309" s="86"/>
      <c r="E309" s="87"/>
      <c r="F309" s="120"/>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row>
    <row r="310" spans="1:33" ht="21.75" customHeight="1">
      <c r="A310" s="86"/>
      <c r="B310" s="120"/>
      <c r="C310" s="87"/>
      <c r="D310" s="86"/>
      <c r="E310" s="87"/>
      <c r="F310" s="120"/>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row>
    <row r="311" spans="1:33" ht="21.75" customHeight="1">
      <c r="A311" s="86"/>
      <c r="B311" s="120"/>
      <c r="C311" s="87"/>
      <c r="D311" s="86"/>
      <c r="E311" s="87"/>
      <c r="F311" s="120"/>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row>
    <row r="312" spans="1:33" ht="21.75" customHeight="1">
      <c r="A312" s="86"/>
      <c r="B312" s="120"/>
      <c r="C312" s="87"/>
      <c r="D312" s="86"/>
      <c r="E312" s="87"/>
      <c r="F312" s="120"/>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row>
    <row r="313" spans="1:33" ht="21.75" customHeight="1">
      <c r="A313" s="86"/>
      <c r="B313" s="120"/>
      <c r="C313" s="87"/>
      <c r="D313" s="86"/>
      <c r="E313" s="87"/>
      <c r="F313" s="120"/>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row>
    <row r="314" spans="1:33" ht="21.75" customHeight="1">
      <c r="A314" s="86"/>
      <c r="B314" s="120"/>
      <c r="C314" s="87"/>
      <c r="D314" s="86"/>
      <c r="E314" s="87"/>
      <c r="F314" s="120"/>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row>
    <row r="315" spans="1:33" ht="21.75" customHeight="1">
      <c r="A315" s="86"/>
      <c r="B315" s="120"/>
      <c r="C315" s="87"/>
      <c r="D315" s="86"/>
      <c r="E315" s="87"/>
      <c r="F315" s="120"/>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row>
    <row r="316" spans="1:33" ht="21.75" customHeight="1">
      <c r="A316" s="86"/>
      <c r="B316" s="120"/>
      <c r="C316" s="87"/>
      <c r="D316" s="86"/>
      <c r="E316" s="87"/>
      <c r="F316" s="120"/>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row>
    <row r="317" spans="1:33" ht="21.75" customHeight="1">
      <c r="A317" s="86"/>
      <c r="B317" s="120"/>
      <c r="C317" s="87"/>
      <c r="D317" s="86"/>
      <c r="E317" s="87"/>
      <c r="F317" s="120"/>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row>
    <row r="318" spans="1:33" ht="21.75" customHeight="1">
      <c r="A318" s="86"/>
      <c r="B318" s="120"/>
      <c r="C318" s="87"/>
      <c r="D318" s="86"/>
      <c r="E318" s="87"/>
      <c r="F318" s="120"/>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row>
    <row r="319" spans="1:33" ht="21.75" customHeight="1">
      <c r="A319" s="86"/>
      <c r="B319" s="120"/>
      <c r="C319" s="87"/>
      <c r="D319" s="86"/>
      <c r="E319" s="87"/>
      <c r="F319" s="120"/>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row>
    <row r="320" spans="1:33" ht="21.75" customHeight="1">
      <c r="A320" s="86"/>
      <c r="B320" s="120"/>
      <c r="C320" s="87"/>
      <c r="D320" s="86"/>
      <c r="E320" s="87"/>
      <c r="F320" s="120"/>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row>
    <row r="321" spans="1:33" ht="21.75" customHeight="1">
      <c r="A321" s="86"/>
      <c r="B321" s="120"/>
      <c r="C321" s="87"/>
      <c r="D321" s="86"/>
      <c r="E321" s="87"/>
      <c r="F321" s="120"/>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row>
    <row r="322" spans="1:33" ht="21.75" customHeight="1">
      <c r="A322" s="86"/>
      <c r="B322" s="120"/>
      <c r="C322" s="87"/>
      <c r="D322" s="86"/>
      <c r="E322" s="87"/>
      <c r="F322" s="120"/>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row>
    <row r="323" spans="1:33" ht="21.75" customHeight="1">
      <c r="A323" s="86"/>
      <c r="B323" s="120"/>
      <c r="C323" s="87"/>
      <c r="D323" s="86"/>
      <c r="E323" s="87"/>
      <c r="F323" s="120"/>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row>
    <row r="324" spans="1:33" ht="21.75" customHeight="1">
      <c r="A324" s="86"/>
      <c r="B324" s="120"/>
      <c r="C324" s="87"/>
      <c r="D324" s="86"/>
      <c r="E324" s="87"/>
      <c r="F324" s="120"/>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row>
    <row r="325" spans="1:33" ht="21.75" customHeight="1">
      <c r="A325" s="86"/>
      <c r="B325" s="120"/>
      <c r="C325" s="87"/>
      <c r="D325" s="86"/>
      <c r="E325" s="87"/>
      <c r="F325" s="120"/>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row>
    <row r="326" spans="1:33" ht="21.75" customHeight="1">
      <c r="A326" s="86"/>
      <c r="B326" s="120"/>
      <c r="C326" s="87"/>
      <c r="D326" s="86"/>
      <c r="E326" s="87"/>
      <c r="F326" s="120"/>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row>
    <row r="327" spans="1:33" ht="21.75" customHeight="1">
      <c r="A327" s="86"/>
      <c r="B327" s="120"/>
      <c r="C327" s="87"/>
      <c r="D327" s="86"/>
      <c r="E327" s="87"/>
      <c r="F327" s="120"/>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row>
    <row r="328" spans="1:33" ht="21.75" customHeight="1">
      <c r="A328" s="86"/>
      <c r="B328" s="120"/>
      <c r="C328" s="87"/>
      <c r="D328" s="86"/>
      <c r="E328" s="87"/>
      <c r="F328" s="120"/>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row>
    <row r="329" spans="1:33" ht="21.75" customHeight="1">
      <c r="A329" s="86"/>
      <c r="B329" s="120"/>
      <c r="C329" s="87"/>
      <c r="D329" s="86"/>
      <c r="E329" s="87"/>
      <c r="F329" s="120"/>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row>
    <row r="330" spans="1:33" ht="21.75" customHeight="1">
      <c r="A330" s="86"/>
      <c r="B330" s="120"/>
      <c r="C330" s="87"/>
      <c r="D330" s="86"/>
      <c r="E330" s="87"/>
      <c r="F330" s="120"/>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row>
    <row r="331" spans="1:33" ht="21.75" customHeight="1">
      <c r="A331" s="86"/>
      <c r="B331" s="120"/>
      <c r="C331" s="87"/>
      <c r="D331" s="86"/>
      <c r="E331" s="87"/>
      <c r="F331" s="120"/>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row>
    <row r="332" spans="1:33" ht="21.75" customHeight="1">
      <c r="A332" s="86"/>
      <c r="B332" s="120"/>
      <c r="C332" s="87"/>
      <c r="D332" s="86"/>
      <c r="E332" s="87"/>
      <c r="F332" s="120"/>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row>
    <row r="333" spans="1:33" ht="21.75" customHeight="1">
      <c r="A333" s="86"/>
      <c r="B333" s="120"/>
      <c r="C333" s="87"/>
      <c r="D333" s="86"/>
      <c r="E333" s="87"/>
      <c r="F333" s="120"/>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row>
    <row r="334" spans="1:33" ht="21.75" customHeight="1">
      <c r="A334" s="86"/>
      <c r="B334" s="120"/>
      <c r="C334" s="87"/>
      <c r="D334" s="86"/>
      <c r="E334" s="87"/>
      <c r="F334" s="120"/>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row>
    <row r="335" spans="1:33" ht="21.75" customHeight="1">
      <c r="A335" s="86"/>
      <c r="B335" s="120"/>
      <c r="C335" s="87"/>
      <c r="D335" s="86"/>
      <c r="E335" s="87"/>
      <c r="F335" s="120"/>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row>
    <row r="336" spans="1:33" ht="21.75" customHeight="1">
      <c r="A336" s="86"/>
      <c r="B336" s="120"/>
      <c r="C336" s="87"/>
      <c r="D336" s="86"/>
      <c r="E336" s="87"/>
      <c r="F336" s="120"/>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row>
    <row r="337" spans="1:33" ht="21.75" customHeight="1">
      <c r="A337" s="86"/>
      <c r="B337" s="120"/>
      <c r="C337" s="87"/>
      <c r="D337" s="86"/>
      <c r="E337" s="87"/>
      <c r="F337" s="120"/>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row>
    <row r="338" spans="1:33" ht="21.75" customHeight="1">
      <c r="A338" s="86"/>
      <c r="B338" s="120"/>
      <c r="C338" s="87"/>
      <c r="D338" s="86"/>
      <c r="E338" s="87"/>
      <c r="F338" s="120"/>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row>
    <row r="339" spans="1:33" ht="21.75" customHeight="1">
      <c r="A339" s="86"/>
      <c r="B339" s="120"/>
      <c r="C339" s="87"/>
      <c r="D339" s="86"/>
      <c r="E339" s="87"/>
      <c r="F339" s="120"/>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row>
    <row r="340" spans="1:33" ht="21.75" customHeight="1">
      <c r="A340" s="86"/>
      <c r="B340" s="120"/>
      <c r="C340" s="87"/>
      <c r="D340" s="86"/>
      <c r="E340" s="87"/>
      <c r="F340" s="120"/>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row>
    <row r="341" spans="1:33" ht="21.75" customHeight="1">
      <c r="A341" s="86"/>
      <c r="B341" s="120"/>
      <c r="C341" s="87"/>
      <c r="D341" s="86"/>
      <c r="E341" s="87"/>
      <c r="F341" s="120"/>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row>
    <row r="342" spans="1:33" ht="21.75" customHeight="1">
      <c r="A342" s="86"/>
      <c r="B342" s="120"/>
      <c r="C342" s="87"/>
      <c r="D342" s="86"/>
      <c r="E342" s="87"/>
      <c r="F342" s="120"/>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row>
    <row r="343" spans="1:33" ht="21.75" customHeight="1">
      <c r="A343" s="86"/>
      <c r="B343" s="120"/>
      <c r="C343" s="87"/>
      <c r="D343" s="86"/>
      <c r="E343" s="87"/>
      <c r="F343" s="120"/>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row>
    <row r="344" spans="1:33" ht="21.75" customHeight="1">
      <c r="A344" s="86"/>
      <c r="B344" s="120"/>
      <c r="C344" s="87"/>
      <c r="D344" s="86"/>
      <c r="E344" s="87"/>
      <c r="F344" s="120"/>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row>
    <row r="345" spans="1:33" ht="21.75" customHeight="1">
      <c r="A345" s="86"/>
      <c r="B345" s="120"/>
      <c r="C345" s="87"/>
      <c r="D345" s="86"/>
      <c r="E345" s="87"/>
      <c r="F345" s="120"/>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row>
    <row r="346" spans="1:33" ht="21.75" customHeight="1">
      <c r="A346" s="86"/>
      <c r="B346" s="120"/>
      <c r="C346" s="87"/>
      <c r="D346" s="86"/>
      <c r="E346" s="87"/>
      <c r="F346" s="120"/>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row>
    <row r="347" spans="1:33" ht="21.75" customHeight="1">
      <c r="A347" s="86"/>
      <c r="B347" s="120"/>
      <c r="C347" s="87"/>
      <c r="D347" s="86"/>
      <c r="E347" s="87"/>
      <c r="F347" s="120"/>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row>
    <row r="348" spans="1:33" ht="21.75" customHeight="1">
      <c r="A348" s="86"/>
      <c r="B348" s="120"/>
      <c r="C348" s="87"/>
      <c r="D348" s="86"/>
      <c r="E348" s="87"/>
      <c r="F348" s="120"/>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row>
    <row r="349" spans="1:33" ht="21.75" customHeight="1">
      <c r="A349" s="86"/>
      <c r="B349" s="120"/>
      <c r="C349" s="87"/>
      <c r="D349" s="86"/>
      <c r="E349" s="87"/>
      <c r="F349" s="120"/>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row>
    <row r="350" spans="1:33" ht="21.75" customHeight="1">
      <c r="A350" s="86"/>
      <c r="B350" s="120"/>
      <c r="C350" s="87"/>
      <c r="D350" s="86"/>
      <c r="E350" s="87"/>
      <c r="F350" s="120"/>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row>
    <row r="351" spans="1:33" ht="21.75" customHeight="1">
      <c r="A351" s="86"/>
      <c r="B351" s="120"/>
      <c r="C351" s="87"/>
      <c r="D351" s="86"/>
      <c r="E351" s="87"/>
      <c r="F351" s="120"/>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row>
    <row r="352" spans="1:33" ht="21.75" customHeight="1">
      <c r="A352" s="86"/>
      <c r="B352" s="120"/>
      <c r="C352" s="87"/>
      <c r="D352" s="86"/>
      <c r="E352" s="87"/>
      <c r="F352" s="120"/>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row>
    <row r="353" spans="1:33" ht="21.75" customHeight="1">
      <c r="A353" s="86"/>
      <c r="B353" s="120"/>
      <c r="C353" s="87"/>
      <c r="D353" s="86"/>
      <c r="E353" s="87"/>
      <c r="F353" s="120"/>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row>
    <row r="354" spans="1:33" ht="21.75" customHeight="1">
      <c r="A354" s="86"/>
      <c r="B354" s="120"/>
      <c r="C354" s="87"/>
      <c r="D354" s="86"/>
      <c r="E354" s="87"/>
      <c r="F354" s="120"/>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row>
    <row r="355" spans="1:33" ht="21.75" customHeight="1">
      <c r="A355" s="86"/>
      <c r="B355" s="120"/>
      <c r="C355" s="87"/>
      <c r="D355" s="86"/>
      <c r="E355" s="87"/>
      <c r="F355" s="120"/>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row>
    <row r="356" spans="1:33" ht="21.75" customHeight="1">
      <c r="A356" s="86"/>
      <c r="B356" s="120"/>
      <c r="C356" s="87"/>
      <c r="D356" s="86"/>
      <c r="E356" s="87"/>
      <c r="F356" s="120"/>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row>
    <row r="357" spans="1:33" ht="21.75" customHeight="1">
      <c r="A357" s="86"/>
      <c r="B357" s="120"/>
      <c r="C357" s="87"/>
      <c r="D357" s="86"/>
      <c r="E357" s="87"/>
      <c r="F357" s="120"/>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row>
    <row r="358" spans="1:33" ht="21.75" customHeight="1">
      <c r="A358" s="86"/>
      <c r="B358" s="120"/>
      <c r="C358" s="87"/>
      <c r="D358" s="86"/>
      <c r="E358" s="87"/>
      <c r="F358" s="120"/>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row>
    <row r="359" spans="1:33" ht="21.75" customHeight="1">
      <c r="A359" s="86"/>
      <c r="B359" s="120"/>
      <c r="C359" s="87"/>
      <c r="D359" s="86"/>
      <c r="E359" s="87"/>
      <c r="F359" s="120"/>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row>
    <row r="360" spans="1:33" ht="21.75" customHeight="1">
      <c r="A360" s="86"/>
      <c r="B360" s="120"/>
      <c r="C360" s="87"/>
      <c r="D360" s="86"/>
      <c r="E360" s="87"/>
      <c r="F360" s="120"/>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row>
    <row r="361" spans="1:33" ht="21.75" customHeight="1">
      <c r="A361" s="86"/>
      <c r="B361" s="120"/>
      <c r="C361" s="87"/>
      <c r="D361" s="86"/>
      <c r="E361" s="87"/>
      <c r="F361" s="120"/>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row>
    <row r="362" spans="1:33" ht="21.75" customHeight="1">
      <c r="A362" s="86"/>
      <c r="B362" s="120"/>
      <c r="C362" s="87"/>
      <c r="D362" s="86"/>
      <c r="E362" s="87"/>
      <c r="F362" s="120"/>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row>
    <row r="363" spans="1:33" ht="21.75" customHeight="1">
      <c r="A363" s="86"/>
      <c r="B363" s="120"/>
      <c r="C363" s="87"/>
      <c r="D363" s="86"/>
      <c r="E363" s="87"/>
      <c r="F363" s="120"/>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row>
    <row r="364" spans="1:33" ht="21.75" customHeight="1">
      <c r="A364" s="86"/>
      <c r="B364" s="120"/>
      <c r="C364" s="87"/>
      <c r="D364" s="86"/>
      <c r="E364" s="87"/>
      <c r="F364" s="120"/>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row>
    <row r="365" spans="1:33" ht="21.75" customHeight="1">
      <c r="A365" s="86"/>
      <c r="B365" s="120"/>
      <c r="C365" s="87"/>
      <c r="D365" s="86"/>
      <c r="E365" s="87"/>
      <c r="F365" s="120"/>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row>
    <row r="366" spans="1:33" ht="21.75" customHeight="1">
      <c r="A366" s="86"/>
      <c r="B366" s="120"/>
      <c r="C366" s="87"/>
      <c r="D366" s="86"/>
      <c r="E366" s="87"/>
      <c r="F366" s="120"/>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row>
    <row r="367" spans="1:33" ht="21.75" customHeight="1">
      <c r="A367" s="86"/>
      <c r="B367" s="120"/>
      <c r="C367" s="87"/>
      <c r="D367" s="86"/>
      <c r="E367" s="87"/>
      <c r="F367" s="120"/>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row>
    <row r="368" spans="1:33" ht="21.75" customHeight="1">
      <c r="A368" s="86"/>
      <c r="B368" s="120"/>
      <c r="C368" s="87"/>
      <c r="D368" s="86"/>
      <c r="E368" s="87"/>
      <c r="F368" s="120"/>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row>
    <row r="369" spans="1:33" ht="21.75" customHeight="1">
      <c r="A369" s="86"/>
      <c r="B369" s="120"/>
      <c r="C369" s="87"/>
      <c r="D369" s="86"/>
      <c r="E369" s="87"/>
      <c r="F369" s="120"/>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row>
    <row r="370" spans="1:33" ht="21.75" customHeight="1">
      <c r="A370" s="86"/>
      <c r="B370" s="120"/>
      <c r="C370" s="87"/>
      <c r="D370" s="86"/>
      <c r="E370" s="87"/>
      <c r="F370" s="120"/>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row>
    <row r="371" spans="1:33" ht="21.75" customHeight="1">
      <c r="A371" s="86"/>
      <c r="B371" s="120"/>
      <c r="C371" s="87"/>
      <c r="D371" s="86"/>
      <c r="E371" s="87"/>
      <c r="F371" s="120"/>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row>
    <row r="372" spans="1:33" ht="21.75" customHeight="1">
      <c r="A372" s="86"/>
      <c r="B372" s="120"/>
      <c r="C372" s="87"/>
      <c r="D372" s="86"/>
      <c r="E372" s="87"/>
      <c r="F372" s="120"/>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row>
    <row r="373" spans="1:33" ht="21.75" customHeight="1">
      <c r="A373" s="86"/>
      <c r="B373" s="120"/>
      <c r="C373" s="87"/>
      <c r="D373" s="86"/>
      <c r="E373" s="87"/>
      <c r="F373" s="120"/>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row>
    <row r="374" spans="1:33" ht="21.75" customHeight="1">
      <c r="A374" s="86"/>
      <c r="B374" s="120"/>
      <c r="C374" s="87"/>
      <c r="D374" s="86"/>
      <c r="E374" s="87"/>
      <c r="F374" s="120"/>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row>
    <row r="375" spans="1:33" ht="21.75" customHeight="1">
      <c r="A375" s="86"/>
      <c r="B375" s="120"/>
      <c r="C375" s="87"/>
      <c r="D375" s="86"/>
      <c r="E375" s="87"/>
      <c r="F375" s="120"/>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row>
    <row r="376" spans="1:33" ht="21.75" customHeight="1">
      <c r="A376" s="86"/>
      <c r="B376" s="120"/>
      <c r="C376" s="87"/>
      <c r="D376" s="86"/>
      <c r="E376" s="87"/>
      <c r="F376" s="120"/>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row>
    <row r="377" spans="1:33" ht="21.75" customHeight="1">
      <c r="A377" s="86"/>
      <c r="B377" s="120"/>
      <c r="C377" s="87"/>
      <c r="D377" s="86"/>
      <c r="E377" s="87"/>
      <c r="F377" s="120"/>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row>
    <row r="378" spans="1:33" ht="21.75" customHeight="1">
      <c r="A378" s="86"/>
      <c r="B378" s="120"/>
      <c r="C378" s="87"/>
      <c r="D378" s="86"/>
      <c r="E378" s="87"/>
      <c r="F378" s="120"/>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row>
    <row r="379" spans="1:33" ht="21.75" customHeight="1">
      <c r="A379" s="86"/>
      <c r="B379" s="120"/>
      <c r="C379" s="87"/>
      <c r="D379" s="86"/>
      <c r="E379" s="87"/>
      <c r="F379" s="120"/>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row>
    <row r="380" spans="1:33" ht="21.75" customHeight="1">
      <c r="A380" s="86"/>
      <c r="B380" s="120"/>
      <c r="C380" s="87"/>
      <c r="D380" s="86"/>
      <c r="E380" s="87"/>
      <c r="F380" s="120"/>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row>
    <row r="381" spans="1:33" ht="21.75" customHeight="1">
      <c r="A381" s="86"/>
      <c r="B381" s="120"/>
      <c r="C381" s="87"/>
      <c r="D381" s="86"/>
      <c r="E381" s="87"/>
      <c r="F381" s="120"/>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row>
    <row r="382" spans="1:33" ht="21.75" customHeight="1">
      <c r="A382" s="86"/>
      <c r="B382" s="120"/>
      <c r="C382" s="87"/>
      <c r="D382" s="86"/>
      <c r="E382" s="87"/>
      <c r="F382" s="120"/>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row>
    <row r="383" spans="1:33" ht="21.75" customHeight="1">
      <c r="A383" s="86"/>
      <c r="B383" s="120"/>
      <c r="C383" s="87"/>
      <c r="D383" s="86"/>
      <c r="E383" s="87"/>
      <c r="F383" s="120"/>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row>
    <row r="384" spans="1:33" ht="21.75" customHeight="1">
      <c r="A384" s="86"/>
      <c r="B384" s="120"/>
      <c r="C384" s="87"/>
      <c r="D384" s="86"/>
      <c r="E384" s="87"/>
      <c r="F384" s="120"/>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row>
    <row r="385" spans="1:33" ht="21.75" customHeight="1">
      <c r="A385" s="86"/>
      <c r="B385" s="120"/>
      <c r="C385" s="87"/>
      <c r="D385" s="86"/>
      <c r="E385" s="87"/>
      <c r="F385" s="120"/>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row>
    <row r="386" spans="1:33" ht="21.75" customHeight="1">
      <c r="A386" s="86"/>
      <c r="B386" s="120"/>
      <c r="C386" s="87"/>
      <c r="D386" s="86"/>
      <c r="E386" s="87"/>
      <c r="F386" s="120"/>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row>
    <row r="387" spans="1:33" ht="21.75" customHeight="1">
      <c r="A387" s="86"/>
      <c r="B387" s="120"/>
      <c r="C387" s="87"/>
      <c r="D387" s="86"/>
      <c r="E387" s="87"/>
      <c r="F387" s="120"/>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row>
    <row r="388" spans="1:33" ht="21.75" customHeight="1">
      <c r="A388" s="86"/>
      <c r="B388" s="120"/>
      <c r="C388" s="87"/>
      <c r="D388" s="86"/>
      <c r="E388" s="87"/>
      <c r="F388" s="120"/>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row>
    <row r="389" spans="1:33" ht="21.75" customHeight="1">
      <c r="A389" s="86"/>
      <c r="B389" s="120"/>
      <c r="C389" s="87"/>
      <c r="D389" s="86"/>
      <c r="E389" s="87"/>
      <c r="F389" s="120"/>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row>
    <row r="390" spans="1:33" ht="21.75" customHeight="1">
      <c r="A390" s="86"/>
      <c r="B390" s="120"/>
      <c r="C390" s="87"/>
      <c r="D390" s="86"/>
      <c r="E390" s="87"/>
      <c r="F390" s="120"/>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row>
    <row r="391" spans="1:33" ht="21.75" customHeight="1">
      <c r="A391" s="86"/>
      <c r="B391" s="120"/>
      <c r="C391" s="87"/>
      <c r="D391" s="86"/>
      <c r="E391" s="87"/>
      <c r="F391" s="120"/>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row>
    <row r="392" spans="1:33" ht="21.75" customHeight="1">
      <c r="A392" s="86"/>
      <c r="B392" s="120"/>
      <c r="C392" s="87"/>
      <c r="D392" s="86"/>
      <c r="E392" s="87"/>
      <c r="F392" s="120"/>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row>
    <row r="393" spans="1:33" ht="21.75" customHeight="1">
      <c r="A393" s="86"/>
      <c r="B393" s="120"/>
      <c r="C393" s="87"/>
      <c r="D393" s="86"/>
      <c r="E393" s="87"/>
      <c r="F393" s="120"/>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row>
    <row r="394" spans="1:33" ht="21.75" customHeight="1">
      <c r="A394" s="86"/>
      <c r="B394" s="120"/>
      <c r="C394" s="87"/>
      <c r="D394" s="86"/>
      <c r="E394" s="87"/>
      <c r="F394" s="120"/>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row>
    <row r="395" spans="1:33" ht="21.75" customHeight="1">
      <c r="A395" s="86"/>
      <c r="B395" s="120"/>
      <c r="C395" s="87"/>
      <c r="D395" s="86"/>
      <c r="E395" s="87"/>
      <c r="F395" s="120"/>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row>
    <row r="396" spans="1:33" ht="21.75" customHeight="1">
      <c r="A396" s="86"/>
      <c r="B396" s="120"/>
      <c r="C396" s="87"/>
      <c r="D396" s="86"/>
      <c r="E396" s="87"/>
      <c r="F396" s="120"/>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row>
    <row r="397" spans="1:33" ht="21.75" customHeight="1">
      <c r="A397" s="86"/>
      <c r="B397" s="120"/>
      <c r="C397" s="87"/>
      <c r="D397" s="86"/>
      <c r="E397" s="87"/>
      <c r="F397" s="120"/>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row>
    <row r="398" spans="1:33" ht="21.75" customHeight="1">
      <c r="A398" s="86"/>
      <c r="B398" s="120"/>
      <c r="C398" s="87"/>
      <c r="D398" s="86"/>
      <c r="E398" s="87"/>
      <c r="F398" s="120"/>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row>
    <row r="399" spans="1:33" ht="21.75" customHeight="1">
      <c r="A399" s="86"/>
      <c r="B399" s="120"/>
      <c r="C399" s="87"/>
      <c r="D399" s="86"/>
      <c r="E399" s="87"/>
      <c r="F399" s="120"/>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row>
    <row r="400" spans="1:33" ht="21.75" customHeight="1">
      <c r="A400" s="86"/>
      <c r="B400" s="120"/>
      <c r="C400" s="87"/>
      <c r="D400" s="86"/>
      <c r="E400" s="87"/>
      <c r="F400" s="120"/>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row>
    <row r="401" spans="1:33" ht="21.75" customHeight="1">
      <c r="A401" s="86"/>
      <c r="B401" s="120"/>
      <c r="C401" s="87"/>
      <c r="D401" s="86"/>
      <c r="E401" s="87"/>
      <c r="F401" s="120"/>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row>
    <row r="402" spans="1:33" ht="21.75" customHeight="1">
      <c r="A402" s="86"/>
      <c r="B402" s="120"/>
      <c r="C402" s="87"/>
      <c r="D402" s="86"/>
      <c r="E402" s="87"/>
      <c r="F402" s="120"/>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row>
    <row r="403" spans="1:33" ht="21.75" customHeight="1">
      <c r="A403" s="86"/>
      <c r="B403" s="120"/>
      <c r="C403" s="87"/>
      <c r="D403" s="86"/>
      <c r="E403" s="87"/>
      <c r="F403" s="120"/>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row>
    <row r="404" spans="1:33" ht="21.75" customHeight="1">
      <c r="A404" s="86"/>
      <c r="B404" s="120"/>
      <c r="C404" s="87"/>
      <c r="D404" s="86"/>
      <c r="E404" s="87"/>
      <c r="F404" s="120"/>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row>
    <row r="405" spans="1:33" ht="21.75" customHeight="1">
      <c r="A405" s="86"/>
      <c r="B405" s="120"/>
      <c r="C405" s="87"/>
      <c r="D405" s="86"/>
      <c r="E405" s="87"/>
      <c r="F405" s="120"/>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row>
    <row r="406" spans="1:33" ht="21.75" customHeight="1">
      <c r="A406" s="86"/>
      <c r="B406" s="120"/>
      <c r="C406" s="87"/>
      <c r="D406" s="86"/>
      <c r="E406" s="87"/>
      <c r="F406" s="120"/>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row>
    <row r="407" spans="1:33" ht="21.75" customHeight="1">
      <c r="A407" s="86"/>
      <c r="B407" s="120"/>
      <c r="C407" s="87"/>
      <c r="D407" s="86"/>
      <c r="E407" s="87"/>
      <c r="F407" s="120"/>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row>
    <row r="408" spans="1:33" ht="21.75" customHeight="1">
      <c r="A408" s="86"/>
      <c r="B408" s="120"/>
      <c r="C408" s="87"/>
      <c r="D408" s="86"/>
      <c r="E408" s="87"/>
      <c r="F408" s="120"/>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row>
    <row r="409" spans="1:33" ht="21.75" customHeight="1">
      <c r="A409" s="86"/>
      <c r="B409" s="120"/>
      <c r="C409" s="87"/>
      <c r="D409" s="86"/>
      <c r="E409" s="87"/>
      <c r="F409" s="120"/>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row>
    <row r="410" spans="1:33" ht="21.75" customHeight="1">
      <c r="A410" s="86"/>
      <c r="B410" s="120"/>
      <c r="C410" s="87"/>
      <c r="D410" s="86"/>
      <c r="E410" s="87"/>
      <c r="F410" s="120"/>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row>
    <row r="411" spans="1:33" ht="21.75" customHeight="1">
      <c r="A411" s="86"/>
      <c r="B411" s="120"/>
      <c r="C411" s="87"/>
      <c r="D411" s="86"/>
      <c r="E411" s="87"/>
      <c r="F411" s="120"/>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row>
    <row r="412" spans="1:33" ht="21.75" customHeight="1">
      <c r="A412" s="86"/>
      <c r="B412" s="120"/>
      <c r="C412" s="87"/>
      <c r="D412" s="86"/>
      <c r="E412" s="87"/>
      <c r="F412" s="120"/>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row>
    <row r="413" spans="1:33" ht="21.75" customHeight="1">
      <c r="A413" s="86"/>
      <c r="B413" s="120"/>
      <c r="C413" s="87"/>
      <c r="D413" s="86"/>
      <c r="E413" s="87"/>
      <c r="F413" s="120"/>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row>
    <row r="414" spans="1:33" ht="21.75" customHeight="1">
      <c r="A414" s="86"/>
      <c r="B414" s="120"/>
      <c r="C414" s="87"/>
      <c r="D414" s="86"/>
      <c r="E414" s="87"/>
      <c r="F414" s="120"/>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row>
    <row r="415" spans="1:33" ht="21.75" customHeight="1">
      <c r="A415" s="86"/>
      <c r="B415" s="120"/>
      <c r="C415" s="87"/>
      <c r="D415" s="86"/>
      <c r="E415" s="87"/>
      <c r="F415" s="120"/>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row>
    <row r="416" spans="1:33" ht="21.75" customHeight="1">
      <c r="A416" s="86"/>
      <c r="B416" s="120"/>
      <c r="C416" s="87"/>
      <c r="D416" s="86"/>
      <c r="E416" s="87"/>
      <c r="F416" s="120"/>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row>
    <row r="417" spans="1:33" ht="21.75" customHeight="1">
      <c r="A417" s="86"/>
      <c r="B417" s="120"/>
      <c r="C417" s="87"/>
      <c r="D417" s="86"/>
      <c r="E417" s="87"/>
      <c r="F417" s="120"/>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row>
    <row r="418" spans="1:33" ht="21.75" customHeight="1">
      <c r="A418" s="86"/>
      <c r="B418" s="120"/>
      <c r="C418" s="87"/>
      <c r="D418" s="86"/>
      <c r="E418" s="87"/>
      <c r="F418" s="120"/>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row>
    <row r="419" spans="1:33" ht="21.75" customHeight="1">
      <c r="A419" s="86"/>
      <c r="B419" s="120"/>
      <c r="C419" s="87"/>
      <c r="D419" s="86"/>
      <c r="E419" s="87"/>
      <c r="F419" s="120"/>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row>
    <row r="420" spans="1:33" ht="21.75" customHeight="1">
      <c r="A420" s="86"/>
      <c r="B420" s="120"/>
      <c r="C420" s="87"/>
      <c r="D420" s="86"/>
      <c r="E420" s="87"/>
      <c r="F420" s="120"/>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row>
    <row r="421" spans="1:33" ht="21.75" customHeight="1">
      <c r="A421" s="86"/>
      <c r="B421" s="120"/>
      <c r="C421" s="87"/>
      <c r="D421" s="86"/>
      <c r="E421" s="87"/>
      <c r="F421" s="120"/>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row>
    <row r="422" spans="1:33" ht="21.75" customHeight="1">
      <c r="A422" s="86"/>
      <c r="B422" s="120"/>
      <c r="C422" s="87"/>
      <c r="D422" s="86"/>
      <c r="E422" s="87"/>
      <c r="F422" s="120"/>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row>
    <row r="423" spans="1:33" ht="21.75" customHeight="1">
      <c r="A423" s="86"/>
      <c r="B423" s="120"/>
      <c r="C423" s="87"/>
      <c r="D423" s="86"/>
      <c r="E423" s="87"/>
      <c r="F423" s="120"/>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row>
    <row r="424" spans="1:33" ht="21.75" customHeight="1">
      <c r="A424" s="86"/>
      <c r="B424" s="120"/>
      <c r="C424" s="87"/>
      <c r="D424" s="86"/>
      <c r="E424" s="87"/>
      <c r="F424" s="120"/>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row>
    <row r="425" spans="1:33" ht="21.75" customHeight="1">
      <c r="A425" s="86"/>
      <c r="B425" s="120"/>
      <c r="C425" s="87"/>
      <c r="D425" s="86"/>
      <c r="E425" s="87"/>
      <c r="F425" s="120"/>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row>
    <row r="426" spans="1:33" ht="21.75" customHeight="1">
      <c r="A426" s="86"/>
      <c r="B426" s="120"/>
      <c r="C426" s="87"/>
      <c r="D426" s="86"/>
      <c r="E426" s="87"/>
      <c r="F426" s="120"/>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row>
    <row r="427" spans="1:33" ht="21.75" customHeight="1">
      <c r="A427" s="86"/>
      <c r="B427" s="120"/>
      <c r="C427" s="87"/>
      <c r="D427" s="86"/>
      <c r="E427" s="87"/>
      <c r="F427" s="120"/>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row>
    <row r="428" spans="1:33" ht="21.75" customHeight="1">
      <c r="A428" s="86"/>
      <c r="B428" s="120"/>
      <c r="C428" s="87"/>
      <c r="D428" s="86"/>
      <c r="E428" s="87"/>
      <c r="F428" s="120"/>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row>
    <row r="429" spans="1:33" ht="21.75" customHeight="1">
      <c r="A429" s="86"/>
      <c r="B429" s="120"/>
      <c r="C429" s="87"/>
      <c r="D429" s="86"/>
      <c r="E429" s="87"/>
      <c r="F429" s="120"/>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row>
    <row r="430" spans="1:33" ht="21.75" customHeight="1">
      <c r="A430" s="86"/>
      <c r="B430" s="120"/>
      <c r="C430" s="87"/>
      <c r="D430" s="86"/>
      <c r="E430" s="87"/>
      <c r="F430" s="120"/>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row>
    <row r="431" spans="1:33" ht="21.75" customHeight="1">
      <c r="A431" s="86"/>
      <c r="B431" s="120"/>
      <c r="C431" s="87"/>
      <c r="D431" s="86"/>
      <c r="E431" s="87"/>
      <c r="F431" s="120"/>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row>
    <row r="432" spans="1:33" ht="21.75" customHeight="1">
      <c r="A432" s="86"/>
      <c r="B432" s="120"/>
      <c r="C432" s="87"/>
      <c r="D432" s="86"/>
      <c r="E432" s="87"/>
      <c r="F432" s="120"/>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row>
    <row r="433" spans="1:33" ht="21.75" customHeight="1">
      <c r="A433" s="86"/>
      <c r="B433" s="120"/>
      <c r="C433" s="87"/>
      <c r="D433" s="86"/>
      <c r="E433" s="87"/>
      <c r="F433" s="120"/>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row>
    <row r="434" spans="1:33" ht="21.75" customHeight="1">
      <c r="A434" s="86"/>
      <c r="B434" s="120"/>
      <c r="C434" s="87"/>
      <c r="D434" s="86"/>
      <c r="E434" s="87"/>
      <c r="F434" s="120"/>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row>
    <row r="435" spans="1:33" ht="21.75" customHeight="1">
      <c r="A435" s="86"/>
      <c r="B435" s="120"/>
      <c r="C435" s="87"/>
      <c r="D435" s="86"/>
      <c r="E435" s="87"/>
      <c r="F435" s="120"/>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row>
    <row r="436" spans="1:33" ht="21.75" customHeight="1">
      <c r="A436" s="86"/>
      <c r="B436" s="120"/>
      <c r="C436" s="87"/>
      <c r="D436" s="86"/>
      <c r="E436" s="87"/>
      <c r="F436" s="120"/>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row>
    <row r="437" spans="1:33" ht="21.75" customHeight="1">
      <c r="A437" s="86"/>
      <c r="B437" s="120"/>
      <c r="C437" s="87"/>
      <c r="D437" s="86"/>
      <c r="E437" s="87"/>
      <c r="F437" s="120"/>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row>
    <row r="438" spans="1:33" ht="21.75" customHeight="1">
      <c r="A438" s="86"/>
      <c r="B438" s="120"/>
      <c r="C438" s="87"/>
      <c r="D438" s="86"/>
      <c r="E438" s="87"/>
      <c r="F438" s="120"/>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row>
    <row r="439" spans="1:33" ht="21.75" customHeight="1">
      <c r="A439" s="86"/>
      <c r="B439" s="120"/>
      <c r="C439" s="87"/>
      <c r="D439" s="86"/>
      <c r="E439" s="87"/>
      <c r="F439" s="120"/>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row>
    <row r="440" spans="1:33" ht="21.75" customHeight="1">
      <c r="A440" s="86"/>
      <c r="B440" s="120"/>
      <c r="C440" s="87"/>
      <c r="D440" s="86"/>
      <c r="E440" s="87"/>
      <c r="F440" s="120"/>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row>
    <row r="441" spans="1:33" ht="21.75" customHeight="1">
      <c r="A441" s="86"/>
      <c r="B441" s="120"/>
      <c r="C441" s="87"/>
      <c r="D441" s="86"/>
      <c r="E441" s="87"/>
      <c r="F441" s="120"/>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row>
    <row r="442" spans="1:33" ht="21.75" customHeight="1">
      <c r="A442" s="86"/>
      <c r="B442" s="120"/>
      <c r="C442" s="87"/>
      <c r="D442" s="86"/>
      <c r="E442" s="87"/>
      <c r="F442" s="120"/>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row>
    <row r="443" spans="1:33" ht="21.75" customHeight="1">
      <c r="A443" s="86"/>
      <c r="B443" s="120"/>
      <c r="C443" s="87"/>
      <c r="D443" s="86"/>
      <c r="E443" s="87"/>
      <c r="F443" s="120"/>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row>
    <row r="444" spans="1:33" ht="21.75" customHeight="1">
      <c r="A444" s="86"/>
      <c r="B444" s="120"/>
      <c r="C444" s="87"/>
      <c r="D444" s="86"/>
      <c r="E444" s="87"/>
      <c r="F444" s="120"/>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row>
    <row r="445" spans="1:33" ht="21.75" customHeight="1">
      <c r="A445" s="86"/>
      <c r="B445" s="120"/>
      <c r="C445" s="87"/>
      <c r="D445" s="86"/>
      <c r="E445" s="87"/>
      <c r="F445" s="120"/>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row>
    <row r="446" spans="1:33" ht="21.75" customHeight="1">
      <c r="A446" s="86"/>
      <c r="B446" s="120"/>
      <c r="C446" s="87"/>
      <c r="D446" s="86"/>
      <c r="E446" s="87"/>
      <c r="F446" s="120"/>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row>
    <row r="447" spans="1:33" ht="21.75" customHeight="1">
      <c r="A447" s="86"/>
      <c r="B447" s="120"/>
      <c r="C447" s="87"/>
      <c r="D447" s="86"/>
      <c r="E447" s="87"/>
      <c r="F447" s="120"/>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row>
    <row r="448" spans="1:33" ht="21.75" customHeight="1">
      <c r="A448" s="86"/>
      <c r="B448" s="120"/>
      <c r="C448" s="87"/>
      <c r="D448" s="86"/>
      <c r="E448" s="87"/>
      <c r="F448" s="120"/>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row>
    <row r="449" spans="1:33" ht="21.75" customHeight="1">
      <c r="A449" s="86"/>
      <c r="B449" s="120"/>
      <c r="C449" s="87"/>
      <c r="D449" s="86"/>
      <c r="E449" s="87"/>
      <c r="F449" s="120"/>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row>
    <row r="450" spans="1:33" ht="21.75" customHeight="1">
      <c r="A450" s="86"/>
      <c r="B450" s="120"/>
      <c r="C450" s="87"/>
      <c r="D450" s="86"/>
      <c r="E450" s="87"/>
      <c r="F450" s="120"/>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row>
    <row r="451" spans="1:33" ht="21.75" customHeight="1">
      <c r="A451" s="86"/>
      <c r="B451" s="120"/>
      <c r="C451" s="87"/>
      <c r="D451" s="86"/>
      <c r="E451" s="87"/>
      <c r="F451" s="120"/>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row>
    <row r="452" spans="1:33" ht="21.75" customHeight="1">
      <c r="A452" s="86"/>
      <c r="B452" s="120"/>
      <c r="C452" s="87"/>
      <c r="D452" s="86"/>
      <c r="E452" s="87"/>
      <c r="F452" s="120"/>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row>
    <row r="453" spans="1:33" ht="21.75" customHeight="1">
      <c r="A453" s="86"/>
      <c r="B453" s="120"/>
      <c r="C453" s="87"/>
      <c r="D453" s="86"/>
      <c r="E453" s="87"/>
      <c r="F453" s="120"/>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row>
    <row r="454" spans="1:33" ht="21.75" customHeight="1">
      <c r="A454" s="86"/>
      <c r="B454" s="120"/>
      <c r="C454" s="87"/>
      <c r="D454" s="86"/>
      <c r="E454" s="87"/>
      <c r="F454" s="120"/>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row>
    <row r="455" spans="1:33" ht="21.75" customHeight="1">
      <c r="A455" s="86"/>
      <c r="B455" s="120"/>
      <c r="C455" s="87"/>
      <c r="D455" s="86"/>
      <c r="E455" s="87"/>
      <c r="F455" s="120"/>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row>
    <row r="456" spans="1:33" ht="21.75" customHeight="1">
      <c r="A456" s="86"/>
      <c r="B456" s="120"/>
      <c r="C456" s="87"/>
      <c r="D456" s="86"/>
      <c r="E456" s="87"/>
      <c r="F456" s="120"/>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row>
    <row r="457" spans="1:33" ht="21.75" customHeight="1">
      <c r="A457" s="86"/>
      <c r="B457" s="120"/>
      <c r="C457" s="87"/>
      <c r="D457" s="86"/>
      <c r="E457" s="87"/>
      <c r="F457" s="120"/>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row>
    <row r="458" spans="1:33" ht="21.75" customHeight="1">
      <c r="A458" s="86"/>
      <c r="B458" s="120"/>
      <c r="C458" s="87"/>
      <c r="D458" s="86"/>
      <c r="E458" s="87"/>
      <c r="F458" s="120"/>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row>
    <row r="459" spans="1:33" ht="21.75" customHeight="1">
      <c r="A459" s="86"/>
      <c r="B459" s="120"/>
      <c r="C459" s="87"/>
      <c r="D459" s="86"/>
      <c r="E459" s="87"/>
      <c r="F459" s="120"/>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row>
    <row r="460" spans="1:33" ht="21.75" customHeight="1">
      <c r="A460" s="86"/>
      <c r="B460" s="120"/>
      <c r="C460" s="87"/>
      <c r="D460" s="86"/>
      <c r="E460" s="87"/>
      <c r="F460" s="120"/>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row>
    <row r="461" spans="1:33" ht="21.75" customHeight="1">
      <c r="A461" s="86"/>
      <c r="B461" s="120"/>
      <c r="C461" s="87"/>
      <c r="D461" s="86"/>
      <c r="E461" s="87"/>
      <c r="F461" s="120"/>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row>
    <row r="462" spans="1:33" ht="21.75" customHeight="1">
      <c r="A462" s="86"/>
      <c r="B462" s="120"/>
      <c r="C462" s="87"/>
      <c r="D462" s="86"/>
      <c r="E462" s="87"/>
      <c r="F462" s="120"/>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row>
    <row r="463" spans="1:33" ht="21.75" customHeight="1">
      <c r="A463" s="86"/>
      <c r="B463" s="120"/>
      <c r="C463" s="87"/>
      <c r="D463" s="86"/>
      <c r="E463" s="87"/>
      <c r="F463" s="120"/>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row>
    <row r="464" spans="1:33" ht="21.75" customHeight="1">
      <c r="A464" s="86"/>
      <c r="B464" s="120"/>
      <c r="C464" s="87"/>
      <c r="D464" s="86"/>
      <c r="E464" s="87"/>
      <c r="F464" s="120"/>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row>
    <row r="465" spans="1:33" ht="21.75" customHeight="1">
      <c r="A465" s="86"/>
      <c r="B465" s="120"/>
      <c r="C465" s="87"/>
      <c r="D465" s="86"/>
      <c r="E465" s="87"/>
      <c r="F465" s="120"/>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row>
    <row r="466" spans="1:33" ht="21.75" customHeight="1">
      <c r="A466" s="86"/>
      <c r="B466" s="120"/>
      <c r="C466" s="87"/>
      <c r="D466" s="86"/>
      <c r="E466" s="87"/>
      <c r="F466" s="120"/>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row>
    <row r="467" spans="1:33" ht="21.75" customHeight="1">
      <c r="A467" s="86"/>
      <c r="B467" s="120"/>
      <c r="C467" s="87"/>
      <c r="D467" s="86"/>
      <c r="E467" s="87"/>
      <c r="F467" s="120"/>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row>
    <row r="468" spans="1:33" ht="21.75" customHeight="1">
      <c r="A468" s="86"/>
      <c r="B468" s="120"/>
      <c r="C468" s="87"/>
      <c r="D468" s="86"/>
      <c r="E468" s="87"/>
      <c r="F468" s="120"/>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row>
    <row r="469" spans="1:33" ht="21.75" customHeight="1">
      <c r="A469" s="86"/>
      <c r="B469" s="120"/>
      <c r="C469" s="87"/>
      <c r="D469" s="86"/>
      <c r="E469" s="87"/>
      <c r="F469" s="120"/>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row>
    <row r="470" spans="1:33" ht="21.75" customHeight="1">
      <c r="A470" s="86"/>
      <c r="B470" s="120"/>
      <c r="C470" s="87"/>
      <c r="D470" s="86"/>
      <c r="E470" s="87"/>
      <c r="F470" s="120"/>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row>
    <row r="471" spans="1:33" ht="21.75" customHeight="1">
      <c r="A471" s="86"/>
      <c r="B471" s="120"/>
      <c r="C471" s="87"/>
      <c r="D471" s="86"/>
      <c r="E471" s="87"/>
      <c r="F471" s="120"/>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row>
    <row r="472" spans="1:33" ht="21.75" customHeight="1">
      <c r="A472" s="86"/>
      <c r="B472" s="120"/>
      <c r="C472" s="87"/>
      <c r="D472" s="86"/>
      <c r="E472" s="87"/>
      <c r="F472" s="120"/>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row>
    <row r="473" spans="1:33" ht="21.75" customHeight="1">
      <c r="A473" s="86"/>
      <c r="B473" s="120"/>
      <c r="C473" s="87"/>
      <c r="D473" s="86"/>
      <c r="E473" s="87"/>
      <c r="F473" s="120"/>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row>
    <row r="474" spans="1:33" ht="21.75" customHeight="1">
      <c r="A474" s="86"/>
      <c r="B474" s="120"/>
      <c r="C474" s="87"/>
      <c r="D474" s="86"/>
      <c r="E474" s="87"/>
      <c r="F474" s="120"/>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row>
    <row r="475" spans="1:33" ht="21.75" customHeight="1">
      <c r="A475" s="86"/>
      <c r="B475" s="120"/>
      <c r="C475" s="87"/>
      <c r="D475" s="86"/>
      <c r="E475" s="87"/>
      <c r="F475" s="120"/>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row>
    <row r="476" spans="1:33" ht="21.75" customHeight="1">
      <c r="A476" s="86"/>
      <c r="B476" s="120"/>
      <c r="C476" s="87"/>
      <c r="D476" s="86"/>
      <c r="E476" s="87"/>
      <c r="F476" s="120"/>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row>
    <row r="477" spans="1:33" ht="21.75" customHeight="1">
      <c r="A477" s="86"/>
      <c r="B477" s="120"/>
      <c r="C477" s="87"/>
      <c r="D477" s="86"/>
      <c r="E477" s="87"/>
      <c r="F477" s="120"/>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row>
    <row r="478" spans="1:33" ht="21.75" customHeight="1">
      <c r="A478" s="86"/>
      <c r="B478" s="120"/>
      <c r="C478" s="87"/>
      <c r="D478" s="86"/>
      <c r="E478" s="87"/>
      <c r="F478" s="120"/>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row>
    <row r="479" spans="1:33" ht="21.75" customHeight="1">
      <c r="A479" s="86"/>
      <c r="B479" s="120"/>
      <c r="C479" s="87"/>
      <c r="D479" s="86"/>
      <c r="E479" s="87"/>
      <c r="F479" s="120"/>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row>
    <row r="480" spans="1:33" ht="21.75" customHeight="1">
      <c r="A480" s="86"/>
      <c r="B480" s="120"/>
      <c r="C480" s="87"/>
      <c r="D480" s="86"/>
      <c r="E480" s="87"/>
      <c r="F480" s="120"/>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row>
    <row r="481" spans="1:33" ht="21.75" customHeight="1">
      <c r="A481" s="86"/>
      <c r="B481" s="120"/>
      <c r="C481" s="87"/>
      <c r="D481" s="86"/>
      <c r="E481" s="87"/>
      <c r="F481" s="120"/>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row>
    <row r="482" spans="1:33" ht="21.75" customHeight="1">
      <c r="A482" s="86"/>
      <c r="B482" s="120"/>
      <c r="C482" s="87"/>
      <c r="D482" s="86"/>
      <c r="E482" s="87"/>
      <c r="F482" s="120"/>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row>
    <row r="483" spans="1:33" ht="21.75" customHeight="1">
      <c r="A483" s="86"/>
      <c r="B483" s="120"/>
      <c r="C483" s="87"/>
      <c r="D483" s="86"/>
      <c r="E483" s="87"/>
      <c r="F483" s="120"/>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row>
    <row r="484" spans="1:33" ht="21.75" customHeight="1">
      <c r="A484" s="86"/>
      <c r="B484" s="120"/>
      <c r="C484" s="87"/>
      <c r="D484" s="86"/>
      <c r="E484" s="87"/>
      <c r="F484" s="120"/>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row>
    <row r="485" spans="1:33" ht="21.75" customHeight="1">
      <c r="A485" s="86"/>
      <c r="B485" s="120"/>
      <c r="C485" s="87"/>
      <c r="D485" s="86"/>
      <c r="E485" s="87"/>
      <c r="F485" s="120"/>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row>
    <row r="486" spans="1:33" ht="21.75" customHeight="1">
      <c r="A486" s="86"/>
      <c r="B486" s="120"/>
      <c r="C486" s="87"/>
      <c r="D486" s="86"/>
      <c r="E486" s="87"/>
      <c r="F486" s="120"/>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row>
    <row r="487" spans="1:33" ht="21.75" customHeight="1">
      <c r="A487" s="86"/>
      <c r="B487" s="120"/>
      <c r="C487" s="87"/>
      <c r="D487" s="86"/>
      <c r="E487" s="87"/>
      <c r="F487" s="120"/>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row>
    <row r="488" spans="1:33" ht="21.75" customHeight="1">
      <c r="A488" s="86"/>
      <c r="B488" s="120"/>
      <c r="C488" s="87"/>
      <c r="D488" s="86"/>
      <c r="E488" s="87"/>
      <c r="F488" s="120"/>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row>
    <row r="489" spans="1:33" ht="21.75" customHeight="1">
      <c r="A489" s="86"/>
      <c r="B489" s="120"/>
      <c r="C489" s="87"/>
      <c r="D489" s="86"/>
      <c r="E489" s="87"/>
      <c r="F489" s="120"/>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pans="1:33" ht="21.75" customHeight="1">
      <c r="A490" s="86"/>
      <c r="B490" s="120"/>
      <c r="C490" s="87"/>
      <c r="D490" s="86"/>
      <c r="E490" s="87"/>
      <c r="F490" s="120"/>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pans="1:33" ht="21.75" customHeight="1">
      <c r="A491" s="86"/>
      <c r="B491" s="120"/>
      <c r="C491" s="87"/>
      <c r="D491" s="86"/>
      <c r="E491" s="87"/>
      <c r="F491" s="120"/>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pans="1:33" ht="21.75" customHeight="1">
      <c r="A492" s="86"/>
      <c r="B492" s="120"/>
      <c r="C492" s="87"/>
      <c r="D492" s="86"/>
      <c r="E492" s="87"/>
      <c r="F492" s="120"/>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pans="1:33" ht="21.75" customHeight="1">
      <c r="A493" s="86"/>
      <c r="B493" s="120"/>
      <c r="C493" s="87"/>
      <c r="D493" s="86"/>
      <c r="E493" s="87"/>
      <c r="F493" s="120"/>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pans="1:33" ht="21.75" customHeight="1">
      <c r="A494" s="86"/>
      <c r="B494" s="120"/>
      <c r="C494" s="87"/>
      <c r="D494" s="86"/>
      <c r="E494" s="87"/>
      <c r="F494" s="120"/>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pans="1:33" ht="21.75" customHeight="1">
      <c r="A495" s="86"/>
      <c r="B495" s="120"/>
      <c r="C495" s="87"/>
      <c r="D495" s="86"/>
      <c r="E495" s="87"/>
      <c r="F495" s="120"/>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pans="1:33" ht="21.75" customHeight="1">
      <c r="A496" s="86"/>
      <c r="B496" s="120"/>
      <c r="C496" s="87"/>
      <c r="D496" s="86"/>
      <c r="E496" s="87"/>
      <c r="F496" s="120"/>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pans="1:33" ht="21.75" customHeight="1">
      <c r="A497" s="86"/>
      <c r="B497" s="120"/>
      <c r="C497" s="87"/>
      <c r="D497" s="86"/>
      <c r="E497" s="87"/>
      <c r="F497" s="120"/>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pans="1:33" ht="21.75" customHeight="1">
      <c r="A498" s="86"/>
      <c r="B498" s="120"/>
      <c r="C498" s="87"/>
      <c r="D498" s="86"/>
      <c r="E498" s="87"/>
      <c r="F498" s="120"/>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pans="1:33" ht="21.75" customHeight="1">
      <c r="A499" s="86"/>
      <c r="B499" s="120"/>
      <c r="C499" s="87"/>
      <c r="D499" s="86"/>
      <c r="E499" s="87"/>
      <c r="F499" s="120"/>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pans="1:33" ht="21.75" customHeight="1">
      <c r="A500" s="86"/>
      <c r="B500" s="120"/>
      <c r="C500" s="87"/>
      <c r="D500" s="86"/>
      <c r="E500" s="87"/>
      <c r="F500" s="120"/>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pans="1:33" ht="21.75" customHeight="1">
      <c r="A501" s="86"/>
      <c r="B501" s="120"/>
      <c r="C501" s="87"/>
      <c r="D501" s="86"/>
      <c r="E501" s="87"/>
      <c r="F501" s="120"/>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pans="1:33" ht="21.75" customHeight="1">
      <c r="A502" s="86"/>
      <c r="B502" s="120"/>
      <c r="C502" s="87"/>
      <c r="D502" s="86"/>
      <c r="E502" s="87"/>
      <c r="F502" s="120"/>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pans="1:33" ht="21.75" customHeight="1">
      <c r="A503" s="86"/>
      <c r="B503" s="120"/>
      <c r="C503" s="87"/>
      <c r="D503" s="86"/>
      <c r="E503" s="87"/>
      <c r="F503" s="120"/>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pans="1:33" ht="21.75" customHeight="1">
      <c r="A504" s="86"/>
      <c r="B504" s="120"/>
      <c r="C504" s="87"/>
      <c r="D504" s="86"/>
      <c r="E504" s="87"/>
      <c r="F504" s="120"/>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pans="1:33" ht="21.75" customHeight="1">
      <c r="A505" s="86"/>
      <c r="B505" s="120"/>
      <c r="C505" s="87"/>
      <c r="D505" s="86"/>
      <c r="E505" s="87"/>
      <c r="F505" s="120"/>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pans="1:33" ht="21.75" customHeight="1">
      <c r="A506" s="86"/>
      <c r="B506" s="120"/>
      <c r="C506" s="87"/>
      <c r="D506" s="86"/>
      <c r="E506" s="87"/>
      <c r="F506" s="120"/>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pans="1:33" ht="21.75" customHeight="1">
      <c r="A507" s="86"/>
      <c r="B507" s="120"/>
      <c r="C507" s="87"/>
      <c r="D507" s="86"/>
      <c r="E507" s="87"/>
      <c r="F507" s="120"/>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pans="1:33" ht="21.75" customHeight="1">
      <c r="A508" s="86"/>
      <c r="B508" s="120"/>
      <c r="C508" s="87"/>
      <c r="D508" s="86"/>
      <c r="E508" s="87"/>
      <c r="F508" s="120"/>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pans="1:33" ht="21.75" customHeight="1">
      <c r="A509" s="86"/>
      <c r="B509" s="120"/>
      <c r="C509" s="87"/>
      <c r="D509" s="86"/>
      <c r="E509" s="87"/>
      <c r="F509" s="120"/>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pans="1:33" ht="21.75" customHeight="1">
      <c r="A510" s="86"/>
      <c r="B510" s="120"/>
      <c r="C510" s="87"/>
      <c r="D510" s="86"/>
      <c r="E510" s="87"/>
      <c r="F510" s="120"/>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pans="1:33" ht="21.75" customHeight="1">
      <c r="A511" s="86"/>
      <c r="B511" s="120"/>
      <c r="C511" s="87"/>
      <c r="D511" s="86"/>
      <c r="E511" s="87"/>
      <c r="F511" s="120"/>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pans="1:33" ht="21.75" customHeight="1">
      <c r="A512" s="86"/>
      <c r="B512" s="120"/>
      <c r="C512" s="87"/>
      <c r="D512" s="86"/>
      <c r="E512" s="87"/>
      <c r="F512" s="120"/>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pans="1:33" ht="21.75" customHeight="1">
      <c r="A513" s="86"/>
      <c r="B513" s="120"/>
      <c r="C513" s="87"/>
      <c r="D513" s="86"/>
      <c r="E513" s="87"/>
      <c r="F513" s="120"/>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pans="1:33" ht="21.75" customHeight="1">
      <c r="A514" s="86"/>
      <c r="B514" s="120"/>
      <c r="C514" s="87"/>
      <c r="D514" s="86"/>
      <c r="E514" s="87"/>
      <c r="F514" s="120"/>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pans="1:33" ht="21.75" customHeight="1">
      <c r="A515" s="86"/>
      <c r="B515" s="120"/>
      <c r="C515" s="87"/>
      <c r="D515" s="86"/>
      <c r="E515" s="87"/>
      <c r="F515" s="120"/>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pans="1:33" ht="21.75" customHeight="1">
      <c r="A516" s="86"/>
      <c r="B516" s="120"/>
      <c r="C516" s="87"/>
      <c r="D516" s="86"/>
      <c r="E516" s="87"/>
      <c r="F516" s="120"/>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row>
    <row r="517" spans="1:33" ht="21.75" customHeight="1">
      <c r="A517" s="86"/>
      <c r="B517" s="120"/>
      <c r="C517" s="87"/>
      <c r="D517" s="86"/>
      <c r="E517" s="87"/>
      <c r="F517" s="120"/>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row>
    <row r="518" spans="1:33" ht="21.75" customHeight="1">
      <c r="A518" s="86"/>
      <c r="B518" s="120"/>
      <c r="C518" s="87"/>
      <c r="D518" s="86"/>
      <c r="E518" s="87"/>
      <c r="F518" s="120"/>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row>
    <row r="519" spans="1:33" ht="21.75" customHeight="1">
      <c r="A519" s="86"/>
      <c r="B519" s="120"/>
      <c r="C519" s="87"/>
      <c r="D519" s="86"/>
      <c r="E519" s="87"/>
      <c r="F519" s="120"/>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row>
    <row r="520" spans="1:33" ht="21.75" customHeight="1">
      <c r="A520" s="86"/>
      <c r="B520" s="120"/>
      <c r="C520" s="87"/>
      <c r="D520" s="86"/>
      <c r="E520" s="87"/>
      <c r="F520" s="120"/>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row>
    <row r="521" spans="1:33" ht="21.75" customHeight="1">
      <c r="A521" s="86"/>
      <c r="B521" s="120"/>
      <c r="C521" s="87"/>
      <c r="D521" s="86"/>
      <c r="E521" s="87"/>
      <c r="F521" s="120"/>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row>
    <row r="522" spans="1:33" ht="21.75" customHeight="1">
      <c r="A522" s="86"/>
      <c r="B522" s="120"/>
      <c r="C522" s="87"/>
      <c r="D522" s="86"/>
      <c r="E522" s="87"/>
      <c r="F522" s="120"/>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row>
    <row r="523" spans="1:33" ht="21.75" customHeight="1">
      <c r="A523" s="86"/>
      <c r="B523" s="120"/>
      <c r="C523" s="87"/>
      <c r="D523" s="86"/>
      <c r="E523" s="87"/>
      <c r="F523" s="120"/>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row>
    <row r="524" spans="1:33" ht="21.75" customHeight="1">
      <c r="A524" s="86"/>
      <c r="B524" s="120"/>
      <c r="C524" s="87"/>
      <c r="D524" s="86"/>
      <c r="E524" s="87"/>
      <c r="F524" s="120"/>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row>
    <row r="525" spans="1:33" ht="21.75" customHeight="1">
      <c r="A525" s="86"/>
      <c r="B525" s="120"/>
      <c r="C525" s="87"/>
      <c r="D525" s="86"/>
      <c r="E525" s="87"/>
      <c r="F525" s="120"/>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row>
    <row r="526" spans="1:33" ht="21.75" customHeight="1">
      <c r="A526" s="86"/>
      <c r="B526" s="120"/>
      <c r="C526" s="87"/>
      <c r="D526" s="86"/>
      <c r="E526" s="87"/>
      <c r="F526" s="120"/>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row>
    <row r="527" spans="1:33" ht="21.75" customHeight="1">
      <c r="A527" s="86"/>
      <c r="B527" s="120"/>
      <c r="C527" s="87"/>
      <c r="D527" s="86"/>
      <c r="E527" s="87"/>
      <c r="F527" s="120"/>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row>
    <row r="528" spans="1:33" ht="21.75" customHeight="1">
      <c r="A528" s="86"/>
      <c r="B528" s="120"/>
      <c r="C528" s="87"/>
      <c r="D528" s="86"/>
      <c r="E528" s="87"/>
      <c r="F528" s="120"/>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row>
    <row r="529" spans="1:33" ht="21.75" customHeight="1">
      <c r="A529" s="86"/>
      <c r="B529" s="120"/>
      <c r="C529" s="87"/>
      <c r="D529" s="86"/>
      <c r="E529" s="87"/>
      <c r="F529" s="120"/>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row>
    <row r="530" spans="1:33" ht="21.75" customHeight="1">
      <c r="A530" s="86"/>
      <c r="B530" s="120"/>
      <c r="C530" s="87"/>
      <c r="D530" s="86"/>
      <c r="E530" s="87"/>
      <c r="F530" s="120"/>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row>
    <row r="531" spans="1:33" ht="21.75" customHeight="1">
      <c r="A531" s="86"/>
      <c r="B531" s="120"/>
      <c r="C531" s="87"/>
      <c r="D531" s="86"/>
      <c r="E531" s="87"/>
      <c r="F531" s="120"/>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row>
    <row r="532" spans="1:33" ht="21.75" customHeight="1">
      <c r="A532" s="86"/>
      <c r="B532" s="120"/>
      <c r="C532" s="87"/>
      <c r="D532" s="86"/>
      <c r="E532" s="87"/>
      <c r="F532" s="120"/>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row>
    <row r="533" spans="1:33" ht="21.75" customHeight="1">
      <c r="A533" s="86"/>
      <c r="B533" s="120"/>
      <c r="C533" s="87"/>
      <c r="D533" s="86"/>
      <c r="E533" s="87"/>
      <c r="F533" s="120"/>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row>
    <row r="534" spans="1:33" ht="21.75" customHeight="1">
      <c r="A534" s="86"/>
      <c r="B534" s="120"/>
      <c r="C534" s="87"/>
      <c r="D534" s="86"/>
      <c r="E534" s="87"/>
      <c r="F534" s="120"/>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row>
    <row r="535" spans="1:33" ht="21.75" customHeight="1">
      <c r="A535" s="86"/>
      <c r="B535" s="120"/>
      <c r="C535" s="87"/>
      <c r="D535" s="86"/>
      <c r="E535" s="87"/>
      <c r="F535" s="120"/>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row>
    <row r="536" spans="1:33" ht="21.75" customHeight="1">
      <c r="A536" s="86"/>
      <c r="B536" s="120"/>
      <c r="C536" s="87"/>
      <c r="D536" s="86"/>
      <c r="E536" s="87"/>
      <c r="F536" s="120"/>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row>
    <row r="537" spans="1:33" ht="21.75" customHeight="1">
      <c r="A537" s="86"/>
      <c r="B537" s="120"/>
      <c r="C537" s="87"/>
      <c r="D537" s="86"/>
      <c r="E537" s="87"/>
      <c r="F537" s="120"/>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row>
    <row r="538" spans="1:33" ht="21.75" customHeight="1">
      <c r="A538" s="86"/>
      <c r="B538" s="120"/>
      <c r="C538" s="87"/>
      <c r="D538" s="86"/>
      <c r="E538" s="87"/>
      <c r="F538" s="120"/>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row>
    <row r="539" spans="1:33" ht="21.75" customHeight="1">
      <c r="A539" s="86"/>
      <c r="B539" s="120"/>
      <c r="C539" s="87"/>
      <c r="D539" s="86"/>
      <c r="E539" s="87"/>
      <c r="F539" s="120"/>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row>
    <row r="540" spans="1:33" ht="21.75" customHeight="1">
      <c r="A540" s="86"/>
      <c r="B540" s="120"/>
      <c r="C540" s="87"/>
      <c r="D540" s="86"/>
      <c r="E540" s="87"/>
      <c r="F540" s="120"/>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row>
    <row r="541" spans="1:33" ht="21.75" customHeight="1">
      <c r="A541" s="86"/>
      <c r="B541" s="120"/>
      <c r="C541" s="87"/>
      <c r="D541" s="86"/>
      <c r="E541" s="87"/>
      <c r="F541" s="120"/>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row>
    <row r="542" spans="1:33" ht="21.75" customHeight="1">
      <c r="A542" s="86"/>
      <c r="B542" s="120"/>
      <c r="C542" s="87"/>
      <c r="D542" s="86"/>
      <c r="E542" s="87"/>
      <c r="F542" s="120"/>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row>
    <row r="543" spans="1:33" ht="21.75" customHeight="1">
      <c r="A543" s="86"/>
      <c r="B543" s="120"/>
      <c r="C543" s="87"/>
      <c r="D543" s="86"/>
      <c r="E543" s="87"/>
      <c r="F543" s="120"/>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row>
    <row r="544" spans="1:33" ht="21.75" customHeight="1">
      <c r="A544" s="86"/>
      <c r="B544" s="120"/>
      <c r="C544" s="87"/>
      <c r="D544" s="86"/>
      <c r="E544" s="87"/>
      <c r="F544" s="120"/>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row>
    <row r="545" spans="1:33" ht="21.75" customHeight="1">
      <c r="A545" s="86"/>
      <c r="B545" s="120"/>
      <c r="C545" s="87"/>
      <c r="D545" s="86"/>
      <c r="E545" s="87"/>
      <c r="F545" s="120"/>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row>
    <row r="546" spans="1:33" ht="21.75" customHeight="1">
      <c r="A546" s="86"/>
      <c r="B546" s="120"/>
      <c r="C546" s="87"/>
      <c r="D546" s="86"/>
      <c r="E546" s="87"/>
      <c r="F546" s="120"/>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row>
    <row r="547" spans="1:33" ht="21.75" customHeight="1">
      <c r="A547" s="86"/>
      <c r="B547" s="120"/>
      <c r="C547" s="87"/>
      <c r="D547" s="86"/>
      <c r="E547" s="87"/>
      <c r="F547" s="120"/>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row>
    <row r="548" spans="1:33" ht="21.75" customHeight="1">
      <c r="A548" s="86"/>
      <c r="B548" s="120"/>
      <c r="C548" s="87"/>
      <c r="D548" s="86"/>
      <c r="E548" s="87"/>
      <c r="F548" s="120"/>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row>
    <row r="549" spans="1:33" ht="21.75" customHeight="1">
      <c r="A549" s="86"/>
      <c r="B549" s="120"/>
      <c r="C549" s="87"/>
      <c r="D549" s="86"/>
      <c r="E549" s="87"/>
      <c r="F549" s="120"/>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row>
    <row r="550" spans="1:33" ht="21.75" customHeight="1">
      <c r="A550" s="86"/>
      <c r="B550" s="120"/>
      <c r="C550" s="87"/>
      <c r="D550" s="86"/>
      <c r="E550" s="87"/>
      <c r="F550" s="120"/>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row>
    <row r="551" spans="1:33" ht="21.75" customHeight="1">
      <c r="A551" s="86"/>
      <c r="B551" s="120"/>
      <c r="C551" s="87"/>
      <c r="D551" s="86"/>
      <c r="E551" s="87"/>
      <c r="F551" s="120"/>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row>
    <row r="552" spans="1:33" ht="21.75" customHeight="1">
      <c r="A552" s="86"/>
      <c r="B552" s="120"/>
      <c r="C552" s="87"/>
      <c r="D552" s="86"/>
      <c r="E552" s="87"/>
      <c r="F552" s="120"/>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row>
    <row r="553" spans="1:33" ht="21.75" customHeight="1">
      <c r="A553" s="86"/>
      <c r="B553" s="120"/>
      <c r="C553" s="87"/>
      <c r="D553" s="86"/>
      <c r="E553" s="87"/>
      <c r="F553" s="120"/>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row>
    <row r="554" spans="1:33" ht="21.75" customHeight="1">
      <c r="A554" s="86"/>
      <c r="B554" s="120"/>
      <c r="C554" s="87"/>
      <c r="D554" s="86"/>
      <c r="E554" s="87"/>
      <c r="F554" s="120"/>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row>
    <row r="555" spans="1:33" ht="21.75" customHeight="1">
      <c r="A555" s="86"/>
      <c r="B555" s="120"/>
      <c r="C555" s="87"/>
      <c r="D555" s="86"/>
      <c r="E555" s="87"/>
      <c r="F555" s="120"/>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row>
    <row r="556" spans="1:33" ht="21.75" customHeight="1">
      <c r="A556" s="86"/>
      <c r="B556" s="120"/>
      <c r="C556" s="87"/>
      <c r="D556" s="86"/>
      <c r="E556" s="87"/>
      <c r="F556" s="120"/>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row>
    <row r="557" spans="1:33" ht="21.75" customHeight="1">
      <c r="A557" s="86"/>
      <c r="B557" s="120"/>
      <c r="C557" s="87"/>
      <c r="D557" s="86"/>
      <c r="E557" s="87"/>
      <c r="F557" s="120"/>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row>
    <row r="558" spans="1:33" ht="21.75" customHeight="1">
      <c r="A558" s="86"/>
      <c r="B558" s="120"/>
      <c r="C558" s="87"/>
      <c r="D558" s="86"/>
      <c r="E558" s="87"/>
      <c r="F558" s="120"/>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row>
    <row r="559" spans="1:33" ht="21.75" customHeight="1">
      <c r="A559" s="86"/>
      <c r="B559" s="120"/>
      <c r="C559" s="87"/>
      <c r="D559" s="86"/>
      <c r="E559" s="87"/>
      <c r="F559" s="120"/>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row>
    <row r="560" spans="1:33" ht="21.75" customHeight="1">
      <c r="A560" s="86"/>
      <c r="B560" s="120"/>
      <c r="C560" s="87"/>
      <c r="D560" s="86"/>
      <c r="E560" s="87"/>
      <c r="F560" s="120"/>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row>
    <row r="561" spans="1:33" ht="21.75" customHeight="1">
      <c r="A561" s="86"/>
      <c r="B561" s="120"/>
      <c r="C561" s="87"/>
      <c r="D561" s="86"/>
      <c r="E561" s="87"/>
      <c r="F561" s="120"/>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row>
    <row r="562" spans="1:33" ht="21.75" customHeight="1">
      <c r="A562" s="86"/>
      <c r="B562" s="120"/>
      <c r="C562" s="87"/>
      <c r="D562" s="86"/>
      <c r="E562" s="87"/>
      <c r="F562" s="120"/>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row>
    <row r="563" spans="1:33" ht="21.75" customHeight="1">
      <c r="A563" s="86"/>
      <c r="B563" s="120"/>
      <c r="C563" s="87"/>
      <c r="D563" s="86"/>
      <c r="E563" s="87"/>
      <c r="F563" s="120"/>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row>
    <row r="564" spans="1:33" ht="21.75" customHeight="1">
      <c r="A564" s="86"/>
      <c r="B564" s="120"/>
      <c r="C564" s="87"/>
      <c r="D564" s="86"/>
      <c r="E564" s="87"/>
      <c r="F564" s="120"/>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row>
    <row r="565" spans="1:33" ht="21.75" customHeight="1">
      <c r="A565" s="86"/>
      <c r="B565" s="120"/>
      <c r="C565" s="87"/>
      <c r="D565" s="86"/>
      <c r="E565" s="87"/>
      <c r="F565" s="120"/>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row>
    <row r="566" spans="1:33" ht="21.75" customHeight="1">
      <c r="A566" s="86"/>
      <c r="B566" s="120"/>
      <c r="C566" s="87"/>
      <c r="D566" s="86"/>
      <c r="E566" s="87"/>
      <c r="F566" s="120"/>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row>
    <row r="567" spans="1:33" ht="21.75" customHeight="1">
      <c r="A567" s="86"/>
      <c r="B567" s="120"/>
      <c r="C567" s="87"/>
      <c r="D567" s="86"/>
      <c r="E567" s="87"/>
      <c r="F567" s="120"/>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row>
    <row r="568" spans="1:33" ht="21.75" customHeight="1">
      <c r="A568" s="86"/>
      <c r="B568" s="120"/>
      <c r="C568" s="87"/>
      <c r="D568" s="86"/>
      <c r="E568" s="87"/>
      <c r="F568" s="120"/>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row>
    <row r="569" spans="1:33" ht="21.75" customHeight="1">
      <c r="A569" s="86"/>
      <c r="B569" s="120"/>
      <c r="C569" s="87"/>
      <c r="D569" s="86"/>
      <c r="E569" s="87"/>
      <c r="F569" s="120"/>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row>
    <row r="570" spans="1:33" ht="21.75" customHeight="1">
      <c r="A570" s="86"/>
      <c r="B570" s="120"/>
      <c r="C570" s="87"/>
      <c r="D570" s="86"/>
      <c r="E570" s="87"/>
      <c r="F570" s="120"/>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row>
    <row r="571" spans="1:33" ht="21.75" customHeight="1">
      <c r="A571" s="86"/>
      <c r="B571" s="120"/>
      <c r="C571" s="87"/>
      <c r="D571" s="86"/>
      <c r="E571" s="87"/>
      <c r="F571" s="120"/>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row>
    <row r="572" spans="1:33" ht="21.75" customHeight="1">
      <c r="A572" s="86"/>
      <c r="B572" s="120"/>
      <c r="C572" s="87"/>
      <c r="D572" s="86"/>
      <c r="E572" s="87"/>
      <c r="F572" s="120"/>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row>
    <row r="573" spans="1:33" ht="21.75" customHeight="1">
      <c r="A573" s="86"/>
      <c r="B573" s="120"/>
      <c r="C573" s="87"/>
      <c r="D573" s="86"/>
      <c r="E573" s="87"/>
      <c r="F573" s="120"/>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row>
    <row r="574" spans="1:33" ht="21.75" customHeight="1">
      <c r="A574" s="86"/>
      <c r="B574" s="120"/>
      <c r="C574" s="87"/>
      <c r="D574" s="86"/>
      <c r="E574" s="87"/>
      <c r="F574" s="120"/>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row>
    <row r="575" spans="1:33" ht="21.75" customHeight="1">
      <c r="A575" s="86"/>
      <c r="B575" s="120"/>
      <c r="C575" s="87"/>
      <c r="D575" s="86"/>
      <c r="E575" s="87"/>
      <c r="F575" s="120"/>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row>
    <row r="576" spans="1:33" ht="21.75" customHeight="1">
      <c r="A576" s="86"/>
      <c r="B576" s="120"/>
      <c r="C576" s="87"/>
      <c r="D576" s="86"/>
      <c r="E576" s="87"/>
      <c r="F576" s="120"/>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ht="21.75" customHeight="1">
      <c r="A577" s="86"/>
      <c r="B577" s="120"/>
      <c r="C577" s="87"/>
      <c r="D577" s="86"/>
      <c r="E577" s="87"/>
      <c r="F577" s="120"/>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ht="21.75" customHeight="1">
      <c r="A578" s="86"/>
      <c r="B578" s="120"/>
      <c r="C578" s="87"/>
      <c r="D578" s="86"/>
      <c r="E578" s="87"/>
      <c r="F578" s="120"/>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ht="21.75" customHeight="1">
      <c r="A579" s="86"/>
      <c r="B579" s="120"/>
      <c r="C579" s="87"/>
      <c r="D579" s="86"/>
      <c r="E579" s="87"/>
      <c r="F579" s="120"/>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ht="21.75" customHeight="1">
      <c r="A580" s="86"/>
      <c r="B580" s="120"/>
      <c r="C580" s="87"/>
      <c r="D580" s="86"/>
      <c r="E580" s="87"/>
      <c r="F580" s="120"/>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ht="21.75" customHeight="1">
      <c r="A581" s="86"/>
      <c r="B581" s="120"/>
      <c r="C581" s="87"/>
      <c r="D581" s="86"/>
      <c r="E581" s="87"/>
      <c r="F581" s="120"/>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row>
    <row r="582" spans="1:33" ht="21.75" customHeight="1">
      <c r="A582" s="86"/>
      <c r="B582" s="120"/>
      <c r="C582" s="87"/>
      <c r="D582" s="86"/>
      <c r="E582" s="87"/>
      <c r="F582" s="120"/>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row>
    <row r="583" spans="1:33" ht="21.75" customHeight="1">
      <c r="A583" s="86"/>
      <c r="B583" s="120"/>
      <c r="C583" s="87"/>
      <c r="D583" s="86"/>
      <c r="E583" s="87"/>
      <c r="F583" s="120"/>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row>
    <row r="584" spans="1:33" ht="21.75" customHeight="1">
      <c r="A584" s="86"/>
      <c r="B584" s="120"/>
      <c r="C584" s="87"/>
      <c r="D584" s="86"/>
      <c r="E584" s="87"/>
      <c r="F584" s="120"/>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row>
    <row r="585" spans="1:33" ht="21.75" customHeight="1">
      <c r="A585" s="86"/>
      <c r="B585" s="120"/>
      <c r="C585" s="87"/>
      <c r="D585" s="86"/>
      <c r="E585" s="87"/>
      <c r="F585" s="120"/>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row>
    <row r="586" spans="1:33" ht="21.75" customHeight="1">
      <c r="A586" s="86"/>
      <c r="B586" s="120"/>
      <c r="C586" s="87"/>
      <c r="D586" s="86"/>
      <c r="E586" s="87"/>
      <c r="F586" s="120"/>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row>
    <row r="587" spans="1:33" ht="21.75" customHeight="1">
      <c r="A587" s="86"/>
      <c r="B587" s="120"/>
      <c r="C587" s="87"/>
      <c r="D587" s="86"/>
      <c r="E587" s="87"/>
      <c r="F587" s="120"/>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row>
    <row r="588" spans="1:33" ht="21.75" customHeight="1">
      <c r="A588" s="86"/>
      <c r="B588" s="120"/>
      <c r="C588" s="87"/>
      <c r="D588" s="86"/>
      <c r="E588" s="87"/>
      <c r="F588" s="120"/>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row>
    <row r="589" spans="1:33" ht="21.75" customHeight="1">
      <c r="A589" s="86"/>
      <c r="B589" s="120"/>
      <c r="C589" s="87"/>
      <c r="D589" s="86"/>
      <c r="E589" s="87"/>
      <c r="F589" s="120"/>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row>
    <row r="590" spans="1:33" ht="21.75" customHeight="1">
      <c r="A590" s="86"/>
      <c r="B590" s="120"/>
      <c r="C590" s="87"/>
      <c r="D590" s="86"/>
      <c r="E590" s="87"/>
      <c r="F590" s="120"/>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row>
    <row r="591" spans="1:33" ht="21.75" customHeight="1">
      <c r="A591" s="86"/>
      <c r="B591" s="120"/>
      <c r="C591" s="87"/>
      <c r="D591" s="86"/>
      <c r="E591" s="87"/>
      <c r="F591" s="120"/>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row>
    <row r="592" spans="1:33" ht="21.75" customHeight="1">
      <c r="A592" s="86"/>
      <c r="B592" s="120"/>
      <c r="C592" s="87"/>
      <c r="D592" s="86"/>
      <c r="E592" s="87"/>
      <c r="F592" s="120"/>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row>
    <row r="593" spans="1:33" ht="21.75" customHeight="1">
      <c r="A593" s="86"/>
      <c r="B593" s="120"/>
      <c r="C593" s="87"/>
      <c r="D593" s="86"/>
      <c r="E593" s="87"/>
      <c r="F593" s="120"/>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row>
    <row r="594" spans="1:33" ht="21.75" customHeight="1">
      <c r="A594" s="86"/>
      <c r="B594" s="120"/>
      <c r="C594" s="87"/>
      <c r="D594" s="86"/>
      <c r="E594" s="87"/>
      <c r="F594" s="120"/>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row>
    <row r="595" spans="1:33" ht="21.75" customHeight="1">
      <c r="A595" s="86"/>
      <c r="B595" s="120"/>
      <c r="C595" s="87"/>
      <c r="D595" s="86"/>
      <c r="E595" s="87"/>
      <c r="F595" s="120"/>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row>
    <row r="596" spans="1:33" ht="21.75" customHeight="1">
      <c r="A596" s="86"/>
      <c r="B596" s="120"/>
      <c r="C596" s="87"/>
      <c r="D596" s="86"/>
      <c r="E596" s="87"/>
      <c r="F596" s="120"/>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row>
    <row r="597" spans="1:33" ht="21.75" customHeight="1">
      <c r="A597" s="86"/>
      <c r="B597" s="120"/>
      <c r="C597" s="87"/>
      <c r="D597" s="86"/>
      <c r="E597" s="87"/>
      <c r="F597" s="120"/>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row>
    <row r="598" spans="1:33" ht="21.75" customHeight="1">
      <c r="A598" s="86"/>
      <c r="B598" s="120"/>
      <c r="C598" s="87"/>
      <c r="D598" s="86"/>
      <c r="E598" s="87"/>
      <c r="F598" s="120"/>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row>
    <row r="599" spans="1:33" ht="21.75" customHeight="1">
      <c r="A599" s="86"/>
      <c r="B599" s="120"/>
      <c r="C599" s="87"/>
      <c r="D599" s="86"/>
      <c r="E599" s="87"/>
      <c r="F599" s="120"/>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row>
    <row r="600" spans="1:33" ht="21.75" customHeight="1">
      <c r="A600" s="86"/>
      <c r="B600" s="120"/>
      <c r="C600" s="87"/>
      <c r="D600" s="86"/>
      <c r="E600" s="87"/>
      <c r="F600" s="120"/>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row>
    <row r="601" spans="1:33" ht="21.75" customHeight="1">
      <c r="A601" s="86"/>
      <c r="B601" s="120"/>
      <c r="C601" s="87"/>
      <c r="D601" s="86"/>
      <c r="E601" s="87"/>
      <c r="F601" s="120"/>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row>
    <row r="602" spans="1:33" ht="21.75" customHeight="1">
      <c r="A602" s="86"/>
      <c r="B602" s="120"/>
      <c r="C602" s="87"/>
      <c r="D602" s="86"/>
      <c r="E602" s="87"/>
      <c r="F602" s="120"/>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row>
    <row r="603" spans="1:33" ht="21.75" customHeight="1">
      <c r="A603" s="86"/>
      <c r="B603" s="120"/>
      <c r="C603" s="87"/>
      <c r="D603" s="86"/>
      <c r="E603" s="87"/>
      <c r="F603" s="120"/>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row>
    <row r="604" spans="1:33" ht="21.75" customHeight="1">
      <c r="A604" s="86"/>
      <c r="B604" s="120"/>
      <c r="C604" s="87"/>
      <c r="D604" s="86"/>
      <c r="E604" s="87"/>
      <c r="F604" s="120"/>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row>
    <row r="605" spans="1:33" ht="21.75" customHeight="1">
      <c r="A605" s="86"/>
      <c r="B605" s="120"/>
      <c r="C605" s="87"/>
      <c r="D605" s="86"/>
      <c r="E605" s="87"/>
      <c r="F605" s="120"/>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row>
    <row r="606" spans="1:33" ht="21.75" customHeight="1">
      <c r="A606" s="86"/>
      <c r="B606" s="120"/>
      <c r="C606" s="87"/>
      <c r="D606" s="86"/>
      <c r="E606" s="87"/>
      <c r="F606" s="120"/>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row>
    <row r="607" spans="1:33" ht="21.75" customHeight="1">
      <c r="A607" s="86"/>
      <c r="B607" s="120"/>
      <c r="C607" s="87"/>
      <c r="D607" s="86"/>
      <c r="E607" s="87"/>
      <c r="F607" s="120"/>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row>
    <row r="608" spans="1:33" ht="21.75" customHeight="1">
      <c r="A608" s="86"/>
      <c r="B608" s="120"/>
      <c r="C608" s="87"/>
      <c r="D608" s="86"/>
      <c r="E608" s="87"/>
      <c r="F608" s="120"/>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row>
    <row r="609" spans="1:33" ht="21.75" customHeight="1">
      <c r="A609" s="86"/>
      <c r="B609" s="120"/>
      <c r="C609" s="87"/>
      <c r="D609" s="86"/>
      <c r="E609" s="87"/>
      <c r="F609" s="120"/>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row>
    <row r="610" spans="1:33" ht="21.75" customHeight="1">
      <c r="A610" s="86"/>
      <c r="B610" s="120"/>
      <c r="C610" s="87"/>
      <c r="D610" s="86"/>
      <c r="E610" s="87"/>
      <c r="F610" s="120"/>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row>
    <row r="611" spans="1:33" ht="21.75" customHeight="1">
      <c r="A611" s="86"/>
      <c r="B611" s="120"/>
      <c r="C611" s="87"/>
      <c r="D611" s="86"/>
      <c r="E611" s="87"/>
      <c r="F611" s="120"/>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row>
    <row r="612" spans="1:33" ht="21.75" customHeight="1">
      <c r="A612" s="86"/>
      <c r="B612" s="120"/>
      <c r="C612" s="87"/>
      <c r="D612" s="86"/>
      <c r="E612" s="87"/>
      <c r="F612" s="120"/>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row>
    <row r="613" spans="1:33" ht="21.75" customHeight="1">
      <c r="A613" s="86"/>
      <c r="B613" s="120"/>
      <c r="C613" s="87"/>
      <c r="D613" s="86"/>
      <c r="E613" s="87"/>
      <c r="F613" s="120"/>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row>
    <row r="614" spans="1:33" ht="21.75" customHeight="1">
      <c r="A614" s="86"/>
      <c r="B614" s="120"/>
      <c r="C614" s="87"/>
      <c r="D614" s="86"/>
      <c r="E614" s="87"/>
      <c r="F614" s="120"/>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row>
    <row r="615" spans="1:33" ht="21.75" customHeight="1">
      <c r="A615" s="86"/>
      <c r="B615" s="120"/>
      <c r="C615" s="87"/>
      <c r="D615" s="86"/>
      <c r="E615" s="87"/>
      <c r="F615" s="120"/>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row>
    <row r="616" spans="1:33" ht="21.75" customHeight="1">
      <c r="A616" s="86"/>
      <c r="B616" s="120"/>
      <c r="C616" s="87"/>
      <c r="D616" s="86"/>
      <c r="E616" s="87"/>
      <c r="F616" s="120"/>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row>
    <row r="617" spans="1:33" ht="21.75" customHeight="1">
      <c r="A617" s="86"/>
      <c r="B617" s="120"/>
      <c r="C617" s="87"/>
      <c r="D617" s="86"/>
      <c r="E617" s="87"/>
      <c r="F617" s="120"/>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row>
    <row r="618" spans="1:33" ht="21.75" customHeight="1">
      <c r="A618" s="86"/>
      <c r="B618" s="120"/>
      <c r="C618" s="87"/>
      <c r="D618" s="86"/>
      <c r="E618" s="87"/>
      <c r="F618" s="120"/>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row>
    <row r="619" spans="1:33" ht="21.75" customHeight="1">
      <c r="A619" s="86"/>
      <c r="B619" s="120"/>
      <c r="C619" s="87"/>
      <c r="D619" s="86"/>
      <c r="E619" s="87"/>
      <c r="F619" s="120"/>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row>
    <row r="620" spans="1:33" ht="21.75" customHeight="1">
      <c r="A620" s="86"/>
      <c r="B620" s="120"/>
      <c r="C620" s="87"/>
      <c r="D620" s="86"/>
      <c r="E620" s="87"/>
      <c r="F620" s="120"/>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row>
    <row r="621" spans="1:33" ht="21.75" customHeight="1">
      <c r="A621" s="86"/>
      <c r="B621" s="120"/>
      <c r="C621" s="87"/>
      <c r="D621" s="86"/>
      <c r="E621" s="87"/>
      <c r="F621" s="120"/>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row>
    <row r="622" spans="1:33" ht="21.75" customHeight="1">
      <c r="A622" s="86"/>
      <c r="B622" s="120"/>
      <c r="C622" s="87"/>
      <c r="D622" s="86"/>
      <c r="E622" s="87"/>
      <c r="F622" s="120"/>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row>
    <row r="623" spans="1:33" ht="21.75" customHeight="1">
      <c r="A623" s="86"/>
      <c r="B623" s="120"/>
      <c r="C623" s="87"/>
      <c r="D623" s="86"/>
      <c r="E623" s="87"/>
      <c r="F623" s="120"/>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row>
    <row r="624" spans="1:33" ht="21.75" customHeight="1">
      <c r="A624" s="86"/>
      <c r="B624" s="120"/>
      <c r="C624" s="87"/>
      <c r="D624" s="86"/>
      <c r="E624" s="87"/>
      <c r="F624" s="120"/>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row>
    <row r="625" spans="1:33" ht="21.75" customHeight="1">
      <c r="A625" s="86"/>
      <c r="B625" s="120"/>
      <c r="C625" s="87"/>
      <c r="D625" s="86"/>
      <c r="E625" s="87"/>
      <c r="F625" s="120"/>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row>
    <row r="626" spans="1:33" ht="21.75" customHeight="1">
      <c r="A626" s="86"/>
      <c r="B626" s="120"/>
      <c r="C626" s="87"/>
      <c r="D626" s="86"/>
      <c r="E626" s="87"/>
      <c r="F626" s="120"/>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row>
    <row r="627" spans="1:33" ht="21.75" customHeight="1">
      <c r="A627" s="86"/>
      <c r="B627" s="120"/>
      <c r="C627" s="87"/>
      <c r="D627" s="86"/>
      <c r="E627" s="87"/>
      <c r="F627" s="120"/>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row>
    <row r="628" spans="1:33" ht="21.75" customHeight="1">
      <c r="A628" s="86"/>
      <c r="B628" s="120"/>
      <c r="C628" s="87"/>
      <c r="D628" s="86"/>
      <c r="E628" s="87"/>
      <c r="F628" s="120"/>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row>
    <row r="629" spans="1:33" ht="21.75" customHeight="1">
      <c r="A629" s="86"/>
      <c r="B629" s="120"/>
      <c r="C629" s="87"/>
      <c r="D629" s="86"/>
      <c r="E629" s="87"/>
      <c r="F629" s="120"/>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row>
    <row r="630" spans="1:33" ht="21.75" customHeight="1">
      <c r="A630" s="86"/>
      <c r="B630" s="120"/>
      <c r="C630" s="87"/>
      <c r="D630" s="86"/>
      <c r="E630" s="87"/>
      <c r="F630" s="120"/>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row>
    <row r="631" spans="1:33" ht="21.75" customHeight="1">
      <c r="A631" s="86"/>
      <c r="B631" s="120"/>
      <c r="C631" s="87"/>
      <c r="D631" s="86"/>
      <c r="E631" s="87"/>
      <c r="F631" s="120"/>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row>
    <row r="632" spans="1:33" ht="21.75" customHeight="1">
      <c r="A632" s="86"/>
      <c r="B632" s="120"/>
      <c r="C632" s="87"/>
      <c r="D632" s="86"/>
      <c r="E632" s="87"/>
      <c r="F632" s="120"/>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row>
    <row r="633" spans="1:33" ht="21.75" customHeight="1">
      <c r="A633" s="86"/>
      <c r="B633" s="120"/>
      <c r="C633" s="87"/>
      <c r="D633" s="86"/>
      <c r="E633" s="87"/>
      <c r="F633" s="120"/>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row>
    <row r="634" spans="1:33" ht="21.75" customHeight="1">
      <c r="A634" s="86"/>
      <c r="B634" s="120"/>
      <c r="C634" s="87"/>
      <c r="D634" s="86"/>
      <c r="E634" s="87"/>
      <c r="F634" s="120"/>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row>
    <row r="635" spans="1:33" ht="21.75" customHeight="1">
      <c r="A635" s="86"/>
      <c r="B635" s="120"/>
      <c r="C635" s="87"/>
      <c r="D635" s="86"/>
      <c r="E635" s="87"/>
      <c r="F635" s="120"/>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row>
    <row r="636" spans="1:33" ht="21.75" customHeight="1">
      <c r="A636" s="86"/>
      <c r="B636" s="120"/>
      <c r="C636" s="87"/>
      <c r="D636" s="86"/>
      <c r="E636" s="87"/>
      <c r="F636" s="120"/>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row>
    <row r="637" spans="1:33" ht="21.75" customHeight="1">
      <c r="A637" s="86"/>
      <c r="B637" s="120"/>
      <c r="C637" s="87"/>
      <c r="D637" s="86"/>
      <c r="E637" s="87"/>
      <c r="F637" s="120"/>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row>
    <row r="638" spans="1:33" ht="21.75" customHeight="1">
      <c r="A638" s="86"/>
      <c r="B638" s="120"/>
      <c r="C638" s="87"/>
      <c r="D638" s="86"/>
      <c r="E638" s="87"/>
      <c r="F638" s="120"/>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row>
    <row r="639" spans="1:33" ht="21.75" customHeight="1">
      <c r="A639" s="86"/>
      <c r="B639" s="120"/>
      <c r="C639" s="87"/>
      <c r="D639" s="86"/>
      <c r="E639" s="87"/>
      <c r="F639" s="120"/>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row>
    <row r="640" spans="1:33" ht="21.75" customHeight="1">
      <c r="A640" s="86"/>
      <c r="B640" s="120"/>
      <c r="C640" s="87"/>
      <c r="D640" s="86"/>
      <c r="E640" s="87"/>
      <c r="F640" s="120"/>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row>
    <row r="641" spans="1:33" ht="21.75" customHeight="1">
      <c r="A641" s="86"/>
      <c r="B641" s="120"/>
      <c r="C641" s="87"/>
      <c r="D641" s="86"/>
      <c r="E641" s="87"/>
      <c r="F641" s="120"/>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row>
    <row r="642" spans="1:33" ht="21.75" customHeight="1">
      <c r="A642" s="86"/>
      <c r="B642" s="120"/>
      <c r="C642" s="87"/>
      <c r="D642" s="86"/>
      <c r="E642" s="87"/>
      <c r="F642" s="120"/>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row>
    <row r="643" spans="1:33" ht="21.75" customHeight="1">
      <c r="A643" s="86"/>
      <c r="B643" s="120"/>
      <c r="C643" s="87"/>
      <c r="D643" s="86"/>
      <c r="E643" s="87"/>
      <c r="F643" s="120"/>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row>
    <row r="644" spans="1:33" ht="21.75" customHeight="1">
      <c r="A644" s="86"/>
      <c r="B644" s="120"/>
      <c r="C644" s="87"/>
      <c r="D644" s="86"/>
      <c r="E644" s="87"/>
      <c r="F644" s="120"/>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row>
    <row r="645" spans="1:33" ht="21.75" customHeight="1">
      <c r="A645" s="86"/>
      <c r="B645" s="120"/>
      <c r="C645" s="87"/>
      <c r="D645" s="86"/>
      <c r="E645" s="87"/>
      <c r="F645" s="120"/>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row>
    <row r="646" spans="1:33" ht="21.75" customHeight="1">
      <c r="A646" s="86"/>
      <c r="B646" s="120"/>
      <c r="C646" s="87"/>
      <c r="D646" s="86"/>
      <c r="E646" s="87"/>
      <c r="F646" s="120"/>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row>
    <row r="647" spans="1:33" ht="21.75" customHeight="1">
      <c r="A647" s="86"/>
      <c r="B647" s="120"/>
      <c r="C647" s="87"/>
      <c r="D647" s="86"/>
      <c r="E647" s="87"/>
      <c r="F647" s="120"/>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row>
    <row r="648" spans="1:33" ht="21.75" customHeight="1">
      <c r="A648" s="86"/>
      <c r="B648" s="120"/>
      <c r="C648" s="87"/>
      <c r="D648" s="86"/>
      <c r="E648" s="87"/>
      <c r="F648" s="120"/>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row>
    <row r="649" spans="1:33" ht="21.75" customHeight="1">
      <c r="A649" s="86"/>
      <c r="B649" s="120"/>
      <c r="C649" s="87"/>
      <c r="D649" s="86"/>
      <c r="E649" s="87"/>
      <c r="F649" s="120"/>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row>
    <row r="650" spans="1:33" ht="21.75" customHeight="1">
      <c r="A650" s="86"/>
      <c r="B650" s="120"/>
      <c r="C650" s="87"/>
      <c r="D650" s="86"/>
      <c r="E650" s="87"/>
      <c r="F650" s="120"/>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row>
    <row r="651" spans="1:33" ht="21.75" customHeight="1">
      <c r="A651" s="86"/>
      <c r="B651" s="120"/>
      <c r="C651" s="87"/>
      <c r="D651" s="86"/>
      <c r="E651" s="87"/>
      <c r="F651" s="120"/>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row>
    <row r="652" spans="1:33" ht="21.75" customHeight="1">
      <c r="A652" s="86"/>
      <c r="B652" s="120"/>
      <c r="C652" s="87"/>
      <c r="D652" s="86"/>
      <c r="E652" s="87"/>
      <c r="F652" s="120"/>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row>
    <row r="653" spans="1:33" ht="21.75" customHeight="1">
      <c r="A653" s="86"/>
      <c r="B653" s="120"/>
      <c r="C653" s="87"/>
      <c r="D653" s="86"/>
      <c r="E653" s="87"/>
      <c r="F653" s="120"/>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row>
    <row r="654" spans="1:33" ht="21.75" customHeight="1">
      <c r="A654" s="86"/>
      <c r="B654" s="120"/>
      <c r="C654" s="87"/>
      <c r="D654" s="86"/>
      <c r="E654" s="87"/>
      <c r="F654" s="120"/>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row>
    <row r="655" spans="1:33" ht="21.75" customHeight="1">
      <c r="A655" s="86"/>
      <c r="B655" s="120"/>
      <c r="C655" s="87"/>
      <c r="D655" s="86"/>
      <c r="E655" s="87"/>
      <c r="F655" s="120"/>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row>
    <row r="656" spans="1:33" ht="21.75" customHeight="1">
      <c r="A656" s="86"/>
      <c r="B656" s="120"/>
      <c r="C656" s="87"/>
      <c r="D656" s="86"/>
      <c r="E656" s="87"/>
      <c r="F656" s="120"/>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row>
    <row r="657" spans="1:33" ht="21.75" customHeight="1">
      <c r="A657" s="86"/>
      <c r="B657" s="120"/>
      <c r="C657" s="87"/>
      <c r="D657" s="86"/>
      <c r="E657" s="87"/>
      <c r="F657" s="120"/>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row>
    <row r="658" spans="1:33" ht="21.75" customHeight="1">
      <c r="A658" s="86"/>
      <c r="B658" s="120"/>
      <c r="C658" s="87"/>
      <c r="D658" s="86"/>
      <c r="E658" s="87"/>
      <c r="F658" s="120"/>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row>
    <row r="659" spans="1:33" ht="21.75" customHeight="1">
      <c r="A659" s="86"/>
      <c r="B659" s="120"/>
      <c r="C659" s="87"/>
      <c r="D659" s="86"/>
      <c r="E659" s="87"/>
      <c r="F659" s="120"/>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row>
    <row r="660" spans="1:33" ht="21.75" customHeight="1">
      <c r="A660" s="86"/>
      <c r="B660" s="120"/>
      <c r="C660" s="87"/>
      <c r="D660" s="86"/>
      <c r="E660" s="87"/>
      <c r="F660" s="120"/>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row>
    <row r="661" spans="1:33" ht="21.75" customHeight="1">
      <c r="A661" s="86"/>
      <c r="B661" s="120"/>
      <c r="C661" s="87"/>
      <c r="D661" s="86"/>
      <c r="E661" s="87"/>
      <c r="F661" s="120"/>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row>
    <row r="662" spans="1:33" ht="21.75" customHeight="1">
      <c r="A662" s="86"/>
      <c r="B662" s="120"/>
      <c r="C662" s="87"/>
      <c r="D662" s="86"/>
      <c r="E662" s="87"/>
      <c r="F662" s="120"/>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row>
    <row r="663" spans="1:33" ht="21.75" customHeight="1">
      <c r="A663" s="86"/>
      <c r="B663" s="120"/>
      <c r="C663" s="87"/>
      <c r="D663" s="86"/>
      <c r="E663" s="87"/>
      <c r="F663" s="120"/>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row>
    <row r="664" spans="1:33" ht="21.75" customHeight="1">
      <c r="A664" s="86"/>
      <c r="B664" s="120"/>
      <c r="C664" s="87"/>
      <c r="D664" s="86"/>
      <c r="E664" s="87"/>
      <c r="F664" s="120"/>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row>
    <row r="665" spans="1:33" ht="21.75" customHeight="1">
      <c r="A665" s="86"/>
      <c r="B665" s="120"/>
      <c r="C665" s="87"/>
      <c r="D665" s="86"/>
      <c r="E665" s="87"/>
      <c r="F665" s="120"/>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row>
    <row r="666" spans="1:33" ht="21.75" customHeight="1">
      <c r="A666" s="86"/>
      <c r="B666" s="120"/>
      <c r="C666" s="87"/>
      <c r="D666" s="86"/>
      <c r="E666" s="87"/>
      <c r="F666" s="120"/>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row>
    <row r="667" spans="1:33" ht="21.75" customHeight="1">
      <c r="A667" s="86"/>
      <c r="B667" s="120"/>
      <c r="C667" s="87"/>
      <c r="D667" s="86"/>
      <c r="E667" s="87"/>
      <c r="F667" s="120"/>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row>
    <row r="668" spans="1:33" ht="21.75" customHeight="1">
      <c r="A668" s="86"/>
      <c r="B668" s="120"/>
      <c r="C668" s="87"/>
      <c r="D668" s="86"/>
      <c r="E668" s="87"/>
      <c r="F668" s="120"/>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row>
    <row r="669" spans="1:33" ht="21.75" customHeight="1">
      <c r="A669" s="86"/>
      <c r="B669" s="120"/>
      <c r="C669" s="87"/>
      <c r="D669" s="86"/>
      <c r="E669" s="87"/>
      <c r="F669" s="120"/>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row>
    <row r="670" spans="1:33" ht="21.75" customHeight="1">
      <c r="A670" s="86"/>
      <c r="B670" s="120"/>
      <c r="C670" s="87"/>
      <c r="D670" s="86"/>
      <c r="E670" s="87"/>
      <c r="F670" s="120"/>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row>
    <row r="671" spans="1:33" ht="21.75" customHeight="1">
      <c r="A671" s="86"/>
      <c r="B671" s="120"/>
      <c r="C671" s="87"/>
      <c r="D671" s="86"/>
      <c r="E671" s="87"/>
      <c r="F671" s="120"/>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row>
    <row r="672" spans="1:33" ht="21.75" customHeight="1">
      <c r="A672" s="86"/>
      <c r="B672" s="120"/>
      <c r="C672" s="87"/>
      <c r="D672" s="86"/>
      <c r="E672" s="87"/>
      <c r="F672" s="120"/>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row>
    <row r="673" spans="1:33" ht="21.75" customHeight="1">
      <c r="A673" s="86"/>
      <c r="B673" s="120"/>
      <c r="C673" s="87"/>
      <c r="D673" s="86"/>
      <c r="E673" s="87"/>
      <c r="F673" s="120"/>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row>
    <row r="674" spans="1:33" ht="21.75" customHeight="1">
      <c r="A674" s="86"/>
      <c r="B674" s="120"/>
      <c r="C674" s="87"/>
      <c r="D674" s="86"/>
      <c r="E674" s="87"/>
      <c r="F674" s="120"/>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row>
    <row r="675" spans="1:33" ht="21.75" customHeight="1">
      <c r="A675" s="86"/>
      <c r="B675" s="120"/>
      <c r="C675" s="87"/>
      <c r="D675" s="86"/>
      <c r="E675" s="87"/>
      <c r="F675" s="120"/>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row>
    <row r="676" spans="1:33" ht="21.75" customHeight="1">
      <c r="A676" s="86"/>
      <c r="B676" s="120"/>
      <c r="C676" s="87"/>
      <c r="D676" s="86"/>
      <c r="E676" s="87"/>
      <c r="F676" s="120"/>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row>
    <row r="677" spans="1:33" ht="21.75" customHeight="1">
      <c r="A677" s="86"/>
      <c r="B677" s="120"/>
      <c r="C677" s="87"/>
      <c r="D677" s="86"/>
      <c r="E677" s="87"/>
      <c r="F677" s="120"/>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row>
    <row r="678" spans="1:33" ht="21.75" customHeight="1">
      <c r="A678" s="86"/>
      <c r="B678" s="120"/>
      <c r="C678" s="87"/>
      <c r="D678" s="86"/>
      <c r="E678" s="87"/>
      <c r="F678" s="120"/>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row>
    <row r="679" spans="1:33" ht="21.75" customHeight="1">
      <c r="A679" s="86"/>
      <c r="B679" s="120"/>
      <c r="C679" s="87"/>
      <c r="D679" s="86"/>
      <c r="E679" s="87"/>
      <c r="F679" s="120"/>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row>
    <row r="680" spans="1:33" ht="21.75" customHeight="1">
      <c r="A680" s="86"/>
      <c r="B680" s="120"/>
      <c r="C680" s="87"/>
      <c r="D680" s="86"/>
      <c r="E680" s="87"/>
      <c r="F680" s="120"/>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row>
    <row r="681" spans="1:33" ht="21.75" customHeight="1">
      <c r="A681" s="86"/>
      <c r="B681" s="120"/>
      <c r="C681" s="87"/>
      <c r="D681" s="86"/>
      <c r="E681" s="87"/>
      <c r="F681" s="120"/>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row>
    <row r="682" spans="1:33" ht="21.75" customHeight="1">
      <c r="A682" s="86"/>
      <c r="B682" s="120"/>
      <c r="C682" s="87"/>
      <c r="D682" s="86"/>
      <c r="E682" s="87"/>
      <c r="F682" s="120"/>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row>
    <row r="683" spans="1:33" ht="21.75" customHeight="1">
      <c r="A683" s="86"/>
      <c r="B683" s="120"/>
      <c r="C683" s="87"/>
      <c r="D683" s="86"/>
      <c r="E683" s="87"/>
      <c r="F683" s="120"/>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row>
    <row r="684" spans="1:33" ht="21.75" customHeight="1">
      <c r="A684" s="86"/>
      <c r="B684" s="120"/>
      <c r="C684" s="87"/>
      <c r="D684" s="86"/>
      <c r="E684" s="87"/>
      <c r="F684" s="120"/>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row>
    <row r="685" spans="1:33" ht="21.75" customHeight="1">
      <c r="A685" s="86"/>
      <c r="B685" s="120"/>
      <c r="C685" s="87"/>
      <c r="D685" s="86"/>
      <c r="E685" s="87"/>
      <c r="F685" s="120"/>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row>
    <row r="686" spans="1:33" ht="21.75" customHeight="1">
      <c r="A686" s="86"/>
      <c r="B686" s="120"/>
      <c r="C686" s="87"/>
      <c r="D686" s="86"/>
      <c r="E686" s="87"/>
      <c r="F686" s="120"/>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row>
    <row r="687" spans="1:33" ht="21.75" customHeight="1">
      <c r="A687" s="86"/>
      <c r="B687" s="120"/>
      <c r="C687" s="87"/>
      <c r="D687" s="86"/>
      <c r="E687" s="87"/>
      <c r="F687" s="120"/>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row>
    <row r="688" spans="1:33" ht="21.75" customHeight="1">
      <c r="A688" s="86"/>
      <c r="B688" s="120"/>
      <c r="C688" s="87"/>
      <c r="D688" s="86"/>
      <c r="E688" s="87"/>
      <c r="F688" s="120"/>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row>
    <row r="689" spans="1:33" ht="21.75" customHeight="1">
      <c r="A689" s="86"/>
      <c r="B689" s="120"/>
      <c r="C689" s="87"/>
      <c r="D689" s="86"/>
      <c r="E689" s="87"/>
      <c r="F689" s="120"/>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row>
    <row r="690" spans="1:33" ht="21.75" customHeight="1">
      <c r="A690" s="86"/>
      <c r="B690" s="120"/>
      <c r="C690" s="87"/>
      <c r="D690" s="86"/>
      <c r="E690" s="87"/>
      <c r="F690" s="120"/>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row>
    <row r="691" spans="1:33" ht="21.75" customHeight="1">
      <c r="A691" s="86"/>
      <c r="B691" s="120"/>
      <c r="C691" s="87"/>
      <c r="D691" s="86"/>
      <c r="E691" s="87"/>
      <c r="F691" s="120"/>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row>
    <row r="692" spans="1:33" ht="21.75" customHeight="1">
      <c r="A692" s="86"/>
      <c r="B692" s="120"/>
      <c r="C692" s="87"/>
      <c r="D692" s="86"/>
      <c r="E692" s="87"/>
      <c r="F692" s="120"/>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row>
    <row r="693" spans="1:33" ht="21.75" customHeight="1">
      <c r="A693" s="86"/>
      <c r="B693" s="120"/>
      <c r="C693" s="87"/>
      <c r="D693" s="86"/>
      <c r="E693" s="87"/>
      <c r="F693" s="120"/>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row>
    <row r="694" spans="1:33" ht="21.75" customHeight="1">
      <c r="A694" s="86"/>
      <c r="B694" s="120"/>
      <c r="C694" s="87"/>
      <c r="D694" s="86"/>
      <c r="E694" s="87"/>
      <c r="F694" s="120"/>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row>
    <row r="695" spans="1:33" ht="21.75" customHeight="1">
      <c r="A695" s="86"/>
      <c r="B695" s="120"/>
      <c r="C695" s="87"/>
      <c r="D695" s="86"/>
      <c r="E695" s="87"/>
      <c r="F695" s="120"/>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row>
    <row r="696" spans="1:33" ht="21.75" customHeight="1">
      <c r="A696" s="86"/>
      <c r="B696" s="120"/>
      <c r="C696" s="87"/>
      <c r="D696" s="86"/>
      <c r="E696" s="87"/>
      <c r="F696" s="120"/>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row>
    <row r="697" spans="1:33" ht="21.75" customHeight="1">
      <c r="A697" s="86"/>
      <c r="B697" s="120"/>
      <c r="C697" s="87"/>
      <c r="D697" s="86"/>
      <c r="E697" s="87"/>
      <c r="F697" s="120"/>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row>
    <row r="698" spans="1:33" ht="21.75" customHeight="1">
      <c r="A698" s="86"/>
      <c r="B698" s="120"/>
      <c r="C698" s="87"/>
      <c r="D698" s="86"/>
      <c r="E698" s="87"/>
      <c r="F698" s="120"/>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row>
    <row r="699" spans="1:33" ht="21.75" customHeight="1">
      <c r="A699" s="86"/>
      <c r="B699" s="120"/>
      <c r="C699" s="87"/>
      <c r="D699" s="86"/>
      <c r="E699" s="87"/>
      <c r="F699" s="120"/>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row>
    <row r="700" spans="1:33" ht="21.75" customHeight="1">
      <c r="A700" s="86"/>
      <c r="B700" s="120"/>
      <c r="C700" s="87"/>
      <c r="D700" s="86"/>
      <c r="E700" s="87"/>
      <c r="F700" s="120"/>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row>
    <row r="701" spans="1:33" ht="21.75" customHeight="1">
      <c r="A701" s="86"/>
      <c r="B701" s="120"/>
      <c r="C701" s="87"/>
      <c r="D701" s="86"/>
      <c r="E701" s="87"/>
      <c r="F701" s="120"/>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row>
    <row r="702" spans="1:33" ht="21.75" customHeight="1">
      <c r="A702" s="86"/>
      <c r="B702" s="120"/>
      <c r="C702" s="87"/>
      <c r="D702" s="86"/>
      <c r="E702" s="87"/>
      <c r="F702" s="120"/>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row>
    <row r="703" spans="1:33" ht="21.75" customHeight="1">
      <c r="A703" s="86"/>
      <c r="B703" s="120"/>
      <c r="C703" s="87"/>
      <c r="D703" s="86"/>
      <c r="E703" s="87"/>
      <c r="F703" s="120"/>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row>
    <row r="704" spans="1:33" ht="21.75" customHeight="1">
      <c r="A704" s="86"/>
      <c r="B704" s="120"/>
      <c r="C704" s="87"/>
      <c r="D704" s="86"/>
      <c r="E704" s="87"/>
      <c r="F704" s="120"/>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row>
    <row r="705" spans="1:33" ht="21.75" customHeight="1">
      <c r="A705" s="86"/>
      <c r="B705" s="120"/>
      <c r="C705" s="87"/>
      <c r="D705" s="86"/>
      <c r="E705" s="87"/>
      <c r="F705" s="120"/>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row>
    <row r="706" spans="1:33" ht="21.75" customHeight="1">
      <c r="A706" s="86"/>
      <c r="B706" s="120"/>
      <c r="C706" s="87"/>
      <c r="D706" s="86"/>
      <c r="E706" s="87"/>
      <c r="F706" s="120"/>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row>
    <row r="707" spans="1:33" ht="21.75" customHeight="1">
      <c r="A707" s="86"/>
      <c r="B707" s="120"/>
      <c r="C707" s="87"/>
      <c r="D707" s="86"/>
      <c r="E707" s="87"/>
      <c r="F707" s="120"/>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row>
    <row r="708" spans="1:33" ht="21.75" customHeight="1">
      <c r="A708" s="86"/>
      <c r="B708" s="120"/>
      <c r="C708" s="87"/>
      <c r="D708" s="86"/>
      <c r="E708" s="87"/>
      <c r="F708" s="120"/>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row>
    <row r="709" spans="1:33" ht="21.75" customHeight="1">
      <c r="A709" s="86"/>
      <c r="B709" s="120"/>
      <c r="C709" s="87"/>
      <c r="D709" s="86"/>
      <c r="E709" s="87"/>
      <c r="F709" s="120"/>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row>
    <row r="710" spans="1:33" ht="21.75" customHeight="1">
      <c r="A710" s="86"/>
      <c r="B710" s="120"/>
      <c r="C710" s="87"/>
      <c r="D710" s="86"/>
      <c r="E710" s="87"/>
      <c r="F710" s="120"/>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row>
    <row r="711" spans="1:33" ht="21.75" customHeight="1">
      <c r="A711" s="86"/>
      <c r="B711" s="120"/>
      <c r="C711" s="87"/>
      <c r="D711" s="86"/>
      <c r="E711" s="87"/>
      <c r="F711" s="120"/>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row>
    <row r="712" spans="1:33" ht="21.75" customHeight="1">
      <c r="A712" s="86"/>
      <c r="B712" s="120"/>
      <c r="C712" s="87"/>
      <c r="D712" s="86"/>
      <c r="E712" s="87"/>
      <c r="F712" s="120"/>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row>
    <row r="713" spans="1:33" ht="21.75" customHeight="1">
      <c r="A713" s="86"/>
      <c r="B713" s="120"/>
      <c r="C713" s="87"/>
      <c r="D713" s="86"/>
      <c r="E713" s="87"/>
      <c r="F713" s="120"/>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row>
    <row r="714" spans="1:33" ht="21.75" customHeight="1">
      <c r="A714" s="86"/>
      <c r="B714" s="120"/>
      <c r="C714" s="87"/>
      <c r="D714" s="86"/>
      <c r="E714" s="87"/>
      <c r="F714" s="120"/>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row>
    <row r="715" spans="1:33" ht="21.75" customHeight="1">
      <c r="A715" s="86"/>
      <c r="B715" s="120"/>
      <c r="C715" s="87"/>
      <c r="D715" s="86"/>
      <c r="E715" s="87"/>
      <c r="F715" s="120"/>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row>
    <row r="716" spans="1:33" ht="21.75" customHeight="1">
      <c r="A716" s="86"/>
      <c r="B716" s="120"/>
      <c r="C716" s="87"/>
      <c r="D716" s="86"/>
      <c r="E716" s="87"/>
      <c r="F716" s="120"/>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row>
    <row r="717" spans="1:33" ht="21.75" customHeight="1">
      <c r="A717" s="86"/>
      <c r="B717" s="120"/>
      <c r="C717" s="87"/>
      <c r="D717" s="86"/>
      <c r="E717" s="87"/>
      <c r="F717" s="120"/>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row>
    <row r="718" spans="1:33" ht="21.75" customHeight="1">
      <c r="A718" s="86"/>
      <c r="B718" s="120"/>
      <c r="C718" s="87"/>
      <c r="D718" s="86"/>
      <c r="E718" s="87"/>
      <c r="F718" s="120"/>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row>
    <row r="719" spans="1:33" ht="21.75" customHeight="1">
      <c r="A719" s="86"/>
      <c r="B719" s="120"/>
      <c r="C719" s="87"/>
      <c r="D719" s="86"/>
      <c r="E719" s="87"/>
      <c r="F719" s="120"/>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row>
    <row r="720" spans="1:33" ht="21.75" customHeight="1">
      <c r="A720" s="86"/>
      <c r="B720" s="120"/>
      <c r="C720" s="87"/>
      <c r="D720" s="86"/>
      <c r="E720" s="87"/>
      <c r="F720" s="120"/>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row>
    <row r="721" spans="1:33" ht="21.75" customHeight="1">
      <c r="A721" s="86"/>
      <c r="B721" s="120"/>
      <c r="C721" s="87"/>
      <c r="D721" s="86"/>
      <c r="E721" s="87"/>
      <c r="F721" s="120"/>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row>
    <row r="722" spans="1:33" ht="21.75" customHeight="1">
      <c r="A722" s="86"/>
      <c r="B722" s="120"/>
      <c r="C722" s="87"/>
      <c r="D722" s="86"/>
      <c r="E722" s="87"/>
      <c r="F722" s="120"/>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row>
    <row r="723" spans="1:33" ht="21.75" customHeight="1">
      <c r="A723" s="86"/>
      <c r="B723" s="120"/>
      <c r="C723" s="87"/>
      <c r="D723" s="86"/>
      <c r="E723" s="87"/>
      <c r="F723" s="120"/>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row>
    <row r="724" spans="1:33" ht="21.75" customHeight="1">
      <c r="A724" s="86"/>
      <c r="B724" s="120"/>
      <c r="C724" s="87"/>
      <c r="D724" s="86"/>
      <c r="E724" s="87"/>
      <c r="F724" s="120"/>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row>
    <row r="725" spans="1:33" ht="21.75" customHeight="1">
      <c r="A725" s="86"/>
      <c r="B725" s="120"/>
      <c r="C725" s="87"/>
      <c r="D725" s="86"/>
      <c r="E725" s="87"/>
      <c r="F725" s="120"/>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row>
    <row r="726" spans="1:33" ht="21.75" customHeight="1">
      <c r="A726" s="86"/>
      <c r="B726" s="120"/>
      <c r="C726" s="87"/>
      <c r="D726" s="86"/>
      <c r="E726" s="87"/>
      <c r="F726" s="120"/>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row>
    <row r="727" spans="1:33" ht="21.75" customHeight="1">
      <c r="A727" s="86"/>
      <c r="B727" s="120"/>
      <c r="C727" s="87"/>
      <c r="D727" s="86"/>
      <c r="E727" s="87"/>
      <c r="F727" s="120"/>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row>
    <row r="728" spans="1:33" ht="21.75" customHeight="1">
      <c r="A728" s="86"/>
      <c r="B728" s="120"/>
      <c r="C728" s="87"/>
      <c r="D728" s="86"/>
      <c r="E728" s="87"/>
      <c r="F728" s="120"/>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row>
    <row r="729" spans="1:33" ht="21.75" customHeight="1">
      <c r="A729" s="86"/>
      <c r="B729" s="120"/>
      <c r="C729" s="87"/>
      <c r="D729" s="86"/>
      <c r="E729" s="87"/>
      <c r="F729" s="120"/>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row>
    <row r="730" spans="1:33" ht="21.75" customHeight="1">
      <c r="A730" s="86"/>
      <c r="B730" s="120"/>
      <c r="C730" s="87"/>
      <c r="D730" s="86"/>
      <c r="E730" s="87"/>
      <c r="F730" s="120"/>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row>
    <row r="731" spans="1:33" ht="21.75" customHeight="1">
      <c r="A731" s="86"/>
      <c r="B731" s="120"/>
      <c r="C731" s="87"/>
      <c r="D731" s="86"/>
      <c r="E731" s="87"/>
      <c r="F731" s="120"/>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row>
    <row r="732" spans="1:33" ht="21.75" customHeight="1">
      <c r="A732" s="86"/>
      <c r="B732" s="120"/>
      <c r="C732" s="87"/>
      <c r="D732" s="86"/>
      <c r="E732" s="87"/>
      <c r="F732" s="120"/>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row>
    <row r="733" spans="1:33" ht="21.75" customHeight="1">
      <c r="A733" s="86"/>
      <c r="B733" s="120"/>
      <c r="C733" s="87"/>
      <c r="D733" s="86"/>
      <c r="E733" s="87"/>
      <c r="F733" s="120"/>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row>
    <row r="734" spans="1:33" ht="21.75" customHeight="1">
      <c r="A734" s="86"/>
      <c r="B734" s="120"/>
      <c r="C734" s="87"/>
      <c r="D734" s="86"/>
      <c r="E734" s="87"/>
      <c r="F734" s="120"/>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row>
    <row r="735" spans="1:33" ht="21.75" customHeight="1">
      <c r="A735" s="86"/>
      <c r="B735" s="120"/>
      <c r="C735" s="87"/>
      <c r="D735" s="86"/>
      <c r="E735" s="87"/>
      <c r="F735" s="120"/>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row>
    <row r="736" spans="1:33" ht="21.75" customHeight="1">
      <c r="A736" s="86"/>
      <c r="B736" s="120"/>
      <c r="C736" s="87"/>
      <c r="D736" s="86"/>
      <c r="E736" s="87"/>
      <c r="F736" s="120"/>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row>
    <row r="737" spans="1:33" ht="21.75" customHeight="1">
      <c r="A737" s="86"/>
      <c r="B737" s="120"/>
      <c r="C737" s="87"/>
      <c r="D737" s="86"/>
      <c r="E737" s="87"/>
      <c r="F737" s="120"/>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row>
    <row r="738" spans="1:33" ht="21.75" customHeight="1">
      <c r="A738" s="86"/>
      <c r="B738" s="120"/>
      <c r="C738" s="87"/>
      <c r="D738" s="86"/>
      <c r="E738" s="87"/>
      <c r="F738" s="120"/>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row>
    <row r="739" spans="1:33" ht="21.75" customHeight="1">
      <c r="A739" s="86"/>
      <c r="B739" s="120"/>
      <c r="C739" s="87"/>
      <c r="D739" s="86"/>
      <c r="E739" s="87"/>
      <c r="F739" s="120"/>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row>
    <row r="740" spans="1:33" ht="21.75" customHeight="1">
      <c r="A740" s="86"/>
      <c r="B740" s="120"/>
      <c r="C740" s="87"/>
      <c r="D740" s="86"/>
      <c r="E740" s="87"/>
      <c r="F740" s="120"/>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row>
    <row r="741" spans="1:33" ht="21.75" customHeight="1">
      <c r="A741" s="86"/>
      <c r="B741" s="120"/>
      <c r="C741" s="87"/>
      <c r="D741" s="86"/>
      <c r="E741" s="87"/>
      <c r="F741" s="120"/>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row>
    <row r="742" spans="1:33" ht="21.75" customHeight="1">
      <c r="A742" s="86"/>
      <c r="B742" s="120"/>
      <c r="C742" s="87"/>
      <c r="D742" s="86"/>
      <c r="E742" s="87"/>
      <c r="F742" s="120"/>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row>
    <row r="743" spans="1:33" ht="21.75" customHeight="1">
      <c r="A743" s="86"/>
      <c r="B743" s="120"/>
      <c r="C743" s="87"/>
      <c r="D743" s="86"/>
      <c r="E743" s="87"/>
      <c r="F743" s="120"/>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row>
    <row r="744" spans="1:33" ht="21.75" customHeight="1">
      <c r="A744" s="86"/>
      <c r="B744" s="120"/>
      <c r="C744" s="87"/>
      <c r="D744" s="86"/>
      <c r="E744" s="87"/>
      <c r="F744" s="120"/>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row>
    <row r="745" spans="1:33" ht="21.75" customHeight="1">
      <c r="A745" s="86"/>
      <c r="B745" s="120"/>
      <c r="C745" s="87"/>
      <c r="D745" s="86"/>
      <c r="E745" s="87"/>
      <c r="F745" s="120"/>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row>
    <row r="746" spans="1:33" ht="21.75" customHeight="1">
      <c r="A746" s="86"/>
      <c r="B746" s="120"/>
      <c r="C746" s="87"/>
      <c r="D746" s="86"/>
      <c r="E746" s="87"/>
      <c r="F746" s="120"/>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row>
    <row r="747" spans="1:33" ht="21.75" customHeight="1">
      <c r="A747" s="86"/>
      <c r="B747" s="120"/>
      <c r="C747" s="87"/>
      <c r="D747" s="86"/>
      <c r="E747" s="87"/>
      <c r="F747" s="120"/>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row>
    <row r="748" spans="1:33" ht="21.75" customHeight="1">
      <c r="A748" s="86"/>
      <c r="B748" s="120"/>
      <c r="C748" s="87"/>
      <c r="D748" s="86"/>
      <c r="E748" s="87"/>
      <c r="F748" s="120"/>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row>
    <row r="749" spans="1:33" ht="21.75" customHeight="1">
      <c r="A749" s="86"/>
      <c r="B749" s="120"/>
      <c r="C749" s="87"/>
      <c r="D749" s="86"/>
      <c r="E749" s="87"/>
      <c r="F749" s="120"/>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row>
    <row r="750" spans="1:33" ht="21.75" customHeight="1">
      <c r="A750" s="86"/>
      <c r="B750" s="120"/>
      <c r="C750" s="87"/>
      <c r="D750" s="86"/>
      <c r="E750" s="87"/>
      <c r="F750" s="120"/>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row>
    <row r="751" spans="1:33" ht="21.75" customHeight="1">
      <c r="A751" s="86"/>
      <c r="B751" s="120"/>
      <c r="C751" s="87"/>
      <c r="D751" s="86"/>
      <c r="E751" s="87"/>
      <c r="F751" s="120"/>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row>
    <row r="752" spans="1:33" ht="21.75" customHeight="1">
      <c r="A752" s="86"/>
      <c r="B752" s="120"/>
      <c r="C752" s="87"/>
      <c r="D752" s="86"/>
      <c r="E752" s="87"/>
      <c r="F752" s="120"/>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row>
    <row r="753" spans="1:33" ht="21.75" customHeight="1">
      <c r="A753" s="86"/>
      <c r="B753" s="120"/>
      <c r="C753" s="87"/>
      <c r="D753" s="86"/>
      <c r="E753" s="87"/>
      <c r="F753" s="120"/>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row>
    <row r="754" spans="1:33" ht="21.75" customHeight="1">
      <c r="A754" s="86"/>
      <c r="B754" s="120"/>
      <c r="C754" s="87"/>
      <c r="D754" s="86"/>
      <c r="E754" s="87"/>
      <c r="F754" s="120"/>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row>
    <row r="755" spans="1:33" ht="21.75" customHeight="1">
      <c r="A755" s="86"/>
      <c r="B755" s="120"/>
      <c r="C755" s="87"/>
      <c r="D755" s="86"/>
      <c r="E755" s="87"/>
      <c r="F755" s="120"/>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row>
    <row r="756" spans="1:33" ht="21.75" customHeight="1">
      <c r="A756" s="86"/>
      <c r="B756" s="120"/>
      <c r="C756" s="87"/>
      <c r="D756" s="86"/>
      <c r="E756" s="87"/>
      <c r="F756" s="120"/>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row>
    <row r="757" spans="1:33" ht="21.75" customHeight="1">
      <c r="A757" s="86"/>
      <c r="B757" s="120"/>
      <c r="C757" s="87"/>
      <c r="D757" s="86"/>
      <c r="E757" s="87"/>
      <c r="F757" s="120"/>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row>
    <row r="758" spans="1:33" ht="21.75" customHeight="1">
      <c r="A758" s="86"/>
      <c r="B758" s="120"/>
      <c r="C758" s="87"/>
      <c r="D758" s="86"/>
      <c r="E758" s="87"/>
      <c r="F758" s="120"/>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row>
    <row r="759" spans="1:33" ht="21.75" customHeight="1">
      <c r="A759" s="86"/>
      <c r="B759" s="120"/>
      <c r="C759" s="87"/>
      <c r="D759" s="86"/>
      <c r="E759" s="87"/>
      <c r="F759" s="120"/>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row>
    <row r="760" spans="1:33" ht="21.75" customHeight="1">
      <c r="A760" s="86"/>
      <c r="B760" s="120"/>
      <c r="C760" s="87"/>
      <c r="D760" s="86"/>
      <c r="E760" s="87"/>
      <c r="F760" s="120"/>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row>
    <row r="761" spans="1:33" ht="21.75" customHeight="1">
      <c r="A761" s="86"/>
      <c r="B761" s="120"/>
      <c r="C761" s="87"/>
      <c r="D761" s="86"/>
      <c r="E761" s="87"/>
      <c r="F761" s="120"/>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row>
    <row r="762" spans="1:33" ht="21.75" customHeight="1">
      <c r="A762" s="86"/>
      <c r="B762" s="120"/>
      <c r="C762" s="87"/>
      <c r="D762" s="86"/>
      <c r="E762" s="87"/>
      <c r="F762" s="120"/>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row>
    <row r="763" spans="1:33" ht="21.75" customHeight="1">
      <c r="A763" s="86"/>
      <c r="B763" s="120"/>
      <c r="C763" s="87"/>
      <c r="D763" s="86"/>
      <c r="E763" s="87"/>
      <c r="F763" s="120"/>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row>
    <row r="764" spans="1:33" ht="21.75" customHeight="1">
      <c r="A764" s="86"/>
      <c r="B764" s="120"/>
      <c r="C764" s="87"/>
      <c r="D764" s="86"/>
      <c r="E764" s="87"/>
      <c r="F764" s="120"/>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row>
    <row r="765" spans="1:33" ht="21.75" customHeight="1">
      <c r="A765" s="86"/>
      <c r="B765" s="120"/>
      <c r="C765" s="87"/>
      <c r="D765" s="86"/>
      <c r="E765" s="87"/>
      <c r="F765" s="120"/>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row>
    <row r="766" spans="1:33" ht="21.75" customHeight="1">
      <c r="A766" s="86"/>
      <c r="B766" s="120"/>
      <c r="C766" s="87"/>
      <c r="D766" s="86"/>
      <c r="E766" s="87"/>
      <c r="F766" s="120"/>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row>
    <row r="767" spans="1:33" ht="21.75" customHeight="1">
      <c r="A767" s="86"/>
      <c r="B767" s="120"/>
      <c r="C767" s="87"/>
      <c r="D767" s="86"/>
      <c r="E767" s="87"/>
      <c r="F767" s="120"/>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row>
    <row r="768" spans="1:33" ht="21.75" customHeight="1">
      <c r="A768" s="86"/>
      <c r="B768" s="120"/>
      <c r="C768" s="87"/>
      <c r="D768" s="86"/>
      <c r="E768" s="87"/>
      <c r="F768" s="120"/>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row>
    <row r="769" spans="1:33" ht="21.75" customHeight="1">
      <c r="A769" s="86"/>
      <c r="B769" s="120"/>
      <c r="C769" s="87"/>
      <c r="D769" s="86"/>
      <c r="E769" s="87"/>
      <c r="F769" s="120"/>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row>
    <row r="770" spans="1:33" ht="21.75" customHeight="1">
      <c r="A770" s="86"/>
      <c r="B770" s="120"/>
      <c r="C770" s="87"/>
      <c r="D770" s="86"/>
      <c r="E770" s="87"/>
      <c r="F770" s="120"/>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row>
    <row r="771" spans="1:33" ht="21.75" customHeight="1">
      <c r="A771" s="86"/>
      <c r="B771" s="120"/>
      <c r="C771" s="87"/>
      <c r="D771" s="86"/>
      <c r="E771" s="87"/>
      <c r="F771" s="120"/>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row>
    <row r="772" spans="1:33" ht="21.75" customHeight="1">
      <c r="A772" s="86"/>
      <c r="B772" s="120"/>
      <c r="C772" s="87"/>
      <c r="D772" s="86"/>
      <c r="E772" s="87"/>
      <c r="F772" s="120"/>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row>
    <row r="773" spans="1:33" ht="21.75" customHeight="1">
      <c r="A773" s="86"/>
      <c r="B773" s="120"/>
      <c r="C773" s="87"/>
      <c r="D773" s="86"/>
      <c r="E773" s="87"/>
      <c r="F773" s="120"/>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row>
    <row r="774" spans="1:33" ht="21.75" customHeight="1">
      <c r="A774" s="86"/>
      <c r="B774" s="120"/>
      <c r="C774" s="87"/>
      <c r="D774" s="86"/>
      <c r="E774" s="87"/>
      <c r="F774" s="120"/>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row>
    <row r="775" spans="1:33" ht="21.75" customHeight="1">
      <c r="A775" s="86"/>
      <c r="B775" s="120"/>
      <c r="C775" s="87"/>
      <c r="D775" s="86"/>
      <c r="E775" s="87"/>
      <c r="F775" s="120"/>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row>
    <row r="776" spans="1:33" ht="21.75" customHeight="1">
      <c r="A776" s="86"/>
      <c r="B776" s="120"/>
      <c r="C776" s="87"/>
      <c r="D776" s="86"/>
      <c r="E776" s="87"/>
      <c r="F776" s="120"/>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row>
    <row r="777" spans="1:33" ht="21.75" customHeight="1">
      <c r="A777" s="86"/>
      <c r="B777" s="120"/>
      <c r="C777" s="87"/>
      <c r="D777" s="86"/>
      <c r="E777" s="87"/>
      <c r="F777" s="120"/>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row>
    <row r="778" spans="1:33" ht="21.75" customHeight="1">
      <c r="A778" s="86"/>
      <c r="B778" s="120"/>
      <c r="C778" s="87"/>
      <c r="D778" s="86"/>
      <c r="E778" s="87"/>
      <c r="F778" s="120"/>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row>
    <row r="779" spans="1:33" ht="21.75" customHeight="1">
      <c r="A779" s="86"/>
      <c r="B779" s="120"/>
      <c r="C779" s="87"/>
      <c r="D779" s="86"/>
      <c r="E779" s="87"/>
      <c r="F779" s="120"/>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row>
    <row r="780" spans="1:33" ht="21.75" customHeight="1">
      <c r="A780" s="86"/>
      <c r="B780" s="120"/>
      <c r="C780" s="87"/>
      <c r="D780" s="86"/>
      <c r="E780" s="87"/>
      <c r="F780" s="120"/>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row>
    <row r="781" spans="1:33" ht="21.75" customHeight="1">
      <c r="A781" s="86"/>
      <c r="B781" s="120"/>
      <c r="C781" s="87"/>
      <c r="D781" s="86"/>
      <c r="E781" s="87"/>
      <c r="F781" s="120"/>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row>
    <row r="782" spans="1:33" ht="21.75" customHeight="1">
      <c r="A782" s="86"/>
      <c r="B782" s="120"/>
      <c r="C782" s="87"/>
      <c r="D782" s="86"/>
      <c r="E782" s="87"/>
      <c r="F782" s="120"/>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row>
    <row r="783" spans="1:33" ht="21.75" customHeight="1">
      <c r="A783" s="86"/>
      <c r="B783" s="120"/>
      <c r="C783" s="87"/>
      <c r="D783" s="86"/>
      <c r="E783" s="87"/>
      <c r="F783" s="120"/>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row>
    <row r="784" spans="1:33" ht="21.75" customHeight="1">
      <c r="A784" s="86"/>
      <c r="B784" s="120"/>
      <c r="C784" s="87"/>
      <c r="D784" s="86"/>
      <c r="E784" s="87"/>
      <c r="F784" s="120"/>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row>
    <row r="785" spans="1:33" ht="21.75" customHeight="1">
      <c r="A785" s="86"/>
      <c r="B785" s="120"/>
      <c r="C785" s="87"/>
      <c r="D785" s="86"/>
      <c r="E785" s="87"/>
      <c r="F785" s="120"/>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row>
    <row r="786" spans="1:33" ht="21.75" customHeight="1">
      <c r="A786" s="86"/>
      <c r="B786" s="120"/>
      <c r="C786" s="87"/>
      <c r="D786" s="86"/>
      <c r="E786" s="87"/>
      <c r="F786" s="120"/>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row>
    <row r="787" spans="1:33" ht="21.75" customHeight="1">
      <c r="A787" s="86"/>
      <c r="B787" s="120"/>
      <c r="C787" s="87"/>
      <c r="D787" s="86"/>
      <c r="E787" s="87"/>
      <c r="F787" s="120"/>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row>
    <row r="788" spans="1:33" ht="21.75" customHeight="1">
      <c r="A788" s="86"/>
      <c r="B788" s="120"/>
      <c r="C788" s="87"/>
      <c r="D788" s="86"/>
      <c r="E788" s="87"/>
      <c r="F788" s="120"/>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row>
    <row r="789" spans="1:33" ht="21.75" customHeight="1">
      <c r="A789" s="86"/>
      <c r="B789" s="120"/>
      <c r="C789" s="87"/>
      <c r="D789" s="86"/>
      <c r="E789" s="87"/>
      <c r="F789" s="120"/>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row>
    <row r="790" spans="1:33" ht="21.75" customHeight="1">
      <c r="A790" s="86"/>
      <c r="B790" s="120"/>
      <c r="C790" s="87"/>
      <c r="D790" s="86"/>
      <c r="E790" s="87"/>
      <c r="F790" s="120"/>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row>
    <row r="791" spans="1:33" ht="21.75" customHeight="1">
      <c r="A791" s="86"/>
      <c r="B791" s="120"/>
      <c r="C791" s="87"/>
      <c r="D791" s="86"/>
      <c r="E791" s="87"/>
      <c r="F791" s="120"/>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row>
    <row r="792" spans="1:33" ht="21.75" customHeight="1">
      <c r="A792" s="86"/>
      <c r="B792" s="120"/>
      <c r="C792" s="87"/>
      <c r="D792" s="86"/>
      <c r="E792" s="87"/>
      <c r="F792" s="120"/>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row>
    <row r="793" spans="1:33" ht="21.75" customHeight="1">
      <c r="A793" s="86"/>
      <c r="B793" s="120"/>
      <c r="C793" s="87"/>
      <c r="D793" s="86"/>
      <c r="E793" s="87"/>
      <c r="F793" s="120"/>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row>
    <row r="794" spans="1:33" ht="21.75" customHeight="1">
      <c r="A794" s="86"/>
      <c r="B794" s="120"/>
      <c r="C794" s="87"/>
      <c r="D794" s="86"/>
      <c r="E794" s="87"/>
      <c r="F794" s="120"/>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row>
    <row r="795" spans="1:33" ht="21.75" customHeight="1">
      <c r="A795" s="86"/>
      <c r="B795" s="120"/>
      <c r="C795" s="87"/>
      <c r="D795" s="86"/>
      <c r="E795" s="87"/>
      <c r="F795" s="120"/>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row>
    <row r="796" spans="1:33" ht="21.75" customHeight="1">
      <c r="A796" s="86"/>
      <c r="B796" s="120"/>
      <c r="C796" s="87"/>
      <c r="D796" s="86"/>
      <c r="E796" s="87"/>
      <c r="F796" s="120"/>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row>
    <row r="797" spans="1:33" ht="21.75" customHeight="1">
      <c r="A797" s="86"/>
      <c r="B797" s="120"/>
      <c r="C797" s="87"/>
      <c r="D797" s="86"/>
      <c r="E797" s="87"/>
      <c r="F797" s="120"/>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row>
    <row r="798" spans="1:33" ht="21.75" customHeight="1">
      <c r="A798" s="86"/>
      <c r="B798" s="120"/>
      <c r="C798" s="87"/>
      <c r="D798" s="86"/>
      <c r="E798" s="87"/>
      <c r="F798" s="120"/>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row>
    <row r="799" spans="1:33" ht="21.75" customHeight="1">
      <c r="A799" s="86"/>
      <c r="B799" s="120"/>
      <c r="C799" s="87"/>
      <c r="D799" s="86"/>
      <c r="E799" s="87"/>
      <c r="F799" s="120"/>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row>
    <row r="800" spans="1:33" ht="21.75" customHeight="1">
      <c r="A800" s="86"/>
      <c r="B800" s="120"/>
      <c r="C800" s="87"/>
      <c r="D800" s="86"/>
      <c r="E800" s="87"/>
      <c r="F800" s="120"/>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row>
    <row r="801" spans="1:33" ht="21.75" customHeight="1">
      <c r="A801" s="86"/>
      <c r="B801" s="120"/>
      <c r="C801" s="87"/>
      <c r="D801" s="86"/>
      <c r="E801" s="87"/>
      <c r="F801" s="120"/>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row>
    <row r="802" spans="1:33" ht="21.75" customHeight="1">
      <c r="A802" s="86"/>
      <c r="B802" s="120"/>
      <c r="C802" s="87"/>
      <c r="D802" s="86"/>
      <c r="E802" s="87"/>
      <c r="F802" s="120"/>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row>
    <row r="803" spans="1:33" ht="21.75" customHeight="1">
      <c r="A803" s="86"/>
      <c r="B803" s="120"/>
      <c r="C803" s="87"/>
      <c r="D803" s="86"/>
      <c r="E803" s="87"/>
      <c r="F803" s="120"/>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row>
    <row r="804" spans="1:33" ht="21.75" customHeight="1">
      <c r="A804" s="86"/>
      <c r="B804" s="120"/>
      <c r="C804" s="87"/>
      <c r="D804" s="86"/>
      <c r="E804" s="87"/>
      <c r="F804" s="120"/>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row>
    <row r="805" spans="1:33" ht="21.75" customHeight="1">
      <c r="A805" s="86"/>
      <c r="B805" s="120"/>
      <c r="C805" s="87"/>
      <c r="D805" s="86"/>
      <c r="E805" s="87"/>
      <c r="F805" s="120"/>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row>
    <row r="806" spans="1:33" ht="21.75" customHeight="1">
      <c r="A806" s="86"/>
      <c r="B806" s="120"/>
      <c r="C806" s="87"/>
      <c r="D806" s="86"/>
      <c r="E806" s="87"/>
      <c r="F806" s="120"/>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row>
    <row r="807" spans="1:33" ht="21.75" customHeight="1">
      <c r="A807" s="86"/>
      <c r="B807" s="120"/>
      <c r="C807" s="87"/>
      <c r="D807" s="86"/>
      <c r="E807" s="87"/>
      <c r="F807" s="120"/>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row>
    <row r="808" spans="1:33" ht="21.75" customHeight="1">
      <c r="A808" s="86"/>
      <c r="B808" s="120"/>
      <c r="C808" s="87"/>
      <c r="D808" s="86"/>
      <c r="E808" s="87"/>
      <c r="F808" s="120"/>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row>
    <row r="809" spans="1:33" ht="21.75" customHeight="1">
      <c r="A809" s="86"/>
      <c r="B809" s="120"/>
      <c r="C809" s="87"/>
      <c r="D809" s="86"/>
      <c r="E809" s="87"/>
      <c r="F809" s="120"/>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row>
    <row r="810" spans="1:33" ht="21.75" customHeight="1">
      <c r="A810" s="86"/>
      <c r="B810" s="120"/>
      <c r="C810" s="87"/>
      <c r="D810" s="86"/>
      <c r="E810" s="87"/>
      <c r="F810" s="120"/>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row>
    <row r="811" spans="1:33" ht="21.75" customHeight="1">
      <c r="A811" s="86"/>
      <c r="B811" s="120"/>
      <c r="C811" s="87"/>
      <c r="D811" s="86"/>
      <c r="E811" s="87"/>
      <c r="F811" s="120"/>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row>
    <row r="812" spans="1:33" ht="21.75" customHeight="1">
      <c r="A812" s="86"/>
      <c r="B812" s="120"/>
      <c r="C812" s="87"/>
      <c r="D812" s="86"/>
      <c r="E812" s="87"/>
      <c r="F812" s="120"/>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row>
    <row r="813" spans="1:33" ht="21.75" customHeight="1">
      <c r="A813" s="86"/>
      <c r="B813" s="120"/>
      <c r="C813" s="87"/>
      <c r="D813" s="86"/>
      <c r="E813" s="87"/>
      <c r="F813" s="120"/>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row>
    <row r="814" spans="1:33" ht="21.75" customHeight="1">
      <c r="A814" s="86"/>
      <c r="B814" s="120"/>
      <c r="C814" s="87"/>
      <c r="D814" s="86"/>
      <c r="E814" s="87"/>
      <c r="F814" s="120"/>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row>
    <row r="815" spans="1:33" ht="21.75" customHeight="1">
      <c r="A815" s="86"/>
      <c r="B815" s="120"/>
      <c r="C815" s="87"/>
      <c r="D815" s="86"/>
      <c r="E815" s="87"/>
      <c r="F815" s="120"/>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row>
    <row r="816" spans="1:33" ht="21.75" customHeight="1">
      <c r="A816" s="86"/>
      <c r="B816" s="120"/>
      <c r="C816" s="87"/>
      <c r="D816" s="86"/>
      <c r="E816" s="87"/>
      <c r="F816" s="120"/>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row>
    <row r="817" spans="1:33" ht="21.75" customHeight="1">
      <c r="A817" s="86"/>
      <c r="B817" s="120"/>
      <c r="C817" s="87"/>
      <c r="D817" s="86"/>
      <c r="E817" s="87"/>
      <c r="F817" s="120"/>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row>
    <row r="818" spans="1:33" ht="21.75" customHeight="1">
      <c r="A818" s="86"/>
      <c r="B818" s="120"/>
      <c r="C818" s="87"/>
      <c r="D818" s="86"/>
      <c r="E818" s="87"/>
      <c r="F818" s="120"/>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row>
    <row r="819" spans="1:33" ht="21.75" customHeight="1">
      <c r="A819" s="86"/>
      <c r="B819" s="120"/>
      <c r="C819" s="87"/>
      <c r="D819" s="86"/>
      <c r="E819" s="87"/>
      <c r="F819" s="120"/>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row>
    <row r="820" spans="1:33" ht="21.75" customHeight="1">
      <c r="A820" s="86"/>
      <c r="B820" s="120"/>
      <c r="C820" s="87"/>
      <c r="D820" s="86"/>
      <c r="E820" s="87"/>
      <c r="F820" s="120"/>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row>
    <row r="821" spans="1:33" ht="21.75" customHeight="1">
      <c r="A821" s="86"/>
      <c r="B821" s="120"/>
      <c r="C821" s="87"/>
      <c r="D821" s="86"/>
      <c r="E821" s="87"/>
      <c r="F821" s="120"/>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row>
    <row r="822" spans="1:33" ht="21.75" customHeight="1">
      <c r="A822" s="86"/>
      <c r="B822" s="120"/>
      <c r="C822" s="87"/>
      <c r="D822" s="86"/>
      <c r="E822" s="87"/>
      <c r="F822" s="120"/>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row>
    <row r="823" spans="1:33" ht="21.75" customHeight="1">
      <c r="A823" s="86"/>
      <c r="B823" s="120"/>
      <c r="C823" s="87"/>
      <c r="D823" s="86"/>
      <c r="E823" s="87"/>
      <c r="F823" s="120"/>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row>
    <row r="824" spans="1:33" ht="21.75" customHeight="1">
      <c r="A824" s="86"/>
      <c r="B824" s="120"/>
      <c r="C824" s="87"/>
      <c r="D824" s="86"/>
      <c r="E824" s="87"/>
      <c r="F824" s="120"/>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row>
    <row r="825" spans="1:33" ht="21.75" customHeight="1">
      <c r="A825" s="86"/>
      <c r="B825" s="120"/>
      <c r="C825" s="87"/>
      <c r="D825" s="86"/>
      <c r="E825" s="87"/>
      <c r="F825" s="120"/>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row>
    <row r="826" spans="1:33" ht="21.75" customHeight="1">
      <c r="A826" s="86"/>
      <c r="B826" s="120"/>
      <c r="C826" s="87"/>
      <c r="D826" s="86"/>
      <c r="E826" s="87"/>
      <c r="F826" s="120"/>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row>
    <row r="827" spans="1:33" ht="21.75" customHeight="1">
      <c r="A827" s="86"/>
      <c r="B827" s="120"/>
      <c r="C827" s="87"/>
      <c r="D827" s="86"/>
      <c r="E827" s="87"/>
      <c r="F827" s="120"/>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row>
    <row r="828" spans="1:33" ht="21.75" customHeight="1">
      <c r="A828" s="86"/>
      <c r="B828" s="120"/>
      <c r="C828" s="87"/>
      <c r="D828" s="86"/>
      <c r="E828" s="87"/>
      <c r="F828" s="120"/>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row>
    <row r="829" spans="1:33" ht="21.75" customHeight="1">
      <c r="A829" s="86"/>
      <c r="B829" s="120"/>
      <c r="C829" s="87"/>
      <c r="D829" s="86"/>
      <c r="E829" s="87"/>
      <c r="F829" s="120"/>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row>
    <row r="830" spans="1:33" ht="21.75" customHeight="1">
      <c r="A830" s="86"/>
      <c r="B830" s="120"/>
      <c r="C830" s="87"/>
      <c r="D830" s="86"/>
      <c r="E830" s="87"/>
      <c r="F830" s="120"/>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row>
    <row r="831" spans="1:33" ht="21.75" customHeight="1">
      <c r="A831" s="86"/>
      <c r="B831" s="120"/>
      <c r="C831" s="87"/>
      <c r="D831" s="86"/>
      <c r="E831" s="87"/>
      <c r="F831" s="120"/>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row>
    <row r="832" spans="1:33" ht="21.75" customHeight="1">
      <c r="A832" s="86"/>
      <c r="B832" s="120"/>
      <c r="C832" s="87"/>
      <c r="D832" s="86"/>
      <c r="E832" s="87"/>
      <c r="F832" s="120"/>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row>
    <row r="833" spans="1:33" ht="21.75" customHeight="1">
      <c r="A833" s="86"/>
      <c r="B833" s="120"/>
      <c r="C833" s="87"/>
      <c r="D833" s="86"/>
      <c r="E833" s="87"/>
      <c r="F833" s="120"/>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row>
    <row r="834" spans="1:33" ht="21.75" customHeight="1">
      <c r="A834" s="86"/>
      <c r="B834" s="120"/>
      <c r="C834" s="87"/>
      <c r="D834" s="86"/>
      <c r="E834" s="87"/>
      <c r="F834" s="120"/>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row>
    <row r="835" spans="1:33" ht="21.75" customHeight="1">
      <c r="A835" s="86"/>
      <c r="B835" s="120"/>
      <c r="C835" s="87"/>
      <c r="D835" s="86"/>
      <c r="E835" s="87"/>
      <c r="F835" s="120"/>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row>
    <row r="836" spans="1:33" ht="21.75" customHeight="1">
      <c r="A836" s="86"/>
      <c r="B836" s="120"/>
      <c r="C836" s="87"/>
      <c r="D836" s="86"/>
      <c r="E836" s="87"/>
      <c r="F836" s="120"/>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row>
    <row r="837" spans="1:33" ht="21.75" customHeight="1">
      <c r="A837" s="86"/>
      <c r="B837" s="120"/>
      <c r="C837" s="87"/>
      <c r="D837" s="86"/>
      <c r="E837" s="87"/>
      <c r="F837" s="120"/>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row>
    <row r="838" spans="1:33" ht="21.75" customHeight="1">
      <c r="A838" s="86"/>
      <c r="B838" s="120"/>
      <c r="C838" s="87"/>
      <c r="D838" s="86"/>
      <c r="E838" s="87"/>
      <c r="F838" s="120"/>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row>
    <row r="839" spans="1:33" ht="21.75" customHeight="1">
      <c r="A839" s="86"/>
      <c r="B839" s="120"/>
      <c r="C839" s="87"/>
      <c r="D839" s="86"/>
      <c r="E839" s="87"/>
      <c r="F839" s="120"/>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row>
    <row r="840" spans="1:33" ht="21.75" customHeight="1">
      <c r="A840" s="86"/>
      <c r="B840" s="120"/>
      <c r="C840" s="87"/>
      <c r="D840" s="86"/>
      <c r="E840" s="87"/>
      <c r="F840" s="120"/>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row>
    <row r="841" spans="1:33" ht="21.75" customHeight="1">
      <c r="A841" s="86"/>
      <c r="B841" s="120"/>
      <c r="C841" s="87"/>
      <c r="D841" s="86"/>
      <c r="E841" s="87"/>
      <c r="F841" s="120"/>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row>
    <row r="842" spans="1:33" ht="21.75" customHeight="1">
      <c r="A842" s="86"/>
      <c r="B842" s="120"/>
      <c r="C842" s="87"/>
      <c r="D842" s="86"/>
      <c r="E842" s="87"/>
      <c r="F842" s="120"/>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row>
    <row r="843" spans="1:33" ht="21.75" customHeight="1">
      <c r="A843" s="86"/>
      <c r="B843" s="120"/>
      <c r="C843" s="87"/>
      <c r="D843" s="86"/>
      <c r="E843" s="87"/>
      <c r="F843" s="120"/>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row>
    <row r="844" spans="1:33" ht="21.75" customHeight="1">
      <c r="A844" s="86"/>
      <c r="B844" s="120"/>
      <c r="C844" s="87"/>
      <c r="D844" s="86"/>
      <c r="E844" s="87"/>
      <c r="F844" s="120"/>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row>
    <row r="845" spans="1:33" ht="21.75" customHeight="1">
      <c r="A845" s="86"/>
      <c r="B845" s="120"/>
      <c r="C845" s="87"/>
      <c r="D845" s="86"/>
      <c r="E845" s="87"/>
      <c r="F845" s="120"/>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row>
    <row r="846" spans="1:33" ht="21.75" customHeight="1">
      <c r="A846" s="86"/>
      <c r="B846" s="120"/>
      <c r="C846" s="87"/>
      <c r="D846" s="86"/>
      <c r="E846" s="87"/>
      <c r="F846" s="120"/>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row>
    <row r="847" spans="1:33" ht="21.75" customHeight="1">
      <c r="A847" s="86"/>
      <c r="B847" s="120"/>
      <c r="C847" s="87"/>
      <c r="D847" s="86"/>
      <c r="E847" s="87"/>
      <c r="F847" s="120"/>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row>
    <row r="848" spans="1:33" ht="21.75" customHeight="1">
      <c r="A848" s="86"/>
      <c r="B848" s="120"/>
      <c r="C848" s="87"/>
      <c r="D848" s="86"/>
      <c r="E848" s="87"/>
      <c r="F848" s="120"/>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row>
    <row r="849" spans="1:33" ht="21.75" customHeight="1">
      <c r="A849" s="86"/>
      <c r="B849" s="120"/>
      <c r="C849" s="87"/>
      <c r="D849" s="86"/>
      <c r="E849" s="87"/>
      <c r="F849" s="120"/>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row>
    <row r="850" spans="1:33" ht="21.75" customHeight="1">
      <c r="A850" s="86"/>
      <c r="B850" s="120"/>
      <c r="C850" s="87"/>
      <c r="D850" s="86"/>
      <c r="E850" s="87"/>
      <c r="F850" s="120"/>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row>
    <row r="851" spans="1:33" ht="21.75" customHeight="1">
      <c r="A851" s="86"/>
      <c r="B851" s="120"/>
      <c r="C851" s="87"/>
      <c r="D851" s="86"/>
      <c r="E851" s="87"/>
      <c r="F851" s="120"/>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row>
    <row r="852" spans="1:33" ht="21.75" customHeight="1">
      <c r="A852" s="86"/>
      <c r="B852" s="120"/>
      <c r="C852" s="87"/>
      <c r="D852" s="86"/>
      <c r="E852" s="87"/>
      <c r="F852" s="120"/>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row>
    <row r="853" spans="1:33" ht="21.75" customHeight="1">
      <c r="A853" s="86"/>
      <c r="B853" s="120"/>
      <c r="C853" s="87"/>
      <c r="D853" s="86"/>
      <c r="E853" s="87"/>
      <c r="F853" s="120"/>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row>
    <row r="854" spans="1:33" ht="21.75" customHeight="1">
      <c r="A854" s="86"/>
      <c r="B854" s="120"/>
      <c r="C854" s="87"/>
      <c r="D854" s="86"/>
      <c r="E854" s="87"/>
      <c r="F854" s="120"/>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row>
    <row r="855" spans="1:33" ht="21.75" customHeight="1">
      <c r="A855" s="86"/>
      <c r="B855" s="120"/>
      <c r="C855" s="87"/>
      <c r="D855" s="86"/>
      <c r="E855" s="87"/>
      <c r="F855" s="120"/>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row>
    <row r="856" spans="1:33" ht="21.75" customHeight="1">
      <c r="A856" s="86"/>
      <c r="B856" s="120"/>
      <c r="C856" s="87"/>
      <c r="D856" s="86"/>
      <c r="E856" s="87"/>
      <c r="F856" s="120"/>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row>
    <row r="857" spans="1:33" ht="21.75" customHeight="1">
      <c r="A857" s="86"/>
      <c r="B857" s="120"/>
      <c r="C857" s="87"/>
      <c r="D857" s="86"/>
      <c r="E857" s="87"/>
      <c r="F857" s="120"/>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row>
    <row r="858" spans="1:33" ht="21.75" customHeight="1">
      <c r="A858" s="86"/>
      <c r="B858" s="120"/>
      <c r="C858" s="87"/>
      <c r="D858" s="86"/>
      <c r="E858" s="87"/>
      <c r="F858" s="120"/>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row>
    <row r="859" spans="1:33" ht="21.75" customHeight="1">
      <c r="A859" s="86"/>
      <c r="B859" s="120"/>
      <c r="C859" s="87"/>
      <c r="D859" s="86"/>
      <c r="E859" s="87"/>
      <c r="F859" s="120"/>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row>
    <row r="860" spans="1:33" ht="21.75" customHeight="1">
      <c r="A860" s="86"/>
      <c r="B860" s="120"/>
      <c r="C860" s="87"/>
      <c r="D860" s="86"/>
      <c r="E860" s="87"/>
      <c r="F860" s="120"/>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row>
    <row r="861" spans="1:33" ht="21.75" customHeight="1">
      <c r="A861" s="86"/>
      <c r="B861" s="120"/>
      <c r="C861" s="87"/>
      <c r="D861" s="86"/>
      <c r="E861" s="87"/>
      <c r="F861" s="120"/>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row>
    <row r="862" spans="1:33" ht="21.75" customHeight="1">
      <c r="A862" s="86"/>
      <c r="B862" s="120"/>
      <c r="C862" s="87"/>
      <c r="D862" s="86"/>
      <c r="E862" s="87"/>
      <c r="F862" s="120"/>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row>
    <row r="863" spans="1:33" ht="21.75" customHeight="1">
      <c r="A863" s="86"/>
      <c r="B863" s="120"/>
      <c r="C863" s="87"/>
      <c r="D863" s="86"/>
      <c r="E863" s="87"/>
      <c r="F863" s="120"/>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row>
    <row r="864" spans="1:33" ht="21.75" customHeight="1">
      <c r="A864" s="86"/>
      <c r="B864" s="120"/>
      <c r="C864" s="87"/>
      <c r="D864" s="86"/>
      <c r="E864" s="87"/>
      <c r="F864" s="120"/>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row>
    <row r="865" spans="1:33" ht="21.75" customHeight="1">
      <c r="A865" s="86"/>
      <c r="B865" s="120"/>
      <c r="C865" s="87"/>
      <c r="D865" s="86"/>
      <c r="E865" s="87"/>
      <c r="F865" s="120"/>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row>
    <row r="866" spans="1:33" ht="21.75" customHeight="1">
      <c r="A866" s="86"/>
      <c r="B866" s="120"/>
      <c r="C866" s="87"/>
      <c r="D866" s="86"/>
      <c r="E866" s="87"/>
      <c r="F866" s="120"/>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row>
    <row r="867" spans="1:33" ht="21.75" customHeight="1">
      <c r="A867" s="86"/>
      <c r="B867" s="120"/>
      <c r="C867" s="87"/>
      <c r="D867" s="86"/>
      <c r="E867" s="87"/>
      <c r="F867" s="120"/>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row>
    <row r="868" spans="1:33" ht="21.75" customHeight="1">
      <c r="A868" s="86"/>
      <c r="B868" s="120"/>
      <c r="C868" s="87"/>
      <c r="D868" s="86"/>
      <c r="E868" s="87"/>
      <c r="F868" s="120"/>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row>
    <row r="869" spans="1:33" ht="21.75" customHeight="1">
      <c r="A869" s="86"/>
      <c r="B869" s="120"/>
      <c r="C869" s="87"/>
      <c r="D869" s="86"/>
      <c r="E869" s="87"/>
      <c r="F869" s="120"/>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row>
    <row r="870" spans="1:33" ht="21.75" customHeight="1">
      <c r="A870" s="86"/>
      <c r="B870" s="120"/>
      <c r="C870" s="87"/>
      <c r="D870" s="86"/>
      <c r="E870" s="87"/>
      <c r="F870" s="120"/>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row>
    <row r="871" spans="1:33" ht="21.75" customHeight="1">
      <c r="A871" s="86"/>
      <c r="B871" s="120"/>
      <c r="C871" s="87"/>
      <c r="D871" s="86"/>
      <c r="E871" s="87"/>
      <c r="F871" s="120"/>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row>
    <row r="872" spans="1:33" ht="21.75" customHeight="1">
      <c r="A872" s="86"/>
      <c r="B872" s="120"/>
      <c r="C872" s="87"/>
      <c r="D872" s="86"/>
      <c r="E872" s="87"/>
      <c r="F872" s="120"/>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row>
    <row r="873" spans="1:33" ht="21.75" customHeight="1">
      <c r="A873" s="86"/>
      <c r="B873" s="120"/>
      <c r="C873" s="87"/>
      <c r="D873" s="86"/>
      <c r="E873" s="87"/>
      <c r="F873" s="120"/>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row>
    <row r="874" spans="1:33" ht="21.75" customHeight="1">
      <c r="A874" s="86"/>
      <c r="B874" s="120"/>
      <c r="C874" s="87"/>
      <c r="D874" s="86"/>
      <c r="E874" s="87"/>
      <c r="F874" s="120"/>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row>
    <row r="875" spans="1:33" ht="21.75" customHeight="1">
      <c r="A875" s="86"/>
      <c r="B875" s="120"/>
      <c r="C875" s="87"/>
      <c r="D875" s="86"/>
      <c r="E875" s="87"/>
      <c r="F875" s="120"/>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row>
    <row r="876" spans="1:33" ht="21.75" customHeight="1">
      <c r="A876" s="86"/>
      <c r="B876" s="120"/>
      <c r="C876" s="87"/>
      <c r="D876" s="86"/>
      <c r="E876" s="87"/>
      <c r="F876" s="120"/>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row>
    <row r="877" spans="1:33" ht="21.75" customHeight="1">
      <c r="A877" s="86"/>
      <c r="B877" s="120"/>
      <c r="C877" s="87"/>
      <c r="D877" s="86"/>
      <c r="E877" s="87"/>
      <c r="F877" s="120"/>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row>
    <row r="878" spans="1:33" ht="21.75" customHeight="1">
      <c r="A878" s="86"/>
      <c r="B878" s="120"/>
      <c r="C878" s="87"/>
      <c r="D878" s="86"/>
      <c r="E878" s="87"/>
      <c r="F878" s="120"/>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row>
    <row r="879" spans="1:33" ht="21.75" customHeight="1">
      <c r="A879" s="86"/>
      <c r="B879" s="120"/>
      <c r="C879" s="87"/>
      <c r="D879" s="86"/>
      <c r="E879" s="87"/>
      <c r="F879" s="120"/>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row>
    <row r="880" spans="1:33" ht="21.75" customHeight="1">
      <c r="A880" s="86"/>
      <c r="B880" s="120"/>
      <c r="C880" s="87"/>
      <c r="D880" s="86"/>
      <c r="E880" s="87"/>
      <c r="F880" s="120"/>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row>
    <row r="881" spans="1:33" ht="21.75" customHeight="1">
      <c r="A881" s="86"/>
      <c r="B881" s="120"/>
      <c r="C881" s="87"/>
      <c r="D881" s="86"/>
      <c r="E881" s="87"/>
      <c r="F881" s="120"/>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row>
    <row r="882" spans="1:33" ht="21.75" customHeight="1">
      <c r="A882" s="86"/>
      <c r="B882" s="120"/>
      <c r="C882" s="87"/>
      <c r="D882" s="86"/>
      <c r="E882" s="87"/>
      <c r="F882" s="120"/>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row>
    <row r="883" spans="1:33" ht="21.75" customHeight="1">
      <c r="A883" s="86"/>
      <c r="B883" s="120"/>
      <c r="C883" s="87"/>
      <c r="D883" s="86"/>
      <c r="E883" s="87"/>
      <c r="F883" s="120"/>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row>
    <row r="884" spans="1:33" ht="21.75" customHeight="1">
      <c r="A884" s="86"/>
      <c r="B884" s="120"/>
      <c r="C884" s="87"/>
      <c r="D884" s="86"/>
      <c r="E884" s="87"/>
      <c r="F884" s="120"/>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row>
    <row r="885" spans="1:33" ht="21.75" customHeight="1">
      <c r="A885" s="86"/>
      <c r="B885" s="120"/>
      <c r="C885" s="87"/>
      <c r="D885" s="86"/>
      <c r="E885" s="87"/>
      <c r="F885" s="120"/>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row>
    <row r="886" spans="1:33" ht="21.75" customHeight="1">
      <c r="A886" s="86"/>
      <c r="B886" s="120"/>
      <c r="C886" s="87"/>
      <c r="D886" s="86"/>
      <c r="E886" s="87"/>
      <c r="F886" s="120"/>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row>
    <row r="887" spans="1:33" ht="21.75" customHeight="1">
      <c r="A887" s="86"/>
      <c r="B887" s="120"/>
      <c r="C887" s="87"/>
      <c r="D887" s="86"/>
      <c r="E887" s="87"/>
      <c r="F887" s="120"/>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row>
    <row r="888" spans="1:33" ht="21.75" customHeight="1">
      <c r="A888" s="86"/>
      <c r="B888" s="120"/>
      <c r="C888" s="87"/>
      <c r="D888" s="86"/>
      <c r="E888" s="87"/>
      <c r="F888" s="120"/>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row>
    <row r="889" spans="1:33" ht="21.75" customHeight="1">
      <c r="A889" s="86"/>
      <c r="B889" s="120"/>
      <c r="C889" s="87"/>
      <c r="D889" s="86"/>
      <c r="E889" s="87"/>
      <c r="F889" s="120"/>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row>
    <row r="890" spans="1:33" ht="21.75" customHeight="1">
      <c r="A890" s="86"/>
      <c r="B890" s="120"/>
      <c r="C890" s="87"/>
      <c r="D890" s="86"/>
      <c r="E890" s="87"/>
      <c r="F890" s="120"/>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row>
    <row r="891" spans="1:33" ht="21.75" customHeight="1">
      <c r="A891" s="86"/>
      <c r="B891" s="120"/>
      <c r="C891" s="87"/>
      <c r="D891" s="86"/>
      <c r="E891" s="87"/>
      <c r="F891" s="120"/>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row>
    <row r="892" spans="1:33" ht="21.75" customHeight="1">
      <c r="A892" s="86"/>
      <c r="B892" s="120"/>
      <c r="C892" s="87"/>
      <c r="D892" s="86"/>
      <c r="E892" s="87"/>
      <c r="F892" s="120"/>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row>
    <row r="893" spans="1:33" ht="21.75" customHeight="1">
      <c r="A893" s="86"/>
      <c r="B893" s="120"/>
      <c r="C893" s="87"/>
      <c r="D893" s="86"/>
      <c r="E893" s="87"/>
      <c r="F893" s="120"/>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row>
    <row r="894" spans="1:33" ht="21.75" customHeight="1">
      <c r="A894" s="86"/>
      <c r="B894" s="120"/>
      <c r="C894" s="87"/>
      <c r="D894" s="86"/>
      <c r="E894" s="87"/>
      <c r="F894" s="120"/>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row>
    <row r="895" spans="1:33" ht="21.75" customHeight="1">
      <c r="A895" s="86"/>
      <c r="B895" s="120"/>
      <c r="C895" s="87"/>
      <c r="D895" s="86"/>
      <c r="E895" s="87"/>
      <c r="F895" s="120"/>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row>
    <row r="896" spans="1:33" ht="21.75" customHeight="1">
      <c r="A896" s="86"/>
      <c r="B896" s="120"/>
      <c r="C896" s="87"/>
      <c r="D896" s="86"/>
      <c r="E896" s="87"/>
      <c r="F896" s="120"/>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row>
    <row r="897" spans="1:33" ht="21.75" customHeight="1">
      <c r="A897" s="86"/>
      <c r="B897" s="120"/>
      <c r="C897" s="87"/>
      <c r="D897" s="86"/>
      <c r="E897" s="87"/>
      <c r="F897" s="120"/>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row>
    <row r="898" spans="1:33" ht="21.75" customHeight="1">
      <c r="A898" s="86"/>
      <c r="B898" s="120"/>
      <c r="C898" s="87"/>
      <c r="D898" s="86"/>
      <c r="E898" s="87"/>
      <c r="F898" s="120"/>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row>
    <row r="899" spans="1:33" ht="21.75" customHeight="1">
      <c r="A899" s="86"/>
      <c r="B899" s="120"/>
      <c r="C899" s="87"/>
      <c r="D899" s="86"/>
      <c r="E899" s="87"/>
      <c r="F899" s="120"/>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row>
    <row r="900" spans="1:33" ht="21.75" customHeight="1">
      <c r="A900" s="86"/>
      <c r="B900" s="120"/>
      <c r="C900" s="87"/>
      <c r="D900" s="86"/>
      <c r="E900" s="87"/>
      <c r="F900" s="120"/>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row>
    <row r="901" spans="1:33" ht="21.75" customHeight="1">
      <c r="A901" s="86"/>
      <c r="B901" s="120"/>
      <c r="C901" s="87"/>
      <c r="D901" s="86"/>
      <c r="E901" s="87"/>
      <c r="F901" s="120"/>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row>
    <row r="902" spans="1:33" ht="21.75" customHeight="1">
      <c r="A902" s="86"/>
      <c r="B902" s="120"/>
      <c r="C902" s="87"/>
      <c r="D902" s="86"/>
      <c r="E902" s="87"/>
      <c r="F902" s="120"/>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row>
    <row r="903" spans="1:33" ht="21.75" customHeight="1">
      <c r="A903" s="86"/>
      <c r="B903" s="120"/>
      <c r="C903" s="87"/>
      <c r="D903" s="86"/>
      <c r="E903" s="87"/>
      <c r="F903" s="120"/>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row>
    <row r="904" spans="1:33" ht="21.75" customHeight="1">
      <c r="A904" s="86"/>
      <c r="B904" s="120"/>
      <c r="C904" s="87"/>
      <c r="D904" s="86"/>
      <c r="E904" s="87"/>
      <c r="F904" s="120"/>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row>
    <row r="905" spans="1:33" ht="21.75" customHeight="1">
      <c r="A905" s="86"/>
      <c r="B905" s="120"/>
      <c r="C905" s="87"/>
      <c r="D905" s="86"/>
      <c r="E905" s="87"/>
      <c r="F905" s="120"/>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row>
    <row r="906" spans="1:33" ht="21.75" customHeight="1">
      <c r="A906" s="86"/>
      <c r="B906" s="120"/>
      <c r="C906" s="87"/>
      <c r="D906" s="86"/>
      <c r="E906" s="87"/>
      <c r="F906" s="120"/>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row>
    <row r="907" spans="1:33" ht="21.75" customHeight="1">
      <c r="A907" s="86"/>
      <c r="B907" s="120"/>
      <c r="C907" s="87"/>
      <c r="D907" s="86"/>
      <c r="E907" s="87"/>
      <c r="F907" s="120"/>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row>
    <row r="908" spans="1:33" ht="21.75" customHeight="1">
      <c r="A908" s="86"/>
      <c r="B908" s="120"/>
      <c r="C908" s="87"/>
      <c r="D908" s="86"/>
      <c r="E908" s="87"/>
      <c r="F908" s="120"/>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row>
    <row r="909" spans="1:33" ht="21.75" customHeight="1">
      <c r="A909" s="86"/>
      <c r="B909" s="120"/>
      <c r="C909" s="87"/>
      <c r="D909" s="86"/>
      <c r="E909" s="87"/>
      <c r="F909" s="120"/>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row>
    <row r="910" spans="1:33" ht="21.75" customHeight="1">
      <c r="A910" s="86"/>
      <c r="B910" s="120"/>
      <c r="C910" s="87"/>
      <c r="D910" s="86"/>
      <c r="E910" s="87"/>
      <c r="F910" s="120"/>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row>
    <row r="911" spans="1:33" ht="21.75" customHeight="1">
      <c r="A911" s="86"/>
      <c r="B911" s="120"/>
      <c r="C911" s="87"/>
      <c r="D911" s="86"/>
      <c r="E911" s="87"/>
      <c r="F911" s="120"/>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row>
    <row r="912" spans="1:33" ht="21.75" customHeight="1">
      <c r="A912" s="86"/>
      <c r="B912" s="120"/>
      <c r="C912" s="87"/>
      <c r="D912" s="86"/>
      <c r="E912" s="87"/>
      <c r="F912" s="120"/>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row>
    <row r="913" spans="1:33" ht="21.75" customHeight="1">
      <c r="A913" s="86"/>
      <c r="B913" s="120"/>
      <c r="C913" s="87"/>
      <c r="D913" s="86"/>
      <c r="E913" s="87"/>
      <c r="F913" s="120"/>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row>
    <row r="914" spans="1:33" ht="21.75" customHeight="1">
      <c r="A914" s="86"/>
      <c r="B914" s="120"/>
      <c r="C914" s="87"/>
      <c r="D914" s="86"/>
      <c r="E914" s="87"/>
      <c r="F914" s="120"/>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row>
    <row r="915" spans="1:33" ht="21.75" customHeight="1">
      <c r="A915" s="86"/>
      <c r="B915" s="120"/>
      <c r="C915" s="87"/>
      <c r="D915" s="86"/>
      <c r="E915" s="87"/>
      <c r="F915" s="120"/>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row>
    <row r="916" spans="1:33" ht="21.75" customHeight="1">
      <c r="A916" s="86"/>
      <c r="B916" s="120"/>
      <c r="C916" s="87"/>
      <c r="D916" s="86"/>
      <c r="E916" s="87"/>
      <c r="F916" s="120"/>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row>
    <row r="917" spans="1:33" ht="21.75" customHeight="1">
      <c r="A917" s="86"/>
      <c r="B917" s="120"/>
      <c r="C917" s="87"/>
      <c r="D917" s="86"/>
      <c r="E917" s="87"/>
      <c r="F917" s="120"/>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row>
    <row r="918" spans="1:33" ht="21.75" customHeight="1">
      <c r="A918" s="86"/>
      <c r="B918" s="120"/>
      <c r="C918" s="87"/>
      <c r="D918" s="86"/>
      <c r="E918" s="87"/>
      <c r="F918" s="120"/>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row>
    <row r="919" spans="1:33" ht="21.75" customHeight="1">
      <c r="A919" s="86"/>
      <c r="B919" s="120"/>
      <c r="C919" s="87"/>
      <c r="D919" s="86"/>
      <c r="E919" s="87"/>
      <c r="F919" s="120"/>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row>
    <row r="920" spans="1:33" ht="21.75" customHeight="1">
      <c r="A920" s="86"/>
      <c r="B920" s="120"/>
      <c r="C920" s="87"/>
      <c r="D920" s="86"/>
      <c r="E920" s="87"/>
      <c r="F920" s="120"/>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row>
    <row r="921" spans="1:33" ht="21.75" customHeight="1">
      <c r="A921" s="86"/>
      <c r="B921" s="120"/>
      <c r="C921" s="87"/>
      <c r="D921" s="86"/>
      <c r="E921" s="87"/>
      <c r="F921" s="120"/>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row>
    <row r="922" spans="1:33" ht="21.75" customHeight="1">
      <c r="A922" s="86"/>
      <c r="B922" s="120"/>
      <c r="C922" s="87"/>
      <c r="D922" s="86"/>
      <c r="E922" s="87"/>
      <c r="F922" s="120"/>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row>
    <row r="923" spans="1:33" ht="21.75" customHeight="1">
      <c r="A923" s="86"/>
      <c r="B923" s="120"/>
      <c r="C923" s="87"/>
      <c r="D923" s="86"/>
      <c r="E923" s="87"/>
      <c r="F923" s="120"/>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row>
    <row r="924" spans="1:33" ht="21.75" customHeight="1">
      <c r="A924" s="86"/>
      <c r="B924" s="120"/>
      <c r="C924" s="87"/>
      <c r="D924" s="86"/>
      <c r="E924" s="87"/>
      <c r="F924" s="120"/>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row>
    <row r="925" spans="1:33" ht="21.75" customHeight="1">
      <c r="A925" s="86"/>
      <c r="B925" s="120"/>
      <c r="C925" s="87"/>
      <c r="D925" s="86"/>
      <c r="E925" s="87"/>
      <c r="F925" s="120"/>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row>
    <row r="926" spans="1:33" ht="21.75" customHeight="1">
      <c r="A926" s="86"/>
      <c r="B926" s="120"/>
      <c r="C926" s="87"/>
      <c r="D926" s="86"/>
      <c r="E926" s="87"/>
      <c r="F926" s="120"/>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row>
    <row r="927" spans="1:33" ht="21.75" customHeight="1">
      <c r="A927" s="86"/>
      <c r="B927" s="120"/>
      <c r="C927" s="87"/>
      <c r="D927" s="86"/>
      <c r="E927" s="87"/>
      <c r="F927" s="120"/>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row>
    <row r="928" spans="1:33" ht="21.75" customHeight="1">
      <c r="A928" s="86"/>
      <c r="B928" s="120"/>
      <c r="C928" s="87"/>
      <c r="D928" s="86"/>
      <c r="E928" s="87"/>
      <c r="F928" s="120"/>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row>
    <row r="929" spans="1:33" ht="21.75" customHeight="1">
      <c r="A929" s="86"/>
      <c r="B929" s="120"/>
      <c r="C929" s="87"/>
      <c r="D929" s="86"/>
      <c r="E929" s="87"/>
      <c r="F929" s="120"/>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row>
    <row r="930" spans="1:33" ht="21.75" customHeight="1">
      <c r="A930" s="86"/>
      <c r="B930" s="120"/>
      <c r="C930" s="87"/>
      <c r="D930" s="86"/>
      <c r="E930" s="87"/>
      <c r="F930" s="120"/>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row>
    <row r="931" spans="1:33" ht="21.75" customHeight="1">
      <c r="A931" s="86"/>
      <c r="B931" s="120"/>
      <c r="C931" s="87"/>
      <c r="D931" s="86"/>
      <c r="E931" s="87"/>
      <c r="F931" s="120"/>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row>
    <row r="932" spans="1:33" ht="21.75" customHeight="1">
      <c r="A932" s="86"/>
      <c r="B932" s="120"/>
      <c r="C932" s="87"/>
      <c r="D932" s="86"/>
      <c r="E932" s="87"/>
      <c r="F932" s="120"/>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row>
    <row r="933" spans="1:33" ht="21.75" customHeight="1">
      <c r="A933" s="86"/>
      <c r="B933" s="120"/>
      <c r="C933" s="87"/>
      <c r="D933" s="86"/>
      <c r="E933" s="87"/>
      <c r="F933" s="120"/>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row>
    <row r="934" spans="1:33" ht="21.75" customHeight="1">
      <c r="A934" s="86"/>
      <c r="B934" s="120"/>
      <c r="C934" s="87"/>
      <c r="D934" s="86"/>
      <c r="E934" s="87"/>
      <c r="F934" s="120"/>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row>
    <row r="935" spans="1:33" ht="21.75" customHeight="1">
      <c r="A935" s="86"/>
      <c r="B935" s="120"/>
      <c r="C935" s="87"/>
      <c r="D935" s="86"/>
      <c r="E935" s="87"/>
      <c r="F935" s="120"/>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row>
    <row r="936" spans="1:33" ht="21.75" customHeight="1">
      <c r="A936" s="86"/>
      <c r="B936" s="120"/>
      <c r="C936" s="87"/>
      <c r="D936" s="86"/>
      <c r="E936" s="87"/>
      <c r="F936" s="120"/>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row>
    <row r="937" spans="1:33" ht="21.75" customHeight="1">
      <c r="A937" s="86"/>
      <c r="B937" s="120"/>
      <c r="C937" s="87"/>
      <c r="D937" s="86"/>
      <c r="E937" s="87"/>
      <c r="F937" s="120"/>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row>
    <row r="938" spans="1:33" ht="21.75" customHeight="1">
      <c r="A938" s="86"/>
      <c r="B938" s="120"/>
      <c r="C938" s="87"/>
      <c r="D938" s="86"/>
      <c r="E938" s="87"/>
      <c r="F938" s="120"/>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row>
    <row r="939" spans="1:33" ht="21.75" customHeight="1">
      <c r="A939" s="86"/>
      <c r="B939" s="120"/>
      <c r="C939" s="87"/>
      <c r="D939" s="86"/>
      <c r="E939" s="87"/>
      <c r="F939" s="120"/>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row>
    <row r="940" spans="1:33" ht="21.75" customHeight="1">
      <c r="A940" s="86"/>
      <c r="B940" s="120"/>
      <c r="C940" s="87"/>
      <c r="D940" s="86"/>
      <c r="E940" s="87"/>
      <c r="F940" s="120"/>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row>
    <row r="941" spans="1:33" ht="21.75" customHeight="1">
      <c r="A941" s="86"/>
      <c r="B941" s="120"/>
      <c r="C941" s="87"/>
      <c r="D941" s="86"/>
      <c r="E941" s="87"/>
      <c r="F941" s="120"/>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row>
    <row r="942" spans="1:33" ht="21.75" customHeight="1">
      <c r="A942" s="86"/>
      <c r="B942" s="120"/>
      <c r="C942" s="87"/>
      <c r="D942" s="86"/>
      <c r="E942" s="87"/>
      <c r="F942" s="120"/>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row>
    <row r="943" spans="1:33" ht="21.75" customHeight="1">
      <c r="A943" s="86"/>
      <c r="B943" s="120"/>
      <c r="C943" s="87"/>
      <c r="D943" s="86"/>
      <c r="E943" s="87"/>
      <c r="F943" s="120"/>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row>
    <row r="944" spans="1:33" ht="21.75" customHeight="1">
      <c r="A944" s="86"/>
      <c r="B944" s="120"/>
      <c r="C944" s="87"/>
      <c r="D944" s="86"/>
      <c r="E944" s="87"/>
      <c r="F944" s="120"/>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row>
    <row r="945" spans="1:33" ht="21.75" customHeight="1">
      <c r="A945" s="86"/>
      <c r="B945" s="120"/>
      <c r="C945" s="87"/>
      <c r="D945" s="86"/>
      <c r="E945" s="87"/>
      <c r="F945" s="120"/>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row>
    <row r="946" spans="1:33" ht="21.75" customHeight="1">
      <c r="A946" s="86"/>
      <c r="B946" s="120"/>
      <c r="C946" s="87"/>
      <c r="D946" s="86"/>
      <c r="E946" s="87"/>
      <c r="F946" s="120"/>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row>
    <row r="947" spans="1:33" ht="21.75" customHeight="1">
      <c r="A947" s="86"/>
      <c r="B947" s="120"/>
      <c r="C947" s="87"/>
      <c r="D947" s="86"/>
      <c r="E947" s="87"/>
      <c r="F947" s="120"/>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row>
    <row r="948" spans="1:33" ht="21.75" customHeight="1">
      <c r="A948" s="86"/>
      <c r="B948" s="120"/>
      <c r="C948" s="87"/>
      <c r="D948" s="86"/>
      <c r="E948" s="87"/>
      <c r="F948" s="120"/>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row>
    <row r="949" spans="1:33" ht="21.75" customHeight="1">
      <c r="A949" s="86"/>
      <c r="B949" s="120"/>
      <c r="C949" s="87"/>
      <c r="D949" s="86"/>
      <c r="E949" s="87"/>
      <c r="F949" s="120"/>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row>
    <row r="950" spans="1:33" ht="21.75" customHeight="1">
      <c r="A950" s="86"/>
      <c r="B950" s="120"/>
      <c r="C950" s="87"/>
      <c r="D950" s="86"/>
      <c r="E950" s="87"/>
      <c r="F950" s="120"/>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row>
    <row r="951" spans="1:33" ht="21.75" customHeight="1">
      <c r="A951" s="86"/>
      <c r="B951" s="120"/>
      <c r="C951" s="87"/>
      <c r="D951" s="86"/>
      <c r="E951" s="87"/>
      <c r="F951" s="120"/>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row>
    <row r="952" spans="1:33" ht="21.75" customHeight="1">
      <c r="A952" s="86"/>
      <c r="B952" s="120"/>
      <c r="C952" s="87"/>
      <c r="D952" s="86"/>
      <c r="E952" s="87"/>
      <c r="F952" s="120"/>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row>
    <row r="953" spans="1:33" ht="21.75" customHeight="1">
      <c r="A953" s="86"/>
      <c r="B953" s="120"/>
      <c r="C953" s="87"/>
      <c r="D953" s="86"/>
      <c r="E953" s="87"/>
      <c r="F953" s="120"/>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row>
    <row r="954" spans="1:33" ht="21.75" customHeight="1">
      <c r="A954" s="86"/>
      <c r="B954" s="120"/>
      <c r="C954" s="87"/>
      <c r="D954" s="86"/>
      <c r="E954" s="87"/>
      <c r="F954" s="120"/>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row>
    <row r="955" spans="1:33" ht="21.75" customHeight="1">
      <c r="A955" s="86"/>
      <c r="B955" s="120"/>
      <c r="C955" s="87"/>
      <c r="D955" s="86"/>
      <c r="E955" s="87"/>
      <c r="F955" s="120"/>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row>
    <row r="956" spans="1:33" ht="21.75" customHeight="1">
      <c r="A956" s="86"/>
      <c r="B956" s="120"/>
      <c r="C956" s="87"/>
      <c r="D956" s="86"/>
      <c r="E956" s="87"/>
      <c r="F956" s="120"/>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row>
    <row r="957" spans="1:33" ht="21.75" customHeight="1">
      <c r="A957" s="86"/>
      <c r="B957" s="120"/>
      <c r="C957" s="87"/>
      <c r="D957" s="86"/>
      <c r="E957" s="87"/>
      <c r="F957" s="120"/>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row>
    <row r="958" spans="1:33" ht="21.75" customHeight="1">
      <c r="A958" s="86"/>
      <c r="B958" s="120"/>
      <c r="C958" s="87"/>
      <c r="D958" s="86"/>
      <c r="E958" s="87"/>
      <c r="F958" s="120"/>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row>
    <row r="959" spans="1:33" ht="21.75" customHeight="1">
      <c r="A959" s="86"/>
      <c r="B959" s="120"/>
      <c r="C959" s="87"/>
      <c r="D959" s="86"/>
      <c r="E959" s="87"/>
      <c r="F959" s="120"/>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row>
    <row r="960" spans="1:33" ht="21.75" customHeight="1">
      <c r="A960" s="86"/>
      <c r="B960" s="120"/>
      <c r="C960" s="87"/>
      <c r="D960" s="86"/>
      <c r="E960" s="87"/>
      <c r="F960" s="120"/>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row>
    <row r="961" spans="1:33" ht="21.75" customHeight="1">
      <c r="A961" s="86"/>
      <c r="B961" s="120"/>
      <c r="C961" s="87"/>
      <c r="D961" s="86"/>
      <c r="E961" s="87"/>
      <c r="F961" s="120"/>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row>
    <row r="962" spans="1:33" ht="21.75" customHeight="1">
      <c r="A962" s="86"/>
      <c r="B962" s="120"/>
      <c r="C962" s="87"/>
      <c r="D962" s="86"/>
      <c r="E962" s="87"/>
      <c r="F962" s="120"/>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row>
    <row r="963" spans="1:33" ht="21.75" customHeight="1">
      <c r="A963" s="86"/>
      <c r="B963" s="120"/>
      <c r="C963" s="87"/>
      <c r="D963" s="86"/>
      <c r="E963" s="87"/>
      <c r="F963" s="120"/>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row>
    <row r="964" spans="1:33" ht="21.75" customHeight="1">
      <c r="A964" s="86"/>
      <c r="B964" s="120"/>
      <c r="C964" s="87"/>
      <c r="D964" s="86"/>
      <c r="E964" s="87"/>
      <c r="F964" s="120"/>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row>
    <row r="965" spans="1:33" ht="21.75" customHeight="1">
      <c r="A965" s="86"/>
      <c r="B965" s="120"/>
      <c r="C965" s="87"/>
      <c r="D965" s="86"/>
      <c r="E965" s="87"/>
      <c r="F965" s="120"/>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row>
    <row r="966" spans="1:33" ht="21.75" customHeight="1">
      <c r="A966" s="86"/>
      <c r="B966" s="120"/>
      <c r="C966" s="87"/>
      <c r="D966" s="86"/>
      <c r="E966" s="87"/>
      <c r="F966" s="120"/>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row>
    <row r="967" spans="1:33" ht="21.75" customHeight="1">
      <c r="A967" s="86"/>
      <c r="B967" s="120"/>
      <c r="C967" s="87"/>
      <c r="D967" s="86"/>
      <c r="E967" s="87"/>
      <c r="F967" s="120"/>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row>
    <row r="968" spans="1:33" ht="21.75" customHeight="1">
      <c r="A968" s="86"/>
      <c r="B968" s="120"/>
      <c r="C968" s="87"/>
      <c r="D968" s="86"/>
      <c r="E968" s="87"/>
      <c r="F968" s="120"/>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row>
    <row r="969" spans="1:33" ht="21.75" customHeight="1">
      <c r="A969" s="86"/>
      <c r="B969" s="120"/>
      <c r="C969" s="87"/>
      <c r="D969" s="86"/>
      <c r="E969" s="87"/>
      <c r="F969" s="120"/>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row>
    <row r="970" spans="1:33" ht="21.75" customHeight="1">
      <c r="A970" s="86"/>
      <c r="B970" s="120"/>
      <c r="C970" s="87"/>
      <c r="D970" s="86"/>
      <c r="E970" s="87"/>
      <c r="F970" s="120"/>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row>
    <row r="971" spans="1:33" ht="21.75" customHeight="1">
      <c r="A971" s="86"/>
      <c r="B971" s="120"/>
      <c r="C971" s="87"/>
      <c r="D971" s="86"/>
      <c r="E971" s="87"/>
      <c r="F971" s="120"/>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row>
    <row r="972" spans="1:33" ht="21.75" customHeight="1">
      <c r="A972" s="86"/>
      <c r="B972" s="120"/>
      <c r="C972" s="87"/>
      <c r="D972" s="86"/>
      <c r="E972" s="87"/>
      <c r="F972" s="120"/>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row>
    <row r="973" spans="1:33" ht="21.75" customHeight="1">
      <c r="A973" s="86"/>
      <c r="B973" s="120"/>
      <c r="C973" s="87"/>
      <c r="D973" s="86"/>
      <c r="E973" s="87"/>
      <c r="F973" s="120"/>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row>
    <row r="974" spans="1:33" ht="21.75" customHeight="1">
      <c r="A974" s="86"/>
      <c r="B974" s="120"/>
      <c r="C974" s="87"/>
      <c r="D974" s="86"/>
      <c r="E974" s="87"/>
      <c r="F974" s="120"/>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row>
    <row r="975" spans="1:33" ht="21.75" customHeight="1">
      <c r="A975" s="86"/>
      <c r="B975" s="120"/>
      <c r="C975" s="87"/>
      <c r="D975" s="86"/>
      <c r="E975" s="87"/>
      <c r="F975" s="120"/>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row>
    <row r="976" spans="1:33" ht="21.75" customHeight="1">
      <c r="A976" s="86"/>
      <c r="B976" s="120"/>
      <c r="C976" s="87"/>
      <c r="D976" s="86"/>
      <c r="E976" s="87"/>
      <c r="F976" s="120"/>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row>
    <row r="977" spans="1:33" ht="21.75" customHeight="1">
      <c r="A977" s="86"/>
      <c r="B977" s="120"/>
      <c r="C977" s="87"/>
      <c r="D977" s="86"/>
      <c r="E977" s="87"/>
      <c r="F977" s="120"/>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row>
    <row r="978" spans="1:33" ht="21.75" customHeight="1">
      <c r="A978" s="86"/>
      <c r="B978" s="120"/>
      <c r="C978" s="87"/>
      <c r="D978" s="86"/>
      <c r="E978" s="87"/>
      <c r="F978" s="120"/>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row>
    <row r="979" spans="1:33" ht="21.75" customHeight="1">
      <c r="A979" s="86"/>
      <c r="B979" s="120"/>
      <c r="C979" s="87"/>
      <c r="D979" s="86"/>
      <c r="E979" s="87"/>
      <c r="F979" s="120"/>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row>
    <row r="980" spans="1:33" ht="21.75" customHeight="1">
      <c r="A980" s="86"/>
      <c r="B980" s="120"/>
      <c r="C980" s="87"/>
      <c r="D980" s="86"/>
      <c r="E980" s="87"/>
      <c r="F980" s="120"/>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row>
    <row r="981" spans="1:33" ht="21.75" customHeight="1">
      <c r="A981" s="86"/>
      <c r="B981" s="120"/>
      <c r="C981" s="87"/>
      <c r="D981" s="86"/>
      <c r="E981" s="87"/>
      <c r="F981" s="120"/>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row>
    <row r="982" spans="1:33" ht="21.75" customHeight="1">
      <c r="A982" s="86"/>
      <c r="B982" s="120"/>
      <c r="C982" s="87"/>
      <c r="D982" s="86"/>
      <c r="E982" s="87"/>
      <c r="F982" s="120"/>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row>
    <row r="983" spans="1:33" ht="21.75" customHeight="1">
      <c r="A983" s="86"/>
      <c r="B983" s="120"/>
      <c r="C983" s="87"/>
      <c r="D983" s="86"/>
      <c r="E983" s="87"/>
      <c r="F983" s="120"/>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row>
    <row r="984" spans="1:33" ht="21.75" customHeight="1">
      <c r="A984" s="86"/>
      <c r="B984" s="120"/>
      <c r="C984" s="87"/>
      <c r="D984" s="86"/>
      <c r="E984" s="87"/>
      <c r="F984" s="120"/>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row>
    <row r="985" spans="1:33" ht="21.75" customHeight="1">
      <c r="A985" s="86"/>
      <c r="B985" s="120"/>
      <c r="C985" s="87"/>
      <c r="D985" s="86"/>
      <c r="E985" s="87"/>
      <c r="F985" s="120"/>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row>
    <row r="986" spans="1:33" ht="21.75" customHeight="1">
      <c r="A986" s="86"/>
      <c r="B986" s="120"/>
      <c r="C986" s="87"/>
      <c r="D986" s="86"/>
      <c r="E986" s="87"/>
      <c r="F986" s="120"/>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row>
    <row r="987" spans="1:33" ht="21.75" customHeight="1">
      <c r="A987" s="86"/>
      <c r="B987" s="120"/>
      <c r="C987" s="87"/>
      <c r="D987" s="86"/>
      <c r="E987" s="87"/>
      <c r="F987" s="120"/>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row>
    <row r="988" spans="1:33" ht="21.75" customHeight="1">
      <c r="A988" s="86"/>
      <c r="B988" s="120"/>
      <c r="C988" s="87"/>
      <c r="D988" s="86"/>
      <c r="E988" s="87"/>
      <c r="F988" s="120"/>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row>
    <row r="989" spans="1:33" ht="21.75" customHeight="1">
      <c r="A989" s="86"/>
      <c r="B989" s="120"/>
      <c r="C989" s="87"/>
      <c r="D989" s="86"/>
      <c r="E989" s="87"/>
      <c r="F989" s="120"/>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row>
    <row r="990" spans="1:33" ht="21.75" customHeight="1">
      <c r="A990" s="86"/>
      <c r="B990" s="120"/>
      <c r="C990" s="87"/>
      <c r="D990" s="86"/>
      <c r="E990" s="87"/>
      <c r="F990" s="120"/>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row>
    <row r="991" spans="1:33" ht="21.75" customHeight="1">
      <c r="A991" s="86"/>
      <c r="B991" s="120"/>
      <c r="C991" s="87"/>
      <c r="D991" s="86"/>
      <c r="E991" s="87"/>
      <c r="F991" s="120"/>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row>
    <row r="992" spans="1:33" ht="21.75" customHeight="1">
      <c r="A992" s="86"/>
      <c r="B992" s="120"/>
      <c r="C992" s="87"/>
      <c r="D992" s="86"/>
      <c r="E992" s="87"/>
      <c r="F992" s="120"/>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row>
    <row r="993" spans="1:33" ht="21.75" customHeight="1">
      <c r="A993" s="86"/>
      <c r="B993" s="120"/>
      <c r="C993" s="87"/>
      <c r="D993" s="86"/>
      <c r="E993" s="87"/>
      <c r="F993" s="120"/>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row>
    <row r="994" spans="1:33" ht="21.75" customHeight="1">
      <c r="A994" s="86"/>
      <c r="B994" s="120"/>
      <c r="C994" s="87"/>
      <c r="D994" s="86"/>
      <c r="E994" s="87"/>
      <c r="F994" s="120"/>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row>
    <row r="995" spans="1:33" ht="21.75" customHeight="1">
      <c r="A995" s="86"/>
      <c r="B995" s="120"/>
      <c r="C995" s="87"/>
      <c r="D995" s="86"/>
      <c r="E995" s="87"/>
      <c r="F995" s="120"/>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row>
    <row r="996" spans="1:33" ht="21.75" customHeight="1">
      <c r="A996" s="86"/>
      <c r="B996" s="120"/>
      <c r="C996" s="87"/>
      <c r="D996" s="86"/>
      <c r="E996" s="87"/>
      <c r="F996" s="120"/>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row>
    <row r="997" spans="1:33" ht="21.75" customHeight="1">
      <c r="A997" s="86"/>
      <c r="B997" s="120"/>
      <c r="C997" s="87"/>
      <c r="D997" s="86"/>
      <c r="E997" s="87"/>
      <c r="F997" s="120"/>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row>
    <row r="998" spans="1:33" ht="21.75" customHeight="1">
      <c r="A998" s="86"/>
      <c r="B998" s="120"/>
      <c r="C998" s="87"/>
      <c r="D998" s="86"/>
      <c r="E998" s="87"/>
      <c r="F998" s="120"/>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c r="AG998" s="87"/>
    </row>
    <row r="999" spans="1:33" ht="21.75" customHeight="1">
      <c r="A999" s="86"/>
      <c r="B999" s="120"/>
      <c r="C999" s="87"/>
      <c r="D999" s="86"/>
      <c r="E999" s="87"/>
      <c r="F999" s="120"/>
      <c r="G999" s="87"/>
      <c r="H999" s="87"/>
      <c r="I999" s="87"/>
      <c r="J999" s="87"/>
      <c r="K999" s="87"/>
      <c r="L999" s="87"/>
      <c r="M999" s="87"/>
      <c r="N999" s="87"/>
      <c r="O999" s="87"/>
      <c r="P999" s="87"/>
      <c r="Q999" s="87"/>
      <c r="R999" s="87"/>
      <c r="S999" s="87"/>
      <c r="T999" s="87"/>
      <c r="U999" s="87"/>
      <c r="V999" s="87"/>
      <c r="W999" s="87"/>
      <c r="X999" s="87"/>
      <c r="Y999" s="87"/>
      <c r="Z999" s="87"/>
      <c r="AA999" s="87"/>
      <c r="AB999" s="87"/>
      <c r="AC999" s="87"/>
      <c r="AD999" s="87"/>
      <c r="AE999" s="87"/>
      <c r="AF999" s="87"/>
      <c r="AG999" s="87"/>
    </row>
    <row r="1000" spans="1:33" ht="21.75" customHeight="1">
      <c r="A1000" s="86"/>
      <c r="B1000" s="120"/>
      <c r="C1000" s="87"/>
      <c r="D1000" s="86"/>
      <c r="E1000" s="87"/>
      <c r="F1000" s="120"/>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c r="AC1000" s="87"/>
      <c r="AD1000" s="87"/>
      <c r="AE1000" s="87"/>
      <c r="AF1000" s="87"/>
      <c r="AG1000" s="87"/>
    </row>
    <row r="1001" spans="1:33" ht="21.75" customHeight="1">
      <c r="A1001" s="86"/>
      <c r="B1001" s="120"/>
      <c r="C1001" s="87"/>
      <c r="D1001" s="86"/>
      <c r="E1001" s="87"/>
      <c r="F1001" s="120"/>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c r="AC1001" s="87"/>
      <c r="AD1001" s="87"/>
      <c r="AE1001" s="87"/>
      <c r="AF1001" s="87"/>
      <c r="AG1001" s="87"/>
    </row>
    <row r="1002" spans="1:33" ht="21.75" customHeight="1">
      <c r="A1002" s="86"/>
      <c r="B1002" s="120"/>
      <c r="C1002" s="87"/>
      <c r="D1002" s="86"/>
      <c r="E1002" s="87"/>
      <c r="F1002" s="120"/>
      <c r="G1002" s="87"/>
      <c r="H1002" s="87"/>
      <c r="I1002" s="87"/>
      <c r="J1002" s="87"/>
      <c r="K1002" s="87"/>
      <c r="L1002" s="87"/>
      <c r="M1002" s="87"/>
      <c r="N1002" s="87"/>
      <c r="O1002" s="87"/>
      <c r="P1002" s="87"/>
      <c r="Q1002" s="87"/>
      <c r="R1002" s="87"/>
      <c r="S1002" s="87"/>
      <c r="T1002" s="87"/>
      <c r="U1002" s="87"/>
      <c r="V1002" s="87"/>
      <c r="W1002" s="87"/>
      <c r="X1002" s="87"/>
      <c r="Y1002" s="87"/>
      <c r="Z1002" s="87"/>
      <c r="AA1002" s="87"/>
      <c r="AB1002" s="87"/>
      <c r="AC1002" s="87"/>
      <c r="AD1002" s="87"/>
      <c r="AE1002" s="87"/>
      <c r="AF1002" s="87"/>
      <c r="AG1002" s="87"/>
    </row>
    <row r="1003" spans="1:33" ht="21.75" customHeight="1">
      <c r="A1003" s="86"/>
      <c r="B1003" s="120"/>
      <c r="C1003" s="87"/>
      <c r="D1003" s="86"/>
      <c r="E1003" s="87"/>
      <c r="F1003" s="120"/>
      <c r="G1003" s="87"/>
      <c r="H1003" s="87"/>
      <c r="I1003" s="87"/>
      <c r="J1003" s="87"/>
      <c r="K1003" s="87"/>
      <c r="L1003" s="87"/>
      <c r="M1003" s="87"/>
      <c r="N1003" s="87"/>
      <c r="O1003" s="87"/>
      <c r="P1003" s="87"/>
      <c r="Q1003" s="87"/>
      <c r="R1003" s="87"/>
      <c r="S1003" s="87"/>
      <c r="T1003" s="87"/>
      <c r="U1003" s="87"/>
      <c r="V1003" s="87"/>
      <c r="W1003" s="87"/>
      <c r="X1003" s="87"/>
      <c r="Y1003" s="87"/>
      <c r="Z1003" s="87"/>
      <c r="AA1003" s="87"/>
      <c r="AB1003" s="87"/>
      <c r="AC1003" s="87"/>
      <c r="AD1003" s="87"/>
      <c r="AE1003" s="87"/>
      <c r="AF1003" s="87"/>
      <c r="AG1003" s="87"/>
    </row>
    <row r="1004" spans="1:33" ht="21.75" customHeight="1">
      <c r="A1004" s="86"/>
      <c r="B1004" s="120"/>
      <c r="C1004" s="87"/>
      <c r="D1004" s="86"/>
      <c r="E1004" s="87"/>
      <c r="F1004" s="120"/>
      <c r="G1004" s="87"/>
      <c r="H1004" s="87"/>
      <c r="I1004" s="87"/>
      <c r="J1004" s="87"/>
      <c r="K1004" s="87"/>
      <c r="L1004" s="87"/>
      <c r="M1004" s="87"/>
      <c r="N1004" s="87"/>
      <c r="O1004" s="87"/>
      <c r="P1004" s="87"/>
      <c r="Q1004" s="87"/>
      <c r="R1004" s="87"/>
      <c r="S1004" s="87"/>
      <c r="T1004" s="87"/>
      <c r="U1004" s="87"/>
      <c r="V1004" s="87"/>
      <c r="W1004" s="87"/>
      <c r="X1004" s="87"/>
      <c r="Y1004" s="87"/>
      <c r="Z1004" s="87"/>
      <c r="AA1004" s="87"/>
      <c r="AB1004" s="87"/>
      <c r="AC1004" s="87"/>
      <c r="AD1004" s="87"/>
      <c r="AE1004" s="87"/>
      <c r="AF1004" s="87"/>
      <c r="AG1004" s="87"/>
    </row>
    <row r="1005" spans="1:33" ht="21.75" customHeight="1">
      <c r="A1005" s="86"/>
      <c r="B1005" s="120"/>
      <c r="C1005" s="87"/>
      <c r="D1005" s="86"/>
      <c r="E1005" s="87"/>
      <c r="F1005" s="120"/>
      <c r="G1005" s="87"/>
      <c r="H1005" s="87"/>
      <c r="I1005" s="87"/>
      <c r="J1005" s="87"/>
      <c r="K1005" s="87"/>
      <c r="L1005" s="87"/>
      <c r="M1005" s="87"/>
      <c r="N1005" s="87"/>
      <c r="O1005" s="87"/>
      <c r="P1005" s="87"/>
      <c r="Q1005" s="87"/>
      <c r="R1005" s="87"/>
      <c r="S1005" s="87"/>
      <c r="T1005" s="87"/>
      <c r="U1005" s="87"/>
      <c r="V1005" s="87"/>
      <c r="W1005" s="87"/>
      <c r="X1005" s="87"/>
      <c r="Y1005" s="87"/>
      <c r="Z1005" s="87"/>
      <c r="AA1005" s="87"/>
      <c r="AB1005" s="87"/>
      <c r="AC1005" s="87"/>
      <c r="AD1005" s="87"/>
      <c r="AE1005" s="87"/>
      <c r="AF1005" s="87"/>
      <c r="AG1005" s="87"/>
    </row>
    <row r="1006" spans="1:33" ht="21.75" customHeight="1">
      <c r="A1006" s="86"/>
      <c r="B1006" s="120"/>
      <c r="C1006" s="87"/>
      <c r="D1006" s="86"/>
      <c r="E1006" s="87"/>
      <c r="F1006" s="120"/>
      <c r="G1006" s="87"/>
      <c r="H1006" s="87"/>
      <c r="I1006" s="87"/>
      <c r="J1006" s="87"/>
      <c r="K1006" s="87"/>
      <c r="L1006" s="87"/>
      <c r="M1006" s="87"/>
      <c r="N1006" s="87"/>
      <c r="O1006" s="87"/>
      <c r="P1006" s="87"/>
      <c r="Q1006" s="87"/>
      <c r="R1006" s="87"/>
      <c r="S1006" s="87"/>
      <c r="T1006" s="87"/>
      <c r="U1006" s="87"/>
      <c r="V1006" s="87"/>
      <c r="W1006" s="87"/>
      <c r="X1006" s="87"/>
      <c r="Y1006" s="87"/>
      <c r="Z1006" s="87"/>
      <c r="AA1006" s="87"/>
      <c r="AB1006" s="87"/>
      <c r="AC1006" s="87"/>
      <c r="AD1006" s="87"/>
      <c r="AE1006" s="87"/>
      <c r="AF1006" s="87"/>
      <c r="AG1006" s="87"/>
    </row>
    <row r="1007" spans="1:33" ht="21.75" customHeight="1">
      <c r="A1007" s="86"/>
      <c r="B1007" s="120"/>
      <c r="C1007" s="87"/>
      <c r="D1007" s="86"/>
      <c r="E1007" s="87"/>
      <c r="F1007" s="120"/>
      <c r="G1007" s="87"/>
      <c r="H1007" s="87"/>
      <c r="I1007" s="87"/>
      <c r="J1007" s="87"/>
      <c r="K1007" s="87"/>
      <c r="L1007" s="87"/>
      <c r="M1007" s="87"/>
      <c r="N1007" s="87"/>
      <c r="O1007" s="87"/>
      <c r="P1007" s="87"/>
      <c r="Q1007" s="87"/>
      <c r="R1007" s="87"/>
      <c r="S1007" s="87"/>
      <c r="T1007" s="87"/>
      <c r="U1007" s="87"/>
      <c r="V1007" s="87"/>
      <c r="W1007" s="87"/>
      <c r="X1007" s="87"/>
      <c r="Y1007" s="87"/>
      <c r="Z1007" s="87"/>
      <c r="AA1007" s="87"/>
      <c r="AB1007" s="87"/>
      <c r="AC1007" s="87"/>
      <c r="AD1007" s="87"/>
      <c r="AE1007" s="87"/>
      <c r="AF1007" s="87"/>
      <c r="AG1007" s="87"/>
    </row>
    <row r="1008" spans="1:33" ht="21.75" customHeight="1">
      <c r="A1008" s="86"/>
      <c r="B1008" s="120"/>
      <c r="C1008" s="87"/>
      <c r="D1008" s="86"/>
      <c r="E1008" s="87"/>
      <c r="F1008" s="120"/>
      <c r="G1008" s="87"/>
      <c r="H1008" s="87"/>
      <c r="I1008" s="87"/>
      <c r="J1008" s="87"/>
      <c r="K1008" s="87"/>
      <c r="L1008" s="87"/>
      <c r="M1008" s="87"/>
      <c r="N1008" s="87"/>
      <c r="O1008" s="87"/>
      <c r="P1008" s="87"/>
      <c r="Q1008" s="87"/>
      <c r="R1008" s="87"/>
      <c r="S1008" s="87"/>
      <c r="T1008" s="87"/>
      <c r="U1008" s="87"/>
      <c r="V1008" s="87"/>
      <c r="W1008" s="87"/>
      <c r="X1008" s="87"/>
      <c r="Y1008" s="87"/>
      <c r="Z1008" s="87"/>
      <c r="AA1008" s="87"/>
      <c r="AB1008" s="87"/>
      <c r="AC1008" s="87"/>
      <c r="AD1008" s="87"/>
      <c r="AE1008" s="87"/>
      <c r="AF1008" s="87"/>
      <c r="AG1008" s="87"/>
    </row>
    <row r="1009" spans="1:33" ht="21.75" customHeight="1">
      <c r="A1009" s="86"/>
      <c r="B1009" s="120"/>
      <c r="C1009" s="87"/>
      <c r="D1009" s="86"/>
      <c r="E1009" s="87"/>
      <c r="F1009" s="120"/>
      <c r="G1009" s="87"/>
      <c r="H1009" s="87"/>
      <c r="I1009" s="87"/>
      <c r="J1009" s="87"/>
      <c r="K1009" s="87"/>
      <c r="L1009" s="87"/>
      <c r="M1009" s="87"/>
      <c r="N1009" s="87"/>
      <c r="O1009" s="87"/>
      <c r="P1009" s="87"/>
      <c r="Q1009" s="87"/>
      <c r="R1009" s="87"/>
      <c r="S1009" s="87"/>
      <c r="T1009" s="87"/>
      <c r="U1009" s="87"/>
      <c r="V1009" s="87"/>
      <c r="W1009" s="87"/>
      <c r="X1009" s="87"/>
      <c r="Y1009" s="87"/>
      <c r="Z1009" s="87"/>
      <c r="AA1009" s="87"/>
      <c r="AB1009" s="87"/>
      <c r="AC1009" s="87"/>
      <c r="AD1009" s="87"/>
      <c r="AE1009" s="87"/>
      <c r="AF1009" s="87"/>
      <c r="AG1009" s="87"/>
    </row>
    <row r="1010" spans="1:33" ht="21.75" customHeight="1">
      <c r="A1010" s="86"/>
      <c r="B1010" s="120"/>
      <c r="C1010" s="87"/>
      <c r="D1010" s="86"/>
      <c r="E1010" s="87"/>
      <c r="F1010" s="120"/>
      <c r="G1010" s="87"/>
      <c r="H1010" s="87"/>
      <c r="I1010" s="87"/>
      <c r="J1010" s="87"/>
      <c r="K1010" s="87"/>
      <c r="L1010" s="87"/>
      <c r="M1010" s="87"/>
      <c r="N1010" s="87"/>
      <c r="O1010" s="87"/>
      <c r="P1010" s="87"/>
      <c r="Q1010" s="87"/>
      <c r="R1010" s="87"/>
      <c r="S1010" s="87"/>
      <c r="T1010" s="87"/>
      <c r="U1010" s="87"/>
      <c r="V1010" s="87"/>
      <c r="W1010" s="87"/>
      <c r="X1010" s="87"/>
      <c r="Y1010" s="87"/>
      <c r="Z1010" s="87"/>
      <c r="AA1010" s="87"/>
      <c r="AB1010" s="87"/>
      <c r="AC1010" s="87"/>
      <c r="AD1010" s="87"/>
      <c r="AE1010" s="87"/>
      <c r="AF1010" s="87"/>
      <c r="AG1010" s="87"/>
    </row>
    <row r="1011" spans="1:33" ht="21.75" customHeight="1">
      <c r="A1011" s="86"/>
      <c r="B1011" s="120"/>
      <c r="C1011" s="87"/>
      <c r="D1011" s="86"/>
      <c r="E1011" s="87"/>
      <c r="F1011" s="120"/>
      <c r="G1011" s="87"/>
      <c r="H1011" s="87"/>
      <c r="I1011" s="87"/>
      <c r="J1011" s="87"/>
      <c r="K1011" s="87"/>
      <c r="L1011" s="87"/>
      <c r="M1011" s="87"/>
      <c r="N1011" s="87"/>
      <c r="O1011" s="87"/>
      <c r="P1011" s="87"/>
      <c r="Q1011" s="87"/>
      <c r="R1011" s="87"/>
      <c r="S1011" s="87"/>
      <c r="T1011" s="87"/>
      <c r="U1011" s="87"/>
      <c r="V1011" s="87"/>
      <c r="W1011" s="87"/>
      <c r="X1011" s="87"/>
      <c r="Y1011" s="87"/>
      <c r="Z1011" s="87"/>
      <c r="AA1011" s="87"/>
      <c r="AB1011" s="87"/>
      <c r="AC1011" s="87"/>
      <c r="AD1011" s="87"/>
      <c r="AE1011" s="87"/>
      <c r="AF1011" s="87"/>
      <c r="AG1011" s="87"/>
    </row>
    <row r="1012" spans="1:33" ht="21.75" customHeight="1">
      <c r="A1012" s="86"/>
      <c r="B1012" s="120"/>
      <c r="C1012" s="87"/>
      <c r="D1012" s="86"/>
      <c r="E1012" s="87"/>
      <c r="F1012" s="120"/>
      <c r="G1012" s="87"/>
      <c r="H1012" s="87"/>
      <c r="I1012" s="87"/>
      <c r="J1012" s="87"/>
      <c r="K1012" s="87"/>
      <c r="L1012" s="87"/>
      <c r="M1012" s="87"/>
      <c r="N1012" s="87"/>
      <c r="O1012" s="87"/>
      <c r="P1012" s="87"/>
      <c r="Q1012" s="87"/>
      <c r="R1012" s="87"/>
      <c r="S1012" s="87"/>
      <c r="T1012" s="87"/>
      <c r="U1012" s="87"/>
      <c r="V1012" s="87"/>
      <c r="W1012" s="87"/>
      <c r="X1012" s="87"/>
      <c r="Y1012" s="87"/>
      <c r="Z1012" s="87"/>
      <c r="AA1012" s="87"/>
      <c r="AB1012" s="87"/>
      <c r="AC1012" s="87"/>
      <c r="AD1012" s="87"/>
      <c r="AE1012" s="87"/>
      <c r="AF1012" s="87"/>
      <c r="AG1012" s="87"/>
    </row>
    <row r="1013" spans="1:33" ht="21.75" customHeight="1">
      <c r="A1013" s="86"/>
      <c r="B1013" s="120"/>
      <c r="C1013" s="87"/>
      <c r="D1013" s="86"/>
      <c r="E1013" s="87"/>
      <c r="F1013" s="120"/>
      <c r="G1013" s="87"/>
      <c r="H1013" s="87"/>
      <c r="I1013" s="87"/>
      <c r="J1013" s="87"/>
      <c r="K1013" s="87"/>
      <c r="L1013" s="87"/>
      <c r="M1013" s="87"/>
      <c r="N1013" s="87"/>
      <c r="O1013" s="87"/>
      <c r="P1013" s="87"/>
      <c r="Q1013" s="87"/>
      <c r="R1013" s="87"/>
      <c r="S1013" s="87"/>
      <c r="T1013" s="87"/>
      <c r="U1013" s="87"/>
      <c r="V1013" s="87"/>
      <c r="W1013" s="87"/>
      <c r="X1013" s="87"/>
      <c r="Y1013" s="87"/>
      <c r="Z1013" s="87"/>
      <c r="AA1013" s="87"/>
      <c r="AB1013" s="87"/>
      <c r="AC1013" s="87"/>
      <c r="AD1013" s="87"/>
      <c r="AE1013" s="87"/>
      <c r="AF1013" s="87"/>
      <c r="AG1013" s="87"/>
    </row>
    <row r="1014" spans="1:33" ht="21.75" customHeight="1">
      <c r="A1014" s="86"/>
      <c r="B1014" s="120"/>
      <c r="C1014" s="87"/>
      <c r="D1014" s="86"/>
      <c r="E1014" s="87"/>
      <c r="F1014" s="120"/>
      <c r="G1014" s="87"/>
      <c r="H1014" s="87"/>
      <c r="I1014" s="87"/>
      <c r="J1014" s="87"/>
      <c r="K1014" s="87"/>
      <c r="L1014" s="87"/>
      <c r="M1014" s="87"/>
      <c r="N1014" s="87"/>
      <c r="O1014" s="87"/>
      <c r="P1014" s="87"/>
      <c r="Q1014" s="87"/>
      <c r="R1014" s="87"/>
      <c r="S1014" s="87"/>
      <c r="T1014" s="87"/>
      <c r="U1014" s="87"/>
      <c r="V1014" s="87"/>
      <c r="W1014" s="87"/>
      <c r="X1014" s="87"/>
      <c r="Y1014" s="87"/>
      <c r="Z1014" s="87"/>
      <c r="AA1014" s="87"/>
      <c r="AB1014" s="87"/>
      <c r="AC1014" s="87"/>
      <c r="AD1014" s="87"/>
      <c r="AE1014" s="87"/>
      <c r="AF1014" s="87"/>
      <c r="AG1014" s="87"/>
    </row>
    <row r="1015" spans="1:33" ht="21.75" customHeight="1">
      <c r="A1015" s="86"/>
      <c r="B1015" s="120"/>
      <c r="C1015" s="87"/>
      <c r="D1015" s="86"/>
      <c r="E1015" s="87"/>
      <c r="F1015" s="120"/>
      <c r="G1015" s="87"/>
      <c r="H1015" s="87"/>
      <c r="I1015" s="87"/>
      <c r="J1015" s="87"/>
      <c r="K1015" s="87"/>
      <c r="L1015" s="87"/>
      <c r="M1015" s="87"/>
      <c r="N1015" s="87"/>
      <c r="O1015" s="87"/>
      <c r="P1015" s="87"/>
      <c r="Q1015" s="87"/>
      <c r="R1015" s="87"/>
      <c r="S1015" s="87"/>
      <c r="T1015" s="87"/>
      <c r="U1015" s="87"/>
      <c r="V1015" s="87"/>
      <c r="W1015" s="87"/>
      <c r="X1015" s="87"/>
      <c r="Y1015" s="87"/>
      <c r="Z1015" s="87"/>
      <c r="AA1015" s="87"/>
      <c r="AB1015" s="87"/>
      <c r="AC1015" s="87"/>
      <c r="AD1015" s="87"/>
      <c r="AE1015" s="87"/>
      <c r="AF1015" s="87"/>
      <c r="AG1015" s="87"/>
    </row>
    <row r="1016" spans="1:33" ht="21.75" customHeight="1">
      <c r="A1016" s="86"/>
      <c r="B1016" s="120"/>
      <c r="C1016" s="87"/>
      <c r="D1016" s="86"/>
      <c r="E1016" s="87"/>
      <c r="F1016" s="120"/>
      <c r="G1016" s="87"/>
      <c r="H1016" s="87"/>
      <c r="I1016" s="87"/>
      <c r="J1016" s="87"/>
      <c r="K1016" s="87"/>
      <c r="L1016" s="87"/>
      <c r="M1016" s="87"/>
      <c r="N1016" s="87"/>
      <c r="O1016" s="87"/>
      <c r="P1016" s="87"/>
      <c r="Q1016" s="87"/>
      <c r="R1016" s="87"/>
      <c r="S1016" s="87"/>
      <c r="T1016" s="87"/>
      <c r="U1016" s="87"/>
      <c r="V1016" s="87"/>
      <c r="W1016" s="87"/>
      <c r="X1016" s="87"/>
      <c r="Y1016" s="87"/>
      <c r="Z1016" s="87"/>
      <c r="AA1016" s="87"/>
      <c r="AB1016" s="87"/>
      <c r="AC1016" s="87"/>
      <c r="AD1016" s="87"/>
      <c r="AE1016" s="87"/>
      <c r="AF1016" s="87"/>
      <c r="AG1016" s="87"/>
    </row>
    <row r="1017" spans="1:33" ht="21.75" customHeight="1">
      <c r="A1017" s="86"/>
      <c r="B1017" s="120"/>
      <c r="C1017" s="87"/>
      <c r="D1017" s="86"/>
      <c r="E1017" s="87"/>
      <c r="F1017" s="120"/>
      <c r="G1017" s="87"/>
      <c r="H1017" s="87"/>
      <c r="I1017" s="87"/>
      <c r="J1017" s="87"/>
      <c r="K1017" s="87"/>
      <c r="L1017" s="87"/>
      <c r="M1017" s="87"/>
      <c r="N1017" s="87"/>
      <c r="O1017" s="87"/>
      <c r="P1017" s="87"/>
      <c r="Q1017" s="87"/>
      <c r="R1017" s="87"/>
      <c r="S1017" s="87"/>
      <c r="T1017" s="87"/>
      <c r="U1017" s="87"/>
      <c r="V1017" s="87"/>
      <c r="W1017" s="87"/>
      <c r="X1017" s="87"/>
      <c r="Y1017" s="87"/>
      <c r="Z1017" s="87"/>
      <c r="AA1017" s="87"/>
      <c r="AB1017" s="87"/>
      <c r="AC1017" s="87"/>
      <c r="AD1017" s="87"/>
      <c r="AE1017" s="87"/>
      <c r="AF1017" s="87"/>
      <c r="AG1017" s="87"/>
    </row>
    <row r="1018" spans="1:33" ht="21.75" customHeight="1">
      <c r="A1018" s="86"/>
      <c r="B1018" s="120"/>
      <c r="C1018" s="87"/>
      <c r="D1018" s="86"/>
      <c r="E1018" s="87"/>
      <c r="F1018" s="120"/>
      <c r="G1018" s="87"/>
      <c r="H1018" s="87"/>
      <c r="I1018" s="87"/>
      <c r="J1018" s="87"/>
      <c r="K1018" s="87"/>
      <c r="L1018" s="87"/>
      <c r="M1018" s="87"/>
      <c r="N1018" s="87"/>
      <c r="O1018" s="87"/>
      <c r="P1018" s="87"/>
      <c r="Q1018" s="87"/>
      <c r="R1018" s="87"/>
      <c r="S1018" s="87"/>
      <c r="T1018" s="87"/>
      <c r="U1018" s="87"/>
      <c r="V1018" s="87"/>
      <c r="W1018" s="87"/>
      <c r="X1018" s="87"/>
      <c r="Y1018" s="87"/>
      <c r="Z1018" s="87"/>
      <c r="AA1018" s="87"/>
      <c r="AB1018" s="87"/>
      <c r="AC1018" s="87"/>
      <c r="AD1018" s="87"/>
      <c r="AE1018" s="87"/>
      <c r="AF1018" s="87"/>
      <c r="AG1018" s="87"/>
    </row>
    <row r="1019" spans="1:33" ht="21.75" customHeight="1">
      <c r="A1019" s="86"/>
      <c r="B1019" s="120"/>
      <c r="C1019" s="87"/>
      <c r="D1019" s="86"/>
      <c r="E1019" s="87"/>
      <c r="F1019" s="120"/>
      <c r="G1019" s="87"/>
      <c r="H1019" s="87"/>
      <c r="I1019" s="87"/>
      <c r="J1019" s="87"/>
      <c r="K1019" s="87"/>
      <c r="L1019" s="87"/>
      <c r="M1019" s="87"/>
      <c r="N1019" s="87"/>
      <c r="O1019" s="87"/>
      <c r="P1019" s="87"/>
      <c r="Q1019" s="87"/>
      <c r="R1019" s="87"/>
      <c r="S1019" s="87"/>
      <c r="T1019" s="87"/>
      <c r="U1019" s="87"/>
      <c r="V1019" s="87"/>
      <c r="W1019" s="87"/>
      <c r="X1019" s="87"/>
      <c r="Y1019" s="87"/>
      <c r="Z1019" s="87"/>
      <c r="AA1019" s="87"/>
      <c r="AB1019" s="87"/>
      <c r="AC1019" s="87"/>
      <c r="AD1019" s="87"/>
      <c r="AE1019" s="87"/>
      <c r="AF1019" s="87"/>
      <c r="AG1019" s="87"/>
    </row>
    <row r="1020" spans="1:33" ht="21.75" customHeight="1">
      <c r="A1020" s="86"/>
      <c r="B1020" s="120"/>
      <c r="C1020" s="87"/>
      <c r="D1020" s="86"/>
      <c r="E1020" s="87"/>
      <c r="F1020" s="120"/>
      <c r="G1020" s="87"/>
      <c r="H1020" s="87"/>
      <c r="I1020" s="87"/>
      <c r="J1020" s="87"/>
      <c r="K1020" s="87"/>
      <c r="L1020" s="87"/>
      <c r="M1020" s="87"/>
      <c r="N1020" s="87"/>
      <c r="O1020" s="87"/>
      <c r="P1020" s="87"/>
      <c r="Q1020" s="87"/>
      <c r="R1020" s="87"/>
      <c r="S1020" s="87"/>
      <c r="T1020" s="87"/>
      <c r="U1020" s="87"/>
      <c r="V1020" s="87"/>
      <c r="W1020" s="87"/>
      <c r="X1020" s="87"/>
      <c r="Y1020" s="87"/>
      <c r="Z1020" s="87"/>
      <c r="AA1020" s="87"/>
      <c r="AB1020" s="87"/>
      <c r="AC1020" s="87"/>
      <c r="AD1020" s="87"/>
      <c r="AE1020" s="87"/>
      <c r="AF1020" s="87"/>
      <c r="AG1020" s="87"/>
    </row>
    <row r="1021" spans="1:33" ht="21.75" customHeight="1">
      <c r="A1021" s="86"/>
      <c r="B1021" s="120"/>
      <c r="C1021" s="87"/>
      <c r="D1021" s="86"/>
      <c r="E1021" s="87"/>
      <c r="F1021" s="120"/>
      <c r="G1021" s="87"/>
      <c r="H1021" s="87"/>
      <c r="I1021" s="87"/>
      <c r="J1021" s="87"/>
      <c r="K1021" s="87"/>
      <c r="L1021" s="87"/>
      <c r="M1021" s="87"/>
      <c r="N1021" s="87"/>
      <c r="O1021" s="87"/>
      <c r="P1021" s="87"/>
      <c r="Q1021" s="87"/>
      <c r="R1021" s="87"/>
      <c r="S1021" s="87"/>
      <c r="T1021" s="87"/>
      <c r="U1021" s="87"/>
      <c r="V1021" s="87"/>
      <c r="W1021" s="87"/>
      <c r="X1021" s="87"/>
      <c r="Y1021" s="87"/>
      <c r="Z1021" s="87"/>
      <c r="AA1021" s="87"/>
      <c r="AB1021" s="87"/>
      <c r="AC1021" s="87"/>
      <c r="AD1021" s="87"/>
      <c r="AE1021" s="87"/>
      <c r="AF1021" s="87"/>
      <c r="AG1021" s="87"/>
    </row>
    <row r="1022" spans="1:33" ht="21.75" customHeight="1">
      <c r="A1022" s="86"/>
      <c r="B1022" s="120"/>
      <c r="C1022" s="87"/>
      <c r="D1022" s="86"/>
      <c r="E1022" s="87"/>
      <c r="F1022" s="120"/>
      <c r="G1022" s="87"/>
      <c r="H1022" s="87"/>
      <c r="I1022" s="87"/>
      <c r="J1022" s="87"/>
      <c r="K1022" s="87"/>
      <c r="L1022" s="87"/>
      <c r="M1022" s="87"/>
      <c r="N1022" s="87"/>
      <c r="O1022" s="87"/>
      <c r="P1022" s="87"/>
      <c r="Q1022" s="87"/>
      <c r="R1022" s="87"/>
      <c r="S1022" s="87"/>
      <c r="T1022" s="87"/>
      <c r="U1022" s="87"/>
      <c r="V1022" s="87"/>
      <c r="W1022" s="87"/>
      <c r="X1022" s="87"/>
      <c r="Y1022" s="87"/>
      <c r="Z1022" s="87"/>
      <c r="AA1022" s="87"/>
      <c r="AB1022" s="87"/>
      <c r="AC1022" s="87"/>
      <c r="AD1022" s="87"/>
      <c r="AE1022" s="87"/>
      <c r="AF1022" s="87"/>
      <c r="AG1022" s="87"/>
    </row>
    <row r="1023" spans="1:33" ht="21.75" customHeight="1">
      <c r="A1023" s="86"/>
      <c r="B1023" s="120"/>
      <c r="C1023" s="87"/>
      <c r="D1023" s="86"/>
      <c r="E1023" s="87"/>
      <c r="F1023" s="120"/>
      <c r="G1023" s="87"/>
      <c r="H1023" s="87"/>
      <c r="I1023" s="87"/>
      <c r="J1023" s="87"/>
      <c r="K1023" s="87"/>
      <c r="L1023" s="87"/>
      <c r="M1023" s="87"/>
      <c r="N1023" s="87"/>
      <c r="O1023" s="87"/>
      <c r="P1023" s="87"/>
      <c r="Q1023" s="87"/>
      <c r="R1023" s="87"/>
      <c r="S1023" s="87"/>
      <c r="T1023" s="87"/>
      <c r="U1023" s="87"/>
      <c r="V1023" s="87"/>
      <c r="W1023" s="87"/>
      <c r="X1023" s="87"/>
      <c r="Y1023" s="87"/>
      <c r="Z1023" s="87"/>
      <c r="AA1023" s="87"/>
      <c r="AB1023" s="87"/>
      <c r="AC1023" s="87"/>
      <c r="AD1023" s="87"/>
      <c r="AE1023" s="87"/>
      <c r="AF1023" s="87"/>
      <c r="AG1023" s="87"/>
    </row>
    <row r="1024" spans="1:33" ht="21.75" customHeight="1">
      <c r="A1024" s="86"/>
      <c r="B1024" s="120"/>
      <c r="C1024" s="87"/>
      <c r="D1024" s="86"/>
      <c r="E1024" s="87"/>
      <c r="F1024" s="120"/>
      <c r="G1024" s="87"/>
      <c r="H1024" s="87"/>
      <c r="I1024" s="87"/>
      <c r="J1024" s="87"/>
      <c r="K1024" s="87"/>
      <c r="L1024" s="87"/>
      <c r="M1024" s="87"/>
      <c r="N1024" s="87"/>
      <c r="O1024" s="87"/>
      <c r="P1024" s="87"/>
      <c r="Q1024" s="87"/>
      <c r="R1024" s="87"/>
      <c r="S1024" s="87"/>
      <c r="T1024" s="87"/>
      <c r="U1024" s="87"/>
      <c r="V1024" s="87"/>
      <c r="W1024" s="87"/>
      <c r="X1024" s="87"/>
      <c r="Y1024" s="87"/>
      <c r="Z1024" s="87"/>
      <c r="AA1024" s="87"/>
      <c r="AB1024" s="87"/>
      <c r="AC1024" s="87"/>
      <c r="AD1024" s="87"/>
      <c r="AE1024" s="87"/>
      <c r="AF1024" s="87"/>
      <c r="AG1024" s="87"/>
    </row>
    <row r="1025" spans="1:33" ht="21.75" customHeight="1">
      <c r="A1025" s="86"/>
      <c r="B1025" s="120"/>
      <c r="C1025" s="87"/>
      <c r="D1025" s="86"/>
      <c r="E1025" s="87"/>
      <c r="F1025" s="120"/>
      <c r="G1025" s="87"/>
      <c r="H1025" s="87"/>
      <c r="I1025" s="87"/>
      <c r="J1025" s="87"/>
      <c r="K1025" s="87"/>
      <c r="L1025" s="87"/>
      <c r="M1025" s="87"/>
      <c r="N1025" s="87"/>
      <c r="O1025" s="87"/>
      <c r="P1025" s="87"/>
      <c r="Q1025" s="87"/>
      <c r="R1025" s="87"/>
      <c r="S1025" s="87"/>
      <c r="T1025" s="87"/>
      <c r="U1025" s="87"/>
      <c r="V1025" s="87"/>
      <c r="W1025" s="87"/>
      <c r="X1025" s="87"/>
      <c r="Y1025" s="87"/>
      <c r="Z1025" s="87"/>
      <c r="AA1025" s="87"/>
      <c r="AB1025" s="87"/>
      <c r="AC1025" s="87"/>
      <c r="AD1025" s="87"/>
      <c r="AE1025" s="87"/>
      <c r="AF1025" s="87"/>
      <c r="AG1025" s="87"/>
    </row>
    <row r="1026" spans="1:33" ht="21.75" customHeight="1">
      <c r="A1026" s="86"/>
      <c r="B1026" s="120"/>
      <c r="C1026" s="87"/>
      <c r="D1026" s="86"/>
      <c r="E1026" s="87"/>
      <c r="F1026" s="120"/>
      <c r="G1026" s="87"/>
      <c r="H1026" s="87"/>
      <c r="I1026" s="87"/>
      <c r="J1026" s="87"/>
      <c r="K1026" s="87"/>
      <c r="L1026" s="87"/>
      <c r="M1026" s="87"/>
      <c r="N1026" s="87"/>
      <c r="O1026" s="87"/>
      <c r="P1026" s="87"/>
      <c r="Q1026" s="87"/>
      <c r="R1026" s="87"/>
      <c r="S1026" s="87"/>
      <c r="T1026" s="87"/>
      <c r="U1026" s="87"/>
      <c r="V1026" s="87"/>
      <c r="W1026" s="87"/>
      <c r="X1026" s="87"/>
      <c r="Y1026" s="87"/>
      <c r="Z1026" s="87"/>
      <c r="AA1026" s="87"/>
      <c r="AB1026" s="87"/>
      <c r="AC1026" s="87"/>
      <c r="AD1026" s="87"/>
      <c r="AE1026" s="87"/>
      <c r="AF1026" s="87"/>
      <c r="AG1026" s="87"/>
    </row>
    <row r="1027" spans="1:33" ht="21.75" customHeight="1">
      <c r="A1027" s="86"/>
      <c r="B1027" s="120"/>
      <c r="C1027" s="87"/>
      <c r="D1027" s="86"/>
      <c r="E1027" s="87"/>
      <c r="F1027" s="120"/>
      <c r="G1027" s="87"/>
      <c r="H1027" s="87"/>
      <c r="I1027" s="87"/>
      <c r="J1027" s="87"/>
      <c r="K1027" s="87"/>
      <c r="L1027" s="87"/>
      <c r="M1027" s="87"/>
      <c r="N1027" s="87"/>
      <c r="O1027" s="87"/>
      <c r="P1027" s="87"/>
      <c r="Q1027" s="87"/>
      <c r="R1027" s="87"/>
      <c r="S1027" s="87"/>
      <c r="T1027" s="87"/>
      <c r="U1027" s="87"/>
      <c r="V1027" s="87"/>
      <c r="W1027" s="87"/>
      <c r="X1027" s="87"/>
      <c r="Y1027" s="87"/>
      <c r="Z1027" s="87"/>
      <c r="AA1027" s="87"/>
      <c r="AB1027" s="87"/>
      <c r="AC1027" s="87"/>
      <c r="AD1027" s="87"/>
      <c r="AE1027" s="87"/>
      <c r="AF1027" s="87"/>
      <c r="AG1027" s="87"/>
    </row>
    <row r="1028" spans="1:33" ht="21.75" customHeight="1">
      <c r="A1028" s="86"/>
      <c r="B1028" s="120"/>
      <c r="C1028" s="87"/>
      <c r="D1028" s="86"/>
      <c r="E1028" s="87"/>
      <c r="F1028" s="120"/>
      <c r="G1028" s="87"/>
      <c r="H1028" s="87"/>
      <c r="I1028" s="87"/>
      <c r="J1028" s="87"/>
      <c r="K1028" s="87"/>
      <c r="L1028" s="87"/>
      <c r="M1028" s="87"/>
      <c r="N1028" s="87"/>
      <c r="O1028" s="87"/>
      <c r="P1028" s="87"/>
      <c r="Q1028" s="87"/>
      <c r="R1028" s="87"/>
      <c r="S1028" s="87"/>
      <c r="T1028" s="87"/>
      <c r="U1028" s="87"/>
      <c r="V1028" s="87"/>
      <c r="W1028" s="87"/>
      <c r="X1028" s="87"/>
      <c r="Y1028" s="87"/>
      <c r="Z1028" s="87"/>
      <c r="AA1028" s="87"/>
      <c r="AB1028" s="87"/>
      <c r="AC1028" s="87"/>
      <c r="AD1028" s="87"/>
      <c r="AE1028" s="87"/>
      <c r="AF1028" s="87"/>
      <c r="AG1028" s="87"/>
    </row>
    <row r="1029" spans="1:33" ht="21.75" customHeight="1">
      <c r="A1029" s="86"/>
      <c r="B1029" s="120"/>
      <c r="C1029" s="87"/>
      <c r="D1029" s="86"/>
      <c r="E1029" s="87"/>
      <c r="F1029" s="120"/>
      <c r="G1029" s="87"/>
      <c r="H1029" s="87"/>
      <c r="I1029" s="87"/>
      <c r="J1029" s="87"/>
      <c r="K1029" s="87"/>
      <c r="L1029" s="87"/>
      <c r="M1029" s="87"/>
      <c r="N1029" s="87"/>
      <c r="O1029" s="87"/>
      <c r="P1029" s="87"/>
      <c r="Q1029" s="87"/>
      <c r="R1029" s="87"/>
      <c r="S1029" s="87"/>
      <c r="T1029" s="87"/>
      <c r="U1029" s="87"/>
      <c r="V1029" s="87"/>
      <c r="W1029" s="87"/>
      <c r="X1029" s="87"/>
      <c r="Y1029" s="87"/>
      <c r="Z1029" s="87"/>
      <c r="AA1029" s="87"/>
      <c r="AB1029" s="87"/>
      <c r="AC1029" s="87"/>
      <c r="AD1029" s="87"/>
      <c r="AE1029" s="87"/>
      <c r="AF1029" s="87"/>
      <c r="AG1029" s="87"/>
    </row>
    <row r="1030" spans="1:33" ht="21.75" customHeight="1">
      <c r="A1030" s="86"/>
      <c r="B1030" s="120"/>
      <c r="C1030" s="87"/>
      <c r="D1030" s="86"/>
      <c r="E1030" s="87"/>
      <c r="F1030" s="120"/>
      <c r="G1030" s="87"/>
      <c r="H1030" s="87"/>
      <c r="I1030" s="87"/>
      <c r="J1030" s="87"/>
      <c r="K1030" s="87"/>
      <c r="L1030" s="87"/>
      <c r="M1030" s="87"/>
      <c r="N1030" s="87"/>
      <c r="O1030" s="87"/>
      <c r="P1030" s="87"/>
      <c r="Q1030" s="87"/>
      <c r="R1030" s="87"/>
      <c r="S1030" s="87"/>
      <c r="T1030" s="87"/>
      <c r="U1030" s="87"/>
      <c r="V1030" s="87"/>
      <c r="W1030" s="87"/>
      <c r="X1030" s="87"/>
      <c r="Y1030" s="87"/>
      <c r="Z1030" s="87"/>
      <c r="AA1030" s="87"/>
      <c r="AB1030" s="87"/>
      <c r="AC1030" s="87"/>
      <c r="AD1030" s="87"/>
      <c r="AE1030" s="87"/>
      <c r="AF1030" s="87"/>
      <c r="AG1030" s="87"/>
    </row>
    <row r="1031" spans="1:33" ht="21.75" customHeight="1">
      <c r="A1031" s="86"/>
      <c r="B1031" s="120"/>
      <c r="C1031" s="87"/>
      <c r="D1031" s="86"/>
      <c r="E1031" s="87"/>
      <c r="F1031" s="120"/>
      <c r="G1031" s="87"/>
      <c r="H1031" s="87"/>
      <c r="I1031" s="87"/>
      <c r="J1031" s="87"/>
      <c r="K1031" s="87"/>
      <c r="L1031" s="87"/>
      <c r="M1031" s="87"/>
      <c r="N1031" s="87"/>
      <c r="O1031" s="87"/>
      <c r="P1031" s="87"/>
      <c r="Q1031" s="87"/>
      <c r="R1031" s="87"/>
      <c r="S1031" s="87"/>
      <c r="T1031" s="87"/>
      <c r="U1031" s="87"/>
      <c r="V1031" s="87"/>
      <c r="W1031" s="87"/>
      <c r="X1031" s="87"/>
      <c r="Y1031" s="87"/>
      <c r="Z1031" s="87"/>
      <c r="AA1031" s="87"/>
      <c r="AB1031" s="87"/>
      <c r="AC1031" s="87"/>
      <c r="AD1031" s="87"/>
      <c r="AE1031" s="87"/>
      <c r="AF1031" s="87"/>
      <c r="AG1031" s="87"/>
    </row>
    <row r="1032" spans="1:33" ht="21.75" customHeight="1">
      <c r="A1032" s="86"/>
      <c r="B1032" s="120"/>
      <c r="C1032" s="87"/>
      <c r="D1032" s="86"/>
      <c r="E1032" s="87"/>
      <c r="F1032" s="120"/>
      <c r="G1032" s="87"/>
      <c r="H1032" s="87"/>
      <c r="I1032" s="87"/>
      <c r="J1032" s="87"/>
      <c r="K1032" s="87"/>
      <c r="L1032" s="87"/>
      <c r="M1032" s="87"/>
      <c r="N1032" s="87"/>
      <c r="O1032" s="87"/>
      <c r="P1032" s="87"/>
      <c r="Q1032" s="87"/>
      <c r="R1032" s="87"/>
      <c r="S1032" s="87"/>
      <c r="T1032" s="87"/>
      <c r="U1032" s="87"/>
      <c r="V1032" s="87"/>
      <c r="W1032" s="87"/>
      <c r="X1032" s="87"/>
      <c r="Y1032" s="87"/>
      <c r="Z1032" s="87"/>
      <c r="AA1032" s="87"/>
      <c r="AB1032" s="87"/>
      <c r="AC1032" s="87"/>
      <c r="AD1032" s="87"/>
      <c r="AE1032" s="87"/>
      <c r="AF1032" s="87"/>
      <c r="AG1032" s="87"/>
    </row>
    <row r="1033" spans="1:33" ht="21.75" customHeight="1">
      <c r="A1033" s="86"/>
      <c r="B1033" s="120"/>
      <c r="C1033" s="87"/>
      <c r="D1033" s="86"/>
      <c r="E1033" s="87"/>
      <c r="F1033" s="120"/>
      <c r="G1033" s="87"/>
      <c r="H1033" s="87"/>
      <c r="I1033" s="87"/>
      <c r="J1033" s="87"/>
      <c r="K1033" s="87"/>
      <c r="L1033" s="87"/>
      <c r="M1033" s="87"/>
      <c r="N1033" s="87"/>
      <c r="O1033" s="87"/>
      <c r="P1033" s="87"/>
      <c r="Q1033" s="87"/>
      <c r="R1033" s="87"/>
      <c r="S1033" s="87"/>
      <c r="T1033" s="87"/>
      <c r="U1033" s="87"/>
      <c r="V1033" s="87"/>
      <c r="W1033" s="87"/>
      <c r="X1033" s="87"/>
      <c r="Y1033" s="87"/>
      <c r="Z1033" s="87"/>
      <c r="AA1033" s="87"/>
      <c r="AB1033" s="87"/>
      <c r="AC1033" s="87"/>
      <c r="AD1033" s="87"/>
      <c r="AE1033" s="87"/>
      <c r="AF1033" s="87"/>
      <c r="AG1033" s="87"/>
    </row>
    <row r="1034" spans="1:33" ht="21.75" customHeight="1">
      <c r="A1034" s="86"/>
      <c r="B1034" s="120"/>
      <c r="C1034" s="87"/>
      <c r="D1034" s="86"/>
      <c r="E1034" s="87"/>
      <c r="F1034" s="120"/>
      <c r="G1034" s="87"/>
      <c r="H1034" s="87"/>
      <c r="I1034" s="87"/>
      <c r="J1034" s="87"/>
      <c r="K1034" s="87"/>
      <c r="L1034" s="87"/>
      <c r="M1034" s="87"/>
      <c r="N1034" s="87"/>
      <c r="O1034" s="87"/>
      <c r="P1034" s="87"/>
      <c r="Q1034" s="87"/>
      <c r="R1034" s="87"/>
      <c r="S1034" s="87"/>
      <c r="T1034" s="87"/>
      <c r="U1034" s="87"/>
      <c r="V1034" s="87"/>
      <c r="W1034" s="87"/>
      <c r="X1034" s="87"/>
      <c r="Y1034" s="87"/>
      <c r="Z1034" s="87"/>
      <c r="AA1034" s="87"/>
      <c r="AB1034" s="87"/>
      <c r="AC1034" s="87"/>
      <c r="AD1034" s="87"/>
      <c r="AE1034" s="87"/>
      <c r="AF1034" s="87"/>
      <c r="AG1034" s="87"/>
    </row>
    <row r="1035" spans="1:33" ht="21.75" customHeight="1">
      <c r="A1035" s="86"/>
      <c r="B1035" s="120"/>
      <c r="C1035" s="87"/>
      <c r="D1035" s="86"/>
      <c r="E1035" s="87"/>
      <c r="F1035" s="120"/>
      <c r="G1035" s="87"/>
      <c r="H1035" s="87"/>
      <c r="I1035" s="87"/>
      <c r="J1035" s="87"/>
      <c r="K1035" s="87"/>
      <c r="L1035" s="87"/>
      <c r="M1035" s="87"/>
      <c r="N1035" s="87"/>
      <c r="O1035" s="87"/>
      <c r="P1035" s="87"/>
      <c r="Q1035" s="87"/>
      <c r="R1035" s="87"/>
      <c r="S1035" s="87"/>
      <c r="T1035" s="87"/>
      <c r="U1035" s="87"/>
      <c r="V1035" s="87"/>
      <c r="W1035" s="87"/>
      <c r="X1035" s="87"/>
      <c r="Y1035" s="87"/>
      <c r="Z1035" s="87"/>
      <c r="AA1035" s="87"/>
      <c r="AB1035" s="87"/>
      <c r="AC1035" s="87"/>
      <c r="AD1035" s="87"/>
      <c r="AE1035" s="87"/>
      <c r="AF1035" s="87"/>
      <c r="AG1035" s="87"/>
    </row>
    <row r="1036" spans="1:33" ht="21.75" customHeight="1">
      <c r="A1036" s="86"/>
      <c r="B1036" s="120"/>
      <c r="C1036" s="87"/>
      <c r="D1036" s="86"/>
      <c r="E1036" s="87"/>
      <c r="F1036" s="120"/>
      <c r="G1036" s="87"/>
      <c r="H1036" s="87"/>
      <c r="I1036" s="87"/>
      <c r="J1036" s="87"/>
      <c r="K1036" s="87"/>
      <c r="L1036" s="87"/>
      <c r="M1036" s="87"/>
      <c r="N1036" s="87"/>
      <c r="O1036" s="87"/>
      <c r="P1036" s="87"/>
      <c r="Q1036" s="87"/>
      <c r="R1036" s="87"/>
      <c r="S1036" s="87"/>
      <c r="T1036" s="87"/>
      <c r="U1036" s="87"/>
      <c r="V1036" s="87"/>
      <c r="W1036" s="87"/>
      <c r="X1036" s="87"/>
      <c r="Y1036" s="87"/>
      <c r="Z1036" s="87"/>
      <c r="AA1036" s="87"/>
      <c r="AB1036" s="87"/>
      <c r="AC1036" s="87"/>
      <c r="AD1036" s="87"/>
      <c r="AE1036" s="87"/>
      <c r="AF1036" s="87"/>
      <c r="AG1036" s="87"/>
    </row>
    <row r="1037" spans="1:33" ht="21.75" customHeight="1">
      <c r="A1037" s="86"/>
      <c r="B1037" s="120"/>
      <c r="C1037" s="87"/>
      <c r="D1037" s="86"/>
      <c r="E1037" s="87"/>
      <c r="F1037" s="120"/>
      <c r="G1037" s="87"/>
      <c r="H1037" s="87"/>
      <c r="I1037" s="87"/>
      <c r="J1037" s="87"/>
      <c r="K1037" s="87"/>
      <c r="L1037" s="87"/>
      <c r="M1037" s="87"/>
      <c r="N1037" s="87"/>
      <c r="O1037" s="87"/>
      <c r="P1037" s="87"/>
      <c r="Q1037" s="87"/>
      <c r="R1037" s="87"/>
      <c r="S1037" s="87"/>
      <c r="T1037" s="87"/>
      <c r="U1037" s="87"/>
      <c r="V1037" s="87"/>
      <c r="W1037" s="87"/>
      <c r="X1037" s="87"/>
      <c r="Y1037" s="87"/>
      <c r="Z1037" s="87"/>
      <c r="AA1037" s="87"/>
      <c r="AB1037" s="87"/>
      <c r="AC1037" s="87"/>
      <c r="AD1037" s="87"/>
      <c r="AE1037" s="87"/>
      <c r="AF1037" s="87"/>
      <c r="AG1037" s="87"/>
    </row>
    <row r="1038" spans="1:33" ht="21.75" customHeight="1">
      <c r="A1038" s="86"/>
      <c r="B1038" s="120"/>
      <c r="C1038" s="87"/>
      <c r="D1038" s="86"/>
      <c r="E1038" s="87"/>
      <c r="F1038" s="120"/>
      <c r="G1038" s="87"/>
      <c r="H1038" s="87"/>
      <c r="I1038" s="87"/>
      <c r="J1038" s="87"/>
      <c r="K1038" s="87"/>
      <c r="L1038" s="87"/>
      <c r="M1038" s="87"/>
      <c r="N1038" s="87"/>
      <c r="O1038" s="87"/>
      <c r="P1038" s="87"/>
      <c r="Q1038" s="87"/>
      <c r="R1038" s="87"/>
      <c r="S1038" s="87"/>
      <c r="T1038" s="87"/>
      <c r="U1038" s="87"/>
      <c r="V1038" s="87"/>
      <c r="W1038" s="87"/>
      <c r="X1038" s="87"/>
      <c r="Y1038" s="87"/>
      <c r="Z1038" s="87"/>
      <c r="AA1038" s="87"/>
      <c r="AB1038" s="87"/>
      <c r="AC1038" s="87"/>
      <c r="AD1038" s="87"/>
      <c r="AE1038" s="87"/>
      <c r="AF1038" s="87"/>
      <c r="AG1038" s="87"/>
    </row>
    <row r="1039" spans="1:33" ht="21.75" customHeight="1">
      <c r="A1039" s="86"/>
      <c r="B1039" s="120"/>
      <c r="C1039" s="87"/>
      <c r="D1039" s="86"/>
      <c r="E1039" s="87"/>
      <c r="F1039" s="120"/>
      <c r="G1039" s="87"/>
      <c r="H1039" s="87"/>
      <c r="I1039" s="87"/>
      <c r="J1039" s="87"/>
      <c r="K1039" s="87"/>
      <c r="L1039" s="87"/>
      <c r="M1039" s="87"/>
      <c r="N1039" s="87"/>
      <c r="O1039" s="87"/>
      <c r="P1039" s="87"/>
      <c r="Q1039" s="87"/>
      <c r="R1039" s="87"/>
      <c r="S1039" s="87"/>
      <c r="T1039" s="87"/>
      <c r="U1039" s="87"/>
      <c r="V1039" s="87"/>
      <c r="W1039" s="87"/>
      <c r="X1039" s="87"/>
      <c r="Y1039" s="87"/>
      <c r="Z1039" s="87"/>
      <c r="AA1039" s="87"/>
      <c r="AB1039" s="87"/>
      <c r="AC1039" s="87"/>
      <c r="AD1039" s="87"/>
      <c r="AE1039" s="87"/>
      <c r="AF1039" s="87"/>
      <c r="AG1039" s="87"/>
    </row>
    <row r="1040" spans="1:33" ht="21.75" customHeight="1">
      <c r="A1040" s="86"/>
      <c r="B1040" s="120"/>
      <c r="C1040" s="87"/>
      <c r="D1040" s="86"/>
      <c r="E1040" s="87"/>
      <c r="F1040" s="120"/>
      <c r="G1040" s="87"/>
      <c r="H1040" s="87"/>
      <c r="I1040" s="87"/>
      <c r="J1040" s="87"/>
      <c r="K1040" s="87"/>
      <c r="L1040" s="87"/>
      <c r="M1040" s="87"/>
      <c r="N1040" s="87"/>
      <c r="O1040" s="87"/>
      <c r="P1040" s="87"/>
      <c r="Q1040" s="87"/>
      <c r="R1040" s="87"/>
      <c r="S1040" s="87"/>
      <c r="T1040" s="87"/>
      <c r="U1040" s="87"/>
      <c r="V1040" s="87"/>
      <c r="W1040" s="87"/>
      <c r="X1040" s="87"/>
      <c r="Y1040" s="87"/>
      <c r="Z1040" s="87"/>
      <c r="AA1040" s="87"/>
      <c r="AB1040" s="87"/>
      <c r="AC1040" s="87"/>
      <c r="AD1040" s="87"/>
      <c r="AE1040" s="87"/>
      <c r="AF1040" s="87"/>
      <c r="AG1040" s="87"/>
    </row>
    <row r="1041" spans="1:33" ht="21.75" customHeight="1">
      <c r="A1041" s="86"/>
      <c r="B1041" s="120"/>
      <c r="C1041" s="87"/>
      <c r="D1041" s="86"/>
      <c r="E1041" s="87"/>
      <c r="F1041" s="120"/>
      <c r="G1041" s="87"/>
      <c r="H1041" s="87"/>
      <c r="I1041" s="87"/>
      <c r="J1041" s="87"/>
      <c r="K1041" s="87"/>
      <c r="L1041" s="87"/>
      <c r="M1041" s="87"/>
      <c r="N1041" s="87"/>
      <c r="O1041" s="87"/>
      <c r="P1041" s="87"/>
      <c r="Q1041" s="87"/>
      <c r="R1041" s="87"/>
      <c r="S1041" s="87"/>
      <c r="T1041" s="87"/>
      <c r="U1041" s="87"/>
      <c r="V1041" s="87"/>
      <c r="W1041" s="87"/>
      <c r="X1041" s="87"/>
      <c r="Y1041" s="87"/>
      <c r="Z1041" s="87"/>
      <c r="AA1041" s="87"/>
      <c r="AB1041" s="87"/>
      <c r="AC1041" s="87"/>
      <c r="AD1041" s="87"/>
      <c r="AE1041" s="87"/>
      <c r="AF1041" s="87"/>
      <c r="AG1041" s="87"/>
    </row>
    <row r="1042" spans="1:33" ht="21.75" customHeight="1">
      <c r="A1042" s="86"/>
      <c r="B1042" s="120"/>
      <c r="C1042" s="87"/>
      <c r="D1042" s="86"/>
      <c r="E1042" s="87"/>
      <c r="F1042" s="120"/>
      <c r="G1042" s="87"/>
      <c r="H1042" s="87"/>
      <c r="I1042" s="87"/>
      <c r="J1042" s="87"/>
      <c r="K1042" s="87"/>
      <c r="L1042" s="87"/>
      <c r="M1042" s="87"/>
      <c r="N1042" s="87"/>
      <c r="O1042" s="87"/>
      <c r="P1042" s="87"/>
      <c r="Q1042" s="87"/>
      <c r="R1042" s="87"/>
      <c r="S1042" s="87"/>
      <c r="T1042" s="87"/>
      <c r="U1042" s="87"/>
      <c r="V1042" s="87"/>
      <c r="W1042" s="87"/>
      <c r="X1042" s="87"/>
      <c r="Y1042" s="87"/>
      <c r="Z1042" s="87"/>
      <c r="AA1042" s="87"/>
      <c r="AB1042" s="87"/>
      <c r="AC1042" s="87"/>
      <c r="AD1042" s="87"/>
      <c r="AE1042" s="87"/>
      <c r="AF1042" s="87"/>
      <c r="AG1042" s="87"/>
    </row>
    <row r="1043" spans="1:33" ht="21.75" customHeight="1">
      <c r="A1043" s="86"/>
      <c r="B1043" s="120"/>
      <c r="C1043" s="87"/>
      <c r="D1043" s="86"/>
      <c r="E1043" s="87"/>
      <c r="F1043" s="120"/>
      <c r="G1043" s="87"/>
      <c r="H1043" s="87"/>
      <c r="I1043" s="87"/>
      <c r="J1043" s="87"/>
      <c r="K1043" s="87"/>
      <c r="L1043" s="87"/>
      <c r="M1043" s="87"/>
      <c r="N1043" s="87"/>
      <c r="O1043" s="87"/>
      <c r="P1043" s="87"/>
      <c r="Q1043" s="87"/>
      <c r="R1043" s="87"/>
      <c r="S1043" s="87"/>
      <c r="T1043" s="87"/>
      <c r="U1043" s="87"/>
      <c r="V1043" s="87"/>
      <c r="W1043" s="87"/>
      <c r="X1043" s="87"/>
      <c r="Y1043" s="87"/>
      <c r="Z1043" s="87"/>
      <c r="AA1043" s="87"/>
      <c r="AB1043" s="87"/>
      <c r="AC1043" s="87"/>
      <c r="AD1043" s="87"/>
      <c r="AE1043" s="87"/>
      <c r="AF1043" s="87"/>
      <c r="AG1043" s="87"/>
    </row>
    <row r="1044" spans="1:33" ht="21.75" customHeight="1">
      <c r="A1044" s="86"/>
      <c r="B1044" s="120"/>
      <c r="C1044" s="87"/>
      <c r="D1044" s="86"/>
      <c r="E1044" s="87"/>
      <c r="F1044" s="120"/>
      <c r="G1044" s="87"/>
      <c r="H1044" s="87"/>
      <c r="I1044" s="87"/>
      <c r="J1044" s="87"/>
      <c r="K1044" s="87"/>
      <c r="L1044" s="87"/>
      <c r="M1044" s="87"/>
      <c r="N1044" s="87"/>
      <c r="O1044" s="87"/>
      <c r="P1044" s="87"/>
      <c r="Q1044" s="87"/>
      <c r="R1044" s="87"/>
      <c r="S1044" s="87"/>
      <c r="T1044" s="87"/>
      <c r="U1044" s="87"/>
      <c r="V1044" s="87"/>
      <c r="W1044" s="87"/>
      <c r="X1044" s="87"/>
      <c r="Y1044" s="87"/>
      <c r="Z1044" s="87"/>
      <c r="AA1044" s="87"/>
      <c r="AB1044" s="87"/>
      <c r="AC1044" s="87"/>
      <c r="AD1044" s="87"/>
      <c r="AE1044" s="87"/>
      <c r="AF1044" s="87"/>
      <c r="AG1044" s="87"/>
    </row>
    <row r="1045" spans="1:33" ht="21.75" customHeight="1">
      <c r="A1045" s="86"/>
      <c r="B1045" s="120"/>
      <c r="C1045" s="87"/>
      <c r="D1045" s="86"/>
      <c r="E1045" s="87"/>
      <c r="F1045" s="120"/>
      <c r="G1045" s="87"/>
      <c r="H1045" s="87"/>
      <c r="I1045" s="87"/>
      <c r="J1045" s="87"/>
      <c r="K1045" s="87"/>
      <c r="L1045" s="87"/>
      <c r="M1045" s="87"/>
      <c r="N1045" s="87"/>
      <c r="O1045" s="87"/>
      <c r="P1045" s="87"/>
      <c r="Q1045" s="87"/>
      <c r="R1045" s="87"/>
      <c r="S1045" s="87"/>
      <c r="T1045" s="87"/>
      <c r="U1045" s="87"/>
      <c r="V1045" s="87"/>
      <c r="W1045" s="87"/>
      <c r="X1045" s="87"/>
      <c r="Y1045" s="87"/>
      <c r="Z1045" s="87"/>
      <c r="AA1045" s="87"/>
      <c r="AB1045" s="87"/>
      <c r="AC1045" s="87"/>
      <c r="AD1045" s="87"/>
      <c r="AE1045" s="87"/>
      <c r="AF1045" s="87"/>
      <c r="AG1045" s="87"/>
    </row>
    <row r="1046" spans="1:33" ht="21.75" customHeight="1">
      <c r="A1046" s="86"/>
      <c r="B1046" s="120"/>
      <c r="C1046" s="87"/>
      <c r="D1046" s="86"/>
      <c r="E1046" s="87"/>
      <c r="F1046" s="120"/>
      <c r="G1046" s="87"/>
      <c r="H1046" s="87"/>
      <c r="I1046" s="87"/>
      <c r="J1046" s="87"/>
      <c r="K1046" s="87"/>
      <c r="L1046" s="87"/>
      <c r="M1046" s="87"/>
      <c r="N1046" s="87"/>
      <c r="O1046" s="87"/>
      <c r="P1046" s="87"/>
      <c r="Q1046" s="87"/>
      <c r="R1046" s="87"/>
      <c r="S1046" s="87"/>
      <c r="T1046" s="87"/>
      <c r="U1046" s="87"/>
      <c r="V1046" s="87"/>
      <c r="W1046" s="87"/>
      <c r="X1046" s="87"/>
      <c r="Y1046" s="87"/>
      <c r="Z1046" s="87"/>
      <c r="AA1046" s="87"/>
      <c r="AB1046" s="87"/>
      <c r="AC1046" s="87"/>
      <c r="AD1046" s="87"/>
      <c r="AE1046" s="87"/>
      <c r="AF1046" s="87"/>
      <c r="AG1046" s="87"/>
    </row>
    <row r="1047" spans="1:33" ht="21.75" customHeight="1">
      <c r="A1047" s="86"/>
      <c r="B1047" s="120"/>
      <c r="C1047" s="87"/>
      <c r="D1047" s="86"/>
      <c r="E1047" s="87"/>
      <c r="F1047" s="120"/>
      <c r="G1047" s="87"/>
      <c r="H1047" s="87"/>
      <c r="I1047" s="87"/>
      <c r="J1047" s="87"/>
      <c r="K1047" s="87"/>
      <c r="L1047" s="87"/>
      <c r="M1047" s="87"/>
      <c r="N1047" s="87"/>
      <c r="O1047" s="87"/>
      <c r="P1047" s="87"/>
      <c r="Q1047" s="87"/>
      <c r="R1047" s="87"/>
      <c r="S1047" s="87"/>
      <c r="T1047" s="87"/>
      <c r="U1047" s="87"/>
      <c r="V1047" s="87"/>
      <c r="W1047" s="87"/>
      <c r="X1047" s="87"/>
      <c r="Y1047" s="87"/>
      <c r="Z1047" s="87"/>
      <c r="AA1047" s="87"/>
      <c r="AB1047" s="87"/>
      <c r="AC1047" s="87"/>
      <c r="AD1047" s="87"/>
      <c r="AE1047" s="87"/>
      <c r="AF1047" s="87"/>
      <c r="AG1047" s="87"/>
    </row>
    <row r="1048" spans="1:33" ht="21.75" customHeight="1">
      <c r="A1048" s="86"/>
      <c r="B1048" s="120"/>
      <c r="C1048" s="87"/>
      <c r="D1048" s="86"/>
      <c r="E1048" s="87"/>
      <c r="F1048" s="120"/>
      <c r="G1048" s="87"/>
      <c r="H1048" s="87"/>
      <c r="I1048" s="87"/>
      <c r="J1048" s="87"/>
      <c r="K1048" s="87"/>
      <c r="L1048" s="87"/>
      <c r="M1048" s="87"/>
      <c r="N1048" s="87"/>
      <c r="O1048" s="87"/>
      <c r="P1048" s="87"/>
      <c r="Q1048" s="87"/>
      <c r="R1048" s="87"/>
      <c r="S1048" s="87"/>
      <c r="T1048" s="87"/>
      <c r="U1048" s="87"/>
      <c r="V1048" s="87"/>
      <c r="W1048" s="87"/>
      <c r="X1048" s="87"/>
      <c r="Y1048" s="87"/>
      <c r="Z1048" s="87"/>
      <c r="AA1048" s="87"/>
      <c r="AB1048" s="87"/>
      <c r="AC1048" s="87"/>
      <c r="AD1048" s="87"/>
      <c r="AE1048" s="87"/>
      <c r="AF1048" s="87"/>
      <c r="AG1048" s="87"/>
    </row>
    <row r="1049" spans="1:33" ht="21.75" customHeight="1">
      <c r="A1049" s="86"/>
      <c r="B1049" s="120"/>
      <c r="C1049" s="87"/>
      <c r="D1049" s="86"/>
      <c r="E1049" s="87"/>
      <c r="F1049" s="120"/>
      <c r="G1049" s="87"/>
      <c r="H1049" s="87"/>
      <c r="I1049" s="87"/>
      <c r="J1049" s="87"/>
      <c r="K1049" s="87"/>
      <c r="L1049" s="87"/>
      <c r="M1049" s="87"/>
      <c r="N1049" s="87"/>
      <c r="O1049" s="87"/>
      <c r="P1049" s="87"/>
      <c r="Q1049" s="87"/>
      <c r="R1049" s="87"/>
      <c r="S1049" s="87"/>
      <c r="T1049" s="87"/>
      <c r="U1049" s="87"/>
      <c r="V1049" s="87"/>
      <c r="W1049" s="87"/>
      <c r="X1049" s="87"/>
      <c r="Y1049" s="87"/>
      <c r="Z1049" s="87"/>
      <c r="AA1049" s="87"/>
      <c r="AB1049" s="87"/>
      <c r="AC1049" s="87"/>
      <c r="AD1049" s="87"/>
      <c r="AE1049" s="87"/>
      <c r="AF1049" s="87"/>
      <c r="AG1049" s="87"/>
    </row>
    <row r="1050" spans="1:33" ht="21.75" customHeight="1">
      <c r="A1050" s="86"/>
      <c r="B1050" s="120"/>
      <c r="C1050" s="87"/>
      <c r="D1050" s="86"/>
      <c r="E1050" s="87"/>
      <c r="F1050" s="120"/>
      <c r="G1050" s="87"/>
      <c r="H1050" s="87"/>
      <c r="I1050" s="87"/>
      <c r="J1050" s="87"/>
      <c r="K1050" s="87"/>
      <c r="L1050" s="87"/>
      <c r="M1050" s="87"/>
      <c r="N1050" s="87"/>
      <c r="O1050" s="87"/>
      <c r="P1050" s="87"/>
      <c r="Q1050" s="87"/>
      <c r="R1050" s="87"/>
      <c r="S1050" s="87"/>
      <c r="T1050" s="87"/>
      <c r="U1050" s="87"/>
      <c r="V1050" s="87"/>
      <c r="W1050" s="87"/>
      <c r="X1050" s="87"/>
      <c r="Y1050" s="87"/>
      <c r="Z1050" s="87"/>
      <c r="AA1050" s="87"/>
      <c r="AB1050" s="87"/>
      <c r="AC1050" s="87"/>
      <c r="AD1050" s="87"/>
      <c r="AE1050" s="87"/>
      <c r="AF1050" s="87"/>
      <c r="AG1050" s="87"/>
    </row>
    <row r="1051" spans="1:33" ht="21.75" customHeight="1">
      <c r="A1051" s="86"/>
      <c r="B1051" s="120"/>
      <c r="C1051" s="87"/>
      <c r="D1051" s="86"/>
      <c r="E1051" s="87"/>
      <c r="F1051" s="120"/>
      <c r="G1051" s="87"/>
      <c r="H1051" s="87"/>
      <c r="I1051" s="87"/>
      <c r="J1051" s="87"/>
      <c r="K1051" s="87"/>
      <c r="L1051" s="87"/>
      <c r="M1051" s="87"/>
      <c r="N1051" s="87"/>
      <c r="O1051" s="87"/>
      <c r="P1051" s="87"/>
      <c r="Q1051" s="87"/>
      <c r="R1051" s="87"/>
      <c r="S1051" s="87"/>
      <c r="T1051" s="87"/>
      <c r="U1051" s="87"/>
      <c r="V1051" s="87"/>
      <c r="W1051" s="87"/>
      <c r="X1051" s="87"/>
      <c r="Y1051" s="87"/>
      <c r="Z1051" s="87"/>
      <c r="AA1051" s="87"/>
      <c r="AB1051" s="87"/>
      <c r="AC1051" s="87"/>
      <c r="AD1051" s="87"/>
      <c r="AE1051" s="87"/>
      <c r="AF1051" s="87"/>
      <c r="AG1051" s="87"/>
    </row>
    <row r="1052" spans="1:33" ht="21.75" customHeight="1">
      <c r="A1052" s="86"/>
      <c r="B1052" s="120"/>
      <c r="C1052" s="87"/>
      <c r="D1052" s="86"/>
      <c r="E1052" s="87"/>
      <c r="F1052" s="120"/>
      <c r="G1052" s="87"/>
      <c r="H1052" s="87"/>
      <c r="I1052" s="87"/>
      <c r="J1052" s="87"/>
      <c r="K1052" s="87"/>
      <c r="L1052" s="87"/>
      <c r="M1052" s="87"/>
      <c r="N1052" s="87"/>
      <c r="O1052" s="87"/>
      <c r="P1052" s="87"/>
      <c r="Q1052" s="87"/>
      <c r="R1052" s="87"/>
      <c r="S1052" s="87"/>
      <c r="T1052" s="87"/>
      <c r="U1052" s="87"/>
      <c r="V1052" s="87"/>
      <c r="W1052" s="87"/>
      <c r="X1052" s="87"/>
      <c r="Y1052" s="87"/>
      <c r="Z1052" s="87"/>
      <c r="AA1052" s="87"/>
      <c r="AB1052" s="87"/>
      <c r="AC1052" s="87"/>
      <c r="AD1052" s="87"/>
      <c r="AE1052" s="87"/>
      <c r="AF1052" s="87"/>
      <c r="AG1052" s="87"/>
    </row>
  </sheetData>
  <autoFilter ref="A1:AG94" xr:uid="{00000000-0009-0000-0000-00000C000000}"/>
  <hyperlinks>
    <hyperlink ref="K4" r:id="rId1" xr:uid="{00000000-0004-0000-0C00-000000000000}"/>
    <hyperlink ref="K10" r:id="rId2" xr:uid="{00000000-0004-0000-0C00-000001000000}"/>
    <hyperlink ref="K19" r:id="rId3" xr:uid="{00000000-0004-0000-0C00-000002000000}"/>
    <hyperlink ref="K30" r:id="rId4" xr:uid="{00000000-0004-0000-0C00-000003000000}"/>
    <hyperlink ref="K51" r:id="rId5" xr:uid="{00000000-0004-0000-0C00-000004000000}"/>
    <hyperlink ref="K75" r:id="rId6" xr:uid="{00000000-0004-0000-0C00-000005000000}"/>
    <hyperlink ref="K76" r:id="rId7" xr:uid="{00000000-0004-0000-0C00-000006000000}"/>
    <hyperlink ref="K85" r:id="rId8" xr:uid="{00000000-0004-0000-0C00-000007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G990"/>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5" width="14.140625" customWidth="1"/>
    <col min="6" max="6" width="25.42578125" customWidth="1"/>
    <col min="7" max="33" width="14.140625" customWidth="1"/>
  </cols>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12.75">
      <c r="A2" s="71">
        <v>2016</v>
      </c>
      <c r="B2" s="71" t="s">
        <v>1918</v>
      </c>
      <c r="C2" s="71" t="s">
        <v>1328</v>
      </c>
      <c r="D2" s="72">
        <v>42552</v>
      </c>
      <c r="E2" s="72">
        <v>42566</v>
      </c>
      <c r="F2" s="71" t="s">
        <v>976</v>
      </c>
      <c r="G2" s="71" t="s">
        <v>64</v>
      </c>
      <c r="H2" s="71" t="s">
        <v>1329</v>
      </c>
      <c r="I2" s="71" t="s">
        <v>1330</v>
      </c>
      <c r="J2" s="73"/>
      <c r="K2" s="71" t="s">
        <v>1331</v>
      </c>
      <c r="L2" s="71" t="s">
        <v>1332</v>
      </c>
      <c r="M2" s="71">
        <v>967382521</v>
      </c>
      <c r="N2" s="73"/>
      <c r="O2" s="71" t="s">
        <v>1333</v>
      </c>
      <c r="P2" s="73"/>
      <c r="Q2" s="71" t="s">
        <v>54</v>
      </c>
      <c r="R2" s="71" t="s">
        <v>55</v>
      </c>
      <c r="S2" s="71" t="s">
        <v>1334</v>
      </c>
      <c r="T2" s="71" t="s">
        <v>1335</v>
      </c>
      <c r="U2" s="71" t="s">
        <v>1336</v>
      </c>
      <c r="V2" s="71" t="s">
        <v>372</v>
      </c>
      <c r="W2" s="73"/>
      <c r="X2" s="73"/>
      <c r="Y2" s="73"/>
      <c r="Z2" s="73"/>
      <c r="AA2" s="73"/>
      <c r="AB2" s="73"/>
      <c r="AC2" s="73"/>
      <c r="AD2" s="73"/>
      <c r="AE2" s="73"/>
      <c r="AF2" s="73"/>
      <c r="AG2" s="73"/>
    </row>
    <row r="3" spans="1:33" ht="12.75">
      <c r="A3" s="121">
        <v>2017</v>
      </c>
      <c r="B3" s="80" t="s">
        <v>1918</v>
      </c>
      <c r="C3" s="80" t="str">
        <f>C2</f>
        <v xml:space="preserve">gs.calasanzval@scoutsdemadrid.org </v>
      </c>
      <c r="D3" s="82">
        <v>42917</v>
      </c>
      <c r="E3" s="82">
        <v>42931</v>
      </c>
      <c r="F3" s="80" t="s">
        <v>976</v>
      </c>
      <c r="G3" s="80" t="s">
        <v>64</v>
      </c>
      <c r="H3" s="80" t="s">
        <v>1329</v>
      </c>
      <c r="I3" s="80" t="s">
        <v>1330</v>
      </c>
      <c r="J3" s="80"/>
      <c r="K3" s="80"/>
      <c r="L3" s="80" t="s">
        <v>1330</v>
      </c>
      <c r="M3" s="95">
        <v>639374495</v>
      </c>
      <c r="N3" s="80" t="s">
        <v>1340</v>
      </c>
      <c r="O3" s="80" t="s">
        <v>1341</v>
      </c>
      <c r="P3" s="80"/>
      <c r="Q3" s="80" t="s">
        <v>54</v>
      </c>
      <c r="R3" s="80" t="s">
        <v>55</v>
      </c>
      <c r="S3" s="80" t="s">
        <v>1342</v>
      </c>
      <c r="T3" s="80"/>
      <c r="U3" s="80" t="s">
        <v>1343</v>
      </c>
      <c r="V3" s="80" t="s">
        <v>103</v>
      </c>
      <c r="W3" s="80" t="s">
        <v>1344</v>
      </c>
      <c r="X3" s="80"/>
      <c r="Y3" s="80"/>
      <c r="Z3" s="80"/>
      <c r="AA3" s="80"/>
      <c r="AB3" s="80"/>
      <c r="AC3" s="80"/>
      <c r="AD3" s="80"/>
      <c r="AE3" s="80"/>
      <c r="AF3" s="80"/>
      <c r="AG3" s="80"/>
    </row>
    <row r="4" spans="1:33" ht="12.75">
      <c r="A4" s="121">
        <v>2018</v>
      </c>
      <c r="B4" s="80" t="s">
        <v>1975</v>
      </c>
      <c r="C4" s="81" t="s">
        <v>48</v>
      </c>
      <c r="D4" s="82">
        <v>43297</v>
      </c>
      <c r="E4" s="82">
        <v>43311</v>
      </c>
      <c r="F4" s="80" t="s">
        <v>976</v>
      </c>
      <c r="G4" s="80" t="s">
        <v>160</v>
      </c>
      <c r="H4" s="80" t="s">
        <v>1347</v>
      </c>
      <c r="I4" s="80" t="s">
        <v>1348</v>
      </c>
      <c r="J4" s="80" t="s">
        <v>1349</v>
      </c>
      <c r="K4" s="80" t="s">
        <v>1350</v>
      </c>
      <c r="L4" s="80" t="s">
        <v>1351</v>
      </c>
      <c r="M4" s="95">
        <v>638618753</v>
      </c>
      <c r="N4" s="80" t="s">
        <v>1352</v>
      </c>
      <c r="O4" s="95">
        <v>0</v>
      </c>
      <c r="P4" s="80" t="s">
        <v>1353</v>
      </c>
      <c r="Q4" s="80" t="s">
        <v>54</v>
      </c>
      <c r="R4" s="80" t="s">
        <v>55</v>
      </c>
      <c r="S4" s="80" t="s">
        <v>1354</v>
      </c>
      <c r="T4" s="80" t="s">
        <v>1355</v>
      </c>
      <c r="U4" s="80" t="s">
        <v>1112</v>
      </c>
      <c r="V4" s="80" t="s">
        <v>125</v>
      </c>
      <c r="W4" s="80" t="s">
        <v>1356</v>
      </c>
      <c r="X4" s="80"/>
      <c r="Y4" s="80"/>
      <c r="Z4" s="80"/>
      <c r="AA4" s="80"/>
      <c r="AB4" s="80"/>
      <c r="AC4" s="80"/>
      <c r="AD4" s="80"/>
      <c r="AE4" s="80"/>
      <c r="AF4" s="80"/>
      <c r="AG4" s="80"/>
    </row>
    <row r="5" spans="1:33" ht="12.75">
      <c r="A5" s="121">
        <v>2019</v>
      </c>
      <c r="B5" s="80" t="s">
        <v>1975</v>
      </c>
      <c r="C5" s="81" t="s">
        <v>48</v>
      </c>
      <c r="D5" s="82">
        <v>43647</v>
      </c>
      <c r="E5" s="82">
        <v>43661</v>
      </c>
      <c r="F5" s="80" t="s">
        <v>976</v>
      </c>
      <c r="G5" s="80" t="s">
        <v>1976</v>
      </c>
      <c r="H5" s="80" t="s">
        <v>1977</v>
      </c>
      <c r="I5" s="122" t="s">
        <v>1361</v>
      </c>
      <c r="J5" s="80" t="s">
        <v>1362</v>
      </c>
      <c r="K5" s="80" t="s">
        <v>1363</v>
      </c>
      <c r="L5" s="80" t="s">
        <v>1364</v>
      </c>
      <c r="M5" s="95" t="s">
        <v>1365</v>
      </c>
      <c r="N5" s="80" t="s">
        <v>1366</v>
      </c>
      <c r="O5" s="80" t="s">
        <v>1367</v>
      </c>
      <c r="P5" s="80" t="s">
        <v>1368</v>
      </c>
      <c r="Q5" s="80" t="s">
        <v>54</v>
      </c>
      <c r="R5" s="80" t="s">
        <v>55</v>
      </c>
      <c r="S5" s="122" t="s">
        <v>821</v>
      </c>
      <c r="T5" s="80" t="s">
        <v>1369</v>
      </c>
      <c r="U5" s="122" t="s">
        <v>1370</v>
      </c>
      <c r="V5" s="80" t="s">
        <v>210</v>
      </c>
      <c r="W5" s="80" t="s">
        <v>1371</v>
      </c>
      <c r="X5" s="80" t="s">
        <v>55</v>
      </c>
      <c r="Y5" s="80"/>
      <c r="Z5" s="80"/>
      <c r="AA5" s="80"/>
      <c r="AB5" s="80"/>
      <c r="AC5" s="80"/>
      <c r="AD5" s="80"/>
      <c r="AE5" s="80"/>
      <c r="AF5" s="80"/>
      <c r="AG5" s="80"/>
    </row>
    <row r="6" spans="1:33" ht="15" customHeight="1">
      <c r="A6" s="121">
        <v>2019</v>
      </c>
      <c r="B6" s="80" t="s">
        <v>1978</v>
      </c>
      <c r="C6" s="81" t="s">
        <v>1376</v>
      </c>
      <c r="D6" s="82">
        <v>43639</v>
      </c>
      <c r="E6" s="82">
        <v>43646</v>
      </c>
      <c r="F6" s="80" t="s">
        <v>976</v>
      </c>
      <c r="G6" s="80" t="s">
        <v>1979</v>
      </c>
      <c r="H6" s="80" t="s">
        <v>1980</v>
      </c>
      <c r="I6" s="80" t="s">
        <v>1378</v>
      </c>
      <c r="J6" s="80" t="s">
        <v>1379</v>
      </c>
      <c r="K6" s="80" t="s">
        <v>160</v>
      </c>
      <c r="L6" s="80" t="s">
        <v>1380</v>
      </c>
      <c r="M6" s="95" t="s">
        <v>1381</v>
      </c>
      <c r="N6" s="80"/>
      <c r="O6" s="80" t="s">
        <v>1382</v>
      </c>
      <c r="P6" s="80" t="s">
        <v>1383</v>
      </c>
      <c r="Q6" s="80" t="s">
        <v>54</v>
      </c>
      <c r="R6" s="80" t="s">
        <v>55</v>
      </c>
      <c r="S6" s="80" t="s">
        <v>1295</v>
      </c>
      <c r="T6" s="80" t="s">
        <v>1384</v>
      </c>
      <c r="U6" s="80" t="s">
        <v>1385</v>
      </c>
      <c r="V6" s="80" t="s">
        <v>1112</v>
      </c>
      <c r="W6" s="80" t="s">
        <v>1386</v>
      </c>
      <c r="X6" s="80" t="s">
        <v>103</v>
      </c>
      <c r="Y6" s="80"/>
      <c r="Z6" s="80"/>
      <c r="AA6" s="80"/>
      <c r="AB6" s="80"/>
      <c r="AC6" s="80"/>
      <c r="AD6" s="80"/>
      <c r="AE6" s="80"/>
      <c r="AF6" s="80"/>
      <c r="AG6" s="80"/>
    </row>
    <row r="7" spans="1:33" ht="12.75">
      <c r="A7" s="76">
        <v>2019</v>
      </c>
      <c r="B7" s="76" t="s">
        <v>1927</v>
      </c>
      <c r="C7" s="76" t="s">
        <v>68</v>
      </c>
      <c r="D7" s="77">
        <v>43661</v>
      </c>
      <c r="E7" s="77">
        <v>43674</v>
      </c>
      <c r="F7" s="76" t="s">
        <v>976</v>
      </c>
      <c r="G7" s="76" t="s">
        <v>147</v>
      </c>
      <c r="H7" s="76" t="s">
        <v>1390</v>
      </c>
      <c r="I7" s="76" t="s">
        <v>1391</v>
      </c>
      <c r="J7" s="87" t="s">
        <v>1392</v>
      </c>
      <c r="K7" s="76" t="s">
        <v>1393</v>
      </c>
      <c r="L7" s="76" t="s">
        <v>1394</v>
      </c>
      <c r="M7" s="87">
        <v>635864030</v>
      </c>
      <c r="N7" s="87" t="s">
        <v>1395</v>
      </c>
      <c r="O7" s="87" t="s">
        <v>1396</v>
      </c>
      <c r="P7" s="87" t="s">
        <v>1397</v>
      </c>
      <c r="Q7" s="87" t="s">
        <v>100</v>
      </c>
      <c r="R7" s="87" t="s">
        <v>55</v>
      </c>
      <c r="S7" s="87" t="s">
        <v>444</v>
      </c>
      <c r="T7" s="87" t="s">
        <v>1398</v>
      </c>
      <c r="U7" s="87" t="s">
        <v>1399</v>
      </c>
      <c r="V7" s="87" t="s">
        <v>55</v>
      </c>
      <c r="W7" s="87" t="s">
        <v>1400</v>
      </c>
      <c r="X7" s="87" t="s">
        <v>55</v>
      </c>
      <c r="Y7" s="87"/>
      <c r="Z7" s="87"/>
      <c r="AA7" s="87"/>
      <c r="AB7" s="87"/>
      <c r="AC7" s="87"/>
      <c r="AD7" s="87"/>
      <c r="AE7" s="87"/>
      <c r="AF7" s="87"/>
      <c r="AG7" s="87"/>
    </row>
    <row r="8" spans="1:33" ht="12.75">
      <c r="A8" s="121">
        <v>2015</v>
      </c>
      <c r="B8" s="80" t="s">
        <v>933</v>
      </c>
      <c r="C8" s="81" t="s">
        <v>934</v>
      </c>
      <c r="D8" s="82">
        <v>42203</v>
      </c>
      <c r="E8" s="82">
        <v>42215</v>
      </c>
      <c r="F8" s="80" t="s">
        <v>976</v>
      </c>
      <c r="G8" s="80" t="s">
        <v>147</v>
      </c>
      <c r="H8" s="80" t="s">
        <v>1404</v>
      </c>
      <c r="I8" s="80" t="s">
        <v>1405</v>
      </c>
      <c r="J8" s="80"/>
      <c r="K8" s="80"/>
      <c r="L8" s="80"/>
      <c r="M8" s="80"/>
      <c r="N8" s="80"/>
      <c r="O8" s="80"/>
      <c r="P8" s="80"/>
      <c r="Q8" s="80"/>
      <c r="R8" s="80"/>
      <c r="S8" s="80"/>
      <c r="T8" s="80"/>
      <c r="U8" s="80"/>
      <c r="V8" s="80"/>
      <c r="W8" s="80"/>
      <c r="X8" s="80"/>
      <c r="Y8" s="80"/>
      <c r="Z8" s="80"/>
      <c r="AA8" s="80"/>
      <c r="AB8" s="80"/>
      <c r="AC8" s="80"/>
      <c r="AD8" s="80"/>
      <c r="AE8" s="80"/>
      <c r="AF8" s="80"/>
      <c r="AG8" s="80"/>
    </row>
    <row r="9" spans="1:33" ht="12.75">
      <c r="A9" s="76">
        <v>2016</v>
      </c>
      <c r="B9" s="76" t="s">
        <v>1948</v>
      </c>
      <c r="C9" s="76" t="str">
        <f t="shared" ref="C9:C10" si="0">C8</f>
        <v xml:space="preserve">gs.orion@scoutsdemadrid.org </v>
      </c>
      <c r="D9" s="77">
        <v>42568</v>
      </c>
      <c r="E9" s="77">
        <v>42581</v>
      </c>
      <c r="F9" s="76" t="s">
        <v>976</v>
      </c>
      <c r="G9" s="76" t="s">
        <v>160</v>
      </c>
      <c r="H9" s="76" t="s">
        <v>1409</v>
      </c>
      <c r="I9" s="76" t="s">
        <v>1410</v>
      </c>
      <c r="J9" s="76" t="s">
        <v>1411</v>
      </c>
      <c r="K9" s="76" t="s">
        <v>1412</v>
      </c>
      <c r="L9" s="76" t="s">
        <v>1413</v>
      </c>
      <c r="M9" s="76">
        <v>637464385</v>
      </c>
      <c r="N9" s="76" t="s">
        <v>1414</v>
      </c>
      <c r="O9" s="76" t="s">
        <v>1415</v>
      </c>
      <c r="P9" s="76" t="s">
        <v>1411</v>
      </c>
      <c r="Q9" s="76" t="s">
        <v>54</v>
      </c>
      <c r="R9" s="76" t="s">
        <v>55</v>
      </c>
      <c r="S9" s="76">
        <v>0</v>
      </c>
      <c r="T9" s="76" t="s">
        <v>949</v>
      </c>
      <c r="U9" s="76" t="s">
        <v>1416</v>
      </c>
      <c r="V9" s="76" t="s">
        <v>1411</v>
      </c>
      <c r="W9" s="87"/>
      <c r="X9" s="87"/>
      <c r="Y9" s="87"/>
      <c r="Z9" s="87"/>
      <c r="AA9" s="87"/>
      <c r="AB9" s="87"/>
      <c r="AC9" s="87"/>
      <c r="AD9" s="87"/>
      <c r="AE9" s="87"/>
      <c r="AF9" s="87"/>
      <c r="AG9" s="87"/>
    </row>
    <row r="10" spans="1:33" ht="12.75">
      <c r="A10" s="71">
        <v>2019</v>
      </c>
      <c r="B10" s="71" t="s">
        <v>1948</v>
      </c>
      <c r="C10" s="76" t="str">
        <f t="shared" si="0"/>
        <v xml:space="preserve">gs.orion@scoutsdemadrid.org </v>
      </c>
      <c r="D10" s="72">
        <v>43662</v>
      </c>
      <c r="E10" s="72">
        <v>43676</v>
      </c>
      <c r="F10" s="71" t="s">
        <v>976</v>
      </c>
      <c r="G10" s="71" t="s">
        <v>147</v>
      </c>
      <c r="H10" s="71" t="s">
        <v>1981</v>
      </c>
      <c r="I10" s="71" t="s">
        <v>1421</v>
      </c>
      <c r="J10" s="73" t="s">
        <v>1422</v>
      </c>
      <c r="K10" s="71" t="s">
        <v>1423</v>
      </c>
      <c r="L10" s="71" t="s">
        <v>1424</v>
      </c>
      <c r="M10" s="71">
        <v>639828628</v>
      </c>
      <c r="N10" s="73" t="s">
        <v>382</v>
      </c>
      <c r="O10" s="71" t="s">
        <v>1425</v>
      </c>
      <c r="P10" s="73" t="s">
        <v>1426</v>
      </c>
      <c r="Q10" s="71" t="s">
        <v>54</v>
      </c>
      <c r="R10" s="71" t="s">
        <v>55</v>
      </c>
      <c r="S10" s="71" t="s">
        <v>1427</v>
      </c>
      <c r="T10" s="71" t="s">
        <v>1428</v>
      </c>
      <c r="U10" s="71" t="s">
        <v>1429</v>
      </c>
      <c r="V10" s="71" t="s">
        <v>55</v>
      </c>
      <c r="W10" s="73" t="s">
        <v>1430</v>
      </c>
      <c r="X10" s="73" t="s">
        <v>103</v>
      </c>
      <c r="Y10" s="73"/>
      <c r="Z10" s="73"/>
      <c r="AA10" s="73"/>
      <c r="AB10" s="73"/>
      <c r="AC10" s="73"/>
      <c r="AD10" s="73"/>
      <c r="AE10" s="73"/>
      <c r="AF10" s="73"/>
      <c r="AG10" s="73"/>
    </row>
    <row r="11" spans="1:33" ht="12.75">
      <c r="A11" s="71">
        <v>2019</v>
      </c>
      <c r="B11" s="71" t="s">
        <v>1956</v>
      </c>
      <c r="C11" s="71" t="s">
        <v>313</v>
      </c>
      <c r="D11" s="72">
        <v>43640</v>
      </c>
      <c r="E11" s="72">
        <v>43644</v>
      </c>
      <c r="F11" s="71" t="s">
        <v>976</v>
      </c>
      <c r="G11" s="71" t="s">
        <v>1976</v>
      </c>
      <c r="H11" s="71" t="s">
        <v>1982</v>
      </c>
      <c r="I11" s="71" t="s">
        <v>1435</v>
      </c>
      <c r="J11" s="73" t="s">
        <v>1436</v>
      </c>
      <c r="K11" s="71" t="s">
        <v>1436</v>
      </c>
      <c r="L11" s="71" t="s">
        <v>1437</v>
      </c>
      <c r="M11" s="71">
        <v>605897209</v>
      </c>
      <c r="N11" s="73" t="s">
        <v>1438</v>
      </c>
      <c r="O11" s="71" t="s">
        <v>1439</v>
      </c>
      <c r="P11" s="73" t="s">
        <v>136</v>
      </c>
      <c r="Q11" s="71" t="s">
        <v>54</v>
      </c>
      <c r="R11" s="71" t="s">
        <v>55</v>
      </c>
      <c r="S11" s="71" t="s">
        <v>386</v>
      </c>
      <c r="T11" s="71" t="s">
        <v>1440</v>
      </c>
      <c r="U11" s="71" t="s">
        <v>1441</v>
      </c>
      <c r="V11" s="71" t="s">
        <v>1442</v>
      </c>
      <c r="W11" s="73" t="s">
        <v>1443</v>
      </c>
      <c r="X11" s="73" t="s">
        <v>103</v>
      </c>
      <c r="Y11" s="73"/>
      <c r="Z11" s="73"/>
      <c r="AA11" s="73"/>
      <c r="AB11" s="73"/>
      <c r="AC11" s="73"/>
      <c r="AD11" s="73"/>
      <c r="AE11" s="73"/>
      <c r="AF11" s="73"/>
      <c r="AG11" s="73"/>
    </row>
    <row r="12" spans="1:33" ht="12.75">
      <c r="A12" s="121">
        <v>2018</v>
      </c>
      <c r="B12" s="80" t="s">
        <v>1958</v>
      </c>
      <c r="C12" s="81" t="s">
        <v>1081</v>
      </c>
      <c r="D12" s="82">
        <v>43301</v>
      </c>
      <c r="E12" s="82">
        <v>43311</v>
      </c>
      <c r="F12" s="80" t="s">
        <v>976</v>
      </c>
      <c r="G12" s="80" t="s">
        <v>160</v>
      </c>
      <c r="H12" s="80" t="s">
        <v>1983</v>
      </c>
      <c r="I12" s="80" t="s">
        <v>1448</v>
      </c>
      <c r="J12" s="80" t="s">
        <v>1449</v>
      </c>
      <c r="K12" s="80" t="s">
        <v>1450</v>
      </c>
      <c r="L12" s="80" t="s">
        <v>1451</v>
      </c>
      <c r="M12" s="80" t="s">
        <v>1452</v>
      </c>
      <c r="N12" s="80" t="s">
        <v>1453</v>
      </c>
      <c r="O12" s="80" t="s">
        <v>1454</v>
      </c>
      <c r="P12" s="95">
        <v>500</v>
      </c>
      <c r="Q12" s="80" t="s">
        <v>54</v>
      </c>
      <c r="R12" s="80" t="s">
        <v>55</v>
      </c>
      <c r="S12" s="80" t="s">
        <v>1455</v>
      </c>
      <c r="T12" s="80" t="s">
        <v>1456</v>
      </c>
      <c r="U12" s="80" t="s">
        <v>1457</v>
      </c>
      <c r="V12" s="80" t="s">
        <v>55</v>
      </c>
      <c r="W12" s="80" t="s">
        <v>1458</v>
      </c>
      <c r="X12" s="80"/>
      <c r="Y12" s="80"/>
      <c r="Z12" s="80"/>
      <c r="AA12" s="80"/>
      <c r="AB12" s="80"/>
      <c r="AC12" s="80"/>
      <c r="AD12" s="80"/>
      <c r="AE12" s="80"/>
      <c r="AF12" s="80"/>
      <c r="AG12" s="80"/>
    </row>
    <row r="13" spans="1:33" ht="12.75">
      <c r="A13" s="76">
        <v>2019</v>
      </c>
      <c r="B13" s="76" t="s">
        <v>1893</v>
      </c>
      <c r="C13" s="76" t="s">
        <v>219</v>
      </c>
      <c r="D13" s="77">
        <v>43658</v>
      </c>
      <c r="E13" s="77">
        <v>43675</v>
      </c>
      <c r="F13" s="76" t="s">
        <v>976</v>
      </c>
      <c r="G13" s="76" t="s">
        <v>160</v>
      </c>
      <c r="H13" s="76" t="s">
        <v>1462</v>
      </c>
      <c r="I13" s="76" t="s">
        <v>1463</v>
      </c>
      <c r="J13" s="123" t="s">
        <v>1464</v>
      </c>
      <c r="K13" s="76" t="s">
        <v>1465</v>
      </c>
      <c r="L13" s="76" t="s">
        <v>1466</v>
      </c>
      <c r="M13" s="87">
        <v>645782663</v>
      </c>
      <c r="N13" s="124" t="s">
        <v>1467</v>
      </c>
      <c r="O13" s="87" t="s">
        <v>672</v>
      </c>
      <c r="P13" s="87" t="s">
        <v>1468</v>
      </c>
      <c r="Q13" s="87" t="s">
        <v>54</v>
      </c>
      <c r="R13" s="87" t="s">
        <v>55</v>
      </c>
      <c r="S13" s="87" t="s">
        <v>1469</v>
      </c>
      <c r="T13" s="87" t="s">
        <v>1470</v>
      </c>
      <c r="U13" s="87" t="s">
        <v>1112</v>
      </c>
      <c r="V13" s="87" t="s">
        <v>125</v>
      </c>
      <c r="W13" s="87" t="s">
        <v>1471</v>
      </c>
      <c r="X13" s="87" t="s">
        <v>55</v>
      </c>
      <c r="Y13" s="87"/>
      <c r="Z13" s="87"/>
      <c r="AA13" s="87"/>
      <c r="AB13" s="87"/>
      <c r="AC13" s="87"/>
      <c r="AD13" s="87"/>
      <c r="AE13" s="87"/>
      <c r="AF13" s="87"/>
      <c r="AG13" s="87"/>
    </row>
    <row r="14" spans="1:33" ht="12.75">
      <c r="A14" s="121">
        <v>2018</v>
      </c>
      <c r="B14" s="80" t="s">
        <v>1901</v>
      </c>
      <c r="C14" s="81" t="s">
        <v>335</v>
      </c>
      <c r="D14" s="82">
        <v>43282</v>
      </c>
      <c r="E14" s="82">
        <v>43296</v>
      </c>
      <c r="F14" s="80" t="s">
        <v>976</v>
      </c>
      <c r="G14" s="80" t="s">
        <v>147</v>
      </c>
      <c r="H14" s="80" t="s">
        <v>1981</v>
      </c>
      <c r="I14" s="80" t="s">
        <v>1421</v>
      </c>
      <c r="J14" s="80" t="s">
        <v>1075</v>
      </c>
      <c r="K14" s="80" t="s">
        <v>1475</v>
      </c>
      <c r="L14" s="80" t="s">
        <v>1476</v>
      </c>
      <c r="M14" s="95">
        <v>639828628</v>
      </c>
      <c r="N14" s="80" t="s">
        <v>1112</v>
      </c>
      <c r="O14" s="125">
        <v>2500</v>
      </c>
      <c r="P14" s="80" t="s">
        <v>1477</v>
      </c>
      <c r="Q14" s="80" t="s">
        <v>54</v>
      </c>
      <c r="R14" s="80" t="s">
        <v>55</v>
      </c>
      <c r="S14" s="80" t="s">
        <v>821</v>
      </c>
      <c r="T14" s="80" t="s">
        <v>1478</v>
      </c>
      <c r="U14" s="80" t="s">
        <v>1479</v>
      </c>
      <c r="V14" s="80" t="s">
        <v>1480</v>
      </c>
      <c r="W14" s="80" t="s">
        <v>1481</v>
      </c>
      <c r="X14" s="80"/>
      <c r="Y14" s="80"/>
      <c r="Z14" s="80"/>
      <c r="AA14" s="80"/>
      <c r="AB14" s="80"/>
      <c r="AC14" s="80"/>
      <c r="AD14" s="80"/>
      <c r="AE14" s="80"/>
      <c r="AF14" s="80"/>
      <c r="AG14" s="80"/>
    </row>
    <row r="15" spans="1:33" ht="12.75">
      <c r="A15" s="76">
        <v>2016</v>
      </c>
      <c r="B15" s="76" t="s">
        <v>1972</v>
      </c>
      <c r="C15" s="76" t="s">
        <v>1255</v>
      </c>
      <c r="D15" s="77">
        <v>42553</v>
      </c>
      <c r="E15" s="77">
        <v>42561</v>
      </c>
      <c r="F15" s="76" t="s">
        <v>976</v>
      </c>
      <c r="G15" s="76" t="s">
        <v>1984</v>
      </c>
      <c r="H15" s="76" t="s">
        <v>1985</v>
      </c>
      <c r="I15" s="76" t="s">
        <v>1486</v>
      </c>
      <c r="J15" s="87"/>
      <c r="K15" s="76" t="s">
        <v>1487</v>
      </c>
      <c r="L15" s="76" t="s">
        <v>1488</v>
      </c>
      <c r="M15" s="87"/>
      <c r="N15" s="87"/>
      <c r="O15" s="87"/>
      <c r="P15" s="87"/>
      <c r="Q15" s="87"/>
      <c r="R15" s="87"/>
      <c r="S15" s="87"/>
      <c r="T15" s="87"/>
      <c r="U15" s="87"/>
      <c r="V15" s="87"/>
      <c r="W15" s="87"/>
      <c r="X15" s="87"/>
      <c r="Y15" s="87"/>
      <c r="Z15" s="87"/>
      <c r="AA15" s="87"/>
      <c r="AB15" s="87"/>
      <c r="AC15" s="87"/>
      <c r="AD15" s="87"/>
      <c r="AE15" s="87"/>
      <c r="AF15" s="87"/>
      <c r="AG15" s="87"/>
    </row>
    <row r="16" spans="1:33" ht="12.75">
      <c r="A16" s="71"/>
      <c r="B16" s="71"/>
      <c r="C16" s="71"/>
      <c r="D16" s="72"/>
      <c r="E16" s="72"/>
      <c r="F16" s="71"/>
      <c r="G16" s="71"/>
      <c r="H16" s="71"/>
      <c r="I16" s="71"/>
      <c r="J16" s="73"/>
      <c r="K16" s="71"/>
      <c r="L16" s="71"/>
      <c r="M16" s="71"/>
      <c r="N16" s="73"/>
      <c r="O16" s="71"/>
      <c r="P16" s="73"/>
      <c r="Q16" s="71"/>
      <c r="R16" s="71"/>
      <c r="S16" s="71"/>
      <c r="T16" s="71"/>
      <c r="U16" s="71"/>
      <c r="V16" s="71"/>
      <c r="W16" s="73"/>
      <c r="X16" s="73"/>
      <c r="Y16" s="73"/>
      <c r="Z16" s="73"/>
      <c r="AA16" s="73"/>
      <c r="AB16" s="73"/>
      <c r="AC16" s="73"/>
      <c r="AD16" s="73"/>
      <c r="AE16" s="73"/>
      <c r="AF16" s="73"/>
      <c r="AG16" s="73"/>
    </row>
    <row r="17" spans="1:33" ht="12.75">
      <c r="A17" s="121"/>
      <c r="B17" s="80"/>
      <c r="C17" s="80"/>
      <c r="D17" s="82"/>
      <c r="E17" s="82"/>
      <c r="F17" s="80"/>
      <c r="G17" s="80"/>
      <c r="H17" s="80"/>
      <c r="I17" s="80"/>
      <c r="J17" s="80"/>
      <c r="K17" s="80"/>
      <c r="L17" s="80"/>
      <c r="M17" s="95"/>
      <c r="N17" s="80"/>
      <c r="O17" s="80"/>
      <c r="P17" s="80"/>
      <c r="Q17" s="80"/>
      <c r="R17" s="80"/>
      <c r="S17" s="80"/>
      <c r="T17" s="80"/>
      <c r="U17" s="80"/>
      <c r="V17" s="80"/>
      <c r="W17" s="80"/>
      <c r="X17" s="80"/>
      <c r="Y17" s="80"/>
      <c r="Z17" s="80"/>
      <c r="AA17" s="80"/>
      <c r="AB17" s="80"/>
      <c r="AC17" s="80"/>
      <c r="AD17" s="80"/>
      <c r="AE17" s="80"/>
      <c r="AF17" s="80"/>
      <c r="AG17" s="80"/>
    </row>
    <row r="18" spans="1:33" ht="12.75">
      <c r="A18" s="76"/>
      <c r="B18" s="76"/>
      <c r="C18" s="76"/>
      <c r="D18" s="77"/>
      <c r="E18" s="77"/>
      <c r="F18" s="76"/>
      <c r="G18" s="76"/>
      <c r="H18" s="76"/>
      <c r="I18" s="76"/>
      <c r="J18" s="87"/>
      <c r="K18" s="76"/>
      <c r="L18" s="76"/>
      <c r="M18" s="87"/>
      <c r="N18" s="87"/>
      <c r="O18" s="87"/>
      <c r="P18" s="87"/>
      <c r="Q18" s="87"/>
      <c r="R18" s="87"/>
      <c r="S18" s="87"/>
      <c r="T18" s="87"/>
      <c r="U18" s="87"/>
      <c r="V18" s="87"/>
      <c r="W18" s="87"/>
      <c r="X18" s="87"/>
      <c r="Y18" s="87"/>
      <c r="Z18" s="87"/>
      <c r="AA18" s="87"/>
      <c r="AB18" s="87"/>
      <c r="AC18" s="87"/>
      <c r="AD18" s="87"/>
      <c r="AE18" s="87"/>
      <c r="AF18" s="87"/>
      <c r="AG18" s="87"/>
    </row>
    <row r="19" spans="1:33" ht="12.75">
      <c r="A19" s="71"/>
      <c r="B19" s="71"/>
      <c r="C19" s="71"/>
      <c r="D19" s="72"/>
      <c r="E19" s="72"/>
      <c r="F19" s="71"/>
      <c r="G19" s="71"/>
      <c r="H19" s="71"/>
      <c r="I19" s="71"/>
      <c r="J19" s="73"/>
      <c r="K19" s="71"/>
      <c r="L19" s="71"/>
      <c r="M19" s="71"/>
      <c r="N19" s="73"/>
      <c r="O19" s="71"/>
      <c r="P19" s="73"/>
      <c r="Q19" s="71"/>
      <c r="R19" s="71"/>
      <c r="S19" s="71"/>
      <c r="T19" s="71"/>
      <c r="U19" s="71"/>
      <c r="V19" s="71"/>
      <c r="W19" s="73"/>
      <c r="X19" s="73"/>
      <c r="Y19" s="73"/>
      <c r="Z19" s="73"/>
      <c r="AA19" s="73"/>
      <c r="AB19" s="73"/>
      <c r="AC19" s="73"/>
      <c r="AD19" s="73"/>
      <c r="AE19" s="73"/>
      <c r="AF19" s="73"/>
      <c r="AG19" s="73"/>
    </row>
    <row r="20" spans="1:33" ht="12.75">
      <c r="A20" s="121"/>
      <c r="B20" s="80"/>
      <c r="C20" s="80"/>
      <c r="D20" s="82"/>
      <c r="E20" s="82"/>
      <c r="F20" s="80"/>
      <c r="G20" s="80"/>
      <c r="H20" s="80"/>
      <c r="I20" s="80"/>
      <c r="J20" s="80"/>
      <c r="K20" s="80"/>
      <c r="L20" s="80"/>
      <c r="M20" s="95"/>
      <c r="N20" s="80"/>
      <c r="O20" s="80"/>
      <c r="P20" s="80"/>
      <c r="Q20" s="80"/>
      <c r="R20" s="80"/>
      <c r="S20" s="80"/>
      <c r="T20" s="80"/>
      <c r="U20" s="80"/>
      <c r="V20" s="80"/>
      <c r="W20" s="80"/>
      <c r="X20" s="80"/>
      <c r="Y20" s="80"/>
      <c r="Z20" s="80"/>
      <c r="AA20" s="80"/>
      <c r="AB20" s="80"/>
      <c r="AC20" s="80"/>
      <c r="AD20" s="80"/>
      <c r="AE20" s="80"/>
      <c r="AF20" s="80"/>
      <c r="AG20" s="80"/>
    </row>
    <row r="21" spans="1:33" ht="12.75">
      <c r="A21" s="76"/>
      <c r="B21" s="76"/>
      <c r="C21" s="76"/>
      <c r="D21" s="77"/>
      <c r="E21" s="77"/>
      <c r="F21" s="76"/>
      <c r="G21" s="76"/>
      <c r="H21" s="76"/>
      <c r="I21" s="76"/>
      <c r="J21" s="87"/>
      <c r="K21" s="76"/>
      <c r="L21" s="76"/>
      <c r="M21" s="87"/>
      <c r="N21" s="87"/>
      <c r="O21" s="87"/>
      <c r="P21" s="87"/>
      <c r="Q21" s="87"/>
      <c r="R21" s="87"/>
      <c r="S21" s="87"/>
      <c r="T21" s="87"/>
      <c r="U21" s="87"/>
      <c r="V21" s="87"/>
      <c r="W21" s="87"/>
      <c r="X21" s="87"/>
      <c r="Y21" s="87"/>
      <c r="Z21" s="87"/>
      <c r="AA21" s="87"/>
      <c r="AB21" s="87"/>
      <c r="AC21" s="87"/>
      <c r="AD21" s="87"/>
      <c r="AE21" s="87"/>
      <c r="AF21" s="87"/>
      <c r="AG21" s="87"/>
    </row>
    <row r="22" spans="1:33" ht="12.75">
      <c r="A22" s="71"/>
      <c r="B22" s="71"/>
      <c r="C22" s="71"/>
      <c r="D22" s="72"/>
      <c r="E22" s="72"/>
      <c r="F22" s="71"/>
      <c r="G22" s="71"/>
      <c r="H22" s="71"/>
      <c r="I22" s="71"/>
      <c r="J22" s="73"/>
      <c r="K22" s="71"/>
      <c r="L22" s="71"/>
      <c r="M22" s="71"/>
      <c r="N22" s="73"/>
      <c r="O22" s="71"/>
      <c r="P22" s="73"/>
      <c r="Q22" s="71"/>
      <c r="R22" s="71"/>
      <c r="S22" s="71"/>
      <c r="T22" s="71"/>
      <c r="U22" s="71"/>
      <c r="V22" s="71"/>
      <c r="W22" s="73"/>
      <c r="X22" s="73"/>
      <c r="Y22" s="73"/>
      <c r="Z22" s="73"/>
      <c r="AA22" s="73"/>
      <c r="AB22" s="73"/>
      <c r="AC22" s="73"/>
      <c r="AD22" s="73"/>
      <c r="AE22" s="73"/>
      <c r="AF22" s="73"/>
      <c r="AG22" s="73"/>
    </row>
    <row r="23" spans="1:33" ht="12.75">
      <c r="A23" s="121"/>
      <c r="B23" s="80"/>
      <c r="C23" s="80"/>
      <c r="D23" s="82"/>
      <c r="E23" s="82"/>
      <c r="F23" s="80"/>
      <c r="G23" s="80"/>
      <c r="H23" s="80"/>
      <c r="I23" s="80"/>
      <c r="J23" s="80"/>
      <c r="K23" s="80"/>
      <c r="L23" s="80"/>
      <c r="M23" s="95"/>
      <c r="N23" s="80"/>
      <c r="O23" s="80"/>
      <c r="P23" s="80"/>
      <c r="Q23" s="80"/>
      <c r="R23" s="80"/>
      <c r="S23" s="80"/>
      <c r="T23" s="80"/>
      <c r="U23" s="80"/>
      <c r="V23" s="80"/>
      <c r="W23" s="80"/>
      <c r="X23" s="80"/>
      <c r="Y23" s="80"/>
      <c r="Z23" s="80"/>
      <c r="AA23" s="80"/>
      <c r="AB23" s="80"/>
      <c r="AC23" s="80"/>
      <c r="AD23" s="80"/>
      <c r="AE23" s="80"/>
      <c r="AF23" s="80"/>
      <c r="AG23" s="80"/>
    </row>
    <row r="24" spans="1:33" ht="12.75">
      <c r="A24" s="76"/>
      <c r="B24" s="76"/>
      <c r="C24" s="76"/>
      <c r="D24" s="77"/>
      <c r="E24" s="77"/>
      <c r="F24" s="76"/>
      <c r="G24" s="76"/>
      <c r="H24" s="76"/>
      <c r="I24" s="76"/>
      <c r="J24" s="87"/>
      <c r="K24" s="76"/>
      <c r="L24" s="76"/>
      <c r="M24" s="87"/>
      <c r="N24" s="87"/>
      <c r="O24" s="87"/>
      <c r="P24" s="87"/>
      <c r="Q24" s="87"/>
      <c r="R24" s="87"/>
      <c r="S24" s="87"/>
      <c r="T24" s="87"/>
      <c r="U24" s="87"/>
      <c r="V24" s="87"/>
      <c r="W24" s="87"/>
      <c r="X24" s="87"/>
      <c r="Y24" s="87"/>
      <c r="Z24" s="87"/>
      <c r="AA24" s="87"/>
      <c r="AB24" s="87"/>
      <c r="AC24" s="87"/>
      <c r="AD24" s="87"/>
      <c r="AE24" s="87"/>
      <c r="AF24" s="87"/>
      <c r="AG24" s="87"/>
    </row>
    <row r="25" spans="1:33" ht="12.75">
      <c r="A25" s="71"/>
      <c r="B25" s="71"/>
      <c r="C25" s="71"/>
      <c r="D25" s="72"/>
      <c r="E25" s="72"/>
      <c r="F25" s="71"/>
      <c r="G25" s="71"/>
      <c r="H25" s="71"/>
      <c r="I25" s="71"/>
      <c r="J25" s="73"/>
      <c r="K25" s="71"/>
      <c r="L25" s="71"/>
      <c r="M25" s="71"/>
      <c r="N25" s="73"/>
      <c r="O25" s="71"/>
      <c r="P25" s="73"/>
      <c r="Q25" s="71"/>
      <c r="R25" s="71"/>
      <c r="S25" s="71"/>
      <c r="T25" s="71"/>
      <c r="U25" s="71"/>
      <c r="V25" s="71"/>
      <c r="W25" s="73"/>
      <c r="X25" s="73"/>
      <c r="Y25" s="73"/>
      <c r="Z25" s="73"/>
      <c r="AA25" s="73"/>
      <c r="AB25" s="73"/>
      <c r="AC25" s="73"/>
      <c r="AD25" s="73"/>
      <c r="AE25" s="73"/>
      <c r="AF25" s="73"/>
      <c r="AG25" s="73"/>
    </row>
    <row r="26" spans="1:33" ht="12.75">
      <c r="A26" s="121"/>
      <c r="B26" s="80"/>
      <c r="C26" s="80"/>
      <c r="D26" s="82"/>
      <c r="E26" s="82"/>
      <c r="F26" s="80"/>
      <c r="G26" s="80"/>
      <c r="H26" s="80"/>
      <c r="I26" s="80"/>
      <c r="J26" s="80"/>
      <c r="K26" s="80"/>
      <c r="L26" s="80"/>
      <c r="M26" s="95"/>
      <c r="N26" s="80"/>
      <c r="O26" s="80"/>
      <c r="P26" s="80"/>
      <c r="Q26" s="80"/>
      <c r="R26" s="80"/>
      <c r="S26" s="80"/>
      <c r="T26" s="80"/>
      <c r="U26" s="80"/>
      <c r="V26" s="80"/>
      <c r="W26" s="80"/>
      <c r="X26" s="80"/>
      <c r="Y26" s="80"/>
      <c r="Z26" s="80"/>
      <c r="AA26" s="80"/>
      <c r="AB26" s="80"/>
      <c r="AC26" s="80"/>
      <c r="AD26" s="80"/>
      <c r="AE26" s="80"/>
      <c r="AF26" s="80"/>
      <c r="AG26" s="80"/>
    </row>
    <row r="27" spans="1:33" ht="12.75">
      <c r="A27" s="76"/>
      <c r="B27" s="76"/>
      <c r="C27" s="76"/>
      <c r="D27" s="77"/>
      <c r="E27" s="77"/>
      <c r="F27" s="76"/>
      <c r="G27" s="76"/>
      <c r="H27" s="76"/>
      <c r="I27" s="76"/>
      <c r="J27" s="87"/>
      <c r="K27" s="76"/>
      <c r="L27" s="76"/>
      <c r="M27" s="87"/>
      <c r="N27" s="87"/>
      <c r="O27" s="87"/>
      <c r="P27" s="87"/>
      <c r="Q27" s="87"/>
      <c r="R27" s="87"/>
      <c r="S27" s="87"/>
      <c r="T27" s="87"/>
      <c r="U27" s="87"/>
      <c r="V27" s="87"/>
      <c r="W27" s="87"/>
      <c r="X27" s="87"/>
      <c r="Y27" s="87"/>
      <c r="Z27" s="87"/>
      <c r="AA27" s="87"/>
      <c r="AB27" s="87"/>
      <c r="AC27" s="87"/>
      <c r="AD27" s="87"/>
      <c r="AE27" s="87"/>
      <c r="AF27" s="87"/>
      <c r="AG27" s="87"/>
    </row>
    <row r="28" spans="1:33" ht="12.75">
      <c r="A28" s="71"/>
      <c r="B28" s="71"/>
      <c r="C28" s="71"/>
      <c r="D28" s="72"/>
      <c r="E28" s="72"/>
      <c r="F28" s="71"/>
      <c r="G28" s="71"/>
      <c r="H28" s="71"/>
      <c r="I28" s="71"/>
      <c r="J28" s="73"/>
      <c r="K28" s="71"/>
      <c r="L28" s="71"/>
      <c r="M28" s="71"/>
      <c r="N28" s="73"/>
      <c r="O28" s="71"/>
      <c r="P28" s="73"/>
      <c r="Q28" s="71"/>
      <c r="R28" s="71"/>
      <c r="S28" s="71"/>
      <c r="T28" s="71"/>
      <c r="U28" s="71"/>
      <c r="V28" s="71"/>
      <c r="W28" s="73"/>
      <c r="X28" s="73"/>
      <c r="Y28" s="73"/>
      <c r="Z28" s="73"/>
      <c r="AA28" s="73"/>
      <c r="AB28" s="73"/>
      <c r="AC28" s="73"/>
      <c r="AD28" s="73"/>
      <c r="AE28" s="73"/>
      <c r="AF28" s="73"/>
      <c r="AG28" s="73"/>
    </row>
    <row r="29" spans="1:33" ht="12.75">
      <c r="A29" s="121"/>
      <c r="B29" s="80"/>
      <c r="C29" s="80"/>
      <c r="D29" s="82"/>
      <c r="E29" s="82"/>
      <c r="F29" s="80"/>
      <c r="G29" s="80"/>
      <c r="H29" s="80"/>
      <c r="I29" s="80"/>
      <c r="J29" s="80"/>
      <c r="K29" s="80"/>
      <c r="L29" s="80"/>
      <c r="M29" s="95"/>
      <c r="N29" s="80"/>
      <c r="O29" s="80"/>
      <c r="P29" s="80"/>
      <c r="Q29" s="80"/>
      <c r="R29" s="80"/>
      <c r="S29" s="80"/>
      <c r="T29" s="80"/>
      <c r="U29" s="80"/>
      <c r="V29" s="80"/>
      <c r="W29" s="80"/>
      <c r="X29" s="80"/>
      <c r="Y29" s="80"/>
      <c r="Z29" s="80"/>
      <c r="AA29" s="80"/>
      <c r="AB29" s="80"/>
      <c r="AC29" s="80"/>
      <c r="AD29" s="80"/>
      <c r="AE29" s="80"/>
      <c r="AF29" s="80"/>
      <c r="AG29" s="80"/>
    </row>
    <row r="30" spans="1:33" ht="12.75">
      <c r="A30" s="76"/>
      <c r="B30" s="76"/>
      <c r="C30" s="76"/>
      <c r="D30" s="77"/>
      <c r="E30" s="77"/>
      <c r="F30" s="76"/>
      <c r="G30" s="76"/>
      <c r="H30" s="76"/>
      <c r="I30" s="76"/>
      <c r="J30" s="87"/>
      <c r="K30" s="76"/>
      <c r="L30" s="76"/>
      <c r="M30" s="87"/>
      <c r="N30" s="87"/>
      <c r="O30" s="87"/>
      <c r="P30" s="87"/>
      <c r="Q30" s="87"/>
      <c r="R30" s="87"/>
      <c r="S30" s="87"/>
      <c r="T30" s="87"/>
      <c r="U30" s="87"/>
      <c r="V30" s="87"/>
      <c r="W30" s="87"/>
      <c r="X30" s="87"/>
      <c r="Y30" s="87"/>
      <c r="Z30" s="87"/>
      <c r="AA30" s="87"/>
      <c r="AB30" s="87"/>
      <c r="AC30" s="87"/>
      <c r="AD30" s="87"/>
      <c r="AE30" s="87"/>
      <c r="AF30" s="87"/>
      <c r="AG30" s="87"/>
    </row>
    <row r="31" spans="1:33" ht="12.75">
      <c r="A31" s="71"/>
      <c r="B31" s="71"/>
      <c r="C31" s="71"/>
      <c r="D31" s="72"/>
      <c r="E31" s="72"/>
      <c r="F31" s="71"/>
      <c r="G31" s="71"/>
      <c r="H31" s="71"/>
      <c r="I31" s="71"/>
      <c r="J31" s="73"/>
      <c r="K31" s="71"/>
      <c r="L31" s="71"/>
      <c r="M31" s="71"/>
      <c r="N31" s="73"/>
      <c r="O31" s="71"/>
      <c r="P31" s="73"/>
      <c r="Q31" s="71"/>
      <c r="R31" s="71"/>
      <c r="S31" s="71"/>
      <c r="T31" s="71"/>
      <c r="U31" s="71"/>
      <c r="V31" s="71"/>
      <c r="W31" s="73"/>
      <c r="X31" s="73"/>
      <c r="Y31" s="73"/>
      <c r="Z31" s="73"/>
      <c r="AA31" s="73"/>
      <c r="AB31" s="73"/>
      <c r="AC31" s="73"/>
      <c r="AD31" s="73"/>
      <c r="AE31" s="73"/>
      <c r="AF31" s="73"/>
      <c r="AG31" s="73"/>
    </row>
    <row r="32" spans="1:33" ht="12.75">
      <c r="A32" s="121"/>
      <c r="B32" s="80"/>
      <c r="C32" s="80"/>
      <c r="D32" s="82"/>
      <c r="E32" s="82"/>
      <c r="F32" s="80"/>
      <c r="G32" s="80"/>
      <c r="H32" s="80"/>
      <c r="I32" s="80"/>
      <c r="J32" s="80"/>
      <c r="K32" s="80"/>
      <c r="L32" s="80"/>
      <c r="M32" s="95"/>
      <c r="N32" s="80"/>
      <c r="O32" s="80"/>
      <c r="P32" s="80"/>
      <c r="Q32" s="80"/>
      <c r="R32" s="80"/>
      <c r="S32" s="80"/>
      <c r="T32" s="80"/>
      <c r="U32" s="80"/>
      <c r="V32" s="80"/>
      <c r="W32" s="80"/>
      <c r="X32" s="80"/>
      <c r="Y32" s="80"/>
      <c r="Z32" s="80"/>
      <c r="AA32" s="80"/>
      <c r="AB32" s="80"/>
      <c r="AC32" s="80"/>
      <c r="AD32" s="80"/>
      <c r="AE32" s="80"/>
      <c r="AF32" s="80"/>
      <c r="AG32" s="80"/>
    </row>
    <row r="33" spans="1:33" ht="12.75">
      <c r="A33" s="76"/>
      <c r="B33" s="76"/>
      <c r="C33" s="76"/>
      <c r="D33" s="77"/>
      <c r="E33" s="77"/>
      <c r="F33" s="76"/>
      <c r="G33" s="76"/>
      <c r="H33" s="76"/>
      <c r="I33" s="76"/>
      <c r="J33" s="87"/>
      <c r="K33" s="76"/>
      <c r="L33" s="76"/>
      <c r="M33" s="87"/>
      <c r="N33" s="87"/>
      <c r="O33" s="87"/>
      <c r="P33" s="87"/>
      <c r="Q33" s="87"/>
      <c r="R33" s="87"/>
      <c r="S33" s="87"/>
      <c r="T33" s="87"/>
      <c r="U33" s="87"/>
      <c r="V33" s="87"/>
      <c r="W33" s="87"/>
      <c r="X33" s="87"/>
      <c r="Y33" s="87"/>
      <c r="Z33" s="87"/>
      <c r="AA33" s="87"/>
      <c r="AB33" s="87"/>
      <c r="AC33" s="87"/>
      <c r="AD33" s="87"/>
      <c r="AE33" s="87"/>
      <c r="AF33" s="87"/>
      <c r="AG33" s="87"/>
    </row>
    <row r="34" spans="1:33" ht="12.75">
      <c r="A34" s="71"/>
      <c r="B34" s="71"/>
      <c r="C34" s="71"/>
      <c r="D34" s="72"/>
      <c r="E34" s="72"/>
      <c r="F34" s="71"/>
      <c r="G34" s="71"/>
      <c r="H34" s="71"/>
      <c r="I34" s="71"/>
      <c r="J34" s="73"/>
      <c r="K34" s="71"/>
      <c r="L34" s="71"/>
      <c r="M34" s="71"/>
      <c r="N34" s="73"/>
      <c r="O34" s="71"/>
      <c r="P34" s="73"/>
      <c r="Q34" s="71"/>
      <c r="R34" s="71"/>
      <c r="S34" s="71"/>
      <c r="T34" s="71"/>
      <c r="U34" s="71"/>
      <c r="V34" s="71"/>
      <c r="W34" s="73"/>
      <c r="X34" s="73"/>
      <c r="Y34" s="73"/>
      <c r="Z34" s="73"/>
      <c r="AA34" s="73"/>
      <c r="AB34" s="73"/>
      <c r="AC34" s="73"/>
      <c r="AD34" s="73"/>
      <c r="AE34" s="73"/>
      <c r="AF34" s="73"/>
      <c r="AG34" s="73"/>
    </row>
    <row r="35" spans="1:33" ht="12.75">
      <c r="A35" s="121"/>
      <c r="B35" s="80"/>
      <c r="C35" s="80"/>
      <c r="D35" s="82"/>
      <c r="E35" s="82"/>
      <c r="F35" s="80"/>
      <c r="G35" s="80"/>
      <c r="H35" s="80"/>
      <c r="I35" s="80"/>
      <c r="J35" s="80"/>
      <c r="K35" s="80"/>
      <c r="L35" s="80"/>
      <c r="M35" s="95"/>
      <c r="N35" s="80"/>
      <c r="O35" s="80"/>
      <c r="P35" s="80"/>
      <c r="Q35" s="80"/>
      <c r="R35" s="80"/>
      <c r="S35" s="80"/>
      <c r="T35" s="80"/>
      <c r="U35" s="80"/>
      <c r="V35" s="80"/>
      <c r="W35" s="80"/>
      <c r="X35" s="80"/>
      <c r="Y35" s="80"/>
      <c r="Z35" s="80"/>
      <c r="AA35" s="80"/>
      <c r="AB35" s="80"/>
      <c r="AC35" s="80"/>
      <c r="AD35" s="80"/>
      <c r="AE35" s="80"/>
      <c r="AF35" s="80"/>
      <c r="AG35" s="80"/>
    </row>
    <row r="36" spans="1:33" ht="12.75">
      <c r="A36" s="76"/>
      <c r="B36" s="76"/>
      <c r="C36" s="76"/>
      <c r="D36" s="77"/>
      <c r="E36" s="77"/>
      <c r="F36" s="76"/>
      <c r="G36" s="76"/>
      <c r="H36" s="76"/>
      <c r="I36" s="76"/>
      <c r="J36" s="87"/>
      <c r="K36" s="76"/>
      <c r="L36" s="76"/>
      <c r="M36" s="87"/>
      <c r="N36" s="87"/>
      <c r="O36" s="87"/>
      <c r="P36" s="87"/>
      <c r="Q36" s="87"/>
      <c r="R36" s="87"/>
      <c r="S36" s="87"/>
      <c r="T36" s="87"/>
      <c r="U36" s="87"/>
      <c r="V36" s="87"/>
      <c r="W36" s="87"/>
      <c r="X36" s="87"/>
      <c r="Y36" s="87"/>
      <c r="Z36" s="87"/>
      <c r="AA36" s="87"/>
      <c r="AB36" s="87"/>
      <c r="AC36" s="87"/>
      <c r="AD36" s="87"/>
      <c r="AE36" s="87"/>
      <c r="AF36" s="87"/>
      <c r="AG36" s="87"/>
    </row>
    <row r="37" spans="1:33" ht="12.75">
      <c r="A37" s="71"/>
      <c r="B37" s="71"/>
      <c r="C37" s="71"/>
      <c r="D37" s="72"/>
      <c r="E37" s="72"/>
      <c r="F37" s="71"/>
      <c r="G37" s="71"/>
      <c r="H37" s="71"/>
      <c r="I37" s="71"/>
      <c r="J37" s="73"/>
      <c r="K37" s="71"/>
      <c r="L37" s="71"/>
      <c r="M37" s="71"/>
      <c r="N37" s="73"/>
      <c r="O37" s="71"/>
      <c r="P37" s="73"/>
      <c r="Q37" s="71"/>
      <c r="R37" s="71"/>
      <c r="S37" s="71"/>
      <c r="T37" s="71"/>
      <c r="U37" s="71"/>
      <c r="V37" s="71"/>
      <c r="W37" s="73"/>
      <c r="X37" s="73"/>
      <c r="Y37" s="73"/>
      <c r="Z37" s="73"/>
      <c r="AA37" s="73"/>
      <c r="AB37" s="73"/>
      <c r="AC37" s="73"/>
      <c r="AD37" s="73"/>
      <c r="AE37" s="73"/>
      <c r="AF37" s="73"/>
      <c r="AG37" s="73"/>
    </row>
    <row r="38" spans="1:33" ht="12.75">
      <c r="A38" s="121"/>
      <c r="B38" s="80"/>
      <c r="C38" s="80"/>
      <c r="D38" s="82"/>
      <c r="E38" s="82"/>
      <c r="F38" s="80"/>
      <c r="G38" s="80"/>
      <c r="H38" s="80"/>
      <c r="I38" s="80"/>
      <c r="J38" s="80"/>
      <c r="K38" s="80"/>
      <c r="L38" s="80"/>
      <c r="M38" s="95"/>
      <c r="N38" s="80"/>
      <c r="O38" s="80"/>
      <c r="P38" s="80"/>
      <c r="Q38" s="80"/>
      <c r="R38" s="80"/>
      <c r="S38" s="80"/>
      <c r="T38" s="80"/>
      <c r="U38" s="80"/>
      <c r="V38" s="80"/>
      <c r="W38" s="80"/>
      <c r="X38" s="80"/>
      <c r="Y38" s="80"/>
      <c r="Z38" s="80"/>
      <c r="AA38" s="80"/>
      <c r="AB38" s="80"/>
      <c r="AC38" s="80"/>
      <c r="AD38" s="80"/>
      <c r="AE38" s="80"/>
      <c r="AF38" s="80"/>
      <c r="AG38" s="80"/>
    </row>
    <row r="39" spans="1:33" ht="12.75">
      <c r="A39" s="76"/>
      <c r="B39" s="76"/>
      <c r="C39" s="76"/>
      <c r="D39" s="77"/>
      <c r="E39" s="77"/>
      <c r="F39" s="76"/>
      <c r="G39" s="76"/>
      <c r="H39" s="76"/>
      <c r="I39" s="76"/>
      <c r="J39" s="87"/>
      <c r="K39" s="76"/>
      <c r="L39" s="76"/>
      <c r="M39" s="87"/>
      <c r="N39" s="87"/>
      <c r="O39" s="87"/>
      <c r="P39" s="87"/>
      <c r="Q39" s="87"/>
      <c r="R39" s="87"/>
      <c r="S39" s="87"/>
      <c r="T39" s="87"/>
      <c r="U39" s="87"/>
      <c r="V39" s="87"/>
      <c r="W39" s="87"/>
      <c r="X39" s="87"/>
      <c r="Y39" s="87"/>
      <c r="Z39" s="87"/>
      <c r="AA39" s="87"/>
      <c r="AB39" s="87"/>
      <c r="AC39" s="87"/>
      <c r="AD39" s="87"/>
      <c r="AE39" s="87"/>
      <c r="AF39" s="87"/>
      <c r="AG39" s="87"/>
    </row>
    <row r="40" spans="1:33" ht="12.75">
      <c r="A40" s="71"/>
      <c r="B40" s="71"/>
      <c r="C40" s="71"/>
      <c r="D40" s="72"/>
      <c r="E40" s="72"/>
      <c r="F40" s="71"/>
      <c r="G40" s="71"/>
      <c r="H40" s="71"/>
      <c r="I40" s="71"/>
      <c r="J40" s="73"/>
      <c r="K40" s="71"/>
      <c r="L40" s="71"/>
      <c r="M40" s="71"/>
      <c r="N40" s="73"/>
      <c r="O40" s="71"/>
      <c r="P40" s="73"/>
      <c r="Q40" s="71"/>
      <c r="R40" s="71"/>
      <c r="S40" s="71"/>
      <c r="T40" s="71"/>
      <c r="U40" s="71"/>
      <c r="V40" s="71"/>
      <c r="W40" s="73"/>
      <c r="X40" s="73"/>
      <c r="Y40" s="73"/>
      <c r="Z40" s="73"/>
      <c r="AA40" s="73"/>
      <c r="AB40" s="73"/>
      <c r="AC40" s="73"/>
      <c r="AD40" s="73"/>
      <c r="AE40" s="73"/>
      <c r="AF40" s="73"/>
      <c r="AG40" s="73"/>
    </row>
    <row r="41" spans="1:33" ht="12.75">
      <c r="A41" s="121"/>
      <c r="B41" s="80"/>
      <c r="C41" s="80"/>
      <c r="D41" s="82"/>
      <c r="E41" s="82"/>
      <c r="F41" s="80"/>
      <c r="G41" s="80"/>
      <c r="H41" s="80"/>
      <c r="I41" s="80"/>
      <c r="J41" s="80"/>
      <c r="K41" s="80"/>
      <c r="L41" s="80"/>
      <c r="M41" s="95"/>
      <c r="N41" s="80"/>
      <c r="O41" s="80"/>
      <c r="P41" s="80"/>
      <c r="Q41" s="80"/>
      <c r="R41" s="80"/>
      <c r="S41" s="80"/>
      <c r="T41" s="80"/>
      <c r="U41" s="80"/>
      <c r="V41" s="80"/>
      <c r="W41" s="80"/>
      <c r="X41" s="80"/>
      <c r="Y41" s="80"/>
      <c r="Z41" s="80"/>
      <c r="AA41" s="80"/>
      <c r="AB41" s="80"/>
      <c r="AC41" s="80"/>
      <c r="AD41" s="80"/>
      <c r="AE41" s="80"/>
      <c r="AF41" s="80"/>
      <c r="AG41" s="80"/>
    </row>
    <row r="42" spans="1:33" ht="12.75">
      <c r="A42" s="76"/>
      <c r="B42" s="76"/>
      <c r="C42" s="76"/>
      <c r="D42" s="77"/>
      <c r="E42" s="77"/>
      <c r="F42" s="76"/>
      <c r="G42" s="76"/>
      <c r="H42" s="76"/>
      <c r="I42" s="76"/>
      <c r="J42" s="87"/>
      <c r="K42" s="76"/>
      <c r="L42" s="76"/>
      <c r="M42" s="87"/>
      <c r="N42" s="87"/>
      <c r="O42" s="87"/>
      <c r="P42" s="87"/>
      <c r="Q42" s="87"/>
      <c r="R42" s="87"/>
      <c r="S42" s="87"/>
      <c r="T42" s="87"/>
      <c r="U42" s="87"/>
      <c r="V42" s="87"/>
      <c r="W42" s="87"/>
      <c r="X42" s="87"/>
      <c r="Y42" s="87"/>
      <c r="Z42" s="87"/>
      <c r="AA42" s="87"/>
      <c r="AB42" s="87"/>
      <c r="AC42" s="87"/>
      <c r="AD42" s="87"/>
      <c r="AE42" s="87"/>
      <c r="AF42" s="87"/>
      <c r="AG42" s="87"/>
    </row>
    <row r="43" spans="1:33" ht="12.75">
      <c r="A43" s="71"/>
      <c r="B43" s="71"/>
      <c r="C43" s="71"/>
      <c r="D43" s="72"/>
      <c r="E43" s="72"/>
      <c r="F43" s="71"/>
      <c r="G43" s="71"/>
      <c r="H43" s="71"/>
      <c r="I43" s="71"/>
      <c r="J43" s="73"/>
      <c r="K43" s="71"/>
      <c r="L43" s="71"/>
      <c r="M43" s="71"/>
      <c r="N43" s="73"/>
      <c r="O43" s="71"/>
      <c r="P43" s="73"/>
      <c r="Q43" s="71"/>
      <c r="R43" s="71"/>
      <c r="S43" s="71"/>
      <c r="T43" s="71"/>
      <c r="U43" s="71"/>
      <c r="V43" s="71"/>
      <c r="W43" s="73"/>
      <c r="X43" s="73"/>
      <c r="Y43" s="73"/>
      <c r="Z43" s="73"/>
      <c r="AA43" s="73"/>
      <c r="AB43" s="73"/>
      <c r="AC43" s="73"/>
      <c r="AD43" s="73"/>
      <c r="AE43" s="73"/>
      <c r="AF43" s="73"/>
      <c r="AG43" s="73"/>
    </row>
    <row r="44" spans="1:33" ht="12.75">
      <c r="A44" s="121"/>
      <c r="B44" s="80"/>
      <c r="C44" s="80"/>
      <c r="D44" s="82"/>
      <c r="E44" s="82"/>
      <c r="F44" s="80"/>
      <c r="G44" s="80"/>
      <c r="H44" s="80"/>
      <c r="I44" s="80"/>
      <c r="J44" s="80"/>
      <c r="K44" s="80"/>
      <c r="L44" s="80"/>
      <c r="M44" s="95"/>
      <c r="N44" s="80"/>
      <c r="O44" s="80"/>
      <c r="P44" s="80"/>
      <c r="Q44" s="80"/>
      <c r="R44" s="80"/>
      <c r="S44" s="80"/>
      <c r="T44" s="80"/>
      <c r="U44" s="80"/>
      <c r="V44" s="80"/>
      <c r="W44" s="80"/>
      <c r="X44" s="80"/>
      <c r="Y44" s="80"/>
      <c r="Z44" s="80"/>
      <c r="AA44" s="80"/>
      <c r="AB44" s="80"/>
      <c r="AC44" s="80"/>
      <c r="AD44" s="80"/>
      <c r="AE44" s="80"/>
      <c r="AF44" s="80"/>
      <c r="AG44" s="80"/>
    </row>
    <row r="45" spans="1:33" ht="12.75">
      <c r="A45" s="76"/>
      <c r="B45" s="76"/>
      <c r="C45" s="76"/>
      <c r="D45" s="77"/>
      <c r="E45" s="77"/>
      <c r="F45" s="76"/>
      <c r="G45" s="76"/>
      <c r="H45" s="76"/>
      <c r="I45" s="76"/>
      <c r="J45" s="87"/>
      <c r="K45" s="76"/>
      <c r="L45" s="76"/>
      <c r="M45" s="87"/>
      <c r="N45" s="87"/>
      <c r="O45" s="87"/>
      <c r="P45" s="87"/>
      <c r="Q45" s="87"/>
      <c r="R45" s="87"/>
      <c r="S45" s="87"/>
      <c r="T45" s="87"/>
      <c r="U45" s="87"/>
      <c r="V45" s="87"/>
      <c r="W45" s="87"/>
      <c r="X45" s="87"/>
      <c r="Y45" s="87"/>
      <c r="Z45" s="87"/>
      <c r="AA45" s="87"/>
      <c r="AB45" s="87"/>
      <c r="AC45" s="87"/>
      <c r="AD45" s="87"/>
      <c r="AE45" s="87"/>
      <c r="AF45" s="87"/>
      <c r="AG45" s="87"/>
    </row>
    <row r="46" spans="1:33" ht="12.75">
      <c r="A46" s="71"/>
      <c r="B46" s="71"/>
      <c r="C46" s="71"/>
      <c r="D46" s="72"/>
      <c r="E46" s="72"/>
      <c r="F46" s="71"/>
      <c r="G46" s="71"/>
      <c r="H46" s="71"/>
      <c r="I46" s="71"/>
      <c r="J46" s="73"/>
      <c r="K46" s="71"/>
      <c r="L46" s="71"/>
      <c r="M46" s="71"/>
      <c r="N46" s="73"/>
      <c r="O46" s="71"/>
      <c r="P46" s="73"/>
      <c r="Q46" s="71"/>
      <c r="R46" s="71"/>
      <c r="S46" s="71"/>
      <c r="T46" s="71"/>
      <c r="U46" s="71"/>
      <c r="V46" s="71"/>
      <c r="W46" s="73"/>
      <c r="X46" s="73"/>
      <c r="Y46" s="73"/>
      <c r="Z46" s="73"/>
      <c r="AA46" s="73"/>
      <c r="AB46" s="73"/>
      <c r="AC46" s="73"/>
      <c r="AD46" s="73"/>
      <c r="AE46" s="73"/>
      <c r="AF46" s="73"/>
      <c r="AG46" s="73"/>
    </row>
    <row r="47" spans="1:33" ht="12.75">
      <c r="A47" s="121"/>
      <c r="B47" s="80"/>
      <c r="C47" s="80"/>
      <c r="D47" s="82"/>
      <c r="E47" s="82"/>
      <c r="F47" s="80"/>
      <c r="G47" s="80"/>
      <c r="H47" s="80"/>
      <c r="I47" s="80"/>
      <c r="J47" s="80"/>
      <c r="K47" s="80"/>
      <c r="L47" s="80"/>
      <c r="M47" s="95"/>
      <c r="N47" s="80"/>
      <c r="O47" s="80"/>
      <c r="P47" s="80"/>
      <c r="Q47" s="80"/>
      <c r="R47" s="80"/>
      <c r="S47" s="80"/>
      <c r="T47" s="80"/>
      <c r="U47" s="80"/>
      <c r="V47" s="80"/>
      <c r="W47" s="80"/>
      <c r="X47" s="80"/>
      <c r="Y47" s="80"/>
      <c r="Z47" s="80"/>
      <c r="AA47" s="80"/>
      <c r="AB47" s="80"/>
      <c r="AC47" s="80"/>
      <c r="AD47" s="80"/>
      <c r="AE47" s="80"/>
      <c r="AF47" s="80"/>
      <c r="AG47" s="80"/>
    </row>
    <row r="48" spans="1:33" ht="12.75">
      <c r="A48" s="76"/>
      <c r="B48" s="76"/>
      <c r="C48" s="76"/>
      <c r="D48" s="77"/>
      <c r="E48" s="77"/>
      <c r="F48" s="76"/>
      <c r="G48" s="76"/>
      <c r="H48" s="76"/>
      <c r="I48" s="76"/>
      <c r="J48" s="87"/>
      <c r="K48" s="76"/>
      <c r="L48" s="76"/>
      <c r="M48" s="87"/>
      <c r="N48" s="87"/>
      <c r="O48" s="87"/>
      <c r="P48" s="87"/>
      <c r="Q48" s="87"/>
      <c r="R48" s="87"/>
      <c r="S48" s="87"/>
      <c r="T48" s="87"/>
      <c r="U48" s="87"/>
      <c r="V48" s="87"/>
      <c r="W48" s="87"/>
      <c r="X48" s="87"/>
      <c r="Y48" s="87"/>
      <c r="Z48" s="87"/>
      <c r="AA48" s="87"/>
      <c r="AB48" s="87"/>
      <c r="AC48" s="87"/>
      <c r="AD48" s="87"/>
      <c r="AE48" s="87"/>
      <c r="AF48" s="87"/>
      <c r="AG48" s="87"/>
    </row>
    <row r="49" spans="1:33" ht="12.75">
      <c r="A49" s="71"/>
      <c r="B49" s="71"/>
      <c r="C49" s="71"/>
      <c r="D49" s="72"/>
      <c r="E49" s="72"/>
      <c r="F49" s="71"/>
      <c r="G49" s="71"/>
      <c r="H49" s="71"/>
      <c r="I49" s="71"/>
      <c r="J49" s="73"/>
      <c r="K49" s="71"/>
      <c r="L49" s="71"/>
      <c r="M49" s="71"/>
      <c r="N49" s="73"/>
      <c r="O49" s="71"/>
      <c r="P49" s="73"/>
      <c r="Q49" s="71"/>
      <c r="R49" s="71"/>
      <c r="S49" s="71"/>
      <c r="T49" s="71"/>
      <c r="U49" s="71"/>
      <c r="V49" s="71"/>
      <c r="W49" s="73"/>
      <c r="X49" s="73"/>
      <c r="Y49" s="73"/>
      <c r="Z49" s="73"/>
      <c r="AA49" s="73"/>
      <c r="AB49" s="73"/>
      <c r="AC49" s="73"/>
      <c r="AD49" s="73"/>
      <c r="AE49" s="73"/>
      <c r="AF49" s="73"/>
      <c r="AG49" s="73"/>
    </row>
    <row r="50" spans="1:33" ht="12.75">
      <c r="A50" s="121"/>
      <c r="B50" s="80"/>
      <c r="C50" s="80"/>
      <c r="D50" s="82"/>
      <c r="E50" s="82"/>
      <c r="F50" s="80"/>
      <c r="G50" s="80"/>
      <c r="H50" s="80"/>
      <c r="I50" s="80"/>
      <c r="J50" s="80"/>
      <c r="K50" s="80"/>
      <c r="L50" s="80"/>
      <c r="M50" s="95"/>
      <c r="N50" s="80"/>
      <c r="O50" s="80"/>
      <c r="P50" s="80"/>
      <c r="Q50" s="80"/>
      <c r="R50" s="80"/>
      <c r="S50" s="80"/>
      <c r="T50" s="80"/>
      <c r="U50" s="80"/>
      <c r="V50" s="80"/>
      <c r="W50" s="80"/>
      <c r="X50" s="80"/>
      <c r="Y50" s="80"/>
      <c r="Z50" s="80"/>
      <c r="AA50" s="80"/>
      <c r="AB50" s="80"/>
      <c r="AC50" s="80"/>
      <c r="AD50" s="80"/>
      <c r="AE50" s="80"/>
      <c r="AF50" s="80"/>
      <c r="AG50" s="80"/>
    </row>
    <row r="51" spans="1:33" ht="12.75">
      <c r="A51" s="76"/>
      <c r="B51" s="76"/>
      <c r="C51" s="76"/>
      <c r="D51" s="77"/>
      <c r="E51" s="77"/>
      <c r="F51" s="76"/>
      <c r="G51" s="76"/>
      <c r="H51" s="76"/>
      <c r="I51" s="76"/>
      <c r="J51" s="87"/>
      <c r="K51" s="76"/>
      <c r="L51" s="76"/>
      <c r="M51" s="87"/>
      <c r="N51" s="87"/>
      <c r="O51" s="87"/>
      <c r="P51" s="87"/>
      <c r="Q51" s="87"/>
      <c r="R51" s="87"/>
      <c r="S51" s="87"/>
      <c r="T51" s="87"/>
      <c r="U51" s="87"/>
      <c r="V51" s="87"/>
      <c r="W51" s="87"/>
      <c r="X51" s="87"/>
      <c r="Y51" s="87"/>
      <c r="Z51" s="87"/>
      <c r="AA51" s="87"/>
      <c r="AB51" s="87"/>
      <c r="AC51" s="87"/>
      <c r="AD51" s="87"/>
      <c r="AE51" s="87"/>
      <c r="AF51" s="87"/>
      <c r="AG51" s="87"/>
    </row>
    <row r="52" spans="1:33" ht="12.75">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row>
    <row r="53" spans="1:33" ht="12.75">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row>
    <row r="54" spans="1:33" ht="12.75">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row>
    <row r="55" spans="1:33" ht="12.7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row>
    <row r="56" spans="1:33" ht="12.75">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row>
    <row r="57" spans="1:33" ht="12.75">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row>
    <row r="58" spans="1:33" ht="12.75">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row>
    <row r="59" spans="1:33" ht="12.75">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row>
    <row r="60" spans="1:33" ht="12.75">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row>
    <row r="61" spans="1:33" ht="12.75">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row>
    <row r="62" spans="1:33" ht="12.75">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3" ht="12.75">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row>
    <row r="64" spans="1:33" ht="12.75">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row>
    <row r="65" spans="1:33" ht="12.75">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row>
    <row r="66" spans="1:33" ht="12.75">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row>
    <row r="67" spans="1:33" ht="12.75">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row>
    <row r="68" spans="1:33" ht="12.75">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row>
    <row r="69" spans="1:33" ht="12.75">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row>
    <row r="70" spans="1:33" ht="12.75">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row>
    <row r="71" spans="1:33" ht="12.75">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row>
    <row r="72" spans="1:33" ht="12.75">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row>
    <row r="73" spans="1:33" ht="12.75">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row>
    <row r="74" spans="1:33" ht="12.75">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row>
    <row r="75" spans="1:33" ht="12.7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row>
    <row r="76" spans="1:33" ht="12.7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row>
    <row r="77" spans="1:33" ht="12.7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row>
    <row r="78" spans="1:33" ht="12.7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row>
    <row r="79" spans="1:33" ht="12.75">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row>
    <row r="80" spans="1:33" ht="12.75">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row>
    <row r="81" spans="1:33" ht="12.7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row>
    <row r="82" spans="1:33" ht="12.75">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row>
    <row r="83" spans="1:33" ht="12.75">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row>
    <row r="84" spans="1:33" ht="12.75">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row>
    <row r="85" spans="1:33" ht="12.75">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row>
    <row r="86" spans="1:33" ht="12.75">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row>
    <row r="87" spans="1:33" ht="12.75">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row>
    <row r="88" spans="1:33" ht="12.75">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row>
    <row r="89" spans="1:33" ht="12.75">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row>
    <row r="90" spans="1:33" ht="12.75">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row>
    <row r="91" spans="1:33" ht="12.7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row>
    <row r="92" spans="1:33" ht="12.75">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row>
    <row r="93" spans="1:33" ht="12.75">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row>
    <row r="94" spans="1:33" ht="12.75">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row>
    <row r="95" spans="1:33" ht="12.75">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row>
    <row r="96" spans="1:33" ht="12.75">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row>
    <row r="97" spans="1:33" ht="12.75">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row>
    <row r="98" spans="1:33" ht="12.75">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row>
    <row r="99" spans="1:33" ht="12.75">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row>
    <row r="100" spans="1:33" ht="12.7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row>
    <row r="101" spans="1:33" ht="12.75">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row>
    <row r="102" spans="1:33" ht="12.75">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row>
    <row r="103" spans="1:33" ht="12.75">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row>
    <row r="104" spans="1:33" ht="12.7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row>
    <row r="105" spans="1:33" ht="12.75">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row>
    <row r="106" spans="1:33" ht="12.75">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row>
    <row r="107" spans="1:33" ht="12.75">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row>
    <row r="108" spans="1:33" ht="12.7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row>
    <row r="109" spans="1:33" ht="12.7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row>
    <row r="110" spans="1:33" ht="12.7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row>
    <row r="111" spans="1:33" ht="12.7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row>
    <row r="112" spans="1:33" ht="12.7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row>
    <row r="113" spans="1:33" ht="12.7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row>
    <row r="114" spans="1:33" ht="12.7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row>
    <row r="115" spans="1:33" ht="12.7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row>
    <row r="116" spans="1:33" ht="12.7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row>
    <row r="117" spans="1:33" ht="12.7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row>
    <row r="118" spans="1:33" ht="12.7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row>
    <row r="119" spans="1:33" ht="12.7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row>
    <row r="120" spans="1:33" ht="12.7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row>
    <row r="121" spans="1:33" ht="12.7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row>
    <row r="122" spans="1:33" ht="12.7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row>
    <row r="123" spans="1:33" ht="12.7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row>
    <row r="124" spans="1:33" ht="12.7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row>
    <row r="125" spans="1:33" ht="12.7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row>
    <row r="126" spans="1:33" ht="12.7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row>
    <row r="127" spans="1:33" ht="12.7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row>
    <row r="128" spans="1:33" ht="12.7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row>
    <row r="129" spans="1:33" ht="12.7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row>
    <row r="130" spans="1:33" ht="12.7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row>
    <row r="131" spans="1:33" ht="12.7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row>
    <row r="132" spans="1:33" ht="12.7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row>
    <row r="133" spans="1:33" ht="12.7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row>
    <row r="134" spans="1:33" ht="12.7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row>
    <row r="135" spans="1:33" ht="12.7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row>
    <row r="136" spans="1:33" ht="12.7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row>
    <row r="137" spans="1:33" ht="12.7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row>
    <row r="138" spans="1:33" ht="12.7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row>
    <row r="139" spans="1:33" ht="12.7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row>
    <row r="140" spans="1:33" ht="12.7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row>
    <row r="141" spans="1:33" ht="12.7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row>
    <row r="142" spans="1:33" ht="12.7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row>
    <row r="143" spans="1:33" ht="12.7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row>
    <row r="144" spans="1:33" ht="12.7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row>
    <row r="145" spans="1:33" ht="12.7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row>
    <row r="146" spans="1:33" ht="12.7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row>
    <row r="147" spans="1:33" ht="12.75">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row>
    <row r="148" spans="1:33" ht="12.75">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row>
    <row r="149" spans="1:33" ht="12.75">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row>
    <row r="150" spans="1:33" ht="12.75">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row>
    <row r="151" spans="1:33" ht="12.7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row>
    <row r="152" spans="1:33" ht="12.75">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row>
    <row r="153" spans="1:33" ht="12.75">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row>
    <row r="154" spans="1:33" ht="12.75">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row>
    <row r="155" spans="1:33" ht="12.75">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row>
    <row r="156" spans="1:33" ht="12.75">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row>
    <row r="157" spans="1:33" ht="12.75">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row>
    <row r="158" spans="1:33" ht="12.75">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row>
    <row r="159" spans="1:33" ht="12.75">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row>
    <row r="160" spans="1:33" ht="12.75">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row>
    <row r="161" spans="1:33" ht="12.75">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row>
    <row r="162" spans="1:33" ht="12.75">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row>
    <row r="163" spans="1:33" ht="12.7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row>
    <row r="164" spans="1:33" ht="12.75">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row>
    <row r="165" spans="1:33" ht="12.75">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row>
    <row r="166" spans="1:33" ht="12.75">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row>
    <row r="167" spans="1:33" ht="12.75">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row>
    <row r="168" spans="1:33" ht="12.75">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row>
    <row r="169" spans="1:33" ht="12.75">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row>
    <row r="170" spans="1:33" ht="12.75">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row>
    <row r="171" spans="1:33" ht="12.75">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row>
    <row r="172" spans="1:33" ht="12.75">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row>
    <row r="173" spans="1:33" ht="12.75">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row>
    <row r="174" spans="1:33" ht="12.75">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row>
    <row r="175" spans="1:33" ht="12.75">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row>
    <row r="176" spans="1:33" ht="12.75">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row>
    <row r="177" spans="1:33" ht="12.75">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row>
    <row r="178" spans="1:33" ht="12.75">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row>
    <row r="179" spans="1:33" ht="12.75">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row>
    <row r="180" spans="1:33" ht="12.75">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row>
    <row r="181" spans="1:33" ht="12.75">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row>
    <row r="182" spans="1:33" ht="12.75">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row>
    <row r="183" spans="1:33" ht="12.75">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row>
    <row r="184" spans="1:33" ht="12.75">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row>
    <row r="185" spans="1:33" ht="12.75">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row>
    <row r="186" spans="1:33" ht="12.75">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row>
    <row r="187" spans="1:33" ht="12.75">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row>
    <row r="188" spans="1:33" ht="12.75">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row>
    <row r="189" spans="1:33" ht="12.75">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row>
    <row r="190" spans="1:33" ht="12.75">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row>
    <row r="191" spans="1:33" ht="12.75">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row>
    <row r="192" spans="1:33" ht="12.75">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row>
    <row r="193" spans="1:33" ht="12.75">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row>
    <row r="194" spans="1:33" ht="12.75">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row>
    <row r="195" spans="1:33" ht="12.75">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row>
    <row r="196" spans="1:33" ht="12.75">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row>
    <row r="197" spans="1:33" ht="12.75">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row>
    <row r="198" spans="1:33" ht="12.75">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row>
    <row r="199" spans="1:33" ht="12.75">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row>
    <row r="200" spans="1:33" ht="12.75">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row>
    <row r="201" spans="1:33" ht="12.75">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row>
    <row r="202" spans="1:33" ht="12.75">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row>
    <row r="203" spans="1:33" ht="12.75">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row>
    <row r="204" spans="1:33" ht="12.75">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row>
    <row r="205" spans="1:33" ht="12.75">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row>
    <row r="206" spans="1:33" ht="12.75">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row>
    <row r="207" spans="1:33" ht="12.75">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row>
    <row r="208" spans="1:33" ht="12.75">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row>
    <row r="209" spans="1:33" ht="12.75">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row>
    <row r="210" spans="1:33" ht="12.75">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row>
    <row r="211" spans="1:33" ht="12.75">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row>
    <row r="212" spans="1:33" ht="12.75">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row>
    <row r="213" spans="1:33" ht="12.75">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row>
    <row r="214" spans="1:33" ht="12.75">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row>
    <row r="215" spans="1:33" ht="12.75">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row>
    <row r="216" spans="1:33" ht="12.75">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row>
    <row r="217" spans="1:33" ht="12.75">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row>
    <row r="218" spans="1:33" ht="12.75">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row>
    <row r="219" spans="1:33" ht="12.75">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row>
    <row r="220" spans="1:33" ht="12.75">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row>
    <row r="221" spans="1:33" ht="12.7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row>
    <row r="222" spans="1:33" ht="12.7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row>
    <row r="223" spans="1:33" ht="12.7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row>
    <row r="224" spans="1:33" ht="12.7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row>
    <row r="225" spans="1:33" ht="12.7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row>
    <row r="226" spans="1:33" ht="12.7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row>
    <row r="227" spans="1:33" ht="12.7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row>
    <row r="228" spans="1:33" ht="12.7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row>
    <row r="229" spans="1:33" ht="12.7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row>
    <row r="230" spans="1:33" ht="12.7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row>
    <row r="231" spans="1:33" ht="12.7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row>
    <row r="232" spans="1:33" ht="12.7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row>
    <row r="233" spans="1:33" ht="12.7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row>
    <row r="234" spans="1:33" ht="12.7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row>
    <row r="235" spans="1:33" ht="12.7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row>
    <row r="236" spans="1:33" ht="12.7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row>
    <row r="237" spans="1:33" ht="12.7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row>
    <row r="238" spans="1:33" ht="12.7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row>
    <row r="239" spans="1:33" ht="12.7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row>
    <row r="240" spans="1:33" ht="12.7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row>
    <row r="241" spans="1:33" ht="12.7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row>
    <row r="242" spans="1:33" ht="12.7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row>
    <row r="243" spans="1:33" ht="12.7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row>
    <row r="244" spans="1:33" ht="12.7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row>
    <row r="245" spans="1:33" ht="12.7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row>
    <row r="246" spans="1:33" ht="12.7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row>
    <row r="247" spans="1:33" ht="12.7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row>
    <row r="248" spans="1:33" ht="12.7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row>
    <row r="249" spans="1:33" ht="12.7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row>
    <row r="250" spans="1:33" ht="12.7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row>
    <row r="251" spans="1:33" ht="12.7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row>
    <row r="252" spans="1:33" ht="12.7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row>
    <row r="253" spans="1:33" ht="12.7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row>
    <row r="254" spans="1:33" ht="12.7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row>
    <row r="255" spans="1:33" ht="12.7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row>
    <row r="256" spans="1:33" ht="12.7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row>
    <row r="257" spans="1:33" ht="12.7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row>
    <row r="258" spans="1:33" ht="12.7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row>
    <row r="259" spans="1:33" ht="12.7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row>
    <row r="260" spans="1:33" ht="12.7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row>
    <row r="261" spans="1:33" ht="12.7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row>
    <row r="262" spans="1:33" ht="12.7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row>
    <row r="263" spans="1:33" ht="12.7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row>
    <row r="264" spans="1:33" ht="12.7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row>
    <row r="265" spans="1:33" ht="12.7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row>
    <row r="266" spans="1:33" ht="12.7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row>
    <row r="267" spans="1:33" ht="12.7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row>
    <row r="268" spans="1:33" ht="12.7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row>
    <row r="269" spans="1:33" ht="12.7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row>
    <row r="270" spans="1:33" ht="12.7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row>
    <row r="271" spans="1:33" ht="12.7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row>
    <row r="272" spans="1:33" ht="12.7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row>
    <row r="273" spans="1:33" ht="12.7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row>
    <row r="274" spans="1:33" ht="12.7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row>
    <row r="275" spans="1:33" ht="12.7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row>
    <row r="276" spans="1:33" ht="12.7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row>
    <row r="277" spans="1:33" ht="12.7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row>
    <row r="278" spans="1:33" ht="12.7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row>
    <row r="279" spans="1:33" ht="12.7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row>
    <row r="280" spans="1:33" ht="12.7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row>
    <row r="281" spans="1:33" ht="12.7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row>
    <row r="282" spans="1:33" ht="12.7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row>
    <row r="283" spans="1:33" ht="12.7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row>
    <row r="284" spans="1:33" ht="12.7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row>
    <row r="285" spans="1:33" ht="12.7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row>
    <row r="286" spans="1:33" ht="12.7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row>
    <row r="287" spans="1:33" ht="12.7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row>
    <row r="288" spans="1:33" ht="12.7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row>
    <row r="289" spans="1:33" ht="12.7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row>
    <row r="290" spans="1:33" ht="12.7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row>
    <row r="291" spans="1:33" ht="12.7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row>
    <row r="292" spans="1:33" ht="12.7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row>
    <row r="293" spans="1:33" ht="12.7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row>
    <row r="294" spans="1:33" ht="12.7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row>
    <row r="295" spans="1:33" ht="12.7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row>
    <row r="296" spans="1:33" ht="12.7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row>
    <row r="297" spans="1:33" ht="12.7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row>
    <row r="298" spans="1:33" ht="12.7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row>
    <row r="299" spans="1:33" ht="12.7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row>
    <row r="300" spans="1:33" ht="12.7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row>
    <row r="301" spans="1:33" ht="12.7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row>
    <row r="302" spans="1:33" ht="12.7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row>
    <row r="303" spans="1:33" ht="12.7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row>
    <row r="304" spans="1:33" ht="12.7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row>
    <row r="305" spans="1:33" ht="12.7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row>
    <row r="306" spans="1:33" ht="12.7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row>
    <row r="307" spans="1:33" ht="12.7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row>
    <row r="308" spans="1:33" ht="12.7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row>
    <row r="309" spans="1:33" ht="12.7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row>
    <row r="310" spans="1:33" ht="12.7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row>
    <row r="311" spans="1:33" ht="12.7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row>
    <row r="312" spans="1:33" ht="12.7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row>
    <row r="313" spans="1:33" ht="12.7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row>
    <row r="314" spans="1:33" ht="12.7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row>
    <row r="315" spans="1:33" ht="12.7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row>
    <row r="316" spans="1:33" ht="12.7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row>
    <row r="317" spans="1:33" ht="12.7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row>
    <row r="318" spans="1:33" ht="12.7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row>
    <row r="319" spans="1:33" ht="12.7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row>
    <row r="320" spans="1:33" ht="12.7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row>
    <row r="321" spans="1:33" ht="12.7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row>
    <row r="322" spans="1:33" ht="12.7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row>
    <row r="323" spans="1:33" ht="12.7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row>
    <row r="324" spans="1:33" ht="12.7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row>
    <row r="325" spans="1:33" ht="12.7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row>
    <row r="326" spans="1:33" ht="12.7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row>
    <row r="327" spans="1:33" ht="12.7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row>
    <row r="328" spans="1:33" ht="12.7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row>
    <row r="329" spans="1:33" ht="12.7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row>
    <row r="330" spans="1:33" ht="12.7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row>
    <row r="331" spans="1:33" ht="12.7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row>
    <row r="332" spans="1:33" ht="12.7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row>
    <row r="333" spans="1:33" ht="12.7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row>
    <row r="334" spans="1:33" ht="12.7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row>
    <row r="335" spans="1:33" ht="12.7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row>
    <row r="336" spans="1:33" ht="12.7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row>
    <row r="337" spans="1:33" ht="12.7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row>
    <row r="338" spans="1:33" ht="12.7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row>
    <row r="339" spans="1:33" ht="12.7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row>
    <row r="340" spans="1:33" ht="12.7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row>
    <row r="341" spans="1:33" ht="12.7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row>
    <row r="342" spans="1:33" ht="12.7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row>
    <row r="343" spans="1:33" ht="12.7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row>
    <row r="344" spans="1:33" ht="12.7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row>
    <row r="345" spans="1:33" ht="12.7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row>
    <row r="346" spans="1:33" ht="12.7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row>
    <row r="347" spans="1:33" ht="12.7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row>
    <row r="348" spans="1:33" ht="12.7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row>
    <row r="349" spans="1:33" ht="12.7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row>
    <row r="350" spans="1:33" ht="12.7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row>
    <row r="351" spans="1:33" ht="12.7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row>
    <row r="352" spans="1:33" ht="12.7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row>
    <row r="353" spans="1:33" ht="12.7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row>
    <row r="354" spans="1:33" ht="12.7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row>
    <row r="355" spans="1:33" ht="12.7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row>
    <row r="356" spans="1:33" ht="12.7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row>
    <row r="357" spans="1:33" ht="12.7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row>
    <row r="358" spans="1:33" ht="12.7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row>
    <row r="359" spans="1:33" ht="12.7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row>
    <row r="360" spans="1:33" ht="12.7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row>
    <row r="361" spans="1:33" ht="12.7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row>
    <row r="362" spans="1:33" ht="12.7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row>
    <row r="363" spans="1:33" ht="12.7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row>
    <row r="364" spans="1:33" ht="12.7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row>
    <row r="365" spans="1:33" ht="12.7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row>
    <row r="366" spans="1:33" ht="12.7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row>
    <row r="367" spans="1:33" ht="12.7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row>
    <row r="368" spans="1:33" ht="12.7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row>
    <row r="369" spans="1:33" ht="12.7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row>
    <row r="370" spans="1:33" ht="12.7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row>
    <row r="371" spans="1:33" ht="12.7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row>
    <row r="372" spans="1:33" ht="12.7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row>
    <row r="373" spans="1:33" ht="12.7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row>
    <row r="374" spans="1:33" ht="12.7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row>
    <row r="375" spans="1:33" ht="12.7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row>
    <row r="376" spans="1:33" ht="12.7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row>
    <row r="377" spans="1:33" ht="12.7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row>
    <row r="378" spans="1:33" ht="12.7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row>
    <row r="379" spans="1:33" ht="12.7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row>
    <row r="380" spans="1:33" ht="12.7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row>
    <row r="381" spans="1:33" ht="12.7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row>
    <row r="382" spans="1:33" ht="12.7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row>
    <row r="383" spans="1:33" ht="12.7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row>
    <row r="384" spans="1:33" ht="12.7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row>
    <row r="385" spans="1:33" ht="12.7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row>
    <row r="386" spans="1:33" ht="12.7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row>
    <row r="387" spans="1:33" ht="12.7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row>
    <row r="388" spans="1:33" ht="12.7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row>
    <row r="389" spans="1:33" ht="12.7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row>
    <row r="390" spans="1:33" ht="12.7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row>
    <row r="391" spans="1:33" ht="12.7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row>
    <row r="392" spans="1:33" ht="12.7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row>
    <row r="393" spans="1:33" ht="12.7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row>
    <row r="394" spans="1:33" ht="12.7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row>
    <row r="395" spans="1:33" ht="12.7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row>
    <row r="396" spans="1:33" ht="12.7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row>
    <row r="397" spans="1:33" ht="12.7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row>
    <row r="398" spans="1:33" ht="12.7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row>
    <row r="399" spans="1:33" ht="12.7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row>
    <row r="400" spans="1:33" ht="12.7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row>
    <row r="401" spans="1:33" ht="12.7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row>
    <row r="402" spans="1:33" ht="12.7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row>
    <row r="403" spans="1:33" ht="12.7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row>
    <row r="404" spans="1:33" ht="12.7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row>
    <row r="405" spans="1:33" ht="12.7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row>
    <row r="406" spans="1:33" ht="12.7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row>
    <row r="407" spans="1:33" ht="12.7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row>
    <row r="408" spans="1:33" ht="12.7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row>
    <row r="409" spans="1:33" ht="12.7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row>
    <row r="410" spans="1:33" ht="12.7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row>
    <row r="411" spans="1:33" ht="12.7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row>
    <row r="412" spans="1:33" ht="12.7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row>
    <row r="413" spans="1:33" ht="12.7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row>
    <row r="414" spans="1:33" ht="12.7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row>
    <row r="415" spans="1:33" ht="12.7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row>
    <row r="416" spans="1:33" ht="12.7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row>
    <row r="417" spans="1:33" ht="12.7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row>
    <row r="418" spans="1:33" ht="12.7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row>
    <row r="419" spans="1:33" ht="12.7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row>
    <row r="420" spans="1:33" ht="12.7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row>
    <row r="421" spans="1:33" ht="12.7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row>
    <row r="422" spans="1:33" ht="12.7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row>
    <row r="423" spans="1:33" ht="12.7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row>
    <row r="424" spans="1:33" ht="12.7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row>
    <row r="425" spans="1:33" ht="12.7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row>
    <row r="426" spans="1:33" ht="12.7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row>
    <row r="427" spans="1:33" ht="12.7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row>
    <row r="428" spans="1:33" ht="12.7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row>
    <row r="429" spans="1:33" ht="12.7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row>
    <row r="430" spans="1:33" ht="12.7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row>
    <row r="431" spans="1:33" ht="12.7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row>
    <row r="432" spans="1:33" ht="12.7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row>
    <row r="433" spans="1:33" ht="12.7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row>
    <row r="434" spans="1:33" ht="12.7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row>
    <row r="435" spans="1:33" ht="12.7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row>
    <row r="436" spans="1:33" ht="12.7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row>
    <row r="437" spans="1:33" ht="12.7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row>
    <row r="438" spans="1:33" ht="12.7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row>
    <row r="439" spans="1:33" ht="12.7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row>
    <row r="440" spans="1:33" ht="12.7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row>
    <row r="441" spans="1:33" ht="12.7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row>
    <row r="442" spans="1:33" ht="12.7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row>
    <row r="443" spans="1:33" ht="12.7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row>
    <row r="444" spans="1:33" ht="12.7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row>
    <row r="445" spans="1:33" ht="12.7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row>
    <row r="446" spans="1:33" ht="12.7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row>
    <row r="447" spans="1:33" ht="12.7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row>
    <row r="448" spans="1:33" ht="12.7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row>
    <row r="449" spans="1:33" ht="12.7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row>
    <row r="450" spans="1:33" ht="12.7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row>
    <row r="451" spans="1:33" ht="12.7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row>
    <row r="452" spans="1:33" ht="12.7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row>
    <row r="453" spans="1:33" ht="12.7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row>
    <row r="454" spans="1:33" ht="12.7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row>
    <row r="455" spans="1:33" ht="12.7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row>
    <row r="456" spans="1:33" ht="12.7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row>
    <row r="457" spans="1:33" ht="12.7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row>
    <row r="458" spans="1:33" ht="12.7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row>
    <row r="459" spans="1:33" ht="12.7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row>
    <row r="460" spans="1:33" ht="12.7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row>
    <row r="461" spans="1:33" ht="12.7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row>
    <row r="462" spans="1:33" ht="12.7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row>
    <row r="463" spans="1:33" ht="12.7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row>
    <row r="464" spans="1:33" ht="12.7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row>
    <row r="465" spans="1:33" ht="12.7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row>
    <row r="466" spans="1:33" ht="12.7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row>
    <row r="467" spans="1:33" ht="12.7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row>
    <row r="468" spans="1:33" ht="12.7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row>
    <row r="469" spans="1:33" ht="12.7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row>
    <row r="470" spans="1:33" ht="12.7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row>
    <row r="471" spans="1:33" ht="12.7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row>
    <row r="472" spans="1:33" ht="12.7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row>
    <row r="473" spans="1:33" ht="12.7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row>
    <row r="474" spans="1:33" ht="12.7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row>
    <row r="475" spans="1:33" ht="12.7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row>
    <row r="476" spans="1:33" ht="12.7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row>
    <row r="477" spans="1:33" ht="12.7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row>
    <row r="478" spans="1:33" ht="12.7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row>
    <row r="479" spans="1:33" ht="12.7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row>
    <row r="480" spans="1:33" ht="12.7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row>
    <row r="481" spans="1:33" ht="12.7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row>
    <row r="482" spans="1:33" ht="12.7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row>
    <row r="483" spans="1:33" ht="12.7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row>
    <row r="484" spans="1:33" ht="12.7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row>
    <row r="485" spans="1:33" ht="12.7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row>
    <row r="486" spans="1:33" ht="12.7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row>
    <row r="487" spans="1:33" ht="12.7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row>
    <row r="488" spans="1:33" ht="12.7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row>
    <row r="489" spans="1:33" ht="12.7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pans="1:33" ht="12.7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pans="1:33" ht="12.7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pans="1:33" ht="12.7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pans="1:33" ht="12.7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pans="1:33" ht="12.7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pans="1:33" ht="12.7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pans="1:33" ht="12.7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pans="1:33" ht="12.7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pans="1:33" ht="12.7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pans="1:33" ht="12.7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pans="1:33" ht="12.7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pans="1:33" ht="12.7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pans="1:33" ht="12.7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pans="1:33" ht="12.7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pans="1:33" ht="12.7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pans="1:33" ht="12.7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pans="1:33" ht="12.7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pans="1:33" ht="12.7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pans="1:33" ht="12.7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pans="1:33" ht="12.7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pans="1:33" ht="12.7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pans="1:33" ht="12.7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pans="1:33" ht="12.7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pans="1:33" ht="12.7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pans="1:33" ht="12.7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pans="1:33" ht="12.7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pans="1:33" ht="12.7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row>
    <row r="517" spans="1:33" ht="12.7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row>
    <row r="518" spans="1:33" ht="12.7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row>
    <row r="519" spans="1:33" ht="12.7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row>
    <row r="520" spans="1:33" ht="12.7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row>
    <row r="521" spans="1:33" ht="12.7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row>
    <row r="522" spans="1:33" ht="12.7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row>
    <row r="523" spans="1:33" ht="12.7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row>
    <row r="524" spans="1:33" ht="12.7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row>
    <row r="525" spans="1:33" ht="12.7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row>
    <row r="526" spans="1:33" ht="12.7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row>
    <row r="527" spans="1:33" ht="12.7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row>
    <row r="528" spans="1:33" ht="12.7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row>
    <row r="529" spans="1:33" ht="12.7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row>
    <row r="530" spans="1:33" ht="12.7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row>
    <row r="531" spans="1:33" ht="12.7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row>
    <row r="532" spans="1:33" ht="12.7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row>
    <row r="533" spans="1:33" ht="12.7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row>
    <row r="534" spans="1:33" ht="12.7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row>
    <row r="535" spans="1:33" ht="12.7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row>
    <row r="536" spans="1:33" ht="12.7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row>
    <row r="537" spans="1:33" ht="12.7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row>
    <row r="538" spans="1:33" ht="12.7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row>
    <row r="539" spans="1:33" ht="12.7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row>
    <row r="540" spans="1:33" ht="12.7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row>
    <row r="541" spans="1:33" ht="12.7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row>
    <row r="542" spans="1:33" ht="12.7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row>
    <row r="543" spans="1:33" ht="12.7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row>
    <row r="544" spans="1:33" ht="12.7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row>
    <row r="545" spans="1:33" ht="12.7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row>
    <row r="546" spans="1:33" ht="12.7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row>
    <row r="547" spans="1:33" ht="12.7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row>
    <row r="548" spans="1:33" ht="12.7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row>
    <row r="549" spans="1:33" ht="12.7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row>
    <row r="550" spans="1:33" ht="12.7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row>
    <row r="551" spans="1:33" ht="12.7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row>
    <row r="552" spans="1:33" ht="12.7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row>
    <row r="553" spans="1:33" ht="12.7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row>
    <row r="554" spans="1:33" ht="12.7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row>
    <row r="555" spans="1:33" ht="12.7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row>
    <row r="556" spans="1:33" ht="12.7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row>
    <row r="557" spans="1:33" ht="12.7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row>
    <row r="558" spans="1:33" ht="12.7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row>
    <row r="559" spans="1:33" ht="12.7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row>
    <row r="560" spans="1:33" ht="12.7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row>
    <row r="561" spans="1:33" ht="12.7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row>
    <row r="562" spans="1:33" ht="12.7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row>
    <row r="563" spans="1:33" ht="12.7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row>
    <row r="564" spans="1:33" ht="12.7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row>
    <row r="565" spans="1:33" ht="12.7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row>
    <row r="566" spans="1:33" ht="12.7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row>
    <row r="567" spans="1:33" ht="12.7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row>
    <row r="568" spans="1:33" ht="12.7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row>
    <row r="569" spans="1:33" ht="12.7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row>
    <row r="570" spans="1:33" ht="12.7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row>
    <row r="571" spans="1:33" ht="12.7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row>
    <row r="572" spans="1:33" ht="12.7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row>
    <row r="573" spans="1:33" ht="12.7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row>
    <row r="574" spans="1:33" ht="12.7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row>
    <row r="575" spans="1:33" ht="12.7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row>
    <row r="576" spans="1:33" ht="12.7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ht="12.7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ht="12.7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ht="12.7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ht="12.7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ht="12.7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row>
    <row r="582" spans="1:33" ht="12.7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row>
    <row r="583" spans="1:33" ht="12.7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row>
    <row r="584" spans="1:33" ht="12.7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row>
    <row r="585" spans="1:33" ht="12.7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row>
    <row r="586" spans="1:33" ht="12.7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row>
    <row r="587" spans="1:33" ht="12.7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row>
    <row r="588" spans="1:33" ht="12.7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row>
    <row r="589" spans="1:33" ht="12.7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row>
    <row r="590" spans="1:33" ht="12.7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row>
    <row r="591" spans="1:33" ht="12.7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row>
    <row r="592" spans="1:33" ht="12.7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row>
    <row r="593" spans="1:33" ht="12.7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row>
    <row r="594" spans="1:33" ht="12.7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row>
    <row r="595" spans="1:33" ht="12.7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row>
    <row r="596" spans="1:33" ht="12.7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row>
    <row r="597" spans="1:33" ht="12.7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row>
    <row r="598" spans="1:33" ht="12.7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row>
    <row r="599" spans="1:33" ht="12.7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row>
    <row r="600" spans="1:33" ht="12.7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row>
    <row r="601" spans="1:33" ht="12.7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row>
    <row r="602" spans="1:33" ht="12.7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row>
    <row r="603" spans="1:33" ht="12.7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row>
    <row r="604" spans="1:33" ht="12.7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row>
    <row r="605" spans="1:33" ht="12.7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row>
    <row r="606" spans="1:33" ht="12.7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row>
    <row r="607" spans="1:33" ht="12.7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row>
    <row r="608" spans="1:33" ht="12.7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row>
    <row r="609" spans="1:33" ht="12.7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row>
    <row r="610" spans="1:33" ht="12.7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row>
    <row r="611" spans="1:33" ht="12.7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row>
    <row r="612" spans="1:33" ht="12.7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row>
    <row r="613" spans="1:33" ht="12.7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row>
    <row r="614" spans="1:33" ht="12.7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row>
    <row r="615" spans="1:33" ht="12.7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row>
    <row r="616" spans="1:33" ht="12.7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row>
    <row r="617" spans="1:33" ht="12.7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row>
    <row r="618" spans="1:33" ht="12.7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row>
    <row r="619" spans="1:33" ht="12.7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row>
    <row r="620" spans="1:33" ht="12.7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row>
    <row r="621" spans="1:33" ht="12.7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row>
    <row r="622" spans="1:33" ht="12.7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row>
    <row r="623" spans="1:33" ht="12.7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row>
    <row r="624" spans="1:33" ht="12.7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row>
    <row r="625" spans="1:33" ht="12.7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row>
    <row r="626" spans="1:33" ht="12.7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row>
    <row r="627" spans="1:33" ht="12.7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row>
    <row r="628" spans="1:33" ht="12.7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row>
    <row r="629" spans="1:33" ht="12.7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row>
    <row r="630" spans="1:33" ht="12.7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row>
    <row r="631" spans="1:33" ht="12.7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row>
    <row r="632" spans="1:33" ht="12.7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row>
    <row r="633" spans="1:33" ht="12.7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row>
    <row r="634" spans="1:33" ht="12.7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row>
    <row r="635" spans="1:33" ht="12.7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row>
    <row r="636" spans="1:33" ht="12.7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row>
    <row r="637" spans="1:33" ht="12.7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row>
    <row r="638" spans="1:33" ht="12.7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row>
    <row r="639" spans="1:33" ht="12.7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row>
    <row r="640" spans="1:33" ht="12.7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row>
    <row r="641" spans="1:33" ht="12.7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row>
    <row r="642" spans="1:33" ht="12.7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row>
    <row r="643" spans="1:33" ht="12.7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row>
    <row r="644" spans="1:33" ht="12.7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row>
    <row r="645" spans="1:33" ht="12.7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row>
    <row r="646" spans="1:33" ht="12.7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row>
    <row r="647" spans="1:33" ht="12.7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row>
    <row r="648" spans="1:33" ht="12.7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row>
    <row r="649" spans="1:33" ht="12.7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row>
    <row r="650" spans="1:33" ht="12.7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row>
    <row r="651" spans="1:33" ht="12.7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row>
    <row r="652" spans="1:33" ht="12.7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row>
    <row r="653" spans="1:33" ht="12.7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row>
    <row r="654" spans="1:33" ht="12.7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row>
    <row r="655" spans="1:33" ht="12.7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row>
    <row r="656" spans="1:33" ht="12.7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row>
    <row r="657" spans="1:33" ht="12.7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row>
    <row r="658" spans="1:33" ht="12.7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row>
    <row r="659" spans="1:33" ht="12.7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row>
    <row r="660" spans="1:33" ht="12.7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row>
    <row r="661" spans="1:33" ht="12.7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row>
    <row r="662" spans="1:33" ht="12.7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row>
    <row r="663" spans="1:33" ht="12.7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row>
    <row r="664" spans="1:33" ht="12.7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row>
    <row r="665" spans="1:33" ht="12.7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row>
    <row r="666" spans="1:33" ht="12.7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row>
    <row r="667" spans="1:33" ht="12.7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row>
    <row r="668" spans="1:33" ht="12.7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row>
    <row r="669" spans="1:33" ht="12.7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row>
    <row r="670" spans="1:33" ht="12.7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row>
    <row r="671" spans="1:33" ht="12.7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row>
    <row r="672" spans="1:33" ht="12.7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row>
    <row r="673" spans="1:33" ht="12.7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row>
    <row r="674" spans="1:33" ht="12.7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row>
    <row r="675" spans="1:33" ht="12.7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row>
    <row r="676" spans="1:33" ht="12.7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row>
    <row r="677" spans="1:33" ht="12.7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row>
    <row r="678" spans="1:33" ht="12.7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row>
    <row r="679" spans="1:33" ht="12.7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row>
    <row r="680" spans="1:33" ht="12.7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row>
    <row r="681" spans="1:33" ht="12.7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row>
    <row r="682" spans="1:33" ht="12.7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row>
    <row r="683" spans="1:33" ht="12.7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row>
    <row r="684" spans="1:33" ht="12.7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row>
    <row r="685" spans="1:33" ht="12.7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row>
    <row r="686" spans="1:33" ht="12.7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row>
    <row r="687" spans="1:33" ht="12.7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row>
    <row r="688" spans="1:33" ht="12.7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row>
    <row r="689" spans="1:33" ht="12.7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row>
    <row r="690" spans="1:33" ht="12.7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row>
    <row r="691" spans="1:33" ht="12.7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row>
    <row r="692" spans="1:33" ht="12.7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row>
    <row r="693" spans="1:33" ht="12.7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row>
    <row r="694" spans="1:33" ht="12.7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row>
    <row r="695" spans="1:33" ht="12.7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row>
    <row r="696" spans="1:33" ht="12.7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row>
    <row r="697" spans="1:33" ht="12.7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row>
    <row r="698" spans="1:33" ht="12.7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row>
    <row r="699" spans="1:33" ht="12.7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row>
    <row r="700" spans="1:33" ht="12.7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row>
    <row r="701" spans="1:33" ht="12.7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row>
    <row r="702" spans="1:33" ht="12.7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row>
    <row r="703" spans="1:33" ht="12.7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row>
    <row r="704" spans="1:33" ht="12.7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row>
    <row r="705" spans="1:33" ht="12.7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row>
    <row r="706" spans="1:33" ht="12.7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row>
    <row r="707" spans="1:33" ht="12.7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row>
    <row r="708" spans="1:33" ht="12.7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row>
    <row r="709" spans="1:33" ht="12.7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row>
    <row r="710" spans="1:33" ht="12.7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row>
    <row r="711" spans="1:33" ht="12.7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row>
    <row r="712" spans="1:33" ht="12.7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row>
    <row r="713" spans="1:33" ht="12.7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row>
    <row r="714" spans="1:33" ht="12.7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row>
    <row r="715" spans="1:33" ht="12.7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row>
    <row r="716" spans="1:33" ht="12.7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row>
    <row r="717" spans="1:33" ht="12.7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row>
    <row r="718" spans="1:33" ht="12.7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row>
    <row r="719" spans="1:33" ht="12.7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row>
    <row r="720" spans="1:33" ht="12.7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row>
    <row r="721" spans="1:33" ht="12.7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row>
    <row r="722" spans="1:33" ht="12.7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row>
    <row r="723" spans="1:33" ht="12.7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row>
    <row r="724" spans="1:33" ht="12.7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row>
    <row r="725" spans="1:33" ht="12.7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row>
    <row r="726" spans="1:33" ht="12.7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row>
    <row r="727" spans="1:33" ht="12.7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row>
    <row r="728" spans="1:33" ht="12.7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row>
    <row r="729" spans="1:33" ht="12.7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row>
    <row r="730" spans="1:33" ht="12.7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row>
    <row r="731" spans="1:33" ht="12.7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row>
    <row r="732" spans="1:33" ht="12.7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row>
    <row r="733" spans="1:33" ht="12.7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row>
    <row r="734" spans="1:33" ht="12.7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row>
    <row r="735" spans="1:33" ht="12.7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row>
    <row r="736" spans="1:33" ht="12.7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row>
    <row r="737" spans="1:33" ht="12.7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row>
    <row r="738" spans="1:33" ht="12.7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row>
    <row r="739" spans="1:33" ht="12.7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row>
    <row r="740" spans="1:33" ht="12.7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row>
    <row r="741" spans="1:33" ht="12.7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row>
    <row r="742" spans="1:33" ht="12.7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row>
    <row r="743" spans="1:33" ht="12.7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row>
    <row r="744" spans="1:33" ht="12.7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row>
    <row r="745" spans="1:33" ht="12.7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row>
    <row r="746" spans="1:33" ht="12.7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row>
    <row r="747" spans="1:33" ht="12.7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row>
    <row r="748" spans="1:33" ht="12.7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row>
    <row r="749" spans="1:33" ht="12.7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row>
    <row r="750" spans="1:33" ht="12.7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row>
    <row r="751" spans="1:33" ht="12.7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row>
    <row r="752" spans="1:33" ht="12.7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row>
    <row r="753" spans="1:33" ht="12.7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row>
    <row r="754" spans="1:33" ht="12.7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row>
    <row r="755" spans="1:33" ht="12.7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row>
    <row r="756" spans="1:33" ht="12.7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row>
    <row r="757" spans="1:33" ht="12.7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row>
    <row r="758" spans="1:33" ht="12.7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row>
    <row r="759" spans="1:33" ht="12.7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row>
    <row r="760" spans="1:33" ht="12.7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row>
    <row r="761" spans="1:33" ht="12.7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row>
    <row r="762" spans="1:33" ht="12.7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row>
    <row r="763" spans="1:33" ht="12.7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row>
    <row r="764" spans="1:33" ht="12.7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row>
    <row r="765" spans="1:33" ht="12.7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row>
    <row r="766" spans="1:33" ht="12.7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row>
    <row r="767" spans="1:33" ht="12.7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row>
    <row r="768" spans="1:33" ht="12.7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row>
    <row r="769" spans="1:33" ht="12.7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row>
    <row r="770" spans="1:33" ht="12.7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row>
    <row r="771" spans="1:33" ht="12.7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row>
    <row r="772" spans="1:33" ht="12.7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row>
    <row r="773" spans="1:33" ht="12.7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row>
    <row r="774" spans="1:33" ht="12.7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row>
    <row r="775" spans="1:33" ht="12.7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row>
    <row r="776" spans="1:33" ht="12.7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row>
    <row r="777" spans="1:33" ht="12.7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row>
    <row r="778" spans="1:33" ht="12.7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row>
    <row r="779" spans="1:33" ht="12.7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row>
    <row r="780" spans="1:33" ht="12.7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row>
    <row r="781" spans="1:33" ht="12.7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row>
    <row r="782" spans="1:33" ht="12.7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row>
    <row r="783" spans="1:33" ht="12.7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row>
    <row r="784" spans="1:33" ht="12.7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row>
    <row r="785" spans="1:33" ht="12.7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row>
    <row r="786" spans="1:33" ht="12.7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row>
    <row r="787" spans="1:33" ht="12.7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row>
    <row r="788" spans="1:33" ht="12.7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row>
    <row r="789" spans="1:33" ht="12.7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row>
    <row r="790" spans="1:33" ht="12.7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row>
    <row r="791" spans="1:33" ht="12.7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row>
    <row r="792" spans="1:33" ht="12.7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row>
    <row r="793" spans="1:33" ht="12.7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row>
    <row r="794" spans="1:33" ht="12.7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row>
    <row r="795" spans="1:33" ht="12.7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row>
    <row r="796" spans="1:33" ht="12.7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row>
    <row r="797" spans="1:33" ht="12.7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row>
    <row r="798" spans="1:33" ht="12.7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row>
    <row r="799" spans="1:33" ht="12.7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row>
    <row r="800" spans="1:33" ht="12.7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row>
    <row r="801" spans="1:33" ht="12.7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row>
    <row r="802" spans="1:33" ht="12.7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row>
    <row r="803" spans="1:33" ht="12.7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row>
    <row r="804" spans="1:33" ht="12.7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row>
    <row r="805" spans="1:33" ht="12.7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row>
    <row r="806" spans="1:33" ht="12.7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row>
    <row r="807" spans="1:33" ht="12.7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row>
    <row r="808" spans="1:33" ht="12.7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row>
    <row r="809" spans="1:33" ht="12.7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row>
    <row r="810" spans="1:33" ht="12.7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row>
    <row r="811" spans="1:33" ht="12.7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row>
    <row r="812" spans="1:33" ht="12.7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row>
    <row r="813" spans="1:33" ht="12.7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row>
    <row r="814" spans="1:33" ht="12.7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row>
    <row r="815" spans="1:33" ht="12.7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row>
    <row r="816" spans="1:33" ht="12.7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row>
    <row r="817" spans="1:33" ht="12.7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row>
    <row r="818" spans="1:33" ht="12.7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row>
    <row r="819" spans="1:33" ht="12.7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row>
    <row r="820" spans="1:33" ht="12.7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row>
    <row r="821" spans="1:33" ht="12.7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row>
    <row r="822" spans="1:33" ht="12.7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row>
    <row r="823" spans="1:33" ht="12.7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row>
    <row r="824" spans="1:33" ht="12.7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row>
    <row r="825" spans="1:33" ht="12.7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row>
    <row r="826" spans="1:33" ht="12.7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row>
    <row r="827" spans="1:33" ht="12.7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row>
    <row r="828" spans="1:33" ht="12.7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row>
    <row r="829" spans="1:33" ht="12.7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row>
    <row r="830" spans="1:33" ht="12.7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row>
    <row r="831" spans="1:33" ht="12.7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row>
    <row r="832" spans="1:33" ht="12.7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row>
    <row r="833" spans="1:33" ht="12.7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row>
    <row r="834" spans="1:33" ht="12.7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row>
    <row r="835" spans="1:33" ht="12.7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row>
    <row r="836" spans="1:33" ht="12.7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row>
    <row r="837" spans="1:33" ht="12.7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row>
    <row r="838" spans="1:33" ht="12.7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row>
    <row r="839" spans="1:33" ht="12.7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row>
    <row r="840" spans="1:33" ht="12.7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row>
    <row r="841" spans="1:33" ht="12.7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row>
    <row r="842" spans="1:33" ht="12.7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row>
    <row r="843" spans="1:33" ht="12.7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row>
    <row r="844" spans="1:33" ht="12.7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row>
    <row r="845" spans="1:33" ht="12.7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row>
    <row r="846" spans="1:33" ht="12.7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row>
    <row r="847" spans="1:33" ht="12.7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row>
    <row r="848" spans="1:33" ht="12.7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row>
    <row r="849" spans="1:33" ht="12.7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row>
    <row r="850" spans="1:33" ht="12.7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row>
    <row r="851" spans="1:33" ht="12.7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row>
    <row r="852" spans="1:33" ht="12.7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row>
    <row r="853" spans="1:33" ht="12.7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row>
    <row r="854" spans="1:33" ht="12.7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row>
    <row r="855" spans="1:33" ht="12.7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row>
    <row r="856" spans="1:33" ht="12.7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row>
    <row r="857" spans="1:33" ht="12.7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row>
    <row r="858" spans="1:33" ht="12.7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row>
    <row r="859" spans="1:33" ht="12.7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row>
    <row r="860" spans="1:33" ht="12.7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row>
    <row r="861" spans="1:33" ht="12.7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row>
    <row r="862" spans="1:33" ht="12.7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row>
    <row r="863" spans="1:33" ht="12.7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row>
    <row r="864" spans="1:33" ht="12.7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row>
    <row r="865" spans="1:33" ht="12.7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row>
    <row r="866" spans="1:33" ht="12.7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row>
    <row r="867" spans="1:33" ht="12.7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row>
    <row r="868" spans="1:33" ht="12.7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row>
    <row r="869" spans="1:33" ht="12.7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row>
    <row r="870" spans="1:33" ht="12.7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row>
    <row r="871" spans="1:33" ht="12.7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row>
    <row r="872" spans="1:33" ht="12.7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row>
    <row r="873" spans="1:33" ht="12.7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row>
    <row r="874" spans="1:33" ht="12.7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row>
    <row r="875" spans="1:33" ht="12.7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row>
    <row r="876" spans="1:33" ht="12.7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row>
    <row r="877" spans="1:33" ht="12.7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row>
    <row r="878" spans="1:33" ht="12.7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row>
    <row r="879" spans="1:33" ht="12.7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row>
    <row r="880" spans="1:33" ht="12.7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row>
    <row r="881" spans="1:33" ht="12.7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row>
    <row r="882" spans="1:33" ht="12.7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row>
    <row r="883" spans="1:33" ht="12.7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row>
    <row r="884" spans="1:33" ht="12.7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row>
    <row r="885" spans="1:33" ht="12.7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row>
    <row r="886" spans="1:33" ht="12.7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row>
    <row r="887" spans="1:33" ht="12.7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row>
    <row r="888" spans="1:33" ht="12.7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row>
    <row r="889" spans="1:33" ht="12.7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row>
    <row r="890" spans="1:33" ht="12.7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row>
    <row r="891" spans="1:33" ht="12.7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row>
    <row r="892" spans="1:33" ht="12.7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row>
    <row r="893" spans="1:33" ht="12.7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row>
    <row r="894" spans="1:33" ht="12.7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row>
    <row r="895" spans="1:33" ht="12.7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row>
    <row r="896" spans="1:33" ht="12.7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row>
    <row r="897" spans="1:33" ht="12.7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row>
    <row r="898" spans="1:33" ht="12.7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row>
    <row r="899" spans="1:33" ht="12.7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row>
    <row r="900" spans="1:33" ht="12.7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row>
    <row r="901" spans="1:33" ht="12.7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row>
    <row r="902" spans="1:33" ht="12.7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row>
    <row r="903" spans="1:33" ht="12.7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row>
    <row r="904" spans="1:33" ht="12.7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row>
    <row r="905" spans="1:33" ht="12.7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row>
    <row r="906" spans="1:33" ht="12.7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row>
    <row r="907" spans="1:33" ht="12.7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row>
    <row r="908" spans="1:33" ht="12.7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row>
    <row r="909" spans="1:33" ht="12.7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row>
    <row r="910" spans="1:33" ht="12.7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row>
    <row r="911" spans="1:33" ht="12.7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row>
    <row r="912" spans="1:33" ht="12.7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row>
    <row r="913" spans="1:33" ht="12.7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row>
    <row r="914" spans="1:33" ht="12.7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row>
    <row r="915" spans="1:33" ht="12.7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row>
    <row r="916" spans="1:33" ht="12.7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row>
    <row r="917" spans="1:33" ht="12.7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row>
    <row r="918" spans="1:33" ht="12.7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row>
    <row r="919" spans="1:33" ht="12.7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row>
    <row r="920" spans="1:33" ht="12.7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row>
    <row r="921" spans="1:33" ht="12.7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row>
    <row r="922" spans="1:33" ht="12.7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row>
    <row r="923" spans="1:33" ht="12.7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row>
    <row r="924" spans="1:33" ht="12.7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row>
    <row r="925" spans="1:33" ht="12.7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row>
    <row r="926" spans="1:33" ht="12.7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row>
    <row r="927" spans="1:33" ht="12.7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row>
    <row r="928" spans="1:33" ht="12.7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row>
    <row r="929" spans="1:33" ht="12.7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row>
    <row r="930" spans="1:33" ht="12.7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row>
    <row r="931" spans="1:33" ht="12.7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row>
    <row r="932" spans="1:33" ht="12.7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row>
    <row r="933" spans="1:33" ht="12.7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row>
    <row r="934" spans="1:33" ht="12.7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row>
    <row r="935" spans="1:33" ht="12.7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row>
    <row r="936" spans="1:33" ht="12.7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row>
    <row r="937" spans="1:33" ht="12.7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row>
    <row r="938" spans="1:33" ht="12.7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row>
    <row r="939" spans="1:33" ht="12.7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row>
    <row r="940" spans="1:33" ht="12.7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row>
    <row r="941" spans="1:33" ht="12.7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row>
    <row r="942" spans="1:33" ht="12.7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row>
    <row r="943" spans="1:33" ht="12.7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row>
    <row r="944" spans="1:33" ht="12.7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row>
    <row r="945" spans="1:33" ht="12.7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row>
    <row r="946" spans="1:33" ht="12.7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row>
    <row r="947" spans="1:33" ht="12.7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row>
    <row r="948" spans="1:33" ht="12.7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row>
    <row r="949" spans="1:33" ht="12.7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row>
    <row r="950" spans="1:33" ht="12.7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row>
    <row r="951" spans="1:33" ht="12.7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row>
    <row r="952" spans="1:33" ht="12.7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row>
    <row r="953" spans="1:33" ht="12.7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row>
    <row r="954" spans="1:33" ht="12.7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row>
    <row r="955" spans="1:33" ht="12.7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row>
    <row r="956" spans="1:33" ht="12.7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row>
    <row r="957" spans="1:33" ht="12.7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row>
    <row r="958" spans="1:33" ht="12.7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row>
    <row r="959" spans="1:33" ht="12.7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row>
    <row r="960" spans="1:33" ht="12.7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row>
    <row r="961" spans="1:33" ht="12.7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row>
    <row r="962" spans="1:33" ht="12.7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row>
    <row r="963" spans="1:33" ht="12.7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row>
    <row r="964" spans="1:33" ht="12.7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row>
    <row r="965" spans="1:33" ht="12.7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row>
    <row r="966" spans="1:33" ht="12.7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row>
    <row r="967" spans="1:33" ht="12.7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row>
    <row r="968" spans="1:33" ht="12.7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row>
    <row r="969" spans="1:33" ht="12.7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row>
    <row r="970" spans="1:33" ht="12.7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row>
    <row r="971" spans="1:33" ht="12.7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row>
    <row r="972" spans="1:33" ht="12.7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row>
    <row r="973" spans="1:33" ht="12.7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row>
    <row r="974" spans="1:33" ht="12.7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row>
    <row r="975" spans="1:33" ht="12.7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row>
    <row r="976" spans="1:33" ht="12.7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row>
    <row r="977" spans="1:33" ht="12.7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row>
    <row r="978" spans="1:33" ht="12.7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row>
    <row r="979" spans="1:33" ht="12.7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row>
    <row r="980" spans="1:33" ht="12.7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row>
    <row r="981" spans="1:33" ht="12.7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row>
    <row r="982" spans="1:33" ht="12.7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row>
    <row r="983" spans="1:33" ht="12.7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row>
    <row r="984" spans="1:33" ht="12.7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row>
    <row r="985" spans="1:33" ht="12.7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row>
    <row r="986" spans="1:33" ht="12.7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row>
    <row r="987" spans="1:33" ht="12.7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row>
    <row r="988" spans="1:33" ht="12.7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row>
    <row r="989" spans="1:33" ht="12.75">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row>
    <row r="990" spans="1:33" ht="12.75">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row>
  </sheetData>
  <autoFilter ref="A1:AG15" xr:uid="{00000000-0009-0000-0000-00000D000000}"/>
  <hyperlinks>
    <hyperlink ref="N13" r:id="rId1"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G2"/>
  <sheetViews>
    <sheetView workbookViewId="0"/>
  </sheetViews>
  <sheetFormatPr baseColWidth="10" defaultColWidth="14.42578125" defaultRowHeight="15.75" customHeight="1"/>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63.75">
      <c r="A2" s="126">
        <v>2019</v>
      </c>
      <c r="B2" s="63" t="s">
        <v>1961</v>
      </c>
      <c r="C2" s="91" t="s">
        <v>1108</v>
      </c>
      <c r="D2" s="127">
        <v>43659</v>
      </c>
      <c r="E2" s="127">
        <v>43677</v>
      </c>
      <c r="F2" s="63" t="s">
        <v>977</v>
      </c>
      <c r="G2" s="63" t="s">
        <v>167</v>
      </c>
      <c r="H2" s="63" t="s">
        <v>1492</v>
      </c>
      <c r="I2" s="63" t="s">
        <v>1493</v>
      </c>
      <c r="J2" s="63" t="s">
        <v>1494</v>
      </c>
      <c r="K2" s="63" t="s">
        <v>1495</v>
      </c>
      <c r="L2" s="63" t="s">
        <v>1496</v>
      </c>
      <c r="M2" s="67">
        <v>649339377</v>
      </c>
      <c r="N2" s="63" t="s">
        <v>1497</v>
      </c>
      <c r="O2" s="67">
        <v>2700</v>
      </c>
      <c r="P2" s="63" t="s">
        <v>1498</v>
      </c>
      <c r="Q2" s="63" t="s">
        <v>100</v>
      </c>
      <c r="R2" s="63" t="s">
        <v>55</v>
      </c>
      <c r="S2" s="63" t="s">
        <v>1499</v>
      </c>
      <c r="T2" s="63" t="s">
        <v>1272</v>
      </c>
      <c r="U2" s="63" t="s">
        <v>1500</v>
      </c>
      <c r="V2" s="63" t="s">
        <v>230</v>
      </c>
      <c r="W2" s="63" t="s">
        <v>1501</v>
      </c>
      <c r="X2" s="63" t="s">
        <v>55</v>
      </c>
      <c r="Y2" s="94"/>
      <c r="Z2" s="94"/>
      <c r="AA2" s="94"/>
      <c r="AB2" s="94"/>
      <c r="AC2" s="94"/>
      <c r="AD2" s="94"/>
      <c r="AE2" s="94"/>
      <c r="AF2" s="94"/>
      <c r="AG2" s="9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J986"/>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5" width="14.140625" customWidth="1"/>
    <col min="6" max="6" width="35.28515625" customWidth="1"/>
    <col min="7" max="23" width="14.140625" customWidth="1"/>
    <col min="24" max="27" width="7.7109375" customWidth="1"/>
    <col min="28" max="28" width="14.140625" customWidth="1"/>
    <col min="29" max="29" width="18.7109375" customWidth="1"/>
    <col min="30" max="30" width="21.28515625" customWidth="1"/>
    <col min="31" max="35" width="14.140625" customWidth="1"/>
    <col min="36" max="36" width="49.85546875" customWidth="1"/>
  </cols>
  <sheetData>
    <row r="1" spans="1:36"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7" t="s">
        <v>1986</v>
      </c>
      <c r="Z1" s="57" t="s">
        <v>1987</v>
      </c>
      <c r="AA1" s="57" t="s">
        <v>1988</v>
      </c>
      <c r="AB1" s="128" t="s">
        <v>1989</v>
      </c>
      <c r="AC1" s="128" t="s">
        <v>1990</v>
      </c>
      <c r="AD1" s="129" t="s">
        <v>1991</v>
      </c>
      <c r="AE1" s="56" t="s">
        <v>1992</v>
      </c>
      <c r="AF1" s="56" t="s">
        <v>1993</v>
      </c>
      <c r="AG1" s="56" t="s">
        <v>1994</v>
      </c>
      <c r="AH1" s="56" t="s">
        <v>1995</v>
      </c>
      <c r="AI1" s="56" t="s">
        <v>1996</v>
      </c>
      <c r="AJ1" s="56" t="s">
        <v>1883</v>
      </c>
    </row>
    <row r="2" spans="1:36" ht="12.75">
      <c r="A2" s="121">
        <v>2015</v>
      </c>
      <c r="B2" s="80" t="s">
        <v>67</v>
      </c>
      <c r="C2" s="130" t="s">
        <v>68</v>
      </c>
      <c r="D2" s="82">
        <v>42188</v>
      </c>
      <c r="E2" s="82">
        <v>42200</v>
      </c>
      <c r="F2" s="71" t="s">
        <v>1997</v>
      </c>
      <c r="G2" s="80" t="s">
        <v>129</v>
      </c>
      <c r="H2" s="80" t="s">
        <v>1505</v>
      </c>
      <c r="I2" s="80" t="s">
        <v>1506</v>
      </c>
      <c r="J2" s="80"/>
      <c r="K2" s="80"/>
      <c r="L2" s="80"/>
      <c r="M2" s="80"/>
      <c r="N2" s="80"/>
      <c r="O2" s="80"/>
      <c r="P2" s="80"/>
      <c r="Q2" s="80"/>
      <c r="R2" s="80"/>
      <c r="S2" s="80"/>
      <c r="T2" s="80"/>
      <c r="U2" s="80"/>
      <c r="V2" s="80"/>
      <c r="W2" s="80"/>
      <c r="X2" s="80"/>
      <c r="Y2" s="80"/>
      <c r="Z2" s="80"/>
      <c r="AA2" s="80"/>
      <c r="AB2" s="80"/>
      <c r="AC2" s="80"/>
      <c r="AD2" s="88"/>
      <c r="AE2" s="88"/>
      <c r="AF2" s="88"/>
      <c r="AG2" s="91"/>
      <c r="AH2" s="91"/>
      <c r="AI2" s="91"/>
      <c r="AJ2" s="76"/>
    </row>
    <row r="3" spans="1:36" ht="12.75">
      <c r="A3" s="121">
        <v>2019</v>
      </c>
      <c r="B3" s="80" t="s">
        <v>1890</v>
      </c>
      <c r="C3" s="130" t="s">
        <v>1510</v>
      </c>
      <c r="D3" s="82">
        <v>43647</v>
      </c>
      <c r="E3" s="82">
        <v>43660</v>
      </c>
      <c r="F3" s="71" t="s">
        <v>978</v>
      </c>
      <c r="G3" s="80" t="s">
        <v>1998</v>
      </c>
      <c r="H3" s="80" t="s">
        <v>1505</v>
      </c>
      <c r="I3" s="80" t="s">
        <v>1511</v>
      </c>
      <c r="J3" s="80" t="s">
        <v>1512</v>
      </c>
      <c r="K3" s="131" t="s">
        <v>1513</v>
      </c>
      <c r="L3" s="80" t="s">
        <v>1514</v>
      </c>
      <c r="M3" s="80">
        <v>661093233</v>
      </c>
      <c r="N3" s="80" t="s">
        <v>1515</v>
      </c>
      <c r="O3" s="80">
        <v>235</v>
      </c>
      <c r="P3" s="80" t="s">
        <v>1516</v>
      </c>
      <c r="Q3" s="80" t="s">
        <v>54</v>
      </c>
      <c r="R3" s="80" t="s">
        <v>55</v>
      </c>
      <c r="S3" s="80" t="s">
        <v>1517</v>
      </c>
      <c r="T3" s="80" t="s">
        <v>1518</v>
      </c>
      <c r="U3" s="80" t="s">
        <v>1519</v>
      </c>
      <c r="V3" s="80" t="s">
        <v>1520</v>
      </c>
      <c r="W3" s="80" t="s">
        <v>1521</v>
      </c>
      <c r="X3" s="80" t="s">
        <v>55</v>
      </c>
      <c r="Y3" s="80"/>
      <c r="Z3" s="80"/>
      <c r="AA3" s="80"/>
      <c r="AB3" s="80"/>
      <c r="AC3" s="80"/>
      <c r="AD3" s="88"/>
      <c r="AE3" s="88"/>
      <c r="AF3" s="88"/>
      <c r="AG3" s="91"/>
      <c r="AH3" s="91"/>
      <c r="AI3" s="91"/>
      <c r="AJ3" s="76"/>
    </row>
    <row r="4" spans="1:36" ht="12.75">
      <c r="A4" s="73"/>
      <c r="B4" s="73"/>
      <c r="C4" s="73"/>
      <c r="D4" s="73"/>
      <c r="E4" s="73"/>
      <c r="F4" s="73"/>
      <c r="G4" s="73"/>
      <c r="H4" s="73"/>
      <c r="I4" s="73"/>
      <c r="J4" s="73"/>
      <c r="K4" s="73"/>
      <c r="L4" s="73"/>
      <c r="M4" s="73"/>
      <c r="N4" s="73"/>
      <c r="O4" s="73"/>
      <c r="P4" s="73"/>
      <c r="Q4" s="73"/>
      <c r="R4" s="73"/>
      <c r="S4" s="73"/>
      <c r="T4" s="73"/>
      <c r="U4" s="73"/>
      <c r="V4" s="73"/>
      <c r="W4" s="73"/>
      <c r="X4" s="73"/>
      <c r="Y4" s="73"/>
      <c r="Z4" s="73"/>
      <c r="AA4" s="73"/>
      <c r="AB4" s="73"/>
      <c r="AC4" s="73"/>
      <c r="AD4" s="73"/>
      <c r="AE4" s="73"/>
      <c r="AF4" s="73"/>
      <c r="AG4" s="73"/>
      <c r="AH4" s="73"/>
      <c r="AI4" s="73"/>
      <c r="AJ4" s="73"/>
    </row>
    <row r="5" spans="1:36" ht="12.75">
      <c r="A5" s="87"/>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76"/>
      <c r="AI5" s="86"/>
      <c r="AJ5" s="87"/>
    </row>
    <row r="6" spans="1:36" ht="12.75">
      <c r="A6" s="87"/>
      <c r="B6" s="87"/>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c r="AI6" s="86"/>
      <c r="AJ6" s="87"/>
    </row>
    <row r="7" spans="1:36" ht="12.75">
      <c r="A7" s="87"/>
      <c r="B7" s="87"/>
      <c r="C7" s="87"/>
      <c r="D7" s="87"/>
      <c r="E7" s="87"/>
      <c r="F7" s="87"/>
      <c r="G7" s="87"/>
      <c r="H7" s="87"/>
      <c r="I7" s="87"/>
      <c r="J7" s="87"/>
      <c r="K7" s="87"/>
      <c r="L7" s="87"/>
      <c r="M7" s="87"/>
      <c r="N7" s="87"/>
      <c r="O7" s="87"/>
      <c r="P7" s="87"/>
      <c r="Q7" s="87"/>
      <c r="R7" s="87"/>
      <c r="S7" s="87"/>
      <c r="T7" s="87"/>
      <c r="U7" s="87"/>
      <c r="V7" s="87"/>
      <c r="W7" s="87"/>
      <c r="X7" s="87"/>
      <c r="Y7" s="87"/>
      <c r="Z7" s="87"/>
      <c r="AA7" s="87"/>
      <c r="AB7" s="87"/>
      <c r="AC7" s="87"/>
      <c r="AD7" s="87"/>
      <c r="AE7" s="87"/>
      <c r="AF7" s="87"/>
      <c r="AG7" s="87"/>
      <c r="AH7" s="76"/>
      <c r="AI7" s="86"/>
      <c r="AJ7" s="87"/>
    </row>
    <row r="8" spans="1:36" ht="12.75">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87"/>
      <c r="AE8" s="87"/>
      <c r="AF8" s="87"/>
      <c r="AG8" s="87"/>
      <c r="AH8" s="87"/>
      <c r="AI8" s="86"/>
      <c r="AJ8" s="87"/>
    </row>
    <row r="9" spans="1:36" ht="12.75">
      <c r="A9" s="87"/>
      <c r="B9" s="87"/>
      <c r="C9" s="87"/>
      <c r="D9" s="87"/>
      <c r="E9" s="87"/>
      <c r="F9" s="87"/>
      <c r="G9" s="87"/>
      <c r="H9" s="87"/>
      <c r="I9" s="87"/>
      <c r="J9" s="87"/>
      <c r="K9" s="87"/>
      <c r="L9" s="87"/>
      <c r="M9" s="87"/>
      <c r="N9" s="87"/>
      <c r="O9" s="87"/>
      <c r="P9" s="87"/>
      <c r="Q9" s="87"/>
      <c r="R9" s="87"/>
      <c r="S9" s="87"/>
      <c r="T9" s="87"/>
      <c r="U9" s="87"/>
      <c r="V9" s="87"/>
      <c r="W9" s="87"/>
      <c r="X9" s="87"/>
      <c r="Y9" s="87"/>
      <c r="Z9" s="87"/>
      <c r="AA9" s="87"/>
      <c r="AB9" s="87"/>
      <c r="AC9" s="87"/>
      <c r="AD9" s="87"/>
      <c r="AE9" s="87"/>
      <c r="AF9" s="87"/>
      <c r="AG9" s="87"/>
      <c r="AH9" s="76"/>
      <c r="AI9" s="86"/>
      <c r="AJ9" s="87"/>
    </row>
    <row r="10" spans="1:36" ht="12.75">
      <c r="A10" s="87"/>
      <c r="B10" s="87"/>
      <c r="C10" s="87"/>
      <c r="D10" s="87"/>
      <c r="E10" s="87"/>
      <c r="F10" s="87"/>
      <c r="G10" s="87"/>
      <c r="H10" s="87"/>
      <c r="I10" s="87"/>
      <c r="J10" s="87"/>
      <c r="K10" s="87"/>
      <c r="L10" s="87"/>
      <c r="M10" s="87"/>
      <c r="N10" s="87"/>
      <c r="O10" s="87"/>
      <c r="P10" s="87"/>
      <c r="Q10" s="87"/>
      <c r="R10" s="87"/>
      <c r="S10" s="87"/>
      <c r="T10" s="87"/>
      <c r="U10" s="87"/>
      <c r="V10" s="87"/>
      <c r="W10" s="87"/>
      <c r="X10" s="87"/>
      <c r="Y10" s="87"/>
      <c r="Z10" s="87"/>
      <c r="AA10" s="87"/>
      <c r="AB10" s="87"/>
      <c r="AC10" s="87"/>
      <c r="AD10" s="87"/>
      <c r="AE10" s="87"/>
      <c r="AF10" s="87"/>
      <c r="AG10" s="87"/>
      <c r="AH10" s="76"/>
      <c r="AI10" s="86"/>
      <c r="AJ10" s="87"/>
    </row>
    <row r="11" spans="1:36" ht="12.75">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76"/>
      <c r="AI11" s="86"/>
      <c r="AJ11" s="87"/>
    </row>
    <row r="12" spans="1:36" ht="12.75">
      <c r="A12" s="87"/>
      <c r="B12" s="87"/>
      <c r="C12" s="87"/>
      <c r="D12" s="87"/>
      <c r="E12" s="87"/>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c r="AF12" s="87"/>
      <c r="AG12" s="87"/>
      <c r="AH12" s="76"/>
      <c r="AI12" s="86"/>
      <c r="AJ12" s="87"/>
    </row>
    <row r="13" spans="1:36" ht="12.75">
      <c r="A13" s="87"/>
      <c r="B13" s="87"/>
      <c r="C13" s="87"/>
      <c r="D13" s="87"/>
      <c r="E13" s="87"/>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c r="AF13" s="87"/>
      <c r="AG13" s="87"/>
      <c r="AH13" s="76"/>
      <c r="AI13" s="86"/>
      <c r="AJ13" s="87"/>
    </row>
    <row r="14" spans="1:36" ht="12.75">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76"/>
      <c r="AI14" s="86"/>
      <c r="AJ14" s="87"/>
    </row>
    <row r="15" spans="1:36" ht="12.75">
      <c r="A15" s="87"/>
      <c r="B15" s="87"/>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c r="AF15" s="87"/>
      <c r="AG15" s="87"/>
      <c r="AH15" s="87"/>
      <c r="AI15" s="86"/>
      <c r="AJ15" s="87"/>
    </row>
    <row r="16" spans="1:36" ht="12.75">
      <c r="A16" s="87"/>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76"/>
      <c r="AI16" s="86"/>
      <c r="AJ16" s="87"/>
    </row>
    <row r="17" spans="1:36" ht="12.75">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76"/>
      <c r="AI17" s="86"/>
      <c r="AJ17" s="87"/>
    </row>
    <row r="18" spans="1:36" ht="12.75">
      <c r="A18" s="87"/>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c r="AH18" s="87"/>
      <c r="AI18" s="86"/>
      <c r="AJ18" s="87"/>
    </row>
    <row r="19" spans="1:36" ht="12.75">
      <c r="A19" s="87"/>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c r="AH19" s="87"/>
      <c r="AI19" s="86"/>
      <c r="AJ19" s="87"/>
    </row>
    <row r="20" spans="1:36" ht="12.75">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87"/>
      <c r="AI20" s="86"/>
      <c r="AJ20" s="87"/>
    </row>
    <row r="21" spans="1:36" ht="12.75">
      <c r="A21" s="87"/>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c r="AH21" s="87"/>
      <c r="AI21" s="86"/>
      <c r="AJ21" s="87"/>
    </row>
    <row r="22" spans="1:36" ht="12.75">
      <c r="A22" s="87"/>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c r="AH22" s="87"/>
      <c r="AI22" s="86"/>
      <c r="AJ22" s="87"/>
    </row>
    <row r="23" spans="1:36" ht="12.75">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87"/>
      <c r="AI23" s="86"/>
      <c r="AJ23" s="87"/>
    </row>
    <row r="24" spans="1:36" ht="12.7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6"/>
      <c r="AJ24" s="87"/>
    </row>
    <row r="25" spans="1:36" ht="12.75">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c r="AH25" s="87"/>
      <c r="AI25" s="86"/>
      <c r="AJ25" s="87"/>
    </row>
    <row r="26" spans="1:36" ht="12.75">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87"/>
      <c r="AI26" s="86"/>
      <c r="AJ26" s="87"/>
    </row>
    <row r="27" spans="1:36" ht="12.75">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c r="AH27" s="87"/>
      <c r="AI27" s="86"/>
      <c r="AJ27" s="87"/>
    </row>
    <row r="28" spans="1:36" ht="12.75">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c r="AH28" s="87"/>
      <c r="AI28" s="86"/>
      <c r="AJ28" s="87"/>
    </row>
    <row r="29" spans="1:36" ht="12.75">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87"/>
      <c r="AI29" s="86"/>
      <c r="AJ29" s="87"/>
    </row>
    <row r="30" spans="1:36" ht="12.75">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c r="AH30" s="87"/>
      <c r="AI30" s="86"/>
      <c r="AJ30" s="87"/>
    </row>
    <row r="31" spans="1:36" ht="12.75">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c r="AH31" s="87"/>
      <c r="AI31" s="86"/>
      <c r="AJ31" s="87"/>
    </row>
    <row r="32" spans="1:36" ht="12.75">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87"/>
      <c r="AI32" s="86"/>
      <c r="AJ32" s="87"/>
    </row>
    <row r="33" spans="1:36" ht="12.75">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c r="AH33" s="87"/>
      <c r="AI33" s="86"/>
      <c r="AJ33" s="87"/>
    </row>
    <row r="34" spans="1:36" ht="12.75">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c r="AH34" s="87"/>
      <c r="AI34" s="86"/>
      <c r="AJ34" s="87"/>
    </row>
    <row r="35" spans="1:36" ht="12.75">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87"/>
      <c r="AI35" s="86"/>
      <c r="AJ35" s="87"/>
    </row>
    <row r="36" spans="1:36" ht="12.75">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c r="AH36" s="87"/>
      <c r="AI36" s="86"/>
      <c r="AJ36" s="87"/>
    </row>
    <row r="37" spans="1:36" ht="12.75">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c r="AH37" s="87"/>
      <c r="AI37" s="86"/>
      <c r="AJ37" s="87"/>
    </row>
    <row r="38" spans="1:36" ht="12.75">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87"/>
      <c r="AI38" s="86"/>
      <c r="AJ38" s="87"/>
    </row>
    <row r="39" spans="1:36" ht="12.75">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c r="AH39" s="87"/>
      <c r="AI39" s="86"/>
      <c r="AJ39" s="87"/>
    </row>
    <row r="40" spans="1:36" ht="12.7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6"/>
      <c r="AJ40" s="87"/>
    </row>
    <row r="41" spans="1:36" ht="12.7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87"/>
      <c r="AI41" s="86"/>
      <c r="AJ41" s="87"/>
    </row>
    <row r="42" spans="1:36" ht="12.7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c r="AH42" s="87"/>
      <c r="AI42" s="86"/>
      <c r="AJ42" s="87"/>
    </row>
    <row r="43" spans="1:36" ht="12.7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c r="AH43" s="87"/>
      <c r="AI43" s="86"/>
      <c r="AJ43" s="87"/>
    </row>
    <row r="44" spans="1:36" ht="12.75">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6"/>
      <c r="AJ44" s="87"/>
    </row>
    <row r="45" spans="1:36" ht="12.75">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c r="AH45" s="87"/>
      <c r="AI45" s="86"/>
      <c r="AJ45" s="87"/>
    </row>
    <row r="46" spans="1:36" ht="12.7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c r="AH46" s="87"/>
      <c r="AI46" s="86"/>
      <c r="AJ46" s="87"/>
    </row>
    <row r="47" spans="1:36" ht="12.75">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86"/>
      <c r="AJ47" s="87"/>
    </row>
    <row r="48" spans="1:36" ht="12.75">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c r="AH48" s="87"/>
      <c r="AI48" s="86"/>
      <c r="AJ48" s="87"/>
    </row>
    <row r="49" spans="1:36" ht="12.7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c r="AH49" s="87"/>
      <c r="AI49" s="86"/>
      <c r="AJ49" s="87"/>
    </row>
    <row r="50" spans="1:36" ht="12.75">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6"/>
      <c r="AJ50" s="87"/>
    </row>
    <row r="51" spans="1:36" ht="12.75">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c r="AH51" s="87"/>
      <c r="AI51" s="86"/>
      <c r="AJ51" s="87"/>
    </row>
    <row r="52" spans="1:36" ht="12.75">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c r="AH52" s="87"/>
      <c r="AI52" s="86"/>
      <c r="AJ52" s="87"/>
    </row>
    <row r="53" spans="1:36" ht="12.75">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87"/>
      <c r="AI53" s="86"/>
      <c r="AJ53" s="87"/>
    </row>
    <row r="54" spans="1:36" ht="12.75">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c r="AH54" s="87"/>
      <c r="AI54" s="86"/>
      <c r="AJ54" s="87"/>
    </row>
    <row r="55" spans="1:36" ht="12.7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c r="AH55" s="87"/>
      <c r="AI55" s="86"/>
      <c r="AJ55" s="87"/>
    </row>
    <row r="56" spans="1:36" ht="12.75">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87"/>
      <c r="AI56" s="86"/>
      <c r="AJ56" s="87"/>
    </row>
    <row r="57" spans="1:36" ht="12.75">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c r="AH57" s="87"/>
      <c r="AI57" s="86"/>
      <c r="AJ57" s="87"/>
    </row>
    <row r="58" spans="1:36" ht="12.75">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c r="AH58" s="87"/>
      <c r="AI58" s="86"/>
      <c r="AJ58" s="87"/>
    </row>
    <row r="59" spans="1:36" ht="12.75">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87"/>
      <c r="AI59" s="86"/>
      <c r="AJ59" s="87"/>
    </row>
    <row r="60" spans="1:36" ht="12.75">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c r="AH60" s="87"/>
      <c r="AI60" s="86"/>
      <c r="AJ60" s="87"/>
    </row>
    <row r="61" spans="1:36" ht="12.75">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c r="AH61" s="87"/>
      <c r="AI61" s="86"/>
      <c r="AJ61" s="87"/>
    </row>
    <row r="62" spans="1:36" ht="12.75">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87"/>
      <c r="AI62" s="86"/>
      <c r="AJ62" s="87"/>
    </row>
    <row r="63" spans="1:36" ht="12.75">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c r="AH63" s="87"/>
      <c r="AI63" s="86"/>
      <c r="AJ63" s="87"/>
    </row>
    <row r="64" spans="1:36" ht="12.75">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c r="AH64" s="87"/>
      <c r="AI64" s="86"/>
      <c r="AJ64" s="87"/>
    </row>
    <row r="65" spans="1:36" ht="12.75">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87"/>
      <c r="AI65" s="86"/>
      <c r="AJ65" s="87"/>
    </row>
    <row r="66" spans="1:36" ht="12.75">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c r="AH66" s="87"/>
      <c r="AI66" s="86"/>
      <c r="AJ66" s="87"/>
    </row>
    <row r="67" spans="1:36" ht="12.75">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c r="AH67" s="87"/>
      <c r="AI67" s="86"/>
      <c r="AJ67" s="87"/>
    </row>
    <row r="68" spans="1:36" ht="12.75">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87"/>
      <c r="AI68" s="86"/>
      <c r="AJ68" s="87"/>
    </row>
    <row r="69" spans="1:36" ht="12.75">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c r="AH69" s="87"/>
      <c r="AI69" s="86"/>
      <c r="AJ69" s="87"/>
    </row>
    <row r="70" spans="1:36" ht="12.75">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c r="AH70" s="87"/>
      <c r="AI70" s="86"/>
      <c r="AJ70" s="87"/>
    </row>
    <row r="71" spans="1:36" ht="12.75">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c r="AH71" s="87"/>
      <c r="AI71" s="86"/>
      <c r="AJ71" s="87"/>
    </row>
    <row r="72" spans="1:36" ht="12.75">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c r="AH72" s="87"/>
      <c r="AI72" s="86"/>
      <c r="AJ72" s="87"/>
    </row>
    <row r="73" spans="1:36" ht="12.75">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c r="AH73" s="87"/>
      <c r="AI73" s="86"/>
      <c r="AJ73" s="87"/>
    </row>
    <row r="74" spans="1:36" ht="12.75">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c r="AH74" s="87"/>
      <c r="AI74" s="86"/>
      <c r="AJ74" s="87"/>
    </row>
    <row r="75" spans="1:36" ht="12.7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c r="AH75" s="87"/>
      <c r="AI75" s="86"/>
      <c r="AJ75" s="87"/>
    </row>
    <row r="76" spans="1:36" ht="12.7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c r="AH76" s="87"/>
      <c r="AI76" s="86"/>
      <c r="AJ76" s="87"/>
    </row>
    <row r="77" spans="1:36" ht="12.7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c r="AH77" s="87"/>
      <c r="AI77" s="86"/>
      <c r="AJ77" s="87"/>
    </row>
    <row r="78" spans="1:36" ht="12.7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c r="AH78" s="87"/>
      <c r="AI78" s="86"/>
      <c r="AJ78" s="87"/>
    </row>
    <row r="79" spans="1:36" ht="12.75">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c r="AH79" s="87"/>
      <c r="AI79" s="86"/>
      <c r="AJ79" s="87"/>
    </row>
    <row r="80" spans="1:36" ht="12.75">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c r="AH80" s="87"/>
      <c r="AI80" s="86"/>
      <c r="AJ80" s="87"/>
    </row>
    <row r="81" spans="1:36" ht="12.7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c r="AH81" s="87"/>
      <c r="AI81" s="86"/>
      <c r="AJ81" s="87"/>
    </row>
    <row r="82" spans="1:36" ht="12.75">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c r="AH82" s="87"/>
      <c r="AI82" s="86"/>
      <c r="AJ82" s="87"/>
    </row>
    <row r="83" spans="1:36" ht="12.75">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c r="AH83" s="87"/>
      <c r="AI83" s="86"/>
      <c r="AJ83" s="87"/>
    </row>
    <row r="84" spans="1:36" ht="12.75">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c r="AH84" s="87"/>
      <c r="AI84" s="86"/>
      <c r="AJ84" s="87"/>
    </row>
    <row r="85" spans="1:36" ht="12.75">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c r="AH85" s="87"/>
      <c r="AI85" s="86"/>
      <c r="AJ85" s="87"/>
    </row>
    <row r="86" spans="1:36" ht="12.75">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c r="AH86" s="87"/>
      <c r="AI86" s="86"/>
      <c r="AJ86" s="87"/>
    </row>
    <row r="87" spans="1:36" ht="12.75">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c r="AH87" s="87"/>
      <c r="AI87" s="86"/>
      <c r="AJ87" s="87"/>
    </row>
    <row r="88" spans="1:36" ht="12.75">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c r="AH88" s="87"/>
      <c r="AI88" s="86"/>
      <c r="AJ88" s="87"/>
    </row>
    <row r="89" spans="1:36" ht="12.75">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c r="AH89" s="87"/>
      <c r="AI89" s="86"/>
      <c r="AJ89" s="87"/>
    </row>
    <row r="90" spans="1:36" ht="12.75">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c r="AH90" s="87"/>
      <c r="AI90" s="86"/>
      <c r="AJ90" s="87"/>
    </row>
    <row r="91" spans="1:36" ht="12.7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c r="AH91" s="87"/>
      <c r="AI91" s="86"/>
      <c r="AJ91" s="87"/>
    </row>
    <row r="92" spans="1:36" ht="12.75">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c r="AH92" s="87"/>
      <c r="AI92" s="86"/>
      <c r="AJ92" s="87"/>
    </row>
    <row r="93" spans="1:36" ht="12.75">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c r="AH93" s="87"/>
      <c r="AI93" s="86"/>
      <c r="AJ93" s="87"/>
    </row>
    <row r="94" spans="1:36" ht="12.75">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c r="AH94" s="87"/>
      <c r="AI94" s="86"/>
      <c r="AJ94" s="87"/>
    </row>
    <row r="95" spans="1:36" ht="12.75">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c r="AH95" s="87"/>
      <c r="AI95" s="86"/>
      <c r="AJ95" s="87"/>
    </row>
    <row r="96" spans="1:36" ht="12.75">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c r="AH96" s="87"/>
      <c r="AI96" s="86"/>
      <c r="AJ96" s="87"/>
    </row>
    <row r="97" spans="1:36" ht="12.75">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c r="AH97" s="87"/>
      <c r="AI97" s="86"/>
      <c r="AJ97" s="87"/>
    </row>
    <row r="98" spans="1:36" ht="12.75">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c r="AH98" s="87"/>
      <c r="AI98" s="86"/>
      <c r="AJ98" s="87"/>
    </row>
    <row r="99" spans="1:36" ht="12.75">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c r="AH99" s="87"/>
      <c r="AI99" s="86"/>
      <c r="AJ99" s="87"/>
    </row>
    <row r="100" spans="1:36" ht="12.7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c r="AH100" s="87"/>
      <c r="AI100" s="86"/>
      <c r="AJ100" s="87"/>
    </row>
    <row r="101" spans="1:36" ht="12.75">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c r="AH101" s="87"/>
      <c r="AI101" s="86"/>
      <c r="AJ101" s="87"/>
    </row>
    <row r="102" spans="1:36" ht="12.75">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c r="AH102" s="87"/>
      <c r="AI102" s="86"/>
      <c r="AJ102" s="87"/>
    </row>
    <row r="103" spans="1:36" ht="12.75">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c r="AH103" s="87"/>
      <c r="AI103" s="86"/>
      <c r="AJ103" s="87"/>
    </row>
    <row r="104" spans="1:36" ht="12.7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c r="AH104" s="87"/>
      <c r="AI104" s="86"/>
      <c r="AJ104" s="87"/>
    </row>
    <row r="105" spans="1:36" ht="12.75">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c r="AH105" s="87"/>
      <c r="AI105" s="86"/>
      <c r="AJ105" s="87"/>
    </row>
    <row r="106" spans="1:36" ht="12.75">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c r="AH106" s="87"/>
      <c r="AI106" s="86"/>
      <c r="AJ106" s="87"/>
    </row>
    <row r="107" spans="1:36" ht="12.75">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c r="AH107" s="87"/>
      <c r="AI107" s="86"/>
      <c r="AJ107" s="87"/>
    </row>
    <row r="108" spans="1:36" ht="12.7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c r="AH108" s="87"/>
      <c r="AI108" s="86"/>
      <c r="AJ108" s="87"/>
    </row>
    <row r="109" spans="1:36" ht="12.7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c r="AH109" s="87"/>
      <c r="AI109" s="86"/>
      <c r="AJ109" s="87"/>
    </row>
    <row r="110" spans="1:36" ht="12.7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c r="AH110" s="87"/>
      <c r="AI110" s="86"/>
      <c r="AJ110" s="87"/>
    </row>
    <row r="111" spans="1:36" ht="12.7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c r="AH111" s="87"/>
      <c r="AI111" s="86"/>
      <c r="AJ111" s="87"/>
    </row>
    <row r="112" spans="1:36" ht="12.7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c r="AH112" s="87"/>
      <c r="AI112" s="86"/>
      <c r="AJ112" s="87"/>
    </row>
    <row r="113" spans="1:36" ht="12.7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c r="AH113" s="87"/>
      <c r="AI113" s="86"/>
      <c r="AJ113" s="87"/>
    </row>
    <row r="114" spans="1:36" ht="12.7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c r="AH114" s="87"/>
      <c r="AI114" s="86"/>
      <c r="AJ114" s="87"/>
    </row>
    <row r="115" spans="1:36" ht="12.7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c r="AH115" s="87"/>
      <c r="AI115" s="86"/>
      <c r="AJ115" s="87"/>
    </row>
    <row r="116" spans="1:36" ht="12.7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c r="AH116" s="87"/>
      <c r="AI116" s="86"/>
      <c r="AJ116" s="87"/>
    </row>
    <row r="117" spans="1:36" ht="12.7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c r="AH117" s="87"/>
      <c r="AI117" s="86"/>
      <c r="AJ117" s="87"/>
    </row>
    <row r="118" spans="1:36" ht="12.7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c r="AH118" s="87"/>
      <c r="AI118" s="86"/>
      <c r="AJ118" s="87"/>
    </row>
    <row r="119" spans="1:36" ht="12.7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c r="AH119" s="87"/>
      <c r="AI119" s="86"/>
      <c r="AJ119" s="87"/>
    </row>
    <row r="120" spans="1:36" ht="12.7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c r="AH120" s="87"/>
      <c r="AI120" s="86"/>
      <c r="AJ120" s="87"/>
    </row>
    <row r="121" spans="1:36" ht="12.7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c r="AH121" s="87"/>
      <c r="AI121" s="86"/>
      <c r="AJ121" s="87"/>
    </row>
    <row r="122" spans="1:36" ht="12.7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c r="AH122" s="87"/>
      <c r="AI122" s="86"/>
      <c r="AJ122" s="87"/>
    </row>
    <row r="123" spans="1:36" ht="12.7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c r="AH123" s="87"/>
      <c r="AI123" s="86"/>
      <c r="AJ123" s="87"/>
    </row>
    <row r="124" spans="1:36" ht="12.7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c r="AH124" s="87"/>
      <c r="AI124" s="86"/>
      <c r="AJ124" s="87"/>
    </row>
    <row r="125" spans="1:36" ht="12.7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c r="AH125" s="87"/>
      <c r="AI125" s="86"/>
      <c r="AJ125" s="87"/>
    </row>
    <row r="126" spans="1:36" ht="12.7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c r="AH126" s="87"/>
      <c r="AI126" s="86"/>
      <c r="AJ126" s="87"/>
    </row>
    <row r="127" spans="1:36" ht="12.7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c r="AH127" s="87"/>
      <c r="AI127" s="86"/>
      <c r="AJ127" s="87"/>
    </row>
    <row r="128" spans="1:36" ht="12.7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c r="AH128" s="87"/>
      <c r="AI128" s="86"/>
      <c r="AJ128" s="87"/>
    </row>
    <row r="129" spans="1:36" ht="12.7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c r="AH129" s="87"/>
      <c r="AI129" s="86"/>
      <c r="AJ129" s="87"/>
    </row>
    <row r="130" spans="1:36" ht="12.7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c r="AH130" s="87"/>
      <c r="AI130" s="86"/>
      <c r="AJ130" s="87"/>
    </row>
    <row r="131" spans="1:36" ht="12.7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6"/>
      <c r="AJ131" s="87"/>
    </row>
    <row r="132" spans="1:36" ht="12.7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c r="AH132" s="87"/>
      <c r="AI132" s="86"/>
      <c r="AJ132" s="87"/>
    </row>
    <row r="133" spans="1:36" ht="12.7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c r="AH133" s="87"/>
      <c r="AI133" s="86"/>
      <c r="AJ133" s="87"/>
    </row>
    <row r="134" spans="1:36" ht="12.7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c r="AH134" s="87"/>
      <c r="AI134" s="86"/>
      <c r="AJ134" s="87"/>
    </row>
    <row r="135" spans="1:36" ht="12.7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c r="AH135" s="87"/>
      <c r="AI135" s="86"/>
      <c r="AJ135" s="87"/>
    </row>
    <row r="136" spans="1:36" ht="12.7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c r="AH136" s="87"/>
      <c r="AI136" s="86"/>
      <c r="AJ136" s="87"/>
    </row>
    <row r="137" spans="1:36" ht="12.7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c r="AH137" s="87"/>
      <c r="AI137" s="86"/>
      <c r="AJ137" s="87"/>
    </row>
    <row r="138" spans="1:36" ht="12.7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c r="AH138" s="87"/>
      <c r="AI138" s="86"/>
      <c r="AJ138" s="87"/>
    </row>
    <row r="139" spans="1:36" ht="12.7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c r="AH139" s="87"/>
      <c r="AI139" s="86"/>
      <c r="AJ139" s="87"/>
    </row>
    <row r="140" spans="1:36" ht="12.7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c r="AH140" s="87"/>
      <c r="AI140" s="86"/>
      <c r="AJ140" s="87"/>
    </row>
    <row r="141" spans="1:36" ht="12.7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c r="AH141" s="87"/>
      <c r="AI141" s="86"/>
      <c r="AJ141" s="87"/>
    </row>
    <row r="142" spans="1:36" ht="12.7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c r="AH142" s="87"/>
      <c r="AI142" s="86"/>
      <c r="AJ142" s="87"/>
    </row>
    <row r="143" spans="1:36" ht="12.7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c r="AH143" s="87"/>
      <c r="AI143" s="86"/>
      <c r="AJ143" s="87"/>
    </row>
    <row r="144" spans="1:36" ht="12.7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c r="AH144" s="87"/>
      <c r="AI144" s="86"/>
      <c r="AJ144" s="87"/>
    </row>
    <row r="145" spans="1:36" ht="12.7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c r="AH145" s="87"/>
      <c r="AI145" s="86"/>
      <c r="AJ145" s="87"/>
    </row>
    <row r="146" spans="1:36" ht="12.7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c r="AH146" s="87"/>
      <c r="AI146" s="86"/>
      <c r="AJ146" s="87"/>
    </row>
    <row r="147" spans="1:36" ht="12.75">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c r="AH147" s="87"/>
      <c r="AI147" s="86"/>
      <c r="AJ147" s="87"/>
    </row>
    <row r="148" spans="1:36" ht="12.75">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c r="AH148" s="87"/>
      <c r="AI148" s="86"/>
      <c r="AJ148" s="87"/>
    </row>
    <row r="149" spans="1:36" ht="12.75">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c r="AH149" s="87"/>
      <c r="AI149" s="86"/>
      <c r="AJ149" s="87"/>
    </row>
    <row r="150" spans="1:36" ht="12.75">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c r="AH150" s="87"/>
      <c r="AI150" s="86"/>
      <c r="AJ150" s="87"/>
    </row>
    <row r="151" spans="1:36" ht="12.7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c r="AH151" s="87"/>
      <c r="AI151" s="86"/>
      <c r="AJ151" s="87"/>
    </row>
    <row r="152" spans="1:36" ht="12.75">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c r="AH152" s="87"/>
      <c r="AI152" s="86"/>
      <c r="AJ152" s="87"/>
    </row>
    <row r="153" spans="1:36" ht="12.75">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c r="AH153" s="87"/>
      <c r="AI153" s="86"/>
      <c r="AJ153" s="87"/>
    </row>
    <row r="154" spans="1:36" ht="12.75">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c r="AH154" s="87"/>
      <c r="AI154" s="86"/>
      <c r="AJ154" s="87"/>
    </row>
    <row r="155" spans="1:36" ht="12.75">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c r="AH155" s="87"/>
      <c r="AI155" s="86"/>
      <c r="AJ155" s="87"/>
    </row>
    <row r="156" spans="1:36" ht="12.75">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c r="AH156" s="87"/>
      <c r="AI156" s="86"/>
      <c r="AJ156" s="87"/>
    </row>
    <row r="157" spans="1:36" ht="12.75">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c r="AH157" s="87"/>
      <c r="AI157" s="86"/>
      <c r="AJ157" s="87"/>
    </row>
    <row r="158" spans="1:36" ht="12.75">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c r="AH158" s="87"/>
      <c r="AI158" s="86"/>
      <c r="AJ158" s="87"/>
    </row>
    <row r="159" spans="1:36" ht="12.75">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c r="AH159" s="87"/>
      <c r="AI159" s="86"/>
      <c r="AJ159" s="87"/>
    </row>
    <row r="160" spans="1:36" ht="12.75">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c r="AH160" s="87"/>
      <c r="AI160" s="86"/>
      <c r="AJ160" s="87"/>
    </row>
    <row r="161" spans="1:36" ht="12.75">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c r="AH161" s="87"/>
      <c r="AI161" s="86"/>
      <c r="AJ161" s="87"/>
    </row>
    <row r="162" spans="1:36" ht="12.75">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c r="AH162" s="87"/>
      <c r="AI162" s="86"/>
      <c r="AJ162" s="87"/>
    </row>
    <row r="163" spans="1:36" ht="12.7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c r="AH163" s="87"/>
      <c r="AI163" s="86"/>
      <c r="AJ163" s="87"/>
    </row>
    <row r="164" spans="1:36" ht="12.75">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c r="AH164" s="87"/>
      <c r="AI164" s="86"/>
      <c r="AJ164" s="87"/>
    </row>
    <row r="165" spans="1:36" ht="12.75">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c r="AH165" s="87"/>
      <c r="AI165" s="86"/>
      <c r="AJ165" s="87"/>
    </row>
    <row r="166" spans="1:36" ht="12.75">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c r="AH166" s="87"/>
      <c r="AI166" s="86"/>
      <c r="AJ166" s="87"/>
    </row>
    <row r="167" spans="1:36" ht="12.75">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c r="AH167" s="87"/>
      <c r="AI167" s="86"/>
      <c r="AJ167" s="87"/>
    </row>
    <row r="168" spans="1:36" ht="12.75">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c r="AH168" s="87"/>
      <c r="AI168" s="86"/>
      <c r="AJ168" s="87"/>
    </row>
    <row r="169" spans="1:36" ht="12.75">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c r="AH169" s="87"/>
      <c r="AI169" s="86"/>
      <c r="AJ169" s="87"/>
    </row>
    <row r="170" spans="1:36" ht="12.75">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c r="AH170" s="87"/>
      <c r="AI170" s="86"/>
      <c r="AJ170" s="87"/>
    </row>
    <row r="171" spans="1:36" ht="12.75">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c r="AH171" s="87"/>
      <c r="AI171" s="86"/>
      <c r="AJ171" s="87"/>
    </row>
    <row r="172" spans="1:36" ht="12.75">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c r="AH172" s="87"/>
      <c r="AI172" s="86"/>
      <c r="AJ172" s="87"/>
    </row>
    <row r="173" spans="1:36" ht="12.75">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c r="AH173" s="87"/>
      <c r="AI173" s="86"/>
      <c r="AJ173" s="87"/>
    </row>
    <row r="174" spans="1:36" ht="12.75">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c r="AH174" s="87"/>
      <c r="AI174" s="86"/>
      <c r="AJ174" s="87"/>
    </row>
    <row r="175" spans="1:36" ht="12.75">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c r="AH175" s="87"/>
      <c r="AI175" s="86"/>
      <c r="AJ175" s="87"/>
    </row>
    <row r="176" spans="1:36" ht="12.75">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c r="AH176" s="87"/>
      <c r="AI176" s="86"/>
      <c r="AJ176" s="87"/>
    </row>
    <row r="177" spans="1:36" ht="12.75">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c r="AH177" s="87"/>
      <c r="AI177" s="86"/>
      <c r="AJ177" s="87"/>
    </row>
    <row r="178" spans="1:36" ht="12.75">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c r="AH178" s="87"/>
      <c r="AI178" s="86"/>
      <c r="AJ178" s="87"/>
    </row>
    <row r="179" spans="1:36" ht="12.75">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c r="AH179" s="87"/>
      <c r="AI179" s="86"/>
      <c r="AJ179" s="87"/>
    </row>
    <row r="180" spans="1:36" ht="12.75">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c r="AH180" s="87"/>
      <c r="AI180" s="86"/>
      <c r="AJ180" s="87"/>
    </row>
    <row r="181" spans="1:36" ht="12.75">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c r="AH181" s="87"/>
      <c r="AI181" s="86"/>
      <c r="AJ181" s="87"/>
    </row>
    <row r="182" spans="1:36" ht="12.75">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c r="AH182" s="87"/>
      <c r="AI182" s="86"/>
      <c r="AJ182" s="87"/>
    </row>
    <row r="183" spans="1:36" ht="12.75">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c r="AH183" s="87"/>
      <c r="AI183" s="86"/>
      <c r="AJ183" s="87"/>
    </row>
    <row r="184" spans="1:36" ht="12.75">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c r="AH184" s="87"/>
      <c r="AI184" s="86"/>
      <c r="AJ184" s="87"/>
    </row>
    <row r="185" spans="1:36" ht="12.75">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c r="AH185" s="87"/>
      <c r="AI185" s="86"/>
      <c r="AJ185" s="87"/>
    </row>
    <row r="186" spans="1:36" ht="12.75">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c r="AH186" s="87"/>
      <c r="AI186" s="86"/>
      <c r="AJ186" s="87"/>
    </row>
    <row r="187" spans="1:36" ht="12.75">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c r="AH187" s="87"/>
      <c r="AI187" s="86"/>
      <c r="AJ187" s="87"/>
    </row>
    <row r="188" spans="1:36" ht="12.75">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c r="AH188" s="87"/>
      <c r="AI188" s="86"/>
      <c r="AJ188" s="87"/>
    </row>
    <row r="189" spans="1:36" ht="12.75">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c r="AH189" s="87"/>
      <c r="AI189" s="86"/>
      <c r="AJ189" s="87"/>
    </row>
    <row r="190" spans="1:36" ht="12.75">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c r="AH190" s="87"/>
      <c r="AI190" s="86"/>
      <c r="AJ190" s="87"/>
    </row>
    <row r="191" spans="1:36" ht="12.75">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c r="AH191" s="87"/>
      <c r="AI191" s="86"/>
      <c r="AJ191" s="87"/>
    </row>
    <row r="192" spans="1:36" ht="12.75">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c r="AH192" s="87"/>
      <c r="AI192" s="86"/>
      <c r="AJ192" s="87"/>
    </row>
    <row r="193" spans="1:36" ht="12.75">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c r="AH193" s="87"/>
      <c r="AI193" s="86"/>
      <c r="AJ193" s="87"/>
    </row>
    <row r="194" spans="1:36" ht="12.75">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c r="AH194" s="87"/>
      <c r="AI194" s="86"/>
      <c r="AJ194" s="87"/>
    </row>
    <row r="195" spans="1:36" ht="12.75">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c r="AH195" s="87"/>
      <c r="AI195" s="86"/>
      <c r="AJ195" s="87"/>
    </row>
    <row r="196" spans="1:36" ht="12.75">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c r="AH196" s="87"/>
      <c r="AI196" s="86"/>
      <c r="AJ196" s="87"/>
    </row>
    <row r="197" spans="1:36" ht="12.75">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c r="AH197" s="87"/>
      <c r="AI197" s="86"/>
      <c r="AJ197" s="87"/>
    </row>
    <row r="198" spans="1:36" ht="12.75">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c r="AH198" s="87"/>
      <c r="AI198" s="86"/>
      <c r="AJ198" s="87"/>
    </row>
    <row r="199" spans="1:36" ht="12.75">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c r="AH199" s="87"/>
      <c r="AI199" s="86"/>
      <c r="AJ199" s="87"/>
    </row>
    <row r="200" spans="1:36" ht="12.75">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c r="AH200" s="87"/>
      <c r="AI200" s="86"/>
      <c r="AJ200" s="87"/>
    </row>
    <row r="201" spans="1:36" ht="12.75">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c r="AH201" s="87"/>
      <c r="AI201" s="86"/>
      <c r="AJ201" s="87"/>
    </row>
    <row r="202" spans="1:36" ht="12.75">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c r="AH202" s="87"/>
      <c r="AI202" s="86"/>
      <c r="AJ202" s="87"/>
    </row>
    <row r="203" spans="1:36" ht="12.75">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c r="AH203" s="87"/>
      <c r="AI203" s="86"/>
      <c r="AJ203" s="87"/>
    </row>
    <row r="204" spans="1:36" ht="12.75">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c r="AH204" s="87"/>
      <c r="AI204" s="86"/>
      <c r="AJ204" s="87"/>
    </row>
    <row r="205" spans="1:36" ht="12.75">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c r="AH205" s="87"/>
      <c r="AI205" s="86"/>
      <c r="AJ205" s="87"/>
    </row>
    <row r="206" spans="1:36" ht="12.75">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c r="AH206" s="87"/>
      <c r="AI206" s="86"/>
      <c r="AJ206" s="87"/>
    </row>
    <row r="207" spans="1:36" ht="12.75">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c r="AH207" s="87"/>
      <c r="AI207" s="86"/>
      <c r="AJ207" s="87"/>
    </row>
    <row r="208" spans="1:36" ht="12.75">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c r="AH208" s="87"/>
      <c r="AI208" s="86"/>
      <c r="AJ208" s="87"/>
    </row>
    <row r="209" spans="1:36" ht="12.75">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c r="AH209" s="87"/>
      <c r="AI209" s="86"/>
      <c r="AJ209" s="87"/>
    </row>
    <row r="210" spans="1:36" ht="12.75">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c r="AH210" s="87"/>
      <c r="AI210" s="86"/>
      <c r="AJ210" s="87"/>
    </row>
    <row r="211" spans="1:36" ht="12.75">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c r="AH211" s="87"/>
      <c r="AI211" s="86"/>
      <c r="AJ211" s="87"/>
    </row>
    <row r="212" spans="1:36" ht="12.75">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c r="AH212" s="87"/>
      <c r="AI212" s="86"/>
      <c r="AJ212" s="87"/>
    </row>
    <row r="213" spans="1:36" ht="12.75">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c r="AH213" s="87"/>
      <c r="AI213" s="86"/>
      <c r="AJ213" s="87"/>
    </row>
    <row r="214" spans="1:36" ht="12.75">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c r="AH214" s="87"/>
      <c r="AI214" s="86"/>
      <c r="AJ214" s="87"/>
    </row>
    <row r="215" spans="1:36" ht="12.75">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c r="AH215" s="87"/>
      <c r="AI215" s="86"/>
      <c r="AJ215" s="87"/>
    </row>
    <row r="216" spans="1:36" ht="12.75">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c r="AH216" s="87"/>
      <c r="AI216" s="86"/>
      <c r="AJ216" s="87"/>
    </row>
    <row r="217" spans="1:36" ht="12.75">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c r="AH217" s="87"/>
      <c r="AI217" s="86"/>
      <c r="AJ217" s="87"/>
    </row>
    <row r="218" spans="1:36" ht="12.75">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c r="AH218" s="87"/>
      <c r="AI218" s="86"/>
      <c r="AJ218" s="87"/>
    </row>
    <row r="219" spans="1:36" ht="12.75">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c r="AH219" s="87"/>
      <c r="AI219" s="86"/>
      <c r="AJ219" s="87"/>
    </row>
    <row r="220" spans="1:36" ht="12.75">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c r="AH220" s="87"/>
      <c r="AI220" s="86"/>
      <c r="AJ220" s="87"/>
    </row>
    <row r="221" spans="1:36" ht="12.7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c r="AH221" s="87"/>
      <c r="AI221" s="86"/>
      <c r="AJ221" s="87"/>
    </row>
    <row r="222" spans="1:36" ht="12.7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c r="AH222" s="87"/>
      <c r="AI222" s="86"/>
      <c r="AJ222" s="87"/>
    </row>
    <row r="223" spans="1:36" ht="12.7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c r="AH223" s="87"/>
      <c r="AI223" s="86"/>
      <c r="AJ223" s="87"/>
    </row>
    <row r="224" spans="1:36" ht="12.7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c r="AH224" s="87"/>
      <c r="AI224" s="86"/>
      <c r="AJ224" s="87"/>
    </row>
    <row r="225" spans="1:36" ht="12.7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c r="AH225" s="87"/>
      <c r="AI225" s="86"/>
      <c r="AJ225" s="87"/>
    </row>
    <row r="226" spans="1:36" ht="12.7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c r="AH226" s="87"/>
      <c r="AI226" s="86"/>
      <c r="AJ226" s="87"/>
    </row>
    <row r="227" spans="1:36" ht="12.7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c r="AH227" s="87"/>
      <c r="AI227" s="86"/>
      <c r="AJ227" s="87"/>
    </row>
    <row r="228" spans="1:36" ht="12.7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c r="AH228" s="87"/>
      <c r="AI228" s="86"/>
      <c r="AJ228" s="87"/>
    </row>
    <row r="229" spans="1:36" ht="12.7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c r="AH229" s="87"/>
      <c r="AI229" s="86"/>
      <c r="AJ229" s="87"/>
    </row>
    <row r="230" spans="1:36" ht="12.7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c r="AH230" s="87"/>
      <c r="AI230" s="86"/>
      <c r="AJ230" s="87"/>
    </row>
    <row r="231" spans="1:36" ht="12.7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c r="AH231" s="87"/>
      <c r="AI231" s="86"/>
      <c r="AJ231" s="87"/>
    </row>
    <row r="232" spans="1:36" ht="12.7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c r="AH232" s="87"/>
      <c r="AI232" s="86"/>
      <c r="AJ232" s="87"/>
    </row>
    <row r="233" spans="1:36" ht="12.7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c r="AH233" s="87"/>
      <c r="AI233" s="86"/>
      <c r="AJ233" s="87"/>
    </row>
    <row r="234" spans="1:36" ht="12.7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c r="AH234" s="87"/>
      <c r="AI234" s="86"/>
      <c r="AJ234" s="87"/>
    </row>
    <row r="235" spans="1:36" ht="12.7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c r="AH235" s="87"/>
      <c r="AI235" s="86"/>
      <c r="AJ235" s="87"/>
    </row>
    <row r="236" spans="1:36" ht="12.7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c r="AH236" s="87"/>
      <c r="AI236" s="86"/>
      <c r="AJ236" s="87"/>
    </row>
    <row r="237" spans="1:36" ht="12.7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c r="AH237" s="87"/>
      <c r="AI237" s="86"/>
      <c r="AJ237" s="87"/>
    </row>
    <row r="238" spans="1:36" ht="12.7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c r="AH238" s="87"/>
      <c r="AI238" s="86"/>
      <c r="AJ238" s="87"/>
    </row>
    <row r="239" spans="1:36" ht="12.7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c r="AH239" s="87"/>
      <c r="AI239" s="86"/>
      <c r="AJ239" s="87"/>
    </row>
    <row r="240" spans="1:36" ht="12.7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c r="AH240" s="87"/>
      <c r="AI240" s="86"/>
      <c r="AJ240" s="87"/>
    </row>
    <row r="241" spans="1:36" ht="12.7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c r="AH241" s="87"/>
      <c r="AI241" s="86"/>
      <c r="AJ241" s="87"/>
    </row>
    <row r="242" spans="1:36" ht="12.7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c r="AH242" s="87"/>
      <c r="AI242" s="86"/>
      <c r="AJ242" s="87"/>
    </row>
    <row r="243" spans="1:36" ht="12.7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c r="AH243" s="87"/>
      <c r="AI243" s="86"/>
      <c r="AJ243" s="87"/>
    </row>
    <row r="244" spans="1:36" ht="12.7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c r="AH244" s="87"/>
      <c r="AI244" s="86"/>
      <c r="AJ244" s="87"/>
    </row>
    <row r="245" spans="1:36" ht="12.7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c r="AH245" s="87"/>
      <c r="AI245" s="86"/>
      <c r="AJ245" s="87"/>
    </row>
    <row r="246" spans="1:36" ht="12.7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c r="AH246" s="87"/>
      <c r="AI246" s="86"/>
      <c r="AJ246" s="87"/>
    </row>
    <row r="247" spans="1:36" ht="12.7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c r="AH247" s="87"/>
      <c r="AI247" s="86"/>
      <c r="AJ247" s="87"/>
    </row>
    <row r="248" spans="1:36" ht="12.7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c r="AH248" s="87"/>
      <c r="AI248" s="86"/>
      <c r="AJ248" s="87"/>
    </row>
    <row r="249" spans="1:36" ht="12.7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c r="AH249" s="87"/>
      <c r="AI249" s="86"/>
      <c r="AJ249" s="87"/>
    </row>
    <row r="250" spans="1:36" ht="12.7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c r="AH250" s="87"/>
      <c r="AI250" s="86"/>
      <c r="AJ250" s="87"/>
    </row>
    <row r="251" spans="1:36" ht="12.7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c r="AH251" s="87"/>
      <c r="AI251" s="86"/>
      <c r="AJ251" s="87"/>
    </row>
    <row r="252" spans="1:36" ht="12.7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6"/>
      <c r="AJ252" s="87"/>
    </row>
    <row r="253" spans="1:36" ht="12.7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6"/>
      <c r="AJ253" s="87"/>
    </row>
    <row r="254" spans="1:36" ht="12.7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c r="AH254" s="87"/>
      <c r="AI254" s="86"/>
      <c r="AJ254" s="87"/>
    </row>
    <row r="255" spans="1:36" ht="12.7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6"/>
      <c r="AJ255" s="87"/>
    </row>
    <row r="256" spans="1:36" ht="12.7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c r="AH256" s="87"/>
      <c r="AI256" s="86"/>
      <c r="AJ256" s="87"/>
    </row>
    <row r="257" spans="1:36" ht="12.7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c r="AH257" s="87"/>
      <c r="AI257" s="86"/>
      <c r="AJ257" s="87"/>
    </row>
    <row r="258" spans="1:36" ht="12.7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c r="AH258" s="87"/>
      <c r="AI258" s="86"/>
      <c r="AJ258" s="87"/>
    </row>
    <row r="259" spans="1:36" ht="12.7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c r="AH259" s="87"/>
      <c r="AI259" s="86"/>
      <c r="AJ259" s="87"/>
    </row>
    <row r="260" spans="1:36" ht="12.7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c r="AH260" s="87"/>
      <c r="AI260" s="86"/>
      <c r="AJ260" s="87"/>
    </row>
    <row r="261" spans="1:36" ht="12.7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c r="AH261" s="87"/>
      <c r="AI261" s="86"/>
      <c r="AJ261" s="87"/>
    </row>
    <row r="262" spans="1:36" ht="12.7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c r="AH262" s="87"/>
      <c r="AI262" s="86"/>
      <c r="AJ262" s="87"/>
    </row>
    <row r="263" spans="1:36" ht="12.7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c r="AH263" s="87"/>
      <c r="AI263" s="86"/>
      <c r="AJ263" s="87"/>
    </row>
    <row r="264" spans="1:36" ht="12.7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c r="AH264" s="87"/>
      <c r="AI264" s="86"/>
      <c r="AJ264" s="87"/>
    </row>
    <row r="265" spans="1:36" ht="12.7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c r="AH265" s="87"/>
      <c r="AI265" s="86"/>
      <c r="AJ265" s="87"/>
    </row>
    <row r="266" spans="1:36" ht="12.7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c r="AH266" s="87"/>
      <c r="AI266" s="86"/>
      <c r="AJ266" s="87"/>
    </row>
    <row r="267" spans="1:36" ht="12.7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c r="AH267" s="87"/>
      <c r="AI267" s="86"/>
      <c r="AJ267" s="87"/>
    </row>
    <row r="268" spans="1:36" ht="12.7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c r="AH268" s="87"/>
      <c r="AI268" s="86"/>
      <c r="AJ268" s="87"/>
    </row>
    <row r="269" spans="1:36" ht="12.7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c r="AH269" s="87"/>
      <c r="AI269" s="86"/>
      <c r="AJ269" s="87"/>
    </row>
    <row r="270" spans="1:36" ht="12.7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c r="AH270" s="87"/>
      <c r="AI270" s="86"/>
      <c r="AJ270" s="87"/>
    </row>
    <row r="271" spans="1:36" ht="12.7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c r="AH271" s="87"/>
      <c r="AI271" s="86"/>
      <c r="AJ271" s="87"/>
    </row>
    <row r="272" spans="1:36" ht="12.7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c r="AH272" s="87"/>
      <c r="AI272" s="86"/>
      <c r="AJ272" s="87"/>
    </row>
    <row r="273" spans="1:36" ht="12.7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c r="AH273" s="87"/>
      <c r="AI273" s="86"/>
      <c r="AJ273" s="87"/>
    </row>
    <row r="274" spans="1:36" ht="12.7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c r="AH274" s="87"/>
      <c r="AI274" s="86"/>
      <c r="AJ274" s="87"/>
    </row>
    <row r="275" spans="1:36" ht="12.7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c r="AH275" s="87"/>
      <c r="AI275" s="86"/>
      <c r="AJ275" s="87"/>
    </row>
    <row r="276" spans="1:36" ht="12.7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c r="AH276" s="87"/>
      <c r="AI276" s="86"/>
      <c r="AJ276" s="87"/>
    </row>
    <row r="277" spans="1:36" ht="12.7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c r="AH277" s="87"/>
      <c r="AI277" s="86"/>
      <c r="AJ277" s="87"/>
    </row>
    <row r="278" spans="1:36" ht="12.7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c r="AH278" s="87"/>
      <c r="AI278" s="86"/>
      <c r="AJ278" s="87"/>
    </row>
    <row r="279" spans="1:36" ht="12.7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c r="AH279" s="87"/>
      <c r="AI279" s="86"/>
      <c r="AJ279" s="87"/>
    </row>
    <row r="280" spans="1:36" ht="12.7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c r="AH280" s="87"/>
      <c r="AI280" s="86"/>
      <c r="AJ280" s="87"/>
    </row>
    <row r="281" spans="1:36" ht="12.7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c r="AH281" s="87"/>
      <c r="AI281" s="86"/>
      <c r="AJ281" s="87"/>
    </row>
    <row r="282" spans="1:36" ht="12.7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c r="AH282" s="87"/>
      <c r="AI282" s="86"/>
      <c r="AJ282" s="87"/>
    </row>
    <row r="283" spans="1:36" ht="12.7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c r="AH283" s="87"/>
      <c r="AI283" s="86"/>
      <c r="AJ283" s="87"/>
    </row>
    <row r="284" spans="1:36" ht="12.7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c r="AH284" s="87"/>
      <c r="AI284" s="86"/>
      <c r="AJ284" s="87"/>
    </row>
    <row r="285" spans="1:36" ht="12.7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c r="AH285" s="87"/>
      <c r="AI285" s="86"/>
      <c r="AJ285" s="87"/>
    </row>
    <row r="286" spans="1:36" ht="12.7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c r="AH286" s="87"/>
      <c r="AI286" s="86"/>
      <c r="AJ286" s="87"/>
    </row>
    <row r="287" spans="1:36" ht="12.7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c r="AH287" s="87"/>
      <c r="AI287" s="86"/>
      <c r="AJ287" s="87"/>
    </row>
    <row r="288" spans="1:36" ht="12.7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c r="AH288" s="87"/>
      <c r="AI288" s="86"/>
      <c r="AJ288" s="87"/>
    </row>
    <row r="289" spans="1:36" ht="12.7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c r="AH289" s="87"/>
      <c r="AI289" s="86"/>
      <c r="AJ289" s="87"/>
    </row>
    <row r="290" spans="1:36" ht="12.7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c r="AH290" s="87"/>
      <c r="AI290" s="86"/>
      <c r="AJ290" s="87"/>
    </row>
    <row r="291" spans="1:36" ht="12.7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c r="AH291" s="87"/>
      <c r="AI291" s="86"/>
      <c r="AJ291" s="87"/>
    </row>
    <row r="292" spans="1:36" ht="12.7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c r="AH292" s="87"/>
      <c r="AI292" s="86"/>
      <c r="AJ292" s="87"/>
    </row>
    <row r="293" spans="1:36" ht="12.7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c r="AH293" s="87"/>
      <c r="AI293" s="86"/>
      <c r="AJ293" s="87"/>
    </row>
    <row r="294" spans="1:36" ht="12.7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c r="AH294" s="87"/>
      <c r="AI294" s="86"/>
      <c r="AJ294" s="87"/>
    </row>
    <row r="295" spans="1:36" ht="12.7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c r="AH295" s="87"/>
      <c r="AI295" s="86"/>
      <c r="AJ295" s="87"/>
    </row>
    <row r="296" spans="1:36" ht="12.7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c r="AH296" s="87"/>
      <c r="AI296" s="86"/>
      <c r="AJ296" s="87"/>
    </row>
    <row r="297" spans="1:36" ht="12.7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c r="AH297" s="87"/>
      <c r="AI297" s="86"/>
      <c r="AJ297" s="87"/>
    </row>
    <row r="298" spans="1:36" ht="12.7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c r="AH298" s="87"/>
      <c r="AI298" s="86"/>
      <c r="AJ298" s="87"/>
    </row>
    <row r="299" spans="1:36" ht="12.7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c r="AH299" s="87"/>
      <c r="AI299" s="86"/>
      <c r="AJ299" s="87"/>
    </row>
    <row r="300" spans="1:36" ht="12.7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c r="AH300" s="87"/>
      <c r="AI300" s="86"/>
      <c r="AJ300" s="87"/>
    </row>
    <row r="301" spans="1:36" ht="12.7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c r="AH301" s="87"/>
      <c r="AI301" s="86"/>
      <c r="AJ301" s="87"/>
    </row>
    <row r="302" spans="1:36" ht="12.7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c r="AH302" s="87"/>
      <c r="AI302" s="86"/>
      <c r="AJ302" s="87"/>
    </row>
    <row r="303" spans="1:36" ht="12.7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c r="AH303" s="87"/>
      <c r="AI303" s="86"/>
      <c r="AJ303" s="87"/>
    </row>
    <row r="304" spans="1:36" ht="12.7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c r="AH304" s="87"/>
      <c r="AI304" s="86"/>
      <c r="AJ304" s="87"/>
    </row>
    <row r="305" spans="1:36" ht="12.7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c r="AH305" s="87"/>
      <c r="AI305" s="86"/>
      <c r="AJ305" s="87"/>
    </row>
    <row r="306" spans="1:36" ht="12.7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c r="AH306" s="87"/>
      <c r="AI306" s="86"/>
      <c r="AJ306" s="87"/>
    </row>
    <row r="307" spans="1:36" ht="12.7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c r="AH307" s="87"/>
      <c r="AI307" s="86"/>
      <c r="AJ307" s="87"/>
    </row>
    <row r="308" spans="1:36" ht="12.7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c r="AH308" s="87"/>
      <c r="AI308" s="86"/>
      <c r="AJ308" s="87"/>
    </row>
    <row r="309" spans="1:36" ht="12.7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c r="AH309" s="87"/>
      <c r="AI309" s="86"/>
      <c r="AJ309" s="87"/>
    </row>
    <row r="310" spans="1:36" ht="12.7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c r="AH310" s="87"/>
      <c r="AI310" s="86"/>
      <c r="AJ310" s="87"/>
    </row>
    <row r="311" spans="1:36" ht="12.7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c r="AH311" s="87"/>
      <c r="AI311" s="86"/>
      <c r="AJ311" s="87"/>
    </row>
    <row r="312" spans="1:36" ht="12.7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c r="AH312" s="87"/>
      <c r="AI312" s="86"/>
      <c r="AJ312" s="87"/>
    </row>
    <row r="313" spans="1:36" ht="12.7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c r="AH313" s="87"/>
      <c r="AI313" s="86"/>
      <c r="AJ313" s="87"/>
    </row>
    <row r="314" spans="1:36" ht="12.7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c r="AH314" s="87"/>
      <c r="AI314" s="86"/>
      <c r="AJ314" s="87"/>
    </row>
    <row r="315" spans="1:36" ht="12.7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c r="AH315" s="87"/>
      <c r="AI315" s="86"/>
      <c r="AJ315" s="87"/>
    </row>
    <row r="316" spans="1:36" ht="12.7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c r="AH316" s="87"/>
      <c r="AI316" s="86"/>
      <c r="AJ316" s="87"/>
    </row>
    <row r="317" spans="1:36" ht="12.7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c r="AH317" s="87"/>
      <c r="AI317" s="86"/>
      <c r="AJ317" s="87"/>
    </row>
    <row r="318" spans="1:36" ht="12.7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c r="AH318" s="87"/>
      <c r="AI318" s="86"/>
      <c r="AJ318" s="87"/>
    </row>
    <row r="319" spans="1:36" ht="12.7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c r="AH319" s="87"/>
      <c r="AI319" s="86"/>
      <c r="AJ319" s="87"/>
    </row>
    <row r="320" spans="1:36" ht="12.7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c r="AH320" s="87"/>
      <c r="AI320" s="86"/>
      <c r="AJ320" s="87"/>
    </row>
    <row r="321" spans="1:36" ht="12.7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c r="AH321" s="87"/>
      <c r="AI321" s="86"/>
      <c r="AJ321" s="87"/>
    </row>
    <row r="322" spans="1:36" ht="12.7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c r="AH322" s="87"/>
      <c r="AI322" s="86"/>
      <c r="AJ322" s="87"/>
    </row>
    <row r="323" spans="1:36" ht="12.7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c r="AH323" s="87"/>
      <c r="AI323" s="86"/>
      <c r="AJ323" s="87"/>
    </row>
    <row r="324" spans="1:36" ht="12.7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c r="AH324" s="87"/>
      <c r="AI324" s="86"/>
      <c r="AJ324" s="87"/>
    </row>
    <row r="325" spans="1:36" ht="12.7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c r="AH325" s="87"/>
      <c r="AI325" s="86"/>
      <c r="AJ325" s="87"/>
    </row>
    <row r="326" spans="1:36" ht="12.7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c r="AH326" s="87"/>
      <c r="AI326" s="86"/>
      <c r="AJ326" s="87"/>
    </row>
    <row r="327" spans="1:36" ht="12.7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c r="AH327" s="87"/>
      <c r="AI327" s="86"/>
      <c r="AJ327" s="87"/>
    </row>
    <row r="328" spans="1:36" ht="12.7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c r="AH328" s="87"/>
      <c r="AI328" s="86"/>
      <c r="AJ328" s="87"/>
    </row>
    <row r="329" spans="1:36" ht="12.7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c r="AH329" s="87"/>
      <c r="AI329" s="86"/>
      <c r="AJ329" s="87"/>
    </row>
    <row r="330" spans="1:36" ht="12.7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c r="AH330" s="87"/>
      <c r="AI330" s="86"/>
      <c r="AJ330" s="87"/>
    </row>
    <row r="331" spans="1:36" ht="12.7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c r="AH331" s="87"/>
      <c r="AI331" s="86"/>
      <c r="AJ331" s="87"/>
    </row>
    <row r="332" spans="1:36" ht="12.7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c r="AH332" s="87"/>
      <c r="AI332" s="86"/>
      <c r="AJ332" s="87"/>
    </row>
    <row r="333" spans="1:36" ht="12.7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c r="AH333" s="87"/>
      <c r="AI333" s="86"/>
      <c r="AJ333" s="87"/>
    </row>
    <row r="334" spans="1:36" ht="12.7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c r="AH334" s="87"/>
      <c r="AI334" s="86"/>
      <c r="AJ334" s="87"/>
    </row>
    <row r="335" spans="1:36" ht="12.7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c r="AH335" s="87"/>
      <c r="AI335" s="86"/>
      <c r="AJ335" s="87"/>
    </row>
    <row r="336" spans="1:36" ht="12.7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c r="AH336" s="87"/>
      <c r="AI336" s="86"/>
      <c r="AJ336" s="87"/>
    </row>
    <row r="337" spans="1:36" ht="12.7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c r="AH337" s="87"/>
      <c r="AI337" s="86"/>
      <c r="AJ337" s="87"/>
    </row>
    <row r="338" spans="1:36" ht="12.7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c r="AH338" s="87"/>
      <c r="AI338" s="86"/>
      <c r="AJ338" s="87"/>
    </row>
    <row r="339" spans="1:36" ht="12.7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c r="AH339" s="87"/>
      <c r="AI339" s="86"/>
      <c r="AJ339" s="87"/>
    </row>
    <row r="340" spans="1:36" ht="12.7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c r="AH340" s="87"/>
      <c r="AI340" s="86"/>
      <c r="AJ340" s="87"/>
    </row>
    <row r="341" spans="1:36" ht="12.7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c r="AH341" s="87"/>
      <c r="AI341" s="86"/>
      <c r="AJ341" s="87"/>
    </row>
    <row r="342" spans="1:36" ht="12.7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c r="AH342" s="87"/>
      <c r="AI342" s="86"/>
      <c r="AJ342" s="87"/>
    </row>
    <row r="343" spans="1:36" ht="12.7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c r="AH343" s="87"/>
      <c r="AI343" s="86"/>
      <c r="AJ343" s="87"/>
    </row>
    <row r="344" spans="1:36" ht="12.7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c r="AH344" s="87"/>
      <c r="AI344" s="86"/>
      <c r="AJ344" s="87"/>
    </row>
    <row r="345" spans="1:36" ht="12.7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c r="AH345" s="87"/>
      <c r="AI345" s="86"/>
      <c r="AJ345" s="87"/>
    </row>
    <row r="346" spans="1:36" ht="12.7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c r="AH346" s="87"/>
      <c r="AI346" s="86"/>
      <c r="AJ346" s="87"/>
    </row>
    <row r="347" spans="1:36" ht="12.7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c r="AH347" s="87"/>
      <c r="AI347" s="86"/>
      <c r="AJ347" s="87"/>
    </row>
    <row r="348" spans="1:36" ht="12.7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c r="AH348" s="87"/>
      <c r="AI348" s="86"/>
      <c r="AJ348" s="87"/>
    </row>
    <row r="349" spans="1:36" ht="12.7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c r="AH349" s="87"/>
      <c r="AI349" s="86"/>
      <c r="AJ349" s="87"/>
    </row>
    <row r="350" spans="1:36" ht="12.7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c r="AH350" s="87"/>
      <c r="AI350" s="86"/>
      <c r="AJ350" s="87"/>
    </row>
    <row r="351" spans="1:36" ht="12.7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c r="AH351" s="87"/>
      <c r="AI351" s="86"/>
      <c r="AJ351" s="87"/>
    </row>
    <row r="352" spans="1:36" ht="12.7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c r="AH352" s="87"/>
      <c r="AI352" s="86"/>
      <c r="AJ352" s="87"/>
    </row>
    <row r="353" spans="1:36" ht="12.7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c r="AH353" s="87"/>
      <c r="AI353" s="86"/>
      <c r="AJ353" s="87"/>
    </row>
    <row r="354" spans="1:36" ht="12.7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c r="AH354" s="87"/>
      <c r="AI354" s="86"/>
      <c r="AJ354" s="87"/>
    </row>
    <row r="355" spans="1:36" ht="12.7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c r="AH355" s="87"/>
      <c r="AI355" s="86"/>
      <c r="AJ355" s="87"/>
    </row>
    <row r="356" spans="1:36" ht="12.7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c r="AH356" s="87"/>
      <c r="AI356" s="86"/>
      <c r="AJ356" s="87"/>
    </row>
    <row r="357" spans="1:36" ht="12.7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c r="AH357" s="87"/>
      <c r="AI357" s="86"/>
      <c r="AJ357" s="87"/>
    </row>
    <row r="358" spans="1:36" ht="12.7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c r="AH358" s="87"/>
      <c r="AI358" s="86"/>
      <c r="AJ358" s="87"/>
    </row>
    <row r="359" spans="1:36" ht="12.7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c r="AH359" s="87"/>
      <c r="AI359" s="86"/>
      <c r="AJ359" s="87"/>
    </row>
    <row r="360" spans="1:36" ht="12.7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c r="AH360" s="87"/>
      <c r="AI360" s="86"/>
      <c r="AJ360" s="87"/>
    </row>
    <row r="361" spans="1:36" ht="12.7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c r="AH361" s="87"/>
      <c r="AI361" s="86"/>
      <c r="AJ361" s="87"/>
    </row>
    <row r="362" spans="1:36" ht="12.7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c r="AH362" s="87"/>
      <c r="AI362" s="86"/>
      <c r="AJ362" s="87"/>
    </row>
    <row r="363" spans="1:36" ht="12.7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c r="AH363" s="87"/>
      <c r="AI363" s="86"/>
      <c r="AJ363" s="87"/>
    </row>
    <row r="364" spans="1:36" ht="12.7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c r="AH364" s="87"/>
      <c r="AI364" s="86"/>
      <c r="AJ364" s="87"/>
    </row>
    <row r="365" spans="1:36" ht="12.7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c r="AH365" s="87"/>
      <c r="AI365" s="86"/>
      <c r="AJ365" s="87"/>
    </row>
    <row r="366" spans="1:36" ht="12.7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c r="AH366" s="87"/>
      <c r="AI366" s="86"/>
      <c r="AJ366" s="87"/>
    </row>
    <row r="367" spans="1:36" ht="12.7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c r="AH367" s="87"/>
      <c r="AI367" s="86"/>
      <c r="AJ367" s="87"/>
    </row>
    <row r="368" spans="1:36" ht="12.7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c r="AH368" s="87"/>
      <c r="AI368" s="86"/>
      <c r="AJ368" s="87"/>
    </row>
    <row r="369" spans="1:36" ht="12.7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c r="AH369" s="87"/>
      <c r="AI369" s="86"/>
      <c r="AJ369" s="87"/>
    </row>
    <row r="370" spans="1:36" ht="12.7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c r="AH370" s="87"/>
      <c r="AI370" s="86"/>
      <c r="AJ370" s="87"/>
    </row>
    <row r="371" spans="1:36" ht="12.7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c r="AH371" s="87"/>
      <c r="AI371" s="86"/>
      <c r="AJ371" s="87"/>
    </row>
    <row r="372" spans="1:36" ht="12.7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c r="AH372" s="87"/>
      <c r="AI372" s="86"/>
      <c r="AJ372" s="87"/>
    </row>
    <row r="373" spans="1:36" ht="12.7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c r="AH373" s="87"/>
      <c r="AI373" s="86"/>
      <c r="AJ373" s="87"/>
    </row>
    <row r="374" spans="1:36" ht="12.7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c r="AH374" s="87"/>
      <c r="AI374" s="86"/>
      <c r="AJ374" s="87"/>
    </row>
    <row r="375" spans="1:36" ht="12.7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c r="AH375" s="87"/>
      <c r="AI375" s="86"/>
      <c r="AJ375" s="87"/>
    </row>
    <row r="376" spans="1:36" ht="12.7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c r="AH376" s="87"/>
      <c r="AI376" s="86"/>
      <c r="AJ376" s="87"/>
    </row>
    <row r="377" spans="1:36" ht="12.7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c r="AH377" s="87"/>
      <c r="AI377" s="86"/>
      <c r="AJ377" s="87"/>
    </row>
    <row r="378" spans="1:36" ht="12.7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c r="AH378" s="87"/>
      <c r="AI378" s="86"/>
      <c r="AJ378" s="87"/>
    </row>
    <row r="379" spans="1:36" ht="12.7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c r="AH379" s="87"/>
      <c r="AI379" s="86"/>
      <c r="AJ379" s="87"/>
    </row>
    <row r="380" spans="1:36" ht="12.7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c r="AH380" s="87"/>
      <c r="AI380" s="86"/>
      <c r="AJ380" s="87"/>
    </row>
    <row r="381" spans="1:36" ht="12.7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c r="AH381" s="87"/>
      <c r="AI381" s="86"/>
      <c r="AJ381" s="87"/>
    </row>
    <row r="382" spans="1:36" ht="12.7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c r="AH382" s="87"/>
      <c r="AI382" s="86"/>
      <c r="AJ382" s="87"/>
    </row>
    <row r="383" spans="1:36" ht="12.7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c r="AH383" s="87"/>
      <c r="AI383" s="86"/>
      <c r="AJ383" s="87"/>
    </row>
    <row r="384" spans="1:36" ht="12.7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c r="AH384" s="87"/>
      <c r="AI384" s="86"/>
      <c r="AJ384" s="87"/>
    </row>
    <row r="385" spans="1:36" ht="12.7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c r="AH385" s="87"/>
      <c r="AI385" s="86"/>
      <c r="AJ385" s="87"/>
    </row>
    <row r="386" spans="1:36" ht="12.7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c r="AH386" s="87"/>
      <c r="AI386" s="86"/>
      <c r="AJ386" s="87"/>
    </row>
    <row r="387" spans="1:36" ht="12.7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c r="AH387" s="87"/>
      <c r="AI387" s="86"/>
      <c r="AJ387" s="87"/>
    </row>
    <row r="388" spans="1:36" ht="12.7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c r="AH388" s="87"/>
      <c r="AI388" s="86"/>
      <c r="AJ388" s="87"/>
    </row>
    <row r="389" spans="1:36" ht="12.7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c r="AH389" s="87"/>
      <c r="AI389" s="86"/>
      <c r="AJ389" s="87"/>
    </row>
    <row r="390" spans="1:36" ht="12.7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c r="AH390" s="87"/>
      <c r="AI390" s="86"/>
      <c r="AJ390" s="87"/>
    </row>
    <row r="391" spans="1:36" ht="12.7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c r="AH391" s="87"/>
      <c r="AI391" s="86"/>
      <c r="AJ391" s="87"/>
    </row>
    <row r="392" spans="1:36" ht="12.7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c r="AH392" s="87"/>
      <c r="AI392" s="86"/>
      <c r="AJ392" s="87"/>
    </row>
    <row r="393" spans="1:36" ht="12.7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c r="AH393" s="87"/>
      <c r="AI393" s="86"/>
      <c r="AJ393" s="87"/>
    </row>
    <row r="394" spans="1:36" ht="12.7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c r="AH394" s="87"/>
      <c r="AI394" s="86"/>
      <c r="AJ394" s="87"/>
    </row>
    <row r="395" spans="1:36" ht="12.7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c r="AH395" s="87"/>
      <c r="AI395" s="86"/>
      <c r="AJ395" s="87"/>
    </row>
    <row r="396" spans="1:36" ht="12.7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c r="AH396" s="87"/>
      <c r="AI396" s="86"/>
      <c r="AJ396" s="87"/>
    </row>
    <row r="397" spans="1:36" ht="12.7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c r="AH397" s="87"/>
      <c r="AI397" s="86"/>
      <c r="AJ397" s="87"/>
    </row>
    <row r="398" spans="1:36" ht="12.7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c r="AH398" s="87"/>
      <c r="AI398" s="86"/>
      <c r="AJ398" s="87"/>
    </row>
    <row r="399" spans="1:36" ht="12.7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c r="AH399" s="87"/>
      <c r="AI399" s="86"/>
      <c r="AJ399" s="87"/>
    </row>
    <row r="400" spans="1:36" ht="12.7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c r="AH400" s="87"/>
      <c r="AI400" s="86"/>
      <c r="AJ400" s="87"/>
    </row>
    <row r="401" spans="1:36" ht="12.7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c r="AH401" s="87"/>
      <c r="AI401" s="86"/>
      <c r="AJ401" s="87"/>
    </row>
    <row r="402" spans="1:36" ht="12.7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c r="AH402" s="87"/>
      <c r="AI402" s="86"/>
      <c r="AJ402" s="87"/>
    </row>
    <row r="403" spans="1:36" ht="12.7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c r="AH403" s="87"/>
      <c r="AI403" s="86"/>
      <c r="AJ403" s="87"/>
    </row>
    <row r="404" spans="1:36" ht="12.7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6"/>
      <c r="AJ404" s="87"/>
    </row>
    <row r="405" spans="1:36" ht="12.7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c r="AH405" s="87"/>
      <c r="AI405" s="86"/>
      <c r="AJ405" s="87"/>
    </row>
    <row r="406" spans="1:36" ht="12.7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c r="AH406" s="87"/>
      <c r="AI406" s="86"/>
      <c r="AJ406" s="87"/>
    </row>
    <row r="407" spans="1:36" ht="12.7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c r="AH407" s="87"/>
      <c r="AI407" s="86"/>
      <c r="AJ407" s="87"/>
    </row>
    <row r="408" spans="1:36" ht="12.7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c r="AH408" s="87"/>
      <c r="AI408" s="86"/>
      <c r="AJ408" s="87"/>
    </row>
    <row r="409" spans="1:36" ht="12.7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c r="AH409" s="87"/>
      <c r="AI409" s="86"/>
      <c r="AJ409" s="87"/>
    </row>
    <row r="410" spans="1:36" ht="12.7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c r="AH410" s="87"/>
      <c r="AI410" s="86"/>
      <c r="AJ410" s="87"/>
    </row>
    <row r="411" spans="1:36" ht="12.7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c r="AH411" s="87"/>
      <c r="AI411" s="86"/>
      <c r="AJ411" s="87"/>
    </row>
    <row r="412" spans="1:36" ht="12.7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c r="AH412" s="87"/>
      <c r="AI412" s="86"/>
      <c r="AJ412" s="87"/>
    </row>
    <row r="413" spans="1:36" ht="12.7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c r="AH413" s="87"/>
      <c r="AI413" s="86"/>
      <c r="AJ413" s="87"/>
    </row>
    <row r="414" spans="1:36" ht="12.7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c r="AH414" s="87"/>
      <c r="AI414" s="86"/>
      <c r="AJ414" s="87"/>
    </row>
    <row r="415" spans="1:36" ht="12.7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c r="AH415" s="87"/>
      <c r="AI415" s="86"/>
      <c r="AJ415" s="87"/>
    </row>
    <row r="416" spans="1:36" ht="12.7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c r="AH416" s="87"/>
      <c r="AI416" s="86"/>
      <c r="AJ416" s="87"/>
    </row>
    <row r="417" spans="1:36" ht="12.7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c r="AH417" s="87"/>
      <c r="AI417" s="86"/>
      <c r="AJ417" s="87"/>
    </row>
    <row r="418" spans="1:36" ht="12.7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c r="AH418" s="87"/>
      <c r="AI418" s="86"/>
      <c r="AJ418" s="87"/>
    </row>
    <row r="419" spans="1:36" ht="12.7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c r="AH419" s="87"/>
      <c r="AI419" s="86"/>
      <c r="AJ419" s="87"/>
    </row>
    <row r="420" spans="1:36" ht="12.7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c r="AH420" s="87"/>
      <c r="AI420" s="86"/>
      <c r="AJ420" s="87"/>
    </row>
    <row r="421" spans="1:36" ht="12.7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c r="AH421" s="87"/>
      <c r="AI421" s="86"/>
      <c r="AJ421" s="87"/>
    </row>
    <row r="422" spans="1:36" ht="12.7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c r="AH422" s="87"/>
      <c r="AI422" s="86"/>
      <c r="AJ422" s="87"/>
    </row>
    <row r="423" spans="1:36" ht="12.7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c r="AH423" s="87"/>
      <c r="AI423" s="86"/>
      <c r="AJ423" s="87"/>
    </row>
    <row r="424" spans="1:36" ht="12.7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c r="AH424" s="87"/>
      <c r="AI424" s="86"/>
      <c r="AJ424" s="87"/>
    </row>
    <row r="425" spans="1:36" ht="12.7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c r="AH425" s="87"/>
      <c r="AI425" s="86"/>
      <c r="AJ425" s="87"/>
    </row>
    <row r="426" spans="1:36" ht="12.7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c r="AH426" s="87"/>
      <c r="AI426" s="86"/>
      <c r="AJ426" s="87"/>
    </row>
    <row r="427" spans="1:36" ht="12.7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c r="AH427" s="87"/>
      <c r="AI427" s="86"/>
      <c r="AJ427" s="87"/>
    </row>
    <row r="428" spans="1:36" ht="12.7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c r="AH428" s="87"/>
      <c r="AI428" s="86"/>
      <c r="AJ428" s="87"/>
    </row>
    <row r="429" spans="1:36" ht="12.7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c r="AH429" s="87"/>
      <c r="AI429" s="86"/>
      <c r="AJ429" s="87"/>
    </row>
    <row r="430" spans="1:36" ht="12.7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c r="AH430" s="87"/>
      <c r="AI430" s="86"/>
      <c r="AJ430" s="87"/>
    </row>
    <row r="431" spans="1:36" ht="12.7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c r="AH431" s="87"/>
      <c r="AI431" s="86"/>
      <c r="AJ431" s="87"/>
    </row>
    <row r="432" spans="1:36" ht="12.7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c r="AH432" s="87"/>
      <c r="AI432" s="86"/>
      <c r="AJ432" s="87"/>
    </row>
    <row r="433" spans="1:36" ht="12.7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c r="AH433" s="87"/>
      <c r="AI433" s="86"/>
      <c r="AJ433" s="87"/>
    </row>
    <row r="434" spans="1:36" ht="12.7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c r="AH434" s="87"/>
      <c r="AI434" s="86"/>
      <c r="AJ434" s="87"/>
    </row>
    <row r="435" spans="1:36" ht="12.7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c r="AH435" s="87"/>
      <c r="AI435" s="86"/>
      <c r="AJ435" s="87"/>
    </row>
    <row r="436" spans="1:36" ht="12.7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c r="AH436" s="87"/>
      <c r="AI436" s="86"/>
      <c r="AJ436" s="87"/>
    </row>
    <row r="437" spans="1:36" ht="12.7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c r="AH437" s="87"/>
      <c r="AI437" s="86"/>
      <c r="AJ437" s="87"/>
    </row>
    <row r="438" spans="1:36" ht="12.7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c r="AH438" s="87"/>
      <c r="AI438" s="86"/>
      <c r="AJ438" s="87"/>
    </row>
    <row r="439" spans="1:36" ht="12.7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c r="AH439" s="87"/>
      <c r="AI439" s="86"/>
      <c r="AJ439" s="87"/>
    </row>
    <row r="440" spans="1:36" ht="12.7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c r="AH440" s="87"/>
      <c r="AI440" s="86"/>
      <c r="AJ440" s="87"/>
    </row>
    <row r="441" spans="1:36" ht="12.7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c r="AH441" s="87"/>
      <c r="AI441" s="86"/>
      <c r="AJ441" s="87"/>
    </row>
    <row r="442" spans="1:36" ht="12.7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c r="AH442" s="87"/>
      <c r="AI442" s="86"/>
      <c r="AJ442" s="87"/>
    </row>
    <row r="443" spans="1:36" ht="12.7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c r="AH443" s="87"/>
      <c r="AI443" s="86"/>
      <c r="AJ443" s="87"/>
    </row>
    <row r="444" spans="1:36" ht="12.7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c r="AH444" s="87"/>
      <c r="AI444" s="86"/>
      <c r="AJ444" s="87"/>
    </row>
    <row r="445" spans="1:36" ht="12.7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c r="AH445" s="87"/>
      <c r="AI445" s="86"/>
      <c r="AJ445" s="87"/>
    </row>
    <row r="446" spans="1:36" ht="12.7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c r="AH446" s="87"/>
      <c r="AI446" s="86"/>
      <c r="AJ446" s="87"/>
    </row>
    <row r="447" spans="1:36" ht="12.7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c r="AH447" s="87"/>
      <c r="AI447" s="86"/>
      <c r="AJ447" s="87"/>
    </row>
    <row r="448" spans="1:36" ht="12.7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c r="AH448" s="87"/>
      <c r="AI448" s="86"/>
      <c r="AJ448" s="87"/>
    </row>
    <row r="449" spans="1:36" ht="12.7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6"/>
      <c r="AJ449" s="87"/>
    </row>
    <row r="450" spans="1:36" ht="12.7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6"/>
      <c r="AJ450" s="87"/>
    </row>
    <row r="451" spans="1:36" ht="12.7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c r="AH451" s="87"/>
      <c r="AI451" s="86"/>
      <c r="AJ451" s="87"/>
    </row>
    <row r="452" spans="1:36" ht="12.7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c r="AH452" s="87"/>
      <c r="AI452" s="86"/>
      <c r="AJ452" s="87"/>
    </row>
    <row r="453" spans="1:36" ht="12.7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c r="AH453" s="87"/>
      <c r="AI453" s="86"/>
      <c r="AJ453" s="87"/>
    </row>
    <row r="454" spans="1:36" ht="12.7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c r="AH454" s="87"/>
      <c r="AI454" s="86"/>
      <c r="AJ454" s="87"/>
    </row>
    <row r="455" spans="1:36" ht="12.7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c r="AH455" s="87"/>
      <c r="AI455" s="86"/>
      <c r="AJ455" s="87"/>
    </row>
    <row r="456" spans="1:36" ht="12.7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c r="AH456" s="87"/>
      <c r="AI456" s="86"/>
      <c r="AJ456" s="87"/>
    </row>
    <row r="457" spans="1:36" ht="12.7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c r="AH457" s="87"/>
      <c r="AI457" s="86"/>
      <c r="AJ457" s="87"/>
    </row>
    <row r="458" spans="1:36" ht="12.7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c r="AH458" s="87"/>
      <c r="AI458" s="86"/>
      <c r="AJ458" s="87"/>
    </row>
    <row r="459" spans="1:36" ht="12.7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c r="AH459" s="87"/>
      <c r="AI459" s="86"/>
      <c r="AJ459" s="87"/>
    </row>
    <row r="460" spans="1:36" ht="12.7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c r="AH460" s="87"/>
      <c r="AI460" s="86"/>
      <c r="AJ460" s="87"/>
    </row>
    <row r="461" spans="1:36" ht="12.7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c r="AH461" s="87"/>
      <c r="AI461" s="86"/>
      <c r="AJ461" s="87"/>
    </row>
    <row r="462" spans="1:36" ht="12.7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c r="AH462" s="87"/>
      <c r="AI462" s="86"/>
      <c r="AJ462" s="87"/>
    </row>
    <row r="463" spans="1:36" ht="12.7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c r="AH463" s="87"/>
      <c r="AI463" s="86"/>
      <c r="AJ463" s="87"/>
    </row>
    <row r="464" spans="1:36" ht="12.7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c r="AH464" s="87"/>
      <c r="AI464" s="86"/>
      <c r="AJ464" s="87"/>
    </row>
    <row r="465" spans="1:36" ht="12.7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c r="AH465" s="87"/>
      <c r="AI465" s="86"/>
      <c r="AJ465" s="87"/>
    </row>
    <row r="466" spans="1:36" ht="12.7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c r="AH466" s="87"/>
      <c r="AI466" s="86"/>
      <c r="AJ466" s="87"/>
    </row>
    <row r="467" spans="1:36" ht="12.7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c r="AH467" s="87"/>
      <c r="AI467" s="86"/>
      <c r="AJ467" s="87"/>
    </row>
    <row r="468" spans="1:36" ht="12.7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c r="AH468" s="87"/>
      <c r="AI468" s="86"/>
      <c r="AJ468" s="87"/>
    </row>
    <row r="469" spans="1:36" ht="12.7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c r="AH469" s="87"/>
      <c r="AI469" s="86"/>
      <c r="AJ469" s="87"/>
    </row>
    <row r="470" spans="1:36" ht="12.7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c r="AH470" s="87"/>
      <c r="AI470" s="86"/>
      <c r="AJ470" s="87"/>
    </row>
    <row r="471" spans="1:36" ht="12.7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c r="AH471" s="87"/>
      <c r="AI471" s="86"/>
      <c r="AJ471" s="87"/>
    </row>
    <row r="472" spans="1:36" ht="12.7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c r="AH472" s="87"/>
      <c r="AI472" s="86"/>
      <c r="AJ472" s="87"/>
    </row>
    <row r="473" spans="1:36" ht="12.7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c r="AH473" s="87"/>
      <c r="AI473" s="86"/>
      <c r="AJ473" s="87"/>
    </row>
    <row r="474" spans="1:36" ht="12.7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c r="AH474" s="87"/>
      <c r="AI474" s="86"/>
      <c r="AJ474" s="87"/>
    </row>
    <row r="475" spans="1:36" ht="12.7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c r="AH475" s="87"/>
      <c r="AI475" s="86"/>
      <c r="AJ475" s="87"/>
    </row>
    <row r="476" spans="1:36" ht="12.7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c r="AH476" s="87"/>
      <c r="AI476" s="86"/>
      <c r="AJ476" s="87"/>
    </row>
    <row r="477" spans="1:36" ht="12.7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c r="AH477" s="87"/>
      <c r="AI477" s="86"/>
      <c r="AJ477" s="87"/>
    </row>
    <row r="478" spans="1:36" ht="12.7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c r="AH478" s="87"/>
      <c r="AI478" s="86"/>
      <c r="AJ478" s="87"/>
    </row>
    <row r="479" spans="1:36" ht="12.7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c r="AH479" s="87"/>
      <c r="AI479" s="86"/>
      <c r="AJ479" s="87"/>
    </row>
    <row r="480" spans="1:36" ht="12.7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c r="AH480" s="87"/>
      <c r="AI480" s="86"/>
      <c r="AJ480" s="87"/>
    </row>
    <row r="481" spans="1:36" ht="12.7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c r="AH481" s="87"/>
      <c r="AI481" s="86"/>
      <c r="AJ481" s="87"/>
    </row>
    <row r="482" spans="1:36" ht="12.7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c r="AH482" s="87"/>
      <c r="AI482" s="86"/>
      <c r="AJ482" s="87"/>
    </row>
    <row r="483" spans="1:36" ht="12.7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c r="AH483" s="87"/>
      <c r="AI483" s="86"/>
      <c r="AJ483" s="87"/>
    </row>
    <row r="484" spans="1:36" ht="12.7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c r="AH484" s="87"/>
      <c r="AI484" s="86"/>
      <c r="AJ484" s="87"/>
    </row>
    <row r="485" spans="1:36" ht="12.7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c r="AH485" s="87"/>
      <c r="AI485" s="86"/>
      <c r="AJ485" s="87"/>
    </row>
    <row r="486" spans="1:36" ht="12.7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c r="AH486" s="87"/>
      <c r="AI486" s="86"/>
      <c r="AJ486" s="87"/>
    </row>
    <row r="487" spans="1:36" ht="12.7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c r="AH487" s="87"/>
      <c r="AI487" s="86"/>
      <c r="AJ487" s="87"/>
    </row>
    <row r="488" spans="1:36" ht="12.7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c r="AH488" s="87"/>
      <c r="AI488" s="86"/>
      <c r="AJ488" s="87"/>
    </row>
    <row r="489" spans="1:36" ht="12.7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c r="AH489" s="87"/>
      <c r="AI489" s="86"/>
      <c r="AJ489" s="87"/>
    </row>
    <row r="490" spans="1:36" ht="12.7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c r="AH490" s="87"/>
      <c r="AI490" s="86"/>
      <c r="AJ490" s="87"/>
    </row>
    <row r="491" spans="1:36" ht="12.7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c r="AH491" s="87"/>
      <c r="AI491" s="86"/>
      <c r="AJ491" s="87"/>
    </row>
    <row r="492" spans="1:36" ht="12.7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c r="AH492" s="87"/>
      <c r="AI492" s="86"/>
      <c r="AJ492" s="87"/>
    </row>
    <row r="493" spans="1:36" ht="12.7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c r="AH493" s="87"/>
      <c r="AI493" s="86"/>
      <c r="AJ493" s="87"/>
    </row>
    <row r="494" spans="1:36" ht="12.7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c r="AH494" s="87"/>
      <c r="AI494" s="86"/>
      <c r="AJ494" s="87"/>
    </row>
    <row r="495" spans="1:36" ht="12.7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c r="AH495" s="87"/>
      <c r="AI495" s="86"/>
      <c r="AJ495" s="87"/>
    </row>
    <row r="496" spans="1:36" ht="12.7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c r="AH496" s="87"/>
      <c r="AI496" s="86"/>
      <c r="AJ496" s="87"/>
    </row>
    <row r="497" spans="1:36" ht="12.7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c r="AH497" s="87"/>
      <c r="AI497" s="86"/>
      <c r="AJ497" s="87"/>
    </row>
    <row r="498" spans="1:36" ht="12.7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c r="AH498" s="87"/>
      <c r="AI498" s="86"/>
      <c r="AJ498" s="87"/>
    </row>
    <row r="499" spans="1:36" ht="12.7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c r="AH499" s="87"/>
      <c r="AI499" s="86"/>
      <c r="AJ499" s="87"/>
    </row>
    <row r="500" spans="1:36" ht="12.7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c r="AH500" s="87"/>
      <c r="AI500" s="86"/>
      <c r="AJ500" s="87"/>
    </row>
    <row r="501" spans="1:36" ht="12.7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c r="AH501" s="87"/>
      <c r="AI501" s="86"/>
      <c r="AJ501" s="87"/>
    </row>
    <row r="502" spans="1:36" ht="12.7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c r="AH502" s="87"/>
      <c r="AI502" s="86"/>
      <c r="AJ502" s="87"/>
    </row>
    <row r="503" spans="1:36" ht="12.7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c r="AH503" s="87"/>
      <c r="AI503" s="86"/>
      <c r="AJ503" s="87"/>
    </row>
    <row r="504" spans="1:36" ht="12.7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c r="AH504" s="87"/>
      <c r="AI504" s="86"/>
      <c r="AJ504" s="87"/>
    </row>
    <row r="505" spans="1:36" ht="12.7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c r="AH505" s="87"/>
      <c r="AI505" s="86"/>
      <c r="AJ505" s="87"/>
    </row>
    <row r="506" spans="1:36" ht="12.7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c r="AH506" s="87"/>
      <c r="AI506" s="86"/>
      <c r="AJ506" s="87"/>
    </row>
    <row r="507" spans="1:36" ht="12.7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c r="AH507" s="87"/>
      <c r="AI507" s="86"/>
      <c r="AJ507" s="87"/>
    </row>
    <row r="508" spans="1:36" ht="12.7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c r="AH508" s="87"/>
      <c r="AI508" s="86"/>
      <c r="AJ508" s="87"/>
    </row>
    <row r="509" spans="1:36" ht="12.7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c r="AH509" s="87"/>
      <c r="AI509" s="86"/>
      <c r="AJ509" s="87"/>
    </row>
    <row r="510" spans="1:36" ht="12.7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c r="AH510" s="87"/>
      <c r="AI510" s="86"/>
      <c r="AJ510" s="87"/>
    </row>
    <row r="511" spans="1:36" ht="12.7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c r="AH511" s="87"/>
      <c r="AI511" s="86"/>
      <c r="AJ511" s="87"/>
    </row>
    <row r="512" spans="1:36" ht="12.7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c r="AH512" s="87"/>
      <c r="AI512" s="86"/>
      <c r="AJ512" s="87"/>
    </row>
    <row r="513" spans="1:36" ht="12.7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c r="AH513" s="87"/>
      <c r="AI513" s="86"/>
      <c r="AJ513" s="87"/>
    </row>
    <row r="514" spans="1:36" ht="12.7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c r="AH514" s="87"/>
      <c r="AI514" s="86"/>
      <c r="AJ514" s="87"/>
    </row>
    <row r="515" spans="1:36" ht="12.7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c r="AH515" s="87"/>
      <c r="AI515" s="86"/>
      <c r="AJ515" s="87"/>
    </row>
    <row r="516" spans="1:36" ht="12.7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c r="AH516" s="87"/>
      <c r="AI516" s="86"/>
      <c r="AJ516" s="87"/>
    </row>
    <row r="517" spans="1:36" ht="12.7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c r="AH517" s="87"/>
      <c r="AI517" s="86"/>
      <c r="AJ517" s="87"/>
    </row>
    <row r="518" spans="1:36" ht="12.7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c r="AH518" s="87"/>
      <c r="AI518" s="86"/>
      <c r="AJ518" s="87"/>
    </row>
    <row r="519" spans="1:36" ht="12.7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c r="AH519" s="87"/>
      <c r="AI519" s="86"/>
      <c r="AJ519" s="87"/>
    </row>
    <row r="520" spans="1:36" ht="12.7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c r="AH520" s="87"/>
      <c r="AI520" s="86"/>
      <c r="AJ520" s="87"/>
    </row>
    <row r="521" spans="1:36" ht="12.7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c r="AH521" s="87"/>
      <c r="AI521" s="86"/>
      <c r="AJ521" s="87"/>
    </row>
    <row r="522" spans="1:36" ht="12.7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c r="AH522" s="87"/>
      <c r="AI522" s="86"/>
      <c r="AJ522" s="87"/>
    </row>
    <row r="523" spans="1:36" ht="12.7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c r="AH523" s="87"/>
      <c r="AI523" s="86"/>
      <c r="AJ523" s="87"/>
    </row>
    <row r="524" spans="1:36" ht="12.7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c r="AH524" s="87"/>
      <c r="AI524" s="86"/>
      <c r="AJ524" s="87"/>
    </row>
    <row r="525" spans="1:36" ht="12.7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c r="AH525" s="87"/>
      <c r="AI525" s="86"/>
      <c r="AJ525" s="87"/>
    </row>
    <row r="526" spans="1:36" ht="12.7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c r="AH526" s="87"/>
      <c r="AI526" s="86"/>
      <c r="AJ526" s="87"/>
    </row>
    <row r="527" spans="1:36" ht="12.7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c r="AH527" s="87"/>
      <c r="AI527" s="86"/>
      <c r="AJ527" s="87"/>
    </row>
    <row r="528" spans="1:36" ht="12.7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c r="AH528" s="87"/>
      <c r="AI528" s="86"/>
      <c r="AJ528" s="87"/>
    </row>
    <row r="529" spans="1:36" ht="12.7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c r="AH529" s="87"/>
      <c r="AI529" s="86"/>
      <c r="AJ529" s="87"/>
    </row>
    <row r="530" spans="1:36" ht="12.7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c r="AH530" s="87"/>
      <c r="AI530" s="86"/>
      <c r="AJ530" s="87"/>
    </row>
    <row r="531" spans="1:36" ht="12.7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c r="AH531" s="87"/>
      <c r="AI531" s="86"/>
      <c r="AJ531" s="87"/>
    </row>
    <row r="532" spans="1:36" ht="12.7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c r="AH532" s="87"/>
      <c r="AI532" s="86"/>
      <c r="AJ532" s="87"/>
    </row>
    <row r="533" spans="1:36" ht="12.7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c r="AH533" s="87"/>
      <c r="AI533" s="86"/>
      <c r="AJ533" s="87"/>
    </row>
    <row r="534" spans="1:36" ht="12.7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c r="AH534" s="87"/>
      <c r="AI534" s="86"/>
      <c r="AJ534" s="87"/>
    </row>
    <row r="535" spans="1:36" ht="12.7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c r="AH535" s="87"/>
      <c r="AI535" s="86"/>
      <c r="AJ535" s="87"/>
    </row>
    <row r="536" spans="1:36" ht="12.7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c r="AH536" s="87"/>
      <c r="AI536" s="86"/>
      <c r="AJ536" s="87"/>
    </row>
    <row r="537" spans="1:36" ht="12.7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c r="AH537" s="87"/>
      <c r="AI537" s="86"/>
      <c r="AJ537" s="87"/>
    </row>
    <row r="538" spans="1:36" ht="12.7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c r="AH538" s="87"/>
      <c r="AI538" s="86"/>
      <c r="AJ538" s="87"/>
    </row>
    <row r="539" spans="1:36" ht="12.7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c r="AH539" s="87"/>
      <c r="AI539" s="86"/>
      <c r="AJ539" s="87"/>
    </row>
    <row r="540" spans="1:36" ht="12.7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c r="AH540" s="87"/>
      <c r="AI540" s="86"/>
      <c r="AJ540" s="87"/>
    </row>
    <row r="541" spans="1:36" ht="12.7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c r="AH541" s="87"/>
      <c r="AI541" s="86"/>
      <c r="AJ541" s="87"/>
    </row>
    <row r="542" spans="1:36" ht="12.7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c r="AH542" s="87"/>
      <c r="AI542" s="86"/>
      <c r="AJ542" s="87"/>
    </row>
    <row r="543" spans="1:36" ht="12.7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c r="AH543" s="87"/>
      <c r="AI543" s="86"/>
      <c r="AJ543" s="87"/>
    </row>
    <row r="544" spans="1:36" ht="12.7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c r="AH544" s="87"/>
      <c r="AI544" s="86"/>
      <c r="AJ544" s="87"/>
    </row>
    <row r="545" spans="1:36" ht="12.7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c r="AH545" s="87"/>
      <c r="AI545" s="86"/>
      <c r="AJ545" s="87"/>
    </row>
    <row r="546" spans="1:36" ht="12.7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c r="AH546" s="87"/>
      <c r="AI546" s="86"/>
      <c r="AJ546" s="87"/>
    </row>
    <row r="547" spans="1:36" ht="12.7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c r="AH547" s="87"/>
      <c r="AI547" s="86"/>
      <c r="AJ547" s="87"/>
    </row>
    <row r="548" spans="1:36" ht="12.7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c r="AH548" s="87"/>
      <c r="AI548" s="86"/>
      <c r="AJ548" s="87"/>
    </row>
    <row r="549" spans="1:36" ht="12.7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c r="AH549" s="87"/>
      <c r="AI549" s="86"/>
      <c r="AJ549" s="87"/>
    </row>
    <row r="550" spans="1:36" ht="12.7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c r="AH550" s="87"/>
      <c r="AI550" s="86"/>
      <c r="AJ550" s="87"/>
    </row>
    <row r="551" spans="1:36" ht="12.7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c r="AH551" s="87"/>
      <c r="AI551" s="86"/>
      <c r="AJ551" s="87"/>
    </row>
    <row r="552" spans="1:36" ht="12.7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c r="AH552" s="87"/>
      <c r="AI552" s="86"/>
      <c r="AJ552" s="87"/>
    </row>
    <row r="553" spans="1:36" ht="12.7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c r="AH553" s="87"/>
      <c r="AI553" s="86"/>
      <c r="AJ553" s="87"/>
    </row>
    <row r="554" spans="1:36" ht="12.7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c r="AH554" s="87"/>
      <c r="AI554" s="86"/>
      <c r="AJ554" s="87"/>
    </row>
    <row r="555" spans="1:36" ht="12.7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c r="AH555" s="87"/>
      <c r="AI555" s="86"/>
      <c r="AJ555" s="87"/>
    </row>
    <row r="556" spans="1:36" ht="12.7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c r="AH556" s="87"/>
      <c r="AI556" s="86"/>
      <c r="AJ556" s="87"/>
    </row>
    <row r="557" spans="1:36" ht="12.7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c r="AH557" s="87"/>
      <c r="AI557" s="86"/>
      <c r="AJ557" s="87"/>
    </row>
    <row r="558" spans="1:36" ht="12.7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c r="AH558" s="87"/>
      <c r="AI558" s="86"/>
      <c r="AJ558" s="87"/>
    </row>
    <row r="559" spans="1:36" ht="12.7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c r="AH559" s="87"/>
      <c r="AI559" s="86"/>
      <c r="AJ559" s="87"/>
    </row>
    <row r="560" spans="1:36" ht="12.7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6"/>
      <c r="AJ560" s="87"/>
    </row>
    <row r="561" spans="1:36" ht="12.7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6"/>
      <c r="AJ561" s="87"/>
    </row>
    <row r="562" spans="1:36" ht="12.7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c r="AH562" s="87"/>
      <c r="AI562" s="86"/>
      <c r="AJ562" s="87"/>
    </row>
    <row r="563" spans="1:36" ht="12.7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c r="AH563" s="87"/>
      <c r="AI563" s="86"/>
      <c r="AJ563" s="87"/>
    </row>
    <row r="564" spans="1:36" ht="12.7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c r="AH564" s="87"/>
      <c r="AI564" s="86"/>
      <c r="AJ564" s="87"/>
    </row>
    <row r="565" spans="1:36" ht="12.7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c r="AH565" s="87"/>
      <c r="AI565" s="86"/>
      <c r="AJ565" s="87"/>
    </row>
    <row r="566" spans="1:36" ht="12.7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c r="AH566" s="87"/>
      <c r="AI566" s="86"/>
      <c r="AJ566" s="87"/>
    </row>
    <row r="567" spans="1:36" ht="12.7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c r="AH567" s="87"/>
      <c r="AI567" s="86"/>
      <c r="AJ567" s="87"/>
    </row>
    <row r="568" spans="1:36" ht="12.7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c r="AH568" s="87"/>
      <c r="AI568" s="86"/>
      <c r="AJ568" s="87"/>
    </row>
    <row r="569" spans="1:36" ht="12.7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c r="AH569" s="87"/>
      <c r="AI569" s="86"/>
      <c r="AJ569" s="87"/>
    </row>
    <row r="570" spans="1:36" ht="12.7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c r="AH570" s="87"/>
      <c r="AI570" s="86"/>
      <c r="AJ570" s="87"/>
    </row>
    <row r="571" spans="1:36" ht="12.7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c r="AH571" s="87"/>
      <c r="AI571" s="86"/>
      <c r="AJ571" s="87"/>
    </row>
    <row r="572" spans="1:36" ht="12.7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c r="AH572" s="87"/>
      <c r="AI572" s="86"/>
      <c r="AJ572" s="87"/>
    </row>
    <row r="573" spans="1:36" ht="12.7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c r="AH573" s="87"/>
      <c r="AI573" s="86"/>
      <c r="AJ573" s="87"/>
    </row>
    <row r="574" spans="1:36" ht="12.7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c r="AH574" s="87"/>
      <c r="AI574" s="86"/>
      <c r="AJ574" s="87"/>
    </row>
    <row r="575" spans="1:36" ht="12.7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c r="AH575" s="87"/>
      <c r="AI575" s="86"/>
      <c r="AJ575" s="87"/>
    </row>
    <row r="576" spans="1:36" ht="12.7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c r="AH576" s="87"/>
      <c r="AI576" s="86"/>
      <c r="AJ576" s="87"/>
    </row>
    <row r="577" spans="1:36" ht="12.7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c r="AH577" s="87"/>
      <c r="AI577" s="86"/>
      <c r="AJ577" s="87"/>
    </row>
    <row r="578" spans="1:36" ht="12.7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c r="AH578" s="87"/>
      <c r="AI578" s="86"/>
      <c r="AJ578" s="87"/>
    </row>
    <row r="579" spans="1:36" ht="12.7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c r="AH579" s="87"/>
      <c r="AI579" s="86"/>
      <c r="AJ579" s="87"/>
    </row>
    <row r="580" spans="1:36" ht="12.7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c r="AH580" s="87"/>
      <c r="AI580" s="86"/>
      <c r="AJ580" s="87"/>
    </row>
    <row r="581" spans="1:36" ht="12.7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c r="AH581" s="87"/>
      <c r="AI581" s="86"/>
      <c r="AJ581" s="87"/>
    </row>
    <row r="582" spans="1:36" ht="12.7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c r="AH582" s="87"/>
      <c r="AI582" s="86"/>
      <c r="AJ582" s="87"/>
    </row>
    <row r="583" spans="1:36" ht="12.7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c r="AH583" s="87"/>
      <c r="AI583" s="86"/>
      <c r="AJ583" s="87"/>
    </row>
    <row r="584" spans="1:36" ht="12.7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c r="AH584" s="87"/>
      <c r="AI584" s="86"/>
      <c r="AJ584" s="87"/>
    </row>
    <row r="585" spans="1:36" ht="12.7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c r="AH585" s="87"/>
      <c r="AI585" s="86"/>
      <c r="AJ585" s="87"/>
    </row>
    <row r="586" spans="1:36" ht="12.7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c r="AH586" s="87"/>
      <c r="AI586" s="86"/>
      <c r="AJ586" s="87"/>
    </row>
    <row r="587" spans="1:36" ht="12.7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c r="AH587" s="87"/>
      <c r="AI587" s="86"/>
      <c r="AJ587" s="87"/>
    </row>
    <row r="588" spans="1:36" ht="12.7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c r="AH588" s="87"/>
      <c r="AI588" s="86"/>
      <c r="AJ588" s="87"/>
    </row>
    <row r="589" spans="1:36" ht="12.7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c r="AH589" s="87"/>
      <c r="AI589" s="86"/>
      <c r="AJ589" s="87"/>
    </row>
    <row r="590" spans="1:36" ht="12.7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c r="AH590" s="87"/>
      <c r="AI590" s="86"/>
      <c r="AJ590" s="87"/>
    </row>
    <row r="591" spans="1:36" ht="12.7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c r="AH591" s="87"/>
      <c r="AI591" s="86"/>
      <c r="AJ591" s="87"/>
    </row>
    <row r="592" spans="1:36" ht="12.7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c r="AH592" s="87"/>
      <c r="AI592" s="86"/>
      <c r="AJ592" s="87"/>
    </row>
    <row r="593" spans="1:36" ht="12.7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c r="AH593" s="87"/>
      <c r="AI593" s="86"/>
      <c r="AJ593" s="87"/>
    </row>
    <row r="594" spans="1:36" ht="12.7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c r="AH594" s="87"/>
      <c r="AI594" s="86"/>
      <c r="AJ594" s="87"/>
    </row>
    <row r="595" spans="1:36" ht="12.7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c r="AH595" s="87"/>
      <c r="AI595" s="86"/>
      <c r="AJ595" s="87"/>
    </row>
    <row r="596" spans="1:36" ht="12.7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c r="AH596" s="87"/>
      <c r="AI596" s="86"/>
      <c r="AJ596" s="87"/>
    </row>
    <row r="597" spans="1:36" ht="12.7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c r="AH597" s="87"/>
      <c r="AI597" s="86"/>
      <c r="AJ597" s="87"/>
    </row>
    <row r="598" spans="1:36" ht="12.7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c r="AH598" s="87"/>
      <c r="AI598" s="86"/>
      <c r="AJ598" s="87"/>
    </row>
    <row r="599" spans="1:36" ht="12.7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c r="AH599" s="87"/>
      <c r="AI599" s="86"/>
      <c r="AJ599" s="87"/>
    </row>
    <row r="600" spans="1:36" ht="12.7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c r="AH600" s="87"/>
      <c r="AI600" s="86"/>
      <c r="AJ600" s="87"/>
    </row>
    <row r="601" spans="1:36" ht="12.7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c r="AH601" s="87"/>
      <c r="AI601" s="86"/>
      <c r="AJ601" s="87"/>
    </row>
    <row r="602" spans="1:36" ht="12.7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c r="AH602" s="87"/>
      <c r="AI602" s="86"/>
      <c r="AJ602" s="87"/>
    </row>
    <row r="603" spans="1:36" ht="12.7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c r="AH603" s="87"/>
      <c r="AI603" s="86"/>
      <c r="AJ603" s="87"/>
    </row>
    <row r="604" spans="1:36" ht="12.7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c r="AH604" s="87"/>
      <c r="AI604" s="86"/>
      <c r="AJ604" s="87"/>
    </row>
    <row r="605" spans="1:36" ht="12.7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c r="AH605" s="87"/>
      <c r="AI605" s="86"/>
      <c r="AJ605" s="87"/>
    </row>
    <row r="606" spans="1:36" ht="12.7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c r="AH606" s="87"/>
      <c r="AI606" s="86"/>
      <c r="AJ606" s="87"/>
    </row>
    <row r="607" spans="1:36" ht="12.7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c r="AH607" s="87"/>
      <c r="AI607" s="86"/>
      <c r="AJ607" s="87"/>
    </row>
    <row r="608" spans="1:36" ht="12.7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c r="AH608" s="87"/>
      <c r="AI608" s="86"/>
      <c r="AJ608" s="87"/>
    </row>
    <row r="609" spans="1:36" ht="12.7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c r="AH609" s="87"/>
      <c r="AI609" s="86"/>
      <c r="AJ609" s="87"/>
    </row>
    <row r="610" spans="1:36" ht="12.7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c r="AH610" s="87"/>
      <c r="AI610" s="86"/>
      <c r="AJ610" s="87"/>
    </row>
    <row r="611" spans="1:36" ht="12.7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c r="AH611" s="87"/>
      <c r="AI611" s="86"/>
      <c r="AJ611" s="87"/>
    </row>
    <row r="612" spans="1:36" ht="12.7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c r="AH612" s="87"/>
      <c r="AI612" s="86"/>
      <c r="AJ612" s="87"/>
    </row>
    <row r="613" spans="1:36" ht="12.7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c r="AH613" s="87"/>
      <c r="AI613" s="86"/>
      <c r="AJ613" s="87"/>
    </row>
    <row r="614" spans="1:36" ht="12.7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c r="AH614" s="87"/>
      <c r="AI614" s="86"/>
      <c r="AJ614" s="87"/>
    </row>
    <row r="615" spans="1:36" ht="12.7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c r="AH615" s="87"/>
      <c r="AI615" s="86"/>
      <c r="AJ615" s="87"/>
    </row>
    <row r="616" spans="1:36" ht="12.7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c r="AH616" s="87"/>
      <c r="AI616" s="86"/>
      <c r="AJ616" s="87"/>
    </row>
    <row r="617" spans="1:36" ht="12.7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c r="AH617" s="87"/>
      <c r="AI617" s="86"/>
      <c r="AJ617" s="87"/>
    </row>
    <row r="618" spans="1:36" ht="12.7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c r="AH618" s="87"/>
      <c r="AI618" s="86"/>
      <c r="AJ618" s="87"/>
    </row>
    <row r="619" spans="1:36" ht="12.7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c r="AH619" s="87"/>
      <c r="AI619" s="86"/>
      <c r="AJ619" s="87"/>
    </row>
    <row r="620" spans="1:36" ht="12.7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c r="AH620" s="87"/>
      <c r="AI620" s="86"/>
      <c r="AJ620" s="87"/>
    </row>
    <row r="621" spans="1:36" ht="12.7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c r="AH621" s="87"/>
      <c r="AI621" s="86"/>
      <c r="AJ621" s="87"/>
    </row>
    <row r="622" spans="1:36" ht="12.7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c r="AH622" s="87"/>
      <c r="AI622" s="86"/>
      <c r="AJ622" s="87"/>
    </row>
    <row r="623" spans="1:36" ht="12.7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c r="AH623" s="87"/>
      <c r="AI623" s="86"/>
      <c r="AJ623" s="87"/>
    </row>
    <row r="624" spans="1:36" ht="12.7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c r="AH624" s="87"/>
      <c r="AI624" s="86"/>
      <c r="AJ624" s="87"/>
    </row>
    <row r="625" spans="1:36" ht="12.7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c r="AH625" s="87"/>
      <c r="AI625" s="86"/>
      <c r="AJ625" s="87"/>
    </row>
    <row r="626" spans="1:36" ht="12.7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c r="AH626" s="87"/>
      <c r="AI626" s="86"/>
      <c r="AJ626" s="87"/>
    </row>
    <row r="627" spans="1:36" ht="12.7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c r="AH627" s="87"/>
      <c r="AI627" s="86"/>
      <c r="AJ627" s="87"/>
    </row>
    <row r="628" spans="1:36" ht="12.7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c r="AH628" s="87"/>
      <c r="AI628" s="86"/>
      <c r="AJ628" s="87"/>
    </row>
    <row r="629" spans="1:36" ht="12.7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c r="AH629" s="87"/>
      <c r="AI629" s="86"/>
      <c r="AJ629" s="87"/>
    </row>
    <row r="630" spans="1:36" ht="12.7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c r="AH630" s="87"/>
      <c r="AI630" s="86"/>
      <c r="AJ630" s="87"/>
    </row>
    <row r="631" spans="1:36" ht="12.7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c r="AH631" s="87"/>
      <c r="AI631" s="86"/>
      <c r="AJ631" s="87"/>
    </row>
    <row r="632" spans="1:36" ht="12.7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c r="AH632" s="87"/>
      <c r="AI632" s="86"/>
      <c r="AJ632" s="87"/>
    </row>
    <row r="633" spans="1:36" ht="12.7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c r="AH633" s="87"/>
      <c r="AI633" s="86"/>
      <c r="AJ633" s="87"/>
    </row>
    <row r="634" spans="1:36" ht="12.7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c r="AH634" s="87"/>
      <c r="AI634" s="86"/>
      <c r="AJ634" s="87"/>
    </row>
    <row r="635" spans="1:36" ht="12.7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c r="AH635" s="87"/>
      <c r="AI635" s="86"/>
      <c r="AJ635" s="87"/>
    </row>
    <row r="636" spans="1:36" ht="12.7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c r="AH636" s="87"/>
      <c r="AI636" s="86"/>
      <c r="AJ636" s="87"/>
    </row>
    <row r="637" spans="1:36" ht="12.7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c r="AH637" s="87"/>
      <c r="AI637" s="86"/>
      <c r="AJ637" s="87"/>
    </row>
    <row r="638" spans="1:36" ht="12.7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c r="AH638" s="87"/>
      <c r="AI638" s="86"/>
      <c r="AJ638" s="87"/>
    </row>
    <row r="639" spans="1:36" ht="12.7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c r="AH639" s="87"/>
      <c r="AI639" s="86"/>
      <c r="AJ639" s="87"/>
    </row>
    <row r="640" spans="1:36" ht="12.7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c r="AH640" s="87"/>
      <c r="AI640" s="86"/>
      <c r="AJ640" s="87"/>
    </row>
    <row r="641" spans="1:36" ht="12.7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c r="AH641" s="87"/>
      <c r="AI641" s="86"/>
      <c r="AJ641" s="87"/>
    </row>
    <row r="642" spans="1:36" ht="12.7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c r="AH642" s="87"/>
      <c r="AI642" s="86"/>
      <c r="AJ642" s="87"/>
    </row>
    <row r="643" spans="1:36" ht="12.7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c r="AH643" s="87"/>
      <c r="AI643" s="86"/>
      <c r="AJ643" s="87"/>
    </row>
    <row r="644" spans="1:36" ht="12.7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c r="AH644" s="87"/>
      <c r="AI644" s="86"/>
      <c r="AJ644" s="87"/>
    </row>
    <row r="645" spans="1:36" ht="12.7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c r="AH645" s="87"/>
      <c r="AI645" s="86"/>
      <c r="AJ645" s="87"/>
    </row>
    <row r="646" spans="1:36" ht="12.7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c r="AH646" s="87"/>
      <c r="AI646" s="86"/>
      <c r="AJ646" s="87"/>
    </row>
    <row r="647" spans="1:36" ht="12.7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c r="AH647" s="87"/>
      <c r="AI647" s="86"/>
      <c r="AJ647" s="87"/>
    </row>
    <row r="648" spans="1:36" ht="12.7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c r="AH648" s="87"/>
      <c r="AI648" s="86"/>
      <c r="AJ648" s="87"/>
    </row>
    <row r="649" spans="1:36" ht="12.7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c r="AH649" s="87"/>
      <c r="AI649" s="86"/>
      <c r="AJ649" s="87"/>
    </row>
    <row r="650" spans="1:36" ht="12.7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c r="AH650" s="87"/>
      <c r="AI650" s="86"/>
      <c r="AJ650" s="87"/>
    </row>
    <row r="651" spans="1:36" ht="12.7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c r="AH651" s="87"/>
      <c r="AI651" s="86"/>
      <c r="AJ651" s="87"/>
    </row>
    <row r="652" spans="1:36" ht="12.7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c r="AH652" s="87"/>
      <c r="AI652" s="86"/>
      <c r="AJ652" s="87"/>
    </row>
    <row r="653" spans="1:36" ht="12.7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c r="AH653" s="87"/>
      <c r="AI653" s="86"/>
      <c r="AJ653" s="87"/>
    </row>
    <row r="654" spans="1:36" ht="12.7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c r="AH654" s="87"/>
      <c r="AI654" s="86"/>
      <c r="AJ654" s="87"/>
    </row>
    <row r="655" spans="1:36" ht="12.7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c r="AH655" s="87"/>
      <c r="AI655" s="86"/>
      <c r="AJ655" s="87"/>
    </row>
    <row r="656" spans="1:36" ht="12.7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c r="AH656" s="87"/>
      <c r="AI656" s="86"/>
      <c r="AJ656" s="87"/>
    </row>
    <row r="657" spans="1:36" ht="12.7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c r="AH657" s="87"/>
      <c r="AI657" s="86"/>
      <c r="AJ657" s="87"/>
    </row>
    <row r="658" spans="1:36" ht="12.7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c r="AH658" s="87"/>
      <c r="AI658" s="86"/>
      <c r="AJ658" s="87"/>
    </row>
    <row r="659" spans="1:36" ht="12.7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c r="AH659" s="87"/>
      <c r="AI659" s="86"/>
      <c r="AJ659" s="87"/>
    </row>
    <row r="660" spans="1:36" ht="12.7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c r="AH660" s="87"/>
      <c r="AI660" s="86"/>
      <c r="AJ660" s="87"/>
    </row>
    <row r="661" spans="1:36" ht="12.7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c r="AH661" s="87"/>
      <c r="AI661" s="86"/>
      <c r="AJ661" s="87"/>
    </row>
    <row r="662" spans="1:36" ht="12.7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c r="AH662" s="87"/>
      <c r="AI662" s="86"/>
      <c r="AJ662" s="87"/>
    </row>
    <row r="663" spans="1:36" ht="12.7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c r="AH663" s="87"/>
      <c r="AI663" s="86"/>
      <c r="AJ663" s="87"/>
    </row>
    <row r="664" spans="1:36" ht="12.7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c r="AH664" s="87"/>
      <c r="AI664" s="86"/>
      <c r="AJ664" s="87"/>
    </row>
    <row r="665" spans="1:36" ht="12.7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c r="AH665" s="87"/>
      <c r="AI665" s="86"/>
      <c r="AJ665" s="87"/>
    </row>
    <row r="666" spans="1:36" ht="12.7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c r="AH666" s="87"/>
      <c r="AI666" s="86"/>
      <c r="AJ666" s="87"/>
    </row>
    <row r="667" spans="1:36" ht="12.7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c r="AH667" s="87"/>
      <c r="AI667" s="86"/>
      <c r="AJ667" s="87"/>
    </row>
    <row r="668" spans="1:36" ht="12.7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c r="AH668" s="87"/>
      <c r="AI668" s="86"/>
      <c r="AJ668" s="87"/>
    </row>
    <row r="669" spans="1:36" ht="12.7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c r="AH669" s="87"/>
      <c r="AI669" s="86"/>
      <c r="AJ669" s="87"/>
    </row>
    <row r="670" spans="1:36" ht="12.7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c r="AH670" s="87"/>
      <c r="AI670" s="86"/>
      <c r="AJ670" s="87"/>
    </row>
    <row r="671" spans="1:36" ht="12.7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c r="AH671" s="87"/>
      <c r="AI671" s="86"/>
      <c r="AJ671" s="87"/>
    </row>
    <row r="672" spans="1:36" ht="12.7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c r="AH672" s="87"/>
      <c r="AI672" s="86"/>
      <c r="AJ672" s="87"/>
    </row>
    <row r="673" spans="1:36" ht="12.7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c r="AH673" s="87"/>
      <c r="AI673" s="86"/>
      <c r="AJ673" s="87"/>
    </row>
    <row r="674" spans="1:36" ht="12.7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c r="AH674" s="87"/>
      <c r="AI674" s="86"/>
      <c r="AJ674" s="87"/>
    </row>
    <row r="675" spans="1:36" ht="12.7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c r="AH675" s="87"/>
      <c r="AI675" s="86"/>
      <c r="AJ675" s="87"/>
    </row>
    <row r="676" spans="1:36" ht="12.7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c r="AH676" s="87"/>
      <c r="AI676" s="86"/>
      <c r="AJ676" s="87"/>
    </row>
    <row r="677" spans="1:36" ht="12.7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c r="AH677" s="87"/>
      <c r="AI677" s="86"/>
      <c r="AJ677" s="87"/>
    </row>
    <row r="678" spans="1:36" ht="12.7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c r="AH678" s="87"/>
      <c r="AI678" s="86"/>
      <c r="AJ678" s="87"/>
    </row>
    <row r="679" spans="1:36" ht="12.7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c r="AH679" s="87"/>
      <c r="AI679" s="86"/>
      <c r="AJ679" s="87"/>
    </row>
    <row r="680" spans="1:36" ht="12.7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c r="AH680" s="87"/>
      <c r="AI680" s="86"/>
      <c r="AJ680" s="87"/>
    </row>
    <row r="681" spans="1:36" ht="12.7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c r="AH681" s="87"/>
      <c r="AI681" s="86"/>
      <c r="AJ681" s="87"/>
    </row>
    <row r="682" spans="1:36" ht="12.7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c r="AH682" s="87"/>
      <c r="AI682" s="86"/>
      <c r="AJ682" s="87"/>
    </row>
    <row r="683" spans="1:36" ht="12.7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c r="AH683" s="87"/>
      <c r="AI683" s="86"/>
      <c r="AJ683" s="87"/>
    </row>
    <row r="684" spans="1:36" ht="12.7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c r="AH684" s="87"/>
      <c r="AI684" s="86"/>
      <c r="AJ684" s="87"/>
    </row>
    <row r="685" spans="1:36" ht="12.7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c r="AH685" s="87"/>
      <c r="AI685" s="86"/>
      <c r="AJ685" s="87"/>
    </row>
    <row r="686" spans="1:36" ht="12.7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c r="AH686" s="87"/>
      <c r="AI686" s="86"/>
      <c r="AJ686" s="87"/>
    </row>
    <row r="687" spans="1:36" ht="12.7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c r="AH687" s="87"/>
      <c r="AI687" s="86"/>
      <c r="AJ687" s="87"/>
    </row>
    <row r="688" spans="1:36" ht="12.7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c r="AH688" s="87"/>
      <c r="AI688" s="86"/>
      <c r="AJ688" s="87"/>
    </row>
    <row r="689" spans="1:36" ht="12.7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c r="AH689" s="87"/>
      <c r="AI689" s="86"/>
      <c r="AJ689" s="87"/>
    </row>
    <row r="690" spans="1:36" ht="12.7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c r="AH690" s="87"/>
      <c r="AI690" s="86"/>
      <c r="AJ690" s="87"/>
    </row>
    <row r="691" spans="1:36" ht="12.7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c r="AH691" s="87"/>
      <c r="AI691" s="86"/>
      <c r="AJ691" s="87"/>
    </row>
    <row r="692" spans="1:36" ht="12.7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c r="AH692" s="87"/>
      <c r="AI692" s="86"/>
      <c r="AJ692" s="87"/>
    </row>
    <row r="693" spans="1:36" ht="12.7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c r="AH693" s="87"/>
      <c r="AI693" s="86"/>
      <c r="AJ693" s="87"/>
    </row>
    <row r="694" spans="1:36" ht="12.7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c r="AH694" s="87"/>
      <c r="AI694" s="86"/>
      <c r="AJ694" s="87"/>
    </row>
    <row r="695" spans="1:36" ht="12.7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c r="AH695" s="87"/>
      <c r="AI695" s="86"/>
      <c r="AJ695" s="87"/>
    </row>
    <row r="696" spans="1:36" ht="12.7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c r="AH696" s="87"/>
      <c r="AI696" s="86"/>
      <c r="AJ696" s="87"/>
    </row>
    <row r="697" spans="1:36" ht="12.7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c r="AH697" s="87"/>
      <c r="AI697" s="86"/>
      <c r="AJ697" s="87"/>
    </row>
    <row r="698" spans="1:36" ht="12.7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c r="AH698" s="87"/>
      <c r="AI698" s="86"/>
      <c r="AJ698" s="87"/>
    </row>
    <row r="699" spans="1:36" ht="12.7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c r="AH699" s="87"/>
      <c r="AI699" s="86"/>
      <c r="AJ699" s="87"/>
    </row>
    <row r="700" spans="1:36" ht="12.7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c r="AH700" s="87"/>
      <c r="AI700" s="86"/>
      <c r="AJ700" s="87"/>
    </row>
    <row r="701" spans="1:36" ht="12.7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c r="AH701" s="87"/>
      <c r="AI701" s="86"/>
      <c r="AJ701" s="87"/>
    </row>
    <row r="702" spans="1:36" ht="12.7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c r="AH702" s="87"/>
      <c r="AI702" s="86"/>
      <c r="AJ702" s="87"/>
    </row>
    <row r="703" spans="1:36" ht="12.7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c r="AH703" s="87"/>
      <c r="AI703" s="86"/>
      <c r="AJ703" s="87"/>
    </row>
    <row r="704" spans="1:36" ht="12.7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c r="AH704" s="87"/>
      <c r="AI704" s="86"/>
      <c r="AJ704" s="87"/>
    </row>
    <row r="705" spans="1:36" ht="12.7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c r="AH705" s="87"/>
      <c r="AI705" s="86"/>
      <c r="AJ705" s="87"/>
    </row>
    <row r="706" spans="1:36" ht="12.7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c r="AH706" s="87"/>
      <c r="AI706" s="86"/>
      <c r="AJ706" s="87"/>
    </row>
    <row r="707" spans="1:36" ht="12.7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c r="AH707" s="87"/>
      <c r="AI707" s="86"/>
      <c r="AJ707" s="87"/>
    </row>
    <row r="708" spans="1:36" ht="12.7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c r="AH708" s="87"/>
      <c r="AI708" s="86"/>
      <c r="AJ708" s="87"/>
    </row>
    <row r="709" spans="1:36" ht="12.7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c r="AH709" s="87"/>
      <c r="AI709" s="86"/>
      <c r="AJ709" s="87"/>
    </row>
    <row r="710" spans="1:36" ht="12.7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c r="AH710" s="87"/>
      <c r="AI710" s="86"/>
      <c r="AJ710" s="87"/>
    </row>
    <row r="711" spans="1:36" ht="12.7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c r="AH711" s="87"/>
      <c r="AI711" s="86"/>
      <c r="AJ711" s="87"/>
    </row>
    <row r="712" spans="1:36" ht="12.7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c r="AH712" s="87"/>
      <c r="AI712" s="86"/>
      <c r="AJ712" s="87"/>
    </row>
    <row r="713" spans="1:36" ht="12.7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c r="AH713" s="87"/>
      <c r="AI713" s="86"/>
      <c r="AJ713" s="87"/>
    </row>
    <row r="714" spans="1:36" ht="12.7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c r="AH714" s="87"/>
      <c r="AI714" s="86"/>
      <c r="AJ714" s="87"/>
    </row>
    <row r="715" spans="1:36" ht="12.7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c r="AH715" s="87"/>
      <c r="AI715" s="86"/>
      <c r="AJ715" s="87"/>
    </row>
    <row r="716" spans="1:36" ht="12.7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c r="AH716" s="87"/>
      <c r="AI716" s="86"/>
      <c r="AJ716" s="87"/>
    </row>
    <row r="717" spans="1:36" ht="12.7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c r="AH717" s="87"/>
      <c r="AI717" s="86"/>
      <c r="AJ717" s="87"/>
    </row>
    <row r="718" spans="1:36" ht="12.7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c r="AH718" s="87"/>
      <c r="AI718" s="86"/>
      <c r="AJ718" s="87"/>
    </row>
    <row r="719" spans="1:36" ht="12.7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c r="AH719" s="87"/>
      <c r="AI719" s="86"/>
      <c r="AJ719" s="87"/>
    </row>
    <row r="720" spans="1:36" ht="12.7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c r="AH720" s="87"/>
      <c r="AI720" s="86"/>
      <c r="AJ720" s="87"/>
    </row>
    <row r="721" spans="1:36" ht="12.7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c r="AH721" s="87"/>
      <c r="AI721" s="86"/>
      <c r="AJ721" s="87"/>
    </row>
    <row r="722" spans="1:36" ht="12.7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c r="AH722" s="87"/>
      <c r="AI722" s="86"/>
      <c r="AJ722" s="87"/>
    </row>
    <row r="723" spans="1:36" ht="12.7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c r="AH723" s="87"/>
      <c r="AI723" s="86"/>
      <c r="AJ723" s="87"/>
    </row>
    <row r="724" spans="1:36" ht="12.7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c r="AH724" s="87"/>
      <c r="AI724" s="86"/>
      <c r="AJ724" s="87"/>
    </row>
    <row r="725" spans="1:36" ht="12.7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c r="AH725" s="87"/>
      <c r="AI725" s="86"/>
      <c r="AJ725" s="87"/>
    </row>
    <row r="726" spans="1:36" ht="12.7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c r="AH726" s="87"/>
      <c r="AI726" s="86"/>
      <c r="AJ726" s="87"/>
    </row>
    <row r="727" spans="1:36" ht="12.7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c r="AH727" s="87"/>
      <c r="AI727" s="86"/>
      <c r="AJ727" s="87"/>
    </row>
    <row r="728" spans="1:36" ht="12.7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c r="AH728" s="87"/>
      <c r="AI728" s="86"/>
      <c r="AJ728" s="87"/>
    </row>
    <row r="729" spans="1:36" ht="12.7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c r="AH729" s="87"/>
      <c r="AI729" s="86"/>
      <c r="AJ729" s="87"/>
    </row>
    <row r="730" spans="1:36" ht="12.7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c r="AH730" s="87"/>
      <c r="AI730" s="86"/>
      <c r="AJ730" s="87"/>
    </row>
    <row r="731" spans="1:36" ht="12.7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c r="AH731" s="87"/>
      <c r="AI731" s="86"/>
      <c r="AJ731" s="87"/>
    </row>
    <row r="732" spans="1:36" ht="12.7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c r="AH732" s="87"/>
      <c r="AI732" s="86"/>
      <c r="AJ732" s="87"/>
    </row>
    <row r="733" spans="1:36" ht="12.7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c r="AH733" s="87"/>
      <c r="AI733" s="86"/>
      <c r="AJ733" s="87"/>
    </row>
    <row r="734" spans="1:36" ht="12.7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c r="AH734" s="87"/>
      <c r="AI734" s="86"/>
      <c r="AJ734" s="87"/>
    </row>
    <row r="735" spans="1:36" ht="12.7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c r="AH735" s="87"/>
      <c r="AI735" s="86"/>
      <c r="AJ735" s="87"/>
    </row>
    <row r="736" spans="1:36" ht="12.7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c r="AH736" s="87"/>
      <c r="AI736" s="86"/>
      <c r="AJ736" s="87"/>
    </row>
    <row r="737" spans="1:36" ht="12.7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c r="AH737" s="87"/>
      <c r="AI737" s="86"/>
      <c r="AJ737" s="87"/>
    </row>
    <row r="738" spans="1:36" ht="12.7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c r="AH738" s="87"/>
      <c r="AI738" s="86"/>
      <c r="AJ738" s="87"/>
    </row>
    <row r="739" spans="1:36" ht="12.7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c r="AH739" s="87"/>
      <c r="AI739" s="86"/>
      <c r="AJ739" s="87"/>
    </row>
    <row r="740" spans="1:36" ht="12.7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c r="AH740" s="87"/>
      <c r="AI740" s="86"/>
      <c r="AJ740" s="87"/>
    </row>
    <row r="741" spans="1:36" ht="12.7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c r="AH741" s="87"/>
      <c r="AI741" s="86"/>
      <c r="AJ741" s="87"/>
    </row>
    <row r="742" spans="1:36" ht="12.7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c r="AH742" s="87"/>
      <c r="AI742" s="86"/>
      <c r="AJ742" s="87"/>
    </row>
    <row r="743" spans="1:36" ht="12.7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c r="AH743" s="87"/>
      <c r="AI743" s="86"/>
      <c r="AJ743" s="87"/>
    </row>
    <row r="744" spans="1:36" ht="12.7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c r="AH744" s="87"/>
      <c r="AI744" s="86"/>
      <c r="AJ744" s="87"/>
    </row>
    <row r="745" spans="1:36" ht="12.7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c r="AH745" s="87"/>
      <c r="AI745" s="86"/>
      <c r="AJ745" s="87"/>
    </row>
    <row r="746" spans="1:36" ht="12.7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c r="AH746" s="87"/>
      <c r="AI746" s="86"/>
      <c r="AJ746" s="87"/>
    </row>
    <row r="747" spans="1:36" ht="12.7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c r="AH747" s="87"/>
      <c r="AI747" s="86"/>
      <c r="AJ747" s="87"/>
    </row>
    <row r="748" spans="1:36" ht="12.7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c r="AH748" s="87"/>
      <c r="AI748" s="86"/>
      <c r="AJ748" s="87"/>
    </row>
    <row r="749" spans="1:36" ht="12.7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c r="AH749" s="87"/>
      <c r="AI749" s="86"/>
      <c r="AJ749" s="87"/>
    </row>
    <row r="750" spans="1:36" ht="12.7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c r="AH750" s="87"/>
      <c r="AI750" s="86"/>
      <c r="AJ750" s="87"/>
    </row>
    <row r="751" spans="1:36" ht="12.7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c r="AH751" s="87"/>
      <c r="AI751" s="86"/>
      <c r="AJ751" s="87"/>
    </row>
    <row r="752" spans="1:36" ht="12.7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c r="AH752" s="87"/>
      <c r="AI752" s="86"/>
      <c r="AJ752" s="87"/>
    </row>
    <row r="753" spans="1:36" ht="12.7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c r="AH753" s="87"/>
      <c r="AI753" s="86"/>
      <c r="AJ753" s="87"/>
    </row>
    <row r="754" spans="1:36" ht="12.7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c r="AH754" s="87"/>
      <c r="AI754" s="86"/>
      <c r="AJ754" s="87"/>
    </row>
    <row r="755" spans="1:36" ht="12.7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c r="AH755" s="87"/>
      <c r="AI755" s="86"/>
      <c r="AJ755" s="87"/>
    </row>
    <row r="756" spans="1:36" ht="12.7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c r="AH756" s="87"/>
      <c r="AI756" s="86"/>
      <c r="AJ756" s="87"/>
    </row>
    <row r="757" spans="1:36" ht="12.7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c r="AH757" s="87"/>
      <c r="AI757" s="86"/>
      <c r="AJ757" s="87"/>
    </row>
    <row r="758" spans="1:36" ht="12.7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c r="AH758" s="87"/>
      <c r="AI758" s="86"/>
      <c r="AJ758" s="87"/>
    </row>
    <row r="759" spans="1:36" ht="12.7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c r="AH759" s="87"/>
      <c r="AI759" s="86"/>
      <c r="AJ759" s="87"/>
    </row>
    <row r="760" spans="1:36" ht="12.7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c r="AH760" s="87"/>
      <c r="AI760" s="86"/>
      <c r="AJ760" s="87"/>
    </row>
    <row r="761" spans="1:36" ht="12.7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c r="AH761" s="87"/>
      <c r="AI761" s="86"/>
      <c r="AJ761" s="87"/>
    </row>
    <row r="762" spans="1:36" ht="12.7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c r="AH762" s="87"/>
      <c r="AI762" s="86"/>
      <c r="AJ762" s="87"/>
    </row>
    <row r="763" spans="1:36" ht="12.7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c r="AH763" s="87"/>
      <c r="AI763" s="86"/>
      <c r="AJ763" s="87"/>
    </row>
    <row r="764" spans="1:36" ht="12.7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c r="AH764" s="87"/>
      <c r="AI764" s="86"/>
      <c r="AJ764" s="87"/>
    </row>
    <row r="765" spans="1:36" ht="12.7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c r="AH765" s="87"/>
      <c r="AI765" s="86"/>
      <c r="AJ765" s="87"/>
    </row>
    <row r="766" spans="1:36" ht="12.7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c r="AH766" s="87"/>
      <c r="AI766" s="86"/>
      <c r="AJ766" s="87"/>
    </row>
    <row r="767" spans="1:36" ht="12.7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c r="AH767" s="87"/>
      <c r="AI767" s="86"/>
      <c r="AJ767" s="87"/>
    </row>
    <row r="768" spans="1:36" ht="12.7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c r="AH768" s="87"/>
      <c r="AI768" s="86"/>
      <c r="AJ768" s="87"/>
    </row>
    <row r="769" spans="1:36" ht="12.7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c r="AH769" s="87"/>
      <c r="AI769" s="86"/>
      <c r="AJ769" s="87"/>
    </row>
    <row r="770" spans="1:36" ht="12.7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c r="AH770" s="87"/>
      <c r="AI770" s="86"/>
      <c r="AJ770" s="87"/>
    </row>
    <row r="771" spans="1:36" ht="12.7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c r="AH771" s="87"/>
      <c r="AI771" s="86"/>
      <c r="AJ771" s="87"/>
    </row>
    <row r="772" spans="1:36" ht="12.7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c r="AH772" s="87"/>
      <c r="AI772" s="86"/>
      <c r="AJ772" s="87"/>
    </row>
    <row r="773" spans="1:36" ht="12.7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c r="AH773" s="87"/>
      <c r="AI773" s="86"/>
      <c r="AJ773" s="87"/>
    </row>
    <row r="774" spans="1:36" ht="12.7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c r="AH774" s="87"/>
      <c r="AI774" s="86"/>
      <c r="AJ774" s="87"/>
    </row>
    <row r="775" spans="1:36" ht="12.7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c r="AH775" s="87"/>
      <c r="AI775" s="86"/>
      <c r="AJ775" s="87"/>
    </row>
    <row r="776" spans="1:36" ht="12.7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c r="AH776" s="87"/>
      <c r="AI776" s="86"/>
      <c r="AJ776" s="87"/>
    </row>
    <row r="777" spans="1:36" ht="12.7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c r="AH777" s="87"/>
      <c r="AI777" s="86"/>
      <c r="AJ777" s="87"/>
    </row>
    <row r="778" spans="1:36" ht="12.7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c r="AH778" s="87"/>
      <c r="AI778" s="86"/>
      <c r="AJ778" s="87"/>
    </row>
    <row r="779" spans="1:36" ht="12.7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c r="AH779" s="87"/>
      <c r="AI779" s="86"/>
      <c r="AJ779" s="87"/>
    </row>
    <row r="780" spans="1:36" ht="12.7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c r="AH780" s="87"/>
      <c r="AI780" s="86"/>
      <c r="AJ780" s="87"/>
    </row>
    <row r="781" spans="1:36" ht="12.7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c r="AH781" s="87"/>
      <c r="AI781" s="86"/>
      <c r="AJ781" s="87"/>
    </row>
    <row r="782" spans="1:36" ht="12.7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c r="AH782" s="87"/>
      <c r="AI782" s="86"/>
      <c r="AJ782" s="87"/>
    </row>
    <row r="783" spans="1:36" ht="12.7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c r="AH783" s="87"/>
      <c r="AI783" s="86"/>
      <c r="AJ783" s="87"/>
    </row>
    <row r="784" spans="1:36" ht="12.7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c r="AH784" s="87"/>
      <c r="AI784" s="86"/>
      <c r="AJ784" s="87"/>
    </row>
    <row r="785" spans="1:36" ht="12.7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c r="AH785" s="87"/>
      <c r="AI785" s="86"/>
      <c r="AJ785" s="87"/>
    </row>
    <row r="786" spans="1:36" ht="12.7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c r="AH786" s="87"/>
      <c r="AI786" s="86"/>
      <c r="AJ786" s="87"/>
    </row>
    <row r="787" spans="1:36" ht="12.7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c r="AH787" s="87"/>
      <c r="AI787" s="86"/>
      <c r="AJ787" s="87"/>
    </row>
    <row r="788" spans="1:36" ht="12.7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c r="AH788" s="87"/>
      <c r="AI788" s="86"/>
      <c r="AJ788" s="87"/>
    </row>
    <row r="789" spans="1:36" ht="12.7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c r="AH789" s="87"/>
      <c r="AI789" s="86"/>
      <c r="AJ789" s="87"/>
    </row>
    <row r="790" spans="1:36" ht="12.7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c r="AH790" s="87"/>
      <c r="AI790" s="86"/>
      <c r="AJ790" s="87"/>
    </row>
    <row r="791" spans="1:36" ht="12.7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c r="AH791" s="87"/>
      <c r="AI791" s="86"/>
      <c r="AJ791" s="87"/>
    </row>
    <row r="792" spans="1:36" ht="12.7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c r="AH792" s="87"/>
      <c r="AI792" s="86"/>
      <c r="AJ792" s="87"/>
    </row>
    <row r="793" spans="1:36" ht="12.7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c r="AH793" s="87"/>
      <c r="AI793" s="86"/>
      <c r="AJ793" s="87"/>
    </row>
    <row r="794" spans="1:36" ht="12.7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c r="AH794" s="87"/>
      <c r="AI794" s="86"/>
      <c r="AJ794" s="87"/>
    </row>
    <row r="795" spans="1:36" ht="12.7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c r="AH795" s="87"/>
      <c r="AI795" s="86"/>
      <c r="AJ795" s="87"/>
    </row>
    <row r="796" spans="1:36" ht="12.7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c r="AH796" s="87"/>
      <c r="AI796" s="86"/>
      <c r="AJ796" s="87"/>
    </row>
    <row r="797" spans="1:36" ht="12.7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c r="AH797" s="87"/>
      <c r="AI797" s="86"/>
      <c r="AJ797" s="87"/>
    </row>
    <row r="798" spans="1:36" ht="12.7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c r="AH798" s="87"/>
      <c r="AI798" s="86"/>
      <c r="AJ798" s="87"/>
    </row>
    <row r="799" spans="1:36" ht="12.7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c r="AH799" s="87"/>
      <c r="AI799" s="86"/>
      <c r="AJ799" s="87"/>
    </row>
    <row r="800" spans="1:36" ht="12.7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c r="AH800" s="87"/>
      <c r="AI800" s="86"/>
      <c r="AJ800" s="87"/>
    </row>
    <row r="801" spans="1:36" ht="12.7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c r="AH801" s="87"/>
      <c r="AI801" s="86"/>
      <c r="AJ801" s="87"/>
    </row>
    <row r="802" spans="1:36" ht="12.7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c r="AH802" s="87"/>
      <c r="AI802" s="86"/>
      <c r="AJ802" s="87"/>
    </row>
    <row r="803" spans="1:36" ht="12.7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c r="AH803" s="87"/>
      <c r="AI803" s="86"/>
      <c r="AJ803" s="87"/>
    </row>
    <row r="804" spans="1:36" ht="12.7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c r="AH804" s="87"/>
      <c r="AI804" s="86"/>
      <c r="AJ804" s="87"/>
    </row>
    <row r="805" spans="1:36" ht="12.7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c r="AH805" s="87"/>
      <c r="AI805" s="86"/>
      <c r="AJ805" s="87"/>
    </row>
    <row r="806" spans="1:36" ht="12.7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c r="AH806" s="87"/>
      <c r="AI806" s="86"/>
      <c r="AJ806" s="87"/>
    </row>
    <row r="807" spans="1:36" ht="12.7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c r="AH807" s="87"/>
      <c r="AI807" s="86"/>
      <c r="AJ807" s="87"/>
    </row>
    <row r="808" spans="1:36" ht="12.7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c r="AH808" s="87"/>
      <c r="AI808" s="86"/>
      <c r="AJ808" s="87"/>
    </row>
    <row r="809" spans="1:36" ht="12.7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c r="AH809" s="87"/>
      <c r="AI809" s="86"/>
      <c r="AJ809" s="87"/>
    </row>
    <row r="810" spans="1:36" ht="12.7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c r="AH810" s="87"/>
      <c r="AI810" s="86"/>
      <c r="AJ810" s="87"/>
    </row>
    <row r="811" spans="1:36" ht="12.7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c r="AH811" s="87"/>
      <c r="AI811" s="86"/>
      <c r="AJ811" s="87"/>
    </row>
    <row r="812" spans="1:36" ht="12.7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c r="AH812" s="87"/>
      <c r="AI812" s="86"/>
      <c r="AJ812" s="87"/>
    </row>
    <row r="813" spans="1:36" ht="12.7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c r="AH813" s="87"/>
      <c r="AI813" s="86"/>
      <c r="AJ813" s="87"/>
    </row>
    <row r="814" spans="1:36" ht="12.7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c r="AH814" s="87"/>
      <c r="AI814" s="86"/>
      <c r="AJ814" s="87"/>
    </row>
    <row r="815" spans="1:36" ht="12.7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c r="AH815" s="87"/>
      <c r="AI815" s="86"/>
      <c r="AJ815" s="87"/>
    </row>
    <row r="816" spans="1:36" ht="12.7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c r="AH816" s="87"/>
      <c r="AI816" s="86"/>
      <c r="AJ816" s="87"/>
    </row>
    <row r="817" spans="1:36" ht="12.7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c r="AH817" s="87"/>
      <c r="AI817" s="86"/>
      <c r="AJ817" s="87"/>
    </row>
    <row r="818" spans="1:36" ht="12.7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c r="AH818" s="87"/>
      <c r="AI818" s="86"/>
      <c r="AJ818" s="87"/>
    </row>
    <row r="819" spans="1:36" ht="12.7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c r="AH819" s="87"/>
      <c r="AI819" s="86"/>
      <c r="AJ819" s="87"/>
    </row>
    <row r="820" spans="1:36" ht="12.7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c r="AH820" s="87"/>
      <c r="AI820" s="86"/>
      <c r="AJ820" s="87"/>
    </row>
    <row r="821" spans="1:36" ht="12.7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c r="AH821" s="87"/>
      <c r="AI821" s="86"/>
      <c r="AJ821" s="87"/>
    </row>
    <row r="822" spans="1:36" ht="12.7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c r="AH822" s="87"/>
      <c r="AI822" s="86"/>
      <c r="AJ822" s="87"/>
    </row>
    <row r="823" spans="1:36" ht="12.7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c r="AH823" s="87"/>
      <c r="AI823" s="86"/>
      <c r="AJ823" s="87"/>
    </row>
    <row r="824" spans="1:36" ht="12.7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c r="AH824" s="87"/>
      <c r="AI824" s="86"/>
      <c r="AJ824" s="87"/>
    </row>
    <row r="825" spans="1:36" ht="12.7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c r="AH825" s="87"/>
      <c r="AI825" s="86"/>
      <c r="AJ825" s="87"/>
    </row>
    <row r="826" spans="1:36" ht="12.7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c r="AH826" s="87"/>
      <c r="AI826" s="86"/>
      <c r="AJ826" s="87"/>
    </row>
    <row r="827" spans="1:36" ht="12.7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c r="AH827" s="87"/>
      <c r="AI827" s="86"/>
      <c r="AJ827" s="87"/>
    </row>
    <row r="828" spans="1:36" ht="12.7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c r="AH828" s="87"/>
      <c r="AI828" s="86"/>
      <c r="AJ828" s="87"/>
    </row>
    <row r="829" spans="1:36" ht="12.7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c r="AH829" s="87"/>
      <c r="AI829" s="86"/>
      <c r="AJ829" s="87"/>
    </row>
    <row r="830" spans="1:36" ht="12.7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c r="AH830" s="87"/>
      <c r="AI830" s="86"/>
      <c r="AJ830" s="87"/>
    </row>
    <row r="831" spans="1:36" ht="12.7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c r="AH831" s="87"/>
      <c r="AI831" s="86"/>
      <c r="AJ831" s="87"/>
    </row>
    <row r="832" spans="1:36" ht="12.7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c r="AH832" s="87"/>
      <c r="AI832" s="86"/>
      <c r="AJ832" s="87"/>
    </row>
    <row r="833" spans="1:36" ht="12.7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c r="AH833" s="87"/>
      <c r="AI833" s="86"/>
      <c r="AJ833" s="87"/>
    </row>
    <row r="834" spans="1:36" ht="12.7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c r="AH834" s="87"/>
      <c r="AI834" s="86"/>
      <c r="AJ834" s="87"/>
    </row>
    <row r="835" spans="1:36" ht="12.7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c r="AH835" s="87"/>
      <c r="AI835" s="86"/>
      <c r="AJ835" s="87"/>
    </row>
    <row r="836" spans="1:36" ht="12.7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c r="AH836" s="87"/>
      <c r="AI836" s="86"/>
      <c r="AJ836" s="87"/>
    </row>
    <row r="837" spans="1:36" ht="12.7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c r="AH837" s="87"/>
      <c r="AI837" s="86"/>
      <c r="AJ837" s="87"/>
    </row>
    <row r="838" spans="1:36" ht="12.7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c r="AH838" s="87"/>
      <c r="AI838" s="86"/>
      <c r="AJ838" s="87"/>
    </row>
    <row r="839" spans="1:36" ht="12.7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c r="AH839" s="87"/>
      <c r="AI839" s="86"/>
      <c r="AJ839" s="87"/>
    </row>
    <row r="840" spans="1:36" ht="12.7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c r="AH840" s="87"/>
      <c r="AI840" s="86"/>
      <c r="AJ840" s="87"/>
    </row>
    <row r="841" spans="1:36" ht="12.7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c r="AH841" s="87"/>
      <c r="AI841" s="86"/>
      <c r="AJ841" s="87"/>
    </row>
    <row r="842" spans="1:36" ht="12.7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c r="AH842" s="87"/>
      <c r="AI842" s="86"/>
      <c r="AJ842" s="87"/>
    </row>
    <row r="843" spans="1:36" ht="12.7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c r="AH843" s="87"/>
      <c r="AI843" s="86"/>
      <c r="AJ843" s="87"/>
    </row>
    <row r="844" spans="1:36" ht="12.7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c r="AH844" s="87"/>
      <c r="AI844" s="86"/>
      <c r="AJ844" s="87"/>
    </row>
    <row r="845" spans="1:36" ht="12.7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c r="AH845" s="87"/>
      <c r="AI845" s="86"/>
      <c r="AJ845" s="87"/>
    </row>
    <row r="846" spans="1:36" ht="12.7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c r="AH846" s="87"/>
      <c r="AI846" s="86"/>
      <c r="AJ846" s="87"/>
    </row>
    <row r="847" spans="1:36" ht="12.7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c r="AH847" s="87"/>
      <c r="AI847" s="86"/>
      <c r="AJ847" s="87"/>
    </row>
    <row r="848" spans="1:36" ht="12.7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c r="AH848" s="87"/>
      <c r="AI848" s="86"/>
      <c r="AJ848" s="87"/>
    </row>
    <row r="849" spans="1:36" ht="12.7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c r="AH849" s="87"/>
      <c r="AI849" s="86"/>
      <c r="AJ849" s="87"/>
    </row>
    <row r="850" spans="1:36" ht="12.7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c r="AH850" s="87"/>
      <c r="AI850" s="86"/>
      <c r="AJ850" s="87"/>
    </row>
    <row r="851" spans="1:36" ht="12.7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c r="AH851" s="87"/>
      <c r="AI851" s="86"/>
      <c r="AJ851" s="87"/>
    </row>
    <row r="852" spans="1:36" ht="12.7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c r="AH852" s="87"/>
      <c r="AI852" s="86"/>
      <c r="AJ852" s="87"/>
    </row>
    <row r="853" spans="1:36" ht="12.7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c r="AH853" s="87"/>
      <c r="AI853" s="86"/>
      <c r="AJ853" s="87"/>
    </row>
    <row r="854" spans="1:36" ht="12.7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c r="AH854" s="87"/>
      <c r="AI854" s="86"/>
      <c r="AJ854" s="87"/>
    </row>
    <row r="855" spans="1:36" ht="12.7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c r="AH855" s="87"/>
      <c r="AI855" s="86"/>
      <c r="AJ855" s="87"/>
    </row>
    <row r="856" spans="1:36" ht="12.7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c r="AH856" s="87"/>
      <c r="AI856" s="86"/>
      <c r="AJ856" s="87"/>
    </row>
    <row r="857" spans="1:36" ht="12.7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c r="AH857" s="87"/>
      <c r="AI857" s="86"/>
      <c r="AJ857" s="87"/>
    </row>
    <row r="858" spans="1:36" ht="12.7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c r="AH858" s="87"/>
      <c r="AI858" s="86"/>
      <c r="AJ858" s="87"/>
    </row>
    <row r="859" spans="1:36" ht="12.7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c r="AH859" s="87"/>
      <c r="AI859" s="86"/>
      <c r="AJ859" s="87"/>
    </row>
    <row r="860" spans="1:36" ht="12.7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c r="AH860" s="87"/>
      <c r="AI860" s="86"/>
      <c r="AJ860" s="87"/>
    </row>
    <row r="861" spans="1:36" ht="12.7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c r="AH861" s="87"/>
      <c r="AI861" s="86"/>
      <c r="AJ861" s="87"/>
    </row>
    <row r="862" spans="1:36" ht="12.7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c r="AH862" s="87"/>
      <c r="AI862" s="86"/>
      <c r="AJ862" s="87"/>
    </row>
    <row r="863" spans="1:36" ht="12.7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c r="AH863" s="87"/>
      <c r="AI863" s="86"/>
      <c r="AJ863" s="87"/>
    </row>
    <row r="864" spans="1:36" ht="12.7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c r="AH864" s="87"/>
      <c r="AI864" s="86"/>
      <c r="AJ864" s="87"/>
    </row>
    <row r="865" spans="1:36" ht="12.7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c r="AH865" s="87"/>
      <c r="AI865" s="86"/>
      <c r="AJ865" s="87"/>
    </row>
    <row r="866" spans="1:36" ht="12.7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c r="AH866" s="87"/>
      <c r="AI866" s="86"/>
      <c r="AJ866" s="87"/>
    </row>
    <row r="867" spans="1:36" ht="12.7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c r="AH867" s="87"/>
      <c r="AI867" s="86"/>
      <c r="AJ867" s="87"/>
    </row>
    <row r="868" spans="1:36" ht="12.7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c r="AH868" s="87"/>
      <c r="AI868" s="86"/>
      <c r="AJ868" s="87"/>
    </row>
    <row r="869" spans="1:36" ht="12.7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c r="AH869" s="87"/>
      <c r="AI869" s="86"/>
      <c r="AJ869" s="87"/>
    </row>
    <row r="870" spans="1:36" ht="12.7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c r="AH870" s="87"/>
      <c r="AI870" s="86"/>
      <c r="AJ870" s="87"/>
    </row>
    <row r="871" spans="1:36" ht="12.7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c r="AH871" s="87"/>
      <c r="AI871" s="86"/>
      <c r="AJ871" s="87"/>
    </row>
    <row r="872" spans="1:36" ht="12.7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c r="AH872" s="87"/>
      <c r="AI872" s="86"/>
      <c r="AJ872" s="87"/>
    </row>
    <row r="873" spans="1:36" ht="12.7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c r="AH873" s="87"/>
      <c r="AI873" s="86"/>
      <c r="AJ873" s="87"/>
    </row>
    <row r="874" spans="1:36" ht="12.7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c r="AH874" s="87"/>
      <c r="AI874" s="86"/>
      <c r="AJ874" s="87"/>
    </row>
    <row r="875" spans="1:36" ht="12.7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c r="AH875" s="87"/>
      <c r="AI875" s="86"/>
      <c r="AJ875" s="87"/>
    </row>
    <row r="876" spans="1:36" ht="12.7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c r="AH876" s="87"/>
      <c r="AI876" s="86"/>
      <c r="AJ876" s="87"/>
    </row>
    <row r="877" spans="1:36" ht="12.7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c r="AH877" s="87"/>
      <c r="AI877" s="86"/>
      <c r="AJ877" s="87"/>
    </row>
    <row r="878" spans="1:36" ht="12.7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c r="AH878" s="87"/>
      <c r="AI878" s="86"/>
      <c r="AJ878" s="87"/>
    </row>
    <row r="879" spans="1:36" ht="12.7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c r="AH879" s="87"/>
      <c r="AI879" s="86"/>
      <c r="AJ879" s="87"/>
    </row>
    <row r="880" spans="1:36" ht="12.7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c r="AH880" s="87"/>
      <c r="AI880" s="86"/>
      <c r="AJ880" s="87"/>
    </row>
    <row r="881" spans="1:36" ht="12.7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c r="AH881" s="87"/>
      <c r="AI881" s="86"/>
      <c r="AJ881" s="87"/>
    </row>
    <row r="882" spans="1:36" ht="12.7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c r="AH882" s="87"/>
      <c r="AI882" s="86"/>
      <c r="AJ882" s="87"/>
    </row>
    <row r="883" spans="1:36" ht="12.7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c r="AH883" s="87"/>
      <c r="AI883" s="86"/>
      <c r="AJ883" s="87"/>
    </row>
    <row r="884" spans="1:36" ht="12.7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c r="AH884" s="87"/>
      <c r="AI884" s="86"/>
      <c r="AJ884" s="87"/>
    </row>
    <row r="885" spans="1:36" ht="12.7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c r="AH885" s="87"/>
      <c r="AI885" s="86"/>
      <c r="AJ885" s="87"/>
    </row>
    <row r="886" spans="1:36" ht="12.7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c r="AH886" s="87"/>
      <c r="AI886" s="86"/>
      <c r="AJ886" s="87"/>
    </row>
    <row r="887" spans="1:36" ht="12.7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c r="AH887" s="87"/>
      <c r="AI887" s="86"/>
      <c r="AJ887" s="87"/>
    </row>
    <row r="888" spans="1:36" ht="12.7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c r="AH888" s="87"/>
      <c r="AI888" s="86"/>
      <c r="AJ888" s="87"/>
    </row>
    <row r="889" spans="1:36" ht="12.7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c r="AH889" s="87"/>
      <c r="AI889" s="86"/>
      <c r="AJ889" s="87"/>
    </row>
    <row r="890" spans="1:36" ht="12.7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c r="AH890" s="87"/>
      <c r="AI890" s="86"/>
      <c r="AJ890" s="87"/>
    </row>
    <row r="891" spans="1:36" ht="12.7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c r="AH891" s="87"/>
      <c r="AI891" s="86"/>
      <c r="AJ891" s="87"/>
    </row>
    <row r="892" spans="1:36" ht="12.7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c r="AH892" s="87"/>
      <c r="AI892" s="86"/>
      <c r="AJ892" s="87"/>
    </row>
    <row r="893" spans="1:36" ht="12.7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c r="AH893" s="87"/>
      <c r="AI893" s="86"/>
      <c r="AJ893" s="87"/>
    </row>
    <row r="894" spans="1:36" ht="12.7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c r="AH894" s="87"/>
      <c r="AI894" s="86"/>
      <c r="AJ894" s="87"/>
    </row>
    <row r="895" spans="1:36" ht="12.7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c r="AH895" s="87"/>
      <c r="AI895" s="86"/>
      <c r="AJ895" s="87"/>
    </row>
    <row r="896" spans="1:36" ht="12.7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c r="AH896" s="87"/>
      <c r="AI896" s="86"/>
      <c r="AJ896" s="87"/>
    </row>
    <row r="897" spans="1:36" ht="12.7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c r="AH897" s="87"/>
      <c r="AI897" s="86"/>
      <c r="AJ897" s="87"/>
    </row>
    <row r="898" spans="1:36" ht="12.7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c r="AH898" s="87"/>
      <c r="AI898" s="86"/>
      <c r="AJ898" s="87"/>
    </row>
    <row r="899" spans="1:36" ht="12.7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c r="AH899" s="87"/>
      <c r="AI899" s="86"/>
      <c r="AJ899" s="87"/>
    </row>
    <row r="900" spans="1:36" ht="12.7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c r="AH900" s="87"/>
      <c r="AI900" s="86"/>
      <c r="AJ900" s="87"/>
    </row>
    <row r="901" spans="1:36" ht="12.7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c r="AH901" s="87"/>
      <c r="AI901" s="86"/>
      <c r="AJ901" s="87"/>
    </row>
    <row r="902" spans="1:36" ht="12.7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c r="AH902" s="87"/>
      <c r="AI902" s="86"/>
      <c r="AJ902" s="87"/>
    </row>
    <row r="903" spans="1:36" ht="12.7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c r="AH903" s="87"/>
      <c r="AI903" s="86"/>
      <c r="AJ903" s="87"/>
    </row>
    <row r="904" spans="1:36" ht="12.7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c r="AH904" s="87"/>
      <c r="AI904" s="86"/>
      <c r="AJ904" s="87"/>
    </row>
    <row r="905" spans="1:36" ht="12.7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c r="AH905" s="87"/>
      <c r="AI905" s="86"/>
      <c r="AJ905" s="87"/>
    </row>
    <row r="906" spans="1:36" ht="12.7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c r="AH906" s="87"/>
      <c r="AI906" s="86"/>
      <c r="AJ906" s="87"/>
    </row>
    <row r="907" spans="1:36" ht="12.7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c r="AH907" s="87"/>
      <c r="AI907" s="86"/>
      <c r="AJ907" s="87"/>
    </row>
    <row r="908" spans="1:36" ht="12.7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c r="AH908" s="87"/>
      <c r="AI908" s="86"/>
      <c r="AJ908" s="87"/>
    </row>
    <row r="909" spans="1:36" ht="12.7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c r="AH909" s="87"/>
      <c r="AI909" s="86"/>
      <c r="AJ909" s="87"/>
    </row>
    <row r="910" spans="1:36" ht="12.7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c r="AH910" s="87"/>
      <c r="AI910" s="86"/>
      <c r="AJ910" s="87"/>
    </row>
    <row r="911" spans="1:36" ht="12.7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c r="AH911" s="87"/>
      <c r="AI911" s="86"/>
      <c r="AJ911" s="87"/>
    </row>
    <row r="912" spans="1:36" ht="12.7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c r="AH912" s="87"/>
      <c r="AI912" s="86"/>
      <c r="AJ912" s="87"/>
    </row>
    <row r="913" spans="1:36" ht="12.7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c r="AH913" s="87"/>
      <c r="AI913" s="86"/>
      <c r="AJ913" s="87"/>
    </row>
    <row r="914" spans="1:36" ht="12.7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c r="AH914" s="87"/>
      <c r="AI914" s="86"/>
      <c r="AJ914" s="87"/>
    </row>
    <row r="915" spans="1:36" ht="12.7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6"/>
      <c r="AJ915" s="87"/>
    </row>
    <row r="916" spans="1:36" ht="12.7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c r="AH916" s="87"/>
      <c r="AI916" s="86"/>
      <c r="AJ916" s="87"/>
    </row>
    <row r="917" spans="1:36" ht="12.7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c r="AH917" s="87"/>
      <c r="AI917" s="86"/>
      <c r="AJ917" s="87"/>
    </row>
    <row r="918" spans="1:36" ht="12.7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c r="AH918" s="87"/>
      <c r="AI918" s="86"/>
      <c r="AJ918" s="87"/>
    </row>
    <row r="919" spans="1:36" ht="12.7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c r="AH919" s="87"/>
      <c r="AI919" s="86"/>
      <c r="AJ919" s="87"/>
    </row>
    <row r="920" spans="1:36" ht="12.7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c r="AH920" s="87"/>
      <c r="AI920" s="86"/>
      <c r="AJ920" s="87"/>
    </row>
    <row r="921" spans="1:36" ht="12.7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c r="AH921" s="87"/>
      <c r="AI921" s="86"/>
      <c r="AJ921" s="87"/>
    </row>
    <row r="922" spans="1:36" ht="12.7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c r="AH922" s="87"/>
      <c r="AI922" s="86"/>
      <c r="AJ922" s="87"/>
    </row>
    <row r="923" spans="1:36" ht="12.7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c r="AH923" s="87"/>
      <c r="AI923" s="86"/>
      <c r="AJ923" s="87"/>
    </row>
    <row r="924" spans="1:36" ht="12.7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c r="AH924" s="87"/>
      <c r="AI924" s="86"/>
      <c r="AJ924" s="87"/>
    </row>
    <row r="925" spans="1:36" ht="12.7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c r="AH925" s="87"/>
      <c r="AI925" s="86"/>
      <c r="AJ925" s="87"/>
    </row>
    <row r="926" spans="1:36" ht="12.7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6"/>
      <c r="AJ926" s="87"/>
    </row>
    <row r="927" spans="1:36" ht="12.7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6"/>
      <c r="AJ927" s="87"/>
    </row>
    <row r="928" spans="1:36" ht="12.7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6"/>
      <c r="AJ928" s="87"/>
    </row>
    <row r="929" spans="1:36" ht="12.7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c r="AH929" s="87"/>
      <c r="AI929" s="86"/>
      <c r="AJ929" s="87"/>
    </row>
    <row r="930" spans="1:36" ht="12.7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c r="AH930" s="87"/>
      <c r="AI930" s="86"/>
      <c r="AJ930" s="87"/>
    </row>
    <row r="931" spans="1:36" ht="12.7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c r="AH931" s="87"/>
      <c r="AI931" s="86"/>
      <c r="AJ931" s="87"/>
    </row>
    <row r="932" spans="1:36" ht="12.7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c r="AH932" s="87"/>
      <c r="AI932" s="86"/>
      <c r="AJ932" s="87"/>
    </row>
    <row r="933" spans="1:36" ht="12.7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c r="AH933" s="87"/>
      <c r="AI933" s="86"/>
      <c r="AJ933" s="87"/>
    </row>
    <row r="934" spans="1:36" ht="12.7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c r="AH934" s="87"/>
      <c r="AI934" s="86"/>
      <c r="AJ934" s="87"/>
    </row>
    <row r="935" spans="1:36" ht="12.7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c r="AH935" s="87"/>
      <c r="AI935" s="86"/>
      <c r="AJ935" s="87"/>
    </row>
    <row r="936" spans="1:36" ht="12.7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c r="AH936" s="87"/>
      <c r="AI936" s="86"/>
      <c r="AJ936" s="87"/>
    </row>
    <row r="937" spans="1:36" ht="12.7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c r="AH937" s="87"/>
      <c r="AI937" s="86"/>
      <c r="AJ937" s="87"/>
    </row>
    <row r="938" spans="1:36" ht="12.7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c r="AH938" s="87"/>
      <c r="AI938" s="86"/>
      <c r="AJ938" s="87"/>
    </row>
    <row r="939" spans="1:36" ht="12.7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c r="AH939" s="87"/>
      <c r="AI939" s="86"/>
      <c r="AJ939" s="87"/>
    </row>
    <row r="940" spans="1:36" ht="12.7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c r="AH940" s="87"/>
      <c r="AI940" s="86"/>
      <c r="AJ940" s="87"/>
    </row>
    <row r="941" spans="1:36" ht="12.7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c r="AH941" s="87"/>
      <c r="AI941" s="86"/>
      <c r="AJ941" s="87"/>
    </row>
    <row r="942" spans="1:36" ht="12.7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c r="AH942" s="87"/>
      <c r="AI942" s="86"/>
      <c r="AJ942" s="87"/>
    </row>
    <row r="943" spans="1:36" ht="12.7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c r="AH943" s="87"/>
      <c r="AI943" s="86"/>
      <c r="AJ943" s="87"/>
    </row>
    <row r="944" spans="1:36" ht="12.7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c r="AH944" s="87"/>
      <c r="AI944" s="86"/>
      <c r="AJ944" s="87"/>
    </row>
    <row r="945" spans="1:36" ht="12.7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c r="AH945" s="87"/>
      <c r="AI945" s="86"/>
      <c r="AJ945" s="87"/>
    </row>
    <row r="946" spans="1:36" ht="12.7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c r="AH946" s="87"/>
      <c r="AI946" s="86"/>
      <c r="AJ946" s="87"/>
    </row>
    <row r="947" spans="1:36" ht="12.7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c r="AH947" s="87"/>
      <c r="AI947" s="86"/>
      <c r="AJ947" s="87"/>
    </row>
    <row r="948" spans="1:36" ht="12.7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c r="AH948" s="87"/>
      <c r="AI948" s="86"/>
      <c r="AJ948" s="87"/>
    </row>
    <row r="949" spans="1:36" ht="12.7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c r="AH949" s="87"/>
      <c r="AI949" s="86"/>
      <c r="AJ949" s="87"/>
    </row>
    <row r="950" spans="1:36" ht="12.7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c r="AH950" s="87"/>
      <c r="AI950" s="86"/>
      <c r="AJ950" s="87"/>
    </row>
    <row r="951" spans="1:36" ht="12.7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c r="AH951" s="87"/>
      <c r="AI951" s="86"/>
      <c r="AJ951" s="87"/>
    </row>
    <row r="952" spans="1:36" ht="12.7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c r="AH952" s="87"/>
      <c r="AI952" s="86"/>
      <c r="AJ952" s="87"/>
    </row>
    <row r="953" spans="1:36" ht="12.7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c r="AH953" s="87"/>
      <c r="AI953" s="86"/>
      <c r="AJ953" s="87"/>
    </row>
    <row r="954" spans="1:36" ht="12.7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c r="AH954" s="87"/>
      <c r="AI954" s="86"/>
      <c r="AJ954" s="87"/>
    </row>
    <row r="955" spans="1:36" ht="12.7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c r="AH955" s="87"/>
      <c r="AI955" s="86"/>
      <c r="AJ955" s="87"/>
    </row>
    <row r="956" spans="1:36" ht="12.7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c r="AH956" s="87"/>
      <c r="AI956" s="86"/>
      <c r="AJ956" s="87"/>
    </row>
    <row r="957" spans="1:36" ht="12.7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c r="AH957" s="87"/>
      <c r="AI957" s="86"/>
      <c r="AJ957" s="87"/>
    </row>
    <row r="958" spans="1:36" ht="12.7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c r="AH958" s="87"/>
      <c r="AI958" s="86"/>
      <c r="AJ958" s="87"/>
    </row>
    <row r="959" spans="1:36" ht="12.7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c r="AH959" s="87"/>
      <c r="AI959" s="86"/>
      <c r="AJ959" s="87"/>
    </row>
    <row r="960" spans="1:36" ht="12.7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c r="AH960" s="87"/>
      <c r="AI960" s="86"/>
      <c r="AJ960" s="87"/>
    </row>
    <row r="961" spans="1:36" ht="12.7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c r="AH961" s="87"/>
      <c r="AI961" s="86"/>
      <c r="AJ961" s="87"/>
    </row>
    <row r="962" spans="1:36" ht="12.7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c r="AH962" s="87"/>
      <c r="AI962" s="86"/>
      <c r="AJ962" s="87"/>
    </row>
    <row r="963" spans="1:36" ht="12.7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c r="AH963" s="87"/>
      <c r="AI963" s="86"/>
      <c r="AJ963" s="87"/>
    </row>
    <row r="964" spans="1:36" ht="12.7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c r="AH964" s="87"/>
      <c r="AI964" s="86"/>
      <c r="AJ964" s="87"/>
    </row>
    <row r="965" spans="1:36" ht="12.7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c r="AH965" s="87"/>
      <c r="AI965" s="86"/>
      <c r="AJ965" s="87"/>
    </row>
    <row r="966" spans="1:36" ht="12.7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c r="AH966" s="87"/>
      <c r="AI966" s="86"/>
      <c r="AJ966" s="87"/>
    </row>
    <row r="967" spans="1:36" ht="12.7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c r="AH967" s="87"/>
      <c r="AI967" s="86"/>
      <c r="AJ967" s="87"/>
    </row>
    <row r="968" spans="1:36" ht="12.7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c r="AH968" s="87"/>
      <c r="AI968" s="86"/>
      <c r="AJ968" s="87"/>
    </row>
    <row r="969" spans="1:36" ht="12.7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c r="AH969" s="87"/>
      <c r="AI969" s="86"/>
      <c r="AJ969" s="87"/>
    </row>
    <row r="970" spans="1:36" ht="12.7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c r="AH970" s="87"/>
      <c r="AI970" s="86"/>
      <c r="AJ970" s="87"/>
    </row>
    <row r="971" spans="1:36" ht="12.7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c r="AH971" s="87"/>
      <c r="AI971" s="86"/>
      <c r="AJ971" s="87"/>
    </row>
    <row r="972" spans="1:36" ht="12.7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c r="AH972" s="87"/>
      <c r="AI972" s="86"/>
      <c r="AJ972" s="87"/>
    </row>
    <row r="973" spans="1:36" ht="12.7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c r="AH973" s="87"/>
      <c r="AI973" s="86"/>
      <c r="AJ973" s="87"/>
    </row>
    <row r="974" spans="1:36" ht="12.7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c r="AH974" s="87"/>
      <c r="AI974" s="86"/>
      <c r="AJ974" s="87"/>
    </row>
    <row r="975" spans="1:36" ht="12.7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c r="AH975" s="87"/>
      <c r="AI975" s="86"/>
      <c r="AJ975" s="87"/>
    </row>
    <row r="976" spans="1:36" ht="12.7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c r="AH976" s="87"/>
      <c r="AI976" s="86"/>
      <c r="AJ976" s="87"/>
    </row>
    <row r="977" spans="1:36" ht="12.7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c r="AH977" s="87"/>
      <c r="AI977" s="86"/>
      <c r="AJ977" s="87"/>
    </row>
    <row r="978" spans="1:36" ht="12.7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c r="AH978" s="87"/>
      <c r="AI978" s="86"/>
      <c r="AJ978" s="87"/>
    </row>
    <row r="979" spans="1:36" ht="12.7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c r="AH979" s="87"/>
      <c r="AI979" s="86"/>
      <c r="AJ979" s="87"/>
    </row>
    <row r="980" spans="1:36" ht="12.7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c r="AH980" s="87"/>
      <c r="AI980" s="86"/>
      <c r="AJ980" s="87"/>
    </row>
    <row r="981" spans="1:36" ht="12.7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c r="AH981" s="87"/>
      <c r="AI981" s="86"/>
      <c r="AJ981" s="87"/>
    </row>
    <row r="982" spans="1:36" ht="12.7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c r="AH982" s="87"/>
      <c r="AI982" s="86"/>
      <c r="AJ982" s="87"/>
    </row>
    <row r="983" spans="1:36" ht="12.7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c r="AH983" s="87"/>
      <c r="AI983" s="86"/>
      <c r="AJ983" s="87"/>
    </row>
    <row r="984" spans="1:36" ht="12.7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c r="AH984" s="87"/>
      <c r="AI984" s="86"/>
      <c r="AJ984" s="87"/>
    </row>
    <row r="985" spans="1:36" ht="12.7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c r="AH985" s="87"/>
      <c r="AI985" s="86"/>
      <c r="AJ985" s="87"/>
    </row>
    <row r="986" spans="1:36" ht="12.7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c r="AH986" s="87"/>
      <c r="AI986" s="86"/>
      <c r="AJ986" s="87"/>
    </row>
  </sheetData>
  <autoFilter ref="A1:AJ4" xr:uid="{00000000-0009-0000-0000-00000F000000}"/>
  <conditionalFormatting sqref="AD1:AH1 AD5:AH986">
    <cfRule type="containsText" dxfId="2" priority="1" operator="containsText" text="x">
      <formula>NOT(ISERROR(SEARCH(("x"),(AD1))))</formula>
    </cfRule>
  </conditionalFormatting>
  <conditionalFormatting sqref="AE1:AI1 AE5:AI986">
    <cfRule type="containsText" dxfId="1" priority="2" operator="containsText" text="-">
      <formula>NOT(ISERROR(SEARCH(("-"),(AE1))))</formula>
    </cfRule>
  </conditionalFormatting>
  <conditionalFormatting sqref="AH5:AH17">
    <cfRule type="containsText" dxfId="0" priority="3" operator="containsText" text="SI">
      <formula>NOT(ISERROR(SEARCH(("SI"),(AH5))))</formula>
    </cfRule>
  </conditionalFormatting>
  <hyperlinks>
    <hyperlink ref="K3" r:id="rId1"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X988"/>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5" width="14.140625" customWidth="1"/>
    <col min="6" max="6" width="35.28515625" customWidth="1"/>
    <col min="7" max="23" width="14.140625" customWidth="1"/>
    <col min="24" max="24" width="7.7109375" customWidth="1"/>
  </cols>
  <sheetData>
    <row r="1" spans="1:24"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row>
    <row r="2" spans="1:24" ht="12.75">
      <c r="A2" s="121">
        <v>2017</v>
      </c>
      <c r="B2" s="80" t="s">
        <v>1961</v>
      </c>
      <c r="C2" s="81" t="s">
        <v>1525</v>
      </c>
      <c r="D2" s="82">
        <v>42931</v>
      </c>
      <c r="E2" s="82">
        <v>42938</v>
      </c>
      <c r="F2" s="80" t="s">
        <v>1524</v>
      </c>
      <c r="G2" s="80" t="s">
        <v>202</v>
      </c>
      <c r="H2" s="80" t="s">
        <v>1526</v>
      </c>
      <c r="I2" s="80"/>
      <c r="J2" s="80"/>
      <c r="K2" s="80"/>
      <c r="L2" s="132" t="s">
        <v>1527</v>
      </c>
      <c r="M2" s="80"/>
      <c r="N2" s="80"/>
      <c r="O2" s="80"/>
      <c r="P2" s="80"/>
      <c r="Q2" s="80" t="s">
        <v>54</v>
      </c>
      <c r="R2" s="80" t="s">
        <v>55</v>
      </c>
      <c r="S2" s="80"/>
      <c r="T2" s="80"/>
      <c r="U2" s="80"/>
      <c r="V2" s="80"/>
      <c r="W2" s="80"/>
      <c r="X2" s="80" t="s">
        <v>55</v>
      </c>
    </row>
    <row r="3" spans="1:24" ht="12.75">
      <c r="A3" s="81">
        <v>2012</v>
      </c>
      <c r="B3" s="80" t="s">
        <v>1531</v>
      </c>
      <c r="C3" s="81" t="s">
        <v>1532</v>
      </c>
      <c r="D3" s="82">
        <v>41106</v>
      </c>
      <c r="E3" s="82">
        <v>41120</v>
      </c>
      <c r="F3" s="80" t="s">
        <v>1524</v>
      </c>
      <c r="G3" s="80" t="s">
        <v>1999</v>
      </c>
      <c r="H3" s="80" t="s">
        <v>1533</v>
      </c>
      <c r="I3" s="80" t="s">
        <v>1534</v>
      </c>
      <c r="J3" s="73"/>
      <c r="K3" s="84" t="s">
        <v>1535</v>
      </c>
      <c r="L3" s="73"/>
      <c r="M3" s="73"/>
      <c r="N3" s="73"/>
      <c r="O3" s="73"/>
      <c r="P3" s="73"/>
      <c r="Q3" s="73"/>
      <c r="R3" s="73"/>
      <c r="S3" s="73"/>
      <c r="T3" s="73"/>
      <c r="U3" s="73"/>
      <c r="V3" s="73"/>
      <c r="W3" s="73"/>
      <c r="X3" s="73"/>
    </row>
    <row r="4" spans="1:24" ht="12.75">
      <c r="A4" s="121">
        <v>2018</v>
      </c>
      <c r="B4" s="88" t="s">
        <v>1943</v>
      </c>
      <c r="C4" s="88" t="str">
        <f>C3</f>
        <v xml:space="preserve">gs.lince@scoutsdemadrid.org </v>
      </c>
      <c r="D4" s="82">
        <v>43293</v>
      </c>
      <c r="E4" s="82">
        <v>43311</v>
      </c>
      <c r="F4" s="88" t="s">
        <v>1524</v>
      </c>
      <c r="G4" s="88" t="s">
        <v>61</v>
      </c>
      <c r="H4" s="88" t="s">
        <v>1539</v>
      </c>
      <c r="I4" s="88" t="s">
        <v>1540</v>
      </c>
      <c r="J4" s="80" t="s">
        <v>1541</v>
      </c>
      <c r="K4" s="80" t="s">
        <v>1542</v>
      </c>
      <c r="L4" s="88" t="s">
        <v>1543</v>
      </c>
      <c r="M4" s="88" t="s">
        <v>1544</v>
      </c>
      <c r="N4" s="88" t="s">
        <v>1545</v>
      </c>
      <c r="O4" s="133">
        <v>500</v>
      </c>
      <c r="P4" s="88" t="s">
        <v>1546</v>
      </c>
      <c r="Q4" s="88" t="s">
        <v>54</v>
      </c>
      <c r="R4" s="88" t="s">
        <v>55</v>
      </c>
      <c r="S4" s="88" t="s">
        <v>883</v>
      </c>
      <c r="T4" s="88" t="s">
        <v>1547</v>
      </c>
      <c r="U4" s="88" t="s">
        <v>103</v>
      </c>
      <c r="V4" s="88" t="s">
        <v>372</v>
      </c>
      <c r="W4" s="88" t="s">
        <v>1548</v>
      </c>
      <c r="X4" s="88" t="s">
        <v>55</v>
      </c>
    </row>
    <row r="5" spans="1:24" ht="12.75">
      <c r="A5" s="134"/>
      <c r="B5" s="76"/>
      <c r="C5" s="76"/>
      <c r="D5" s="77"/>
      <c r="E5" s="77"/>
      <c r="F5" s="76"/>
      <c r="G5" s="76"/>
      <c r="H5" s="76"/>
      <c r="I5" s="76"/>
      <c r="J5" s="87"/>
      <c r="K5" s="87"/>
      <c r="L5" s="76"/>
      <c r="M5" s="76"/>
      <c r="N5" s="76"/>
      <c r="O5" s="76"/>
      <c r="P5" s="76"/>
      <c r="Q5" s="76"/>
      <c r="R5" s="76"/>
      <c r="S5" s="76"/>
      <c r="T5" s="76"/>
      <c r="U5" s="76"/>
      <c r="V5" s="76"/>
      <c r="W5" s="76"/>
      <c r="X5" s="76"/>
    </row>
    <row r="6" spans="1:24" ht="12.75">
      <c r="A6" s="73"/>
      <c r="B6" s="73"/>
      <c r="C6" s="73"/>
      <c r="D6" s="73"/>
      <c r="E6" s="73"/>
      <c r="F6" s="73"/>
      <c r="G6" s="73"/>
      <c r="H6" s="73"/>
      <c r="I6" s="73"/>
      <c r="J6" s="73"/>
      <c r="K6" s="73"/>
      <c r="L6" s="73"/>
      <c r="M6" s="73"/>
      <c r="N6" s="73"/>
      <c r="O6" s="73"/>
      <c r="P6" s="73"/>
      <c r="Q6" s="73"/>
      <c r="R6" s="73"/>
      <c r="S6" s="73"/>
      <c r="T6" s="73"/>
      <c r="U6" s="73"/>
      <c r="V6" s="73"/>
      <c r="W6" s="73"/>
      <c r="X6" s="73"/>
    </row>
    <row r="7" spans="1:24" ht="12.75">
      <c r="A7" s="87"/>
      <c r="B7" s="87"/>
      <c r="C7" s="87"/>
      <c r="D7" s="87"/>
      <c r="E7" s="87"/>
      <c r="F7" s="87"/>
      <c r="G7" s="87"/>
      <c r="H7" s="87"/>
      <c r="I7" s="87"/>
      <c r="J7" s="87"/>
      <c r="K7" s="87"/>
      <c r="L7" s="87"/>
      <c r="M7" s="87"/>
      <c r="N7" s="87"/>
      <c r="O7" s="87"/>
      <c r="P7" s="87"/>
      <c r="Q7" s="87"/>
      <c r="R7" s="87"/>
      <c r="S7" s="87"/>
      <c r="T7" s="87"/>
      <c r="U7" s="87"/>
      <c r="V7" s="87"/>
      <c r="W7" s="87"/>
      <c r="X7" s="87"/>
    </row>
    <row r="8" spans="1:24" ht="12.75">
      <c r="A8" s="87"/>
      <c r="B8" s="87"/>
      <c r="C8" s="87"/>
      <c r="D8" s="87"/>
      <c r="E8" s="87"/>
      <c r="F8" s="87"/>
      <c r="G8" s="87"/>
      <c r="H8" s="87"/>
      <c r="I8" s="87"/>
      <c r="J8" s="87"/>
      <c r="K8" s="87"/>
      <c r="L8" s="87"/>
      <c r="M8" s="87"/>
      <c r="N8" s="87"/>
      <c r="O8" s="87"/>
      <c r="P8" s="87"/>
      <c r="Q8" s="87"/>
      <c r="R8" s="87"/>
      <c r="S8" s="87"/>
      <c r="T8" s="87"/>
      <c r="U8" s="87"/>
      <c r="V8" s="87"/>
      <c r="W8" s="87"/>
      <c r="X8" s="87"/>
    </row>
    <row r="9" spans="1:24" ht="12.75">
      <c r="A9" s="87"/>
      <c r="B9" s="87"/>
      <c r="C9" s="87"/>
      <c r="D9" s="87"/>
      <c r="E9" s="87"/>
      <c r="F9" s="87"/>
      <c r="G9" s="87"/>
      <c r="H9" s="87"/>
      <c r="I9" s="87"/>
      <c r="J9" s="87"/>
      <c r="K9" s="87"/>
      <c r="L9" s="87"/>
      <c r="M9" s="87"/>
      <c r="N9" s="87"/>
      <c r="O9" s="87"/>
      <c r="P9" s="87"/>
      <c r="Q9" s="87"/>
      <c r="R9" s="87"/>
      <c r="S9" s="87"/>
      <c r="T9" s="87"/>
      <c r="U9" s="87"/>
      <c r="V9" s="87"/>
      <c r="W9" s="87"/>
      <c r="X9" s="87"/>
    </row>
    <row r="10" spans="1:24" ht="12.75">
      <c r="A10" s="87"/>
      <c r="B10" s="87"/>
      <c r="C10" s="87"/>
      <c r="D10" s="87"/>
      <c r="E10" s="87"/>
      <c r="F10" s="87"/>
      <c r="G10" s="87"/>
      <c r="H10" s="87"/>
      <c r="I10" s="87"/>
      <c r="J10" s="87"/>
      <c r="K10" s="87"/>
      <c r="L10" s="87"/>
      <c r="M10" s="87"/>
      <c r="N10" s="87"/>
      <c r="O10" s="87"/>
      <c r="P10" s="87"/>
      <c r="Q10" s="87"/>
      <c r="R10" s="87"/>
      <c r="S10" s="87"/>
      <c r="T10" s="87"/>
      <c r="U10" s="87"/>
      <c r="V10" s="87"/>
      <c r="W10" s="87"/>
      <c r="X10" s="87"/>
    </row>
    <row r="11" spans="1:24" ht="12.75">
      <c r="A11" s="87"/>
      <c r="B11" s="87"/>
      <c r="C11" s="87"/>
      <c r="D11" s="87"/>
      <c r="E11" s="87"/>
      <c r="F11" s="87"/>
      <c r="G11" s="87"/>
      <c r="H11" s="87"/>
      <c r="I11" s="87"/>
      <c r="J11" s="87"/>
      <c r="K11" s="87"/>
      <c r="L11" s="87"/>
      <c r="M11" s="87"/>
      <c r="N11" s="87"/>
      <c r="O11" s="87"/>
      <c r="P11" s="87"/>
      <c r="Q11" s="87"/>
      <c r="R11" s="87"/>
      <c r="S11" s="87"/>
      <c r="T11" s="87"/>
      <c r="U11" s="87"/>
      <c r="V11" s="87"/>
      <c r="W11" s="87"/>
      <c r="X11" s="87"/>
    </row>
    <row r="12" spans="1:24" ht="12.75">
      <c r="A12" s="87"/>
      <c r="B12" s="87"/>
      <c r="C12" s="87"/>
      <c r="D12" s="87"/>
      <c r="E12" s="87"/>
      <c r="F12" s="87"/>
      <c r="G12" s="87"/>
      <c r="H12" s="87"/>
      <c r="I12" s="87"/>
      <c r="J12" s="87"/>
      <c r="K12" s="87"/>
      <c r="L12" s="87"/>
      <c r="M12" s="87"/>
      <c r="N12" s="87"/>
      <c r="O12" s="87"/>
      <c r="P12" s="87"/>
      <c r="Q12" s="87"/>
      <c r="R12" s="87"/>
      <c r="S12" s="87"/>
      <c r="T12" s="87"/>
      <c r="U12" s="87"/>
      <c r="V12" s="87"/>
      <c r="W12" s="87"/>
      <c r="X12" s="87"/>
    </row>
    <row r="13" spans="1:24" ht="12.75">
      <c r="A13" s="87"/>
      <c r="B13" s="87"/>
      <c r="C13" s="87"/>
      <c r="D13" s="87"/>
      <c r="E13" s="87"/>
      <c r="F13" s="87"/>
      <c r="G13" s="87"/>
      <c r="H13" s="87"/>
      <c r="I13" s="87"/>
      <c r="J13" s="87"/>
      <c r="K13" s="87"/>
      <c r="L13" s="87"/>
      <c r="M13" s="87"/>
      <c r="N13" s="87"/>
      <c r="O13" s="87"/>
      <c r="P13" s="87"/>
      <c r="Q13" s="87"/>
      <c r="R13" s="87"/>
      <c r="S13" s="87"/>
      <c r="T13" s="87"/>
      <c r="U13" s="87"/>
      <c r="V13" s="87"/>
      <c r="W13" s="87"/>
      <c r="X13" s="87"/>
    </row>
    <row r="14" spans="1:24" ht="12.75">
      <c r="A14" s="87"/>
      <c r="B14" s="87"/>
      <c r="C14" s="87"/>
      <c r="D14" s="87"/>
      <c r="E14" s="87"/>
      <c r="F14" s="87"/>
      <c r="G14" s="87"/>
      <c r="H14" s="87"/>
      <c r="I14" s="87"/>
      <c r="J14" s="87"/>
      <c r="K14" s="87"/>
      <c r="L14" s="87"/>
      <c r="M14" s="87"/>
      <c r="N14" s="87"/>
      <c r="O14" s="87"/>
      <c r="P14" s="87"/>
      <c r="Q14" s="87"/>
      <c r="R14" s="87"/>
      <c r="S14" s="87"/>
      <c r="T14" s="87"/>
      <c r="U14" s="87"/>
      <c r="V14" s="87"/>
      <c r="W14" s="87"/>
      <c r="X14" s="87"/>
    </row>
    <row r="15" spans="1:24" ht="12.75">
      <c r="A15" s="87"/>
      <c r="B15" s="87"/>
      <c r="C15" s="87"/>
      <c r="D15" s="87"/>
      <c r="E15" s="87"/>
      <c r="F15" s="87"/>
      <c r="G15" s="87"/>
      <c r="H15" s="87"/>
      <c r="I15" s="87"/>
      <c r="J15" s="87"/>
      <c r="K15" s="87"/>
      <c r="L15" s="87"/>
      <c r="M15" s="87"/>
      <c r="N15" s="87"/>
      <c r="O15" s="87"/>
      <c r="P15" s="87"/>
      <c r="Q15" s="87"/>
      <c r="R15" s="87"/>
      <c r="S15" s="87"/>
      <c r="T15" s="87"/>
      <c r="U15" s="87"/>
      <c r="V15" s="87"/>
      <c r="W15" s="87"/>
      <c r="X15" s="87"/>
    </row>
    <row r="16" spans="1:24" ht="12.75">
      <c r="A16" s="87"/>
      <c r="B16" s="87"/>
      <c r="C16" s="87"/>
      <c r="D16" s="87"/>
      <c r="E16" s="87"/>
      <c r="F16" s="87"/>
      <c r="G16" s="87"/>
      <c r="H16" s="87"/>
      <c r="I16" s="87"/>
      <c r="J16" s="87"/>
      <c r="K16" s="87"/>
      <c r="L16" s="87"/>
      <c r="M16" s="87"/>
      <c r="N16" s="87"/>
      <c r="O16" s="87"/>
      <c r="P16" s="87"/>
      <c r="Q16" s="87"/>
      <c r="R16" s="87"/>
      <c r="S16" s="87"/>
      <c r="T16" s="87"/>
      <c r="U16" s="87"/>
      <c r="V16" s="87"/>
      <c r="W16" s="87"/>
      <c r="X16" s="87"/>
    </row>
    <row r="17" spans="1:24" ht="12.75">
      <c r="A17" s="87"/>
      <c r="B17" s="87"/>
      <c r="C17" s="87"/>
      <c r="D17" s="87"/>
      <c r="E17" s="87"/>
      <c r="F17" s="87"/>
      <c r="G17" s="87"/>
      <c r="H17" s="87"/>
      <c r="I17" s="87"/>
      <c r="J17" s="87"/>
      <c r="K17" s="87"/>
      <c r="L17" s="87"/>
      <c r="M17" s="87"/>
      <c r="N17" s="87"/>
      <c r="O17" s="87"/>
      <c r="P17" s="87"/>
      <c r="Q17" s="87"/>
      <c r="R17" s="87"/>
      <c r="S17" s="87"/>
      <c r="T17" s="87"/>
      <c r="U17" s="87"/>
      <c r="V17" s="87"/>
      <c r="W17" s="87"/>
      <c r="X17" s="87"/>
    </row>
    <row r="18" spans="1:24" ht="12.75">
      <c r="A18" s="87"/>
      <c r="B18" s="87"/>
      <c r="C18" s="87"/>
      <c r="D18" s="87"/>
      <c r="E18" s="87"/>
      <c r="F18" s="87"/>
      <c r="G18" s="87"/>
      <c r="H18" s="87"/>
      <c r="I18" s="87"/>
      <c r="J18" s="87"/>
      <c r="K18" s="87"/>
      <c r="L18" s="87"/>
      <c r="M18" s="87"/>
      <c r="N18" s="87"/>
      <c r="O18" s="87"/>
      <c r="P18" s="87"/>
      <c r="Q18" s="87"/>
      <c r="R18" s="87"/>
      <c r="S18" s="87"/>
      <c r="T18" s="87"/>
      <c r="U18" s="87"/>
      <c r="V18" s="87"/>
      <c r="W18" s="87"/>
      <c r="X18" s="87"/>
    </row>
    <row r="19" spans="1:24" ht="12.75">
      <c r="A19" s="87"/>
      <c r="B19" s="87"/>
      <c r="C19" s="87"/>
      <c r="D19" s="87"/>
      <c r="E19" s="87"/>
      <c r="F19" s="87"/>
      <c r="G19" s="87"/>
      <c r="H19" s="87"/>
      <c r="I19" s="87"/>
      <c r="J19" s="87"/>
      <c r="K19" s="87"/>
      <c r="L19" s="87"/>
      <c r="M19" s="87"/>
      <c r="N19" s="87"/>
      <c r="O19" s="87"/>
      <c r="P19" s="87"/>
      <c r="Q19" s="87"/>
      <c r="R19" s="87"/>
      <c r="S19" s="87"/>
      <c r="T19" s="87"/>
      <c r="U19" s="87"/>
      <c r="V19" s="87"/>
      <c r="W19" s="87"/>
      <c r="X19" s="87"/>
    </row>
    <row r="20" spans="1:24" ht="12.75">
      <c r="A20" s="87"/>
      <c r="B20" s="87"/>
      <c r="C20" s="87"/>
      <c r="D20" s="87"/>
      <c r="E20" s="87"/>
      <c r="F20" s="87"/>
      <c r="G20" s="87"/>
      <c r="H20" s="87"/>
      <c r="I20" s="87"/>
      <c r="J20" s="87"/>
      <c r="K20" s="87"/>
      <c r="L20" s="87"/>
      <c r="M20" s="87"/>
      <c r="N20" s="87"/>
      <c r="O20" s="87"/>
      <c r="P20" s="87"/>
      <c r="Q20" s="87"/>
      <c r="R20" s="87"/>
      <c r="S20" s="87"/>
      <c r="T20" s="87"/>
      <c r="U20" s="87"/>
      <c r="V20" s="87"/>
      <c r="W20" s="87"/>
      <c r="X20" s="87"/>
    </row>
    <row r="21" spans="1:24" ht="12.75">
      <c r="A21" s="87"/>
      <c r="B21" s="87"/>
      <c r="C21" s="87"/>
      <c r="D21" s="87"/>
      <c r="E21" s="87"/>
      <c r="F21" s="87"/>
      <c r="G21" s="87"/>
      <c r="H21" s="87"/>
      <c r="I21" s="87"/>
      <c r="J21" s="87"/>
      <c r="K21" s="87"/>
      <c r="L21" s="87"/>
      <c r="M21" s="87"/>
      <c r="N21" s="87"/>
      <c r="O21" s="87"/>
      <c r="P21" s="87"/>
      <c r="Q21" s="87"/>
      <c r="R21" s="87"/>
      <c r="S21" s="87"/>
      <c r="T21" s="87"/>
      <c r="U21" s="87"/>
      <c r="V21" s="87"/>
      <c r="W21" s="87"/>
      <c r="X21" s="87"/>
    </row>
    <row r="22" spans="1:24" ht="12.75">
      <c r="A22" s="87"/>
      <c r="B22" s="87"/>
      <c r="C22" s="87"/>
      <c r="D22" s="87"/>
      <c r="E22" s="87"/>
      <c r="F22" s="87"/>
      <c r="G22" s="87"/>
      <c r="H22" s="87"/>
      <c r="I22" s="87"/>
      <c r="J22" s="87"/>
      <c r="K22" s="87"/>
      <c r="L22" s="87"/>
      <c r="M22" s="87"/>
      <c r="N22" s="87"/>
      <c r="O22" s="87"/>
      <c r="P22" s="87"/>
      <c r="Q22" s="87"/>
      <c r="R22" s="87"/>
      <c r="S22" s="87"/>
      <c r="T22" s="87"/>
      <c r="U22" s="87"/>
      <c r="V22" s="87"/>
      <c r="W22" s="87"/>
      <c r="X22" s="87"/>
    </row>
    <row r="23" spans="1:24" ht="12.75">
      <c r="A23" s="87"/>
      <c r="B23" s="87"/>
      <c r="C23" s="87"/>
      <c r="D23" s="87"/>
      <c r="E23" s="87"/>
      <c r="F23" s="87"/>
      <c r="G23" s="87"/>
      <c r="H23" s="87"/>
      <c r="I23" s="87"/>
      <c r="J23" s="87"/>
      <c r="K23" s="87"/>
      <c r="L23" s="87"/>
      <c r="M23" s="87"/>
      <c r="N23" s="87"/>
      <c r="O23" s="87"/>
      <c r="P23" s="87"/>
      <c r="Q23" s="87"/>
      <c r="R23" s="87"/>
      <c r="S23" s="87"/>
      <c r="T23" s="87"/>
      <c r="U23" s="87"/>
      <c r="V23" s="87"/>
      <c r="W23" s="87"/>
      <c r="X23" s="87"/>
    </row>
    <row r="24" spans="1:24" ht="12.75">
      <c r="A24" s="87"/>
      <c r="B24" s="87"/>
      <c r="C24" s="87"/>
      <c r="D24" s="87"/>
      <c r="E24" s="87"/>
      <c r="F24" s="87"/>
      <c r="G24" s="87"/>
      <c r="H24" s="87"/>
      <c r="I24" s="87"/>
      <c r="J24" s="87"/>
      <c r="K24" s="87"/>
      <c r="L24" s="87"/>
      <c r="M24" s="87"/>
      <c r="N24" s="87"/>
      <c r="O24" s="87"/>
      <c r="P24" s="87"/>
      <c r="Q24" s="87"/>
      <c r="R24" s="87"/>
      <c r="S24" s="87"/>
      <c r="T24" s="87"/>
      <c r="U24" s="87"/>
      <c r="V24" s="87"/>
      <c r="W24" s="87"/>
      <c r="X24" s="87"/>
    </row>
    <row r="25" spans="1:24" ht="12.75">
      <c r="A25" s="87"/>
      <c r="B25" s="87"/>
      <c r="C25" s="87"/>
      <c r="D25" s="87"/>
      <c r="E25" s="87"/>
      <c r="F25" s="87"/>
      <c r="G25" s="87"/>
      <c r="H25" s="87"/>
      <c r="I25" s="87"/>
      <c r="J25" s="87"/>
      <c r="K25" s="87"/>
      <c r="L25" s="87"/>
      <c r="M25" s="87"/>
      <c r="N25" s="87"/>
      <c r="O25" s="87"/>
      <c r="P25" s="87"/>
      <c r="Q25" s="87"/>
      <c r="R25" s="87"/>
      <c r="S25" s="87"/>
      <c r="T25" s="87"/>
      <c r="U25" s="87"/>
      <c r="V25" s="87"/>
      <c r="W25" s="87"/>
      <c r="X25" s="87"/>
    </row>
    <row r="26" spans="1:24" ht="12.75">
      <c r="A26" s="87"/>
      <c r="B26" s="87"/>
      <c r="C26" s="87"/>
      <c r="D26" s="87"/>
      <c r="E26" s="87"/>
      <c r="F26" s="87"/>
      <c r="G26" s="87"/>
      <c r="H26" s="87"/>
      <c r="I26" s="87"/>
      <c r="J26" s="87"/>
      <c r="K26" s="87"/>
      <c r="L26" s="87"/>
      <c r="M26" s="87"/>
      <c r="N26" s="87"/>
      <c r="O26" s="87"/>
      <c r="P26" s="87"/>
      <c r="Q26" s="87"/>
      <c r="R26" s="87"/>
      <c r="S26" s="87"/>
      <c r="T26" s="87"/>
      <c r="U26" s="87"/>
      <c r="V26" s="87"/>
      <c r="W26" s="87"/>
      <c r="X26" s="87"/>
    </row>
    <row r="27" spans="1:24" ht="12.75">
      <c r="A27" s="87"/>
      <c r="B27" s="87"/>
      <c r="C27" s="87"/>
      <c r="D27" s="87"/>
      <c r="E27" s="87"/>
      <c r="F27" s="87"/>
      <c r="G27" s="87"/>
      <c r="H27" s="87"/>
      <c r="I27" s="87"/>
      <c r="J27" s="87"/>
      <c r="K27" s="87"/>
      <c r="L27" s="87"/>
      <c r="M27" s="87"/>
      <c r="N27" s="87"/>
      <c r="O27" s="87"/>
      <c r="P27" s="87"/>
      <c r="Q27" s="87"/>
      <c r="R27" s="87"/>
      <c r="S27" s="87"/>
      <c r="T27" s="87"/>
      <c r="U27" s="87"/>
      <c r="V27" s="87"/>
      <c r="W27" s="87"/>
      <c r="X27" s="87"/>
    </row>
    <row r="28" spans="1:24" ht="12.75">
      <c r="A28" s="87"/>
      <c r="B28" s="87"/>
      <c r="C28" s="87"/>
      <c r="D28" s="87"/>
      <c r="E28" s="87"/>
      <c r="F28" s="87"/>
      <c r="G28" s="87"/>
      <c r="H28" s="87"/>
      <c r="I28" s="87"/>
      <c r="J28" s="87"/>
      <c r="K28" s="87"/>
      <c r="L28" s="87"/>
      <c r="M28" s="87"/>
      <c r="N28" s="87"/>
      <c r="O28" s="87"/>
      <c r="P28" s="87"/>
      <c r="Q28" s="87"/>
      <c r="R28" s="87"/>
      <c r="S28" s="87"/>
      <c r="T28" s="87"/>
      <c r="U28" s="87"/>
      <c r="V28" s="87"/>
      <c r="W28" s="87"/>
      <c r="X28" s="87"/>
    </row>
    <row r="29" spans="1:24" ht="12.75">
      <c r="A29" s="87"/>
      <c r="B29" s="87"/>
      <c r="C29" s="87"/>
      <c r="D29" s="87"/>
      <c r="E29" s="87"/>
      <c r="F29" s="87"/>
      <c r="G29" s="87"/>
      <c r="H29" s="87"/>
      <c r="I29" s="87"/>
      <c r="J29" s="87"/>
      <c r="K29" s="87"/>
      <c r="L29" s="87"/>
      <c r="M29" s="87"/>
      <c r="N29" s="87"/>
      <c r="O29" s="87"/>
      <c r="P29" s="87"/>
      <c r="Q29" s="87"/>
      <c r="R29" s="87"/>
      <c r="S29" s="87"/>
      <c r="T29" s="87"/>
      <c r="U29" s="87"/>
      <c r="V29" s="87"/>
      <c r="W29" s="87"/>
      <c r="X29" s="87"/>
    </row>
    <row r="30" spans="1:24" ht="12.75">
      <c r="A30" s="87"/>
      <c r="B30" s="87"/>
      <c r="C30" s="87"/>
      <c r="D30" s="87"/>
      <c r="E30" s="87"/>
      <c r="F30" s="87"/>
      <c r="G30" s="87"/>
      <c r="H30" s="87"/>
      <c r="I30" s="87"/>
      <c r="J30" s="87"/>
      <c r="K30" s="87"/>
      <c r="L30" s="87"/>
      <c r="M30" s="87"/>
      <c r="N30" s="87"/>
      <c r="O30" s="87"/>
      <c r="P30" s="87"/>
      <c r="Q30" s="87"/>
      <c r="R30" s="87"/>
      <c r="S30" s="87"/>
      <c r="T30" s="87"/>
      <c r="U30" s="87"/>
      <c r="V30" s="87"/>
      <c r="W30" s="87"/>
      <c r="X30" s="87"/>
    </row>
    <row r="31" spans="1:24" ht="12.75">
      <c r="A31" s="87"/>
      <c r="B31" s="87"/>
      <c r="C31" s="87"/>
      <c r="D31" s="87"/>
      <c r="E31" s="87"/>
      <c r="F31" s="87"/>
      <c r="G31" s="87"/>
      <c r="H31" s="87"/>
      <c r="I31" s="87"/>
      <c r="J31" s="87"/>
      <c r="K31" s="87"/>
      <c r="L31" s="87"/>
      <c r="M31" s="87"/>
      <c r="N31" s="87"/>
      <c r="O31" s="87"/>
      <c r="P31" s="87"/>
      <c r="Q31" s="87"/>
      <c r="R31" s="87"/>
      <c r="S31" s="87"/>
      <c r="T31" s="87"/>
      <c r="U31" s="87"/>
      <c r="V31" s="87"/>
      <c r="W31" s="87"/>
      <c r="X31" s="87"/>
    </row>
    <row r="32" spans="1:24" ht="12.75">
      <c r="A32" s="87"/>
      <c r="B32" s="87"/>
      <c r="C32" s="87"/>
      <c r="D32" s="87"/>
      <c r="E32" s="87"/>
      <c r="F32" s="87"/>
      <c r="G32" s="87"/>
      <c r="H32" s="87"/>
      <c r="I32" s="87"/>
      <c r="J32" s="87"/>
      <c r="K32" s="87"/>
      <c r="L32" s="87"/>
      <c r="M32" s="87"/>
      <c r="N32" s="87"/>
      <c r="O32" s="87"/>
      <c r="P32" s="87"/>
      <c r="Q32" s="87"/>
      <c r="R32" s="87"/>
      <c r="S32" s="87"/>
      <c r="T32" s="87"/>
      <c r="U32" s="87"/>
      <c r="V32" s="87"/>
      <c r="W32" s="87"/>
      <c r="X32" s="87"/>
    </row>
    <row r="33" spans="1:24" ht="12.75">
      <c r="A33" s="87"/>
      <c r="B33" s="87"/>
      <c r="C33" s="87"/>
      <c r="D33" s="87"/>
      <c r="E33" s="87"/>
      <c r="F33" s="87"/>
      <c r="G33" s="87"/>
      <c r="H33" s="87"/>
      <c r="I33" s="87"/>
      <c r="J33" s="87"/>
      <c r="K33" s="87"/>
      <c r="L33" s="87"/>
      <c r="M33" s="87"/>
      <c r="N33" s="87"/>
      <c r="O33" s="87"/>
      <c r="P33" s="87"/>
      <c r="Q33" s="87"/>
      <c r="R33" s="87"/>
      <c r="S33" s="87"/>
      <c r="T33" s="87"/>
      <c r="U33" s="87"/>
      <c r="V33" s="87"/>
      <c r="W33" s="87"/>
      <c r="X33" s="87"/>
    </row>
    <row r="34" spans="1:24" ht="12.75">
      <c r="A34" s="87"/>
      <c r="B34" s="87"/>
      <c r="C34" s="87"/>
      <c r="D34" s="87"/>
      <c r="E34" s="87"/>
      <c r="F34" s="87"/>
      <c r="G34" s="87"/>
      <c r="H34" s="87"/>
      <c r="I34" s="87"/>
      <c r="J34" s="87"/>
      <c r="K34" s="87"/>
      <c r="L34" s="87"/>
      <c r="M34" s="87"/>
      <c r="N34" s="87"/>
      <c r="O34" s="87"/>
      <c r="P34" s="87"/>
      <c r="Q34" s="87"/>
      <c r="R34" s="87"/>
      <c r="S34" s="87"/>
      <c r="T34" s="87"/>
      <c r="U34" s="87"/>
      <c r="V34" s="87"/>
      <c r="W34" s="87"/>
      <c r="X34" s="87"/>
    </row>
    <row r="35" spans="1:24" ht="12.75">
      <c r="A35" s="87"/>
      <c r="B35" s="87"/>
      <c r="C35" s="87"/>
      <c r="D35" s="87"/>
      <c r="E35" s="87"/>
      <c r="F35" s="87"/>
      <c r="G35" s="87"/>
      <c r="H35" s="87"/>
      <c r="I35" s="87"/>
      <c r="J35" s="87"/>
      <c r="K35" s="87"/>
      <c r="L35" s="87"/>
      <c r="M35" s="87"/>
      <c r="N35" s="87"/>
      <c r="O35" s="87"/>
      <c r="P35" s="87"/>
      <c r="Q35" s="87"/>
      <c r="R35" s="87"/>
      <c r="S35" s="87"/>
      <c r="T35" s="87"/>
      <c r="U35" s="87"/>
      <c r="V35" s="87"/>
      <c r="W35" s="87"/>
      <c r="X35" s="87"/>
    </row>
    <row r="36" spans="1:24" ht="12.75">
      <c r="A36" s="87"/>
      <c r="B36" s="87"/>
      <c r="C36" s="87"/>
      <c r="D36" s="87"/>
      <c r="E36" s="87"/>
      <c r="F36" s="87"/>
      <c r="G36" s="87"/>
      <c r="H36" s="87"/>
      <c r="I36" s="87"/>
      <c r="J36" s="87"/>
      <c r="K36" s="87"/>
      <c r="L36" s="87"/>
      <c r="M36" s="87"/>
      <c r="N36" s="87"/>
      <c r="O36" s="87"/>
      <c r="P36" s="87"/>
      <c r="Q36" s="87"/>
      <c r="R36" s="87"/>
      <c r="S36" s="87"/>
      <c r="T36" s="87"/>
      <c r="U36" s="87"/>
      <c r="V36" s="87"/>
      <c r="W36" s="87"/>
      <c r="X36" s="87"/>
    </row>
    <row r="37" spans="1:24" ht="12.75">
      <c r="A37" s="87"/>
      <c r="B37" s="87"/>
      <c r="C37" s="87"/>
      <c r="D37" s="87"/>
      <c r="E37" s="87"/>
      <c r="F37" s="87"/>
      <c r="G37" s="87"/>
      <c r="H37" s="87"/>
      <c r="I37" s="87"/>
      <c r="J37" s="87"/>
      <c r="K37" s="87"/>
      <c r="L37" s="87"/>
      <c r="M37" s="87"/>
      <c r="N37" s="87"/>
      <c r="O37" s="87"/>
      <c r="P37" s="87"/>
      <c r="Q37" s="87"/>
      <c r="R37" s="87"/>
      <c r="S37" s="87"/>
      <c r="T37" s="87"/>
      <c r="U37" s="87"/>
      <c r="V37" s="87"/>
      <c r="W37" s="87"/>
      <c r="X37" s="87"/>
    </row>
    <row r="38" spans="1:24" ht="12.75">
      <c r="A38" s="87"/>
      <c r="B38" s="87"/>
      <c r="C38" s="87"/>
      <c r="D38" s="87"/>
      <c r="E38" s="87"/>
      <c r="F38" s="87"/>
      <c r="G38" s="87"/>
      <c r="H38" s="87"/>
      <c r="I38" s="87"/>
      <c r="J38" s="87"/>
      <c r="K38" s="87"/>
      <c r="L38" s="87"/>
      <c r="M38" s="87"/>
      <c r="N38" s="87"/>
      <c r="O38" s="87"/>
      <c r="P38" s="87"/>
      <c r="Q38" s="87"/>
      <c r="R38" s="87"/>
      <c r="S38" s="87"/>
      <c r="T38" s="87"/>
      <c r="U38" s="87"/>
      <c r="V38" s="87"/>
      <c r="W38" s="87"/>
      <c r="X38" s="87"/>
    </row>
    <row r="39" spans="1:24" ht="12.75">
      <c r="A39" s="87"/>
      <c r="B39" s="87"/>
      <c r="C39" s="87"/>
      <c r="D39" s="87"/>
      <c r="E39" s="87"/>
      <c r="F39" s="87"/>
      <c r="G39" s="87"/>
      <c r="H39" s="87"/>
      <c r="I39" s="87"/>
      <c r="J39" s="87"/>
      <c r="K39" s="87"/>
      <c r="L39" s="87"/>
      <c r="M39" s="87"/>
      <c r="N39" s="87"/>
      <c r="O39" s="87"/>
      <c r="P39" s="87"/>
      <c r="Q39" s="87"/>
      <c r="R39" s="87"/>
      <c r="S39" s="87"/>
      <c r="T39" s="87"/>
      <c r="U39" s="87"/>
      <c r="V39" s="87"/>
      <c r="W39" s="87"/>
      <c r="X39" s="87"/>
    </row>
    <row r="40" spans="1:24" ht="12.75">
      <c r="A40" s="87"/>
      <c r="B40" s="87"/>
      <c r="C40" s="87"/>
      <c r="D40" s="87"/>
      <c r="E40" s="87"/>
      <c r="F40" s="87"/>
      <c r="G40" s="87"/>
      <c r="H40" s="87"/>
      <c r="I40" s="87"/>
      <c r="J40" s="87"/>
      <c r="K40" s="87"/>
      <c r="L40" s="87"/>
      <c r="M40" s="87"/>
      <c r="N40" s="87"/>
      <c r="O40" s="87"/>
      <c r="P40" s="87"/>
      <c r="Q40" s="87"/>
      <c r="R40" s="87"/>
      <c r="S40" s="87"/>
      <c r="T40" s="87"/>
      <c r="U40" s="87"/>
      <c r="V40" s="87"/>
      <c r="W40" s="87"/>
      <c r="X40" s="87"/>
    </row>
    <row r="41" spans="1:24" ht="12.75">
      <c r="A41" s="87"/>
      <c r="B41" s="87"/>
      <c r="C41" s="87"/>
      <c r="D41" s="87"/>
      <c r="E41" s="87"/>
      <c r="F41" s="87"/>
      <c r="G41" s="87"/>
      <c r="H41" s="87"/>
      <c r="I41" s="87"/>
      <c r="J41" s="87"/>
      <c r="K41" s="87"/>
      <c r="L41" s="87"/>
      <c r="M41" s="87"/>
      <c r="N41" s="87"/>
      <c r="O41" s="87"/>
      <c r="P41" s="87"/>
      <c r="Q41" s="87"/>
      <c r="R41" s="87"/>
      <c r="S41" s="87"/>
      <c r="T41" s="87"/>
      <c r="U41" s="87"/>
      <c r="V41" s="87"/>
      <c r="W41" s="87"/>
      <c r="X41" s="87"/>
    </row>
    <row r="42" spans="1:24" ht="12.75">
      <c r="A42" s="87"/>
      <c r="B42" s="87"/>
      <c r="C42" s="87"/>
      <c r="D42" s="87"/>
      <c r="E42" s="87"/>
      <c r="F42" s="87"/>
      <c r="G42" s="87"/>
      <c r="H42" s="87"/>
      <c r="I42" s="87"/>
      <c r="J42" s="87"/>
      <c r="K42" s="87"/>
      <c r="L42" s="87"/>
      <c r="M42" s="87"/>
      <c r="N42" s="87"/>
      <c r="O42" s="87"/>
      <c r="P42" s="87"/>
      <c r="Q42" s="87"/>
      <c r="R42" s="87"/>
      <c r="S42" s="87"/>
      <c r="T42" s="87"/>
      <c r="U42" s="87"/>
      <c r="V42" s="87"/>
      <c r="W42" s="87"/>
      <c r="X42" s="87"/>
    </row>
    <row r="43" spans="1:24" ht="12.75">
      <c r="A43" s="87"/>
      <c r="B43" s="87"/>
      <c r="C43" s="87"/>
      <c r="D43" s="87"/>
      <c r="E43" s="87"/>
      <c r="F43" s="87"/>
      <c r="G43" s="87"/>
      <c r="H43" s="87"/>
      <c r="I43" s="87"/>
      <c r="J43" s="87"/>
      <c r="K43" s="87"/>
      <c r="L43" s="87"/>
      <c r="M43" s="87"/>
      <c r="N43" s="87"/>
      <c r="O43" s="87"/>
      <c r="P43" s="87"/>
      <c r="Q43" s="87"/>
      <c r="R43" s="87"/>
      <c r="S43" s="87"/>
      <c r="T43" s="87"/>
      <c r="U43" s="87"/>
      <c r="V43" s="87"/>
      <c r="W43" s="87"/>
      <c r="X43" s="87"/>
    </row>
    <row r="44" spans="1:24" ht="12.75">
      <c r="A44" s="87"/>
      <c r="B44" s="87"/>
      <c r="C44" s="87"/>
      <c r="D44" s="87"/>
      <c r="E44" s="87"/>
      <c r="F44" s="87"/>
      <c r="G44" s="87"/>
      <c r="H44" s="87"/>
      <c r="I44" s="87"/>
      <c r="J44" s="87"/>
      <c r="K44" s="87"/>
      <c r="L44" s="87"/>
      <c r="M44" s="87"/>
      <c r="N44" s="87"/>
      <c r="O44" s="87"/>
      <c r="P44" s="87"/>
      <c r="Q44" s="87"/>
      <c r="R44" s="87"/>
      <c r="S44" s="87"/>
      <c r="T44" s="87"/>
      <c r="U44" s="87"/>
      <c r="V44" s="87"/>
      <c r="W44" s="87"/>
      <c r="X44" s="87"/>
    </row>
    <row r="45" spans="1:24" ht="12.75">
      <c r="A45" s="87"/>
      <c r="B45" s="87"/>
      <c r="C45" s="87"/>
      <c r="D45" s="87"/>
      <c r="E45" s="87"/>
      <c r="F45" s="87"/>
      <c r="G45" s="87"/>
      <c r="H45" s="87"/>
      <c r="I45" s="87"/>
      <c r="J45" s="87"/>
      <c r="K45" s="87"/>
      <c r="L45" s="87"/>
      <c r="M45" s="87"/>
      <c r="N45" s="87"/>
      <c r="O45" s="87"/>
      <c r="P45" s="87"/>
      <c r="Q45" s="87"/>
      <c r="R45" s="87"/>
      <c r="S45" s="87"/>
      <c r="T45" s="87"/>
      <c r="U45" s="87"/>
      <c r="V45" s="87"/>
      <c r="W45" s="87"/>
      <c r="X45" s="87"/>
    </row>
    <row r="46" spans="1:24" ht="12.75">
      <c r="A46" s="87"/>
      <c r="B46" s="87"/>
      <c r="C46" s="87"/>
      <c r="D46" s="87"/>
      <c r="E46" s="87"/>
      <c r="F46" s="87"/>
      <c r="G46" s="87"/>
      <c r="H46" s="87"/>
      <c r="I46" s="87"/>
      <c r="J46" s="87"/>
      <c r="K46" s="87"/>
      <c r="L46" s="87"/>
      <c r="M46" s="87"/>
      <c r="N46" s="87"/>
      <c r="O46" s="87"/>
      <c r="P46" s="87"/>
      <c r="Q46" s="87"/>
      <c r="R46" s="87"/>
      <c r="S46" s="87"/>
      <c r="T46" s="87"/>
      <c r="U46" s="87"/>
      <c r="V46" s="87"/>
      <c r="W46" s="87"/>
      <c r="X46" s="87"/>
    </row>
    <row r="47" spans="1:24" ht="12.75">
      <c r="A47" s="87"/>
      <c r="B47" s="87"/>
      <c r="C47" s="87"/>
      <c r="D47" s="87"/>
      <c r="E47" s="87"/>
      <c r="F47" s="87"/>
      <c r="G47" s="87"/>
      <c r="H47" s="87"/>
      <c r="I47" s="87"/>
      <c r="J47" s="87"/>
      <c r="K47" s="87"/>
      <c r="L47" s="87"/>
      <c r="M47" s="87"/>
      <c r="N47" s="87"/>
      <c r="O47" s="87"/>
      <c r="P47" s="87"/>
      <c r="Q47" s="87"/>
      <c r="R47" s="87"/>
      <c r="S47" s="87"/>
      <c r="T47" s="87"/>
      <c r="U47" s="87"/>
      <c r="V47" s="87"/>
      <c r="W47" s="87"/>
      <c r="X47" s="87"/>
    </row>
    <row r="48" spans="1:24" ht="12.75">
      <c r="A48" s="87"/>
      <c r="B48" s="87"/>
      <c r="C48" s="87"/>
      <c r="D48" s="87"/>
      <c r="E48" s="87"/>
      <c r="F48" s="87"/>
      <c r="G48" s="87"/>
      <c r="H48" s="87"/>
      <c r="I48" s="87"/>
      <c r="J48" s="87"/>
      <c r="K48" s="87"/>
      <c r="L48" s="87"/>
      <c r="M48" s="87"/>
      <c r="N48" s="87"/>
      <c r="O48" s="87"/>
      <c r="P48" s="87"/>
      <c r="Q48" s="87"/>
      <c r="R48" s="87"/>
      <c r="S48" s="87"/>
      <c r="T48" s="87"/>
      <c r="U48" s="87"/>
      <c r="V48" s="87"/>
      <c r="W48" s="87"/>
      <c r="X48" s="87"/>
    </row>
    <row r="49" spans="1:24" ht="12.75">
      <c r="A49" s="87"/>
      <c r="B49" s="87"/>
      <c r="C49" s="87"/>
      <c r="D49" s="87"/>
      <c r="E49" s="87"/>
      <c r="F49" s="87"/>
      <c r="G49" s="87"/>
      <c r="H49" s="87"/>
      <c r="I49" s="87"/>
      <c r="J49" s="87"/>
      <c r="K49" s="87"/>
      <c r="L49" s="87"/>
      <c r="M49" s="87"/>
      <c r="N49" s="87"/>
      <c r="O49" s="87"/>
      <c r="P49" s="87"/>
      <c r="Q49" s="87"/>
      <c r="R49" s="87"/>
      <c r="S49" s="87"/>
      <c r="T49" s="87"/>
      <c r="U49" s="87"/>
      <c r="V49" s="87"/>
      <c r="W49" s="87"/>
      <c r="X49" s="87"/>
    </row>
    <row r="50" spans="1:24" ht="12.75">
      <c r="A50" s="87"/>
      <c r="B50" s="87"/>
      <c r="C50" s="87"/>
      <c r="D50" s="87"/>
      <c r="E50" s="87"/>
      <c r="F50" s="87"/>
      <c r="G50" s="87"/>
      <c r="H50" s="87"/>
      <c r="I50" s="87"/>
      <c r="J50" s="87"/>
      <c r="K50" s="87"/>
      <c r="L50" s="87"/>
      <c r="M50" s="87"/>
      <c r="N50" s="87"/>
      <c r="O50" s="87"/>
      <c r="P50" s="87"/>
      <c r="Q50" s="87"/>
      <c r="R50" s="87"/>
      <c r="S50" s="87"/>
      <c r="T50" s="87"/>
      <c r="U50" s="87"/>
      <c r="V50" s="87"/>
      <c r="W50" s="87"/>
      <c r="X50" s="87"/>
    </row>
    <row r="51" spans="1:24" ht="12.75">
      <c r="A51" s="87"/>
      <c r="B51" s="87"/>
      <c r="C51" s="87"/>
      <c r="D51" s="87"/>
      <c r="E51" s="87"/>
      <c r="F51" s="87"/>
      <c r="G51" s="87"/>
      <c r="H51" s="87"/>
      <c r="I51" s="87"/>
      <c r="J51" s="87"/>
      <c r="K51" s="87"/>
      <c r="L51" s="87"/>
      <c r="M51" s="87"/>
      <c r="N51" s="87"/>
      <c r="O51" s="87"/>
      <c r="P51" s="87"/>
      <c r="Q51" s="87"/>
      <c r="R51" s="87"/>
      <c r="S51" s="87"/>
      <c r="T51" s="87"/>
      <c r="U51" s="87"/>
      <c r="V51" s="87"/>
      <c r="W51" s="87"/>
      <c r="X51" s="87"/>
    </row>
    <row r="52" spans="1:24" ht="12.75">
      <c r="A52" s="87"/>
      <c r="B52" s="87"/>
      <c r="C52" s="87"/>
      <c r="D52" s="87"/>
      <c r="E52" s="87"/>
      <c r="F52" s="87"/>
      <c r="G52" s="87"/>
      <c r="H52" s="87"/>
      <c r="I52" s="87"/>
      <c r="J52" s="87"/>
      <c r="K52" s="87"/>
      <c r="L52" s="87"/>
      <c r="M52" s="87"/>
      <c r="N52" s="87"/>
      <c r="O52" s="87"/>
      <c r="P52" s="87"/>
      <c r="Q52" s="87"/>
      <c r="R52" s="87"/>
      <c r="S52" s="87"/>
      <c r="T52" s="87"/>
      <c r="U52" s="87"/>
      <c r="V52" s="87"/>
      <c r="W52" s="87"/>
      <c r="X52" s="87"/>
    </row>
    <row r="53" spans="1:24" ht="12.75">
      <c r="A53" s="87"/>
      <c r="B53" s="87"/>
      <c r="C53" s="87"/>
      <c r="D53" s="87"/>
      <c r="E53" s="87"/>
      <c r="F53" s="87"/>
      <c r="G53" s="87"/>
      <c r="H53" s="87"/>
      <c r="I53" s="87"/>
      <c r="J53" s="87"/>
      <c r="K53" s="87"/>
      <c r="L53" s="87"/>
      <c r="M53" s="87"/>
      <c r="N53" s="87"/>
      <c r="O53" s="87"/>
      <c r="P53" s="87"/>
      <c r="Q53" s="87"/>
      <c r="R53" s="87"/>
      <c r="S53" s="87"/>
      <c r="T53" s="87"/>
      <c r="U53" s="87"/>
      <c r="V53" s="87"/>
      <c r="W53" s="87"/>
      <c r="X53" s="87"/>
    </row>
    <row r="54" spans="1:24" ht="12.75">
      <c r="A54" s="87"/>
      <c r="B54" s="87"/>
      <c r="C54" s="87"/>
      <c r="D54" s="87"/>
      <c r="E54" s="87"/>
      <c r="F54" s="87"/>
      <c r="G54" s="87"/>
      <c r="H54" s="87"/>
      <c r="I54" s="87"/>
      <c r="J54" s="87"/>
      <c r="K54" s="87"/>
      <c r="L54" s="87"/>
      <c r="M54" s="87"/>
      <c r="N54" s="87"/>
      <c r="O54" s="87"/>
      <c r="P54" s="87"/>
      <c r="Q54" s="87"/>
      <c r="R54" s="87"/>
      <c r="S54" s="87"/>
      <c r="T54" s="87"/>
      <c r="U54" s="87"/>
      <c r="V54" s="87"/>
      <c r="W54" s="87"/>
      <c r="X54" s="87"/>
    </row>
    <row r="55" spans="1:24" ht="12.75">
      <c r="A55" s="87"/>
      <c r="B55" s="87"/>
      <c r="C55" s="87"/>
      <c r="D55" s="87"/>
      <c r="E55" s="87"/>
      <c r="F55" s="87"/>
      <c r="G55" s="87"/>
      <c r="H55" s="87"/>
      <c r="I55" s="87"/>
      <c r="J55" s="87"/>
      <c r="K55" s="87"/>
      <c r="L55" s="87"/>
      <c r="M55" s="87"/>
      <c r="N55" s="87"/>
      <c r="O55" s="87"/>
      <c r="P55" s="87"/>
      <c r="Q55" s="87"/>
      <c r="R55" s="87"/>
      <c r="S55" s="87"/>
      <c r="T55" s="87"/>
      <c r="U55" s="87"/>
      <c r="V55" s="87"/>
      <c r="W55" s="87"/>
      <c r="X55" s="87"/>
    </row>
    <row r="56" spans="1:24" ht="12.75">
      <c r="A56" s="87"/>
      <c r="B56" s="87"/>
      <c r="C56" s="87"/>
      <c r="D56" s="87"/>
      <c r="E56" s="87"/>
      <c r="F56" s="87"/>
      <c r="G56" s="87"/>
      <c r="H56" s="87"/>
      <c r="I56" s="87"/>
      <c r="J56" s="87"/>
      <c r="K56" s="87"/>
      <c r="L56" s="87"/>
      <c r="M56" s="87"/>
      <c r="N56" s="87"/>
      <c r="O56" s="87"/>
      <c r="P56" s="87"/>
      <c r="Q56" s="87"/>
      <c r="R56" s="87"/>
      <c r="S56" s="87"/>
      <c r="T56" s="87"/>
      <c r="U56" s="87"/>
      <c r="V56" s="87"/>
      <c r="W56" s="87"/>
      <c r="X56" s="87"/>
    </row>
    <row r="57" spans="1:24" ht="12.75">
      <c r="A57" s="87"/>
      <c r="B57" s="87"/>
      <c r="C57" s="87"/>
      <c r="D57" s="87"/>
      <c r="E57" s="87"/>
      <c r="F57" s="87"/>
      <c r="G57" s="87"/>
      <c r="H57" s="87"/>
      <c r="I57" s="87"/>
      <c r="J57" s="87"/>
      <c r="K57" s="87"/>
      <c r="L57" s="87"/>
      <c r="M57" s="87"/>
      <c r="N57" s="87"/>
      <c r="O57" s="87"/>
      <c r="P57" s="87"/>
      <c r="Q57" s="87"/>
      <c r="R57" s="87"/>
      <c r="S57" s="87"/>
      <c r="T57" s="87"/>
      <c r="U57" s="87"/>
      <c r="V57" s="87"/>
      <c r="W57" s="87"/>
      <c r="X57" s="87"/>
    </row>
    <row r="58" spans="1:24" ht="12.75">
      <c r="A58" s="87"/>
      <c r="B58" s="87"/>
      <c r="C58" s="87"/>
      <c r="D58" s="87"/>
      <c r="E58" s="87"/>
      <c r="F58" s="87"/>
      <c r="G58" s="87"/>
      <c r="H58" s="87"/>
      <c r="I58" s="87"/>
      <c r="J58" s="87"/>
      <c r="K58" s="87"/>
      <c r="L58" s="87"/>
      <c r="M58" s="87"/>
      <c r="N58" s="87"/>
      <c r="O58" s="87"/>
      <c r="P58" s="87"/>
      <c r="Q58" s="87"/>
      <c r="R58" s="87"/>
      <c r="S58" s="87"/>
      <c r="T58" s="87"/>
      <c r="U58" s="87"/>
      <c r="V58" s="87"/>
      <c r="W58" s="87"/>
      <c r="X58" s="87"/>
    </row>
    <row r="59" spans="1:24" ht="12.75">
      <c r="A59" s="87"/>
      <c r="B59" s="87"/>
      <c r="C59" s="87"/>
      <c r="D59" s="87"/>
      <c r="E59" s="87"/>
      <c r="F59" s="87"/>
      <c r="G59" s="87"/>
      <c r="H59" s="87"/>
      <c r="I59" s="87"/>
      <c r="J59" s="87"/>
      <c r="K59" s="87"/>
      <c r="L59" s="87"/>
      <c r="M59" s="87"/>
      <c r="N59" s="87"/>
      <c r="O59" s="87"/>
      <c r="P59" s="87"/>
      <c r="Q59" s="87"/>
      <c r="R59" s="87"/>
      <c r="S59" s="87"/>
      <c r="T59" s="87"/>
      <c r="U59" s="87"/>
      <c r="V59" s="87"/>
      <c r="W59" s="87"/>
      <c r="X59" s="87"/>
    </row>
    <row r="60" spans="1:24" ht="12.75">
      <c r="A60" s="87"/>
      <c r="B60" s="87"/>
      <c r="C60" s="87"/>
      <c r="D60" s="87"/>
      <c r="E60" s="87"/>
      <c r="F60" s="87"/>
      <c r="G60" s="87"/>
      <c r="H60" s="87"/>
      <c r="I60" s="87"/>
      <c r="J60" s="87"/>
      <c r="K60" s="87"/>
      <c r="L60" s="87"/>
      <c r="M60" s="87"/>
      <c r="N60" s="87"/>
      <c r="O60" s="87"/>
      <c r="P60" s="87"/>
      <c r="Q60" s="87"/>
      <c r="R60" s="87"/>
      <c r="S60" s="87"/>
      <c r="T60" s="87"/>
      <c r="U60" s="87"/>
      <c r="V60" s="87"/>
      <c r="W60" s="87"/>
      <c r="X60" s="87"/>
    </row>
    <row r="61" spans="1:24" ht="12.75">
      <c r="A61" s="87"/>
      <c r="B61" s="87"/>
      <c r="C61" s="87"/>
      <c r="D61" s="87"/>
      <c r="E61" s="87"/>
      <c r="F61" s="87"/>
      <c r="G61" s="87"/>
      <c r="H61" s="87"/>
      <c r="I61" s="87"/>
      <c r="J61" s="87"/>
      <c r="K61" s="87"/>
      <c r="L61" s="87"/>
      <c r="M61" s="87"/>
      <c r="N61" s="87"/>
      <c r="O61" s="87"/>
      <c r="P61" s="87"/>
      <c r="Q61" s="87"/>
      <c r="R61" s="87"/>
      <c r="S61" s="87"/>
      <c r="T61" s="87"/>
      <c r="U61" s="87"/>
      <c r="V61" s="87"/>
      <c r="W61" s="87"/>
      <c r="X61" s="87"/>
    </row>
    <row r="62" spans="1:24" ht="12.75">
      <c r="A62" s="87"/>
      <c r="B62" s="87"/>
      <c r="C62" s="87"/>
      <c r="D62" s="87"/>
      <c r="E62" s="87"/>
      <c r="F62" s="87"/>
      <c r="G62" s="87"/>
      <c r="H62" s="87"/>
      <c r="I62" s="87"/>
      <c r="J62" s="87"/>
      <c r="K62" s="87"/>
      <c r="L62" s="87"/>
      <c r="M62" s="87"/>
      <c r="N62" s="87"/>
      <c r="O62" s="87"/>
      <c r="P62" s="87"/>
      <c r="Q62" s="87"/>
      <c r="R62" s="87"/>
      <c r="S62" s="87"/>
      <c r="T62" s="87"/>
      <c r="U62" s="87"/>
      <c r="V62" s="87"/>
      <c r="W62" s="87"/>
      <c r="X62" s="87"/>
    </row>
    <row r="63" spans="1:24" ht="12.75">
      <c r="A63" s="87"/>
      <c r="B63" s="87"/>
      <c r="C63" s="87"/>
      <c r="D63" s="87"/>
      <c r="E63" s="87"/>
      <c r="F63" s="87"/>
      <c r="G63" s="87"/>
      <c r="H63" s="87"/>
      <c r="I63" s="87"/>
      <c r="J63" s="87"/>
      <c r="K63" s="87"/>
      <c r="L63" s="87"/>
      <c r="M63" s="87"/>
      <c r="N63" s="87"/>
      <c r="O63" s="87"/>
      <c r="P63" s="87"/>
      <c r="Q63" s="87"/>
      <c r="R63" s="87"/>
      <c r="S63" s="87"/>
      <c r="T63" s="87"/>
      <c r="U63" s="87"/>
      <c r="V63" s="87"/>
      <c r="W63" s="87"/>
      <c r="X63" s="87"/>
    </row>
    <row r="64" spans="1:24" ht="12.75">
      <c r="A64" s="87"/>
      <c r="B64" s="87"/>
      <c r="C64" s="87"/>
      <c r="D64" s="87"/>
      <c r="E64" s="87"/>
      <c r="F64" s="87"/>
      <c r="G64" s="87"/>
      <c r="H64" s="87"/>
      <c r="I64" s="87"/>
      <c r="J64" s="87"/>
      <c r="K64" s="87"/>
      <c r="L64" s="87"/>
      <c r="M64" s="87"/>
      <c r="N64" s="87"/>
      <c r="O64" s="87"/>
      <c r="P64" s="87"/>
      <c r="Q64" s="87"/>
      <c r="R64" s="87"/>
      <c r="S64" s="87"/>
      <c r="T64" s="87"/>
      <c r="U64" s="87"/>
      <c r="V64" s="87"/>
      <c r="W64" s="87"/>
      <c r="X64" s="87"/>
    </row>
    <row r="65" spans="1:24" ht="12.75">
      <c r="A65" s="87"/>
      <c r="B65" s="87"/>
      <c r="C65" s="87"/>
      <c r="D65" s="87"/>
      <c r="E65" s="87"/>
      <c r="F65" s="87"/>
      <c r="G65" s="87"/>
      <c r="H65" s="87"/>
      <c r="I65" s="87"/>
      <c r="J65" s="87"/>
      <c r="K65" s="87"/>
      <c r="L65" s="87"/>
      <c r="M65" s="87"/>
      <c r="N65" s="87"/>
      <c r="O65" s="87"/>
      <c r="P65" s="87"/>
      <c r="Q65" s="87"/>
      <c r="R65" s="87"/>
      <c r="S65" s="87"/>
      <c r="T65" s="87"/>
      <c r="U65" s="87"/>
      <c r="V65" s="87"/>
      <c r="W65" s="87"/>
      <c r="X65" s="87"/>
    </row>
    <row r="66" spans="1:24" ht="12.75">
      <c r="A66" s="87"/>
      <c r="B66" s="87"/>
      <c r="C66" s="87"/>
      <c r="D66" s="87"/>
      <c r="E66" s="87"/>
      <c r="F66" s="87"/>
      <c r="G66" s="87"/>
      <c r="H66" s="87"/>
      <c r="I66" s="87"/>
      <c r="J66" s="87"/>
      <c r="K66" s="87"/>
      <c r="L66" s="87"/>
      <c r="M66" s="87"/>
      <c r="N66" s="87"/>
      <c r="O66" s="87"/>
      <c r="P66" s="87"/>
      <c r="Q66" s="87"/>
      <c r="R66" s="87"/>
      <c r="S66" s="87"/>
      <c r="T66" s="87"/>
      <c r="U66" s="87"/>
      <c r="V66" s="87"/>
      <c r="W66" s="87"/>
      <c r="X66" s="87"/>
    </row>
    <row r="67" spans="1:24" ht="12.75">
      <c r="A67" s="87"/>
      <c r="B67" s="87"/>
      <c r="C67" s="87"/>
      <c r="D67" s="87"/>
      <c r="E67" s="87"/>
      <c r="F67" s="87"/>
      <c r="G67" s="87"/>
      <c r="H67" s="87"/>
      <c r="I67" s="87"/>
      <c r="J67" s="87"/>
      <c r="K67" s="87"/>
      <c r="L67" s="87"/>
      <c r="M67" s="87"/>
      <c r="N67" s="87"/>
      <c r="O67" s="87"/>
      <c r="P67" s="87"/>
      <c r="Q67" s="87"/>
      <c r="R67" s="87"/>
      <c r="S67" s="87"/>
      <c r="T67" s="87"/>
      <c r="U67" s="87"/>
      <c r="V67" s="87"/>
      <c r="W67" s="87"/>
      <c r="X67" s="87"/>
    </row>
    <row r="68" spans="1:24" ht="12.75">
      <c r="A68" s="87"/>
      <c r="B68" s="87"/>
      <c r="C68" s="87"/>
      <c r="D68" s="87"/>
      <c r="E68" s="87"/>
      <c r="F68" s="87"/>
      <c r="G68" s="87"/>
      <c r="H68" s="87"/>
      <c r="I68" s="87"/>
      <c r="J68" s="87"/>
      <c r="K68" s="87"/>
      <c r="L68" s="87"/>
      <c r="M68" s="87"/>
      <c r="N68" s="87"/>
      <c r="O68" s="87"/>
      <c r="P68" s="87"/>
      <c r="Q68" s="87"/>
      <c r="R68" s="87"/>
      <c r="S68" s="87"/>
      <c r="T68" s="87"/>
      <c r="U68" s="87"/>
      <c r="V68" s="87"/>
      <c r="W68" s="87"/>
      <c r="X68" s="87"/>
    </row>
    <row r="69" spans="1:24" ht="12.75">
      <c r="A69" s="87"/>
      <c r="B69" s="87"/>
      <c r="C69" s="87"/>
      <c r="D69" s="87"/>
      <c r="E69" s="87"/>
      <c r="F69" s="87"/>
      <c r="G69" s="87"/>
      <c r="H69" s="87"/>
      <c r="I69" s="87"/>
      <c r="J69" s="87"/>
      <c r="K69" s="87"/>
      <c r="L69" s="87"/>
      <c r="M69" s="87"/>
      <c r="N69" s="87"/>
      <c r="O69" s="87"/>
      <c r="P69" s="87"/>
      <c r="Q69" s="87"/>
      <c r="R69" s="87"/>
      <c r="S69" s="87"/>
      <c r="T69" s="87"/>
      <c r="U69" s="87"/>
      <c r="V69" s="87"/>
      <c r="W69" s="87"/>
      <c r="X69" s="87"/>
    </row>
    <row r="70" spans="1:24" ht="12.75">
      <c r="A70" s="87"/>
      <c r="B70" s="87"/>
      <c r="C70" s="87"/>
      <c r="D70" s="87"/>
      <c r="E70" s="87"/>
      <c r="F70" s="87"/>
      <c r="G70" s="87"/>
      <c r="H70" s="87"/>
      <c r="I70" s="87"/>
      <c r="J70" s="87"/>
      <c r="K70" s="87"/>
      <c r="L70" s="87"/>
      <c r="M70" s="87"/>
      <c r="N70" s="87"/>
      <c r="O70" s="87"/>
      <c r="P70" s="87"/>
      <c r="Q70" s="87"/>
      <c r="R70" s="87"/>
      <c r="S70" s="87"/>
      <c r="T70" s="87"/>
      <c r="U70" s="87"/>
      <c r="V70" s="87"/>
      <c r="W70" s="87"/>
      <c r="X70" s="87"/>
    </row>
    <row r="71" spans="1:24" ht="12.75">
      <c r="A71" s="87"/>
      <c r="B71" s="87"/>
      <c r="C71" s="87"/>
      <c r="D71" s="87"/>
      <c r="E71" s="87"/>
      <c r="F71" s="87"/>
      <c r="G71" s="87"/>
      <c r="H71" s="87"/>
      <c r="I71" s="87"/>
      <c r="J71" s="87"/>
      <c r="K71" s="87"/>
      <c r="L71" s="87"/>
      <c r="M71" s="87"/>
      <c r="N71" s="87"/>
      <c r="O71" s="87"/>
      <c r="P71" s="87"/>
      <c r="Q71" s="87"/>
      <c r="R71" s="87"/>
      <c r="S71" s="87"/>
      <c r="T71" s="87"/>
      <c r="U71" s="87"/>
      <c r="V71" s="87"/>
      <c r="W71" s="87"/>
      <c r="X71" s="87"/>
    </row>
    <row r="72" spans="1:24" ht="12.75">
      <c r="A72" s="87"/>
      <c r="B72" s="87"/>
      <c r="C72" s="87"/>
      <c r="D72" s="87"/>
      <c r="E72" s="87"/>
      <c r="F72" s="87"/>
      <c r="G72" s="87"/>
      <c r="H72" s="87"/>
      <c r="I72" s="87"/>
      <c r="J72" s="87"/>
      <c r="K72" s="87"/>
      <c r="L72" s="87"/>
      <c r="M72" s="87"/>
      <c r="N72" s="87"/>
      <c r="O72" s="87"/>
      <c r="P72" s="87"/>
      <c r="Q72" s="87"/>
      <c r="R72" s="87"/>
      <c r="S72" s="87"/>
      <c r="T72" s="87"/>
      <c r="U72" s="87"/>
      <c r="V72" s="87"/>
      <c r="W72" s="87"/>
      <c r="X72" s="87"/>
    </row>
    <row r="73" spans="1:24" ht="12.75">
      <c r="A73" s="87"/>
      <c r="B73" s="87"/>
      <c r="C73" s="87"/>
      <c r="D73" s="87"/>
      <c r="E73" s="87"/>
      <c r="F73" s="87"/>
      <c r="G73" s="87"/>
      <c r="H73" s="87"/>
      <c r="I73" s="87"/>
      <c r="J73" s="87"/>
      <c r="K73" s="87"/>
      <c r="L73" s="87"/>
      <c r="M73" s="87"/>
      <c r="N73" s="87"/>
      <c r="O73" s="87"/>
      <c r="P73" s="87"/>
      <c r="Q73" s="87"/>
      <c r="R73" s="87"/>
      <c r="S73" s="87"/>
      <c r="T73" s="87"/>
      <c r="U73" s="87"/>
      <c r="V73" s="87"/>
      <c r="W73" s="87"/>
      <c r="X73" s="87"/>
    </row>
    <row r="74" spans="1:24" ht="12.75">
      <c r="A74" s="87"/>
      <c r="B74" s="87"/>
      <c r="C74" s="87"/>
      <c r="D74" s="87"/>
      <c r="E74" s="87"/>
      <c r="F74" s="87"/>
      <c r="G74" s="87"/>
      <c r="H74" s="87"/>
      <c r="I74" s="87"/>
      <c r="J74" s="87"/>
      <c r="K74" s="87"/>
      <c r="L74" s="87"/>
      <c r="M74" s="87"/>
      <c r="N74" s="87"/>
      <c r="O74" s="87"/>
      <c r="P74" s="87"/>
      <c r="Q74" s="87"/>
      <c r="R74" s="87"/>
      <c r="S74" s="87"/>
      <c r="T74" s="87"/>
      <c r="U74" s="87"/>
      <c r="V74" s="87"/>
      <c r="W74" s="87"/>
      <c r="X74" s="87"/>
    </row>
    <row r="75" spans="1:24" ht="12.75">
      <c r="A75" s="87"/>
      <c r="B75" s="87"/>
      <c r="C75" s="87"/>
      <c r="D75" s="87"/>
      <c r="E75" s="87"/>
      <c r="F75" s="87"/>
      <c r="G75" s="87"/>
      <c r="H75" s="87"/>
      <c r="I75" s="87"/>
      <c r="J75" s="87"/>
      <c r="K75" s="87"/>
      <c r="L75" s="87"/>
      <c r="M75" s="87"/>
      <c r="N75" s="87"/>
      <c r="O75" s="87"/>
      <c r="P75" s="87"/>
      <c r="Q75" s="87"/>
      <c r="R75" s="87"/>
      <c r="S75" s="87"/>
      <c r="T75" s="87"/>
      <c r="U75" s="87"/>
      <c r="V75" s="87"/>
      <c r="W75" s="87"/>
      <c r="X75" s="87"/>
    </row>
    <row r="76" spans="1:24" ht="12.75">
      <c r="A76" s="87"/>
      <c r="B76" s="87"/>
      <c r="C76" s="87"/>
      <c r="D76" s="87"/>
      <c r="E76" s="87"/>
      <c r="F76" s="87"/>
      <c r="G76" s="87"/>
      <c r="H76" s="87"/>
      <c r="I76" s="87"/>
      <c r="J76" s="87"/>
      <c r="K76" s="87"/>
      <c r="L76" s="87"/>
      <c r="M76" s="87"/>
      <c r="N76" s="87"/>
      <c r="O76" s="87"/>
      <c r="P76" s="87"/>
      <c r="Q76" s="87"/>
      <c r="R76" s="87"/>
      <c r="S76" s="87"/>
      <c r="T76" s="87"/>
      <c r="U76" s="87"/>
      <c r="V76" s="87"/>
      <c r="W76" s="87"/>
      <c r="X76" s="87"/>
    </row>
    <row r="77" spans="1:24" ht="12.75">
      <c r="A77" s="87"/>
      <c r="B77" s="87"/>
      <c r="C77" s="87"/>
      <c r="D77" s="87"/>
      <c r="E77" s="87"/>
      <c r="F77" s="87"/>
      <c r="G77" s="87"/>
      <c r="H77" s="87"/>
      <c r="I77" s="87"/>
      <c r="J77" s="87"/>
      <c r="K77" s="87"/>
      <c r="L77" s="87"/>
      <c r="M77" s="87"/>
      <c r="N77" s="87"/>
      <c r="O77" s="87"/>
      <c r="P77" s="87"/>
      <c r="Q77" s="87"/>
      <c r="R77" s="87"/>
      <c r="S77" s="87"/>
      <c r="T77" s="87"/>
      <c r="U77" s="87"/>
      <c r="V77" s="87"/>
      <c r="W77" s="87"/>
      <c r="X77" s="87"/>
    </row>
    <row r="78" spans="1:24" ht="12.75">
      <c r="A78" s="87"/>
      <c r="B78" s="87"/>
      <c r="C78" s="87"/>
      <c r="D78" s="87"/>
      <c r="E78" s="87"/>
      <c r="F78" s="87"/>
      <c r="G78" s="87"/>
      <c r="H78" s="87"/>
      <c r="I78" s="87"/>
      <c r="J78" s="87"/>
      <c r="K78" s="87"/>
      <c r="L78" s="87"/>
      <c r="M78" s="87"/>
      <c r="N78" s="87"/>
      <c r="O78" s="87"/>
      <c r="P78" s="87"/>
      <c r="Q78" s="87"/>
      <c r="R78" s="87"/>
      <c r="S78" s="87"/>
      <c r="T78" s="87"/>
      <c r="U78" s="87"/>
      <c r="V78" s="87"/>
      <c r="W78" s="87"/>
      <c r="X78" s="87"/>
    </row>
    <row r="79" spans="1:24" ht="12.75">
      <c r="A79" s="87"/>
      <c r="B79" s="87"/>
      <c r="C79" s="87"/>
      <c r="D79" s="87"/>
      <c r="E79" s="87"/>
      <c r="F79" s="87"/>
      <c r="G79" s="87"/>
      <c r="H79" s="87"/>
      <c r="I79" s="87"/>
      <c r="J79" s="87"/>
      <c r="K79" s="87"/>
      <c r="L79" s="87"/>
      <c r="M79" s="87"/>
      <c r="N79" s="87"/>
      <c r="O79" s="87"/>
      <c r="P79" s="87"/>
      <c r="Q79" s="87"/>
      <c r="R79" s="87"/>
      <c r="S79" s="87"/>
      <c r="T79" s="87"/>
      <c r="U79" s="87"/>
      <c r="V79" s="87"/>
      <c r="W79" s="87"/>
      <c r="X79" s="87"/>
    </row>
    <row r="80" spans="1:24" ht="12.75">
      <c r="A80" s="87"/>
      <c r="B80" s="87"/>
      <c r="C80" s="87"/>
      <c r="D80" s="87"/>
      <c r="E80" s="87"/>
      <c r="F80" s="87"/>
      <c r="G80" s="87"/>
      <c r="H80" s="87"/>
      <c r="I80" s="87"/>
      <c r="J80" s="87"/>
      <c r="K80" s="87"/>
      <c r="L80" s="87"/>
      <c r="M80" s="87"/>
      <c r="N80" s="87"/>
      <c r="O80" s="87"/>
      <c r="P80" s="87"/>
      <c r="Q80" s="87"/>
      <c r="R80" s="87"/>
      <c r="S80" s="87"/>
      <c r="T80" s="87"/>
      <c r="U80" s="87"/>
      <c r="V80" s="87"/>
      <c r="W80" s="87"/>
      <c r="X80" s="87"/>
    </row>
    <row r="81" spans="1:24" ht="12.75">
      <c r="A81" s="87"/>
      <c r="B81" s="87"/>
      <c r="C81" s="87"/>
      <c r="D81" s="87"/>
      <c r="E81" s="87"/>
      <c r="F81" s="87"/>
      <c r="G81" s="87"/>
      <c r="H81" s="87"/>
      <c r="I81" s="87"/>
      <c r="J81" s="87"/>
      <c r="K81" s="87"/>
      <c r="L81" s="87"/>
      <c r="M81" s="87"/>
      <c r="N81" s="87"/>
      <c r="O81" s="87"/>
      <c r="P81" s="87"/>
      <c r="Q81" s="87"/>
      <c r="R81" s="87"/>
      <c r="S81" s="87"/>
      <c r="T81" s="87"/>
      <c r="U81" s="87"/>
      <c r="V81" s="87"/>
      <c r="W81" s="87"/>
      <c r="X81" s="87"/>
    </row>
    <row r="82" spans="1:24" ht="12.75">
      <c r="A82" s="87"/>
      <c r="B82" s="87"/>
      <c r="C82" s="87"/>
      <c r="D82" s="87"/>
      <c r="E82" s="87"/>
      <c r="F82" s="87"/>
      <c r="G82" s="87"/>
      <c r="H82" s="87"/>
      <c r="I82" s="87"/>
      <c r="J82" s="87"/>
      <c r="K82" s="87"/>
      <c r="L82" s="87"/>
      <c r="M82" s="87"/>
      <c r="N82" s="87"/>
      <c r="O82" s="87"/>
      <c r="P82" s="87"/>
      <c r="Q82" s="87"/>
      <c r="R82" s="87"/>
      <c r="S82" s="87"/>
      <c r="T82" s="87"/>
      <c r="U82" s="87"/>
      <c r="V82" s="87"/>
      <c r="W82" s="87"/>
      <c r="X82" s="87"/>
    </row>
    <row r="83" spans="1:24" ht="12.75">
      <c r="A83" s="87"/>
      <c r="B83" s="87"/>
      <c r="C83" s="87"/>
      <c r="D83" s="87"/>
      <c r="E83" s="87"/>
      <c r="F83" s="87"/>
      <c r="G83" s="87"/>
      <c r="H83" s="87"/>
      <c r="I83" s="87"/>
      <c r="J83" s="87"/>
      <c r="K83" s="87"/>
      <c r="L83" s="87"/>
      <c r="M83" s="87"/>
      <c r="N83" s="87"/>
      <c r="O83" s="87"/>
      <c r="P83" s="87"/>
      <c r="Q83" s="87"/>
      <c r="R83" s="87"/>
      <c r="S83" s="87"/>
      <c r="T83" s="87"/>
      <c r="U83" s="87"/>
      <c r="V83" s="87"/>
      <c r="W83" s="87"/>
      <c r="X83" s="87"/>
    </row>
    <row r="84" spans="1:24" ht="12.75">
      <c r="A84" s="87"/>
      <c r="B84" s="87"/>
      <c r="C84" s="87"/>
      <c r="D84" s="87"/>
      <c r="E84" s="87"/>
      <c r="F84" s="87"/>
      <c r="G84" s="87"/>
      <c r="H84" s="87"/>
      <c r="I84" s="87"/>
      <c r="J84" s="87"/>
      <c r="K84" s="87"/>
      <c r="L84" s="87"/>
      <c r="M84" s="87"/>
      <c r="N84" s="87"/>
      <c r="O84" s="87"/>
      <c r="P84" s="87"/>
      <c r="Q84" s="87"/>
      <c r="R84" s="87"/>
      <c r="S84" s="87"/>
      <c r="T84" s="87"/>
      <c r="U84" s="87"/>
      <c r="V84" s="87"/>
      <c r="W84" s="87"/>
      <c r="X84" s="87"/>
    </row>
    <row r="85" spans="1:24" ht="12.75">
      <c r="A85" s="87"/>
      <c r="B85" s="87"/>
      <c r="C85" s="87"/>
      <c r="D85" s="87"/>
      <c r="E85" s="87"/>
      <c r="F85" s="87"/>
      <c r="G85" s="87"/>
      <c r="H85" s="87"/>
      <c r="I85" s="87"/>
      <c r="J85" s="87"/>
      <c r="K85" s="87"/>
      <c r="L85" s="87"/>
      <c r="M85" s="87"/>
      <c r="N85" s="87"/>
      <c r="O85" s="87"/>
      <c r="P85" s="87"/>
      <c r="Q85" s="87"/>
      <c r="R85" s="87"/>
      <c r="S85" s="87"/>
      <c r="T85" s="87"/>
      <c r="U85" s="87"/>
      <c r="V85" s="87"/>
      <c r="W85" s="87"/>
      <c r="X85" s="87"/>
    </row>
    <row r="86" spans="1:24" ht="12.75">
      <c r="A86" s="87"/>
      <c r="B86" s="87"/>
      <c r="C86" s="87"/>
      <c r="D86" s="87"/>
      <c r="E86" s="87"/>
      <c r="F86" s="87"/>
      <c r="G86" s="87"/>
      <c r="H86" s="87"/>
      <c r="I86" s="87"/>
      <c r="J86" s="87"/>
      <c r="K86" s="87"/>
      <c r="L86" s="87"/>
      <c r="M86" s="87"/>
      <c r="N86" s="87"/>
      <c r="O86" s="87"/>
      <c r="P86" s="87"/>
      <c r="Q86" s="87"/>
      <c r="R86" s="87"/>
      <c r="S86" s="87"/>
      <c r="T86" s="87"/>
      <c r="U86" s="87"/>
      <c r="V86" s="87"/>
      <c r="W86" s="87"/>
      <c r="X86" s="87"/>
    </row>
    <row r="87" spans="1:24" ht="12.75">
      <c r="A87" s="87"/>
      <c r="B87" s="87"/>
      <c r="C87" s="87"/>
      <c r="D87" s="87"/>
      <c r="E87" s="87"/>
      <c r="F87" s="87"/>
      <c r="G87" s="87"/>
      <c r="H87" s="87"/>
      <c r="I87" s="87"/>
      <c r="J87" s="87"/>
      <c r="K87" s="87"/>
      <c r="L87" s="87"/>
      <c r="M87" s="87"/>
      <c r="N87" s="87"/>
      <c r="O87" s="87"/>
      <c r="P87" s="87"/>
      <c r="Q87" s="87"/>
      <c r="R87" s="87"/>
      <c r="S87" s="87"/>
      <c r="T87" s="87"/>
      <c r="U87" s="87"/>
      <c r="V87" s="87"/>
      <c r="W87" s="87"/>
      <c r="X87" s="87"/>
    </row>
    <row r="88" spans="1:24" ht="12.75">
      <c r="A88" s="87"/>
      <c r="B88" s="87"/>
      <c r="C88" s="87"/>
      <c r="D88" s="87"/>
      <c r="E88" s="87"/>
      <c r="F88" s="87"/>
      <c r="G88" s="87"/>
      <c r="H88" s="87"/>
      <c r="I88" s="87"/>
      <c r="J88" s="87"/>
      <c r="K88" s="87"/>
      <c r="L88" s="87"/>
      <c r="M88" s="87"/>
      <c r="N88" s="87"/>
      <c r="O88" s="87"/>
      <c r="P88" s="87"/>
      <c r="Q88" s="87"/>
      <c r="R88" s="87"/>
      <c r="S88" s="87"/>
      <c r="T88" s="87"/>
      <c r="U88" s="87"/>
      <c r="V88" s="87"/>
      <c r="W88" s="87"/>
      <c r="X88" s="87"/>
    </row>
    <row r="89" spans="1:24" ht="12.75">
      <c r="A89" s="87"/>
      <c r="B89" s="87"/>
      <c r="C89" s="87"/>
      <c r="D89" s="87"/>
      <c r="E89" s="87"/>
      <c r="F89" s="87"/>
      <c r="G89" s="87"/>
      <c r="H89" s="87"/>
      <c r="I89" s="87"/>
      <c r="J89" s="87"/>
      <c r="K89" s="87"/>
      <c r="L89" s="87"/>
      <c r="M89" s="87"/>
      <c r="N89" s="87"/>
      <c r="O89" s="87"/>
      <c r="P89" s="87"/>
      <c r="Q89" s="87"/>
      <c r="R89" s="87"/>
      <c r="S89" s="87"/>
      <c r="T89" s="87"/>
      <c r="U89" s="87"/>
      <c r="V89" s="87"/>
      <c r="W89" s="87"/>
      <c r="X89" s="87"/>
    </row>
    <row r="90" spans="1:24" ht="12.75">
      <c r="A90" s="87"/>
      <c r="B90" s="87"/>
      <c r="C90" s="87"/>
      <c r="D90" s="87"/>
      <c r="E90" s="87"/>
      <c r="F90" s="87"/>
      <c r="G90" s="87"/>
      <c r="H90" s="87"/>
      <c r="I90" s="87"/>
      <c r="J90" s="87"/>
      <c r="K90" s="87"/>
      <c r="L90" s="87"/>
      <c r="M90" s="87"/>
      <c r="N90" s="87"/>
      <c r="O90" s="87"/>
      <c r="P90" s="87"/>
      <c r="Q90" s="87"/>
      <c r="R90" s="87"/>
      <c r="S90" s="87"/>
      <c r="T90" s="87"/>
      <c r="U90" s="87"/>
      <c r="V90" s="87"/>
      <c r="W90" s="87"/>
      <c r="X90" s="87"/>
    </row>
    <row r="91" spans="1:24" ht="12.75">
      <c r="A91" s="87"/>
      <c r="B91" s="87"/>
      <c r="C91" s="87"/>
      <c r="D91" s="87"/>
      <c r="E91" s="87"/>
      <c r="F91" s="87"/>
      <c r="G91" s="87"/>
      <c r="H91" s="87"/>
      <c r="I91" s="87"/>
      <c r="J91" s="87"/>
      <c r="K91" s="87"/>
      <c r="L91" s="87"/>
      <c r="M91" s="87"/>
      <c r="N91" s="87"/>
      <c r="O91" s="87"/>
      <c r="P91" s="87"/>
      <c r="Q91" s="87"/>
      <c r="R91" s="87"/>
      <c r="S91" s="87"/>
      <c r="T91" s="87"/>
      <c r="U91" s="87"/>
      <c r="V91" s="87"/>
      <c r="W91" s="87"/>
      <c r="X91" s="87"/>
    </row>
    <row r="92" spans="1:24" ht="12.75">
      <c r="A92" s="87"/>
      <c r="B92" s="87"/>
      <c r="C92" s="87"/>
      <c r="D92" s="87"/>
      <c r="E92" s="87"/>
      <c r="F92" s="87"/>
      <c r="G92" s="87"/>
      <c r="H92" s="87"/>
      <c r="I92" s="87"/>
      <c r="J92" s="87"/>
      <c r="K92" s="87"/>
      <c r="L92" s="87"/>
      <c r="M92" s="87"/>
      <c r="N92" s="87"/>
      <c r="O92" s="87"/>
      <c r="P92" s="87"/>
      <c r="Q92" s="87"/>
      <c r="R92" s="87"/>
      <c r="S92" s="87"/>
      <c r="T92" s="87"/>
      <c r="U92" s="87"/>
      <c r="V92" s="87"/>
      <c r="W92" s="87"/>
      <c r="X92" s="87"/>
    </row>
    <row r="93" spans="1:24" ht="12.75">
      <c r="A93" s="87"/>
      <c r="B93" s="87"/>
      <c r="C93" s="87"/>
      <c r="D93" s="87"/>
      <c r="E93" s="87"/>
      <c r="F93" s="87"/>
      <c r="G93" s="87"/>
      <c r="H93" s="87"/>
      <c r="I93" s="87"/>
      <c r="J93" s="87"/>
      <c r="K93" s="87"/>
      <c r="L93" s="87"/>
      <c r="M93" s="87"/>
      <c r="N93" s="87"/>
      <c r="O93" s="87"/>
      <c r="P93" s="87"/>
      <c r="Q93" s="87"/>
      <c r="R93" s="87"/>
      <c r="S93" s="87"/>
      <c r="T93" s="87"/>
      <c r="U93" s="87"/>
      <c r="V93" s="87"/>
      <c r="W93" s="87"/>
      <c r="X93" s="87"/>
    </row>
    <row r="94" spans="1:24" ht="12.75">
      <c r="A94" s="87"/>
      <c r="B94" s="87"/>
      <c r="C94" s="87"/>
      <c r="D94" s="87"/>
      <c r="E94" s="87"/>
      <c r="F94" s="87"/>
      <c r="G94" s="87"/>
      <c r="H94" s="87"/>
      <c r="I94" s="87"/>
      <c r="J94" s="87"/>
      <c r="K94" s="87"/>
      <c r="L94" s="87"/>
      <c r="M94" s="87"/>
      <c r="N94" s="87"/>
      <c r="O94" s="87"/>
      <c r="P94" s="87"/>
      <c r="Q94" s="87"/>
      <c r="R94" s="87"/>
      <c r="S94" s="87"/>
      <c r="T94" s="87"/>
      <c r="U94" s="87"/>
      <c r="V94" s="87"/>
      <c r="W94" s="87"/>
      <c r="X94" s="87"/>
    </row>
    <row r="95" spans="1:24" ht="12.75">
      <c r="A95" s="87"/>
      <c r="B95" s="87"/>
      <c r="C95" s="87"/>
      <c r="D95" s="87"/>
      <c r="E95" s="87"/>
      <c r="F95" s="87"/>
      <c r="G95" s="87"/>
      <c r="H95" s="87"/>
      <c r="I95" s="87"/>
      <c r="J95" s="87"/>
      <c r="K95" s="87"/>
      <c r="L95" s="87"/>
      <c r="M95" s="87"/>
      <c r="N95" s="87"/>
      <c r="O95" s="87"/>
      <c r="P95" s="87"/>
      <c r="Q95" s="87"/>
      <c r="R95" s="87"/>
      <c r="S95" s="87"/>
      <c r="T95" s="87"/>
      <c r="U95" s="87"/>
      <c r="V95" s="87"/>
      <c r="W95" s="87"/>
      <c r="X95" s="87"/>
    </row>
    <row r="96" spans="1:24" ht="12.75">
      <c r="A96" s="87"/>
      <c r="B96" s="87"/>
      <c r="C96" s="87"/>
      <c r="D96" s="87"/>
      <c r="E96" s="87"/>
      <c r="F96" s="87"/>
      <c r="G96" s="87"/>
      <c r="H96" s="87"/>
      <c r="I96" s="87"/>
      <c r="J96" s="87"/>
      <c r="K96" s="87"/>
      <c r="L96" s="87"/>
      <c r="M96" s="87"/>
      <c r="N96" s="87"/>
      <c r="O96" s="87"/>
      <c r="P96" s="87"/>
      <c r="Q96" s="87"/>
      <c r="R96" s="87"/>
      <c r="S96" s="87"/>
      <c r="T96" s="87"/>
      <c r="U96" s="87"/>
      <c r="V96" s="87"/>
      <c r="W96" s="87"/>
      <c r="X96" s="87"/>
    </row>
    <row r="97" spans="1:24" ht="12.75">
      <c r="A97" s="87"/>
      <c r="B97" s="87"/>
      <c r="C97" s="87"/>
      <c r="D97" s="87"/>
      <c r="E97" s="87"/>
      <c r="F97" s="87"/>
      <c r="G97" s="87"/>
      <c r="H97" s="87"/>
      <c r="I97" s="87"/>
      <c r="J97" s="87"/>
      <c r="K97" s="87"/>
      <c r="L97" s="87"/>
      <c r="M97" s="87"/>
      <c r="N97" s="87"/>
      <c r="O97" s="87"/>
      <c r="P97" s="87"/>
      <c r="Q97" s="87"/>
      <c r="R97" s="87"/>
      <c r="S97" s="87"/>
      <c r="T97" s="87"/>
      <c r="U97" s="87"/>
      <c r="V97" s="87"/>
      <c r="W97" s="87"/>
      <c r="X97" s="87"/>
    </row>
    <row r="98" spans="1:24" ht="12.75">
      <c r="A98" s="87"/>
      <c r="B98" s="87"/>
      <c r="C98" s="87"/>
      <c r="D98" s="87"/>
      <c r="E98" s="87"/>
      <c r="F98" s="87"/>
      <c r="G98" s="87"/>
      <c r="H98" s="87"/>
      <c r="I98" s="87"/>
      <c r="J98" s="87"/>
      <c r="K98" s="87"/>
      <c r="L98" s="87"/>
      <c r="M98" s="87"/>
      <c r="N98" s="87"/>
      <c r="O98" s="87"/>
      <c r="P98" s="87"/>
      <c r="Q98" s="87"/>
      <c r="R98" s="87"/>
      <c r="S98" s="87"/>
      <c r="T98" s="87"/>
      <c r="U98" s="87"/>
      <c r="V98" s="87"/>
      <c r="W98" s="87"/>
      <c r="X98" s="87"/>
    </row>
    <row r="99" spans="1:24" ht="12.75">
      <c r="A99" s="87"/>
      <c r="B99" s="87"/>
      <c r="C99" s="87"/>
      <c r="D99" s="87"/>
      <c r="E99" s="87"/>
      <c r="F99" s="87"/>
      <c r="G99" s="87"/>
      <c r="H99" s="87"/>
      <c r="I99" s="87"/>
      <c r="J99" s="87"/>
      <c r="K99" s="87"/>
      <c r="L99" s="87"/>
      <c r="M99" s="87"/>
      <c r="N99" s="87"/>
      <c r="O99" s="87"/>
      <c r="P99" s="87"/>
      <c r="Q99" s="87"/>
      <c r="R99" s="87"/>
      <c r="S99" s="87"/>
      <c r="T99" s="87"/>
      <c r="U99" s="87"/>
      <c r="V99" s="87"/>
      <c r="W99" s="87"/>
      <c r="X99" s="87"/>
    </row>
    <row r="100" spans="1:24" ht="12.7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row>
    <row r="101" spans="1:24" ht="12.75">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row>
    <row r="102" spans="1:24" ht="12.75">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row>
    <row r="103" spans="1:24" ht="12.75">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row>
    <row r="104" spans="1:24" ht="12.7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row>
    <row r="105" spans="1:24" ht="12.75">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row>
    <row r="106" spans="1:24" ht="12.75">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row>
    <row r="107" spans="1:24" ht="12.75">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row>
    <row r="108" spans="1:24" ht="12.7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row>
    <row r="109" spans="1:24" ht="12.7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row>
    <row r="110" spans="1:24" ht="12.7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row>
    <row r="111" spans="1:24" ht="12.7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row>
    <row r="112" spans="1:24" ht="12.7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row>
    <row r="113" spans="1:24" ht="12.7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row>
    <row r="114" spans="1:24" ht="12.7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row>
    <row r="115" spans="1:24" ht="12.7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row>
    <row r="116" spans="1:24" ht="12.7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row>
    <row r="117" spans="1:24" ht="12.7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row>
    <row r="118" spans="1:24" ht="12.7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row>
    <row r="119" spans="1:24" ht="12.7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row>
    <row r="120" spans="1:24" ht="12.7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row>
    <row r="121" spans="1:24" ht="12.7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row>
    <row r="122" spans="1:24" ht="12.7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row>
    <row r="123" spans="1:24" ht="12.7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row>
    <row r="124" spans="1:24" ht="12.7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row>
    <row r="125" spans="1:24" ht="12.7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row>
    <row r="126" spans="1:24" ht="12.7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row>
    <row r="127" spans="1:24" ht="12.7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row>
    <row r="128" spans="1:24" ht="12.7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row>
    <row r="129" spans="1:24" ht="12.7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row>
    <row r="130" spans="1:24" ht="12.7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row>
    <row r="131" spans="1:24" ht="12.7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row>
    <row r="132" spans="1:24" ht="12.7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row>
    <row r="133" spans="1:24" ht="12.7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row>
    <row r="134" spans="1:24" ht="12.7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row>
    <row r="135" spans="1:24" ht="12.7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row>
    <row r="136" spans="1:24" ht="12.7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row>
    <row r="137" spans="1:24" ht="12.7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row>
    <row r="138" spans="1:24" ht="12.7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row>
    <row r="139" spans="1:24" ht="12.7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row>
    <row r="140" spans="1:24" ht="12.7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row>
    <row r="141" spans="1:24" ht="12.7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row>
    <row r="142" spans="1:24" ht="12.7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row>
    <row r="143" spans="1:24" ht="12.7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row>
    <row r="144" spans="1:24" ht="12.7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row>
    <row r="145" spans="1:24" ht="12.7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row>
    <row r="146" spans="1:24" ht="12.7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row>
    <row r="147" spans="1:24" ht="12.75">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row>
    <row r="148" spans="1:24" ht="12.75">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row>
    <row r="149" spans="1:24" ht="12.75">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row>
    <row r="150" spans="1:24" ht="12.75">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row>
    <row r="151" spans="1:24" ht="12.7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row>
    <row r="152" spans="1:24" ht="12.75">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row>
    <row r="153" spans="1:24" ht="12.75">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row>
    <row r="154" spans="1:24" ht="12.75">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row>
    <row r="155" spans="1:24" ht="12.75">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row>
    <row r="156" spans="1:24" ht="12.75">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row>
    <row r="157" spans="1:24" ht="12.75">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row>
    <row r="158" spans="1:24" ht="12.75">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row>
    <row r="159" spans="1:24" ht="12.75">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row>
    <row r="160" spans="1:24" ht="12.75">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row>
    <row r="161" spans="1:24" ht="12.75">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row>
    <row r="162" spans="1:24" ht="12.75">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row>
    <row r="163" spans="1:24" ht="12.7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row>
    <row r="164" spans="1:24" ht="12.75">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row>
    <row r="165" spans="1:24" ht="12.75">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row>
    <row r="166" spans="1:24" ht="12.75">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row>
    <row r="167" spans="1:24" ht="12.75">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row>
    <row r="168" spans="1:24" ht="12.75">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row>
    <row r="169" spans="1:24" ht="12.75">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row>
    <row r="170" spans="1:24" ht="12.75">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row>
    <row r="171" spans="1:24" ht="12.75">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row>
    <row r="172" spans="1:24" ht="12.75">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row>
    <row r="173" spans="1:24" ht="12.75">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row>
    <row r="174" spans="1:24" ht="12.75">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row>
    <row r="175" spans="1:24" ht="12.75">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row>
    <row r="176" spans="1:24" ht="12.75">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row>
    <row r="177" spans="1:24" ht="12.75">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row>
    <row r="178" spans="1:24" ht="12.75">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row>
    <row r="179" spans="1:24" ht="12.75">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row>
    <row r="180" spans="1:24" ht="12.75">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row>
    <row r="181" spans="1:24" ht="12.75">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row>
    <row r="182" spans="1:24" ht="12.75">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row>
    <row r="183" spans="1:24" ht="12.75">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row>
    <row r="184" spans="1:24" ht="12.75">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row>
    <row r="185" spans="1:24" ht="12.75">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row>
    <row r="186" spans="1:24" ht="12.75">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row>
    <row r="187" spans="1:24" ht="12.75">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row>
    <row r="188" spans="1:24" ht="12.75">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row>
    <row r="189" spans="1:24" ht="12.75">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row>
    <row r="190" spans="1:24" ht="12.75">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row>
    <row r="191" spans="1:24" ht="12.75">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row>
    <row r="192" spans="1:24" ht="12.75">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row>
    <row r="193" spans="1:24" ht="12.75">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row>
    <row r="194" spans="1:24" ht="12.75">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row>
    <row r="195" spans="1:24" ht="12.75">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row>
    <row r="196" spans="1:24" ht="12.75">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row>
    <row r="197" spans="1:24" ht="12.75">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row>
    <row r="198" spans="1:24" ht="12.75">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row>
    <row r="199" spans="1:24" ht="12.75">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row>
    <row r="200" spans="1:24" ht="12.75">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row>
    <row r="201" spans="1:24" ht="12.75">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row>
    <row r="202" spans="1:24" ht="12.75">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row>
    <row r="203" spans="1:24" ht="12.75">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row>
    <row r="204" spans="1:24" ht="12.75">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row>
    <row r="205" spans="1:24" ht="12.75">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row>
    <row r="206" spans="1:24" ht="12.75">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row>
    <row r="207" spans="1:24" ht="12.75">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row>
    <row r="208" spans="1:24" ht="12.75">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row>
    <row r="209" spans="1:24" ht="12.75">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row>
    <row r="210" spans="1:24" ht="12.75">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row>
    <row r="211" spans="1:24" ht="12.75">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row>
    <row r="212" spans="1:24" ht="12.75">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row>
    <row r="213" spans="1:24" ht="12.75">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row>
    <row r="214" spans="1:24" ht="12.75">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row>
    <row r="215" spans="1:24" ht="12.75">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row>
    <row r="216" spans="1:24" ht="12.75">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row>
    <row r="217" spans="1:24" ht="12.75">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row>
    <row r="218" spans="1:24" ht="12.75">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row>
    <row r="219" spans="1:24" ht="12.75">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row>
    <row r="220" spans="1:24" ht="12.75">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row>
    <row r="221" spans="1:24" ht="12.7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row>
    <row r="222" spans="1:24" ht="12.7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row>
    <row r="223" spans="1:24" ht="12.7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row>
    <row r="224" spans="1:24" ht="12.7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row>
    <row r="225" spans="1:24" ht="12.7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row>
    <row r="226" spans="1:24" ht="12.7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row>
    <row r="227" spans="1:24" ht="12.7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row>
    <row r="228" spans="1:24" ht="12.7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row>
    <row r="229" spans="1:24" ht="12.7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row>
    <row r="230" spans="1:24" ht="12.7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row>
    <row r="231" spans="1:24" ht="12.7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row>
    <row r="232" spans="1:24" ht="12.7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row>
    <row r="233" spans="1:24" ht="12.7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row>
    <row r="234" spans="1:24" ht="12.7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row>
    <row r="235" spans="1:24" ht="12.7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row>
    <row r="236" spans="1:24" ht="12.7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row>
    <row r="237" spans="1:24" ht="12.7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row>
    <row r="238" spans="1:24" ht="12.7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row>
    <row r="239" spans="1:24" ht="12.7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row>
    <row r="240" spans="1:24" ht="12.7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row>
    <row r="241" spans="1:24" ht="12.7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row>
    <row r="242" spans="1:24" ht="12.7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row>
    <row r="243" spans="1:24" ht="12.7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row>
    <row r="244" spans="1:24" ht="12.7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row>
    <row r="245" spans="1:24" ht="12.7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row>
    <row r="246" spans="1:24" ht="12.7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row>
    <row r="247" spans="1:24" ht="12.7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row>
    <row r="248" spans="1:24" ht="12.7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row>
    <row r="249" spans="1:24" ht="12.7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row>
    <row r="250" spans="1:24" ht="12.7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row>
    <row r="251" spans="1:24" ht="12.7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row>
    <row r="252" spans="1:24" ht="12.7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row>
    <row r="253" spans="1:24" ht="12.7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row>
    <row r="254" spans="1:24" ht="12.7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row>
    <row r="255" spans="1:24" ht="12.7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row>
    <row r="256" spans="1:24" ht="12.7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row>
    <row r="257" spans="1:24" ht="12.7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row>
    <row r="258" spans="1:24" ht="12.7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row>
    <row r="259" spans="1:24" ht="12.7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row>
    <row r="260" spans="1:24" ht="12.7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row>
    <row r="261" spans="1:24" ht="12.7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row>
    <row r="262" spans="1:24" ht="12.7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row>
    <row r="263" spans="1:24" ht="12.7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row>
    <row r="264" spans="1:24" ht="12.7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row>
    <row r="265" spans="1:24" ht="12.7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row>
    <row r="266" spans="1:24" ht="12.7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row>
    <row r="267" spans="1:24" ht="12.7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row>
    <row r="268" spans="1:24" ht="12.7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row>
    <row r="269" spans="1:24" ht="12.7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row>
    <row r="270" spans="1:24" ht="12.7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row>
    <row r="271" spans="1:24" ht="12.7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row>
    <row r="272" spans="1:24" ht="12.7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row>
    <row r="273" spans="1:24" ht="12.7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row>
    <row r="274" spans="1:24" ht="12.7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row>
    <row r="275" spans="1:24" ht="12.7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row>
    <row r="276" spans="1:24" ht="12.7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row>
    <row r="277" spans="1:24" ht="12.7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row>
    <row r="278" spans="1:24" ht="12.7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row>
    <row r="279" spans="1:24" ht="12.7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row>
    <row r="280" spans="1:24" ht="12.7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row>
    <row r="281" spans="1:24" ht="12.7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row>
    <row r="282" spans="1:24" ht="12.7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row>
    <row r="283" spans="1:24" ht="12.7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row>
    <row r="284" spans="1:24" ht="12.7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row>
    <row r="285" spans="1:24" ht="12.7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row>
    <row r="286" spans="1:24" ht="12.7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row>
    <row r="287" spans="1:24" ht="12.7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row>
    <row r="288" spans="1:24" ht="12.7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row>
    <row r="289" spans="1:24" ht="12.7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row>
    <row r="290" spans="1:24" ht="12.7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row>
    <row r="291" spans="1:24" ht="12.7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row>
    <row r="292" spans="1:24" ht="12.7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row>
    <row r="293" spans="1:24" ht="12.7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row>
    <row r="294" spans="1:24" ht="12.7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row>
    <row r="295" spans="1:24" ht="12.7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row>
    <row r="296" spans="1:24" ht="12.7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row>
    <row r="297" spans="1:24" ht="12.7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row>
    <row r="298" spans="1:24" ht="12.7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row>
    <row r="299" spans="1:24" ht="12.7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row>
    <row r="300" spans="1:24" ht="12.7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row>
    <row r="301" spans="1:24" ht="12.7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row>
    <row r="302" spans="1:24" ht="12.7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row>
    <row r="303" spans="1:24" ht="12.7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row>
    <row r="304" spans="1:24" ht="12.7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row>
    <row r="305" spans="1:24" ht="12.7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row>
    <row r="306" spans="1:24" ht="12.7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row>
    <row r="307" spans="1:24" ht="12.7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row>
    <row r="308" spans="1:24" ht="12.7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row>
    <row r="309" spans="1:24" ht="12.7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row>
    <row r="310" spans="1:24" ht="12.7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row>
    <row r="311" spans="1:24" ht="12.7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row>
    <row r="312" spans="1:24" ht="12.7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row>
    <row r="313" spans="1:24" ht="12.7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row>
    <row r="314" spans="1:24" ht="12.7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row>
    <row r="315" spans="1:24" ht="12.7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row>
    <row r="316" spans="1:24" ht="12.7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row>
    <row r="317" spans="1:24" ht="12.7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row>
    <row r="318" spans="1:24" ht="12.7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row>
    <row r="319" spans="1:24" ht="12.7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row>
    <row r="320" spans="1:24" ht="12.7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row>
    <row r="321" spans="1:24" ht="12.7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row>
    <row r="322" spans="1:24" ht="12.7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row>
    <row r="323" spans="1:24" ht="12.7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row>
    <row r="324" spans="1:24" ht="12.7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row>
    <row r="325" spans="1:24" ht="12.7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row>
    <row r="326" spans="1:24" ht="12.7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row>
    <row r="327" spans="1:24" ht="12.7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row>
    <row r="328" spans="1:24" ht="12.7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row>
    <row r="329" spans="1:24" ht="12.7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row>
    <row r="330" spans="1:24" ht="12.7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row>
    <row r="331" spans="1:24" ht="12.7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row>
    <row r="332" spans="1:24" ht="12.7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row>
    <row r="333" spans="1:24" ht="12.7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row>
    <row r="334" spans="1:24" ht="12.7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row>
    <row r="335" spans="1:24" ht="12.7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row>
    <row r="336" spans="1:24" ht="12.7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row>
    <row r="337" spans="1:24" ht="12.7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row>
    <row r="338" spans="1:24" ht="12.7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row>
    <row r="339" spans="1:24" ht="12.7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row>
    <row r="340" spans="1:24" ht="12.7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row>
    <row r="341" spans="1:24" ht="12.7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row>
    <row r="342" spans="1:24" ht="12.7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row>
    <row r="343" spans="1:24" ht="12.7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row>
    <row r="344" spans="1:24" ht="12.7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row>
    <row r="345" spans="1:24" ht="12.7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row>
    <row r="346" spans="1:24" ht="12.7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row>
    <row r="347" spans="1:24" ht="12.7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row>
    <row r="348" spans="1:24" ht="12.7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row>
    <row r="349" spans="1:24" ht="12.7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row>
    <row r="350" spans="1:24" ht="12.7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row>
    <row r="351" spans="1:24" ht="12.7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row>
    <row r="352" spans="1:24" ht="12.7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row>
    <row r="353" spans="1:24" ht="12.7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row>
    <row r="354" spans="1:24" ht="12.7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row>
    <row r="355" spans="1:24" ht="12.7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row>
    <row r="356" spans="1:24" ht="12.7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row>
    <row r="357" spans="1:24" ht="12.7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row>
    <row r="358" spans="1:24" ht="12.7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row>
    <row r="359" spans="1:24" ht="12.7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row>
    <row r="360" spans="1:24" ht="12.7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row>
    <row r="361" spans="1:24" ht="12.7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row>
    <row r="362" spans="1:24" ht="12.7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row>
    <row r="363" spans="1:24" ht="12.7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row>
    <row r="364" spans="1:24" ht="12.7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row>
    <row r="365" spans="1:24" ht="12.7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row>
    <row r="366" spans="1:24" ht="12.7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row>
    <row r="367" spans="1:24" ht="12.7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row>
    <row r="368" spans="1:24" ht="12.7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row>
    <row r="369" spans="1:24" ht="12.7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row>
    <row r="370" spans="1:24" ht="12.7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row>
    <row r="371" spans="1:24" ht="12.7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row>
    <row r="372" spans="1:24" ht="12.7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row>
    <row r="373" spans="1:24" ht="12.7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row>
    <row r="374" spans="1:24" ht="12.7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row>
    <row r="375" spans="1:24" ht="12.7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row>
    <row r="376" spans="1:24" ht="12.7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row>
    <row r="377" spans="1:24" ht="12.7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row>
    <row r="378" spans="1:24" ht="12.7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row>
    <row r="379" spans="1:24" ht="12.7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row>
    <row r="380" spans="1:24" ht="12.7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row>
    <row r="381" spans="1:24" ht="12.7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row>
    <row r="382" spans="1:24" ht="12.7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row>
    <row r="383" spans="1:24" ht="12.7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row>
    <row r="384" spans="1:24" ht="12.7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row>
    <row r="385" spans="1:24" ht="12.7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row>
    <row r="386" spans="1:24" ht="12.7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row>
    <row r="387" spans="1:24" ht="12.7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row>
    <row r="388" spans="1:24" ht="12.7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row>
    <row r="389" spans="1:24" ht="12.7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row>
    <row r="390" spans="1:24" ht="12.7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row>
    <row r="391" spans="1:24" ht="12.7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row>
    <row r="392" spans="1:24" ht="12.7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row>
    <row r="393" spans="1:24" ht="12.7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row>
    <row r="394" spans="1:24" ht="12.7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row>
    <row r="395" spans="1:24" ht="12.7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row>
    <row r="396" spans="1:24" ht="12.7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row>
    <row r="397" spans="1:24" ht="12.7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row>
    <row r="398" spans="1:24" ht="12.7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row>
    <row r="399" spans="1:24" ht="12.7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row>
    <row r="400" spans="1:24" ht="12.7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row>
    <row r="401" spans="1:24" ht="12.7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row>
    <row r="402" spans="1:24" ht="12.7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row>
    <row r="403" spans="1:24" ht="12.7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row>
    <row r="404" spans="1:24" ht="12.7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row>
    <row r="405" spans="1:24" ht="12.7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row>
    <row r="406" spans="1:24" ht="12.7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row>
    <row r="407" spans="1:24" ht="12.7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row>
    <row r="408" spans="1:24" ht="12.7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row>
    <row r="409" spans="1:24" ht="12.7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row>
    <row r="410" spans="1:24" ht="12.7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row>
    <row r="411" spans="1:24" ht="12.7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row>
    <row r="412" spans="1:24" ht="12.7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row>
    <row r="413" spans="1:24" ht="12.7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row>
    <row r="414" spans="1:24" ht="12.7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row>
    <row r="415" spans="1:24" ht="12.7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row>
    <row r="416" spans="1:24" ht="12.7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row>
    <row r="417" spans="1:24" ht="12.7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row>
    <row r="418" spans="1:24" ht="12.7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row>
    <row r="419" spans="1:24" ht="12.7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row>
    <row r="420" spans="1:24" ht="12.7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row>
    <row r="421" spans="1:24" ht="12.7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row>
    <row r="422" spans="1:24" ht="12.7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row>
    <row r="423" spans="1:24" ht="12.7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row>
    <row r="424" spans="1:24" ht="12.7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row>
    <row r="425" spans="1:24" ht="12.7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row>
    <row r="426" spans="1:24" ht="12.7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row>
    <row r="427" spans="1:24" ht="12.7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row>
    <row r="428" spans="1:24" ht="12.7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row>
    <row r="429" spans="1:24" ht="12.7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row>
    <row r="430" spans="1:24" ht="12.7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row>
    <row r="431" spans="1:24" ht="12.7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row>
    <row r="432" spans="1:24" ht="12.7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row>
    <row r="433" spans="1:24" ht="12.7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row>
    <row r="434" spans="1:24" ht="12.7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row>
    <row r="435" spans="1:24" ht="12.7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row>
    <row r="436" spans="1:24" ht="12.7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row>
    <row r="437" spans="1:24" ht="12.7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row>
    <row r="438" spans="1:24" ht="12.7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row>
    <row r="439" spans="1:24" ht="12.7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row>
    <row r="440" spans="1:24" ht="12.7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row>
    <row r="441" spans="1:24" ht="12.7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row>
    <row r="442" spans="1:24" ht="12.7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row>
    <row r="443" spans="1:24" ht="12.7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row>
    <row r="444" spans="1:24" ht="12.7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row>
    <row r="445" spans="1:24" ht="12.7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row>
    <row r="446" spans="1:24" ht="12.7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row>
    <row r="447" spans="1:24" ht="12.7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row>
    <row r="448" spans="1:24" ht="12.7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row>
    <row r="449" spans="1:24" ht="12.7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row>
    <row r="450" spans="1:24" ht="12.7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row>
    <row r="451" spans="1:24" ht="12.7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row>
    <row r="452" spans="1:24" ht="12.7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row>
    <row r="453" spans="1:24" ht="12.7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row>
    <row r="454" spans="1:24" ht="12.7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row>
    <row r="455" spans="1:24" ht="12.7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row>
    <row r="456" spans="1:24" ht="12.7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row>
    <row r="457" spans="1:24" ht="12.7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row>
    <row r="458" spans="1:24" ht="12.7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row>
    <row r="459" spans="1:24" ht="12.7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row>
    <row r="460" spans="1:24" ht="12.7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row>
    <row r="461" spans="1:24" ht="12.7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row>
    <row r="462" spans="1:24" ht="12.7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row>
    <row r="463" spans="1:24" ht="12.7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row>
    <row r="464" spans="1:24" ht="12.7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row>
    <row r="465" spans="1:24" ht="12.7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row>
    <row r="466" spans="1:24" ht="12.7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row>
    <row r="467" spans="1:24" ht="12.7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row>
    <row r="468" spans="1:24" ht="12.7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row>
    <row r="469" spans="1:24" ht="12.7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row>
    <row r="470" spans="1:24" ht="12.7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row>
    <row r="471" spans="1:24" ht="12.7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row>
    <row r="472" spans="1:24" ht="12.7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row>
    <row r="473" spans="1:24" ht="12.7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row>
    <row r="474" spans="1:24" ht="12.7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row>
    <row r="475" spans="1:24" ht="12.7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row>
    <row r="476" spans="1:24" ht="12.7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row>
    <row r="477" spans="1:24" ht="12.7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row>
    <row r="478" spans="1:24" ht="12.7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row>
    <row r="479" spans="1:24" ht="12.7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row>
    <row r="480" spans="1:24" ht="12.7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row>
    <row r="481" spans="1:24" ht="12.7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row>
    <row r="482" spans="1:24" ht="12.7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row>
    <row r="483" spans="1:24" ht="12.7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row>
    <row r="484" spans="1:24" ht="12.7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row>
    <row r="485" spans="1:24" ht="12.7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row>
    <row r="486" spans="1:24" ht="12.7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row>
    <row r="487" spans="1:24" ht="12.7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row>
    <row r="488" spans="1:24" ht="12.7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row>
    <row r="489" spans="1:24" ht="12.7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row>
    <row r="490" spans="1:24" ht="12.7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row>
    <row r="491" spans="1:24" ht="12.7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row>
    <row r="492" spans="1:24" ht="12.7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row>
    <row r="493" spans="1:24" ht="12.7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row>
    <row r="494" spans="1:24" ht="12.7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row>
    <row r="495" spans="1:24" ht="12.7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row>
    <row r="496" spans="1:24" ht="12.7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row>
    <row r="497" spans="1:24" ht="12.7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row>
    <row r="498" spans="1:24" ht="12.7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row>
    <row r="499" spans="1:24" ht="12.7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row>
    <row r="500" spans="1:24" ht="12.7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row>
    <row r="501" spans="1:24" ht="12.7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row>
    <row r="502" spans="1:24" ht="12.7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row>
    <row r="503" spans="1:24" ht="12.7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row>
    <row r="504" spans="1:24" ht="12.7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row>
    <row r="505" spans="1:24" ht="12.7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row>
    <row r="506" spans="1:24" ht="12.7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row>
    <row r="507" spans="1:24" ht="12.7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row>
    <row r="508" spans="1:24" ht="12.7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row>
    <row r="509" spans="1:24" ht="12.7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row>
    <row r="510" spans="1:24" ht="12.7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row>
    <row r="511" spans="1:24" ht="12.7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row>
    <row r="512" spans="1:24" ht="12.7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row>
    <row r="513" spans="1:24" ht="12.7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row>
    <row r="514" spans="1:24" ht="12.7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row>
    <row r="515" spans="1:24" ht="12.7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row>
    <row r="516" spans="1:24" ht="12.7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row>
    <row r="517" spans="1:24" ht="12.7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row>
    <row r="518" spans="1:24" ht="12.7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row>
    <row r="519" spans="1:24" ht="12.7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row>
    <row r="520" spans="1:24" ht="12.7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row>
    <row r="521" spans="1:24" ht="12.7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row>
    <row r="522" spans="1:24" ht="12.7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row>
    <row r="523" spans="1:24" ht="12.7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row>
    <row r="524" spans="1:24" ht="12.7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row>
    <row r="525" spans="1:24" ht="12.7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row>
    <row r="526" spans="1:24" ht="12.7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row>
    <row r="527" spans="1:24" ht="12.7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row>
    <row r="528" spans="1:24" ht="12.7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row>
    <row r="529" spans="1:24" ht="12.7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row>
    <row r="530" spans="1:24" ht="12.7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row>
    <row r="531" spans="1:24" ht="12.7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row>
    <row r="532" spans="1:24" ht="12.7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row>
    <row r="533" spans="1:24" ht="12.7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row>
    <row r="534" spans="1:24" ht="12.7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row>
    <row r="535" spans="1:24" ht="12.7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row>
    <row r="536" spans="1:24" ht="12.7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row>
    <row r="537" spans="1:24" ht="12.7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row>
    <row r="538" spans="1:24" ht="12.7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row>
    <row r="539" spans="1:24" ht="12.7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row>
    <row r="540" spans="1:24" ht="12.7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row>
    <row r="541" spans="1:24" ht="12.7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row>
    <row r="542" spans="1:24" ht="12.7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row>
    <row r="543" spans="1:24" ht="12.7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row>
    <row r="544" spans="1:24" ht="12.7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row>
    <row r="545" spans="1:24" ht="12.7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row>
    <row r="546" spans="1:24" ht="12.7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row>
    <row r="547" spans="1:24" ht="12.7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row>
    <row r="548" spans="1:24" ht="12.7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row>
    <row r="549" spans="1:24" ht="12.7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row>
    <row r="550" spans="1:24" ht="12.7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row>
    <row r="551" spans="1:24" ht="12.7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row>
    <row r="552" spans="1:24" ht="12.7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row>
    <row r="553" spans="1:24" ht="12.7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row>
    <row r="554" spans="1:24" ht="12.7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row>
    <row r="555" spans="1:24" ht="12.7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row>
    <row r="556" spans="1:24" ht="12.7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row>
    <row r="557" spans="1:24" ht="12.7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row>
    <row r="558" spans="1:24" ht="12.7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row>
    <row r="559" spans="1:24" ht="12.7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row>
    <row r="560" spans="1:24" ht="12.7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row>
    <row r="561" spans="1:24" ht="12.7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row>
    <row r="562" spans="1:24" ht="12.7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row>
    <row r="563" spans="1:24" ht="12.7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row>
    <row r="564" spans="1:24" ht="12.7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row>
    <row r="565" spans="1:24" ht="12.7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row>
    <row r="566" spans="1:24" ht="12.7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row>
    <row r="567" spans="1:24" ht="12.7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row>
    <row r="568" spans="1:24" ht="12.7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row>
    <row r="569" spans="1:24" ht="12.7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row>
    <row r="570" spans="1:24" ht="12.7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row>
    <row r="571" spans="1:24" ht="12.7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row>
    <row r="572" spans="1:24" ht="12.7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row>
    <row r="573" spans="1:24" ht="12.7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row>
    <row r="574" spans="1:24" ht="12.7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row>
    <row r="575" spans="1:24" ht="12.7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row>
    <row r="576" spans="1:24" ht="12.7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row>
    <row r="577" spans="1:24" ht="12.7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row>
    <row r="578" spans="1:24" ht="12.7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row>
    <row r="579" spans="1:24" ht="12.7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row>
    <row r="580" spans="1:24" ht="12.7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row>
    <row r="581" spans="1:24" ht="12.7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row>
    <row r="582" spans="1:24" ht="12.7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row>
    <row r="583" spans="1:24" ht="12.7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row>
    <row r="584" spans="1:24" ht="12.7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row>
    <row r="585" spans="1:24" ht="12.7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row>
    <row r="586" spans="1:24" ht="12.7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row>
    <row r="587" spans="1:24" ht="12.7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row>
    <row r="588" spans="1:24" ht="12.7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row>
    <row r="589" spans="1:24" ht="12.7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row>
    <row r="590" spans="1:24" ht="12.7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row>
    <row r="591" spans="1:24" ht="12.7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row>
    <row r="592" spans="1:24" ht="12.7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row>
    <row r="593" spans="1:24" ht="12.7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row>
    <row r="594" spans="1:24" ht="12.7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row>
    <row r="595" spans="1:24" ht="12.7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row>
    <row r="596" spans="1:24" ht="12.7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row>
    <row r="597" spans="1:24" ht="12.7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row>
    <row r="598" spans="1:24" ht="12.7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row>
    <row r="599" spans="1:24" ht="12.7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row>
    <row r="600" spans="1:24" ht="12.7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row>
    <row r="601" spans="1:24" ht="12.7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row>
    <row r="602" spans="1:24" ht="12.7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row>
    <row r="603" spans="1:24" ht="12.7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row>
    <row r="604" spans="1:24" ht="12.7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row>
    <row r="605" spans="1:24" ht="12.7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row>
    <row r="606" spans="1:24" ht="12.7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row>
    <row r="607" spans="1:24" ht="12.7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row>
    <row r="608" spans="1:24" ht="12.7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row>
    <row r="609" spans="1:24" ht="12.7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row>
    <row r="610" spans="1:24" ht="12.7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row>
    <row r="611" spans="1:24" ht="12.7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row>
    <row r="612" spans="1:24" ht="12.7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row>
    <row r="613" spans="1:24" ht="12.7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row>
    <row r="614" spans="1:24" ht="12.7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row>
    <row r="615" spans="1:24" ht="12.7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row>
    <row r="616" spans="1:24" ht="12.7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row>
    <row r="617" spans="1:24" ht="12.7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row>
    <row r="618" spans="1:24" ht="12.7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row>
    <row r="619" spans="1:24" ht="12.7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row>
    <row r="620" spans="1:24" ht="12.7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row>
    <row r="621" spans="1:24" ht="12.7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row>
    <row r="622" spans="1:24" ht="12.7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row>
    <row r="623" spans="1:24" ht="12.7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row>
    <row r="624" spans="1:24" ht="12.7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row>
    <row r="625" spans="1:24" ht="12.7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row>
    <row r="626" spans="1:24" ht="12.7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row>
    <row r="627" spans="1:24" ht="12.7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row>
    <row r="628" spans="1:24" ht="12.7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row>
    <row r="629" spans="1:24" ht="12.7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row>
    <row r="630" spans="1:24" ht="12.7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row>
    <row r="631" spans="1:24" ht="12.7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row>
    <row r="632" spans="1:24" ht="12.7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row>
    <row r="633" spans="1:24" ht="12.7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row>
    <row r="634" spans="1:24" ht="12.7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row>
    <row r="635" spans="1:24" ht="12.7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row>
    <row r="636" spans="1:24" ht="12.7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row>
    <row r="637" spans="1:24" ht="12.7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row>
    <row r="638" spans="1:24" ht="12.7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row>
    <row r="639" spans="1:24" ht="12.7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row>
    <row r="640" spans="1:24" ht="12.7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row>
    <row r="641" spans="1:24" ht="12.7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row>
    <row r="642" spans="1:24" ht="12.7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row>
    <row r="643" spans="1:24" ht="12.7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row>
    <row r="644" spans="1:24" ht="12.7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row>
    <row r="645" spans="1:24" ht="12.7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row>
    <row r="646" spans="1:24" ht="12.7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row>
    <row r="647" spans="1:24" ht="12.7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row>
    <row r="648" spans="1:24" ht="12.7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row>
    <row r="649" spans="1:24" ht="12.7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row>
    <row r="650" spans="1:24" ht="12.7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row>
    <row r="651" spans="1:24" ht="12.7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row>
    <row r="652" spans="1:24" ht="12.7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row>
    <row r="653" spans="1:24" ht="12.7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row>
    <row r="654" spans="1:24" ht="12.7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row>
    <row r="655" spans="1:24" ht="12.7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row>
    <row r="656" spans="1:24" ht="12.7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row>
    <row r="657" spans="1:24" ht="12.7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row>
    <row r="658" spans="1:24" ht="12.7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row>
    <row r="659" spans="1:24" ht="12.7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row>
    <row r="660" spans="1:24" ht="12.7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row>
    <row r="661" spans="1:24" ht="12.7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row>
    <row r="662" spans="1:24" ht="12.7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row>
    <row r="663" spans="1:24" ht="12.7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row>
    <row r="664" spans="1:24" ht="12.7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row>
    <row r="665" spans="1:24" ht="12.7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row>
    <row r="666" spans="1:24" ht="12.7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row>
    <row r="667" spans="1:24" ht="12.7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row>
    <row r="668" spans="1:24" ht="12.7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row>
    <row r="669" spans="1:24" ht="12.7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row>
    <row r="670" spans="1:24" ht="12.7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row>
    <row r="671" spans="1:24" ht="12.7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row>
    <row r="672" spans="1:24" ht="12.7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row>
    <row r="673" spans="1:24" ht="12.7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row>
    <row r="674" spans="1:24" ht="12.7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row>
    <row r="675" spans="1:24" ht="12.7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row>
    <row r="676" spans="1:24" ht="12.7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row>
    <row r="677" spans="1:24" ht="12.7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row>
    <row r="678" spans="1:24" ht="12.7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row>
    <row r="679" spans="1:24" ht="12.7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row>
    <row r="680" spans="1:24" ht="12.7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row>
    <row r="681" spans="1:24" ht="12.7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row>
    <row r="682" spans="1:24" ht="12.7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row>
    <row r="683" spans="1:24" ht="12.7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row>
    <row r="684" spans="1:24" ht="12.7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row>
    <row r="685" spans="1:24" ht="12.7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row>
    <row r="686" spans="1:24" ht="12.7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row>
    <row r="687" spans="1:24" ht="12.7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row>
    <row r="688" spans="1:24" ht="12.7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row>
    <row r="689" spans="1:24" ht="12.7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row>
    <row r="690" spans="1:24" ht="12.7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row>
    <row r="691" spans="1:24" ht="12.7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row>
    <row r="692" spans="1:24" ht="12.7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row>
    <row r="693" spans="1:24" ht="12.7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row>
    <row r="694" spans="1:24" ht="12.7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row>
    <row r="695" spans="1:24" ht="12.7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row>
    <row r="696" spans="1:24" ht="12.7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row>
    <row r="697" spans="1:24" ht="12.7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row>
    <row r="698" spans="1:24" ht="12.7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row>
    <row r="699" spans="1:24" ht="12.7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row>
    <row r="700" spans="1:24" ht="12.7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row>
    <row r="701" spans="1:24" ht="12.7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row>
    <row r="702" spans="1:24" ht="12.7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row>
    <row r="703" spans="1:24" ht="12.7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row>
    <row r="704" spans="1:24" ht="12.7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row>
    <row r="705" spans="1:24" ht="12.7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row>
    <row r="706" spans="1:24" ht="12.7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row>
    <row r="707" spans="1:24" ht="12.7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row>
    <row r="708" spans="1:24" ht="12.7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row>
    <row r="709" spans="1:24" ht="12.7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row>
    <row r="710" spans="1:24" ht="12.7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row>
    <row r="711" spans="1:24" ht="12.7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row>
    <row r="712" spans="1:24" ht="12.7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row>
    <row r="713" spans="1:24" ht="12.7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row>
    <row r="714" spans="1:24" ht="12.7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row>
    <row r="715" spans="1:24" ht="12.7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row>
    <row r="716" spans="1:24" ht="12.7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row>
    <row r="717" spans="1:24" ht="12.7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row>
    <row r="718" spans="1:24" ht="12.7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row>
    <row r="719" spans="1:24" ht="12.7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row>
    <row r="720" spans="1:24" ht="12.7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row>
    <row r="721" spans="1:24" ht="12.7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row>
    <row r="722" spans="1:24" ht="12.7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row>
    <row r="723" spans="1:24" ht="12.7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row>
    <row r="724" spans="1:24" ht="12.7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row>
    <row r="725" spans="1:24" ht="12.7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row>
    <row r="726" spans="1:24" ht="12.7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row>
    <row r="727" spans="1:24" ht="12.7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row>
    <row r="728" spans="1:24" ht="12.7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row>
    <row r="729" spans="1:24" ht="12.7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row>
    <row r="730" spans="1:24" ht="12.7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row>
    <row r="731" spans="1:24" ht="12.7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row>
    <row r="732" spans="1:24" ht="12.7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row>
    <row r="733" spans="1:24" ht="12.7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row>
    <row r="734" spans="1:24" ht="12.7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row>
    <row r="735" spans="1:24" ht="12.7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row>
    <row r="736" spans="1:24" ht="12.7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row>
    <row r="737" spans="1:24" ht="12.7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row>
    <row r="738" spans="1:24" ht="12.7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row>
    <row r="739" spans="1:24" ht="12.7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row>
    <row r="740" spans="1:24" ht="12.7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row>
    <row r="741" spans="1:24" ht="12.7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row>
    <row r="742" spans="1:24" ht="12.7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row>
    <row r="743" spans="1:24" ht="12.7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row>
    <row r="744" spans="1:24" ht="12.7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row>
    <row r="745" spans="1:24" ht="12.7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row>
    <row r="746" spans="1:24" ht="12.7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row>
    <row r="747" spans="1:24" ht="12.7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row>
    <row r="748" spans="1:24" ht="12.7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row>
    <row r="749" spans="1:24" ht="12.7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row>
    <row r="750" spans="1:24" ht="12.7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row>
    <row r="751" spans="1:24" ht="12.7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row>
    <row r="752" spans="1:24" ht="12.7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row>
    <row r="753" spans="1:24" ht="12.7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row>
    <row r="754" spans="1:24" ht="12.7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row>
    <row r="755" spans="1:24" ht="12.7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row>
    <row r="756" spans="1:24" ht="12.7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row>
    <row r="757" spans="1:24" ht="12.7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row>
    <row r="758" spans="1:24" ht="12.7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row>
    <row r="759" spans="1:24" ht="12.7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row>
    <row r="760" spans="1:24" ht="12.7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row>
    <row r="761" spans="1:24" ht="12.7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row>
    <row r="762" spans="1:24" ht="12.7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row>
    <row r="763" spans="1:24" ht="12.7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row>
    <row r="764" spans="1:24" ht="12.7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row>
    <row r="765" spans="1:24" ht="12.7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row>
    <row r="766" spans="1:24" ht="12.7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row>
    <row r="767" spans="1:24" ht="12.7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row>
    <row r="768" spans="1:24" ht="12.7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row>
    <row r="769" spans="1:24" ht="12.7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row>
    <row r="770" spans="1:24" ht="12.7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row>
    <row r="771" spans="1:24" ht="12.7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row>
    <row r="772" spans="1:24" ht="12.7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row>
    <row r="773" spans="1:24" ht="12.7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row>
    <row r="774" spans="1:24" ht="12.7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row>
    <row r="775" spans="1:24" ht="12.7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row>
    <row r="776" spans="1:24" ht="12.7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row>
    <row r="777" spans="1:24" ht="12.7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row>
    <row r="778" spans="1:24" ht="12.7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row>
    <row r="779" spans="1:24" ht="12.7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row>
    <row r="780" spans="1:24" ht="12.7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row>
    <row r="781" spans="1:24" ht="12.7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row>
    <row r="782" spans="1:24" ht="12.7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row>
    <row r="783" spans="1:24" ht="12.7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row>
    <row r="784" spans="1:24" ht="12.7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row>
    <row r="785" spans="1:24" ht="12.7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row>
    <row r="786" spans="1:24" ht="12.7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row>
    <row r="787" spans="1:24" ht="12.7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row>
    <row r="788" spans="1:24" ht="12.7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row>
    <row r="789" spans="1:24" ht="12.7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row>
    <row r="790" spans="1:24" ht="12.7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row>
    <row r="791" spans="1:24" ht="12.7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row>
    <row r="792" spans="1:24" ht="12.7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row>
    <row r="793" spans="1:24" ht="12.7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row>
    <row r="794" spans="1:24" ht="12.7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row>
    <row r="795" spans="1:24" ht="12.7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row>
    <row r="796" spans="1:24" ht="12.7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row>
    <row r="797" spans="1:24" ht="12.7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row>
    <row r="798" spans="1:24" ht="12.7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row>
    <row r="799" spans="1:24" ht="12.7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row>
    <row r="800" spans="1:24" ht="12.7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row>
    <row r="801" spans="1:24" ht="12.7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row>
    <row r="802" spans="1:24" ht="12.7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row>
    <row r="803" spans="1:24" ht="12.7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row>
    <row r="804" spans="1:24" ht="12.7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row>
    <row r="805" spans="1:24" ht="12.7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row>
    <row r="806" spans="1:24" ht="12.7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row>
    <row r="807" spans="1:24" ht="12.7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row>
    <row r="808" spans="1:24" ht="12.7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row>
    <row r="809" spans="1:24" ht="12.7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row>
    <row r="810" spans="1:24" ht="12.7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row>
    <row r="811" spans="1:24" ht="12.7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row>
    <row r="812" spans="1:24" ht="12.7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row>
    <row r="813" spans="1:24" ht="12.7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row>
    <row r="814" spans="1:24" ht="12.7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row>
    <row r="815" spans="1:24" ht="12.7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row>
    <row r="816" spans="1:24" ht="12.7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row>
    <row r="817" spans="1:24" ht="12.7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row>
    <row r="818" spans="1:24" ht="12.7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row>
    <row r="819" spans="1:24" ht="12.7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row>
    <row r="820" spans="1:24" ht="12.7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row>
    <row r="821" spans="1:24" ht="12.7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row>
    <row r="822" spans="1:24" ht="12.7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row>
    <row r="823" spans="1:24" ht="12.7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row>
    <row r="824" spans="1:24" ht="12.7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row>
    <row r="825" spans="1:24" ht="12.7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row>
    <row r="826" spans="1:24" ht="12.7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row>
    <row r="827" spans="1:24" ht="12.7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row>
    <row r="828" spans="1:24" ht="12.7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row>
    <row r="829" spans="1:24" ht="12.7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row>
    <row r="830" spans="1:24" ht="12.7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row>
    <row r="831" spans="1:24" ht="12.7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row>
    <row r="832" spans="1:24" ht="12.7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row>
    <row r="833" spans="1:24" ht="12.7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row>
    <row r="834" spans="1:24" ht="12.7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row>
    <row r="835" spans="1:24" ht="12.7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row>
    <row r="836" spans="1:24" ht="12.7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row>
    <row r="837" spans="1:24" ht="12.7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row>
    <row r="838" spans="1:24" ht="12.7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row>
    <row r="839" spans="1:24" ht="12.7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row>
    <row r="840" spans="1:24" ht="12.7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row>
    <row r="841" spans="1:24" ht="12.7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row>
    <row r="842" spans="1:24" ht="12.7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row>
    <row r="843" spans="1:24" ht="12.7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row>
    <row r="844" spans="1:24" ht="12.7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row>
    <row r="845" spans="1:24" ht="12.7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row>
    <row r="846" spans="1:24" ht="12.7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row>
    <row r="847" spans="1:24" ht="12.7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row>
    <row r="848" spans="1:24" ht="12.7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row>
    <row r="849" spans="1:24" ht="12.7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row>
    <row r="850" spans="1:24" ht="12.7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row>
    <row r="851" spans="1:24" ht="12.7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row>
    <row r="852" spans="1:24" ht="12.7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row>
    <row r="853" spans="1:24" ht="12.7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row>
    <row r="854" spans="1:24" ht="12.7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row>
    <row r="855" spans="1:24" ht="12.7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row>
    <row r="856" spans="1:24" ht="12.7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row>
    <row r="857" spans="1:24" ht="12.7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row>
    <row r="858" spans="1:24" ht="12.7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row>
    <row r="859" spans="1:24" ht="12.7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row>
    <row r="860" spans="1:24" ht="12.7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row>
    <row r="861" spans="1:24" ht="12.7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row>
    <row r="862" spans="1:24" ht="12.7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row>
    <row r="863" spans="1:24" ht="12.7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row>
    <row r="864" spans="1:24" ht="12.7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row>
    <row r="865" spans="1:24" ht="12.7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row>
    <row r="866" spans="1:24" ht="12.7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row>
    <row r="867" spans="1:24" ht="12.7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row>
    <row r="868" spans="1:24" ht="12.7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row>
    <row r="869" spans="1:24" ht="12.7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row>
    <row r="870" spans="1:24" ht="12.7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row>
    <row r="871" spans="1:24" ht="12.7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row>
    <row r="872" spans="1:24" ht="12.7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row>
    <row r="873" spans="1:24" ht="12.7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row>
    <row r="874" spans="1:24" ht="12.7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row>
    <row r="875" spans="1:24" ht="12.7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row>
    <row r="876" spans="1:24" ht="12.7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row>
    <row r="877" spans="1:24" ht="12.7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row>
    <row r="878" spans="1:24" ht="12.7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row>
    <row r="879" spans="1:24" ht="12.7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row>
    <row r="880" spans="1:24" ht="12.7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row>
    <row r="881" spans="1:24" ht="12.7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row>
    <row r="882" spans="1:24" ht="12.7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row>
    <row r="883" spans="1:24" ht="12.7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row>
    <row r="884" spans="1:24" ht="12.7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row>
    <row r="885" spans="1:24" ht="12.7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row>
    <row r="886" spans="1:24" ht="12.7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row>
    <row r="887" spans="1:24" ht="12.7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row>
    <row r="888" spans="1:24" ht="12.7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row>
    <row r="889" spans="1:24" ht="12.7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row>
    <row r="890" spans="1:24" ht="12.7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row>
    <row r="891" spans="1:24" ht="12.7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row>
    <row r="892" spans="1:24" ht="12.7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row>
    <row r="893" spans="1:24" ht="12.7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row>
    <row r="894" spans="1:24" ht="12.7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row>
    <row r="895" spans="1:24" ht="12.7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row>
    <row r="896" spans="1:24" ht="12.7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row>
    <row r="897" spans="1:24" ht="12.7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row>
    <row r="898" spans="1:24" ht="12.7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row>
    <row r="899" spans="1:24" ht="12.7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row>
    <row r="900" spans="1:24" ht="12.7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row>
    <row r="901" spans="1:24" ht="12.7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row>
    <row r="902" spans="1:24" ht="12.7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row>
    <row r="903" spans="1:24" ht="12.7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row>
    <row r="904" spans="1:24" ht="12.7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row>
    <row r="905" spans="1:24" ht="12.7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row>
    <row r="906" spans="1:24" ht="12.7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row>
    <row r="907" spans="1:24" ht="12.7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row>
    <row r="908" spans="1:24" ht="12.7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row>
    <row r="909" spans="1:24" ht="12.7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row>
    <row r="910" spans="1:24" ht="12.7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row>
    <row r="911" spans="1:24" ht="12.7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row>
    <row r="912" spans="1:24" ht="12.7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row>
    <row r="913" spans="1:24" ht="12.7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row>
    <row r="914" spans="1:24" ht="12.7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row>
    <row r="915" spans="1:24" ht="12.7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row>
    <row r="916" spans="1:24" ht="12.7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row>
    <row r="917" spans="1:24" ht="12.7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row>
    <row r="918" spans="1:24" ht="12.7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row>
    <row r="919" spans="1:24" ht="12.7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row>
    <row r="920" spans="1:24" ht="12.7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row>
    <row r="921" spans="1:24" ht="12.7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row>
    <row r="922" spans="1:24" ht="12.7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row>
    <row r="923" spans="1:24" ht="12.7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row>
    <row r="924" spans="1:24" ht="12.7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row>
    <row r="925" spans="1:24" ht="12.7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row>
    <row r="926" spans="1:24" ht="12.7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row>
    <row r="927" spans="1:24" ht="12.7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row>
    <row r="928" spans="1:24" ht="12.7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row>
    <row r="929" spans="1:24" ht="12.7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row>
    <row r="930" spans="1:24" ht="12.7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row>
    <row r="931" spans="1:24" ht="12.7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row>
    <row r="932" spans="1:24" ht="12.7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row>
    <row r="933" spans="1:24" ht="12.7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row>
    <row r="934" spans="1:24" ht="12.7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row>
    <row r="935" spans="1:24" ht="12.7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row>
    <row r="936" spans="1:24" ht="12.7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row>
    <row r="937" spans="1:24" ht="12.7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row>
    <row r="938" spans="1:24" ht="12.7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row>
    <row r="939" spans="1:24" ht="12.7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row>
    <row r="940" spans="1:24" ht="12.7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row>
    <row r="941" spans="1:24" ht="12.7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row>
    <row r="942" spans="1:24" ht="12.7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row>
    <row r="943" spans="1:24" ht="12.7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row>
    <row r="944" spans="1:24" ht="12.7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row>
    <row r="945" spans="1:24" ht="12.7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row>
    <row r="946" spans="1:24" ht="12.7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row>
    <row r="947" spans="1:24" ht="12.7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row>
    <row r="948" spans="1:24" ht="12.7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row>
    <row r="949" spans="1:24" ht="12.7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row>
    <row r="950" spans="1:24" ht="12.7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row>
    <row r="951" spans="1:24" ht="12.7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row>
    <row r="952" spans="1:24" ht="12.7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row>
    <row r="953" spans="1:24" ht="12.7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row>
    <row r="954" spans="1:24" ht="12.7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row>
    <row r="955" spans="1:24" ht="12.7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row>
    <row r="956" spans="1:24" ht="12.7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row>
    <row r="957" spans="1:24" ht="12.7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row>
    <row r="958" spans="1:24" ht="12.7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row>
    <row r="959" spans="1:24" ht="12.7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row>
    <row r="960" spans="1:24" ht="12.7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row>
    <row r="961" spans="1:24" ht="12.7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row>
    <row r="962" spans="1:24" ht="12.7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row>
    <row r="963" spans="1:24" ht="12.7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row>
    <row r="964" spans="1:24" ht="12.7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row>
    <row r="965" spans="1:24" ht="12.7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row>
    <row r="966" spans="1:24" ht="12.7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row>
    <row r="967" spans="1:24" ht="12.7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row>
    <row r="968" spans="1:24" ht="12.7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row>
    <row r="969" spans="1:24" ht="12.7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row>
    <row r="970" spans="1:24" ht="12.7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row>
    <row r="971" spans="1:24" ht="12.7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row>
    <row r="972" spans="1:24" ht="12.7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row>
    <row r="973" spans="1:24" ht="12.7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row>
    <row r="974" spans="1:24" ht="12.7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row>
    <row r="975" spans="1:24" ht="12.7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row>
    <row r="976" spans="1:24" ht="12.7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row>
    <row r="977" spans="1:24" ht="12.7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row>
    <row r="978" spans="1:24" ht="12.7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row>
    <row r="979" spans="1:24" ht="12.7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row>
    <row r="980" spans="1:24" ht="12.7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row>
    <row r="981" spans="1:24" ht="12.7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row>
    <row r="982" spans="1:24" ht="12.7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row>
    <row r="983" spans="1:24" ht="12.7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row>
    <row r="984" spans="1:24" ht="12.7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row>
    <row r="985" spans="1:24" ht="12.7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row>
    <row r="986" spans="1:24" ht="12.7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row>
    <row r="987" spans="1:24" ht="12.7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row>
    <row r="988" spans="1:24" ht="12.7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row>
  </sheetData>
  <autoFilter ref="A1:X6" xr:uid="{00000000-0009-0000-0000-000010000000}"/>
  <hyperlinks>
    <hyperlink ref="K3" r:id="rId1"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AG998"/>
  <sheetViews>
    <sheetView workbookViewId="0">
      <pane ySplit="1" topLeftCell="A2" activePane="bottomLeft" state="frozen"/>
      <selection pane="bottomLeft" activeCell="B3" sqref="B3"/>
    </sheetView>
  </sheetViews>
  <sheetFormatPr baseColWidth="10" defaultColWidth="14.42578125" defaultRowHeight="15.75" customHeight="1"/>
  <cols>
    <col min="1" max="1" width="11.42578125" customWidth="1"/>
    <col min="2" max="3" width="32.85546875" customWidth="1"/>
    <col min="4" max="5" width="14.140625" customWidth="1"/>
    <col min="6" max="6" width="35.28515625" customWidth="1"/>
    <col min="7" max="33" width="14.140625" customWidth="1"/>
  </cols>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19.5" customHeight="1">
      <c r="A2" s="75">
        <v>2016</v>
      </c>
      <c r="B2" s="76" t="s">
        <v>2000</v>
      </c>
      <c r="C2" s="76" t="s">
        <v>484</v>
      </c>
      <c r="D2" s="77">
        <v>42566</v>
      </c>
      <c r="E2" s="77">
        <v>42581</v>
      </c>
      <c r="F2" s="76" t="s">
        <v>979</v>
      </c>
      <c r="G2" s="76" t="s">
        <v>179</v>
      </c>
      <c r="H2" s="76" t="s">
        <v>1552</v>
      </c>
      <c r="I2" s="76" t="s">
        <v>1553</v>
      </c>
      <c r="J2" s="87"/>
      <c r="K2" s="76" t="s">
        <v>1554</v>
      </c>
      <c r="L2" s="76" t="s">
        <v>1555</v>
      </c>
      <c r="M2" s="76">
        <v>982390306</v>
      </c>
      <c r="N2" s="87"/>
      <c r="O2" s="76" t="s">
        <v>1556</v>
      </c>
      <c r="P2" s="87"/>
      <c r="Q2" s="76" t="s">
        <v>54</v>
      </c>
      <c r="R2" s="76" t="s">
        <v>55</v>
      </c>
      <c r="S2" s="76" t="s">
        <v>1557</v>
      </c>
      <c r="T2" s="76" t="s">
        <v>1558</v>
      </c>
      <c r="U2" s="87"/>
      <c r="V2" s="87"/>
      <c r="W2" s="87"/>
      <c r="X2" s="87"/>
      <c r="Y2" s="87"/>
      <c r="Z2" s="87"/>
      <c r="AA2" s="87"/>
      <c r="AB2" s="87"/>
      <c r="AC2" s="87"/>
      <c r="AD2" s="87"/>
      <c r="AE2" s="87"/>
      <c r="AF2" s="87"/>
      <c r="AG2" s="87"/>
    </row>
    <row r="3" spans="1:33" ht="19.5" customHeight="1">
      <c r="A3" s="135">
        <v>2017</v>
      </c>
      <c r="B3" s="83" t="s">
        <v>1894</v>
      </c>
      <c r="C3" s="136" t="s">
        <v>237</v>
      </c>
      <c r="D3" s="137">
        <v>42931</v>
      </c>
      <c r="E3" s="137">
        <v>42946</v>
      </c>
      <c r="F3" s="83" t="s">
        <v>979</v>
      </c>
      <c r="G3" s="83" t="s">
        <v>180</v>
      </c>
      <c r="H3" s="138">
        <v>12</v>
      </c>
      <c r="I3" s="83"/>
      <c r="J3" s="83"/>
      <c r="K3" s="83"/>
      <c r="L3" s="83" t="s">
        <v>1563</v>
      </c>
      <c r="M3" s="83"/>
      <c r="N3" s="83"/>
      <c r="O3" s="83"/>
      <c r="P3" s="83"/>
      <c r="Q3" s="83"/>
      <c r="R3" s="83"/>
      <c r="S3" s="83"/>
      <c r="T3" s="83"/>
      <c r="U3" s="83"/>
      <c r="V3" s="83"/>
      <c r="W3" s="83" t="s">
        <v>1564</v>
      </c>
      <c r="X3" s="83"/>
      <c r="Y3" s="83"/>
      <c r="Z3" s="83"/>
      <c r="AA3" s="83"/>
      <c r="AB3" s="83"/>
      <c r="AC3" s="83"/>
      <c r="AD3" s="83"/>
      <c r="AE3" s="83"/>
      <c r="AF3" s="83"/>
      <c r="AG3" s="83"/>
    </row>
    <row r="4" spans="1:33" ht="19.5" customHeight="1">
      <c r="A4" s="135">
        <v>2017</v>
      </c>
      <c r="B4" s="83" t="s">
        <v>1886</v>
      </c>
      <c r="C4" s="136" t="s">
        <v>237</v>
      </c>
      <c r="D4" s="137">
        <v>42935</v>
      </c>
      <c r="E4" s="137">
        <v>42946</v>
      </c>
      <c r="F4" s="83" t="s">
        <v>979</v>
      </c>
      <c r="G4" s="83" t="s">
        <v>2001</v>
      </c>
      <c r="H4" s="83" t="s">
        <v>1568</v>
      </c>
      <c r="I4" s="83"/>
      <c r="J4" s="83"/>
      <c r="K4" s="83" t="s">
        <v>1569</v>
      </c>
      <c r="L4" s="83" t="s">
        <v>1570</v>
      </c>
      <c r="M4" s="83"/>
      <c r="N4" s="83" t="s">
        <v>1571</v>
      </c>
      <c r="O4" s="83" t="s">
        <v>1572</v>
      </c>
      <c r="P4" s="83" t="s">
        <v>290</v>
      </c>
      <c r="Q4" s="83" t="s">
        <v>54</v>
      </c>
      <c r="R4" s="83" t="s">
        <v>103</v>
      </c>
      <c r="S4" s="83" t="s">
        <v>1573</v>
      </c>
      <c r="T4" s="83"/>
      <c r="U4" s="83" t="s">
        <v>1112</v>
      </c>
      <c r="V4" s="83"/>
      <c r="W4" s="83"/>
      <c r="X4" s="83"/>
      <c r="Y4" s="83"/>
      <c r="Z4" s="83"/>
      <c r="AA4" s="83"/>
      <c r="AB4" s="83"/>
      <c r="AC4" s="83"/>
      <c r="AD4" s="83"/>
      <c r="AE4" s="83"/>
      <c r="AF4" s="83"/>
      <c r="AG4" s="83"/>
    </row>
    <row r="5" spans="1:33" ht="19.5" customHeight="1">
      <c r="A5" s="97">
        <v>2016</v>
      </c>
      <c r="B5" s="99" t="s">
        <v>2000</v>
      </c>
      <c r="C5" s="99" t="s">
        <v>484</v>
      </c>
      <c r="D5" s="110">
        <v>42566</v>
      </c>
      <c r="E5" s="111">
        <v>42581</v>
      </c>
      <c r="F5" s="99" t="s">
        <v>979</v>
      </c>
      <c r="G5" s="99" t="s">
        <v>179</v>
      </c>
      <c r="H5" s="99" t="s">
        <v>1552</v>
      </c>
      <c r="I5" s="99" t="s">
        <v>1553</v>
      </c>
      <c r="J5" s="103"/>
      <c r="K5" s="99" t="s">
        <v>1554</v>
      </c>
      <c r="L5" s="99" t="s">
        <v>1555</v>
      </c>
      <c r="M5" s="99">
        <v>982390306</v>
      </c>
      <c r="N5" s="103"/>
      <c r="O5" s="99" t="s">
        <v>1556</v>
      </c>
      <c r="P5" s="103"/>
      <c r="Q5" s="99" t="s">
        <v>54</v>
      </c>
      <c r="R5" s="99" t="s">
        <v>55</v>
      </c>
      <c r="S5" s="99" t="s">
        <v>1557</v>
      </c>
      <c r="T5" s="99" t="s">
        <v>1558</v>
      </c>
      <c r="U5" s="103"/>
      <c r="V5" s="103"/>
      <c r="W5" s="103"/>
      <c r="X5" s="103"/>
      <c r="Y5" s="103"/>
      <c r="Z5" s="103"/>
      <c r="AA5" s="103"/>
      <c r="AB5" s="103"/>
      <c r="AC5" s="103"/>
      <c r="AD5" s="103"/>
      <c r="AE5" s="103"/>
      <c r="AF5" s="103"/>
      <c r="AG5" s="103"/>
    </row>
    <row r="6" spans="1:33" ht="19.5" customHeight="1">
      <c r="A6" s="97">
        <v>2016</v>
      </c>
      <c r="B6" s="99" t="s">
        <v>2002</v>
      </c>
      <c r="C6" s="76" t="s">
        <v>1581</v>
      </c>
      <c r="D6" s="110">
        <v>42567</v>
      </c>
      <c r="E6" s="111">
        <v>42582</v>
      </c>
      <c r="F6" s="99" t="s">
        <v>979</v>
      </c>
      <c r="G6" s="99" t="s">
        <v>183</v>
      </c>
      <c r="H6" s="99" t="s">
        <v>183</v>
      </c>
      <c r="I6" s="103"/>
      <c r="J6" s="103"/>
      <c r="K6" s="103"/>
      <c r="L6" s="99" t="s">
        <v>1582</v>
      </c>
      <c r="M6" s="103"/>
      <c r="N6" s="103"/>
      <c r="O6" s="103"/>
      <c r="P6" s="103"/>
      <c r="Q6" s="103"/>
      <c r="R6" s="103"/>
      <c r="S6" s="103"/>
      <c r="T6" s="103"/>
      <c r="U6" s="103"/>
      <c r="V6" s="103"/>
      <c r="W6" s="103"/>
      <c r="X6" s="103"/>
      <c r="Y6" s="103"/>
      <c r="Z6" s="103"/>
      <c r="AA6" s="103"/>
      <c r="AB6" s="103"/>
      <c r="AC6" s="103"/>
      <c r="AD6" s="103"/>
      <c r="AE6" s="103"/>
      <c r="AF6" s="103"/>
      <c r="AG6" s="103"/>
    </row>
    <row r="7" spans="1:33" ht="19.5" customHeight="1">
      <c r="A7" s="75">
        <v>2016</v>
      </c>
      <c r="B7" s="76" t="s">
        <v>2002</v>
      </c>
      <c r="C7" s="76" t="s">
        <v>1581</v>
      </c>
      <c r="D7" s="77">
        <v>42567</v>
      </c>
      <c r="E7" s="77">
        <v>42582</v>
      </c>
      <c r="F7" s="76" t="s">
        <v>979</v>
      </c>
      <c r="G7" s="76" t="s">
        <v>183</v>
      </c>
      <c r="H7" s="76" t="s">
        <v>183</v>
      </c>
      <c r="I7" s="76" t="s">
        <v>1586</v>
      </c>
      <c r="J7" s="87"/>
      <c r="K7" s="87"/>
      <c r="L7" s="76" t="s">
        <v>1582</v>
      </c>
      <c r="M7" s="87"/>
      <c r="N7" s="87"/>
      <c r="O7" s="87"/>
      <c r="P7" s="87"/>
      <c r="Q7" s="87"/>
      <c r="R7" s="87"/>
      <c r="S7" s="87"/>
      <c r="T7" s="87"/>
      <c r="U7" s="87"/>
      <c r="V7" s="87"/>
      <c r="W7" s="87"/>
      <c r="X7" s="87"/>
      <c r="Y7" s="87"/>
      <c r="Z7" s="87"/>
      <c r="AA7" s="87"/>
      <c r="AC7" s="87"/>
      <c r="AD7" s="87"/>
      <c r="AE7" s="87"/>
      <c r="AF7" s="87"/>
      <c r="AG7" s="87"/>
    </row>
    <row r="8" spans="1:33" ht="19.5" customHeight="1">
      <c r="A8" s="135">
        <v>2012</v>
      </c>
      <c r="B8" s="83" t="s">
        <v>2003</v>
      </c>
      <c r="C8" s="136" t="s">
        <v>1591</v>
      </c>
      <c r="D8" s="137">
        <v>41106</v>
      </c>
      <c r="E8" s="137">
        <v>41120</v>
      </c>
      <c r="F8" s="76" t="s">
        <v>979</v>
      </c>
      <c r="G8" s="83" t="s">
        <v>183</v>
      </c>
      <c r="H8" s="83" t="s">
        <v>1592</v>
      </c>
      <c r="I8" s="83" t="s">
        <v>1592</v>
      </c>
      <c r="J8" s="87"/>
      <c r="K8" s="83"/>
      <c r="L8" s="87"/>
      <c r="M8" s="87"/>
      <c r="N8" s="87"/>
      <c r="O8" s="87"/>
      <c r="P8" s="87"/>
      <c r="Q8" s="87"/>
      <c r="R8" s="87"/>
      <c r="S8" s="87"/>
      <c r="T8" s="87"/>
      <c r="U8" s="87"/>
      <c r="V8" s="87"/>
      <c r="W8" s="87"/>
      <c r="X8" s="87"/>
      <c r="Y8" s="87"/>
      <c r="Z8" s="87"/>
      <c r="AA8" s="87"/>
      <c r="AB8" s="87"/>
      <c r="AC8" s="87"/>
      <c r="AD8" s="87"/>
      <c r="AE8" s="87"/>
      <c r="AF8" s="87"/>
      <c r="AG8" s="87"/>
    </row>
    <row r="9" spans="1:33" ht="19.5" customHeight="1">
      <c r="A9" s="135">
        <v>2018</v>
      </c>
      <c r="B9" s="139" t="s">
        <v>1905</v>
      </c>
      <c r="C9" s="139" t="str">
        <f>C8</f>
        <v xml:space="preserve">gssantanaysanlafael@scoutsdemadrid.org  </v>
      </c>
      <c r="D9" s="137">
        <v>43295</v>
      </c>
      <c r="E9" s="137">
        <v>43311</v>
      </c>
      <c r="F9" s="139" t="s">
        <v>979</v>
      </c>
      <c r="G9" s="139" t="s">
        <v>179</v>
      </c>
      <c r="H9" s="139" t="s">
        <v>2004</v>
      </c>
      <c r="I9" s="139" t="s">
        <v>1597</v>
      </c>
      <c r="J9" s="83" t="s">
        <v>1598</v>
      </c>
      <c r="K9" s="139" t="s">
        <v>1599</v>
      </c>
      <c r="L9" s="139" t="s">
        <v>1600</v>
      </c>
      <c r="M9" s="140">
        <v>982543066</v>
      </c>
      <c r="N9" s="83" t="s">
        <v>1601</v>
      </c>
      <c r="O9" s="139" t="s">
        <v>259</v>
      </c>
      <c r="P9" s="83" t="s">
        <v>1602</v>
      </c>
      <c r="Q9" s="139" t="s">
        <v>100</v>
      </c>
      <c r="R9" s="139" t="s">
        <v>55</v>
      </c>
      <c r="S9" s="139" t="s">
        <v>1603</v>
      </c>
      <c r="T9" s="139" t="s">
        <v>1604</v>
      </c>
      <c r="U9" s="83" t="s">
        <v>555</v>
      </c>
      <c r="V9" s="83" t="s">
        <v>372</v>
      </c>
      <c r="W9" s="83" t="s">
        <v>1605</v>
      </c>
      <c r="X9" s="83"/>
      <c r="Y9" s="83"/>
      <c r="Z9" s="83"/>
      <c r="AA9" s="83"/>
      <c r="AB9" s="83"/>
      <c r="AC9" s="83"/>
      <c r="AD9" s="83"/>
      <c r="AE9" s="83"/>
      <c r="AF9" s="83"/>
      <c r="AG9" s="83"/>
    </row>
    <row r="10" spans="1:33" ht="19.5" customHeight="1">
      <c r="A10" s="135">
        <v>2019</v>
      </c>
      <c r="B10" s="139" t="s">
        <v>1908</v>
      </c>
      <c r="C10" s="136" t="s">
        <v>468</v>
      </c>
      <c r="D10" s="137">
        <v>43662</v>
      </c>
      <c r="E10" s="137">
        <v>43676</v>
      </c>
      <c r="F10" s="139" t="s">
        <v>979</v>
      </c>
      <c r="G10" s="139" t="s">
        <v>2005</v>
      </c>
      <c r="H10" s="139" t="s">
        <v>2006</v>
      </c>
      <c r="I10" s="139" t="s">
        <v>1610</v>
      </c>
      <c r="J10" s="83" t="s">
        <v>1611</v>
      </c>
      <c r="K10" s="139" t="s">
        <v>1612</v>
      </c>
      <c r="L10" s="139" t="s">
        <v>1613</v>
      </c>
      <c r="M10" s="140">
        <v>654474999</v>
      </c>
      <c r="N10" s="83" t="s">
        <v>1614</v>
      </c>
      <c r="O10" s="139">
        <v>3339.6</v>
      </c>
      <c r="P10" s="83" t="s">
        <v>1615</v>
      </c>
      <c r="Q10" s="139" t="s">
        <v>54</v>
      </c>
      <c r="R10" s="139" t="s">
        <v>55</v>
      </c>
      <c r="S10" s="139" t="s">
        <v>1616</v>
      </c>
      <c r="T10" s="139" t="s">
        <v>1617</v>
      </c>
      <c r="U10" s="83" t="s">
        <v>1618</v>
      </c>
      <c r="V10" s="83" t="s">
        <v>55</v>
      </c>
      <c r="W10" s="83" t="s">
        <v>1619</v>
      </c>
      <c r="X10" s="83" t="s">
        <v>55</v>
      </c>
      <c r="Y10" s="83"/>
      <c r="Z10" s="83"/>
      <c r="AA10" s="83"/>
      <c r="AB10" s="83"/>
      <c r="AC10" s="83"/>
      <c r="AD10" s="83"/>
      <c r="AE10" s="83"/>
      <c r="AF10" s="83"/>
      <c r="AG10" s="83"/>
    </row>
    <row r="11" spans="1:33" ht="12.75">
      <c r="A11" s="75"/>
      <c r="B11" s="76"/>
      <c r="C11" s="76"/>
      <c r="D11" s="77"/>
      <c r="E11" s="77"/>
      <c r="F11" s="76"/>
      <c r="G11" s="76"/>
      <c r="H11" s="76"/>
      <c r="I11" s="76"/>
      <c r="J11" s="87"/>
      <c r="K11" s="76"/>
      <c r="L11" s="76"/>
      <c r="M11" s="76"/>
      <c r="N11" s="87"/>
      <c r="O11" s="76"/>
      <c r="P11" s="87"/>
      <c r="Q11" s="76"/>
      <c r="R11" s="76"/>
      <c r="S11" s="76"/>
      <c r="T11" s="76"/>
      <c r="U11" s="87"/>
      <c r="V11" s="87"/>
      <c r="W11" s="87"/>
      <c r="X11" s="87"/>
      <c r="Y11" s="87"/>
      <c r="Z11" s="87"/>
      <c r="AA11" s="87"/>
      <c r="AB11" s="87"/>
      <c r="AC11" s="87"/>
      <c r="AD11" s="87"/>
      <c r="AE11" s="87"/>
      <c r="AF11" s="87"/>
      <c r="AG11" s="87"/>
    </row>
    <row r="12" spans="1:33" ht="12.75">
      <c r="A12" s="75"/>
      <c r="B12" s="76"/>
      <c r="C12" s="76"/>
      <c r="D12" s="77"/>
      <c r="E12" s="77"/>
      <c r="F12" s="76"/>
      <c r="G12" s="76"/>
      <c r="H12" s="76"/>
      <c r="I12" s="76"/>
      <c r="J12" s="87"/>
      <c r="K12" s="76"/>
      <c r="L12" s="76"/>
      <c r="M12" s="76"/>
      <c r="N12" s="87"/>
      <c r="O12" s="76"/>
      <c r="P12" s="87"/>
      <c r="Q12" s="76"/>
      <c r="R12" s="76"/>
      <c r="S12" s="76"/>
      <c r="T12" s="76"/>
      <c r="U12" s="87"/>
      <c r="V12" s="87"/>
      <c r="W12" s="87"/>
      <c r="X12" s="87"/>
      <c r="Y12" s="87"/>
      <c r="Z12" s="87"/>
      <c r="AA12" s="87"/>
      <c r="AB12" s="87"/>
      <c r="AC12" s="87"/>
      <c r="AD12" s="87"/>
      <c r="AE12" s="87"/>
      <c r="AF12" s="87"/>
      <c r="AG12" s="87"/>
    </row>
    <row r="13" spans="1:33" ht="12.75">
      <c r="A13" s="75"/>
      <c r="B13" s="76"/>
      <c r="C13" s="76"/>
      <c r="D13" s="77"/>
      <c r="E13" s="77"/>
      <c r="F13" s="76"/>
      <c r="G13" s="76"/>
      <c r="H13" s="76"/>
      <c r="I13" s="76"/>
      <c r="J13" s="87"/>
      <c r="K13" s="76"/>
      <c r="L13" s="76"/>
      <c r="M13" s="76"/>
      <c r="N13" s="87"/>
      <c r="O13" s="76"/>
      <c r="P13" s="87"/>
      <c r="Q13" s="76"/>
      <c r="R13" s="76"/>
      <c r="S13" s="76"/>
      <c r="T13" s="76"/>
      <c r="U13" s="87"/>
      <c r="V13" s="87"/>
      <c r="W13" s="87"/>
      <c r="X13" s="87"/>
      <c r="Y13" s="87"/>
      <c r="Z13" s="87"/>
      <c r="AA13" s="87"/>
      <c r="AB13" s="87"/>
      <c r="AC13" s="87"/>
      <c r="AD13" s="87"/>
      <c r="AE13" s="87"/>
      <c r="AF13" s="87"/>
      <c r="AG13" s="87"/>
    </row>
    <row r="14" spans="1:33" ht="12.75">
      <c r="A14" s="75"/>
      <c r="B14" s="76"/>
      <c r="C14" s="76"/>
      <c r="D14" s="77"/>
      <c r="E14" s="77"/>
      <c r="F14" s="76"/>
      <c r="G14" s="76"/>
      <c r="H14" s="76"/>
      <c r="I14" s="76"/>
      <c r="J14" s="87"/>
      <c r="K14" s="76"/>
      <c r="L14" s="76"/>
      <c r="M14" s="76"/>
      <c r="N14" s="87"/>
      <c r="O14" s="76"/>
      <c r="P14" s="87"/>
      <c r="Q14" s="76"/>
      <c r="R14" s="76"/>
      <c r="S14" s="76"/>
      <c r="T14" s="76"/>
      <c r="U14" s="87"/>
      <c r="V14" s="87"/>
      <c r="W14" s="87"/>
      <c r="X14" s="87"/>
      <c r="Y14" s="87"/>
      <c r="Z14" s="87"/>
      <c r="AA14" s="87"/>
      <c r="AB14" s="87"/>
      <c r="AC14" s="87"/>
      <c r="AD14" s="87"/>
      <c r="AE14" s="87"/>
      <c r="AF14" s="87"/>
      <c r="AG14" s="87"/>
    </row>
    <row r="15" spans="1:33" ht="12.75">
      <c r="A15" s="75"/>
      <c r="B15" s="76"/>
      <c r="C15" s="76"/>
      <c r="D15" s="77"/>
      <c r="E15" s="77"/>
      <c r="F15" s="76"/>
      <c r="G15" s="76"/>
      <c r="H15" s="76"/>
      <c r="I15" s="76"/>
      <c r="J15" s="87"/>
      <c r="K15" s="76"/>
      <c r="L15" s="76"/>
      <c r="M15" s="76"/>
      <c r="N15" s="87"/>
      <c r="O15" s="76"/>
      <c r="P15" s="87"/>
      <c r="Q15" s="76"/>
      <c r="R15" s="76"/>
      <c r="S15" s="76"/>
      <c r="T15" s="76"/>
      <c r="U15" s="87"/>
      <c r="V15" s="87"/>
      <c r="W15" s="87"/>
      <c r="X15" s="87"/>
      <c r="Y15" s="87"/>
      <c r="Z15" s="87"/>
      <c r="AA15" s="87"/>
      <c r="AB15" s="87"/>
      <c r="AC15" s="87"/>
      <c r="AD15" s="87"/>
      <c r="AE15" s="87"/>
      <c r="AF15" s="87"/>
      <c r="AG15" s="87"/>
    </row>
    <row r="16" spans="1:33" ht="12.75">
      <c r="A16" s="86"/>
      <c r="B16" s="87"/>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row>
    <row r="17" spans="1:33" ht="12.75">
      <c r="A17" s="86"/>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row>
    <row r="18" spans="1:33" ht="12.75">
      <c r="A18" s="86"/>
      <c r="B18" s="87"/>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c r="AF18" s="87"/>
      <c r="AG18" s="87"/>
    </row>
    <row r="19" spans="1:33" ht="12.75">
      <c r="A19" s="86"/>
      <c r="B19" s="87"/>
      <c r="C19" s="87"/>
      <c r="D19" s="87"/>
      <c r="E19" s="87"/>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c r="AF19" s="87"/>
      <c r="AG19" s="87"/>
    </row>
    <row r="20" spans="1:33" ht="12.75">
      <c r="A20" s="86"/>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row>
    <row r="21" spans="1:33" ht="12.75">
      <c r="A21" s="86"/>
      <c r="B21" s="87"/>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c r="AF21" s="87"/>
      <c r="AG21" s="87"/>
    </row>
    <row r="22" spans="1:33" ht="12.75">
      <c r="A22" s="86"/>
      <c r="B22" s="87"/>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c r="AF22" s="87"/>
      <c r="AG22" s="87"/>
    </row>
    <row r="23" spans="1:33" ht="12.75">
      <c r="A23" s="86"/>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row>
    <row r="24" spans="1:33" ht="12.75">
      <c r="A24" s="86"/>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row>
    <row r="25" spans="1:33" ht="12.75">
      <c r="A25" s="86"/>
      <c r="B25" s="87"/>
      <c r="C25" s="87"/>
      <c r="D25" s="87"/>
      <c r="E25" s="87"/>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c r="AF25" s="87"/>
      <c r="AG25" s="87"/>
    </row>
    <row r="26" spans="1:33" ht="12.75">
      <c r="A26" s="86"/>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row>
    <row r="27" spans="1:33" ht="12.75">
      <c r="A27" s="86"/>
      <c r="B27" s="87"/>
      <c r="C27" s="87"/>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c r="AG27" s="87"/>
    </row>
    <row r="28" spans="1:33" ht="12.75">
      <c r="A28" s="86"/>
      <c r="B28" s="87"/>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c r="AF28" s="87"/>
      <c r="AG28" s="87"/>
    </row>
    <row r="29" spans="1:33" ht="12.75">
      <c r="A29" s="86"/>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row>
    <row r="30" spans="1:33" ht="12.75">
      <c r="A30" s="86"/>
      <c r="B30" s="87"/>
      <c r="C30" s="87"/>
      <c r="D30" s="87"/>
      <c r="E30" s="87"/>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c r="AF30" s="87"/>
      <c r="AG30" s="87"/>
    </row>
    <row r="31" spans="1:33" ht="12.75">
      <c r="A31" s="86"/>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87"/>
      <c r="AG31" s="87"/>
    </row>
    <row r="32" spans="1:33" ht="12.75">
      <c r="A32" s="86"/>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row>
    <row r="33" spans="1:33" ht="12.75">
      <c r="A33" s="86"/>
      <c r="B33" s="87"/>
      <c r="C33" s="87"/>
      <c r="D33" s="87"/>
      <c r="E33" s="87"/>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c r="AF33" s="87"/>
      <c r="AG33" s="87"/>
    </row>
    <row r="34" spans="1:33" ht="12.75">
      <c r="A34" s="86"/>
      <c r="B34" s="87"/>
      <c r="C34" s="87"/>
      <c r="D34" s="87"/>
      <c r="E34" s="87"/>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c r="AF34" s="87"/>
      <c r="AG34" s="87"/>
    </row>
    <row r="35" spans="1:33" ht="12.75">
      <c r="A35" s="86"/>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row>
    <row r="36" spans="1:33" ht="12.75">
      <c r="A36" s="86"/>
      <c r="B36" s="87"/>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c r="AF36" s="87"/>
      <c r="AG36" s="87"/>
    </row>
    <row r="37" spans="1:33" ht="12.75">
      <c r="A37" s="86"/>
      <c r="B37" s="87"/>
      <c r="C37" s="87"/>
      <c r="D37" s="87"/>
      <c r="E37" s="87"/>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c r="AF37" s="87"/>
      <c r="AG37" s="87"/>
    </row>
    <row r="38" spans="1:33" ht="12.75">
      <c r="A38" s="86"/>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row>
    <row r="39" spans="1:33" ht="12.75">
      <c r="A39" s="86"/>
      <c r="B39" s="87"/>
      <c r="C39" s="87"/>
      <c r="D39" s="87"/>
      <c r="E39" s="87"/>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c r="AF39" s="87"/>
      <c r="AG39" s="87"/>
    </row>
    <row r="40" spans="1:33" ht="12.75">
      <c r="A40" s="86"/>
      <c r="B40" s="87"/>
      <c r="C40" s="87"/>
      <c r="D40" s="87"/>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row>
    <row r="41" spans="1:33" ht="12.75">
      <c r="A41" s="86"/>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row>
    <row r="42" spans="1:33" ht="12.75">
      <c r="A42" s="86"/>
      <c r="B42" s="87"/>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c r="AF42" s="87"/>
      <c r="AG42" s="87"/>
    </row>
    <row r="43" spans="1:33" ht="12.75">
      <c r="A43" s="86"/>
      <c r="B43" s="87"/>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c r="AF43" s="87"/>
      <c r="AG43" s="87"/>
    </row>
    <row r="44" spans="1:33" ht="12.75">
      <c r="A44" s="86"/>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row>
    <row r="45" spans="1:33" ht="12.75">
      <c r="A45" s="86"/>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87"/>
      <c r="AG45" s="87"/>
    </row>
    <row r="46" spans="1:33" ht="12.75">
      <c r="A46" s="86"/>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c r="AF46" s="87"/>
      <c r="AG46" s="87"/>
    </row>
    <row r="47" spans="1:33" ht="12.75">
      <c r="A47" s="86"/>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row>
    <row r="48" spans="1:33" ht="12.75">
      <c r="A48" s="86"/>
      <c r="B48" s="87"/>
      <c r="C48" s="87"/>
      <c r="D48" s="87"/>
      <c r="E48" s="87"/>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c r="AF48" s="87"/>
      <c r="AG48" s="87"/>
    </row>
    <row r="49" spans="1:33" ht="12.75">
      <c r="A49" s="86"/>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c r="AF49" s="87"/>
      <c r="AG49" s="87"/>
    </row>
    <row r="50" spans="1:33" ht="12.75">
      <c r="A50" s="86"/>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row>
    <row r="51" spans="1:33" ht="12.75">
      <c r="A51" s="86"/>
      <c r="B51" s="87"/>
      <c r="C51" s="87"/>
      <c r="D51" s="87"/>
      <c r="E51" s="87"/>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c r="AF51" s="87"/>
      <c r="AG51" s="87"/>
    </row>
    <row r="52" spans="1:33" ht="12.75">
      <c r="A52" s="86"/>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c r="AF52" s="87"/>
      <c r="AG52" s="87"/>
    </row>
    <row r="53" spans="1:33" ht="12.75">
      <c r="A53" s="86"/>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row>
    <row r="54" spans="1:33" ht="12.75">
      <c r="A54" s="86"/>
      <c r="B54" s="87"/>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c r="AF54" s="87"/>
      <c r="AG54" s="87"/>
    </row>
    <row r="55" spans="1:33" ht="12.75">
      <c r="A55" s="86"/>
      <c r="B55" s="87"/>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c r="AF55" s="87"/>
      <c r="AG55" s="87"/>
    </row>
    <row r="56" spans="1:33" ht="12.75">
      <c r="A56" s="86"/>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row>
    <row r="57" spans="1:33" ht="12.75">
      <c r="A57" s="86"/>
      <c r="B57" s="87"/>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c r="AF57" s="87"/>
      <c r="AG57" s="87"/>
    </row>
    <row r="58" spans="1:33" ht="12.75">
      <c r="A58" s="86"/>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87"/>
      <c r="AG58" s="87"/>
    </row>
    <row r="59" spans="1:33" ht="12.75">
      <c r="A59" s="86"/>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row>
    <row r="60" spans="1:33" ht="12.75">
      <c r="A60" s="86"/>
      <c r="B60" s="87"/>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c r="AF60" s="87"/>
      <c r="AG60" s="87"/>
    </row>
    <row r="61" spans="1:33" ht="12.75">
      <c r="A61" s="86"/>
      <c r="B61" s="87"/>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c r="AF61" s="87"/>
      <c r="AG61" s="87"/>
    </row>
    <row r="62" spans="1:33" ht="12.75">
      <c r="A62" s="86"/>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3" ht="12.75">
      <c r="A63" s="86"/>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c r="AF63" s="87"/>
      <c r="AG63" s="87"/>
    </row>
    <row r="64" spans="1:33" ht="12.75">
      <c r="A64" s="86"/>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c r="AF64" s="87"/>
      <c r="AG64" s="87"/>
    </row>
    <row r="65" spans="1:33" ht="12.75">
      <c r="A65" s="86"/>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row>
    <row r="66" spans="1:33" ht="12.75">
      <c r="A66" s="86"/>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c r="AF66" s="87"/>
      <c r="AG66" s="87"/>
    </row>
    <row r="67" spans="1:33" ht="12.75">
      <c r="A67" s="86"/>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c r="AF67" s="87"/>
      <c r="AG67" s="87"/>
    </row>
    <row r="68" spans="1:33" ht="12.75">
      <c r="A68" s="86"/>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row>
    <row r="69" spans="1:33" ht="12.75">
      <c r="A69" s="86"/>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c r="AF69" s="87"/>
      <c r="AG69" s="87"/>
    </row>
    <row r="70" spans="1:33" ht="12.75">
      <c r="A70" s="86"/>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87"/>
      <c r="AG70" s="87"/>
    </row>
    <row r="71" spans="1:33" ht="12.75">
      <c r="A71" s="86"/>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c r="AF71" s="87"/>
      <c r="AG71" s="87"/>
    </row>
    <row r="72" spans="1:33" ht="12.75">
      <c r="A72" s="86"/>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c r="AF72" s="87"/>
      <c r="AG72" s="87"/>
    </row>
    <row r="73" spans="1:33" ht="12.75">
      <c r="A73" s="86"/>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c r="AF73" s="87"/>
      <c r="AG73" s="87"/>
    </row>
    <row r="74" spans="1:33" ht="12.75">
      <c r="A74" s="86"/>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c r="AF74" s="87"/>
      <c r="AG74" s="87"/>
    </row>
    <row r="75" spans="1:33" ht="12.75">
      <c r="A75" s="86"/>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c r="AF75" s="87"/>
      <c r="AG75" s="87"/>
    </row>
    <row r="76" spans="1:33" ht="12.75">
      <c r="A76" s="86"/>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c r="AF76" s="87"/>
      <c r="AG76" s="87"/>
    </row>
    <row r="77" spans="1:33" ht="12.75">
      <c r="A77" s="86"/>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c r="AF77" s="87"/>
      <c r="AG77" s="87"/>
    </row>
    <row r="78" spans="1:33" ht="12.75">
      <c r="A78" s="86"/>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c r="AF78" s="87"/>
      <c r="AG78" s="87"/>
    </row>
    <row r="79" spans="1:33" ht="12.75">
      <c r="A79" s="86"/>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c r="AF79" s="87"/>
      <c r="AG79" s="87"/>
    </row>
    <row r="80" spans="1:33" ht="12.75">
      <c r="A80" s="86"/>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c r="AF80" s="87"/>
      <c r="AG80" s="87"/>
    </row>
    <row r="81" spans="1:33" ht="12.75">
      <c r="A81" s="86"/>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c r="AF81" s="87"/>
      <c r="AG81" s="87"/>
    </row>
    <row r="82" spans="1:33" ht="12.75">
      <c r="A82" s="86"/>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c r="AC82" s="87"/>
      <c r="AD82" s="87"/>
      <c r="AE82" s="87"/>
      <c r="AF82" s="87"/>
      <c r="AG82" s="87"/>
    </row>
    <row r="83" spans="1:33" ht="12.75">
      <c r="A83" s="86"/>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c r="AC83" s="87"/>
      <c r="AD83" s="87"/>
      <c r="AE83" s="87"/>
      <c r="AF83" s="87"/>
      <c r="AG83" s="87"/>
    </row>
    <row r="84" spans="1:33" ht="12.75">
      <c r="A84" s="86"/>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c r="AC84" s="87"/>
      <c r="AD84" s="87"/>
      <c r="AE84" s="87"/>
      <c r="AF84" s="87"/>
      <c r="AG84" s="87"/>
    </row>
    <row r="85" spans="1:33" ht="12.75">
      <c r="A85" s="86"/>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c r="AC85" s="87"/>
      <c r="AD85" s="87"/>
      <c r="AE85" s="87"/>
      <c r="AF85" s="87"/>
      <c r="AG85" s="87"/>
    </row>
    <row r="86" spans="1:33" ht="12.75">
      <c r="A86" s="86"/>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c r="AC86" s="87"/>
      <c r="AD86" s="87"/>
      <c r="AE86" s="87"/>
      <c r="AF86" s="87"/>
      <c r="AG86" s="87"/>
    </row>
    <row r="87" spans="1:33" ht="12.75">
      <c r="A87" s="86"/>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c r="AC87" s="87"/>
      <c r="AD87" s="87"/>
      <c r="AE87" s="87"/>
      <c r="AF87" s="87"/>
      <c r="AG87" s="87"/>
    </row>
    <row r="88" spans="1:33" ht="12.75">
      <c r="A88" s="86"/>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c r="AC88" s="87"/>
      <c r="AD88" s="87"/>
      <c r="AE88" s="87"/>
      <c r="AF88" s="87"/>
      <c r="AG88" s="87"/>
    </row>
    <row r="89" spans="1:33" ht="12.75">
      <c r="A89" s="86"/>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87"/>
      <c r="AG89" s="87"/>
    </row>
    <row r="90" spans="1:33" ht="12.75">
      <c r="A90" s="86"/>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c r="AC90" s="87"/>
      <c r="AD90" s="87"/>
      <c r="AE90" s="87"/>
      <c r="AF90" s="87"/>
      <c r="AG90" s="87"/>
    </row>
    <row r="91" spans="1:33" ht="12.75">
      <c r="A91" s="86"/>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c r="AC91" s="87"/>
      <c r="AD91" s="87"/>
      <c r="AE91" s="87"/>
      <c r="AF91" s="87"/>
      <c r="AG91" s="87"/>
    </row>
    <row r="92" spans="1:33" ht="12.75">
      <c r="A92" s="86"/>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7"/>
      <c r="AF92" s="87"/>
      <c r="AG92" s="87"/>
    </row>
    <row r="93" spans="1:33" ht="12.75">
      <c r="A93" s="86"/>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c r="AC93" s="87"/>
      <c r="AD93" s="87"/>
      <c r="AE93" s="87"/>
      <c r="AF93" s="87"/>
      <c r="AG93" s="87"/>
    </row>
    <row r="94" spans="1:33" ht="12.75">
      <c r="A94" s="86"/>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c r="AC94" s="87"/>
      <c r="AD94" s="87"/>
      <c r="AE94" s="87"/>
      <c r="AF94" s="87"/>
      <c r="AG94" s="87"/>
    </row>
    <row r="95" spans="1:33" ht="12.75">
      <c r="A95" s="86"/>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c r="AC95" s="87"/>
      <c r="AD95" s="87"/>
      <c r="AE95" s="87"/>
      <c r="AF95" s="87"/>
      <c r="AG95" s="87"/>
    </row>
    <row r="96" spans="1:33" ht="12.75">
      <c r="A96" s="86"/>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c r="AC96" s="87"/>
      <c r="AD96" s="87"/>
      <c r="AE96" s="87"/>
      <c r="AF96" s="87"/>
      <c r="AG96" s="87"/>
    </row>
    <row r="97" spans="1:33" ht="12.75">
      <c r="A97" s="86"/>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c r="AC97" s="87"/>
      <c r="AD97" s="87"/>
      <c r="AE97" s="87"/>
      <c r="AF97" s="87"/>
      <c r="AG97" s="87"/>
    </row>
    <row r="98" spans="1:33" ht="12.75">
      <c r="A98" s="86"/>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c r="AC98" s="87"/>
      <c r="AD98" s="87"/>
      <c r="AE98" s="87"/>
      <c r="AF98" s="87"/>
      <c r="AG98" s="87"/>
    </row>
    <row r="99" spans="1:33" ht="12.75">
      <c r="A99" s="86"/>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c r="AC99" s="87"/>
      <c r="AD99" s="87"/>
      <c r="AE99" s="87"/>
      <c r="AF99" s="87"/>
      <c r="AG99" s="87"/>
    </row>
    <row r="100" spans="1:33" ht="12.75">
      <c r="A100" s="86"/>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87"/>
      <c r="AE100" s="87"/>
      <c r="AF100" s="87"/>
      <c r="AG100" s="87"/>
    </row>
    <row r="101" spans="1:33" ht="12.75">
      <c r="A101" s="86"/>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87"/>
      <c r="AG101" s="87"/>
    </row>
    <row r="102" spans="1:33" ht="12.75">
      <c r="A102" s="86"/>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c r="AC102" s="87"/>
      <c r="AD102" s="87"/>
      <c r="AE102" s="87"/>
      <c r="AF102" s="87"/>
      <c r="AG102" s="87"/>
    </row>
    <row r="103" spans="1:33" ht="12.75">
      <c r="A103" s="86"/>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c r="AC103" s="87"/>
      <c r="AD103" s="87"/>
      <c r="AE103" s="87"/>
      <c r="AF103" s="87"/>
      <c r="AG103" s="87"/>
    </row>
    <row r="104" spans="1:33" ht="12.75">
      <c r="A104" s="86"/>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87"/>
      <c r="AE104" s="87"/>
      <c r="AF104" s="87"/>
      <c r="AG104" s="87"/>
    </row>
    <row r="105" spans="1:33" ht="12.75">
      <c r="A105" s="86"/>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c r="AC105" s="87"/>
      <c r="AD105" s="87"/>
      <c r="AE105" s="87"/>
      <c r="AF105" s="87"/>
      <c r="AG105" s="87"/>
    </row>
    <row r="106" spans="1:33" ht="12.75">
      <c r="A106" s="86"/>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c r="AC106" s="87"/>
      <c r="AD106" s="87"/>
      <c r="AE106" s="87"/>
      <c r="AF106" s="87"/>
      <c r="AG106" s="87"/>
    </row>
    <row r="107" spans="1:33" ht="12.75">
      <c r="A107" s="86"/>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c r="AC107" s="87"/>
      <c r="AD107" s="87"/>
      <c r="AE107" s="87"/>
      <c r="AF107" s="87"/>
      <c r="AG107" s="87"/>
    </row>
    <row r="108" spans="1:33" ht="12.75">
      <c r="A108" s="86"/>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c r="AC108" s="87"/>
      <c r="AD108" s="87"/>
      <c r="AE108" s="87"/>
      <c r="AF108" s="87"/>
      <c r="AG108" s="87"/>
    </row>
    <row r="109" spans="1:33" ht="12.75">
      <c r="A109" s="86"/>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c r="AC109" s="87"/>
      <c r="AD109" s="87"/>
      <c r="AE109" s="87"/>
      <c r="AF109" s="87"/>
      <c r="AG109" s="87"/>
    </row>
    <row r="110" spans="1:33" ht="12.75">
      <c r="A110" s="86"/>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c r="AC110" s="87"/>
      <c r="AD110" s="87"/>
      <c r="AE110" s="87"/>
      <c r="AF110" s="87"/>
      <c r="AG110" s="87"/>
    </row>
    <row r="111" spans="1:33" ht="12.75">
      <c r="A111" s="86"/>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c r="AC111" s="87"/>
      <c r="AD111" s="87"/>
      <c r="AE111" s="87"/>
      <c r="AF111" s="87"/>
      <c r="AG111" s="87"/>
    </row>
    <row r="112" spans="1:33" ht="12.75">
      <c r="A112" s="86"/>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c r="AC112" s="87"/>
      <c r="AD112" s="87"/>
      <c r="AE112" s="87"/>
      <c r="AF112" s="87"/>
      <c r="AG112" s="87"/>
    </row>
    <row r="113" spans="1:33" ht="12.75">
      <c r="A113" s="86"/>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c r="AC113" s="87"/>
      <c r="AD113" s="87"/>
      <c r="AE113" s="87"/>
      <c r="AF113" s="87"/>
      <c r="AG113" s="87"/>
    </row>
    <row r="114" spans="1:33" ht="12.75">
      <c r="A114" s="86"/>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87"/>
      <c r="AG114" s="87"/>
    </row>
    <row r="115" spans="1:33" ht="12.75">
      <c r="A115" s="86"/>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c r="AC115" s="87"/>
      <c r="AD115" s="87"/>
      <c r="AE115" s="87"/>
      <c r="AF115" s="87"/>
      <c r="AG115" s="87"/>
    </row>
    <row r="116" spans="1:33" ht="12.75">
      <c r="A116" s="86"/>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c r="AC116" s="87"/>
      <c r="AD116" s="87"/>
      <c r="AE116" s="87"/>
      <c r="AF116" s="87"/>
      <c r="AG116" s="87"/>
    </row>
    <row r="117" spans="1:33" ht="12.75">
      <c r="A117" s="86"/>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c r="AC117" s="87"/>
      <c r="AD117" s="87"/>
      <c r="AE117" s="87"/>
      <c r="AF117" s="87"/>
      <c r="AG117" s="87"/>
    </row>
    <row r="118" spans="1:33" ht="12.75">
      <c r="A118" s="86"/>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c r="AC118" s="87"/>
      <c r="AD118" s="87"/>
      <c r="AE118" s="87"/>
      <c r="AF118" s="87"/>
      <c r="AG118" s="87"/>
    </row>
    <row r="119" spans="1:33" ht="12.75">
      <c r="A119" s="86"/>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7"/>
      <c r="AF119" s="87"/>
      <c r="AG119" s="87"/>
    </row>
    <row r="120" spans="1:33" ht="12.75">
      <c r="A120" s="86"/>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c r="AC120" s="87"/>
      <c r="AD120" s="87"/>
      <c r="AE120" s="87"/>
      <c r="AF120" s="87"/>
      <c r="AG120" s="87"/>
    </row>
    <row r="121" spans="1:33" ht="12.75">
      <c r="A121" s="86"/>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c r="AC121" s="87"/>
      <c r="AD121" s="87"/>
      <c r="AE121" s="87"/>
      <c r="AF121" s="87"/>
      <c r="AG121" s="87"/>
    </row>
    <row r="122" spans="1:33" ht="12.75">
      <c r="A122" s="86"/>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c r="AC122" s="87"/>
      <c r="AD122" s="87"/>
      <c r="AE122" s="87"/>
      <c r="AF122" s="87"/>
      <c r="AG122" s="87"/>
    </row>
    <row r="123" spans="1:33" ht="12.75">
      <c r="A123" s="86"/>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c r="AC123" s="87"/>
      <c r="AD123" s="87"/>
      <c r="AE123" s="87"/>
      <c r="AF123" s="87"/>
      <c r="AG123" s="87"/>
    </row>
    <row r="124" spans="1:33" ht="12.75">
      <c r="A124" s="86"/>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c r="AC124" s="87"/>
      <c r="AD124" s="87"/>
      <c r="AE124" s="87"/>
      <c r="AF124" s="87"/>
      <c r="AG124" s="87"/>
    </row>
    <row r="125" spans="1:33" ht="12.75">
      <c r="A125" s="86"/>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c r="AC125" s="87"/>
      <c r="AD125" s="87"/>
      <c r="AE125" s="87"/>
      <c r="AF125" s="87"/>
      <c r="AG125" s="87"/>
    </row>
    <row r="126" spans="1:33" ht="12.75">
      <c r="A126" s="86"/>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c r="AC126" s="87"/>
      <c r="AD126" s="87"/>
      <c r="AE126" s="87"/>
      <c r="AF126" s="87"/>
      <c r="AG126" s="87"/>
    </row>
    <row r="127" spans="1:33" ht="12.75">
      <c r="A127" s="86"/>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c r="AC127" s="87"/>
      <c r="AD127" s="87"/>
      <c r="AE127" s="87"/>
      <c r="AF127" s="87"/>
      <c r="AG127" s="87"/>
    </row>
    <row r="128" spans="1:33" ht="12.75">
      <c r="A128" s="86"/>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87"/>
      <c r="AE128" s="87"/>
      <c r="AF128" s="87"/>
      <c r="AG128" s="87"/>
    </row>
    <row r="129" spans="1:33" ht="12.75">
      <c r="A129" s="86"/>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c r="AC129" s="87"/>
      <c r="AD129" s="87"/>
      <c r="AE129" s="87"/>
      <c r="AF129" s="87"/>
      <c r="AG129" s="87"/>
    </row>
    <row r="130" spans="1:33" ht="12.75">
      <c r="A130" s="86"/>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87"/>
      <c r="AF130" s="87"/>
      <c r="AG130" s="87"/>
    </row>
    <row r="131" spans="1:33" ht="12.75">
      <c r="A131" s="86"/>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row>
    <row r="132" spans="1:33" ht="12.75">
      <c r="A132" s="86"/>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87"/>
      <c r="AF132" s="87"/>
      <c r="AG132" s="87"/>
    </row>
    <row r="133" spans="1:33" ht="12.75">
      <c r="A133" s="86"/>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87"/>
      <c r="AF133" s="87"/>
      <c r="AG133" s="87"/>
    </row>
    <row r="134" spans="1:33" ht="12.75">
      <c r="A134" s="86"/>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87"/>
      <c r="AF134" s="87"/>
      <c r="AG134" s="87"/>
    </row>
    <row r="135" spans="1:33" ht="12.75">
      <c r="A135" s="86"/>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87"/>
      <c r="AF135" s="87"/>
      <c r="AG135" s="87"/>
    </row>
    <row r="136" spans="1:33" ht="12.75">
      <c r="A136" s="86"/>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87"/>
      <c r="AF136" s="87"/>
      <c r="AG136" s="87"/>
    </row>
    <row r="137" spans="1:33" ht="12.75">
      <c r="A137" s="86"/>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87"/>
      <c r="AF137" s="87"/>
      <c r="AG137" s="87"/>
    </row>
    <row r="138" spans="1:33" ht="12.75">
      <c r="A138" s="86"/>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87"/>
      <c r="AF138" s="87"/>
      <c r="AG138" s="87"/>
    </row>
    <row r="139" spans="1:33" ht="12.75">
      <c r="A139" s="86"/>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87"/>
      <c r="AF139" s="87"/>
      <c r="AG139" s="87"/>
    </row>
    <row r="140" spans="1:33" ht="12.75">
      <c r="A140" s="86"/>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87"/>
      <c r="AF140" s="87"/>
      <c r="AG140" s="87"/>
    </row>
    <row r="141" spans="1:33" ht="12.75">
      <c r="A141" s="86"/>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87"/>
      <c r="AF141" s="87"/>
      <c r="AG141" s="87"/>
    </row>
    <row r="142" spans="1:33" ht="12.75">
      <c r="A142" s="86"/>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87"/>
      <c r="AF142" s="87"/>
      <c r="AG142" s="87"/>
    </row>
    <row r="143" spans="1:33" ht="12.75">
      <c r="A143" s="86"/>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87"/>
      <c r="AF143" s="87"/>
      <c r="AG143" s="87"/>
    </row>
    <row r="144" spans="1:33" ht="12.75">
      <c r="A144" s="86"/>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87"/>
      <c r="AF144" s="87"/>
      <c r="AG144" s="87"/>
    </row>
    <row r="145" spans="1:33" ht="12.75">
      <c r="A145" s="86"/>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87"/>
      <c r="AF145" s="87"/>
      <c r="AG145" s="87"/>
    </row>
    <row r="146" spans="1:33" ht="12.75">
      <c r="A146" s="86"/>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87"/>
      <c r="AG146" s="87"/>
    </row>
    <row r="147" spans="1:33" ht="12.75">
      <c r="A147" s="86"/>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87"/>
      <c r="AF147" s="87"/>
      <c r="AG147" s="87"/>
    </row>
    <row r="148" spans="1:33" ht="12.75">
      <c r="A148" s="86"/>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87"/>
      <c r="AF148" s="87"/>
      <c r="AG148" s="87"/>
    </row>
    <row r="149" spans="1:33" ht="12.75">
      <c r="A149" s="86"/>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87"/>
      <c r="AF149" s="87"/>
      <c r="AG149" s="87"/>
    </row>
    <row r="150" spans="1:33" ht="12.75">
      <c r="A150" s="86"/>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87"/>
      <c r="AF150" s="87"/>
      <c r="AG150" s="87"/>
    </row>
    <row r="151" spans="1:33" ht="12.75">
      <c r="A151" s="86"/>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87"/>
      <c r="AF151" s="87"/>
      <c r="AG151" s="87"/>
    </row>
    <row r="152" spans="1:33" ht="12.75">
      <c r="A152" s="86"/>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87"/>
      <c r="AF152" s="87"/>
      <c r="AG152" s="87"/>
    </row>
    <row r="153" spans="1:33" ht="12.75">
      <c r="A153" s="86"/>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87"/>
      <c r="AF153" s="87"/>
      <c r="AG153" s="87"/>
    </row>
    <row r="154" spans="1:33" ht="12.75">
      <c r="A154" s="86"/>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87"/>
      <c r="AF154" s="87"/>
      <c r="AG154" s="87"/>
    </row>
    <row r="155" spans="1:33" ht="12.75">
      <c r="A155" s="86"/>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87"/>
      <c r="AG155" s="87"/>
    </row>
    <row r="156" spans="1:33" ht="12.75">
      <c r="A156" s="86"/>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87"/>
      <c r="AG156" s="87"/>
    </row>
    <row r="157" spans="1:33" ht="12.75">
      <c r="A157" s="86"/>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87"/>
      <c r="AG157" s="87"/>
    </row>
    <row r="158" spans="1:33" ht="12.75">
      <c r="A158" s="86"/>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87"/>
      <c r="AG158" s="87"/>
    </row>
    <row r="159" spans="1:33" ht="12.75">
      <c r="A159" s="86"/>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87"/>
      <c r="AG159" s="87"/>
    </row>
    <row r="160" spans="1:33" ht="12.75">
      <c r="A160" s="86"/>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87"/>
      <c r="AG160" s="87"/>
    </row>
    <row r="161" spans="1:33" ht="12.75">
      <c r="A161" s="86"/>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87"/>
      <c r="AG161" s="87"/>
    </row>
    <row r="162" spans="1:33" ht="12.75">
      <c r="A162" s="86"/>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87"/>
      <c r="AG162" s="87"/>
    </row>
    <row r="163" spans="1:33" ht="12.75">
      <c r="A163" s="86"/>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87"/>
      <c r="AG163" s="87"/>
    </row>
    <row r="164" spans="1:33" ht="12.75">
      <c r="A164" s="86"/>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87"/>
      <c r="AG164" s="87"/>
    </row>
    <row r="165" spans="1:33" ht="12.75">
      <c r="A165" s="86"/>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87"/>
      <c r="AG165" s="87"/>
    </row>
    <row r="166" spans="1:33" ht="12.75">
      <c r="A166" s="86"/>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87"/>
      <c r="AG166" s="87"/>
    </row>
    <row r="167" spans="1:33" ht="12.75">
      <c r="A167" s="86"/>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87"/>
      <c r="AG167" s="87"/>
    </row>
    <row r="168" spans="1:33" ht="12.75">
      <c r="A168" s="86"/>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87"/>
      <c r="AG168" s="87"/>
    </row>
    <row r="169" spans="1:33" ht="12.75">
      <c r="A169" s="86"/>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87"/>
      <c r="AG169" s="87"/>
    </row>
    <row r="170" spans="1:33" ht="12.75">
      <c r="A170" s="86"/>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87"/>
      <c r="AG170" s="87"/>
    </row>
    <row r="171" spans="1:33" ht="12.75">
      <c r="A171" s="86"/>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87"/>
      <c r="AG171" s="87"/>
    </row>
    <row r="172" spans="1:33" ht="12.75">
      <c r="A172" s="86"/>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87"/>
      <c r="AG172" s="87"/>
    </row>
    <row r="173" spans="1:33" ht="12.75">
      <c r="A173" s="86"/>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87"/>
      <c r="AG173" s="87"/>
    </row>
    <row r="174" spans="1:33" ht="12.75">
      <c r="A174" s="86"/>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87"/>
      <c r="AG174" s="87"/>
    </row>
    <row r="175" spans="1:33" ht="12.75">
      <c r="A175" s="86"/>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87"/>
      <c r="AG175" s="87"/>
    </row>
    <row r="176" spans="1:33" ht="12.75">
      <c r="A176" s="86"/>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87"/>
      <c r="AG176" s="87"/>
    </row>
    <row r="177" spans="1:33" ht="12.75">
      <c r="A177" s="86"/>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87"/>
      <c r="AG177" s="87"/>
    </row>
    <row r="178" spans="1:33" ht="12.75">
      <c r="A178" s="86"/>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87"/>
      <c r="AG178" s="87"/>
    </row>
    <row r="179" spans="1:33" ht="12.75">
      <c r="A179" s="86"/>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c r="AC179" s="87"/>
      <c r="AD179" s="87"/>
      <c r="AE179" s="87"/>
      <c r="AF179" s="87"/>
      <c r="AG179" s="87"/>
    </row>
    <row r="180" spans="1:33" ht="12.75">
      <c r="A180" s="86"/>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c r="AC180" s="87"/>
      <c r="AD180" s="87"/>
      <c r="AE180" s="87"/>
      <c r="AF180" s="87"/>
      <c r="AG180" s="87"/>
    </row>
    <row r="181" spans="1:33" ht="12.75">
      <c r="A181" s="86"/>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c r="AC181" s="87"/>
      <c r="AD181" s="87"/>
      <c r="AE181" s="87"/>
      <c r="AF181" s="87"/>
      <c r="AG181" s="87"/>
    </row>
    <row r="182" spans="1:33" ht="12.75">
      <c r="A182" s="86"/>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c r="AC182" s="87"/>
      <c r="AD182" s="87"/>
      <c r="AE182" s="87"/>
      <c r="AF182" s="87"/>
      <c r="AG182" s="87"/>
    </row>
    <row r="183" spans="1:33" ht="12.75">
      <c r="A183" s="86"/>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c r="AC183" s="87"/>
      <c r="AD183" s="87"/>
      <c r="AE183" s="87"/>
      <c r="AF183" s="87"/>
      <c r="AG183" s="87"/>
    </row>
    <row r="184" spans="1:33" ht="12.75">
      <c r="A184" s="86"/>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87"/>
      <c r="AG184" s="87"/>
    </row>
    <row r="185" spans="1:33" ht="12.75">
      <c r="A185" s="86"/>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c r="AC185" s="87"/>
      <c r="AD185" s="87"/>
      <c r="AE185" s="87"/>
      <c r="AF185" s="87"/>
      <c r="AG185" s="87"/>
    </row>
    <row r="186" spans="1:33" ht="12.75">
      <c r="A186" s="86"/>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c r="AC186" s="87"/>
      <c r="AD186" s="87"/>
      <c r="AE186" s="87"/>
      <c r="AF186" s="87"/>
      <c r="AG186" s="87"/>
    </row>
    <row r="187" spans="1:33" ht="12.75">
      <c r="A187" s="86"/>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c r="AC187" s="87"/>
      <c r="AD187" s="87"/>
      <c r="AE187" s="87"/>
      <c r="AF187" s="87"/>
      <c r="AG187" s="87"/>
    </row>
    <row r="188" spans="1:33" ht="12.75">
      <c r="A188" s="86"/>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c r="AC188" s="87"/>
      <c r="AD188" s="87"/>
      <c r="AE188" s="87"/>
      <c r="AF188" s="87"/>
      <c r="AG188" s="87"/>
    </row>
    <row r="189" spans="1:33" ht="12.75">
      <c r="A189" s="86"/>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c r="AC189" s="87"/>
      <c r="AD189" s="87"/>
      <c r="AE189" s="87"/>
      <c r="AF189" s="87"/>
      <c r="AG189" s="87"/>
    </row>
    <row r="190" spans="1:33" ht="12.75">
      <c r="A190" s="86"/>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c r="AC190" s="87"/>
      <c r="AD190" s="87"/>
      <c r="AE190" s="87"/>
      <c r="AF190" s="87"/>
      <c r="AG190" s="87"/>
    </row>
    <row r="191" spans="1:33" ht="12.75">
      <c r="A191" s="86"/>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c r="AC191" s="87"/>
      <c r="AD191" s="87"/>
      <c r="AE191" s="87"/>
      <c r="AF191" s="87"/>
      <c r="AG191" s="87"/>
    </row>
    <row r="192" spans="1:33" ht="12.75">
      <c r="A192" s="86"/>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c r="AC192" s="87"/>
      <c r="AD192" s="87"/>
      <c r="AE192" s="87"/>
      <c r="AF192" s="87"/>
      <c r="AG192" s="87"/>
    </row>
    <row r="193" spans="1:33" ht="12.75">
      <c r="A193" s="86"/>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c r="AC193" s="87"/>
      <c r="AD193" s="87"/>
      <c r="AE193" s="87"/>
      <c r="AF193" s="87"/>
      <c r="AG193" s="87"/>
    </row>
    <row r="194" spans="1:33" ht="12.75">
      <c r="A194" s="86"/>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c r="AC194" s="87"/>
      <c r="AD194" s="87"/>
      <c r="AE194" s="87"/>
      <c r="AF194" s="87"/>
      <c r="AG194" s="87"/>
    </row>
    <row r="195" spans="1:33" ht="12.75">
      <c r="A195" s="86"/>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c r="AC195" s="87"/>
      <c r="AD195" s="87"/>
      <c r="AE195" s="87"/>
      <c r="AF195" s="87"/>
      <c r="AG195" s="87"/>
    </row>
    <row r="196" spans="1:33" ht="12.75">
      <c r="A196" s="86"/>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c r="AC196" s="87"/>
      <c r="AD196" s="87"/>
      <c r="AE196" s="87"/>
      <c r="AF196" s="87"/>
      <c r="AG196" s="87"/>
    </row>
    <row r="197" spans="1:33" ht="12.75">
      <c r="A197" s="86"/>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c r="AC197" s="87"/>
      <c r="AD197" s="87"/>
      <c r="AE197" s="87"/>
      <c r="AF197" s="87"/>
      <c r="AG197" s="87"/>
    </row>
    <row r="198" spans="1:33" ht="12.75">
      <c r="A198" s="86"/>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c r="AC198" s="87"/>
      <c r="AD198" s="87"/>
      <c r="AE198" s="87"/>
      <c r="AF198" s="87"/>
      <c r="AG198" s="87"/>
    </row>
    <row r="199" spans="1:33" ht="12.75">
      <c r="A199" s="86"/>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c r="AC199" s="87"/>
      <c r="AD199" s="87"/>
      <c r="AE199" s="87"/>
      <c r="AF199" s="87"/>
      <c r="AG199" s="87"/>
    </row>
    <row r="200" spans="1:33" ht="12.75">
      <c r="A200" s="86"/>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c r="AC200" s="87"/>
      <c r="AD200" s="87"/>
      <c r="AE200" s="87"/>
      <c r="AF200" s="87"/>
      <c r="AG200" s="87"/>
    </row>
    <row r="201" spans="1:33" ht="12.75">
      <c r="A201" s="86"/>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c r="AC201" s="87"/>
      <c r="AD201" s="87"/>
      <c r="AE201" s="87"/>
      <c r="AF201" s="87"/>
      <c r="AG201" s="87"/>
    </row>
    <row r="202" spans="1:33" ht="12.75">
      <c r="A202" s="86"/>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87"/>
      <c r="AG202" s="87"/>
    </row>
    <row r="203" spans="1:33" ht="12.75">
      <c r="A203" s="86"/>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c r="AC203" s="87"/>
      <c r="AD203" s="87"/>
      <c r="AE203" s="87"/>
      <c r="AF203" s="87"/>
      <c r="AG203" s="87"/>
    </row>
    <row r="204" spans="1:33" ht="12.75">
      <c r="A204" s="86"/>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c r="AC204" s="87"/>
      <c r="AD204" s="87"/>
      <c r="AE204" s="87"/>
      <c r="AF204" s="87"/>
      <c r="AG204" s="87"/>
    </row>
    <row r="205" spans="1:33" ht="12.75">
      <c r="A205" s="86"/>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c r="AC205" s="87"/>
      <c r="AD205" s="87"/>
      <c r="AE205" s="87"/>
      <c r="AF205" s="87"/>
      <c r="AG205" s="87"/>
    </row>
    <row r="206" spans="1:33" ht="12.75">
      <c r="A206" s="86"/>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c r="AC206" s="87"/>
      <c r="AD206" s="87"/>
      <c r="AE206" s="87"/>
      <c r="AF206" s="87"/>
      <c r="AG206" s="87"/>
    </row>
    <row r="207" spans="1:33" ht="12.75">
      <c r="A207" s="86"/>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c r="AC207" s="87"/>
      <c r="AD207" s="87"/>
      <c r="AE207" s="87"/>
      <c r="AF207" s="87"/>
      <c r="AG207" s="87"/>
    </row>
    <row r="208" spans="1:33" ht="12.75">
      <c r="A208" s="86"/>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c r="AC208" s="87"/>
      <c r="AD208" s="87"/>
      <c r="AE208" s="87"/>
      <c r="AF208" s="87"/>
      <c r="AG208" s="87"/>
    </row>
    <row r="209" spans="1:33" ht="12.75">
      <c r="A209" s="86"/>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c r="AC209" s="87"/>
      <c r="AD209" s="87"/>
      <c r="AE209" s="87"/>
      <c r="AF209" s="87"/>
      <c r="AG209" s="87"/>
    </row>
    <row r="210" spans="1:33" ht="12.75">
      <c r="A210" s="86"/>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c r="AC210" s="87"/>
      <c r="AD210" s="87"/>
      <c r="AE210" s="87"/>
      <c r="AF210" s="87"/>
      <c r="AG210" s="87"/>
    </row>
    <row r="211" spans="1:33" ht="12.75">
      <c r="A211" s="86"/>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c r="AC211" s="87"/>
      <c r="AD211" s="87"/>
      <c r="AE211" s="87"/>
      <c r="AF211" s="87"/>
      <c r="AG211" s="87"/>
    </row>
    <row r="212" spans="1:33" ht="12.75">
      <c r="A212" s="86"/>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87"/>
      <c r="AG212" s="87"/>
    </row>
    <row r="213" spans="1:33" ht="12.75">
      <c r="A213" s="86"/>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c r="AC213" s="87"/>
      <c r="AD213" s="87"/>
      <c r="AE213" s="87"/>
      <c r="AF213" s="87"/>
      <c r="AG213" s="87"/>
    </row>
    <row r="214" spans="1:33" ht="12.75">
      <c r="A214" s="86"/>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c r="AC214" s="87"/>
      <c r="AD214" s="87"/>
      <c r="AE214" s="87"/>
      <c r="AF214" s="87"/>
      <c r="AG214" s="87"/>
    </row>
    <row r="215" spans="1:33" ht="12.75">
      <c r="A215" s="86"/>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c r="AC215" s="87"/>
      <c r="AD215" s="87"/>
      <c r="AE215" s="87"/>
      <c r="AF215" s="87"/>
      <c r="AG215" s="87"/>
    </row>
    <row r="216" spans="1:33" ht="12.75">
      <c r="A216" s="86"/>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c r="AC216" s="87"/>
      <c r="AD216" s="87"/>
      <c r="AE216" s="87"/>
      <c r="AF216" s="87"/>
      <c r="AG216" s="87"/>
    </row>
    <row r="217" spans="1:33" ht="12.75">
      <c r="A217" s="86"/>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c r="AC217" s="87"/>
      <c r="AD217" s="87"/>
      <c r="AE217" s="87"/>
      <c r="AF217" s="87"/>
      <c r="AG217" s="87"/>
    </row>
    <row r="218" spans="1:33" ht="12.75">
      <c r="A218" s="86"/>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c r="AC218" s="87"/>
      <c r="AD218" s="87"/>
      <c r="AE218" s="87"/>
      <c r="AF218" s="87"/>
      <c r="AG218" s="87"/>
    </row>
    <row r="219" spans="1:33" ht="12.75">
      <c r="A219" s="86"/>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c r="AC219" s="87"/>
      <c r="AD219" s="87"/>
      <c r="AE219" s="87"/>
      <c r="AF219" s="87"/>
      <c r="AG219" s="87"/>
    </row>
    <row r="220" spans="1:33" ht="12.75">
      <c r="A220" s="86"/>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c r="AC220" s="87"/>
      <c r="AD220" s="87"/>
      <c r="AE220" s="87"/>
      <c r="AF220" s="87"/>
      <c r="AG220" s="87"/>
    </row>
    <row r="221" spans="1:33" ht="12.75">
      <c r="A221" s="86"/>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c r="AC221" s="87"/>
      <c r="AD221" s="87"/>
      <c r="AE221" s="87"/>
      <c r="AF221" s="87"/>
      <c r="AG221" s="87"/>
    </row>
    <row r="222" spans="1:33" ht="12.75">
      <c r="A222" s="86"/>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c r="AC222" s="87"/>
      <c r="AD222" s="87"/>
      <c r="AE222" s="87"/>
      <c r="AF222" s="87"/>
      <c r="AG222" s="87"/>
    </row>
    <row r="223" spans="1:33" ht="12.75">
      <c r="A223" s="86"/>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c r="AC223" s="87"/>
      <c r="AD223" s="87"/>
      <c r="AE223" s="87"/>
      <c r="AF223" s="87"/>
      <c r="AG223" s="87"/>
    </row>
    <row r="224" spans="1:33" ht="12.75">
      <c r="A224" s="86"/>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c r="AC224" s="87"/>
      <c r="AD224" s="87"/>
      <c r="AE224" s="87"/>
      <c r="AF224" s="87"/>
      <c r="AG224" s="87"/>
    </row>
    <row r="225" spans="1:33" ht="12.75">
      <c r="A225" s="86"/>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c r="AC225" s="87"/>
      <c r="AD225" s="87"/>
      <c r="AE225" s="87"/>
      <c r="AF225" s="87"/>
      <c r="AG225" s="87"/>
    </row>
    <row r="226" spans="1:33" ht="12.75">
      <c r="A226" s="86"/>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c r="AC226" s="87"/>
      <c r="AD226" s="87"/>
      <c r="AE226" s="87"/>
      <c r="AF226" s="87"/>
      <c r="AG226" s="87"/>
    </row>
    <row r="227" spans="1:33" ht="12.75">
      <c r="A227" s="86"/>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c r="AC227" s="87"/>
      <c r="AD227" s="87"/>
      <c r="AE227" s="87"/>
      <c r="AF227" s="87"/>
      <c r="AG227" s="87"/>
    </row>
    <row r="228" spans="1:33" ht="12.75">
      <c r="A228" s="86"/>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c r="AC228" s="87"/>
      <c r="AD228" s="87"/>
      <c r="AE228" s="87"/>
      <c r="AF228" s="87"/>
      <c r="AG228" s="87"/>
    </row>
    <row r="229" spans="1:33" ht="12.75">
      <c r="A229" s="86"/>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c r="AC229" s="87"/>
      <c r="AD229" s="87"/>
      <c r="AE229" s="87"/>
      <c r="AF229" s="87"/>
      <c r="AG229" s="87"/>
    </row>
    <row r="230" spans="1:33" ht="12.75">
      <c r="A230" s="86"/>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c r="AC230" s="87"/>
      <c r="AD230" s="87"/>
      <c r="AE230" s="87"/>
      <c r="AF230" s="87"/>
      <c r="AG230" s="87"/>
    </row>
    <row r="231" spans="1:33" ht="12.75">
      <c r="A231" s="86"/>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c r="AC231" s="87"/>
      <c r="AD231" s="87"/>
      <c r="AE231" s="87"/>
      <c r="AF231" s="87"/>
      <c r="AG231" s="87"/>
    </row>
    <row r="232" spans="1:33" ht="12.75">
      <c r="A232" s="86"/>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c r="AC232" s="87"/>
      <c r="AD232" s="87"/>
      <c r="AE232" s="87"/>
      <c r="AF232" s="87"/>
      <c r="AG232" s="87"/>
    </row>
    <row r="233" spans="1:33" ht="12.75">
      <c r="A233" s="86"/>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c r="AC233" s="87"/>
      <c r="AD233" s="87"/>
      <c r="AE233" s="87"/>
      <c r="AF233" s="87"/>
      <c r="AG233" s="87"/>
    </row>
    <row r="234" spans="1:33" ht="12.75">
      <c r="A234" s="86"/>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c r="AC234" s="87"/>
      <c r="AD234" s="87"/>
      <c r="AE234" s="87"/>
      <c r="AF234" s="87"/>
      <c r="AG234" s="87"/>
    </row>
    <row r="235" spans="1:33" ht="12.75">
      <c r="A235" s="86"/>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c r="AC235" s="87"/>
      <c r="AD235" s="87"/>
      <c r="AE235" s="87"/>
      <c r="AF235" s="87"/>
      <c r="AG235" s="87"/>
    </row>
    <row r="236" spans="1:33" ht="12.75">
      <c r="A236" s="86"/>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c r="AC236" s="87"/>
      <c r="AD236" s="87"/>
      <c r="AE236" s="87"/>
      <c r="AF236" s="87"/>
      <c r="AG236" s="87"/>
    </row>
    <row r="237" spans="1:33" ht="12.75">
      <c r="A237" s="86"/>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c r="AC237" s="87"/>
      <c r="AD237" s="87"/>
      <c r="AE237" s="87"/>
      <c r="AF237" s="87"/>
      <c r="AG237" s="87"/>
    </row>
    <row r="238" spans="1:33" ht="12.75">
      <c r="A238" s="86"/>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c r="AC238" s="87"/>
      <c r="AD238" s="87"/>
      <c r="AE238" s="87"/>
      <c r="AF238" s="87"/>
      <c r="AG238" s="87"/>
    </row>
    <row r="239" spans="1:33" ht="12.75">
      <c r="A239" s="86"/>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c r="AC239" s="87"/>
      <c r="AD239" s="87"/>
      <c r="AE239" s="87"/>
      <c r="AF239" s="87"/>
      <c r="AG239" s="87"/>
    </row>
    <row r="240" spans="1:33" ht="12.75">
      <c r="A240" s="86"/>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c r="AC240" s="87"/>
      <c r="AD240" s="87"/>
      <c r="AE240" s="87"/>
      <c r="AF240" s="87"/>
      <c r="AG240" s="87"/>
    </row>
    <row r="241" spans="1:33" ht="12.75">
      <c r="A241" s="86"/>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c r="AC241" s="87"/>
      <c r="AD241" s="87"/>
      <c r="AE241" s="87"/>
      <c r="AF241" s="87"/>
      <c r="AG241" s="87"/>
    </row>
    <row r="242" spans="1:33" ht="12.75">
      <c r="A242" s="86"/>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c r="AC242" s="87"/>
      <c r="AD242" s="87"/>
      <c r="AE242" s="87"/>
      <c r="AF242" s="87"/>
      <c r="AG242" s="87"/>
    </row>
    <row r="243" spans="1:33" ht="12.75">
      <c r="A243" s="86"/>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c r="AC243" s="87"/>
      <c r="AD243" s="87"/>
      <c r="AE243" s="87"/>
      <c r="AF243" s="87"/>
      <c r="AG243" s="87"/>
    </row>
    <row r="244" spans="1:33" ht="12.75">
      <c r="A244" s="86"/>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c r="AC244" s="87"/>
      <c r="AD244" s="87"/>
      <c r="AE244" s="87"/>
      <c r="AF244" s="87"/>
      <c r="AG244" s="87"/>
    </row>
    <row r="245" spans="1:33" ht="12.75">
      <c r="A245" s="86"/>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c r="AC245" s="87"/>
      <c r="AD245" s="87"/>
      <c r="AE245" s="87"/>
      <c r="AF245" s="87"/>
      <c r="AG245" s="87"/>
    </row>
    <row r="246" spans="1:33" ht="12.75">
      <c r="A246" s="86"/>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c r="AC246" s="87"/>
      <c r="AD246" s="87"/>
      <c r="AE246" s="87"/>
      <c r="AF246" s="87"/>
      <c r="AG246" s="87"/>
    </row>
    <row r="247" spans="1:33" ht="12.75">
      <c r="A247" s="86"/>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c r="AC247" s="87"/>
      <c r="AD247" s="87"/>
      <c r="AE247" s="87"/>
      <c r="AF247" s="87"/>
      <c r="AG247" s="87"/>
    </row>
    <row r="248" spans="1:33" ht="12.75">
      <c r="A248" s="86"/>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c r="AC248" s="87"/>
      <c r="AD248" s="87"/>
      <c r="AE248" s="87"/>
      <c r="AF248" s="87"/>
      <c r="AG248" s="87"/>
    </row>
    <row r="249" spans="1:33" ht="12.75">
      <c r="A249" s="86"/>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c r="AC249" s="87"/>
      <c r="AD249" s="87"/>
      <c r="AE249" s="87"/>
      <c r="AF249" s="87"/>
      <c r="AG249" s="87"/>
    </row>
    <row r="250" spans="1:33" ht="12.75">
      <c r="A250" s="86"/>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c r="AC250" s="87"/>
      <c r="AD250" s="87"/>
      <c r="AE250" s="87"/>
      <c r="AF250" s="87"/>
      <c r="AG250" s="87"/>
    </row>
    <row r="251" spans="1:33" ht="12.75">
      <c r="A251" s="86"/>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c r="AC251" s="87"/>
      <c r="AD251" s="87"/>
      <c r="AE251" s="87"/>
      <c r="AF251" s="87"/>
      <c r="AG251" s="87"/>
    </row>
    <row r="252" spans="1:33" ht="12.75">
      <c r="A252" s="86"/>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row>
    <row r="253" spans="1:33" ht="12.75">
      <c r="A253" s="86"/>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row>
    <row r="254" spans="1:33" ht="12.75">
      <c r="A254" s="86"/>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c r="AC254" s="87"/>
      <c r="AD254" s="87"/>
      <c r="AE254" s="87"/>
      <c r="AF254" s="87"/>
      <c r="AG254" s="87"/>
    </row>
    <row r="255" spans="1:33" ht="12.75">
      <c r="A255" s="86"/>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row>
    <row r="256" spans="1:33" ht="12.75">
      <c r="A256" s="86"/>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c r="AC256" s="87"/>
      <c r="AD256" s="87"/>
      <c r="AE256" s="87"/>
      <c r="AF256" s="87"/>
      <c r="AG256" s="87"/>
    </row>
    <row r="257" spans="1:33" ht="12.75">
      <c r="A257" s="86"/>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c r="AC257" s="87"/>
      <c r="AD257" s="87"/>
      <c r="AE257" s="87"/>
      <c r="AF257" s="87"/>
      <c r="AG257" s="87"/>
    </row>
    <row r="258" spans="1:33" ht="12.75">
      <c r="A258" s="86"/>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c r="AC258" s="87"/>
      <c r="AD258" s="87"/>
      <c r="AE258" s="87"/>
      <c r="AF258" s="87"/>
      <c r="AG258" s="87"/>
    </row>
    <row r="259" spans="1:33" ht="12.75">
      <c r="A259" s="86"/>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c r="AC259" s="87"/>
      <c r="AD259" s="87"/>
      <c r="AE259" s="87"/>
      <c r="AF259" s="87"/>
      <c r="AG259" s="87"/>
    </row>
    <row r="260" spans="1:33" ht="12.75">
      <c r="A260" s="86"/>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c r="AC260" s="87"/>
      <c r="AD260" s="87"/>
      <c r="AE260" s="87"/>
      <c r="AF260" s="87"/>
      <c r="AG260" s="87"/>
    </row>
    <row r="261" spans="1:33" ht="12.75">
      <c r="A261" s="86"/>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c r="AC261" s="87"/>
      <c r="AD261" s="87"/>
      <c r="AE261" s="87"/>
      <c r="AF261" s="87"/>
      <c r="AG261" s="87"/>
    </row>
    <row r="262" spans="1:33" ht="12.75">
      <c r="A262" s="86"/>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c r="AC262" s="87"/>
      <c r="AD262" s="87"/>
      <c r="AE262" s="87"/>
      <c r="AF262" s="87"/>
      <c r="AG262" s="87"/>
    </row>
    <row r="263" spans="1:33" ht="12.75">
      <c r="A263" s="86"/>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c r="AC263" s="87"/>
      <c r="AD263" s="87"/>
      <c r="AE263" s="87"/>
      <c r="AF263" s="87"/>
      <c r="AG263" s="87"/>
    </row>
    <row r="264" spans="1:33" ht="12.75">
      <c r="A264" s="86"/>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c r="AC264" s="87"/>
      <c r="AD264" s="87"/>
      <c r="AE264" s="87"/>
      <c r="AF264" s="87"/>
      <c r="AG264" s="87"/>
    </row>
    <row r="265" spans="1:33" ht="12.75">
      <c r="A265" s="86"/>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c r="AC265" s="87"/>
      <c r="AD265" s="87"/>
      <c r="AE265" s="87"/>
      <c r="AF265" s="87"/>
      <c r="AG265" s="87"/>
    </row>
    <row r="266" spans="1:33" ht="12.75">
      <c r="A266" s="86"/>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c r="AC266" s="87"/>
      <c r="AD266" s="87"/>
      <c r="AE266" s="87"/>
      <c r="AF266" s="87"/>
      <c r="AG266" s="87"/>
    </row>
    <row r="267" spans="1:33" ht="12.75">
      <c r="A267" s="86"/>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c r="AC267" s="87"/>
      <c r="AD267" s="87"/>
      <c r="AE267" s="87"/>
      <c r="AF267" s="87"/>
      <c r="AG267" s="87"/>
    </row>
    <row r="268" spans="1:33" ht="12.75">
      <c r="A268" s="86"/>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7"/>
      <c r="AD268" s="87"/>
      <c r="AE268" s="87"/>
      <c r="AF268" s="87"/>
      <c r="AG268" s="87"/>
    </row>
    <row r="269" spans="1:33" ht="12.75">
      <c r="A269" s="86"/>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c r="AC269" s="87"/>
      <c r="AD269" s="87"/>
      <c r="AE269" s="87"/>
      <c r="AF269" s="87"/>
      <c r="AG269" s="87"/>
    </row>
    <row r="270" spans="1:33" ht="12.75">
      <c r="A270" s="86"/>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c r="AC270" s="87"/>
      <c r="AD270" s="87"/>
      <c r="AE270" s="87"/>
      <c r="AF270" s="87"/>
      <c r="AG270" s="87"/>
    </row>
    <row r="271" spans="1:33" ht="12.75">
      <c r="A271" s="86"/>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c r="AC271" s="87"/>
      <c r="AD271" s="87"/>
      <c r="AE271" s="87"/>
      <c r="AF271" s="87"/>
      <c r="AG271" s="87"/>
    </row>
    <row r="272" spans="1:33" ht="12.75">
      <c r="A272" s="86"/>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c r="AC272" s="87"/>
      <c r="AD272" s="87"/>
      <c r="AE272" s="87"/>
      <c r="AF272" s="87"/>
      <c r="AG272" s="87"/>
    </row>
    <row r="273" spans="1:33" ht="12.75">
      <c r="A273" s="86"/>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c r="AC273" s="87"/>
      <c r="AD273" s="87"/>
      <c r="AE273" s="87"/>
      <c r="AF273" s="87"/>
      <c r="AG273" s="87"/>
    </row>
    <row r="274" spans="1:33" ht="12.75">
      <c r="A274" s="86"/>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c r="AC274" s="87"/>
      <c r="AD274" s="87"/>
      <c r="AE274" s="87"/>
      <c r="AF274" s="87"/>
      <c r="AG274" s="87"/>
    </row>
    <row r="275" spans="1:33" ht="12.75">
      <c r="A275" s="86"/>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c r="AC275" s="87"/>
      <c r="AD275" s="87"/>
      <c r="AE275" s="87"/>
      <c r="AF275" s="87"/>
      <c r="AG275" s="87"/>
    </row>
    <row r="276" spans="1:33" ht="12.75">
      <c r="A276" s="86"/>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c r="AC276" s="87"/>
      <c r="AD276" s="87"/>
      <c r="AE276" s="87"/>
      <c r="AF276" s="87"/>
      <c r="AG276" s="87"/>
    </row>
    <row r="277" spans="1:33" ht="12.75">
      <c r="A277" s="86"/>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c r="AC277" s="87"/>
      <c r="AD277" s="87"/>
      <c r="AE277" s="87"/>
      <c r="AF277" s="87"/>
      <c r="AG277" s="87"/>
    </row>
    <row r="278" spans="1:33" ht="12.75">
      <c r="A278" s="86"/>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7"/>
      <c r="AD278" s="87"/>
      <c r="AE278" s="87"/>
      <c r="AF278" s="87"/>
      <c r="AG278" s="87"/>
    </row>
    <row r="279" spans="1:33" ht="12.75">
      <c r="A279" s="86"/>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c r="AC279" s="87"/>
      <c r="AD279" s="87"/>
      <c r="AE279" s="87"/>
      <c r="AF279" s="87"/>
      <c r="AG279" s="87"/>
    </row>
    <row r="280" spans="1:33" ht="12.75">
      <c r="A280" s="86"/>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7"/>
      <c r="AD280" s="87"/>
      <c r="AE280" s="87"/>
      <c r="AF280" s="87"/>
      <c r="AG280" s="87"/>
    </row>
    <row r="281" spans="1:33" ht="12.75">
      <c r="A281" s="86"/>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c r="AC281" s="87"/>
      <c r="AD281" s="87"/>
      <c r="AE281" s="87"/>
      <c r="AF281" s="87"/>
      <c r="AG281" s="87"/>
    </row>
    <row r="282" spans="1:33" ht="12.75">
      <c r="A282" s="86"/>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c r="AC282" s="87"/>
      <c r="AD282" s="87"/>
      <c r="AE282" s="87"/>
      <c r="AF282" s="87"/>
      <c r="AG282" s="87"/>
    </row>
    <row r="283" spans="1:33" ht="12.75">
      <c r="A283" s="86"/>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c r="AC283" s="87"/>
      <c r="AD283" s="87"/>
      <c r="AE283" s="87"/>
      <c r="AF283" s="87"/>
      <c r="AG283" s="87"/>
    </row>
    <row r="284" spans="1:33" ht="12.75">
      <c r="A284" s="86"/>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c r="AC284" s="87"/>
      <c r="AD284" s="87"/>
      <c r="AE284" s="87"/>
      <c r="AF284" s="87"/>
      <c r="AG284" s="87"/>
    </row>
    <row r="285" spans="1:33" ht="12.75">
      <c r="A285" s="86"/>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c r="AC285" s="87"/>
      <c r="AD285" s="87"/>
      <c r="AE285" s="87"/>
      <c r="AF285" s="87"/>
      <c r="AG285" s="87"/>
    </row>
    <row r="286" spans="1:33" ht="12.75">
      <c r="A286" s="86"/>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c r="AC286" s="87"/>
      <c r="AD286" s="87"/>
      <c r="AE286" s="87"/>
      <c r="AF286" s="87"/>
      <c r="AG286" s="87"/>
    </row>
    <row r="287" spans="1:33" ht="12.75">
      <c r="A287" s="86"/>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c r="AC287" s="87"/>
      <c r="AD287" s="87"/>
      <c r="AE287" s="87"/>
      <c r="AF287" s="87"/>
      <c r="AG287" s="87"/>
    </row>
    <row r="288" spans="1:33" ht="12.75">
      <c r="A288" s="86"/>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c r="AC288" s="87"/>
      <c r="AD288" s="87"/>
      <c r="AE288" s="87"/>
      <c r="AF288" s="87"/>
      <c r="AG288" s="87"/>
    </row>
    <row r="289" spans="1:33" ht="12.75">
      <c r="A289" s="86"/>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c r="AC289" s="87"/>
      <c r="AD289" s="87"/>
      <c r="AE289" s="87"/>
      <c r="AF289" s="87"/>
      <c r="AG289" s="87"/>
    </row>
    <row r="290" spans="1:33" ht="12.75">
      <c r="A290" s="86"/>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c r="AC290" s="87"/>
      <c r="AD290" s="87"/>
      <c r="AE290" s="87"/>
      <c r="AF290" s="87"/>
      <c r="AG290" s="87"/>
    </row>
    <row r="291" spans="1:33" ht="12.75">
      <c r="A291" s="86"/>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c r="AC291" s="87"/>
      <c r="AD291" s="87"/>
      <c r="AE291" s="87"/>
      <c r="AF291" s="87"/>
      <c r="AG291" s="87"/>
    </row>
    <row r="292" spans="1:33" ht="12.75">
      <c r="A292" s="86"/>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c r="AC292" s="87"/>
      <c r="AD292" s="87"/>
      <c r="AE292" s="87"/>
      <c r="AF292" s="87"/>
      <c r="AG292" s="87"/>
    </row>
    <row r="293" spans="1:33" ht="12.75">
      <c r="A293" s="86"/>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c r="AC293" s="87"/>
      <c r="AD293" s="87"/>
      <c r="AE293" s="87"/>
      <c r="AF293" s="87"/>
      <c r="AG293" s="87"/>
    </row>
    <row r="294" spans="1:33" ht="12.75">
      <c r="A294" s="86"/>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c r="AC294" s="87"/>
      <c r="AD294" s="87"/>
      <c r="AE294" s="87"/>
      <c r="AF294" s="87"/>
      <c r="AG294" s="87"/>
    </row>
    <row r="295" spans="1:33" ht="12.75">
      <c r="A295" s="86"/>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c r="AC295" s="87"/>
      <c r="AD295" s="87"/>
      <c r="AE295" s="87"/>
      <c r="AF295" s="87"/>
      <c r="AG295" s="87"/>
    </row>
    <row r="296" spans="1:33" ht="12.75">
      <c r="A296" s="86"/>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c r="AC296" s="87"/>
      <c r="AD296" s="87"/>
      <c r="AE296" s="87"/>
      <c r="AF296" s="87"/>
      <c r="AG296" s="87"/>
    </row>
    <row r="297" spans="1:33" ht="12.75">
      <c r="A297" s="86"/>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c r="AC297" s="87"/>
      <c r="AD297" s="87"/>
      <c r="AE297" s="87"/>
      <c r="AF297" s="87"/>
      <c r="AG297" s="87"/>
    </row>
    <row r="298" spans="1:33" ht="12.75">
      <c r="A298" s="86"/>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c r="AC298" s="87"/>
      <c r="AD298" s="87"/>
      <c r="AE298" s="87"/>
      <c r="AF298" s="87"/>
      <c r="AG298" s="87"/>
    </row>
    <row r="299" spans="1:33" ht="12.75">
      <c r="A299" s="86"/>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c r="AC299" s="87"/>
      <c r="AD299" s="87"/>
      <c r="AE299" s="87"/>
      <c r="AF299" s="87"/>
      <c r="AG299" s="87"/>
    </row>
    <row r="300" spans="1:33" ht="12.75">
      <c r="A300" s="86"/>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c r="AC300" s="87"/>
      <c r="AD300" s="87"/>
      <c r="AE300" s="87"/>
      <c r="AF300" s="87"/>
      <c r="AG300" s="87"/>
    </row>
    <row r="301" spans="1:33" ht="12.75">
      <c r="A301" s="86"/>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c r="AC301" s="87"/>
      <c r="AD301" s="87"/>
      <c r="AE301" s="87"/>
      <c r="AF301" s="87"/>
      <c r="AG301" s="87"/>
    </row>
    <row r="302" spans="1:33" ht="12.75">
      <c r="A302" s="86"/>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c r="AC302" s="87"/>
      <c r="AD302" s="87"/>
      <c r="AE302" s="87"/>
      <c r="AF302" s="87"/>
      <c r="AG302" s="87"/>
    </row>
    <row r="303" spans="1:33" ht="12.75">
      <c r="A303" s="86"/>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c r="AC303" s="87"/>
      <c r="AD303" s="87"/>
      <c r="AE303" s="87"/>
      <c r="AF303" s="87"/>
      <c r="AG303" s="87"/>
    </row>
    <row r="304" spans="1:33" ht="12.75">
      <c r="A304" s="86"/>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c r="AC304" s="87"/>
      <c r="AD304" s="87"/>
      <c r="AE304" s="87"/>
      <c r="AF304" s="87"/>
      <c r="AG304" s="87"/>
    </row>
    <row r="305" spans="1:33" ht="12.75">
      <c r="A305" s="86"/>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c r="AC305" s="87"/>
      <c r="AD305" s="87"/>
      <c r="AE305" s="87"/>
      <c r="AF305" s="87"/>
      <c r="AG305" s="87"/>
    </row>
    <row r="306" spans="1:33" ht="12.75">
      <c r="A306" s="86"/>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c r="AC306" s="87"/>
      <c r="AD306" s="87"/>
      <c r="AE306" s="87"/>
      <c r="AF306" s="87"/>
      <c r="AG306" s="87"/>
    </row>
    <row r="307" spans="1:33" ht="12.75">
      <c r="A307" s="86"/>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c r="AC307" s="87"/>
      <c r="AD307" s="87"/>
      <c r="AE307" s="87"/>
      <c r="AF307" s="87"/>
      <c r="AG307" s="87"/>
    </row>
    <row r="308" spans="1:33" ht="12.75">
      <c r="A308" s="86"/>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c r="AC308" s="87"/>
      <c r="AD308" s="87"/>
      <c r="AE308" s="87"/>
      <c r="AF308" s="87"/>
      <c r="AG308" s="87"/>
    </row>
    <row r="309" spans="1:33" ht="12.75">
      <c r="A309" s="86"/>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c r="AC309" s="87"/>
      <c r="AD309" s="87"/>
      <c r="AE309" s="87"/>
      <c r="AF309" s="87"/>
      <c r="AG309" s="87"/>
    </row>
    <row r="310" spans="1:33" ht="12.75">
      <c r="A310" s="86"/>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c r="AC310" s="87"/>
      <c r="AD310" s="87"/>
      <c r="AE310" s="87"/>
      <c r="AF310" s="87"/>
      <c r="AG310" s="87"/>
    </row>
    <row r="311" spans="1:33" ht="12.75">
      <c r="A311" s="86"/>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c r="AC311" s="87"/>
      <c r="AD311" s="87"/>
      <c r="AE311" s="87"/>
      <c r="AF311" s="87"/>
      <c r="AG311" s="87"/>
    </row>
    <row r="312" spans="1:33" ht="12.75">
      <c r="A312" s="86"/>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c r="AC312" s="87"/>
      <c r="AD312" s="87"/>
      <c r="AE312" s="87"/>
      <c r="AF312" s="87"/>
      <c r="AG312" s="87"/>
    </row>
    <row r="313" spans="1:33" ht="12.75">
      <c r="A313" s="86"/>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c r="AC313" s="87"/>
      <c r="AD313" s="87"/>
      <c r="AE313" s="87"/>
      <c r="AF313" s="87"/>
      <c r="AG313" s="87"/>
    </row>
    <row r="314" spans="1:33" ht="12.75">
      <c r="A314" s="86"/>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c r="AC314" s="87"/>
      <c r="AD314" s="87"/>
      <c r="AE314" s="87"/>
      <c r="AF314" s="87"/>
      <c r="AG314" s="87"/>
    </row>
    <row r="315" spans="1:33" ht="12.75">
      <c r="A315" s="86"/>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c r="AC315" s="87"/>
      <c r="AD315" s="87"/>
      <c r="AE315" s="87"/>
      <c r="AF315" s="87"/>
      <c r="AG315" s="87"/>
    </row>
    <row r="316" spans="1:33" ht="12.75">
      <c r="A316" s="86"/>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c r="AC316" s="87"/>
      <c r="AD316" s="87"/>
      <c r="AE316" s="87"/>
      <c r="AF316" s="87"/>
      <c r="AG316" s="87"/>
    </row>
    <row r="317" spans="1:33" ht="12.75">
      <c r="A317" s="86"/>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c r="AC317" s="87"/>
      <c r="AD317" s="87"/>
      <c r="AE317" s="87"/>
      <c r="AF317" s="87"/>
      <c r="AG317" s="87"/>
    </row>
    <row r="318" spans="1:33" ht="12.75">
      <c r="A318" s="86"/>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c r="AC318" s="87"/>
      <c r="AD318" s="87"/>
      <c r="AE318" s="87"/>
      <c r="AF318" s="87"/>
      <c r="AG318" s="87"/>
    </row>
    <row r="319" spans="1:33" ht="12.75">
      <c r="A319" s="86"/>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c r="AC319" s="87"/>
      <c r="AD319" s="87"/>
      <c r="AE319" s="87"/>
      <c r="AF319" s="87"/>
      <c r="AG319" s="87"/>
    </row>
    <row r="320" spans="1:33" ht="12.75">
      <c r="A320" s="86"/>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c r="AC320" s="87"/>
      <c r="AD320" s="87"/>
      <c r="AE320" s="87"/>
      <c r="AF320" s="87"/>
      <c r="AG320" s="87"/>
    </row>
    <row r="321" spans="1:33" ht="12.75">
      <c r="A321" s="86"/>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c r="AC321" s="87"/>
      <c r="AD321" s="87"/>
      <c r="AE321" s="87"/>
      <c r="AF321" s="87"/>
      <c r="AG321" s="87"/>
    </row>
    <row r="322" spans="1:33" ht="12.75">
      <c r="A322" s="86"/>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c r="AC322" s="87"/>
      <c r="AD322" s="87"/>
      <c r="AE322" s="87"/>
      <c r="AF322" s="87"/>
      <c r="AG322" s="87"/>
    </row>
    <row r="323" spans="1:33" ht="12.75">
      <c r="A323" s="86"/>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c r="AC323" s="87"/>
      <c r="AD323" s="87"/>
      <c r="AE323" s="87"/>
      <c r="AF323" s="87"/>
      <c r="AG323" s="87"/>
    </row>
    <row r="324" spans="1:33" ht="12.75">
      <c r="A324" s="86"/>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c r="AC324" s="87"/>
      <c r="AD324" s="87"/>
      <c r="AE324" s="87"/>
      <c r="AF324" s="87"/>
      <c r="AG324" s="87"/>
    </row>
    <row r="325" spans="1:33" ht="12.75">
      <c r="A325" s="86"/>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c r="AC325" s="87"/>
      <c r="AD325" s="87"/>
      <c r="AE325" s="87"/>
      <c r="AF325" s="87"/>
      <c r="AG325" s="87"/>
    </row>
    <row r="326" spans="1:33" ht="12.75">
      <c r="A326" s="86"/>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c r="AC326" s="87"/>
      <c r="AD326" s="87"/>
      <c r="AE326" s="87"/>
      <c r="AF326" s="87"/>
      <c r="AG326" s="87"/>
    </row>
    <row r="327" spans="1:33" ht="12.75">
      <c r="A327" s="86"/>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c r="AC327" s="87"/>
      <c r="AD327" s="87"/>
      <c r="AE327" s="87"/>
      <c r="AF327" s="87"/>
      <c r="AG327" s="87"/>
    </row>
    <row r="328" spans="1:33" ht="12.75">
      <c r="A328" s="86"/>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c r="AC328" s="87"/>
      <c r="AD328" s="87"/>
      <c r="AE328" s="87"/>
      <c r="AF328" s="87"/>
      <c r="AG328" s="87"/>
    </row>
    <row r="329" spans="1:33" ht="12.75">
      <c r="A329" s="86"/>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c r="AC329" s="87"/>
      <c r="AD329" s="87"/>
      <c r="AE329" s="87"/>
      <c r="AF329" s="87"/>
      <c r="AG329" s="87"/>
    </row>
    <row r="330" spans="1:33" ht="12.75">
      <c r="A330" s="86"/>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c r="AC330" s="87"/>
      <c r="AD330" s="87"/>
      <c r="AE330" s="87"/>
      <c r="AF330" s="87"/>
      <c r="AG330" s="87"/>
    </row>
    <row r="331" spans="1:33" ht="12.75">
      <c r="A331" s="86"/>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c r="AC331" s="87"/>
      <c r="AD331" s="87"/>
      <c r="AE331" s="87"/>
      <c r="AF331" s="87"/>
      <c r="AG331" s="87"/>
    </row>
    <row r="332" spans="1:33" ht="12.75">
      <c r="A332" s="86"/>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c r="AC332" s="87"/>
      <c r="AD332" s="87"/>
      <c r="AE332" s="87"/>
      <c r="AF332" s="87"/>
      <c r="AG332" s="87"/>
    </row>
    <row r="333" spans="1:33" ht="12.75">
      <c r="A333" s="86"/>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c r="AC333" s="87"/>
      <c r="AD333" s="87"/>
      <c r="AE333" s="87"/>
      <c r="AF333" s="87"/>
      <c r="AG333" s="87"/>
    </row>
    <row r="334" spans="1:33" ht="12.75">
      <c r="A334" s="86"/>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c r="AC334" s="87"/>
      <c r="AD334" s="87"/>
      <c r="AE334" s="87"/>
      <c r="AF334" s="87"/>
      <c r="AG334" s="87"/>
    </row>
    <row r="335" spans="1:33" ht="12.75">
      <c r="A335" s="86"/>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c r="AC335" s="87"/>
      <c r="AD335" s="87"/>
      <c r="AE335" s="87"/>
      <c r="AF335" s="87"/>
      <c r="AG335" s="87"/>
    </row>
    <row r="336" spans="1:33" ht="12.75">
      <c r="A336" s="86"/>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c r="AC336" s="87"/>
      <c r="AD336" s="87"/>
      <c r="AE336" s="87"/>
      <c r="AF336" s="87"/>
      <c r="AG336" s="87"/>
    </row>
    <row r="337" spans="1:33" ht="12.75">
      <c r="A337" s="86"/>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c r="AC337" s="87"/>
      <c r="AD337" s="87"/>
      <c r="AE337" s="87"/>
      <c r="AF337" s="87"/>
      <c r="AG337" s="87"/>
    </row>
    <row r="338" spans="1:33" ht="12.75">
      <c r="A338" s="86"/>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c r="AC338" s="87"/>
      <c r="AD338" s="87"/>
      <c r="AE338" s="87"/>
      <c r="AF338" s="87"/>
      <c r="AG338" s="87"/>
    </row>
    <row r="339" spans="1:33" ht="12.75">
      <c r="A339" s="86"/>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c r="AC339" s="87"/>
      <c r="AD339" s="87"/>
      <c r="AE339" s="87"/>
      <c r="AF339" s="87"/>
      <c r="AG339" s="87"/>
    </row>
    <row r="340" spans="1:33" ht="12.75">
      <c r="A340" s="86"/>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c r="AC340" s="87"/>
      <c r="AD340" s="87"/>
      <c r="AE340" s="87"/>
      <c r="AF340" s="87"/>
      <c r="AG340" s="87"/>
    </row>
    <row r="341" spans="1:33" ht="12.75">
      <c r="A341" s="86"/>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c r="AC341" s="87"/>
      <c r="AD341" s="87"/>
      <c r="AE341" s="87"/>
      <c r="AF341" s="87"/>
      <c r="AG341" s="87"/>
    </row>
    <row r="342" spans="1:33" ht="12.75">
      <c r="A342" s="86"/>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c r="AC342" s="87"/>
      <c r="AD342" s="87"/>
      <c r="AE342" s="87"/>
      <c r="AF342" s="87"/>
      <c r="AG342" s="87"/>
    </row>
    <row r="343" spans="1:33" ht="12.75">
      <c r="A343" s="86"/>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c r="AC343" s="87"/>
      <c r="AD343" s="87"/>
      <c r="AE343" s="87"/>
      <c r="AF343" s="87"/>
      <c r="AG343" s="87"/>
    </row>
    <row r="344" spans="1:33" ht="12.75">
      <c r="A344" s="86"/>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c r="AC344" s="87"/>
      <c r="AD344" s="87"/>
      <c r="AE344" s="87"/>
      <c r="AF344" s="87"/>
      <c r="AG344" s="87"/>
    </row>
    <row r="345" spans="1:33" ht="12.75">
      <c r="A345" s="86"/>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c r="AC345" s="87"/>
      <c r="AD345" s="87"/>
      <c r="AE345" s="87"/>
      <c r="AF345" s="87"/>
      <c r="AG345" s="87"/>
    </row>
    <row r="346" spans="1:33" ht="12.75">
      <c r="A346" s="86"/>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c r="AC346" s="87"/>
      <c r="AD346" s="87"/>
      <c r="AE346" s="87"/>
      <c r="AF346" s="87"/>
      <c r="AG346" s="87"/>
    </row>
    <row r="347" spans="1:33" ht="12.75">
      <c r="A347" s="86"/>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c r="AC347" s="87"/>
      <c r="AD347" s="87"/>
      <c r="AE347" s="87"/>
      <c r="AF347" s="87"/>
      <c r="AG347" s="87"/>
    </row>
    <row r="348" spans="1:33" ht="12.75">
      <c r="A348" s="86"/>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c r="AC348" s="87"/>
      <c r="AD348" s="87"/>
      <c r="AE348" s="87"/>
      <c r="AF348" s="87"/>
      <c r="AG348" s="87"/>
    </row>
    <row r="349" spans="1:33" ht="12.75">
      <c r="A349" s="86"/>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c r="AC349" s="87"/>
      <c r="AD349" s="87"/>
      <c r="AE349" s="87"/>
      <c r="AF349" s="87"/>
      <c r="AG349" s="87"/>
    </row>
    <row r="350" spans="1:33" ht="12.75">
      <c r="A350" s="86"/>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c r="AC350" s="87"/>
      <c r="AD350" s="87"/>
      <c r="AE350" s="87"/>
      <c r="AF350" s="87"/>
      <c r="AG350" s="87"/>
    </row>
    <row r="351" spans="1:33" ht="12.75">
      <c r="A351" s="86"/>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c r="AC351" s="87"/>
      <c r="AD351" s="87"/>
      <c r="AE351" s="87"/>
      <c r="AF351" s="87"/>
      <c r="AG351" s="87"/>
    </row>
    <row r="352" spans="1:33" ht="12.75">
      <c r="A352" s="86"/>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c r="AC352" s="87"/>
      <c r="AD352" s="87"/>
      <c r="AE352" s="87"/>
      <c r="AF352" s="87"/>
      <c r="AG352" s="87"/>
    </row>
    <row r="353" spans="1:33" ht="12.75">
      <c r="A353" s="86"/>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c r="AC353" s="87"/>
      <c r="AD353" s="87"/>
      <c r="AE353" s="87"/>
      <c r="AF353" s="87"/>
      <c r="AG353" s="87"/>
    </row>
    <row r="354" spans="1:33" ht="12.75">
      <c r="A354" s="86"/>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c r="AC354" s="87"/>
      <c r="AD354" s="87"/>
      <c r="AE354" s="87"/>
      <c r="AF354" s="87"/>
      <c r="AG354" s="87"/>
    </row>
    <row r="355" spans="1:33" ht="12.75">
      <c r="A355" s="86"/>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c r="AC355" s="87"/>
      <c r="AD355" s="87"/>
      <c r="AE355" s="87"/>
      <c r="AF355" s="87"/>
      <c r="AG355" s="87"/>
    </row>
    <row r="356" spans="1:33" ht="12.75">
      <c r="A356" s="86"/>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c r="AC356" s="87"/>
      <c r="AD356" s="87"/>
      <c r="AE356" s="87"/>
      <c r="AF356" s="87"/>
      <c r="AG356" s="87"/>
    </row>
    <row r="357" spans="1:33" ht="12.75">
      <c r="A357" s="86"/>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c r="AC357" s="87"/>
      <c r="AD357" s="87"/>
      <c r="AE357" s="87"/>
      <c r="AF357" s="87"/>
      <c r="AG357" s="87"/>
    </row>
    <row r="358" spans="1:33" ht="12.75">
      <c r="A358" s="86"/>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c r="AC358" s="87"/>
      <c r="AD358" s="87"/>
      <c r="AE358" s="87"/>
      <c r="AF358" s="87"/>
      <c r="AG358" s="87"/>
    </row>
    <row r="359" spans="1:33" ht="12.75">
      <c r="A359" s="86"/>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c r="AC359" s="87"/>
      <c r="AD359" s="87"/>
      <c r="AE359" s="87"/>
      <c r="AF359" s="87"/>
      <c r="AG359" s="87"/>
    </row>
    <row r="360" spans="1:33" ht="12.75">
      <c r="A360" s="86"/>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c r="AC360" s="87"/>
      <c r="AD360" s="87"/>
      <c r="AE360" s="87"/>
      <c r="AF360" s="87"/>
      <c r="AG360" s="87"/>
    </row>
    <row r="361" spans="1:33" ht="12.75">
      <c r="A361" s="86"/>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c r="AC361" s="87"/>
      <c r="AD361" s="87"/>
      <c r="AE361" s="87"/>
      <c r="AF361" s="87"/>
      <c r="AG361" s="87"/>
    </row>
    <row r="362" spans="1:33" ht="12.75">
      <c r="A362" s="86"/>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c r="AC362" s="87"/>
      <c r="AD362" s="87"/>
      <c r="AE362" s="87"/>
      <c r="AF362" s="87"/>
      <c r="AG362" s="87"/>
    </row>
    <row r="363" spans="1:33" ht="12.75">
      <c r="A363" s="86"/>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c r="AC363" s="87"/>
      <c r="AD363" s="87"/>
      <c r="AE363" s="87"/>
      <c r="AF363" s="87"/>
      <c r="AG363" s="87"/>
    </row>
    <row r="364" spans="1:33" ht="12.75">
      <c r="A364" s="86"/>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c r="AC364" s="87"/>
      <c r="AD364" s="87"/>
      <c r="AE364" s="87"/>
      <c r="AF364" s="87"/>
      <c r="AG364" s="87"/>
    </row>
    <row r="365" spans="1:33" ht="12.75">
      <c r="A365" s="86"/>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c r="AC365" s="87"/>
      <c r="AD365" s="87"/>
      <c r="AE365" s="87"/>
      <c r="AF365" s="87"/>
      <c r="AG365" s="87"/>
    </row>
    <row r="366" spans="1:33" ht="12.75">
      <c r="A366" s="86"/>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c r="AC366" s="87"/>
      <c r="AD366" s="87"/>
      <c r="AE366" s="87"/>
      <c r="AF366" s="87"/>
      <c r="AG366" s="87"/>
    </row>
    <row r="367" spans="1:33" ht="12.75">
      <c r="A367" s="86"/>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c r="AC367" s="87"/>
      <c r="AD367" s="87"/>
      <c r="AE367" s="87"/>
      <c r="AF367" s="87"/>
      <c r="AG367" s="87"/>
    </row>
    <row r="368" spans="1:33" ht="12.75">
      <c r="A368" s="86"/>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c r="AC368" s="87"/>
      <c r="AD368" s="87"/>
      <c r="AE368" s="87"/>
      <c r="AF368" s="87"/>
      <c r="AG368" s="87"/>
    </row>
    <row r="369" spans="1:33" ht="12.75">
      <c r="A369" s="86"/>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c r="AC369" s="87"/>
      <c r="AD369" s="87"/>
      <c r="AE369" s="87"/>
      <c r="AF369" s="87"/>
      <c r="AG369" s="87"/>
    </row>
    <row r="370" spans="1:33" ht="12.75">
      <c r="A370" s="86"/>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c r="AC370" s="87"/>
      <c r="AD370" s="87"/>
      <c r="AE370" s="87"/>
      <c r="AF370" s="87"/>
      <c r="AG370" s="87"/>
    </row>
    <row r="371" spans="1:33" ht="12.75">
      <c r="A371" s="86"/>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c r="AC371" s="87"/>
      <c r="AD371" s="87"/>
      <c r="AE371" s="87"/>
      <c r="AF371" s="87"/>
      <c r="AG371" s="87"/>
    </row>
    <row r="372" spans="1:33" ht="12.75">
      <c r="A372" s="86"/>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c r="AC372" s="87"/>
      <c r="AD372" s="87"/>
      <c r="AE372" s="87"/>
      <c r="AF372" s="87"/>
      <c r="AG372" s="87"/>
    </row>
    <row r="373" spans="1:33" ht="12.75">
      <c r="A373" s="86"/>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c r="AC373" s="87"/>
      <c r="AD373" s="87"/>
      <c r="AE373" s="87"/>
      <c r="AF373" s="87"/>
      <c r="AG373" s="87"/>
    </row>
    <row r="374" spans="1:33" ht="12.75">
      <c r="A374" s="86"/>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c r="AC374" s="87"/>
      <c r="AD374" s="87"/>
      <c r="AE374" s="87"/>
      <c r="AF374" s="87"/>
      <c r="AG374" s="87"/>
    </row>
    <row r="375" spans="1:33" ht="12.75">
      <c r="A375" s="86"/>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c r="AC375" s="87"/>
      <c r="AD375" s="87"/>
      <c r="AE375" s="87"/>
      <c r="AF375" s="87"/>
      <c r="AG375" s="87"/>
    </row>
    <row r="376" spans="1:33" ht="12.75">
      <c r="A376" s="86"/>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c r="AC376" s="87"/>
      <c r="AD376" s="87"/>
      <c r="AE376" s="87"/>
      <c r="AF376" s="87"/>
      <c r="AG376" s="87"/>
    </row>
    <row r="377" spans="1:33" ht="12.75">
      <c r="A377" s="86"/>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c r="AC377" s="87"/>
      <c r="AD377" s="87"/>
      <c r="AE377" s="87"/>
      <c r="AF377" s="87"/>
      <c r="AG377" s="87"/>
    </row>
    <row r="378" spans="1:33" ht="12.75">
      <c r="A378" s="86"/>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c r="AC378" s="87"/>
      <c r="AD378" s="87"/>
      <c r="AE378" s="87"/>
      <c r="AF378" s="87"/>
      <c r="AG378" s="87"/>
    </row>
    <row r="379" spans="1:33" ht="12.75">
      <c r="A379" s="86"/>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c r="AC379" s="87"/>
      <c r="AD379" s="87"/>
      <c r="AE379" s="87"/>
      <c r="AF379" s="87"/>
      <c r="AG379" s="87"/>
    </row>
    <row r="380" spans="1:33" ht="12.75">
      <c r="A380" s="86"/>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c r="AC380" s="87"/>
      <c r="AD380" s="87"/>
      <c r="AE380" s="87"/>
      <c r="AF380" s="87"/>
      <c r="AG380" s="87"/>
    </row>
    <row r="381" spans="1:33" ht="12.75">
      <c r="A381" s="86"/>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c r="AC381" s="87"/>
      <c r="AD381" s="87"/>
      <c r="AE381" s="87"/>
      <c r="AF381" s="87"/>
      <c r="AG381" s="87"/>
    </row>
    <row r="382" spans="1:33" ht="12.75">
      <c r="A382" s="86"/>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c r="AC382" s="87"/>
      <c r="AD382" s="87"/>
      <c r="AE382" s="87"/>
      <c r="AF382" s="87"/>
      <c r="AG382" s="87"/>
    </row>
    <row r="383" spans="1:33" ht="12.75">
      <c r="A383" s="86"/>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c r="AC383" s="87"/>
      <c r="AD383" s="87"/>
      <c r="AE383" s="87"/>
      <c r="AF383" s="87"/>
      <c r="AG383" s="87"/>
    </row>
    <row r="384" spans="1:33" ht="12.75">
      <c r="A384" s="86"/>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c r="AC384" s="87"/>
      <c r="AD384" s="87"/>
      <c r="AE384" s="87"/>
      <c r="AF384" s="87"/>
      <c r="AG384" s="87"/>
    </row>
    <row r="385" spans="1:33" ht="12.75">
      <c r="A385" s="86"/>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c r="AC385" s="87"/>
      <c r="AD385" s="87"/>
      <c r="AE385" s="87"/>
      <c r="AF385" s="87"/>
      <c r="AG385" s="87"/>
    </row>
    <row r="386" spans="1:33" ht="12.75">
      <c r="A386" s="86"/>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c r="AC386" s="87"/>
      <c r="AD386" s="87"/>
      <c r="AE386" s="87"/>
      <c r="AF386" s="87"/>
      <c r="AG386" s="87"/>
    </row>
    <row r="387" spans="1:33" ht="12.75">
      <c r="A387" s="86"/>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c r="AC387" s="87"/>
      <c r="AD387" s="87"/>
      <c r="AE387" s="87"/>
      <c r="AF387" s="87"/>
      <c r="AG387" s="87"/>
    </row>
    <row r="388" spans="1:33" ht="12.75">
      <c r="A388" s="86"/>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c r="AC388" s="87"/>
      <c r="AD388" s="87"/>
      <c r="AE388" s="87"/>
      <c r="AF388" s="87"/>
      <c r="AG388" s="87"/>
    </row>
    <row r="389" spans="1:33" ht="12.75">
      <c r="A389" s="86"/>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c r="AC389" s="87"/>
      <c r="AD389" s="87"/>
      <c r="AE389" s="87"/>
      <c r="AF389" s="87"/>
      <c r="AG389" s="87"/>
    </row>
    <row r="390" spans="1:33" ht="12.75">
      <c r="A390" s="86"/>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c r="AC390" s="87"/>
      <c r="AD390" s="87"/>
      <c r="AE390" s="87"/>
      <c r="AF390" s="87"/>
      <c r="AG390" s="87"/>
    </row>
    <row r="391" spans="1:33" ht="12.75">
      <c r="A391" s="86"/>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c r="AC391" s="87"/>
      <c r="AD391" s="87"/>
      <c r="AE391" s="87"/>
      <c r="AF391" s="87"/>
      <c r="AG391" s="87"/>
    </row>
    <row r="392" spans="1:33" ht="12.75">
      <c r="A392" s="86"/>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c r="AC392" s="87"/>
      <c r="AD392" s="87"/>
      <c r="AE392" s="87"/>
      <c r="AF392" s="87"/>
      <c r="AG392" s="87"/>
    </row>
    <row r="393" spans="1:33" ht="12.75">
      <c r="A393" s="86"/>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c r="AC393" s="87"/>
      <c r="AD393" s="87"/>
      <c r="AE393" s="87"/>
      <c r="AF393" s="87"/>
      <c r="AG393" s="87"/>
    </row>
    <row r="394" spans="1:33" ht="12.75">
      <c r="A394" s="86"/>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c r="AC394" s="87"/>
      <c r="AD394" s="87"/>
      <c r="AE394" s="87"/>
      <c r="AF394" s="87"/>
      <c r="AG394" s="87"/>
    </row>
    <row r="395" spans="1:33" ht="12.75">
      <c r="A395" s="86"/>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c r="AC395" s="87"/>
      <c r="AD395" s="87"/>
      <c r="AE395" s="87"/>
      <c r="AF395" s="87"/>
      <c r="AG395" s="87"/>
    </row>
    <row r="396" spans="1:33" ht="12.75">
      <c r="A396" s="86"/>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c r="AC396" s="87"/>
      <c r="AD396" s="87"/>
      <c r="AE396" s="87"/>
      <c r="AF396" s="87"/>
      <c r="AG396" s="87"/>
    </row>
    <row r="397" spans="1:33" ht="12.75">
      <c r="A397" s="86"/>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c r="AC397" s="87"/>
      <c r="AD397" s="87"/>
      <c r="AE397" s="87"/>
      <c r="AF397" s="87"/>
      <c r="AG397" s="87"/>
    </row>
    <row r="398" spans="1:33" ht="12.75">
      <c r="A398" s="86"/>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c r="AC398" s="87"/>
      <c r="AD398" s="87"/>
      <c r="AE398" s="87"/>
      <c r="AF398" s="87"/>
      <c r="AG398" s="87"/>
    </row>
    <row r="399" spans="1:33" ht="12.75">
      <c r="A399" s="86"/>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c r="AC399" s="87"/>
      <c r="AD399" s="87"/>
      <c r="AE399" s="87"/>
      <c r="AF399" s="87"/>
      <c r="AG399" s="87"/>
    </row>
    <row r="400" spans="1:33" ht="12.75">
      <c r="A400" s="86"/>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c r="AC400" s="87"/>
      <c r="AD400" s="87"/>
      <c r="AE400" s="87"/>
      <c r="AF400" s="87"/>
      <c r="AG400" s="87"/>
    </row>
    <row r="401" spans="1:33" ht="12.75">
      <c r="A401" s="86"/>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c r="AC401" s="87"/>
      <c r="AD401" s="87"/>
      <c r="AE401" s="87"/>
      <c r="AF401" s="87"/>
      <c r="AG401" s="87"/>
    </row>
    <row r="402" spans="1:33" ht="12.75">
      <c r="A402" s="86"/>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c r="AC402" s="87"/>
      <c r="AD402" s="87"/>
      <c r="AE402" s="87"/>
      <c r="AF402" s="87"/>
      <c r="AG402" s="87"/>
    </row>
    <row r="403" spans="1:33" ht="12.75">
      <c r="A403" s="86"/>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c r="AC403" s="87"/>
      <c r="AD403" s="87"/>
      <c r="AE403" s="87"/>
      <c r="AF403" s="87"/>
      <c r="AG403" s="87"/>
    </row>
    <row r="404" spans="1:33" ht="12.75">
      <c r="A404" s="86"/>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row>
    <row r="405" spans="1:33" ht="12.75">
      <c r="A405" s="86"/>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c r="AC405" s="87"/>
      <c r="AD405" s="87"/>
      <c r="AE405" s="87"/>
      <c r="AF405" s="87"/>
      <c r="AG405" s="87"/>
    </row>
    <row r="406" spans="1:33" ht="12.75">
      <c r="A406" s="86"/>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c r="AC406" s="87"/>
      <c r="AD406" s="87"/>
      <c r="AE406" s="87"/>
      <c r="AF406" s="87"/>
      <c r="AG406" s="87"/>
    </row>
    <row r="407" spans="1:33" ht="12.75">
      <c r="A407" s="86"/>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c r="AC407" s="87"/>
      <c r="AD407" s="87"/>
      <c r="AE407" s="87"/>
      <c r="AF407" s="87"/>
      <c r="AG407" s="87"/>
    </row>
    <row r="408" spans="1:33" ht="12.75">
      <c r="A408" s="86"/>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c r="AC408" s="87"/>
      <c r="AD408" s="87"/>
      <c r="AE408" s="87"/>
      <c r="AF408" s="87"/>
      <c r="AG408" s="87"/>
    </row>
    <row r="409" spans="1:33" ht="12.75">
      <c r="A409" s="86"/>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c r="AC409" s="87"/>
      <c r="AD409" s="87"/>
      <c r="AE409" s="87"/>
      <c r="AF409" s="87"/>
      <c r="AG409" s="87"/>
    </row>
    <row r="410" spans="1:33" ht="12.75">
      <c r="A410" s="86"/>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c r="AC410" s="87"/>
      <c r="AD410" s="87"/>
      <c r="AE410" s="87"/>
      <c r="AF410" s="87"/>
      <c r="AG410" s="87"/>
    </row>
    <row r="411" spans="1:33" ht="12.75">
      <c r="A411" s="86"/>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c r="AC411" s="87"/>
      <c r="AD411" s="87"/>
      <c r="AE411" s="87"/>
      <c r="AF411" s="87"/>
      <c r="AG411" s="87"/>
    </row>
    <row r="412" spans="1:33" ht="12.75">
      <c r="A412" s="86"/>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c r="AC412" s="87"/>
      <c r="AD412" s="87"/>
      <c r="AE412" s="87"/>
      <c r="AF412" s="87"/>
      <c r="AG412" s="87"/>
    </row>
    <row r="413" spans="1:33" ht="12.75">
      <c r="A413" s="86"/>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c r="AC413" s="87"/>
      <c r="AD413" s="87"/>
      <c r="AE413" s="87"/>
      <c r="AF413" s="87"/>
      <c r="AG413" s="87"/>
    </row>
    <row r="414" spans="1:33" ht="12.75">
      <c r="A414" s="86"/>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c r="AC414" s="87"/>
      <c r="AD414" s="87"/>
      <c r="AE414" s="87"/>
      <c r="AF414" s="87"/>
      <c r="AG414" s="87"/>
    </row>
    <row r="415" spans="1:33" ht="12.75">
      <c r="A415" s="86"/>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c r="AC415" s="87"/>
      <c r="AD415" s="87"/>
      <c r="AE415" s="87"/>
      <c r="AF415" s="87"/>
      <c r="AG415" s="87"/>
    </row>
    <row r="416" spans="1:33" ht="12.75">
      <c r="A416" s="86"/>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c r="AC416" s="87"/>
      <c r="AD416" s="87"/>
      <c r="AE416" s="87"/>
      <c r="AF416" s="87"/>
      <c r="AG416" s="87"/>
    </row>
    <row r="417" spans="1:33" ht="12.75">
      <c r="A417" s="86"/>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c r="AC417" s="87"/>
      <c r="AD417" s="87"/>
      <c r="AE417" s="87"/>
      <c r="AF417" s="87"/>
      <c r="AG417" s="87"/>
    </row>
    <row r="418" spans="1:33" ht="12.75">
      <c r="A418" s="86"/>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c r="AC418" s="87"/>
      <c r="AD418" s="87"/>
      <c r="AE418" s="87"/>
      <c r="AF418" s="87"/>
      <c r="AG418" s="87"/>
    </row>
    <row r="419" spans="1:33" ht="12.75">
      <c r="A419" s="86"/>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c r="AC419" s="87"/>
      <c r="AD419" s="87"/>
      <c r="AE419" s="87"/>
      <c r="AF419" s="87"/>
      <c r="AG419" s="87"/>
    </row>
    <row r="420" spans="1:33" ht="12.75">
      <c r="A420" s="86"/>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c r="AC420" s="87"/>
      <c r="AD420" s="87"/>
      <c r="AE420" s="87"/>
      <c r="AF420" s="87"/>
      <c r="AG420" s="87"/>
    </row>
    <row r="421" spans="1:33" ht="12.75">
      <c r="A421" s="86"/>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c r="AC421" s="87"/>
      <c r="AD421" s="87"/>
      <c r="AE421" s="87"/>
      <c r="AF421" s="87"/>
      <c r="AG421" s="87"/>
    </row>
    <row r="422" spans="1:33" ht="12.75">
      <c r="A422" s="86"/>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c r="AC422" s="87"/>
      <c r="AD422" s="87"/>
      <c r="AE422" s="87"/>
      <c r="AF422" s="87"/>
      <c r="AG422" s="87"/>
    </row>
    <row r="423" spans="1:33" ht="12.75">
      <c r="A423" s="86"/>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c r="AC423" s="87"/>
      <c r="AD423" s="87"/>
      <c r="AE423" s="87"/>
      <c r="AF423" s="87"/>
      <c r="AG423" s="87"/>
    </row>
    <row r="424" spans="1:33" ht="12.75">
      <c r="A424" s="86"/>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c r="AC424" s="87"/>
      <c r="AD424" s="87"/>
      <c r="AE424" s="87"/>
      <c r="AF424" s="87"/>
      <c r="AG424" s="87"/>
    </row>
    <row r="425" spans="1:33" ht="12.75">
      <c r="A425" s="86"/>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c r="AC425" s="87"/>
      <c r="AD425" s="87"/>
      <c r="AE425" s="87"/>
      <c r="AF425" s="87"/>
      <c r="AG425" s="87"/>
    </row>
    <row r="426" spans="1:33" ht="12.75">
      <c r="A426" s="86"/>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c r="AC426" s="87"/>
      <c r="AD426" s="87"/>
      <c r="AE426" s="87"/>
      <c r="AF426" s="87"/>
      <c r="AG426" s="87"/>
    </row>
    <row r="427" spans="1:33" ht="12.75">
      <c r="A427" s="86"/>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c r="AC427" s="87"/>
      <c r="AD427" s="87"/>
      <c r="AE427" s="87"/>
      <c r="AF427" s="87"/>
      <c r="AG427" s="87"/>
    </row>
    <row r="428" spans="1:33" ht="12.75">
      <c r="A428" s="86"/>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c r="AC428" s="87"/>
      <c r="AD428" s="87"/>
      <c r="AE428" s="87"/>
      <c r="AF428" s="87"/>
      <c r="AG428" s="87"/>
    </row>
    <row r="429" spans="1:33" ht="12.75">
      <c r="A429" s="86"/>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c r="AC429" s="87"/>
      <c r="AD429" s="87"/>
      <c r="AE429" s="87"/>
      <c r="AF429" s="87"/>
      <c r="AG429" s="87"/>
    </row>
    <row r="430" spans="1:33" ht="12.75">
      <c r="A430" s="86"/>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c r="AC430" s="87"/>
      <c r="AD430" s="87"/>
      <c r="AE430" s="87"/>
      <c r="AF430" s="87"/>
      <c r="AG430" s="87"/>
    </row>
    <row r="431" spans="1:33" ht="12.75">
      <c r="A431" s="86"/>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c r="AC431" s="87"/>
      <c r="AD431" s="87"/>
      <c r="AE431" s="87"/>
      <c r="AF431" s="87"/>
      <c r="AG431" s="87"/>
    </row>
    <row r="432" spans="1:33" ht="12.75">
      <c r="A432" s="86"/>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c r="AC432" s="87"/>
      <c r="AD432" s="87"/>
      <c r="AE432" s="87"/>
      <c r="AF432" s="87"/>
      <c r="AG432" s="87"/>
    </row>
    <row r="433" spans="1:33" ht="12.75">
      <c r="A433" s="86"/>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c r="AC433" s="87"/>
      <c r="AD433" s="87"/>
      <c r="AE433" s="87"/>
      <c r="AF433" s="87"/>
      <c r="AG433" s="87"/>
    </row>
    <row r="434" spans="1:33" ht="12.75">
      <c r="A434" s="86"/>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c r="AC434" s="87"/>
      <c r="AD434" s="87"/>
      <c r="AE434" s="87"/>
      <c r="AF434" s="87"/>
      <c r="AG434" s="87"/>
    </row>
    <row r="435" spans="1:33" ht="12.75">
      <c r="A435" s="86"/>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c r="AC435" s="87"/>
      <c r="AD435" s="87"/>
      <c r="AE435" s="87"/>
      <c r="AF435" s="87"/>
      <c r="AG435" s="87"/>
    </row>
    <row r="436" spans="1:33" ht="12.75">
      <c r="A436" s="86"/>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c r="AC436" s="87"/>
      <c r="AD436" s="87"/>
      <c r="AE436" s="87"/>
      <c r="AF436" s="87"/>
      <c r="AG436" s="87"/>
    </row>
    <row r="437" spans="1:33" ht="12.75">
      <c r="A437" s="86"/>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c r="AC437" s="87"/>
      <c r="AD437" s="87"/>
      <c r="AE437" s="87"/>
      <c r="AF437" s="87"/>
      <c r="AG437" s="87"/>
    </row>
    <row r="438" spans="1:33" ht="12.75">
      <c r="A438" s="86"/>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c r="AC438" s="87"/>
      <c r="AD438" s="87"/>
      <c r="AE438" s="87"/>
      <c r="AF438" s="87"/>
      <c r="AG438" s="87"/>
    </row>
    <row r="439" spans="1:33" ht="12.75">
      <c r="A439" s="86"/>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c r="AC439" s="87"/>
      <c r="AD439" s="87"/>
      <c r="AE439" s="87"/>
      <c r="AF439" s="87"/>
      <c r="AG439" s="87"/>
    </row>
    <row r="440" spans="1:33" ht="12.75">
      <c r="A440" s="86"/>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c r="AC440" s="87"/>
      <c r="AD440" s="87"/>
      <c r="AE440" s="87"/>
      <c r="AF440" s="87"/>
      <c r="AG440" s="87"/>
    </row>
    <row r="441" spans="1:33" ht="12.75">
      <c r="A441" s="86"/>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c r="AC441" s="87"/>
      <c r="AD441" s="87"/>
      <c r="AE441" s="87"/>
      <c r="AF441" s="87"/>
      <c r="AG441" s="87"/>
    </row>
    <row r="442" spans="1:33" ht="12.75">
      <c r="A442" s="86"/>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c r="AC442" s="87"/>
      <c r="AD442" s="87"/>
      <c r="AE442" s="87"/>
      <c r="AF442" s="87"/>
      <c r="AG442" s="87"/>
    </row>
    <row r="443" spans="1:33" ht="12.75">
      <c r="A443" s="86"/>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c r="AC443" s="87"/>
      <c r="AD443" s="87"/>
      <c r="AE443" s="87"/>
      <c r="AF443" s="87"/>
      <c r="AG443" s="87"/>
    </row>
    <row r="444" spans="1:33" ht="12.75">
      <c r="A444" s="86"/>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c r="AC444" s="87"/>
      <c r="AD444" s="87"/>
      <c r="AE444" s="87"/>
      <c r="AF444" s="87"/>
      <c r="AG444" s="87"/>
    </row>
    <row r="445" spans="1:33" ht="12.75">
      <c r="A445" s="86"/>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c r="AC445" s="87"/>
      <c r="AD445" s="87"/>
      <c r="AE445" s="87"/>
      <c r="AF445" s="87"/>
      <c r="AG445" s="87"/>
    </row>
    <row r="446" spans="1:33" ht="12.75">
      <c r="A446" s="86"/>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c r="AC446" s="87"/>
      <c r="AD446" s="87"/>
      <c r="AE446" s="87"/>
      <c r="AF446" s="87"/>
      <c r="AG446" s="87"/>
    </row>
    <row r="447" spans="1:33" ht="12.75">
      <c r="A447" s="86"/>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c r="AC447" s="87"/>
      <c r="AD447" s="87"/>
      <c r="AE447" s="87"/>
      <c r="AF447" s="87"/>
      <c r="AG447" s="87"/>
    </row>
    <row r="448" spans="1:33" ht="12.75">
      <c r="A448" s="86"/>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c r="AC448" s="87"/>
      <c r="AD448" s="87"/>
      <c r="AE448" s="87"/>
      <c r="AF448" s="87"/>
      <c r="AG448" s="87"/>
    </row>
    <row r="449" spans="1:33" ht="12.75">
      <c r="A449" s="86"/>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row>
    <row r="450" spans="1:33" ht="12.75">
      <c r="A450" s="86"/>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row>
    <row r="451" spans="1:33" ht="12.75">
      <c r="A451" s="86"/>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c r="AC451" s="87"/>
      <c r="AD451" s="87"/>
      <c r="AE451" s="87"/>
      <c r="AF451" s="87"/>
      <c r="AG451" s="87"/>
    </row>
    <row r="452" spans="1:33" ht="12.75">
      <c r="A452" s="86"/>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c r="AC452" s="87"/>
      <c r="AD452" s="87"/>
      <c r="AE452" s="87"/>
      <c r="AF452" s="87"/>
      <c r="AG452" s="87"/>
    </row>
    <row r="453" spans="1:33" ht="12.75">
      <c r="A453" s="86"/>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c r="AC453" s="87"/>
      <c r="AD453" s="87"/>
      <c r="AE453" s="87"/>
      <c r="AF453" s="87"/>
      <c r="AG453" s="87"/>
    </row>
    <row r="454" spans="1:33" ht="12.75">
      <c r="A454" s="86"/>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c r="AC454" s="87"/>
      <c r="AD454" s="87"/>
      <c r="AE454" s="87"/>
      <c r="AF454" s="87"/>
      <c r="AG454" s="87"/>
    </row>
    <row r="455" spans="1:33" ht="12.75">
      <c r="A455" s="86"/>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c r="AC455" s="87"/>
      <c r="AD455" s="87"/>
      <c r="AE455" s="87"/>
      <c r="AF455" s="87"/>
      <c r="AG455" s="87"/>
    </row>
    <row r="456" spans="1:33" ht="12.75">
      <c r="A456" s="86"/>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c r="AC456" s="87"/>
      <c r="AD456" s="87"/>
      <c r="AE456" s="87"/>
      <c r="AF456" s="87"/>
      <c r="AG456" s="87"/>
    </row>
    <row r="457" spans="1:33" ht="12.75">
      <c r="A457" s="86"/>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c r="AC457" s="87"/>
      <c r="AD457" s="87"/>
      <c r="AE457" s="87"/>
      <c r="AF457" s="87"/>
      <c r="AG457" s="87"/>
    </row>
    <row r="458" spans="1:33" ht="12.75">
      <c r="A458" s="86"/>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c r="AC458" s="87"/>
      <c r="AD458" s="87"/>
      <c r="AE458" s="87"/>
      <c r="AF458" s="87"/>
      <c r="AG458" s="87"/>
    </row>
    <row r="459" spans="1:33" ht="12.75">
      <c r="A459" s="86"/>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c r="AC459" s="87"/>
      <c r="AD459" s="87"/>
      <c r="AE459" s="87"/>
      <c r="AF459" s="87"/>
      <c r="AG459" s="87"/>
    </row>
    <row r="460" spans="1:33" ht="12.75">
      <c r="A460" s="86"/>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c r="AC460" s="87"/>
      <c r="AD460" s="87"/>
      <c r="AE460" s="87"/>
      <c r="AF460" s="87"/>
      <c r="AG460" s="87"/>
    </row>
    <row r="461" spans="1:33" ht="12.75">
      <c r="A461" s="86"/>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c r="AC461" s="87"/>
      <c r="AD461" s="87"/>
      <c r="AE461" s="87"/>
      <c r="AF461" s="87"/>
      <c r="AG461" s="87"/>
    </row>
    <row r="462" spans="1:33" ht="12.75">
      <c r="A462" s="86"/>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c r="AC462" s="87"/>
      <c r="AD462" s="87"/>
      <c r="AE462" s="87"/>
      <c r="AF462" s="87"/>
      <c r="AG462" s="87"/>
    </row>
    <row r="463" spans="1:33" ht="12.75">
      <c r="A463" s="86"/>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c r="AC463" s="87"/>
      <c r="AD463" s="87"/>
      <c r="AE463" s="87"/>
      <c r="AF463" s="87"/>
      <c r="AG463" s="87"/>
    </row>
    <row r="464" spans="1:33" ht="12.75">
      <c r="A464" s="86"/>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c r="AC464" s="87"/>
      <c r="AD464" s="87"/>
      <c r="AE464" s="87"/>
      <c r="AF464" s="87"/>
      <c r="AG464" s="87"/>
    </row>
    <row r="465" spans="1:33" ht="12.75">
      <c r="A465" s="86"/>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c r="AC465" s="87"/>
      <c r="AD465" s="87"/>
      <c r="AE465" s="87"/>
      <c r="AF465" s="87"/>
      <c r="AG465" s="87"/>
    </row>
    <row r="466" spans="1:33" ht="12.75">
      <c r="A466" s="86"/>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c r="AC466" s="87"/>
      <c r="AD466" s="87"/>
      <c r="AE466" s="87"/>
      <c r="AF466" s="87"/>
      <c r="AG466" s="87"/>
    </row>
    <row r="467" spans="1:33" ht="12.75">
      <c r="A467" s="86"/>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c r="AC467" s="87"/>
      <c r="AD467" s="87"/>
      <c r="AE467" s="87"/>
      <c r="AF467" s="87"/>
      <c r="AG467" s="87"/>
    </row>
    <row r="468" spans="1:33" ht="12.75">
      <c r="A468" s="86"/>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c r="AC468" s="87"/>
      <c r="AD468" s="87"/>
      <c r="AE468" s="87"/>
      <c r="AF468" s="87"/>
      <c r="AG468" s="87"/>
    </row>
    <row r="469" spans="1:33" ht="12.75">
      <c r="A469" s="86"/>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c r="AC469" s="87"/>
      <c r="AD469" s="87"/>
      <c r="AE469" s="87"/>
      <c r="AF469" s="87"/>
      <c r="AG469" s="87"/>
    </row>
    <row r="470" spans="1:33" ht="12.75">
      <c r="A470" s="86"/>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c r="AC470" s="87"/>
      <c r="AD470" s="87"/>
      <c r="AE470" s="87"/>
      <c r="AF470" s="87"/>
      <c r="AG470" s="87"/>
    </row>
    <row r="471" spans="1:33" ht="12.75">
      <c r="A471" s="86"/>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c r="AC471" s="87"/>
      <c r="AD471" s="87"/>
      <c r="AE471" s="87"/>
      <c r="AF471" s="87"/>
      <c r="AG471" s="87"/>
    </row>
    <row r="472" spans="1:33" ht="12.75">
      <c r="A472" s="86"/>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c r="AC472" s="87"/>
      <c r="AD472" s="87"/>
      <c r="AE472" s="87"/>
      <c r="AF472" s="87"/>
      <c r="AG472" s="87"/>
    </row>
    <row r="473" spans="1:33" ht="12.75">
      <c r="A473" s="86"/>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c r="AC473" s="87"/>
      <c r="AD473" s="87"/>
      <c r="AE473" s="87"/>
      <c r="AF473" s="87"/>
      <c r="AG473" s="87"/>
    </row>
    <row r="474" spans="1:33" ht="12.75">
      <c r="A474" s="86"/>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c r="AC474" s="87"/>
      <c r="AD474" s="87"/>
      <c r="AE474" s="87"/>
      <c r="AF474" s="87"/>
      <c r="AG474" s="87"/>
    </row>
    <row r="475" spans="1:33" ht="12.75">
      <c r="A475" s="86"/>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c r="AC475" s="87"/>
      <c r="AD475" s="87"/>
      <c r="AE475" s="87"/>
      <c r="AF475" s="87"/>
      <c r="AG475" s="87"/>
    </row>
    <row r="476" spans="1:33" ht="12.75">
      <c r="A476" s="86"/>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c r="AC476" s="87"/>
      <c r="AD476" s="87"/>
      <c r="AE476" s="87"/>
      <c r="AF476" s="87"/>
      <c r="AG476" s="87"/>
    </row>
    <row r="477" spans="1:33" ht="12.75">
      <c r="A477" s="86"/>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c r="AC477" s="87"/>
      <c r="AD477" s="87"/>
      <c r="AE477" s="87"/>
      <c r="AF477" s="87"/>
      <c r="AG477" s="87"/>
    </row>
    <row r="478" spans="1:33" ht="12.75">
      <c r="A478" s="86"/>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c r="AC478" s="87"/>
      <c r="AD478" s="87"/>
      <c r="AE478" s="87"/>
      <c r="AF478" s="87"/>
      <c r="AG478" s="87"/>
    </row>
    <row r="479" spans="1:33" ht="12.75">
      <c r="A479" s="86"/>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c r="AC479" s="87"/>
      <c r="AD479" s="87"/>
      <c r="AE479" s="87"/>
      <c r="AF479" s="87"/>
      <c r="AG479" s="87"/>
    </row>
    <row r="480" spans="1:33" ht="12.75">
      <c r="A480" s="86"/>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c r="AC480" s="87"/>
      <c r="AD480" s="87"/>
      <c r="AE480" s="87"/>
      <c r="AF480" s="87"/>
      <c r="AG480" s="87"/>
    </row>
    <row r="481" spans="1:33" ht="12.75">
      <c r="A481" s="86"/>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c r="AC481" s="87"/>
      <c r="AD481" s="87"/>
      <c r="AE481" s="87"/>
      <c r="AF481" s="87"/>
      <c r="AG481" s="87"/>
    </row>
    <row r="482" spans="1:33" ht="12.75">
      <c r="A482" s="86"/>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c r="AC482" s="87"/>
      <c r="AD482" s="87"/>
      <c r="AE482" s="87"/>
      <c r="AF482" s="87"/>
      <c r="AG482" s="87"/>
    </row>
    <row r="483" spans="1:33" ht="12.75">
      <c r="A483" s="86"/>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c r="AC483" s="87"/>
      <c r="AD483" s="87"/>
      <c r="AE483" s="87"/>
      <c r="AF483" s="87"/>
      <c r="AG483" s="87"/>
    </row>
    <row r="484" spans="1:33" ht="12.75">
      <c r="A484" s="86"/>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c r="AC484" s="87"/>
      <c r="AD484" s="87"/>
      <c r="AE484" s="87"/>
      <c r="AF484" s="87"/>
      <c r="AG484" s="87"/>
    </row>
    <row r="485" spans="1:33" ht="12.75">
      <c r="A485" s="86"/>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c r="AC485" s="87"/>
      <c r="AD485" s="87"/>
      <c r="AE485" s="87"/>
      <c r="AF485" s="87"/>
      <c r="AG485" s="87"/>
    </row>
    <row r="486" spans="1:33" ht="12.75">
      <c r="A486" s="86"/>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c r="AC486" s="87"/>
      <c r="AD486" s="87"/>
      <c r="AE486" s="87"/>
      <c r="AF486" s="87"/>
      <c r="AG486" s="87"/>
    </row>
    <row r="487" spans="1:33" ht="12.75">
      <c r="A487" s="86"/>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c r="AC487" s="87"/>
      <c r="AD487" s="87"/>
      <c r="AE487" s="87"/>
      <c r="AF487" s="87"/>
      <c r="AG487" s="87"/>
    </row>
    <row r="488" spans="1:33" ht="12.75">
      <c r="A488" s="86"/>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c r="AC488" s="87"/>
      <c r="AD488" s="87"/>
      <c r="AE488" s="87"/>
      <c r="AF488" s="87"/>
      <c r="AG488" s="87"/>
    </row>
    <row r="489" spans="1:33" ht="12.75">
      <c r="A489" s="86"/>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c r="AC489" s="87"/>
      <c r="AD489" s="87"/>
      <c r="AE489" s="87"/>
      <c r="AF489" s="87"/>
      <c r="AG489" s="87"/>
    </row>
    <row r="490" spans="1:33" ht="12.75">
      <c r="A490" s="86"/>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c r="AC490" s="87"/>
      <c r="AD490" s="87"/>
      <c r="AE490" s="87"/>
      <c r="AF490" s="87"/>
      <c r="AG490" s="87"/>
    </row>
    <row r="491" spans="1:33" ht="12.75">
      <c r="A491" s="86"/>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c r="AC491" s="87"/>
      <c r="AD491" s="87"/>
      <c r="AE491" s="87"/>
      <c r="AF491" s="87"/>
      <c r="AG491" s="87"/>
    </row>
    <row r="492" spans="1:33" ht="12.75">
      <c r="A492" s="86"/>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c r="AC492" s="87"/>
      <c r="AD492" s="87"/>
      <c r="AE492" s="87"/>
      <c r="AF492" s="87"/>
      <c r="AG492" s="87"/>
    </row>
    <row r="493" spans="1:33" ht="12.75">
      <c r="A493" s="86"/>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c r="AC493" s="87"/>
      <c r="AD493" s="87"/>
      <c r="AE493" s="87"/>
      <c r="AF493" s="87"/>
      <c r="AG493" s="87"/>
    </row>
    <row r="494" spans="1:33" ht="12.75">
      <c r="A494" s="86"/>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c r="AC494" s="87"/>
      <c r="AD494" s="87"/>
      <c r="AE494" s="87"/>
      <c r="AF494" s="87"/>
      <c r="AG494" s="87"/>
    </row>
    <row r="495" spans="1:33" ht="12.75">
      <c r="A495" s="86"/>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c r="AC495" s="87"/>
      <c r="AD495" s="87"/>
      <c r="AE495" s="87"/>
      <c r="AF495" s="87"/>
      <c r="AG495" s="87"/>
    </row>
    <row r="496" spans="1:33" ht="12.75">
      <c r="A496" s="86"/>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c r="AC496" s="87"/>
      <c r="AD496" s="87"/>
      <c r="AE496" s="87"/>
      <c r="AF496" s="87"/>
      <c r="AG496" s="87"/>
    </row>
    <row r="497" spans="1:33" ht="12.75">
      <c r="A497" s="86"/>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c r="AC497" s="87"/>
      <c r="AD497" s="87"/>
      <c r="AE497" s="87"/>
      <c r="AF497" s="87"/>
      <c r="AG497" s="87"/>
    </row>
    <row r="498" spans="1:33" ht="12.75">
      <c r="A498" s="86"/>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c r="AC498" s="87"/>
      <c r="AD498" s="87"/>
      <c r="AE498" s="87"/>
      <c r="AF498" s="87"/>
      <c r="AG498" s="87"/>
    </row>
    <row r="499" spans="1:33" ht="12.75">
      <c r="A499" s="86"/>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c r="AC499" s="87"/>
      <c r="AD499" s="87"/>
      <c r="AE499" s="87"/>
      <c r="AF499" s="87"/>
      <c r="AG499" s="87"/>
    </row>
    <row r="500" spans="1:33" ht="12.75">
      <c r="A500" s="86"/>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c r="AC500" s="87"/>
      <c r="AD500" s="87"/>
      <c r="AE500" s="87"/>
      <c r="AF500" s="87"/>
      <c r="AG500" s="87"/>
    </row>
    <row r="501" spans="1:33" ht="12.75">
      <c r="A501" s="86"/>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c r="AC501" s="87"/>
      <c r="AD501" s="87"/>
      <c r="AE501" s="87"/>
      <c r="AF501" s="87"/>
      <c r="AG501" s="87"/>
    </row>
    <row r="502" spans="1:33" ht="12.75">
      <c r="A502" s="86"/>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c r="AC502" s="87"/>
      <c r="AD502" s="87"/>
      <c r="AE502" s="87"/>
      <c r="AF502" s="87"/>
      <c r="AG502" s="87"/>
    </row>
    <row r="503" spans="1:33" ht="12.75">
      <c r="A503" s="86"/>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c r="AC503" s="87"/>
      <c r="AD503" s="87"/>
      <c r="AE503" s="87"/>
      <c r="AF503" s="87"/>
      <c r="AG503" s="87"/>
    </row>
    <row r="504" spans="1:33" ht="12.75">
      <c r="A504" s="86"/>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c r="AC504" s="87"/>
      <c r="AD504" s="87"/>
      <c r="AE504" s="87"/>
      <c r="AF504" s="87"/>
      <c r="AG504" s="87"/>
    </row>
    <row r="505" spans="1:33" ht="12.75">
      <c r="A505" s="86"/>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c r="AC505" s="87"/>
      <c r="AD505" s="87"/>
      <c r="AE505" s="87"/>
      <c r="AF505" s="87"/>
      <c r="AG505" s="87"/>
    </row>
    <row r="506" spans="1:33" ht="12.75">
      <c r="A506" s="86"/>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c r="AC506" s="87"/>
      <c r="AD506" s="87"/>
      <c r="AE506" s="87"/>
      <c r="AF506" s="87"/>
      <c r="AG506" s="87"/>
    </row>
    <row r="507" spans="1:33" ht="12.75">
      <c r="A507" s="86"/>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c r="AC507" s="87"/>
      <c r="AD507" s="87"/>
      <c r="AE507" s="87"/>
      <c r="AF507" s="87"/>
      <c r="AG507" s="87"/>
    </row>
    <row r="508" spans="1:33" ht="12.75">
      <c r="A508" s="86"/>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c r="AC508" s="87"/>
      <c r="AD508" s="87"/>
      <c r="AE508" s="87"/>
      <c r="AF508" s="87"/>
      <c r="AG508" s="87"/>
    </row>
    <row r="509" spans="1:33" ht="12.75">
      <c r="A509" s="86"/>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c r="AC509" s="87"/>
      <c r="AD509" s="87"/>
      <c r="AE509" s="87"/>
      <c r="AF509" s="87"/>
      <c r="AG509" s="87"/>
    </row>
    <row r="510" spans="1:33" ht="12.75">
      <c r="A510" s="86"/>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c r="AC510" s="87"/>
      <c r="AD510" s="87"/>
      <c r="AE510" s="87"/>
      <c r="AF510" s="87"/>
      <c r="AG510" s="87"/>
    </row>
    <row r="511" spans="1:33" ht="12.75">
      <c r="A511" s="86"/>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c r="AC511" s="87"/>
      <c r="AD511" s="87"/>
      <c r="AE511" s="87"/>
      <c r="AF511" s="87"/>
      <c r="AG511" s="87"/>
    </row>
    <row r="512" spans="1:33" ht="12.75">
      <c r="A512" s="86"/>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c r="AC512" s="87"/>
      <c r="AD512" s="87"/>
      <c r="AE512" s="87"/>
      <c r="AF512" s="87"/>
      <c r="AG512" s="87"/>
    </row>
    <row r="513" spans="1:33" ht="12.75">
      <c r="A513" s="86"/>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c r="AC513" s="87"/>
      <c r="AD513" s="87"/>
      <c r="AE513" s="87"/>
      <c r="AF513" s="87"/>
      <c r="AG513" s="87"/>
    </row>
    <row r="514" spans="1:33" ht="12.75">
      <c r="A514" s="86"/>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c r="AC514" s="87"/>
      <c r="AD514" s="87"/>
      <c r="AE514" s="87"/>
      <c r="AF514" s="87"/>
      <c r="AG514" s="87"/>
    </row>
    <row r="515" spans="1:33" ht="12.75">
      <c r="A515" s="86"/>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c r="AC515" s="87"/>
      <c r="AD515" s="87"/>
      <c r="AE515" s="87"/>
      <c r="AF515" s="87"/>
      <c r="AG515" s="87"/>
    </row>
    <row r="516" spans="1:33" ht="12.75">
      <c r="A516" s="86"/>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c r="AC516" s="87"/>
      <c r="AD516" s="87"/>
      <c r="AE516" s="87"/>
      <c r="AF516" s="87"/>
      <c r="AG516" s="87"/>
    </row>
    <row r="517" spans="1:33" ht="12.75">
      <c r="A517" s="86"/>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c r="AC517" s="87"/>
      <c r="AD517" s="87"/>
      <c r="AE517" s="87"/>
      <c r="AF517" s="87"/>
      <c r="AG517" s="87"/>
    </row>
    <row r="518" spans="1:33" ht="12.75">
      <c r="A518" s="86"/>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c r="AD518" s="87"/>
      <c r="AE518" s="87"/>
      <c r="AF518" s="87"/>
      <c r="AG518" s="87"/>
    </row>
    <row r="519" spans="1:33" ht="12.75">
      <c r="A519" s="86"/>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c r="AC519" s="87"/>
      <c r="AD519" s="87"/>
      <c r="AE519" s="87"/>
      <c r="AF519" s="87"/>
      <c r="AG519" s="87"/>
    </row>
    <row r="520" spans="1:33" ht="12.75">
      <c r="A520" s="86"/>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c r="AC520" s="87"/>
      <c r="AD520" s="87"/>
      <c r="AE520" s="87"/>
      <c r="AF520" s="87"/>
      <c r="AG520" s="87"/>
    </row>
    <row r="521" spans="1:33" ht="12.75">
      <c r="A521" s="86"/>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c r="AC521" s="87"/>
      <c r="AD521" s="87"/>
      <c r="AE521" s="87"/>
      <c r="AF521" s="87"/>
      <c r="AG521" s="87"/>
    </row>
    <row r="522" spans="1:33" ht="12.75">
      <c r="A522" s="86"/>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c r="AC522" s="87"/>
      <c r="AD522" s="87"/>
      <c r="AE522" s="87"/>
      <c r="AF522" s="87"/>
      <c r="AG522" s="87"/>
    </row>
    <row r="523" spans="1:33" ht="12.75">
      <c r="A523" s="86"/>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c r="AC523" s="87"/>
      <c r="AD523" s="87"/>
      <c r="AE523" s="87"/>
      <c r="AF523" s="87"/>
      <c r="AG523" s="87"/>
    </row>
    <row r="524" spans="1:33" ht="12.75">
      <c r="A524" s="86"/>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c r="AC524" s="87"/>
      <c r="AD524" s="87"/>
      <c r="AE524" s="87"/>
      <c r="AF524" s="87"/>
      <c r="AG524" s="87"/>
    </row>
    <row r="525" spans="1:33" ht="12.75">
      <c r="A525" s="86"/>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c r="AC525" s="87"/>
      <c r="AD525" s="87"/>
      <c r="AE525" s="87"/>
      <c r="AF525" s="87"/>
      <c r="AG525" s="87"/>
    </row>
    <row r="526" spans="1:33" ht="12.75">
      <c r="A526" s="86"/>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c r="AC526" s="87"/>
      <c r="AD526" s="87"/>
      <c r="AE526" s="87"/>
      <c r="AF526" s="87"/>
      <c r="AG526" s="87"/>
    </row>
    <row r="527" spans="1:33" ht="12.75">
      <c r="A527" s="86"/>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c r="AC527" s="87"/>
      <c r="AD527" s="87"/>
      <c r="AE527" s="87"/>
      <c r="AF527" s="87"/>
      <c r="AG527" s="87"/>
    </row>
    <row r="528" spans="1:33" ht="12.75">
      <c r="A528" s="86"/>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c r="AC528" s="87"/>
      <c r="AD528" s="87"/>
      <c r="AE528" s="87"/>
      <c r="AF528" s="87"/>
      <c r="AG528" s="87"/>
    </row>
    <row r="529" spans="1:33" ht="12.75">
      <c r="A529" s="86"/>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c r="AC529" s="87"/>
      <c r="AD529" s="87"/>
      <c r="AE529" s="87"/>
      <c r="AF529" s="87"/>
      <c r="AG529" s="87"/>
    </row>
    <row r="530" spans="1:33" ht="12.75">
      <c r="A530" s="86"/>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c r="AC530" s="87"/>
      <c r="AD530" s="87"/>
      <c r="AE530" s="87"/>
      <c r="AF530" s="87"/>
      <c r="AG530" s="87"/>
    </row>
    <row r="531" spans="1:33" ht="12.75">
      <c r="A531" s="86"/>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c r="AC531" s="87"/>
      <c r="AD531" s="87"/>
      <c r="AE531" s="87"/>
      <c r="AF531" s="87"/>
      <c r="AG531" s="87"/>
    </row>
    <row r="532" spans="1:33" ht="12.75">
      <c r="A532" s="86"/>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c r="AC532" s="87"/>
      <c r="AD532" s="87"/>
      <c r="AE532" s="87"/>
      <c r="AF532" s="87"/>
      <c r="AG532" s="87"/>
    </row>
    <row r="533" spans="1:33" ht="12.75">
      <c r="A533" s="86"/>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c r="AC533" s="87"/>
      <c r="AD533" s="87"/>
      <c r="AE533" s="87"/>
      <c r="AF533" s="87"/>
      <c r="AG533" s="87"/>
    </row>
    <row r="534" spans="1:33" ht="12.75">
      <c r="A534" s="86"/>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c r="AC534" s="87"/>
      <c r="AD534" s="87"/>
      <c r="AE534" s="87"/>
      <c r="AF534" s="87"/>
      <c r="AG534" s="87"/>
    </row>
    <row r="535" spans="1:33" ht="12.75">
      <c r="A535" s="86"/>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c r="AC535" s="87"/>
      <c r="AD535" s="87"/>
      <c r="AE535" s="87"/>
      <c r="AF535" s="87"/>
      <c r="AG535" s="87"/>
    </row>
    <row r="536" spans="1:33" ht="12.75">
      <c r="A536" s="86"/>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c r="AC536" s="87"/>
      <c r="AD536" s="87"/>
      <c r="AE536" s="87"/>
      <c r="AF536" s="87"/>
      <c r="AG536" s="87"/>
    </row>
    <row r="537" spans="1:33" ht="12.75">
      <c r="A537" s="86"/>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7"/>
      <c r="AD537" s="87"/>
      <c r="AE537" s="87"/>
      <c r="AF537" s="87"/>
      <c r="AG537" s="87"/>
    </row>
    <row r="538" spans="1:33" ht="12.75">
      <c r="A538" s="86"/>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c r="AC538" s="87"/>
      <c r="AD538" s="87"/>
      <c r="AE538" s="87"/>
      <c r="AF538" s="87"/>
      <c r="AG538" s="87"/>
    </row>
    <row r="539" spans="1:33" ht="12.75">
      <c r="A539" s="86"/>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c r="AC539" s="87"/>
      <c r="AD539" s="87"/>
      <c r="AE539" s="87"/>
      <c r="AF539" s="87"/>
      <c r="AG539" s="87"/>
    </row>
    <row r="540" spans="1:33" ht="12.75">
      <c r="A540" s="86"/>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c r="AC540" s="87"/>
      <c r="AD540" s="87"/>
      <c r="AE540" s="87"/>
      <c r="AF540" s="87"/>
      <c r="AG540" s="87"/>
    </row>
    <row r="541" spans="1:33" ht="12.75">
      <c r="A541" s="86"/>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c r="AC541" s="87"/>
      <c r="AD541" s="87"/>
      <c r="AE541" s="87"/>
      <c r="AF541" s="87"/>
      <c r="AG541" s="87"/>
    </row>
    <row r="542" spans="1:33" ht="12.75">
      <c r="A542" s="86"/>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c r="AC542" s="87"/>
      <c r="AD542" s="87"/>
      <c r="AE542" s="87"/>
      <c r="AF542" s="87"/>
      <c r="AG542" s="87"/>
    </row>
    <row r="543" spans="1:33" ht="12.75">
      <c r="A543" s="86"/>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c r="AC543" s="87"/>
      <c r="AD543" s="87"/>
      <c r="AE543" s="87"/>
      <c r="AF543" s="87"/>
      <c r="AG543" s="87"/>
    </row>
    <row r="544" spans="1:33" ht="12.75">
      <c r="A544" s="86"/>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c r="AC544" s="87"/>
      <c r="AD544" s="87"/>
      <c r="AE544" s="87"/>
      <c r="AF544" s="87"/>
      <c r="AG544" s="87"/>
    </row>
    <row r="545" spans="1:33" ht="12.75">
      <c r="A545" s="86"/>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c r="AC545" s="87"/>
      <c r="AD545" s="87"/>
      <c r="AE545" s="87"/>
      <c r="AF545" s="87"/>
      <c r="AG545" s="87"/>
    </row>
    <row r="546" spans="1:33" ht="12.75">
      <c r="A546" s="86"/>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c r="AC546" s="87"/>
      <c r="AD546" s="87"/>
      <c r="AE546" s="87"/>
      <c r="AF546" s="87"/>
      <c r="AG546" s="87"/>
    </row>
    <row r="547" spans="1:33" ht="12.75">
      <c r="A547" s="86"/>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c r="AC547" s="87"/>
      <c r="AD547" s="87"/>
      <c r="AE547" s="87"/>
      <c r="AF547" s="87"/>
      <c r="AG547" s="87"/>
    </row>
    <row r="548" spans="1:33" ht="12.75">
      <c r="A548" s="86"/>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c r="AC548" s="87"/>
      <c r="AD548" s="87"/>
      <c r="AE548" s="87"/>
      <c r="AF548" s="87"/>
      <c r="AG548" s="87"/>
    </row>
    <row r="549" spans="1:33" ht="12.75">
      <c r="A549" s="86"/>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c r="AC549" s="87"/>
      <c r="AD549" s="87"/>
      <c r="AE549" s="87"/>
      <c r="AF549" s="87"/>
      <c r="AG549" s="87"/>
    </row>
    <row r="550" spans="1:33" ht="12.75">
      <c r="A550" s="86"/>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c r="AG550" s="87"/>
    </row>
    <row r="551" spans="1:33" ht="12.75">
      <c r="A551" s="86"/>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c r="AC551" s="87"/>
      <c r="AD551" s="87"/>
      <c r="AE551" s="87"/>
      <c r="AF551" s="87"/>
      <c r="AG551" s="87"/>
    </row>
    <row r="552" spans="1:33" ht="12.75">
      <c r="A552" s="86"/>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c r="AC552" s="87"/>
      <c r="AD552" s="87"/>
      <c r="AE552" s="87"/>
      <c r="AF552" s="87"/>
      <c r="AG552" s="87"/>
    </row>
    <row r="553" spans="1:33" ht="12.75">
      <c r="A553" s="86"/>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c r="AC553" s="87"/>
      <c r="AD553" s="87"/>
      <c r="AE553" s="87"/>
      <c r="AF553" s="87"/>
      <c r="AG553" s="87"/>
    </row>
    <row r="554" spans="1:33" ht="12.75">
      <c r="A554" s="86"/>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c r="AC554" s="87"/>
      <c r="AD554" s="87"/>
      <c r="AE554" s="87"/>
      <c r="AF554" s="87"/>
      <c r="AG554" s="87"/>
    </row>
    <row r="555" spans="1:33" ht="12.75">
      <c r="A555" s="86"/>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c r="AC555" s="87"/>
      <c r="AD555" s="87"/>
      <c r="AE555" s="87"/>
      <c r="AF555" s="87"/>
      <c r="AG555" s="87"/>
    </row>
    <row r="556" spans="1:33" ht="12.75">
      <c r="A556" s="86"/>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c r="AC556" s="87"/>
      <c r="AD556" s="87"/>
      <c r="AE556" s="87"/>
      <c r="AF556" s="87"/>
      <c r="AG556" s="87"/>
    </row>
    <row r="557" spans="1:33" ht="12.75">
      <c r="A557" s="86"/>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c r="AC557" s="87"/>
      <c r="AD557" s="87"/>
      <c r="AE557" s="87"/>
      <c r="AF557" s="87"/>
      <c r="AG557" s="87"/>
    </row>
    <row r="558" spans="1:33" ht="12.75">
      <c r="A558" s="86"/>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c r="AC558" s="87"/>
      <c r="AD558" s="87"/>
      <c r="AE558" s="87"/>
      <c r="AF558" s="87"/>
      <c r="AG558" s="87"/>
    </row>
    <row r="559" spans="1:33" ht="12.75">
      <c r="A559" s="86"/>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c r="AC559" s="87"/>
      <c r="AD559" s="87"/>
      <c r="AE559" s="87"/>
      <c r="AF559" s="87"/>
      <c r="AG559" s="87"/>
    </row>
    <row r="560" spans="1:33" ht="12.75">
      <c r="A560" s="86"/>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row>
    <row r="561" spans="1:33" ht="12.75">
      <c r="A561" s="86"/>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row>
    <row r="562" spans="1:33" ht="12.75">
      <c r="A562" s="86"/>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c r="AC562" s="87"/>
      <c r="AD562" s="87"/>
      <c r="AE562" s="87"/>
      <c r="AF562" s="87"/>
      <c r="AG562" s="87"/>
    </row>
    <row r="563" spans="1:33" ht="12.75">
      <c r="A563" s="86"/>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c r="AC563" s="87"/>
      <c r="AD563" s="87"/>
      <c r="AE563" s="87"/>
      <c r="AF563" s="87"/>
      <c r="AG563" s="87"/>
    </row>
    <row r="564" spans="1:33" ht="12.75">
      <c r="A564" s="86"/>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c r="AC564" s="87"/>
      <c r="AD564" s="87"/>
      <c r="AE564" s="87"/>
      <c r="AF564" s="87"/>
      <c r="AG564" s="87"/>
    </row>
    <row r="565" spans="1:33" ht="12.75">
      <c r="A565" s="86"/>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c r="AC565" s="87"/>
      <c r="AD565" s="87"/>
      <c r="AE565" s="87"/>
      <c r="AF565" s="87"/>
      <c r="AG565" s="87"/>
    </row>
    <row r="566" spans="1:33" ht="12.75">
      <c r="A566" s="86"/>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c r="AC566" s="87"/>
      <c r="AD566" s="87"/>
      <c r="AE566" s="87"/>
      <c r="AF566" s="87"/>
      <c r="AG566" s="87"/>
    </row>
    <row r="567" spans="1:33" ht="12.75">
      <c r="A567" s="86"/>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c r="AC567" s="87"/>
      <c r="AD567" s="87"/>
      <c r="AE567" s="87"/>
      <c r="AF567" s="87"/>
      <c r="AG567" s="87"/>
    </row>
    <row r="568" spans="1:33" ht="12.75">
      <c r="A568" s="86"/>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c r="AC568" s="87"/>
      <c r="AD568" s="87"/>
      <c r="AE568" s="87"/>
      <c r="AF568" s="87"/>
      <c r="AG568" s="87"/>
    </row>
    <row r="569" spans="1:33" ht="12.75">
      <c r="A569" s="86"/>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c r="AC569" s="87"/>
      <c r="AD569" s="87"/>
      <c r="AE569" s="87"/>
      <c r="AF569" s="87"/>
      <c r="AG569" s="87"/>
    </row>
    <row r="570" spans="1:33" ht="12.75">
      <c r="A570" s="86"/>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c r="AC570" s="87"/>
      <c r="AD570" s="87"/>
      <c r="AE570" s="87"/>
      <c r="AF570" s="87"/>
      <c r="AG570" s="87"/>
    </row>
    <row r="571" spans="1:33" ht="12.75">
      <c r="A571" s="86"/>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c r="AC571" s="87"/>
      <c r="AD571" s="87"/>
      <c r="AE571" s="87"/>
      <c r="AF571" s="87"/>
      <c r="AG571" s="87"/>
    </row>
    <row r="572" spans="1:33" ht="12.75">
      <c r="A572" s="86"/>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c r="AC572" s="87"/>
      <c r="AD572" s="87"/>
      <c r="AE572" s="87"/>
      <c r="AF572" s="87"/>
      <c r="AG572" s="87"/>
    </row>
    <row r="573" spans="1:33" ht="12.75">
      <c r="A573" s="86"/>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c r="AC573" s="87"/>
      <c r="AD573" s="87"/>
      <c r="AE573" s="87"/>
      <c r="AF573" s="87"/>
      <c r="AG573" s="87"/>
    </row>
    <row r="574" spans="1:33" ht="12.75">
      <c r="A574" s="86"/>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c r="AC574" s="87"/>
      <c r="AD574" s="87"/>
      <c r="AE574" s="87"/>
      <c r="AF574" s="87"/>
      <c r="AG574" s="87"/>
    </row>
    <row r="575" spans="1:33" ht="12.75">
      <c r="A575" s="86"/>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c r="AC575" s="87"/>
      <c r="AD575" s="87"/>
      <c r="AE575" s="87"/>
      <c r="AF575" s="87"/>
      <c r="AG575" s="87"/>
    </row>
    <row r="576" spans="1:33" ht="12.75">
      <c r="A576" s="86"/>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c r="AC576" s="87"/>
      <c r="AD576" s="87"/>
      <c r="AE576" s="87"/>
      <c r="AF576" s="87"/>
      <c r="AG576" s="87"/>
    </row>
    <row r="577" spans="1:33" ht="12.75">
      <c r="A577" s="86"/>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c r="AC577" s="87"/>
      <c r="AD577" s="87"/>
      <c r="AE577" s="87"/>
      <c r="AF577" s="87"/>
      <c r="AG577" s="87"/>
    </row>
    <row r="578" spans="1:33" ht="12.75">
      <c r="A578" s="86"/>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c r="AC578" s="87"/>
      <c r="AD578" s="87"/>
      <c r="AE578" s="87"/>
      <c r="AF578" s="87"/>
      <c r="AG578" s="87"/>
    </row>
    <row r="579" spans="1:33" ht="12.75">
      <c r="A579" s="86"/>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c r="AC579" s="87"/>
      <c r="AD579" s="87"/>
      <c r="AE579" s="87"/>
      <c r="AF579" s="87"/>
      <c r="AG579" s="87"/>
    </row>
    <row r="580" spans="1:33" ht="12.75">
      <c r="A580" s="86"/>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c r="AC580" s="87"/>
      <c r="AD580" s="87"/>
      <c r="AE580" s="87"/>
      <c r="AF580" s="87"/>
      <c r="AG580" s="87"/>
    </row>
    <row r="581" spans="1:33" ht="12.75">
      <c r="A581" s="86"/>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c r="AC581" s="87"/>
      <c r="AD581" s="87"/>
      <c r="AE581" s="87"/>
      <c r="AF581" s="87"/>
      <c r="AG581" s="87"/>
    </row>
    <row r="582" spans="1:33" ht="12.75">
      <c r="A582" s="86"/>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c r="AC582" s="87"/>
      <c r="AD582" s="87"/>
      <c r="AE582" s="87"/>
      <c r="AF582" s="87"/>
      <c r="AG582" s="87"/>
    </row>
    <row r="583" spans="1:33" ht="12.75">
      <c r="A583" s="86"/>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c r="AC583" s="87"/>
      <c r="AD583" s="87"/>
      <c r="AE583" s="87"/>
      <c r="AF583" s="87"/>
      <c r="AG583" s="87"/>
    </row>
    <row r="584" spans="1:33" ht="12.75">
      <c r="A584" s="86"/>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c r="AC584" s="87"/>
      <c r="AD584" s="87"/>
      <c r="AE584" s="87"/>
      <c r="AF584" s="87"/>
      <c r="AG584" s="87"/>
    </row>
    <row r="585" spans="1:33" ht="12.75">
      <c r="A585" s="86"/>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c r="AC585" s="87"/>
      <c r="AD585" s="87"/>
      <c r="AE585" s="87"/>
      <c r="AF585" s="87"/>
      <c r="AG585" s="87"/>
    </row>
    <row r="586" spans="1:33" ht="12.75">
      <c r="A586" s="86"/>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c r="AG586" s="87"/>
    </row>
    <row r="587" spans="1:33" ht="12.75">
      <c r="A587" s="86"/>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c r="AC587" s="87"/>
      <c r="AD587" s="87"/>
      <c r="AE587" s="87"/>
      <c r="AF587" s="87"/>
      <c r="AG587" s="87"/>
    </row>
    <row r="588" spans="1:33" ht="12.75">
      <c r="A588" s="86"/>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c r="AC588" s="87"/>
      <c r="AD588" s="87"/>
      <c r="AE588" s="87"/>
      <c r="AF588" s="87"/>
      <c r="AG588" s="87"/>
    </row>
    <row r="589" spans="1:33" ht="12.75">
      <c r="A589" s="86"/>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c r="AC589" s="87"/>
      <c r="AD589" s="87"/>
      <c r="AE589" s="87"/>
      <c r="AF589" s="87"/>
      <c r="AG589" s="87"/>
    </row>
    <row r="590" spans="1:33" ht="12.75">
      <c r="A590" s="86"/>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c r="AC590" s="87"/>
      <c r="AD590" s="87"/>
      <c r="AE590" s="87"/>
      <c r="AF590" s="87"/>
      <c r="AG590" s="87"/>
    </row>
    <row r="591" spans="1:33" ht="12.75">
      <c r="A591" s="86"/>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c r="AC591" s="87"/>
      <c r="AD591" s="87"/>
      <c r="AE591" s="87"/>
      <c r="AF591" s="87"/>
      <c r="AG591" s="87"/>
    </row>
    <row r="592" spans="1:33" ht="12.75">
      <c r="A592" s="86"/>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c r="AC592" s="87"/>
      <c r="AD592" s="87"/>
      <c r="AE592" s="87"/>
      <c r="AF592" s="87"/>
      <c r="AG592" s="87"/>
    </row>
    <row r="593" spans="1:33" ht="12.75">
      <c r="A593" s="86"/>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c r="AC593" s="87"/>
      <c r="AD593" s="87"/>
      <c r="AE593" s="87"/>
      <c r="AF593" s="87"/>
      <c r="AG593" s="87"/>
    </row>
    <row r="594" spans="1:33" ht="12.75">
      <c r="A594" s="86"/>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c r="AC594" s="87"/>
      <c r="AD594" s="87"/>
      <c r="AE594" s="87"/>
      <c r="AF594" s="87"/>
      <c r="AG594" s="87"/>
    </row>
    <row r="595" spans="1:33" ht="12.75">
      <c r="A595" s="86"/>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c r="AC595" s="87"/>
      <c r="AD595" s="87"/>
      <c r="AE595" s="87"/>
      <c r="AF595" s="87"/>
      <c r="AG595" s="87"/>
    </row>
    <row r="596" spans="1:33" ht="12.75">
      <c r="A596" s="86"/>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c r="AC596" s="87"/>
      <c r="AD596" s="87"/>
      <c r="AE596" s="87"/>
      <c r="AF596" s="87"/>
      <c r="AG596" s="87"/>
    </row>
    <row r="597" spans="1:33" ht="12.75">
      <c r="A597" s="86"/>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c r="AC597" s="87"/>
      <c r="AD597" s="87"/>
      <c r="AE597" s="87"/>
      <c r="AF597" s="87"/>
      <c r="AG597" s="87"/>
    </row>
    <row r="598" spans="1:33" ht="12.75">
      <c r="A598" s="86"/>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c r="AC598" s="87"/>
      <c r="AD598" s="87"/>
      <c r="AE598" s="87"/>
      <c r="AF598" s="87"/>
      <c r="AG598" s="87"/>
    </row>
    <row r="599" spans="1:33" ht="12.75">
      <c r="A599" s="86"/>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c r="AC599" s="87"/>
      <c r="AD599" s="87"/>
      <c r="AE599" s="87"/>
      <c r="AF599" s="87"/>
      <c r="AG599" s="87"/>
    </row>
    <row r="600" spans="1:33" ht="12.75">
      <c r="A600" s="86"/>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c r="AC600" s="87"/>
      <c r="AD600" s="87"/>
      <c r="AE600" s="87"/>
      <c r="AF600" s="87"/>
      <c r="AG600" s="87"/>
    </row>
    <row r="601" spans="1:33" ht="12.75">
      <c r="A601" s="86"/>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c r="AC601" s="87"/>
      <c r="AD601" s="87"/>
      <c r="AE601" s="87"/>
      <c r="AF601" s="87"/>
      <c r="AG601" s="87"/>
    </row>
    <row r="602" spans="1:33" ht="12.75">
      <c r="A602" s="86"/>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c r="AC602" s="87"/>
      <c r="AD602" s="87"/>
      <c r="AE602" s="87"/>
      <c r="AF602" s="87"/>
      <c r="AG602" s="87"/>
    </row>
    <row r="603" spans="1:33" ht="12.75">
      <c r="A603" s="86"/>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c r="AC603" s="87"/>
      <c r="AD603" s="87"/>
      <c r="AE603" s="87"/>
      <c r="AF603" s="87"/>
      <c r="AG603" s="87"/>
    </row>
    <row r="604" spans="1:33" ht="12.75">
      <c r="A604" s="86"/>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c r="AC604" s="87"/>
      <c r="AD604" s="87"/>
      <c r="AE604" s="87"/>
      <c r="AF604" s="87"/>
      <c r="AG604" s="87"/>
    </row>
    <row r="605" spans="1:33" ht="12.75">
      <c r="A605" s="86"/>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c r="AC605" s="87"/>
      <c r="AD605" s="87"/>
      <c r="AE605" s="87"/>
      <c r="AF605" s="87"/>
      <c r="AG605" s="87"/>
    </row>
    <row r="606" spans="1:33" ht="12.75">
      <c r="A606" s="86"/>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c r="AC606" s="87"/>
      <c r="AD606" s="87"/>
      <c r="AE606" s="87"/>
      <c r="AF606" s="87"/>
      <c r="AG606" s="87"/>
    </row>
    <row r="607" spans="1:33" ht="12.75">
      <c r="A607" s="86"/>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c r="AC607" s="87"/>
      <c r="AD607" s="87"/>
      <c r="AE607" s="87"/>
      <c r="AF607" s="87"/>
      <c r="AG607" s="87"/>
    </row>
    <row r="608" spans="1:33" ht="12.75">
      <c r="A608" s="86"/>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c r="AC608" s="87"/>
      <c r="AD608" s="87"/>
      <c r="AE608" s="87"/>
      <c r="AF608" s="87"/>
      <c r="AG608" s="87"/>
    </row>
    <row r="609" spans="1:33" ht="12.75">
      <c r="A609" s="86"/>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c r="AC609" s="87"/>
      <c r="AD609" s="87"/>
      <c r="AE609" s="87"/>
      <c r="AF609" s="87"/>
      <c r="AG609" s="87"/>
    </row>
    <row r="610" spans="1:33" ht="12.75">
      <c r="A610" s="86"/>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c r="AC610" s="87"/>
      <c r="AD610" s="87"/>
      <c r="AE610" s="87"/>
      <c r="AF610" s="87"/>
      <c r="AG610" s="87"/>
    </row>
    <row r="611" spans="1:33" ht="12.75">
      <c r="A611" s="86"/>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c r="AC611" s="87"/>
      <c r="AD611" s="87"/>
      <c r="AE611" s="87"/>
      <c r="AF611" s="87"/>
      <c r="AG611" s="87"/>
    </row>
    <row r="612" spans="1:33" ht="12.75">
      <c r="A612" s="86"/>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c r="AC612" s="87"/>
      <c r="AD612" s="87"/>
      <c r="AE612" s="87"/>
      <c r="AF612" s="87"/>
      <c r="AG612" s="87"/>
    </row>
    <row r="613" spans="1:33" ht="12.75">
      <c r="A613" s="86"/>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c r="AC613" s="87"/>
      <c r="AD613" s="87"/>
      <c r="AE613" s="87"/>
      <c r="AF613" s="87"/>
      <c r="AG613" s="87"/>
    </row>
    <row r="614" spans="1:33" ht="12.75">
      <c r="A614" s="86"/>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c r="AC614" s="87"/>
      <c r="AD614" s="87"/>
      <c r="AE614" s="87"/>
      <c r="AF614" s="87"/>
      <c r="AG614" s="87"/>
    </row>
    <row r="615" spans="1:33" ht="12.75">
      <c r="A615" s="86"/>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c r="AC615" s="87"/>
      <c r="AD615" s="87"/>
      <c r="AE615" s="87"/>
      <c r="AF615" s="87"/>
      <c r="AG615" s="87"/>
    </row>
    <row r="616" spans="1:33" ht="12.75">
      <c r="A616" s="86"/>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c r="AC616" s="87"/>
      <c r="AD616" s="87"/>
      <c r="AE616" s="87"/>
      <c r="AF616" s="87"/>
      <c r="AG616" s="87"/>
    </row>
    <row r="617" spans="1:33" ht="12.75">
      <c r="A617" s="86"/>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c r="AC617" s="87"/>
      <c r="AD617" s="87"/>
      <c r="AE617" s="87"/>
      <c r="AF617" s="87"/>
      <c r="AG617" s="87"/>
    </row>
    <row r="618" spans="1:33" ht="12.75">
      <c r="A618" s="86"/>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c r="AC618" s="87"/>
      <c r="AD618" s="87"/>
      <c r="AE618" s="87"/>
      <c r="AF618" s="87"/>
      <c r="AG618" s="87"/>
    </row>
    <row r="619" spans="1:33" ht="12.75">
      <c r="A619" s="86"/>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c r="AC619" s="87"/>
      <c r="AD619" s="87"/>
      <c r="AE619" s="87"/>
      <c r="AF619" s="87"/>
      <c r="AG619" s="87"/>
    </row>
    <row r="620" spans="1:33" ht="12.75">
      <c r="A620" s="86"/>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c r="AC620" s="87"/>
      <c r="AD620" s="87"/>
      <c r="AE620" s="87"/>
      <c r="AF620" s="87"/>
      <c r="AG620" s="87"/>
    </row>
    <row r="621" spans="1:33" ht="12.75">
      <c r="A621" s="86"/>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c r="AC621" s="87"/>
      <c r="AD621" s="87"/>
      <c r="AE621" s="87"/>
      <c r="AF621" s="87"/>
      <c r="AG621" s="87"/>
    </row>
    <row r="622" spans="1:33" ht="12.75">
      <c r="A622" s="86"/>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c r="AC622" s="87"/>
      <c r="AD622" s="87"/>
      <c r="AE622" s="87"/>
      <c r="AF622" s="87"/>
      <c r="AG622" s="87"/>
    </row>
    <row r="623" spans="1:33" ht="12.75">
      <c r="A623" s="86"/>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c r="AC623" s="87"/>
      <c r="AD623" s="87"/>
      <c r="AE623" s="87"/>
      <c r="AF623" s="87"/>
      <c r="AG623" s="87"/>
    </row>
    <row r="624" spans="1:33" ht="12.75">
      <c r="A624" s="86"/>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c r="AC624" s="87"/>
      <c r="AD624" s="87"/>
      <c r="AE624" s="87"/>
      <c r="AF624" s="87"/>
      <c r="AG624" s="87"/>
    </row>
    <row r="625" spans="1:33" ht="12.75">
      <c r="A625" s="86"/>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c r="AC625" s="87"/>
      <c r="AD625" s="87"/>
      <c r="AE625" s="87"/>
      <c r="AF625" s="87"/>
      <c r="AG625" s="87"/>
    </row>
    <row r="626" spans="1:33" ht="12.75">
      <c r="A626" s="86"/>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c r="AC626" s="87"/>
      <c r="AD626" s="87"/>
      <c r="AE626" s="87"/>
      <c r="AF626" s="87"/>
      <c r="AG626" s="87"/>
    </row>
    <row r="627" spans="1:33" ht="12.75">
      <c r="A627" s="86"/>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c r="AC627" s="87"/>
      <c r="AD627" s="87"/>
      <c r="AE627" s="87"/>
      <c r="AF627" s="87"/>
      <c r="AG627" s="87"/>
    </row>
    <row r="628" spans="1:33" ht="12.75">
      <c r="A628" s="86"/>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c r="AC628" s="87"/>
      <c r="AD628" s="87"/>
      <c r="AE628" s="87"/>
      <c r="AF628" s="87"/>
      <c r="AG628" s="87"/>
    </row>
    <row r="629" spans="1:33" ht="12.75">
      <c r="A629" s="86"/>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c r="AC629" s="87"/>
      <c r="AD629" s="87"/>
      <c r="AE629" s="87"/>
      <c r="AF629" s="87"/>
      <c r="AG629" s="87"/>
    </row>
    <row r="630" spans="1:33" ht="12.75">
      <c r="A630" s="86"/>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c r="AC630" s="87"/>
      <c r="AD630" s="87"/>
      <c r="AE630" s="87"/>
      <c r="AF630" s="87"/>
      <c r="AG630" s="87"/>
    </row>
    <row r="631" spans="1:33" ht="12.75">
      <c r="A631" s="86"/>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c r="AC631" s="87"/>
      <c r="AD631" s="87"/>
      <c r="AE631" s="87"/>
      <c r="AF631" s="87"/>
      <c r="AG631" s="87"/>
    </row>
    <row r="632" spans="1:33" ht="12.75">
      <c r="A632" s="86"/>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c r="AC632" s="87"/>
      <c r="AD632" s="87"/>
      <c r="AE632" s="87"/>
      <c r="AF632" s="87"/>
      <c r="AG632" s="87"/>
    </row>
    <row r="633" spans="1:33" ht="12.75">
      <c r="A633" s="86"/>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c r="AC633" s="87"/>
      <c r="AD633" s="87"/>
      <c r="AE633" s="87"/>
      <c r="AF633" s="87"/>
      <c r="AG633" s="87"/>
    </row>
    <row r="634" spans="1:33" ht="12.75">
      <c r="A634" s="86"/>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c r="AC634" s="87"/>
      <c r="AD634" s="87"/>
      <c r="AE634" s="87"/>
      <c r="AF634" s="87"/>
      <c r="AG634" s="87"/>
    </row>
    <row r="635" spans="1:33" ht="12.75">
      <c r="A635" s="86"/>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c r="AC635" s="87"/>
      <c r="AD635" s="87"/>
      <c r="AE635" s="87"/>
      <c r="AF635" s="87"/>
      <c r="AG635" s="87"/>
    </row>
    <row r="636" spans="1:33" ht="12.75">
      <c r="A636" s="86"/>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c r="AC636" s="87"/>
      <c r="AD636" s="87"/>
      <c r="AE636" s="87"/>
      <c r="AF636" s="87"/>
      <c r="AG636" s="87"/>
    </row>
    <row r="637" spans="1:33" ht="12.75">
      <c r="A637" s="86"/>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c r="AC637" s="87"/>
      <c r="AD637" s="87"/>
      <c r="AE637" s="87"/>
      <c r="AF637" s="87"/>
      <c r="AG637" s="87"/>
    </row>
    <row r="638" spans="1:33" ht="12.75">
      <c r="A638" s="86"/>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c r="AC638" s="87"/>
      <c r="AD638" s="87"/>
      <c r="AE638" s="87"/>
      <c r="AF638" s="87"/>
      <c r="AG638" s="87"/>
    </row>
    <row r="639" spans="1:33" ht="12.75">
      <c r="A639" s="86"/>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c r="AC639" s="87"/>
      <c r="AD639" s="87"/>
      <c r="AE639" s="87"/>
      <c r="AF639" s="87"/>
      <c r="AG639" s="87"/>
    </row>
    <row r="640" spans="1:33" ht="12.75">
      <c r="A640" s="86"/>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c r="AC640" s="87"/>
      <c r="AD640" s="87"/>
      <c r="AE640" s="87"/>
      <c r="AF640" s="87"/>
      <c r="AG640" s="87"/>
    </row>
    <row r="641" spans="1:33" ht="12.75">
      <c r="A641" s="86"/>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c r="AC641" s="87"/>
      <c r="AD641" s="87"/>
      <c r="AE641" s="87"/>
      <c r="AF641" s="87"/>
      <c r="AG641" s="87"/>
    </row>
    <row r="642" spans="1:33" ht="12.75">
      <c r="A642" s="86"/>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c r="AC642" s="87"/>
      <c r="AD642" s="87"/>
      <c r="AE642" s="87"/>
      <c r="AF642" s="87"/>
      <c r="AG642" s="87"/>
    </row>
    <row r="643" spans="1:33" ht="12.75">
      <c r="A643" s="86"/>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c r="AC643" s="87"/>
      <c r="AD643" s="87"/>
      <c r="AE643" s="87"/>
      <c r="AF643" s="87"/>
      <c r="AG643" s="87"/>
    </row>
    <row r="644" spans="1:33" ht="12.75">
      <c r="A644" s="86"/>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c r="AC644" s="87"/>
      <c r="AD644" s="87"/>
      <c r="AE644" s="87"/>
      <c r="AF644" s="87"/>
      <c r="AG644" s="87"/>
    </row>
    <row r="645" spans="1:33" ht="12.75">
      <c r="A645" s="86"/>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c r="AC645" s="87"/>
      <c r="AD645" s="87"/>
      <c r="AE645" s="87"/>
      <c r="AF645" s="87"/>
      <c r="AG645" s="87"/>
    </row>
    <row r="646" spans="1:33" ht="12.75">
      <c r="A646" s="86"/>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c r="AC646" s="87"/>
      <c r="AD646" s="87"/>
      <c r="AE646" s="87"/>
      <c r="AF646" s="87"/>
      <c r="AG646" s="87"/>
    </row>
    <row r="647" spans="1:33" ht="12.75">
      <c r="A647" s="86"/>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c r="AC647" s="87"/>
      <c r="AD647" s="87"/>
      <c r="AE647" s="87"/>
      <c r="AF647" s="87"/>
      <c r="AG647" s="87"/>
    </row>
    <row r="648" spans="1:33" ht="12.75">
      <c r="A648" s="86"/>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c r="AC648" s="87"/>
      <c r="AD648" s="87"/>
      <c r="AE648" s="87"/>
      <c r="AF648" s="87"/>
      <c r="AG648" s="87"/>
    </row>
    <row r="649" spans="1:33" ht="12.75">
      <c r="A649" s="86"/>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c r="AC649" s="87"/>
      <c r="AD649" s="87"/>
      <c r="AE649" s="87"/>
      <c r="AF649" s="87"/>
      <c r="AG649" s="87"/>
    </row>
    <row r="650" spans="1:33" ht="12.75">
      <c r="A650" s="86"/>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c r="AC650" s="87"/>
      <c r="AD650" s="87"/>
      <c r="AE650" s="87"/>
      <c r="AF650" s="87"/>
      <c r="AG650" s="87"/>
    </row>
    <row r="651" spans="1:33" ht="12.75">
      <c r="A651" s="86"/>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c r="AC651" s="87"/>
      <c r="AD651" s="87"/>
      <c r="AE651" s="87"/>
      <c r="AF651" s="87"/>
      <c r="AG651" s="87"/>
    </row>
    <row r="652" spans="1:33" ht="12.75">
      <c r="A652" s="86"/>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c r="AC652" s="87"/>
      <c r="AD652" s="87"/>
      <c r="AE652" s="87"/>
      <c r="AF652" s="87"/>
      <c r="AG652" s="87"/>
    </row>
    <row r="653" spans="1:33" ht="12.75">
      <c r="A653" s="86"/>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c r="AC653" s="87"/>
      <c r="AD653" s="87"/>
      <c r="AE653" s="87"/>
      <c r="AF653" s="87"/>
      <c r="AG653" s="87"/>
    </row>
    <row r="654" spans="1:33" ht="12.75">
      <c r="A654" s="86"/>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c r="AC654" s="87"/>
      <c r="AD654" s="87"/>
      <c r="AE654" s="87"/>
      <c r="AF654" s="87"/>
      <c r="AG654" s="87"/>
    </row>
    <row r="655" spans="1:33" ht="12.75">
      <c r="A655" s="86"/>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c r="AC655" s="87"/>
      <c r="AD655" s="87"/>
      <c r="AE655" s="87"/>
      <c r="AF655" s="87"/>
      <c r="AG655" s="87"/>
    </row>
    <row r="656" spans="1:33" ht="12.75">
      <c r="A656" s="86"/>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c r="AC656" s="87"/>
      <c r="AD656" s="87"/>
      <c r="AE656" s="87"/>
      <c r="AF656" s="87"/>
      <c r="AG656" s="87"/>
    </row>
    <row r="657" spans="1:33" ht="12.75">
      <c r="A657" s="86"/>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c r="AC657" s="87"/>
      <c r="AD657" s="87"/>
      <c r="AE657" s="87"/>
      <c r="AF657" s="87"/>
      <c r="AG657" s="87"/>
    </row>
    <row r="658" spans="1:33" ht="12.75">
      <c r="A658" s="86"/>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c r="AC658" s="87"/>
      <c r="AD658" s="87"/>
      <c r="AE658" s="87"/>
      <c r="AF658" s="87"/>
      <c r="AG658" s="87"/>
    </row>
    <row r="659" spans="1:33" ht="12.75">
      <c r="A659" s="86"/>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c r="AC659" s="87"/>
      <c r="AD659" s="87"/>
      <c r="AE659" s="87"/>
      <c r="AF659" s="87"/>
      <c r="AG659" s="87"/>
    </row>
    <row r="660" spans="1:33" ht="12.75">
      <c r="A660" s="86"/>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c r="AC660" s="87"/>
      <c r="AD660" s="87"/>
      <c r="AE660" s="87"/>
      <c r="AF660" s="87"/>
      <c r="AG660" s="87"/>
    </row>
    <row r="661" spans="1:33" ht="12.75">
      <c r="A661" s="86"/>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c r="AC661" s="87"/>
      <c r="AD661" s="87"/>
      <c r="AE661" s="87"/>
      <c r="AF661" s="87"/>
      <c r="AG661" s="87"/>
    </row>
    <row r="662" spans="1:33" ht="12.75">
      <c r="A662" s="86"/>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c r="AC662" s="87"/>
      <c r="AD662" s="87"/>
      <c r="AE662" s="87"/>
      <c r="AF662" s="87"/>
      <c r="AG662" s="87"/>
    </row>
    <row r="663" spans="1:33" ht="12.75">
      <c r="A663" s="86"/>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c r="AC663" s="87"/>
      <c r="AD663" s="87"/>
      <c r="AE663" s="87"/>
      <c r="AF663" s="87"/>
      <c r="AG663" s="87"/>
    </row>
    <row r="664" spans="1:33" ht="12.75">
      <c r="A664" s="86"/>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c r="AC664" s="87"/>
      <c r="AD664" s="87"/>
      <c r="AE664" s="87"/>
      <c r="AF664" s="87"/>
      <c r="AG664" s="87"/>
    </row>
    <row r="665" spans="1:33" ht="12.75">
      <c r="A665" s="86"/>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c r="AC665" s="87"/>
      <c r="AD665" s="87"/>
      <c r="AE665" s="87"/>
      <c r="AF665" s="87"/>
      <c r="AG665" s="87"/>
    </row>
    <row r="666" spans="1:33" ht="12.75">
      <c r="A666" s="86"/>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c r="AC666" s="87"/>
      <c r="AD666" s="87"/>
      <c r="AE666" s="87"/>
      <c r="AF666" s="87"/>
      <c r="AG666" s="87"/>
    </row>
    <row r="667" spans="1:33" ht="12.75">
      <c r="A667" s="86"/>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c r="AC667" s="87"/>
      <c r="AD667" s="87"/>
      <c r="AE667" s="87"/>
      <c r="AF667" s="87"/>
      <c r="AG667" s="87"/>
    </row>
    <row r="668" spans="1:33" ht="12.75">
      <c r="A668" s="86"/>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c r="AC668" s="87"/>
      <c r="AD668" s="87"/>
      <c r="AE668" s="87"/>
      <c r="AF668" s="87"/>
      <c r="AG668" s="87"/>
    </row>
    <row r="669" spans="1:33" ht="12.75">
      <c r="A669" s="86"/>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c r="AC669" s="87"/>
      <c r="AD669" s="87"/>
      <c r="AE669" s="87"/>
      <c r="AF669" s="87"/>
      <c r="AG669" s="87"/>
    </row>
    <row r="670" spans="1:33" ht="12.75">
      <c r="A670" s="86"/>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c r="AC670" s="87"/>
      <c r="AD670" s="87"/>
      <c r="AE670" s="87"/>
      <c r="AF670" s="87"/>
      <c r="AG670" s="87"/>
    </row>
    <row r="671" spans="1:33" ht="12.75">
      <c r="A671" s="86"/>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c r="AC671" s="87"/>
      <c r="AD671" s="87"/>
      <c r="AE671" s="87"/>
      <c r="AF671" s="87"/>
      <c r="AG671" s="87"/>
    </row>
    <row r="672" spans="1:33" ht="12.75">
      <c r="A672" s="86"/>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c r="AC672" s="87"/>
      <c r="AD672" s="87"/>
      <c r="AE672" s="87"/>
      <c r="AF672" s="87"/>
      <c r="AG672" s="87"/>
    </row>
    <row r="673" spans="1:33" ht="12.75">
      <c r="A673" s="86"/>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c r="AC673" s="87"/>
      <c r="AD673" s="87"/>
      <c r="AE673" s="87"/>
      <c r="AF673" s="87"/>
      <c r="AG673" s="87"/>
    </row>
    <row r="674" spans="1:33" ht="12.75">
      <c r="A674" s="86"/>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c r="AC674" s="87"/>
      <c r="AD674" s="87"/>
      <c r="AE674" s="87"/>
      <c r="AF674" s="87"/>
      <c r="AG674" s="87"/>
    </row>
    <row r="675" spans="1:33" ht="12.75">
      <c r="A675" s="86"/>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c r="AC675" s="87"/>
      <c r="AD675" s="87"/>
      <c r="AE675" s="87"/>
      <c r="AF675" s="87"/>
      <c r="AG675" s="87"/>
    </row>
    <row r="676" spans="1:33" ht="12.75">
      <c r="A676" s="86"/>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c r="AC676" s="87"/>
      <c r="AD676" s="87"/>
      <c r="AE676" s="87"/>
      <c r="AF676" s="87"/>
      <c r="AG676" s="87"/>
    </row>
    <row r="677" spans="1:33" ht="12.75">
      <c r="A677" s="86"/>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c r="AC677" s="87"/>
      <c r="AD677" s="87"/>
      <c r="AE677" s="87"/>
      <c r="AF677" s="87"/>
      <c r="AG677" s="87"/>
    </row>
    <row r="678" spans="1:33" ht="12.75">
      <c r="A678" s="86"/>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c r="AC678" s="87"/>
      <c r="AD678" s="87"/>
      <c r="AE678" s="87"/>
      <c r="AF678" s="87"/>
      <c r="AG678" s="87"/>
    </row>
    <row r="679" spans="1:33" ht="12.75">
      <c r="A679" s="86"/>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c r="AC679" s="87"/>
      <c r="AD679" s="87"/>
      <c r="AE679" s="87"/>
      <c r="AF679" s="87"/>
      <c r="AG679" s="87"/>
    </row>
    <row r="680" spans="1:33" ht="12.75">
      <c r="A680" s="86"/>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c r="AC680" s="87"/>
      <c r="AD680" s="87"/>
      <c r="AE680" s="87"/>
      <c r="AF680" s="87"/>
      <c r="AG680" s="87"/>
    </row>
    <row r="681" spans="1:33" ht="12.75">
      <c r="A681" s="86"/>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c r="AC681" s="87"/>
      <c r="AD681" s="87"/>
      <c r="AE681" s="87"/>
      <c r="AF681" s="87"/>
      <c r="AG681" s="87"/>
    </row>
    <row r="682" spans="1:33" ht="12.75">
      <c r="A682" s="86"/>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c r="AC682" s="87"/>
      <c r="AD682" s="87"/>
      <c r="AE682" s="87"/>
      <c r="AF682" s="87"/>
      <c r="AG682" s="87"/>
    </row>
    <row r="683" spans="1:33" ht="12.75">
      <c r="A683" s="86"/>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c r="AC683" s="87"/>
      <c r="AD683" s="87"/>
      <c r="AE683" s="87"/>
      <c r="AF683" s="87"/>
      <c r="AG683" s="87"/>
    </row>
    <row r="684" spans="1:33" ht="12.75">
      <c r="A684" s="86"/>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c r="AC684" s="87"/>
      <c r="AD684" s="87"/>
      <c r="AE684" s="87"/>
      <c r="AF684" s="87"/>
      <c r="AG684" s="87"/>
    </row>
    <row r="685" spans="1:33" ht="12.75">
      <c r="A685" s="86"/>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c r="AC685" s="87"/>
      <c r="AD685" s="87"/>
      <c r="AE685" s="87"/>
      <c r="AF685" s="87"/>
      <c r="AG685" s="87"/>
    </row>
    <row r="686" spans="1:33" ht="12.75">
      <c r="A686" s="86"/>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c r="AC686" s="87"/>
      <c r="AD686" s="87"/>
      <c r="AE686" s="87"/>
      <c r="AF686" s="87"/>
      <c r="AG686" s="87"/>
    </row>
    <row r="687" spans="1:33" ht="12.75">
      <c r="A687" s="86"/>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c r="AC687" s="87"/>
      <c r="AD687" s="87"/>
      <c r="AE687" s="87"/>
      <c r="AF687" s="87"/>
      <c r="AG687" s="87"/>
    </row>
    <row r="688" spans="1:33" ht="12.75">
      <c r="A688" s="86"/>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c r="AC688" s="87"/>
      <c r="AD688" s="87"/>
      <c r="AE688" s="87"/>
      <c r="AF688" s="87"/>
      <c r="AG688" s="87"/>
    </row>
    <row r="689" spans="1:33" ht="12.75">
      <c r="A689" s="86"/>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c r="AC689" s="87"/>
      <c r="AD689" s="87"/>
      <c r="AE689" s="87"/>
      <c r="AF689" s="87"/>
      <c r="AG689" s="87"/>
    </row>
    <row r="690" spans="1:33" ht="12.75">
      <c r="A690" s="86"/>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c r="AC690" s="87"/>
      <c r="AD690" s="87"/>
      <c r="AE690" s="87"/>
      <c r="AF690" s="87"/>
      <c r="AG690" s="87"/>
    </row>
    <row r="691" spans="1:33" ht="12.75">
      <c r="A691" s="86"/>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c r="AC691" s="87"/>
      <c r="AD691" s="87"/>
      <c r="AE691" s="87"/>
      <c r="AF691" s="87"/>
      <c r="AG691" s="87"/>
    </row>
    <row r="692" spans="1:33" ht="12.75">
      <c r="A692" s="86"/>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c r="AC692" s="87"/>
      <c r="AD692" s="87"/>
      <c r="AE692" s="87"/>
      <c r="AF692" s="87"/>
      <c r="AG692" s="87"/>
    </row>
    <row r="693" spans="1:33" ht="12.75">
      <c r="A693" s="86"/>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c r="AC693" s="87"/>
      <c r="AD693" s="87"/>
      <c r="AE693" s="87"/>
      <c r="AF693" s="87"/>
      <c r="AG693" s="87"/>
    </row>
    <row r="694" spans="1:33" ht="12.75">
      <c r="A694" s="86"/>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c r="AC694" s="87"/>
      <c r="AD694" s="87"/>
      <c r="AE694" s="87"/>
      <c r="AF694" s="87"/>
      <c r="AG694" s="87"/>
    </row>
    <row r="695" spans="1:33" ht="12.75">
      <c r="A695" s="86"/>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c r="AC695" s="87"/>
      <c r="AD695" s="87"/>
      <c r="AE695" s="87"/>
      <c r="AF695" s="87"/>
      <c r="AG695" s="87"/>
    </row>
    <row r="696" spans="1:33" ht="12.75">
      <c r="A696" s="86"/>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c r="AC696" s="87"/>
      <c r="AD696" s="87"/>
      <c r="AE696" s="87"/>
      <c r="AF696" s="87"/>
      <c r="AG696" s="87"/>
    </row>
    <row r="697" spans="1:33" ht="12.75">
      <c r="A697" s="86"/>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c r="AC697" s="87"/>
      <c r="AD697" s="87"/>
      <c r="AE697" s="87"/>
      <c r="AF697" s="87"/>
      <c r="AG697" s="87"/>
    </row>
    <row r="698" spans="1:33" ht="12.75">
      <c r="A698" s="86"/>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c r="AC698" s="87"/>
      <c r="AD698" s="87"/>
      <c r="AE698" s="87"/>
      <c r="AF698" s="87"/>
      <c r="AG698" s="87"/>
    </row>
    <row r="699" spans="1:33" ht="12.75">
      <c r="A699" s="86"/>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c r="AC699" s="87"/>
      <c r="AD699" s="87"/>
      <c r="AE699" s="87"/>
      <c r="AF699" s="87"/>
      <c r="AG699" s="87"/>
    </row>
    <row r="700" spans="1:33" ht="12.75">
      <c r="A700" s="86"/>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c r="AC700" s="87"/>
      <c r="AD700" s="87"/>
      <c r="AE700" s="87"/>
      <c r="AF700" s="87"/>
      <c r="AG700" s="87"/>
    </row>
    <row r="701" spans="1:33" ht="12.75">
      <c r="A701" s="86"/>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c r="AC701" s="87"/>
      <c r="AD701" s="87"/>
      <c r="AE701" s="87"/>
      <c r="AF701" s="87"/>
      <c r="AG701" s="87"/>
    </row>
    <row r="702" spans="1:33" ht="12.75">
      <c r="A702" s="86"/>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c r="AC702" s="87"/>
      <c r="AD702" s="87"/>
      <c r="AE702" s="87"/>
      <c r="AF702" s="87"/>
      <c r="AG702" s="87"/>
    </row>
    <row r="703" spans="1:33" ht="12.75">
      <c r="A703" s="86"/>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c r="AC703" s="87"/>
      <c r="AD703" s="87"/>
      <c r="AE703" s="87"/>
      <c r="AF703" s="87"/>
      <c r="AG703" s="87"/>
    </row>
    <row r="704" spans="1:33" ht="12.75">
      <c r="A704" s="86"/>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c r="AC704" s="87"/>
      <c r="AD704" s="87"/>
      <c r="AE704" s="87"/>
      <c r="AF704" s="87"/>
      <c r="AG704" s="87"/>
    </row>
    <row r="705" spans="1:33" ht="12.75">
      <c r="A705" s="86"/>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c r="AC705" s="87"/>
      <c r="AD705" s="87"/>
      <c r="AE705" s="87"/>
      <c r="AF705" s="87"/>
      <c r="AG705" s="87"/>
    </row>
    <row r="706" spans="1:33" ht="12.75">
      <c r="A706" s="86"/>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c r="AC706" s="87"/>
      <c r="AD706" s="87"/>
      <c r="AE706" s="87"/>
      <c r="AF706" s="87"/>
      <c r="AG706" s="87"/>
    </row>
    <row r="707" spans="1:33" ht="12.75">
      <c r="A707" s="86"/>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c r="AC707" s="87"/>
      <c r="AD707" s="87"/>
      <c r="AE707" s="87"/>
      <c r="AF707" s="87"/>
      <c r="AG707" s="87"/>
    </row>
    <row r="708" spans="1:33" ht="12.75">
      <c r="A708" s="86"/>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c r="AC708" s="87"/>
      <c r="AD708" s="87"/>
      <c r="AE708" s="87"/>
      <c r="AF708" s="87"/>
      <c r="AG708" s="87"/>
    </row>
    <row r="709" spans="1:33" ht="12.75">
      <c r="A709" s="86"/>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c r="AC709" s="87"/>
      <c r="AD709" s="87"/>
      <c r="AE709" s="87"/>
      <c r="AF709" s="87"/>
      <c r="AG709" s="87"/>
    </row>
    <row r="710" spans="1:33" ht="12.75">
      <c r="A710" s="86"/>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c r="AC710" s="87"/>
      <c r="AD710" s="87"/>
      <c r="AE710" s="87"/>
      <c r="AF710" s="87"/>
      <c r="AG710" s="87"/>
    </row>
    <row r="711" spans="1:33" ht="12.75">
      <c r="A711" s="86"/>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c r="AC711" s="87"/>
      <c r="AD711" s="87"/>
      <c r="AE711" s="87"/>
      <c r="AF711" s="87"/>
      <c r="AG711" s="87"/>
    </row>
    <row r="712" spans="1:33" ht="12.75">
      <c r="A712" s="86"/>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c r="AC712" s="87"/>
      <c r="AD712" s="87"/>
      <c r="AE712" s="87"/>
      <c r="AF712" s="87"/>
      <c r="AG712" s="87"/>
    </row>
    <row r="713" spans="1:33" ht="12.75">
      <c r="A713" s="86"/>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c r="AC713" s="87"/>
      <c r="AD713" s="87"/>
      <c r="AE713" s="87"/>
      <c r="AF713" s="87"/>
      <c r="AG713" s="87"/>
    </row>
    <row r="714" spans="1:33" ht="12.75">
      <c r="A714" s="86"/>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c r="AC714" s="87"/>
      <c r="AD714" s="87"/>
      <c r="AE714" s="87"/>
      <c r="AF714" s="87"/>
      <c r="AG714" s="87"/>
    </row>
    <row r="715" spans="1:33" ht="12.75">
      <c r="A715" s="86"/>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c r="AC715" s="87"/>
      <c r="AD715" s="87"/>
      <c r="AE715" s="87"/>
      <c r="AF715" s="87"/>
      <c r="AG715" s="87"/>
    </row>
    <row r="716" spans="1:33" ht="12.75">
      <c r="A716" s="86"/>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c r="AC716" s="87"/>
      <c r="AD716" s="87"/>
      <c r="AE716" s="87"/>
      <c r="AF716" s="87"/>
      <c r="AG716" s="87"/>
    </row>
    <row r="717" spans="1:33" ht="12.75">
      <c r="A717" s="86"/>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c r="AC717" s="87"/>
      <c r="AD717" s="87"/>
      <c r="AE717" s="87"/>
      <c r="AF717" s="87"/>
      <c r="AG717" s="87"/>
    </row>
    <row r="718" spans="1:33" ht="12.75">
      <c r="A718" s="86"/>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c r="AC718" s="87"/>
      <c r="AD718" s="87"/>
      <c r="AE718" s="87"/>
      <c r="AF718" s="87"/>
      <c r="AG718" s="87"/>
    </row>
    <row r="719" spans="1:33" ht="12.75">
      <c r="A719" s="86"/>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c r="AC719" s="87"/>
      <c r="AD719" s="87"/>
      <c r="AE719" s="87"/>
      <c r="AF719" s="87"/>
      <c r="AG719" s="87"/>
    </row>
    <row r="720" spans="1:33" ht="12.75">
      <c r="A720" s="86"/>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c r="AC720" s="87"/>
      <c r="AD720" s="87"/>
      <c r="AE720" s="87"/>
      <c r="AF720" s="87"/>
      <c r="AG720" s="87"/>
    </row>
    <row r="721" spans="1:33" ht="12.75">
      <c r="A721" s="86"/>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c r="AC721" s="87"/>
      <c r="AD721" s="87"/>
      <c r="AE721" s="87"/>
      <c r="AF721" s="87"/>
      <c r="AG721" s="87"/>
    </row>
    <row r="722" spans="1:33" ht="12.75">
      <c r="A722" s="86"/>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c r="AC722" s="87"/>
      <c r="AD722" s="87"/>
      <c r="AE722" s="87"/>
      <c r="AF722" s="87"/>
      <c r="AG722" s="87"/>
    </row>
    <row r="723" spans="1:33" ht="12.75">
      <c r="A723" s="86"/>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c r="AC723" s="87"/>
      <c r="AD723" s="87"/>
      <c r="AE723" s="87"/>
      <c r="AF723" s="87"/>
      <c r="AG723" s="87"/>
    </row>
    <row r="724" spans="1:33" ht="12.75">
      <c r="A724" s="86"/>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c r="AC724" s="87"/>
      <c r="AD724" s="87"/>
      <c r="AE724" s="87"/>
      <c r="AF724" s="87"/>
      <c r="AG724" s="87"/>
    </row>
    <row r="725" spans="1:33" ht="12.75">
      <c r="A725" s="86"/>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c r="AC725" s="87"/>
      <c r="AD725" s="87"/>
      <c r="AE725" s="87"/>
      <c r="AF725" s="87"/>
      <c r="AG725" s="87"/>
    </row>
    <row r="726" spans="1:33" ht="12.75">
      <c r="A726" s="86"/>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c r="AC726" s="87"/>
      <c r="AD726" s="87"/>
      <c r="AE726" s="87"/>
      <c r="AF726" s="87"/>
      <c r="AG726" s="87"/>
    </row>
    <row r="727" spans="1:33" ht="12.75">
      <c r="A727" s="86"/>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c r="AC727" s="87"/>
      <c r="AD727" s="87"/>
      <c r="AE727" s="87"/>
      <c r="AF727" s="87"/>
      <c r="AG727" s="87"/>
    </row>
    <row r="728" spans="1:33" ht="12.75">
      <c r="A728" s="86"/>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c r="AC728" s="87"/>
      <c r="AD728" s="87"/>
      <c r="AE728" s="87"/>
      <c r="AF728" s="87"/>
      <c r="AG728" s="87"/>
    </row>
    <row r="729" spans="1:33" ht="12.75">
      <c r="A729" s="86"/>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c r="AC729" s="87"/>
      <c r="AD729" s="87"/>
      <c r="AE729" s="87"/>
      <c r="AF729" s="87"/>
      <c r="AG729" s="87"/>
    </row>
    <row r="730" spans="1:33" ht="12.75">
      <c r="A730" s="86"/>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c r="AC730" s="87"/>
      <c r="AD730" s="87"/>
      <c r="AE730" s="87"/>
      <c r="AF730" s="87"/>
      <c r="AG730" s="87"/>
    </row>
    <row r="731" spans="1:33" ht="12.75">
      <c r="A731" s="86"/>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c r="AC731" s="87"/>
      <c r="AD731" s="87"/>
      <c r="AE731" s="87"/>
      <c r="AF731" s="87"/>
      <c r="AG731" s="87"/>
    </row>
    <row r="732" spans="1:33" ht="12.75">
      <c r="A732" s="86"/>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c r="AC732" s="87"/>
      <c r="AD732" s="87"/>
      <c r="AE732" s="87"/>
      <c r="AF732" s="87"/>
      <c r="AG732" s="87"/>
    </row>
    <row r="733" spans="1:33" ht="12.75">
      <c r="A733" s="86"/>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c r="AC733" s="87"/>
      <c r="AD733" s="87"/>
      <c r="AE733" s="87"/>
      <c r="AF733" s="87"/>
      <c r="AG733" s="87"/>
    </row>
    <row r="734" spans="1:33" ht="12.75">
      <c r="A734" s="86"/>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c r="AC734" s="87"/>
      <c r="AD734" s="87"/>
      <c r="AE734" s="87"/>
      <c r="AF734" s="87"/>
      <c r="AG734" s="87"/>
    </row>
    <row r="735" spans="1:33" ht="12.75">
      <c r="A735" s="86"/>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c r="AC735" s="87"/>
      <c r="AD735" s="87"/>
      <c r="AE735" s="87"/>
      <c r="AF735" s="87"/>
      <c r="AG735" s="87"/>
    </row>
    <row r="736" spans="1:33" ht="12.75">
      <c r="A736" s="86"/>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c r="AC736" s="87"/>
      <c r="AD736" s="87"/>
      <c r="AE736" s="87"/>
      <c r="AF736" s="87"/>
      <c r="AG736" s="87"/>
    </row>
    <row r="737" spans="1:33" ht="12.75">
      <c r="A737" s="86"/>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c r="AC737" s="87"/>
      <c r="AD737" s="87"/>
      <c r="AE737" s="87"/>
      <c r="AF737" s="87"/>
      <c r="AG737" s="87"/>
    </row>
    <row r="738" spans="1:33" ht="12.75">
      <c r="A738" s="86"/>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c r="AC738" s="87"/>
      <c r="AD738" s="87"/>
      <c r="AE738" s="87"/>
      <c r="AF738" s="87"/>
      <c r="AG738" s="87"/>
    </row>
    <row r="739" spans="1:33" ht="12.75">
      <c r="A739" s="86"/>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c r="AC739" s="87"/>
      <c r="AD739" s="87"/>
      <c r="AE739" s="87"/>
      <c r="AF739" s="87"/>
      <c r="AG739" s="87"/>
    </row>
    <row r="740" spans="1:33" ht="12.75">
      <c r="A740" s="86"/>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c r="AC740" s="87"/>
      <c r="AD740" s="87"/>
      <c r="AE740" s="87"/>
      <c r="AF740" s="87"/>
      <c r="AG740" s="87"/>
    </row>
    <row r="741" spans="1:33" ht="12.75">
      <c r="A741" s="86"/>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c r="AC741" s="87"/>
      <c r="AD741" s="87"/>
      <c r="AE741" s="87"/>
      <c r="AF741" s="87"/>
      <c r="AG741" s="87"/>
    </row>
    <row r="742" spans="1:33" ht="12.75">
      <c r="A742" s="86"/>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c r="AC742" s="87"/>
      <c r="AD742" s="87"/>
      <c r="AE742" s="87"/>
      <c r="AF742" s="87"/>
      <c r="AG742" s="87"/>
    </row>
    <row r="743" spans="1:33" ht="12.75">
      <c r="A743" s="86"/>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c r="AC743" s="87"/>
      <c r="AD743" s="87"/>
      <c r="AE743" s="87"/>
      <c r="AF743" s="87"/>
      <c r="AG743" s="87"/>
    </row>
    <row r="744" spans="1:33" ht="12.75">
      <c r="A744" s="86"/>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c r="AC744" s="87"/>
      <c r="AD744" s="87"/>
      <c r="AE744" s="87"/>
      <c r="AF744" s="87"/>
      <c r="AG744" s="87"/>
    </row>
    <row r="745" spans="1:33" ht="12.75">
      <c r="A745" s="86"/>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c r="AC745" s="87"/>
      <c r="AD745" s="87"/>
      <c r="AE745" s="87"/>
      <c r="AF745" s="87"/>
      <c r="AG745" s="87"/>
    </row>
    <row r="746" spans="1:33" ht="12.75">
      <c r="A746" s="86"/>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c r="AC746" s="87"/>
      <c r="AD746" s="87"/>
      <c r="AE746" s="87"/>
      <c r="AF746" s="87"/>
      <c r="AG746" s="87"/>
    </row>
    <row r="747" spans="1:33" ht="12.75">
      <c r="A747" s="86"/>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c r="AC747" s="87"/>
      <c r="AD747" s="87"/>
      <c r="AE747" s="87"/>
      <c r="AF747" s="87"/>
      <c r="AG747" s="87"/>
    </row>
    <row r="748" spans="1:33" ht="12.75">
      <c r="A748" s="86"/>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c r="AC748" s="87"/>
      <c r="AD748" s="87"/>
      <c r="AE748" s="87"/>
      <c r="AF748" s="87"/>
      <c r="AG748" s="87"/>
    </row>
    <row r="749" spans="1:33" ht="12.75">
      <c r="A749" s="86"/>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c r="AC749" s="87"/>
      <c r="AD749" s="87"/>
      <c r="AE749" s="87"/>
      <c r="AF749" s="87"/>
      <c r="AG749" s="87"/>
    </row>
    <row r="750" spans="1:33" ht="12.75">
      <c r="A750" s="86"/>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c r="AC750" s="87"/>
      <c r="AD750" s="87"/>
      <c r="AE750" s="87"/>
      <c r="AF750" s="87"/>
      <c r="AG750" s="87"/>
    </row>
    <row r="751" spans="1:33" ht="12.75">
      <c r="A751" s="86"/>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c r="AC751" s="87"/>
      <c r="AD751" s="87"/>
      <c r="AE751" s="87"/>
      <c r="AF751" s="87"/>
      <c r="AG751" s="87"/>
    </row>
    <row r="752" spans="1:33" ht="12.75">
      <c r="A752" s="86"/>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c r="AC752" s="87"/>
      <c r="AD752" s="87"/>
      <c r="AE752" s="87"/>
      <c r="AF752" s="87"/>
      <c r="AG752" s="87"/>
    </row>
    <row r="753" spans="1:33" ht="12.75">
      <c r="A753" s="86"/>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c r="AC753" s="87"/>
      <c r="AD753" s="87"/>
      <c r="AE753" s="87"/>
      <c r="AF753" s="87"/>
      <c r="AG753" s="87"/>
    </row>
    <row r="754" spans="1:33" ht="12.75">
      <c r="A754" s="86"/>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c r="AC754" s="87"/>
      <c r="AD754" s="87"/>
      <c r="AE754" s="87"/>
      <c r="AF754" s="87"/>
      <c r="AG754" s="87"/>
    </row>
    <row r="755" spans="1:33" ht="12.75">
      <c r="A755" s="86"/>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c r="AC755" s="87"/>
      <c r="AD755" s="87"/>
      <c r="AE755" s="87"/>
      <c r="AF755" s="87"/>
      <c r="AG755" s="87"/>
    </row>
    <row r="756" spans="1:33" ht="12.75">
      <c r="A756" s="86"/>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c r="AC756" s="87"/>
      <c r="AD756" s="87"/>
      <c r="AE756" s="87"/>
      <c r="AF756" s="87"/>
      <c r="AG756" s="87"/>
    </row>
    <row r="757" spans="1:33" ht="12.75">
      <c r="A757" s="86"/>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c r="AC757" s="87"/>
      <c r="AD757" s="87"/>
      <c r="AE757" s="87"/>
      <c r="AF757" s="87"/>
      <c r="AG757" s="87"/>
    </row>
    <row r="758" spans="1:33" ht="12.75">
      <c r="A758" s="86"/>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c r="AC758" s="87"/>
      <c r="AD758" s="87"/>
      <c r="AE758" s="87"/>
      <c r="AF758" s="87"/>
      <c r="AG758" s="87"/>
    </row>
    <row r="759" spans="1:33" ht="12.75">
      <c r="A759" s="86"/>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c r="AC759" s="87"/>
      <c r="AD759" s="87"/>
      <c r="AE759" s="87"/>
      <c r="AF759" s="87"/>
      <c r="AG759" s="87"/>
    </row>
    <row r="760" spans="1:33" ht="12.75">
      <c r="A760" s="86"/>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c r="AC760" s="87"/>
      <c r="AD760" s="87"/>
      <c r="AE760" s="87"/>
      <c r="AF760" s="87"/>
      <c r="AG760" s="87"/>
    </row>
    <row r="761" spans="1:33" ht="12.75">
      <c r="A761" s="86"/>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c r="AC761" s="87"/>
      <c r="AD761" s="87"/>
      <c r="AE761" s="87"/>
      <c r="AF761" s="87"/>
      <c r="AG761" s="87"/>
    </row>
    <row r="762" spans="1:33" ht="12.75">
      <c r="A762" s="86"/>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c r="AC762" s="87"/>
      <c r="AD762" s="87"/>
      <c r="AE762" s="87"/>
      <c r="AF762" s="87"/>
      <c r="AG762" s="87"/>
    </row>
    <row r="763" spans="1:33" ht="12.75">
      <c r="A763" s="86"/>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c r="AC763" s="87"/>
      <c r="AD763" s="87"/>
      <c r="AE763" s="87"/>
      <c r="AF763" s="87"/>
      <c r="AG763" s="87"/>
    </row>
    <row r="764" spans="1:33" ht="12.75">
      <c r="A764" s="86"/>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c r="AC764" s="87"/>
      <c r="AD764" s="87"/>
      <c r="AE764" s="87"/>
      <c r="AF764" s="87"/>
      <c r="AG764" s="87"/>
    </row>
    <row r="765" spans="1:33" ht="12.75">
      <c r="A765" s="86"/>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c r="AC765" s="87"/>
      <c r="AD765" s="87"/>
      <c r="AE765" s="87"/>
      <c r="AF765" s="87"/>
      <c r="AG765" s="87"/>
    </row>
    <row r="766" spans="1:33" ht="12.75">
      <c r="A766" s="86"/>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c r="AC766" s="87"/>
      <c r="AD766" s="87"/>
      <c r="AE766" s="87"/>
      <c r="AF766" s="87"/>
      <c r="AG766" s="87"/>
    </row>
    <row r="767" spans="1:33" ht="12.75">
      <c r="A767" s="86"/>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c r="AC767" s="87"/>
      <c r="AD767" s="87"/>
      <c r="AE767" s="87"/>
      <c r="AF767" s="87"/>
      <c r="AG767" s="87"/>
    </row>
    <row r="768" spans="1:33" ht="12.75">
      <c r="A768" s="86"/>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c r="AC768" s="87"/>
      <c r="AD768" s="87"/>
      <c r="AE768" s="87"/>
      <c r="AF768" s="87"/>
      <c r="AG768" s="87"/>
    </row>
    <row r="769" spans="1:33" ht="12.75">
      <c r="A769" s="86"/>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c r="AC769" s="87"/>
      <c r="AD769" s="87"/>
      <c r="AE769" s="87"/>
      <c r="AF769" s="87"/>
      <c r="AG769" s="87"/>
    </row>
    <row r="770" spans="1:33" ht="12.75">
      <c r="A770" s="86"/>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c r="AC770" s="87"/>
      <c r="AD770" s="87"/>
      <c r="AE770" s="87"/>
      <c r="AF770" s="87"/>
      <c r="AG770" s="87"/>
    </row>
    <row r="771" spans="1:33" ht="12.75">
      <c r="A771" s="86"/>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c r="AC771" s="87"/>
      <c r="AD771" s="87"/>
      <c r="AE771" s="87"/>
      <c r="AF771" s="87"/>
      <c r="AG771" s="87"/>
    </row>
    <row r="772" spans="1:33" ht="12.75">
      <c r="A772" s="86"/>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c r="AC772" s="87"/>
      <c r="AD772" s="87"/>
      <c r="AE772" s="87"/>
      <c r="AF772" s="87"/>
      <c r="AG772" s="87"/>
    </row>
    <row r="773" spans="1:33" ht="12.75">
      <c r="A773" s="86"/>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c r="AC773" s="87"/>
      <c r="AD773" s="87"/>
      <c r="AE773" s="87"/>
      <c r="AF773" s="87"/>
      <c r="AG773" s="87"/>
    </row>
    <row r="774" spans="1:33" ht="12.75">
      <c r="A774" s="86"/>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c r="AC774" s="87"/>
      <c r="AD774" s="87"/>
      <c r="AE774" s="87"/>
      <c r="AF774" s="87"/>
      <c r="AG774" s="87"/>
    </row>
    <row r="775" spans="1:33" ht="12.75">
      <c r="A775" s="86"/>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c r="AC775" s="87"/>
      <c r="AD775" s="87"/>
      <c r="AE775" s="87"/>
      <c r="AF775" s="87"/>
      <c r="AG775" s="87"/>
    </row>
    <row r="776" spans="1:33" ht="12.75">
      <c r="A776" s="86"/>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c r="AC776" s="87"/>
      <c r="AD776" s="87"/>
      <c r="AE776" s="87"/>
      <c r="AF776" s="87"/>
      <c r="AG776" s="87"/>
    </row>
    <row r="777" spans="1:33" ht="12.75">
      <c r="A777" s="86"/>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c r="AC777" s="87"/>
      <c r="AD777" s="87"/>
      <c r="AE777" s="87"/>
      <c r="AF777" s="87"/>
      <c r="AG777" s="87"/>
    </row>
    <row r="778" spans="1:33" ht="12.75">
      <c r="A778" s="86"/>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c r="AC778" s="87"/>
      <c r="AD778" s="87"/>
      <c r="AE778" s="87"/>
      <c r="AF778" s="87"/>
      <c r="AG778" s="87"/>
    </row>
    <row r="779" spans="1:33" ht="12.75">
      <c r="A779" s="86"/>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c r="AC779" s="87"/>
      <c r="AD779" s="87"/>
      <c r="AE779" s="87"/>
      <c r="AF779" s="87"/>
      <c r="AG779" s="87"/>
    </row>
    <row r="780" spans="1:33" ht="12.75">
      <c r="A780" s="86"/>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c r="AC780" s="87"/>
      <c r="AD780" s="87"/>
      <c r="AE780" s="87"/>
      <c r="AF780" s="87"/>
      <c r="AG780" s="87"/>
    </row>
    <row r="781" spans="1:33" ht="12.75">
      <c r="A781" s="86"/>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c r="AC781" s="87"/>
      <c r="AD781" s="87"/>
      <c r="AE781" s="87"/>
      <c r="AF781" s="87"/>
      <c r="AG781" s="87"/>
    </row>
    <row r="782" spans="1:33" ht="12.75">
      <c r="A782" s="86"/>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c r="AC782" s="87"/>
      <c r="AD782" s="87"/>
      <c r="AE782" s="87"/>
      <c r="AF782" s="87"/>
      <c r="AG782" s="87"/>
    </row>
    <row r="783" spans="1:33" ht="12.75">
      <c r="A783" s="86"/>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c r="AC783" s="87"/>
      <c r="AD783" s="87"/>
      <c r="AE783" s="87"/>
      <c r="AF783" s="87"/>
      <c r="AG783" s="87"/>
    </row>
    <row r="784" spans="1:33" ht="12.75">
      <c r="A784" s="86"/>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c r="AC784" s="87"/>
      <c r="AD784" s="87"/>
      <c r="AE784" s="87"/>
      <c r="AF784" s="87"/>
      <c r="AG784" s="87"/>
    </row>
    <row r="785" spans="1:33" ht="12.75">
      <c r="A785" s="86"/>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c r="AC785" s="87"/>
      <c r="AD785" s="87"/>
      <c r="AE785" s="87"/>
      <c r="AF785" s="87"/>
      <c r="AG785" s="87"/>
    </row>
    <row r="786" spans="1:33" ht="12.75">
      <c r="A786" s="86"/>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c r="AC786" s="87"/>
      <c r="AD786" s="87"/>
      <c r="AE786" s="87"/>
      <c r="AF786" s="87"/>
      <c r="AG786" s="87"/>
    </row>
    <row r="787" spans="1:33" ht="12.75">
      <c r="A787" s="86"/>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c r="AC787" s="87"/>
      <c r="AD787" s="87"/>
      <c r="AE787" s="87"/>
      <c r="AF787" s="87"/>
      <c r="AG787" s="87"/>
    </row>
    <row r="788" spans="1:33" ht="12.75">
      <c r="A788" s="86"/>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c r="AC788" s="87"/>
      <c r="AD788" s="87"/>
      <c r="AE788" s="87"/>
      <c r="AF788" s="87"/>
      <c r="AG788" s="87"/>
    </row>
    <row r="789" spans="1:33" ht="12.75">
      <c r="A789" s="86"/>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c r="AC789" s="87"/>
      <c r="AD789" s="87"/>
      <c r="AE789" s="87"/>
      <c r="AF789" s="87"/>
      <c r="AG789" s="87"/>
    </row>
    <row r="790" spans="1:33" ht="12.75">
      <c r="A790" s="86"/>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c r="AC790" s="87"/>
      <c r="AD790" s="87"/>
      <c r="AE790" s="87"/>
      <c r="AF790" s="87"/>
      <c r="AG790" s="87"/>
    </row>
    <row r="791" spans="1:33" ht="12.75">
      <c r="A791" s="86"/>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c r="AC791" s="87"/>
      <c r="AD791" s="87"/>
      <c r="AE791" s="87"/>
      <c r="AF791" s="87"/>
      <c r="AG791" s="87"/>
    </row>
    <row r="792" spans="1:33" ht="12.75">
      <c r="A792" s="86"/>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c r="AC792" s="87"/>
      <c r="AD792" s="87"/>
      <c r="AE792" s="87"/>
      <c r="AF792" s="87"/>
      <c r="AG792" s="87"/>
    </row>
    <row r="793" spans="1:33" ht="12.75">
      <c r="A793" s="86"/>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c r="AC793" s="87"/>
      <c r="AD793" s="87"/>
      <c r="AE793" s="87"/>
      <c r="AF793" s="87"/>
      <c r="AG793" s="87"/>
    </row>
    <row r="794" spans="1:33" ht="12.75">
      <c r="A794" s="86"/>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c r="AC794" s="87"/>
      <c r="AD794" s="87"/>
      <c r="AE794" s="87"/>
      <c r="AF794" s="87"/>
      <c r="AG794" s="87"/>
    </row>
    <row r="795" spans="1:33" ht="12.75">
      <c r="A795" s="86"/>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c r="AC795" s="87"/>
      <c r="AD795" s="87"/>
      <c r="AE795" s="87"/>
      <c r="AF795" s="87"/>
      <c r="AG795" s="87"/>
    </row>
    <row r="796" spans="1:33" ht="12.75">
      <c r="A796" s="86"/>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c r="AC796" s="87"/>
      <c r="AD796" s="87"/>
      <c r="AE796" s="87"/>
      <c r="AF796" s="87"/>
      <c r="AG796" s="87"/>
    </row>
    <row r="797" spans="1:33" ht="12.75">
      <c r="A797" s="86"/>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c r="AC797" s="87"/>
      <c r="AD797" s="87"/>
      <c r="AE797" s="87"/>
      <c r="AF797" s="87"/>
      <c r="AG797" s="87"/>
    </row>
    <row r="798" spans="1:33" ht="12.75">
      <c r="A798" s="86"/>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c r="AC798" s="87"/>
      <c r="AD798" s="87"/>
      <c r="AE798" s="87"/>
      <c r="AF798" s="87"/>
      <c r="AG798" s="87"/>
    </row>
    <row r="799" spans="1:33" ht="12.75">
      <c r="A799" s="86"/>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c r="AC799" s="87"/>
      <c r="AD799" s="87"/>
      <c r="AE799" s="87"/>
      <c r="AF799" s="87"/>
      <c r="AG799" s="87"/>
    </row>
    <row r="800" spans="1:33" ht="12.75">
      <c r="A800" s="86"/>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c r="AC800" s="87"/>
      <c r="AD800" s="87"/>
      <c r="AE800" s="87"/>
      <c r="AF800" s="87"/>
      <c r="AG800" s="87"/>
    </row>
    <row r="801" spans="1:33" ht="12.75">
      <c r="A801" s="86"/>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c r="AC801" s="87"/>
      <c r="AD801" s="87"/>
      <c r="AE801" s="87"/>
      <c r="AF801" s="87"/>
      <c r="AG801" s="87"/>
    </row>
    <row r="802" spans="1:33" ht="12.75">
      <c r="A802" s="86"/>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c r="AC802" s="87"/>
      <c r="AD802" s="87"/>
      <c r="AE802" s="87"/>
      <c r="AF802" s="87"/>
      <c r="AG802" s="87"/>
    </row>
    <row r="803" spans="1:33" ht="12.75">
      <c r="A803" s="86"/>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c r="AC803" s="87"/>
      <c r="AD803" s="87"/>
      <c r="AE803" s="87"/>
      <c r="AF803" s="87"/>
      <c r="AG803" s="87"/>
    </row>
    <row r="804" spans="1:33" ht="12.75">
      <c r="A804" s="86"/>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c r="AC804" s="87"/>
      <c r="AD804" s="87"/>
      <c r="AE804" s="87"/>
      <c r="AF804" s="87"/>
      <c r="AG804" s="87"/>
    </row>
    <row r="805" spans="1:33" ht="12.75">
      <c r="A805" s="86"/>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c r="AC805" s="87"/>
      <c r="AD805" s="87"/>
      <c r="AE805" s="87"/>
      <c r="AF805" s="87"/>
      <c r="AG805" s="87"/>
    </row>
    <row r="806" spans="1:33" ht="12.75">
      <c r="A806" s="86"/>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c r="AC806" s="87"/>
      <c r="AD806" s="87"/>
      <c r="AE806" s="87"/>
      <c r="AF806" s="87"/>
      <c r="AG806" s="87"/>
    </row>
    <row r="807" spans="1:33" ht="12.75">
      <c r="A807" s="86"/>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c r="AC807" s="87"/>
      <c r="AD807" s="87"/>
      <c r="AE807" s="87"/>
      <c r="AF807" s="87"/>
      <c r="AG807" s="87"/>
    </row>
    <row r="808" spans="1:33" ht="12.75">
      <c r="A808" s="86"/>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c r="AC808" s="87"/>
      <c r="AD808" s="87"/>
      <c r="AE808" s="87"/>
      <c r="AF808" s="87"/>
      <c r="AG808" s="87"/>
    </row>
    <row r="809" spans="1:33" ht="12.75">
      <c r="A809" s="86"/>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c r="AC809" s="87"/>
      <c r="AD809" s="87"/>
      <c r="AE809" s="87"/>
      <c r="AF809" s="87"/>
      <c r="AG809" s="87"/>
    </row>
    <row r="810" spans="1:33" ht="12.75">
      <c r="A810" s="86"/>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c r="AC810" s="87"/>
      <c r="AD810" s="87"/>
      <c r="AE810" s="87"/>
      <c r="AF810" s="87"/>
      <c r="AG810" s="87"/>
    </row>
    <row r="811" spans="1:33" ht="12.75">
      <c r="A811" s="86"/>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c r="AC811" s="87"/>
      <c r="AD811" s="87"/>
      <c r="AE811" s="87"/>
      <c r="AF811" s="87"/>
      <c r="AG811" s="87"/>
    </row>
    <row r="812" spans="1:33" ht="12.75">
      <c r="A812" s="86"/>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c r="AC812" s="87"/>
      <c r="AD812" s="87"/>
      <c r="AE812" s="87"/>
      <c r="AF812" s="87"/>
      <c r="AG812" s="87"/>
    </row>
    <row r="813" spans="1:33" ht="12.75">
      <c r="A813" s="86"/>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c r="AC813" s="87"/>
      <c r="AD813" s="87"/>
      <c r="AE813" s="87"/>
      <c r="AF813" s="87"/>
      <c r="AG813" s="87"/>
    </row>
    <row r="814" spans="1:33" ht="12.75">
      <c r="A814" s="86"/>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c r="AC814" s="87"/>
      <c r="AD814" s="87"/>
      <c r="AE814" s="87"/>
      <c r="AF814" s="87"/>
      <c r="AG814" s="87"/>
    </row>
    <row r="815" spans="1:33" ht="12.75">
      <c r="A815" s="86"/>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c r="AC815" s="87"/>
      <c r="AD815" s="87"/>
      <c r="AE815" s="87"/>
      <c r="AF815" s="87"/>
      <c r="AG815" s="87"/>
    </row>
    <row r="816" spans="1:33" ht="12.75">
      <c r="A816" s="86"/>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c r="AC816" s="87"/>
      <c r="AD816" s="87"/>
      <c r="AE816" s="87"/>
      <c r="AF816" s="87"/>
      <c r="AG816" s="87"/>
    </row>
    <row r="817" spans="1:33" ht="12.75">
      <c r="A817" s="86"/>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c r="AC817" s="87"/>
      <c r="AD817" s="87"/>
      <c r="AE817" s="87"/>
      <c r="AF817" s="87"/>
      <c r="AG817" s="87"/>
    </row>
    <row r="818" spans="1:33" ht="12.75">
      <c r="A818" s="86"/>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c r="AC818" s="87"/>
      <c r="AD818" s="87"/>
      <c r="AE818" s="87"/>
      <c r="AF818" s="87"/>
      <c r="AG818" s="87"/>
    </row>
    <row r="819" spans="1:33" ht="12.75">
      <c r="A819" s="86"/>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c r="AC819" s="87"/>
      <c r="AD819" s="87"/>
      <c r="AE819" s="87"/>
      <c r="AF819" s="87"/>
      <c r="AG819" s="87"/>
    </row>
    <row r="820" spans="1:33" ht="12.75">
      <c r="A820" s="86"/>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c r="AC820" s="87"/>
      <c r="AD820" s="87"/>
      <c r="AE820" s="87"/>
      <c r="AF820" s="87"/>
      <c r="AG820" s="87"/>
    </row>
    <row r="821" spans="1:33" ht="12.75">
      <c r="A821" s="86"/>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c r="AC821" s="87"/>
      <c r="AD821" s="87"/>
      <c r="AE821" s="87"/>
      <c r="AF821" s="87"/>
      <c r="AG821" s="87"/>
    </row>
    <row r="822" spans="1:33" ht="12.75">
      <c r="A822" s="86"/>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c r="AC822" s="87"/>
      <c r="AD822" s="87"/>
      <c r="AE822" s="87"/>
      <c r="AF822" s="87"/>
      <c r="AG822" s="87"/>
    </row>
    <row r="823" spans="1:33" ht="12.75">
      <c r="A823" s="86"/>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c r="AC823" s="87"/>
      <c r="AD823" s="87"/>
      <c r="AE823" s="87"/>
      <c r="AF823" s="87"/>
      <c r="AG823" s="87"/>
    </row>
    <row r="824" spans="1:33" ht="12.75">
      <c r="A824" s="86"/>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c r="AC824" s="87"/>
      <c r="AD824" s="87"/>
      <c r="AE824" s="87"/>
      <c r="AF824" s="87"/>
      <c r="AG824" s="87"/>
    </row>
    <row r="825" spans="1:33" ht="12.75">
      <c r="A825" s="86"/>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c r="AC825" s="87"/>
      <c r="AD825" s="87"/>
      <c r="AE825" s="87"/>
      <c r="AF825" s="87"/>
      <c r="AG825" s="87"/>
    </row>
    <row r="826" spans="1:33" ht="12.75">
      <c r="A826" s="86"/>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c r="AC826" s="87"/>
      <c r="AD826" s="87"/>
      <c r="AE826" s="87"/>
      <c r="AF826" s="87"/>
      <c r="AG826" s="87"/>
    </row>
    <row r="827" spans="1:33" ht="12.75">
      <c r="A827" s="86"/>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c r="AC827" s="87"/>
      <c r="AD827" s="87"/>
      <c r="AE827" s="87"/>
      <c r="AF827" s="87"/>
      <c r="AG827" s="87"/>
    </row>
    <row r="828" spans="1:33" ht="12.75">
      <c r="A828" s="86"/>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c r="AC828" s="87"/>
      <c r="AD828" s="87"/>
      <c r="AE828" s="87"/>
      <c r="AF828" s="87"/>
      <c r="AG828" s="87"/>
    </row>
    <row r="829" spans="1:33" ht="12.75">
      <c r="A829" s="86"/>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c r="AC829" s="87"/>
      <c r="AD829" s="87"/>
      <c r="AE829" s="87"/>
      <c r="AF829" s="87"/>
      <c r="AG829" s="87"/>
    </row>
    <row r="830" spans="1:33" ht="12.75">
      <c r="A830" s="86"/>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c r="AC830" s="87"/>
      <c r="AD830" s="87"/>
      <c r="AE830" s="87"/>
      <c r="AF830" s="87"/>
      <c r="AG830" s="87"/>
    </row>
    <row r="831" spans="1:33" ht="12.75">
      <c r="A831" s="86"/>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c r="AC831" s="87"/>
      <c r="AD831" s="87"/>
      <c r="AE831" s="87"/>
      <c r="AF831" s="87"/>
      <c r="AG831" s="87"/>
    </row>
    <row r="832" spans="1:33" ht="12.75">
      <c r="A832" s="86"/>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c r="AC832" s="87"/>
      <c r="AD832" s="87"/>
      <c r="AE832" s="87"/>
      <c r="AF832" s="87"/>
      <c r="AG832" s="87"/>
    </row>
    <row r="833" spans="1:33" ht="12.75">
      <c r="A833" s="86"/>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c r="AC833" s="87"/>
      <c r="AD833" s="87"/>
      <c r="AE833" s="87"/>
      <c r="AF833" s="87"/>
      <c r="AG833" s="87"/>
    </row>
    <row r="834" spans="1:33" ht="12.75">
      <c r="A834" s="86"/>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c r="AC834" s="87"/>
      <c r="AD834" s="87"/>
      <c r="AE834" s="87"/>
      <c r="AF834" s="87"/>
      <c r="AG834" s="87"/>
    </row>
    <row r="835" spans="1:33" ht="12.75">
      <c r="A835" s="86"/>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c r="AC835" s="87"/>
      <c r="AD835" s="87"/>
      <c r="AE835" s="87"/>
      <c r="AF835" s="87"/>
      <c r="AG835" s="87"/>
    </row>
    <row r="836" spans="1:33" ht="12.75">
      <c r="A836" s="86"/>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c r="AC836" s="87"/>
      <c r="AD836" s="87"/>
      <c r="AE836" s="87"/>
      <c r="AF836" s="87"/>
      <c r="AG836" s="87"/>
    </row>
    <row r="837" spans="1:33" ht="12.75">
      <c r="A837" s="86"/>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c r="AC837" s="87"/>
      <c r="AD837" s="87"/>
      <c r="AE837" s="87"/>
      <c r="AF837" s="87"/>
      <c r="AG837" s="87"/>
    </row>
    <row r="838" spans="1:33" ht="12.75">
      <c r="A838" s="86"/>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c r="AC838" s="87"/>
      <c r="AD838" s="87"/>
      <c r="AE838" s="87"/>
      <c r="AF838" s="87"/>
      <c r="AG838" s="87"/>
    </row>
    <row r="839" spans="1:33" ht="12.75">
      <c r="A839" s="86"/>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c r="AC839" s="87"/>
      <c r="AD839" s="87"/>
      <c r="AE839" s="87"/>
      <c r="AF839" s="87"/>
      <c r="AG839" s="87"/>
    </row>
    <row r="840" spans="1:33" ht="12.75">
      <c r="A840" s="86"/>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c r="AC840" s="87"/>
      <c r="AD840" s="87"/>
      <c r="AE840" s="87"/>
      <c r="AF840" s="87"/>
      <c r="AG840" s="87"/>
    </row>
    <row r="841" spans="1:33" ht="12.75">
      <c r="A841" s="86"/>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c r="AC841" s="87"/>
      <c r="AD841" s="87"/>
      <c r="AE841" s="87"/>
      <c r="AF841" s="87"/>
      <c r="AG841" s="87"/>
    </row>
    <row r="842" spans="1:33" ht="12.75">
      <c r="A842" s="86"/>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c r="AC842" s="87"/>
      <c r="AD842" s="87"/>
      <c r="AE842" s="87"/>
      <c r="AF842" s="87"/>
      <c r="AG842" s="87"/>
    </row>
    <row r="843" spans="1:33" ht="12.75">
      <c r="A843" s="86"/>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c r="AC843" s="87"/>
      <c r="AD843" s="87"/>
      <c r="AE843" s="87"/>
      <c r="AF843" s="87"/>
      <c r="AG843" s="87"/>
    </row>
    <row r="844" spans="1:33" ht="12.75">
      <c r="A844" s="86"/>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c r="AC844" s="87"/>
      <c r="AD844" s="87"/>
      <c r="AE844" s="87"/>
      <c r="AF844" s="87"/>
      <c r="AG844" s="87"/>
    </row>
    <row r="845" spans="1:33" ht="12.75">
      <c r="A845" s="86"/>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c r="AC845" s="87"/>
      <c r="AD845" s="87"/>
      <c r="AE845" s="87"/>
      <c r="AF845" s="87"/>
      <c r="AG845" s="87"/>
    </row>
    <row r="846" spans="1:33" ht="12.75">
      <c r="A846" s="86"/>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c r="AC846" s="87"/>
      <c r="AD846" s="87"/>
      <c r="AE846" s="87"/>
      <c r="AF846" s="87"/>
      <c r="AG846" s="87"/>
    </row>
    <row r="847" spans="1:33" ht="12.75">
      <c r="A847" s="86"/>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c r="AC847" s="87"/>
      <c r="AD847" s="87"/>
      <c r="AE847" s="87"/>
      <c r="AF847" s="87"/>
      <c r="AG847" s="87"/>
    </row>
    <row r="848" spans="1:33" ht="12.75">
      <c r="A848" s="86"/>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c r="AC848" s="87"/>
      <c r="AD848" s="87"/>
      <c r="AE848" s="87"/>
      <c r="AF848" s="87"/>
      <c r="AG848" s="87"/>
    </row>
    <row r="849" spans="1:33" ht="12.75">
      <c r="A849" s="86"/>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c r="AC849" s="87"/>
      <c r="AD849" s="87"/>
      <c r="AE849" s="87"/>
      <c r="AF849" s="87"/>
      <c r="AG849" s="87"/>
    </row>
    <row r="850" spans="1:33" ht="12.75">
      <c r="A850" s="86"/>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c r="AC850" s="87"/>
      <c r="AD850" s="87"/>
      <c r="AE850" s="87"/>
      <c r="AF850" s="87"/>
      <c r="AG850" s="87"/>
    </row>
    <row r="851" spans="1:33" ht="12.75">
      <c r="A851" s="86"/>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c r="AC851" s="87"/>
      <c r="AD851" s="87"/>
      <c r="AE851" s="87"/>
      <c r="AF851" s="87"/>
      <c r="AG851" s="87"/>
    </row>
    <row r="852" spans="1:33" ht="12.75">
      <c r="A852" s="86"/>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c r="AC852" s="87"/>
      <c r="AD852" s="87"/>
      <c r="AE852" s="87"/>
      <c r="AF852" s="87"/>
      <c r="AG852" s="87"/>
    </row>
    <row r="853" spans="1:33" ht="12.75">
      <c r="A853" s="86"/>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c r="AC853" s="87"/>
      <c r="AD853" s="87"/>
      <c r="AE853" s="87"/>
      <c r="AF853" s="87"/>
      <c r="AG853" s="87"/>
    </row>
    <row r="854" spans="1:33" ht="12.75">
      <c r="A854" s="86"/>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c r="AC854" s="87"/>
      <c r="AD854" s="87"/>
      <c r="AE854" s="87"/>
      <c r="AF854" s="87"/>
      <c r="AG854" s="87"/>
    </row>
    <row r="855" spans="1:33" ht="12.75">
      <c r="A855" s="86"/>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c r="AC855" s="87"/>
      <c r="AD855" s="87"/>
      <c r="AE855" s="87"/>
      <c r="AF855" s="87"/>
      <c r="AG855" s="87"/>
    </row>
    <row r="856" spans="1:33" ht="12.75">
      <c r="A856" s="86"/>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c r="AC856" s="87"/>
      <c r="AD856" s="87"/>
      <c r="AE856" s="87"/>
      <c r="AF856" s="87"/>
      <c r="AG856" s="87"/>
    </row>
    <row r="857" spans="1:33" ht="12.75">
      <c r="A857" s="86"/>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c r="AC857" s="87"/>
      <c r="AD857" s="87"/>
      <c r="AE857" s="87"/>
      <c r="AF857" s="87"/>
      <c r="AG857" s="87"/>
    </row>
    <row r="858" spans="1:33" ht="12.75">
      <c r="A858" s="86"/>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c r="AC858" s="87"/>
      <c r="AD858" s="87"/>
      <c r="AE858" s="87"/>
      <c r="AF858" s="87"/>
      <c r="AG858" s="87"/>
    </row>
    <row r="859" spans="1:33" ht="12.75">
      <c r="A859" s="86"/>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c r="AC859" s="87"/>
      <c r="AD859" s="87"/>
      <c r="AE859" s="87"/>
      <c r="AF859" s="87"/>
      <c r="AG859" s="87"/>
    </row>
    <row r="860" spans="1:33" ht="12.75">
      <c r="A860" s="86"/>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c r="AC860" s="87"/>
      <c r="AD860" s="87"/>
      <c r="AE860" s="87"/>
      <c r="AF860" s="87"/>
      <c r="AG860" s="87"/>
    </row>
    <row r="861" spans="1:33" ht="12.75">
      <c r="A861" s="86"/>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c r="AC861" s="87"/>
      <c r="AD861" s="87"/>
      <c r="AE861" s="87"/>
      <c r="AF861" s="87"/>
      <c r="AG861" s="87"/>
    </row>
    <row r="862" spans="1:33" ht="12.75">
      <c r="A862" s="86"/>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c r="AC862" s="87"/>
      <c r="AD862" s="87"/>
      <c r="AE862" s="87"/>
      <c r="AF862" s="87"/>
      <c r="AG862" s="87"/>
    </row>
    <row r="863" spans="1:33" ht="12.75">
      <c r="A863" s="86"/>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c r="AC863" s="87"/>
      <c r="AD863" s="87"/>
      <c r="AE863" s="87"/>
      <c r="AF863" s="87"/>
      <c r="AG863" s="87"/>
    </row>
    <row r="864" spans="1:33" ht="12.75">
      <c r="A864" s="86"/>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c r="AC864" s="87"/>
      <c r="AD864" s="87"/>
      <c r="AE864" s="87"/>
      <c r="AF864" s="87"/>
      <c r="AG864" s="87"/>
    </row>
    <row r="865" spans="1:33" ht="12.75">
      <c r="A865" s="86"/>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c r="AC865" s="87"/>
      <c r="AD865" s="87"/>
      <c r="AE865" s="87"/>
      <c r="AF865" s="87"/>
      <c r="AG865" s="87"/>
    </row>
    <row r="866" spans="1:33" ht="12.75">
      <c r="A866" s="86"/>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c r="AC866" s="87"/>
      <c r="AD866" s="87"/>
      <c r="AE866" s="87"/>
      <c r="AF866" s="87"/>
      <c r="AG866" s="87"/>
    </row>
    <row r="867" spans="1:33" ht="12.75">
      <c r="A867" s="86"/>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c r="AC867" s="87"/>
      <c r="AD867" s="87"/>
      <c r="AE867" s="87"/>
      <c r="AF867" s="87"/>
      <c r="AG867" s="87"/>
    </row>
    <row r="868" spans="1:33" ht="12.75">
      <c r="A868" s="86"/>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c r="AC868" s="87"/>
      <c r="AD868" s="87"/>
      <c r="AE868" s="87"/>
      <c r="AF868" s="87"/>
      <c r="AG868" s="87"/>
    </row>
    <row r="869" spans="1:33" ht="12.75">
      <c r="A869" s="86"/>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c r="AC869" s="87"/>
      <c r="AD869" s="87"/>
      <c r="AE869" s="87"/>
      <c r="AF869" s="87"/>
      <c r="AG869" s="87"/>
    </row>
    <row r="870" spans="1:33" ht="12.75">
      <c r="A870" s="86"/>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c r="AC870" s="87"/>
      <c r="AD870" s="87"/>
      <c r="AE870" s="87"/>
      <c r="AF870" s="87"/>
      <c r="AG870" s="87"/>
    </row>
    <row r="871" spans="1:33" ht="12.75">
      <c r="A871" s="86"/>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c r="AC871" s="87"/>
      <c r="AD871" s="87"/>
      <c r="AE871" s="87"/>
      <c r="AF871" s="87"/>
      <c r="AG871" s="87"/>
    </row>
    <row r="872" spans="1:33" ht="12.75">
      <c r="A872" s="86"/>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c r="AC872" s="87"/>
      <c r="AD872" s="87"/>
      <c r="AE872" s="87"/>
      <c r="AF872" s="87"/>
      <c r="AG872" s="87"/>
    </row>
    <row r="873" spans="1:33" ht="12.75">
      <c r="A873" s="86"/>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c r="AC873" s="87"/>
      <c r="AD873" s="87"/>
      <c r="AE873" s="87"/>
      <c r="AF873" s="87"/>
      <c r="AG873" s="87"/>
    </row>
    <row r="874" spans="1:33" ht="12.75">
      <c r="A874" s="86"/>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c r="AC874" s="87"/>
      <c r="AD874" s="87"/>
      <c r="AE874" s="87"/>
      <c r="AF874" s="87"/>
      <c r="AG874" s="87"/>
    </row>
    <row r="875" spans="1:33" ht="12.75">
      <c r="A875" s="86"/>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c r="AC875" s="87"/>
      <c r="AD875" s="87"/>
      <c r="AE875" s="87"/>
      <c r="AF875" s="87"/>
      <c r="AG875" s="87"/>
    </row>
    <row r="876" spans="1:33" ht="12.75">
      <c r="A876" s="86"/>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c r="AC876" s="87"/>
      <c r="AD876" s="87"/>
      <c r="AE876" s="87"/>
      <c r="AF876" s="87"/>
      <c r="AG876" s="87"/>
    </row>
    <row r="877" spans="1:33" ht="12.75">
      <c r="A877" s="86"/>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c r="AC877" s="87"/>
      <c r="AD877" s="87"/>
      <c r="AE877" s="87"/>
      <c r="AF877" s="87"/>
      <c r="AG877" s="87"/>
    </row>
    <row r="878" spans="1:33" ht="12.75">
      <c r="A878" s="86"/>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c r="AC878" s="87"/>
      <c r="AD878" s="87"/>
      <c r="AE878" s="87"/>
      <c r="AF878" s="87"/>
      <c r="AG878" s="87"/>
    </row>
    <row r="879" spans="1:33" ht="12.75">
      <c r="A879" s="86"/>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c r="AC879" s="87"/>
      <c r="AD879" s="87"/>
      <c r="AE879" s="87"/>
      <c r="AF879" s="87"/>
      <c r="AG879" s="87"/>
    </row>
    <row r="880" spans="1:33" ht="12.75">
      <c r="A880" s="86"/>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c r="AC880" s="87"/>
      <c r="AD880" s="87"/>
      <c r="AE880" s="87"/>
      <c r="AF880" s="87"/>
      <c r="AG880" s="87"/>
    </row>
    <row r="881" spans="1:33" ht="12.75">
      <c r="A881" s="86"/>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c r="AC881" s="87"/>
      <c r="AD881" s="87"/>
      <c r="AE881" s="87"/>
      <c r="AF881" s="87"/>
      <c r="AG881" s="87"/>
    </row>
    <row r="882" spans="1:33" ht="12.75">
      <c r="A882" s="86"/>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c r="AC882" s="87"/>
      <c r="AD882" s="87"/>
      <c r="AE882" s="87"/>
      <c r="AF882" s="87"/>
      <c r="AG882" s="87"/>
    </row>
    <row r="883" spans="1:33" ht="12.75">
      <c r="A883" s="86"/>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c r="AC883" s="87"/>
      <c r="AD883" s="87"/>
      <c r="AE883" s="87"/>
      <c r="AF883" s="87"/>
      <c r="AG883" s="87"/>
    </row>
    <row r="884" spans="1:33" ht="12.75">
      <c r="A884" s="86"/>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c r="AC884" s="87"/>
      <c r="AD884" s="87"/>
      <c r="AE884" s="87"/>
      <c r="AF884" s="87"/>
      <c r="AG884" s="87"/>
    </row>
    <row r="885" spans="1:33" ht="12.75">
      <c r="A885" s="86"/>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c r="AC885" s="87"/>
      <c r="AD885" s="87"/>
      <c r="AE885" s="87"/>
      <c r="AF885" s="87"/>
      <c r="AG885" s="87"/>
    </row>
    <row r="886" spans="1:33" ht="12.75">
      <c r="A886" s="86"/>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c r="AC886" s="87"/>
      <c r="AD886" s="87"/>
      <c r="AE886" s="87"/>
      <c r="AF886" s="87"/>
      <c r="AG886" s="87"/>
    </row>
    <row r="887" spans="1:33" ht="12.75">
      <c r="A887" s="86"/>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c r="AC887" s="87"/>
      <c r="AD887" s="87"/>
      <c r="AE887" s="87"/>
      <c r="AF887" s="87"/>
      <c r="AG887" s="87"/>
    </row>
    <row r="888" spans="1:33" ht="12.75">
      <c r="A888" s="86"/>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c r="AC888" s="87"/>
      <c r="AD888" s="87"/>
      <c r="AE888" s="87"/>
      <c r="AF888" s="87"/>
      <c r="AG888" s="87"/>
    </row>
    <row r="889" spans="1:33" ht="12.75">
      <c r="A889" s="86"/>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c r="AC889" s="87"/>
      <c r="AD889" s="87"/>
      <c r="AE889" s="87"/>
      <c r="AF889" s="87"/>
      <c r="AG889" s="87"/>
    </row>
    <row r="890" spans="1:33" ht="12.75">
      <c r="A890" s="86"/>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c r="AC890" s="87"/>
      <c r="AD890" s="87"/>
      <c r="AE890" s="87"/>
      <c r="AF890" s="87"/>
      <c r="AG890" s="87"/>
    </row>
    <row r="891" spans="1:33" ht="12.75">
      <c r="A891" s="86"/>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c r="AC891" s="87"/>
      <c r="AD891" s="87"/>
      <c r="AE891" s="87"/>
      <c r="AF891" s="87"/>
      <c r="AG891" s="87"/>
    </row>
    <row r="892" spans="1:33" ht="12.75">
      <c r="A892" s="86"/>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c r="AC892" s="87"/>
      <c r="AD892" s="87"/>
      <c r="AE892" s="87"/>
      <c r="AF892" s="87"/>
      <c r="AG892" s="87"/>
    </row>
    <row r="893" spans="1:33" ht="12.75">
      <c r="A893" s="86"/>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c r="AC893" s="87"/>
      <c r="AD893" s="87"/>
      <c r="AE893" s="87"/>
      <c r="AF893" s="87"/>
      <c r="AG893" s="87"/>
    </row>
    <row r="894" spans="1:33" ht="12.75">
      <c r="A894" s="86"/>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c r="AC894" s="87"/>
      <c r="AD894" s="87"/>
      <c r="AE894" s="87"/>
      <c r="AF894" s="87"/>
      <c r="AG894" s="87"/>
    </row>
    <row r="895" spans="1:33" ht="12.75">
      <c r="A895" s="86"/>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c r="AC895" s="87"/>
      <c r="AD895" s="87"/>
      <c r="AE895" s="87"/>
      <c r="AF895" s="87"/>
      <c r="AG895" s="87"/>
    </row>
    <row r="896" spans="1:33" ht="12.75">
      <c r="A896" s="86"/>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c r="AC896" s="87"/>
      <c r="AD896" s="87"/>
      <c r="AE896" s="87"/>
      <c r="AF896" s="87"/>
      <c r="AG896" s="87"/>
    </row>
    <row r="897" spans="1:33" ht="12.75">
      <c r="A897" s="86"/>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c r="AC897" s="87"/>
      <c r="AD897" s="87"/>
      <c r="AE897" s="87"/>
      <c r="AF897" s="87"/>
      <c r="AG897" s="87"/>
    </row>
    <row r="898" spans="1:33" ht="12.75">
      <c r="A898" s="86"/>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c r="AC898" s="87"/>
      <c r="AD898" s="87"/>
      <c r="AE898" s="87"/>
      <c r="AF898" s="87"/>
      <c r="AG898" s="87"/>
    </row>
    <row r="899" spans="1:33" ht="12.75">
      <c r="A899" s="86"/>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c r="AC899" s="87"/>
      <c r="AD899" s="87"/>
      <c r="AE899" s="87"/>
      <c r="AF899" s="87"/>
      <c r="AG899" s="87"/>
    </row>
    <row r="900" spans="1:33" ht="12.75">
      <c r="A900" s="86"/>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c r="AC900" s="87"/>
      <c r="AD900" s="87"/>
      <c r="AE900" s="87"/>
      <c r="AF900" s="87"/>
      <c r="AG900" s="87"/>
    </row>
    <row r="901" spans="1:33" ht="12.75">
      <c r="A901" s="86"/>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c r="AC901" s="87"/>
      <c r="AD901" s="87"/>
      <c r="AE901" s="87"/>
      <c r="AF901" s="87"/>
      <c r="AG901" s="87"/>
    </row>
    <row r="902" spans="1:33" ht="12.75">
      <c r="A902" s="86"/>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c r="AC902" s="87"/>
      <c r="AD902" s="87"/>
      <c r="AE902" s="87"/>
      <c r="AF902" s="87"/>
      <c r="AG902" s="87"/>
    </row>
    <row r="903" spans="1:33" ht="12.75">
      <c r="A903" s="86"/>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c r="AC903" s="87"/>
      <c r="AD903" s="87"/>
      <c r="AE903" s="87"/>
      <c r="AF903" s="87"/>
      <c r="AG903" s="87"/>
    </row>
    <row r="904" spans="1:33" ht="12.75">
      <c r="A904" s="86"/>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c r="AC904" s="87"/>
      <c r="AD904" s="87"/>
      <c r="AE904" s="87"/>
      <c r="AF904" s="87"/>
      <c r="AG904" s="87"/>
    </row>
    <row r="905" spans="1:33" ht="12.75">
      <c r="A905" s="86"/>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c r="AC905" s="87"/>
      <c r="AD905" s="87"/>
      <c r="AE905" s="87"/>
      <c r="AF905" s="87"/>
      <c r="AG905" s="87"/>
    </row>
    <row r="906" spans="1:33" ht="12.75">
      <c r="A906" s="86"/>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c r="AC906" s="87"/>
      <c r="AD906" s="87"/>
      <c r="AE906" s="87"/>
      <c r="AF906" s="87"/>
      <c r="AG906" s="87"/>
    </row>
    <row r="907" spans="1:33" ht="12.75">
      <c r="A907" s="86"/>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c r="AC907" s="87"/>
      <c r="AD907" s="87"/>
      <c r="AE907" s="87"/>
      <c r="AF907" s="87"/>
      <c r="AG907" s="87"/>
    </row>
    <row r="908" spans="1:33" ht="12.75">
      <c r="A908" s="86"/>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c r="AC908" s="87"/>
      <c r="AD908" s="87"/>
      <c r="AE908" s="87"/>
      <c r="AF908" s="87"/>
      <c r="AG908" s="87"/>
    </row>
    <row r="909" spans="1:33" ht="12.75">
      <c r="A909" s="86"/>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c r="AC909" s="87"/>
      <c r="AD909" s="87"/>
      <c r="AE909" s="87"/>
      <c r="AF909" s="87"/>
      <c r="AG909" s="87"/>
    </row>
    <row r="910" spans="1:33" ht="12.75">
      <c r="A910" s="86"/>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c r="AC910" s="87"/>
      <c r="AD910" s="87"/>
      <c r="AE910" s="87"/>
      <c r="AF910" s="87"/>
      <c r="AG910" s="87"/>
    </row>
    <row r="911" spans="1:33" ht="12.75">
      <c r="A911" s="86"/>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c r="AC911" s="87"/>
      <c r="AD911" s="87"/>
      <c r="AE911" s="87"/>
      <c r="AF911" s="87"/>
      <c r="AG911" s="87"/>
    </row>
    <row r="912" spans="1:33" ht="12.75">
      <c r="A912" s="86"/>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c r="AC912" s="87"/>
      <c r="AD912" s="87"/>
      <c r="AE912" s="87"/>
      <c r="AF912" s="87"/>
      <c r="AG912" s="87"/>
    </row>
    <row r="913" spans="1:33" ht="12.75">
      <c r="A913" s="86"/>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c r="AC913" s="87"/>
      <c r="AD913" s="87"/>
      <c r="AE913" s="87"/>
      <c r="AF913" s="87"/>
      <c r="AG913" s="87"/>
    </row>
    <row r="914" spans="1:33" ht="12.75">
      <c r="A914" s="86"/>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c r="AC914" s="87"/>
      <c r="AD914" s="87"/>
      <c r="AE914" s="87"/>
      <c r="AF914" s="87"/>
      <c r="AG914" s="87"/>
    </row>
    <row r="915" spans="1:33" ht="12.75">
      <c r="A915" s="86"/>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row>
    <row r="916" spans="1:33" ht="12.75">
      <c r="A916" s="86"/>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c r="AC916" s="87"/>
      <c r="AD916" s="87"/>
      <c r="AE916" s="87"/>
      <c r="AF916" s="87"/>
      <c r="AG916" s="87"/>
    </row>
    <row r="917" spans="1:33" ht="12.75">
      <c r="A917" s="86"/>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c r="AC917" s="87"/>
      <c r="AD917" s="87"/>
      <c r="AE917" s="87"/>
      <c r="AF917" s="87"/>
      <c r="AG917" s="87"/>
    </row>
    <row r="918" spans="1:33" ht="12.75">
      <c r="A918" s="86"/>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c r="AC918" s="87"/>
      <c r="AD918" s="87"/>
      <c r="AE918" s="87"/>
      <c r="AF918" s="87"/>
      <c r="AG918" s="87"/>
    </row>
    <row r="919" spans="1:33" ht="12.75">
      <c r="A919" s="86"/>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c r="AC919" s="87"/>
      <c r="AD919" s="87"/>
      <c r="AE919" s="87"/>
      <c r="AF919" s="87"/>
      <c r="AG919" s="87"/>
    </row>
    <row r="920" spans="1:33" ht="12.75">
      <c r="A920" s="86"/>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c r="AC920" s="87"/>
      <c r="AD920" s="87"/>
      <c r="AE920" s="87"/>
      <c r="AF920" s="87"/>
      <c r="AG920" s="87"/>
    </row>
    <row r="921" spans="1:33" ht="12.75">
      <c r="A921" s="86"/>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c r="AC921" s="87"/>
      <c r="AD921" s="87"/>
      <c r="AE921" s="87"/>
      <c r="AF921" s="87"/>
      <c r="AG921" s="87"/>
    </row>
    <row r="922" spans="1:33" ht="12.75">
      <c r="A922" s="86"/>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c r="AC922" s="87"/>
      <c r="AD922" s="87"/>
      <c r="AE922" s="87"/>
      <c r="AF922" s="87"/>
      <c r="AG922" s="87"/>
    </row>
    <row r="923" spans="1:33" ht="12.75">
      <c r="A923" s="86"/>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c r="AC923" s="87"/>
      <c r="AD923" s="87"/>
      <c r="AE923" s="87"/>
      <c r="AF923" s="87"/>
      <c r="AG923" s="87"/>
    </row>
    <row r="924" spans="1:33" ht="12.75">
      <c r="A924" s="86"/>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c r="AC924" s="87"/>
      <c r="AD924" s="87"/>
      <c r="AE924" s="87"/>
      <c r="AF924" s="87"/>
      <c r="AG924" s="87"/>
    </row>
    <row r="925" spans="1:33" ht="12.75">
      <c r="A925" s="86"/>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c r="AC925" s="87"/>
      <c r="AD925" s="87"/>
      <c r="AE925" s="87"/>
      <c r="AF925" s="87"/>
      <c r="AG925" s="87"/>
    </row>
    <row r="926" spans="1:33" ht="12.75">
      <c r="A926" s="86"/>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row>
    <row r="927" spans="1:33" ht="12.75">
      <c r="A927" s="86"/>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row>
    <row r="928" spans="1:33" ht="12.75">
      <c r="A928" s="86"/>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row>
    <row r="929" spans="1:33" ht="12.75">
      <c r="A929" s="86"/>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c r="AC929" s="87"/>
      <c r="AD929" s="87"/>
      <c r="AE929" s="87"/>
      <c r="AF929" s="87"/>
      <c r="AG929" s="87"/>
    </row>
    <row r="930" spans="1:33" ht="12.75">
      <c r="A930" s="86"/>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c r="AC930" s="87"/>
      <c r="AD930" s="87"/>
      <c r="AE930" s="87"/>
      <c r="AF930" s="87"/>
      <c r="AG930" s="87"/>
    </row>
    <row r="931" spans="1:33" ht="12.75">
      <c r="A931" s="86"/>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c r="AC931" s="87"/>
      <c r="AD931" s="87"/>
      <c r="AE931" s="87"/>
      <c r="AF931" s="87"/>
      <c r="AG931" s="87"/>
    </row>
    <row r="932" spans="1:33" ht="12.75">
      <c r="A932" s="86"/>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c r="AC932" s="87"/>
      <c r="AD932" s="87"/>
      <c r="AE932" s="87"/>
      <c r="AF932" s="87"/>
      <c r="AG932" s="87"/>
    </row>
    <row r="933" spans="1:33" ht="12.75">
      <c r="A933" s="86"/>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c r="AC933" s="87"/>
      <c r="AD933" s="87"/>
      <c r="AE933" s="87"/>
      <c r="AF933" s="87"/>
      <c r="AG933" s="87"/>
    </row>
    <row r="934" spans="1:33" ht="12.75">
      <c r="A934" s="86"/>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c r="AC934" s="87"/>
      <c r="AD934" s="87"/>
      <c r="AE934" s="87"/>
      <c r="AF934" s="87"/>
      <c r="AG934" s="87"/>
    </row>
    <row r="935" spans="1:33" ht="12.75">
      <c r="A935" s="86"/>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c r="AC935" s="87"/>
      <c r="AD935" s="87"/>
      <c r="AE935" s="87"/>
      <c r="AF935" s="87"/>
      <c r="AG935" s="87"/>
    </row>
    <row r="936" spans="1:33" ht="12.75">
      <c r="A936" s="86"/>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c r="AC936" s="87"/>
      <c r="AD936" s="87"/>
      <c r="AE936" s="87"/>
      <c r="AF936" s="87"/>
      <c r="AG936" s="87"/>
    </row>
    <row r="937" spans="1:33" ht="12.75">
      <c r="A937" s="86"/>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c r="AC937" s="87"/>
      <c r="AD937" s="87"/>
      <c r="AE937" s="87"/>
      <c r="AF937" s="87"/>
      <c r="AG937" s="87"/>
    </row>
    <row r="938" spans="1:33" ht="12.75">
      <c r="A938" s="86"/>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c r="AC938" s="87"/>
      <c r="AD938" s="87"/>
      <c r="AE938" s="87"/>
      <c r="AF938" s="87"/>
      <c r="AG938" s="87"/>
    </row>
    <row r="939" spans="1:33" ht="12.75">
      <c r="A939" s="86"/>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c r="AC939" s="87"/>
      <c r="AD939" s="87"/>
      <c r="AE939" s="87"/>
      <c r="AF939" s="87"/>
      <c r="AG939" s="87"/>
    </row>
    <row r="940" spans="1:33" ht="12.75">
      <c r="A940" s="86"/>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c r="AC940" s="87"/>
      <c r="AD940" s="87"/>
      <c r="AE940" s="87"/>
      <c r="AF940" s="87"/>
      <c r="AG940" s="87"/>
    </row>
    <row r="941" spans="1:33" ht="12.75">
      <c r="A941" s="86"/>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c r="AC941" s="87"/>
      <c r="AD941" s="87"/>
      <c r="AE941" s="87"/>
      <c r="AF941" s="87"/>
      <c r="AG941" s="87"/>
    </row>
    <row r="942" spans="1:33" ht="12.75">
      <c r="A942" s="86"/>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c r="AC942" s="87"/>
      <c r="AD942" s="87"/>
      <c r="AE942" s="87"/>
      <c r="AF942" s="87"/>
      <c r="AG942" s="87"/>
    </row>
    <row r="943" spans="1:33" ht="12.75">
      <c r="A943" s="86"/>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c r="AC943" s="87"/>
      <c r="AD943" s="87"/>
      <c r="AE943" s="87"/>
      <c r="AF943" s="87"/>
      <c r="AG943" s="87"/>
    </row>
    <row r="944" spans="1:33" ht="12.75">
      <c r="A944" s="86"/>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c r="AC944" s="87"/>
      <c r="AD944" s="87"/>
      <c r="AE944" s="87"/>
      <c r="AF944" s="87"/>
      <c r="AG944" s="87"/>
    </row>
    <row r="945" spans="1:33" ht="12.75">
      <c r="A945" s="86"/>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c r="AC945" s="87"/>
      <c r="AD945" s="87"/>
      <c r="AE945" s="87"/>
      <c r="AF945" s="87"/>
      <c r="AG945" s="87"/>
    </row>
    <row r="946" spans="1:33" ht="12.75">
      <c r="A946" s="86"/>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c r="AC946" s="87"/>
      <c r="AD946" s="87"/>
      <c r="AE946" s="87"/>
      <c r="AF946" s="87"/>
      <c r="AG946" s="87"/>
    </row>
    <row r="947" spans="1:33" ht="12.75">
      <c r="A947" s="86"/>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c r="AC947" s="87"/>
      <c r="AD947" s="87"/>
      <c r="AE947" s="87"/>
      <c r="AF947" s="87"/>
      <c r="AG947" s="87"/>
    </row>
    <row r="948" spans="1:33" ht="12.75">
      <c r="A948" s="86"/>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c r="AC948" s="87"/>
      <c r="AD948" s="87"/>
      <c r="AE948" s="87"/>
      <c r="AF948" s="87"/>
      <c r="AG948" s="87"/>
    </row>
    <row r="949" spans="1:33" ht="12.75">
      <c r="A949" s="86"/>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c r="AC949" s="87"/>
      <c r="AD949" s="87"/>
      <c r="AE949" s="87"/>
      <c r="AF949" s="87"/>
      <c r="AG949" s="87"/>
    </row>
    <row r="950" spans="1:33" ht="12.75">
      <c r="A950" s="86"/>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c r="AC950" s="87"/>
      <c r="AD950" s="87"/>
      <c r="AE950" s="87"/>
      <c r="AF950" s="87"/>
      <c r="AG950" s="87"/>
    </row>
    <row r="951" spans="1:33" ht="12.75">
      <c r="A951" s="86"/>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c r="AC951" s="87"/>
      <c r="AD951" s="87"/>
      <c r="AE951" s="87"/>
      <c r="AF951" s="87"/>
      <c r="AG951" s="87"/>
    </row>
    <row r="952" spans="1:33" ht="12.75">
      <c r="A952" s="86"/>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c r="AC952" s="87"/>
      <c r="AD952" s="87"/>
      <c r="AE952" s="87"/>
      <c r="AF952" s="87"/>
      <c r="AG952" s="87"/>
    </row>
    <row r="953" spans="1:33" ht="12.75">
      <c r="A953" s="86"/>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c r="AC953" s="87"/>
      <c r="AD953" s="87"/>
      <c r="AE953" s="87"/>
      <c r="AF953" s="87"/>
      <c r="AG953" s="87"/>
    </row>
    <row r="954" spans="1:33" ht="12.75">
      <c r="A954" s="86"/>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c r="AC954" s="87"/>
      <c r="AD954" s="87"/>
      <c r="AE954" s="87"/>
      <c r="AF954" s="87"/>
      <c r="AG954" s="87"/>
    </row>
    <row r="955" spans="1:33" ht="12.75">
      <c r="A955" s="86"/>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c r="AC955" s="87"/>
      <c r="AD955" s="87"/>
      <c r="AE955" s="87"/>
      <c r="AF955" s="87"/>
      <c r="AG955" s="87"/>
    </row>
    <row r="956" spans="1:33" ht="12.75">
      <c r="A956" s="86"/>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c r="AC956" s="87"/>
      <c r="AD956" s="87"/>
      <c r="AE956" s="87"/>
      <c r="AF956" s="87"/>
      <c r="AG956" s="87"/>
    </row>
    <row r="957" spans="1:33" ht="12.75">
      <c r="A957" s="86"/>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c r="AC957" s="87"/>
      <c r="AD957" s="87"/>
      <c r="AE957" s="87"/>
      <c r="AF957" s="87"/>
      <c r="AG957" s="87"/>
    </row>
    <row r="958" spans="1:33" ht="12.75">
      <c r="A958" s="86"/>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c r="AC958" s="87"/>
      <c r="AD958" s="87"/>
      <c r="AE958" s="87"/>
      <c r="AF958" s="87"/>
      <c r="AG958" s="87"/>
    </row>
    <row r="959" spans="1:33" ht="12.75">
      <c r="A959" s="86"/>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c r="AC959" s="87"/>
      <c r="AD959" s="87"/>
      <c r="AE959" s="87"/>
      <c r="AF959" s="87"/>
      <c r="AG959" s="87"/>
    </row>
    <row r="960" spans="1:33" ht="12.75">
      <c r="A960" s="86"/>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c r="AC960" s="87"/>
      <c r="AD960" s="87"/>
      <c r="AE960" s="87"/>
      <c r="AF960" s="87"/>
      <c r="AG960" s="87"/>
    </row>
    <row r="961" spans="1:33" ht="12.75">
      <c r="A961" s="86"/>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c r="AC961" s="87"/>
      <c r="AD961" s="87"/>
      <c r="AE961" s="87"/>
      <c r="AF961" s="87"/>
      <c r="AG961" s="87"/>
    </row>
    <row r="962" spans="1:33" ht="12.75">
      <c r="A962" s="86"/>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c r="AC962" s="87"/>
      <c r="AD962" s="87"/>
      <c r="AE962" s="87"/>
      <c r="AF962" s="87"/>
      <c r="AG962" s="87"/>
    </row>
    <row r="963" spans="1:33" ht="12.75">
      <c r="A963" s="86"/>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c r="AC963" s="87"/>
      <c r="AD963" s="87"/>
      <c r="AE963" s="87"/>
      <c r="AF963" s="87"/>
      <c r="AG963" s="87"/>
    </row>
    <row r="964" spans="1:33" ht="12.75">
      <c r="A964" s="86"/>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c r="AC964" s="87"/>
      <c r="AD964" s="87"/>
      <c r="AE964" s="87"/>
      <c r="AF964" s="87"/>
      <c r="AG964" s="87"/>
    </row>
    <row r="965" spans="1:33" ht="12.75">
      <c r="A965" s="86"/>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c r="AC965" s="87"/>
      <c r="AD965" s="87"/>
      <c r="AE965" s="87"/>
      <c r="AF965" s="87"/>
      <c r="AG965" s="87"/>
    </row>
    <row r="966" spans="1:33" ht="12.75">
      <c r="A966" s="86"/>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c r="AC966" s="87"/>
      <c r="AD966" s="87"/>
      <c r="AE966" s="87"/>
      <c r="AF966" s="87"/>
      <c r="AG966" s="87"/>
    </row>
    <row r="967" spans="1:33" ht="12.75">
      <c r="A967" s="86"/>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c r="AC967" s="87"/>
      <c r="AD967" s="87"/>
      <c r="AE967" s="87"/>
      <c r="AF967" s="87"/>
      <c r="AG967" s="87"/>
    </row>
    <row r="968" spans="1:33" ht="12.75">
      <c r="A968" s="86"/>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c r="AC968" s="87"/>
      <c r="AD968" s="87"/>
      <c r="AE968" s="87"/>
      <c r="AF968" s="87"/>
      <c r="AG968" s="87"/>
    </row>
    <row r="969" spans="1:33" ht="12.75">
      <c r="A969" s="86"/>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c r="AC969" s="87"/>
      <c r="AD969" s="87"/>
      <c r="AE969" s="87"/>
      <c r="AF969" s="87"/>
      <c r="AG969" s="87"/>
    </row>
    <row r="970" spans="1:33" ht="12.75">
      <c r="A970" s="86"/>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c r="AC970" s="87"/>
      <c r="AD970" s="87"/>
      <c r="AE970" s="87"/>
      <c r="AF970" s="87"/>
      <c r="AG970" s="87"/>
    </row>
    <row r="971" spans="1:33" ht="12.75">
      <c r="A971" s="86"/>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c r="AC971" s="87"/>
      <c r="AD971" s="87"/>
      <c r="AE971" s="87"/>
      <c r="AF971" s="87"/>
      <c r="AG971" s="87"/>
    </row>
    <row r="972" spans="1:33" ht="12.75">
      <c r="A972" s="86"/>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c r="AC972" s="87"/>
      <c r="AD972" s="87"/>
      <c r="AE972" s="87"/>
      <c r="AF972" s="87"/>
      <c r="AG972" s="87"/>
    </row>
    <row r="973" spans="1:33" ht="12.75">
      <c r="A973" s="86"/>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c r="AC973" s="87"/>
      <c r="AD973" s="87"/>
      <c r="AE973" s="87"/>
      <c r="AF973" s="87"/>
      <c r="AG973" s="87"/>
    </row>
    <row r="974" spans="1:33" ht="12.75">
      <c r="A974" s="86"/>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c r="AC974" s="87"/>
      <c r="AD974" s="87"/>
      <c r="AE974" s="87"/>
      <c r="AF974" s="87"/>
      <c r="AG974" s="87"/>
    </row>
    <row r="975" spans="1:33" ht="12.75">
      <c r="A975" s="86"/>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c r="AC975" s="87"/>
      <c r="AD975" s="87"/>
      <c r="AE975" s="87"/>
      <c r="AF975" s="87"/>
      <c r="AG975" s="87"/>
    </row>
    <row r="976" spans="1:33" ht="12.75">
      <c r="A976" s="86"/>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c r="AC976" s="87"/>
      <c r="AD976" s="87"/>
      <c r="AE976" s="87"/>
      <c r="AF976" s="87"/>
      <c r="AG976" s="87"/>
    </row>
    <row r="977" spans="1:33" ht="12.75">
      <c r="A977" s="86"/>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c r="AC977" s="87"/>
      <c r="AD977" s="87"/>
      <c r="AE977" s="87"/>
      <c r="AF977" s="87"/>
      <c r="AG977" s="87"/>
    </row>
    <row r="978" spans="1:33" ht="12.75">
      <c r="A978" s="86"/>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c r="AC978" s="87"/>
      <c r="AD978" s="87"/>
      <c r="AE978" s="87"/>
      <c r="AF978" s="87"/>
      <c r="AG978" s="87"/>
    </row>
    <row r="979" spans="1:33" ht="12.75">
      <c r="A979" s="86"/>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c r="AC979" s="87"/>
      <c r="AD979" s="87"/>
      <c r="AE979" s="87"/>
      <c r="AF979" s="87"/>
      <c r="AG979" s="87"/>
    </row>
    <row r="980" spans="1:33" ht="12.75">
      <c r="A980" s="86"/>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c r="AC980" s="87"/>
      <c r="AD980" s="87"/>
      <c r="AE980" s="87"/>
      <c r="AF980" s="87"/>
      <c r="AG980" s="87"/>
    </row>
    <row r="981" spans="1:33" ht="12.75">
      <c r="A981" s="86"/>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c r="AC981" s="87"/>
      <c r="AD981" s="87"/>
      <c r="AE981" s="87"/>
      <c r="AF981" s="87"/>
      <c r="AG981" s="87"/>
    </row>
    <row r="982" spans="1:33" ht="12.75">
      <c r="A982" s="86"/>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c r="AC982" s="87"/>
      <c r="AD982" s="87"/>
      <c r="AE982" s="87"/>
      <c r="AF982" s="87"/>
      <c r="AG982" s="87"/>
    </row>
    <row r="983" spans="1:33" ht="12.75">
      <c r="A983" s="86"/>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c r="AC983" s="87"/>
      <c r="AD983" s="87"/>
      <c r="AE983" s="87"/>
      <c r="AF983" s="87"/>
      <c r="AG983" s="87"/>
    </row>
    <row r="984" spans="1:33" ht="12.75">
      <c r="A984" s="86"/>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c r="AC984" s="87"/>
      <c r="AD984" s="87"/>
      <c r="AE984" s="87"/>
      <c r="AF984" s="87"/>
      <c r="AG984" s="87"/>
    </row>
    <row r="985" spans="1:33" ht="12.75">
      <c r="A985" s="86"/>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c r="AC985" s="87"/>
      <c r="AD985" s="87"/>
      <c r="AE985" s="87"/>
      <c r="AF985" s="87"/>
      <c r="AG985" s="87"/>
    </row>
    <row r="986" spans="1:33" ht="12.75">
      <c r="A986" s="86"/>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c r="AC986" s="87"/>
      <c r="AD986" s="87"/>
      <c r="AE986" s="87"/>
      <c r="AF986" s="87"/>
      <c r="AG986" s="87"/>
    </row>
    <row r="987" spans="1:33" ht="12.75">
      <c r="A987" s="86"/>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c r="AC987" s="87"/>
      <c r="AD987" s="87"/>
      <c r="AE987" s="87"/>
      <c r="AF987" s="87"/>
      <c r="AG987" s="87"/>
    </row>
    <row r="988" spans="1:33" ht="12.75">
      <c r="A988" s="86"/>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c r="AC988" s="87"/>
      <c r="AD988" s="87"/>
      <c r="AE988" s="87"/>
      <c r="AF988" s="87"/>
      <c r="AG988" s="87"/>
    </row>
    <row r="989" spans="1:33" ht="12.75">
      <c r="A989" s="86"/>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c r="AC989" s="87"/>
      <c r="AD989" s="87"/>
      <c r="AE989" s="87"/>
      <c r="AF989" s="87"/>
      <c r="AG989" s="87"/>
    </row>
    <row r="990" spans="1:33" ht="12.75">
      <c r="A990" s="86"/>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c r="AC990" s="87"/>
      <c r="AD990" s="87"/>
      <c r="AE990" s="87"/>
      <c r="AF990" s="87"/>
      <c r="AG990" s="87"/>
    </row>
    <row r="991" spans="1:33" ht="12.75">
      <c r="A991" s="86"/>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c r="AC991" s="87"/>
      <c r="AD991" s="87"/>
      <c r="AE991" s="87"/>
      <c r="AF991" s="87"/>
      <c r="AG991" s="87"/>
    </row>
    <row r="992" spans="1:33" ht="12.75">
      <c r="A992" s="86"/>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c r="AC992" s="87"/>
      <c r="AD992" s="87"/>
      <c r="AE992" s="87"/>
      <c r="AF992" s="87"/>
      <c r="AG992" s="87"/>
    </row>
    <row r="993" spans="1:33" ht="12.75">
      <c r="A993" s="86"/>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c r="AC993" s="87"/>
      <c r="AD993" s="87"/>
      <c r="AE993" s="87"/>
      <c r="AF993" s="87"/>
      <c r="AG993" s="87"/>
    </row>
    <row r="994" spans="1:33" ht="12.75">
      <c r="A994" s="86"/>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c r="AC994" s="87"/>
      <c r="AD994" s="87"/>
      <c r="AE994" s="87"/>
      <c r="AF994" s="87"/>
      <c r="AG994" s="87"/>
    </row>
    <row r="995" spans="1:33" ht="12.75">
      <c r="A995" s="86"/>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c r="AC995" s="87"/>
      <c r="AD995" s="87"/>
      <c r="AE995" s="87"/>
      <c r="AF995" s="87"/>
      <c r="AG995" s="87"/>
    </row>
    <row r="996" spans="1:33" ht="12.75">
      <c r="A996" s="86"/>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c r="AC996" s="87"/>
      <c r="AD996" s="87"/>
      <c r="AE996" s="87"/>
      <c r="AF996" s="87"/>
      <c r="AG996" s="87"/>
    </row>
    <row r="997" spans="1:33" ht="12.75">
      <c r="A997" s="86"/>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c r="AC997" s="87"/>
      <c r="AD997" s="87"/>
      <c r="AE997" s="87"/>
      <c r="AF997" s="87"/>
      <c r="AG997" s="87"/>
    </row>
    <row r="998" spans="1:33" ht="12.75">
      <c r="A998" s="86"/>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c r="AC998" s="87"/>
      <c r="AD998" s="87"/>
      <c r="AE998" s="87"/>
      <c r="AF998" s="87"/>
      <c r="AG998" s="87"/>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X4"/>
  <sheetViews>
    <sheetView workbookViewId="0"/>
  </sheetViews>
  <sheetFormatPr baseColWidth="10" defaultColWidth="14.42578125" defaultRowHeight="15.75" customHeight="1"/>
  <cols>
    <col min="1" max="1" width="16" customWidth="1"/>
    <col min="3" max="3" width="35.85546875" customWidth="1"/>
  </cols>
  <sheetData>
    <row r="1" spans="1:24"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row>
    <row r="2" spans="1:24" ht="12.75">
      <c r="A2" s="121">
        <v>2017</v>
      </c>
      <c r="B2" s="73" t="s">
        <v>2002</v>
      </c>
      <c r="C2" s="81" t="s">
        <v>1623</v>
      </c>
      <c r="D2" s="82">
        <v>42932</v>
      </c>
      <c r="E2" s="82">
        <v>42947</v>
      </c>
      <c r="F2" s="80" t="s">
        <v>164</v>
      </c>
      <c r="G2" s="80" t="s">
        <v>164</v>
      </c>
      <c r="H2" s="80" t="s">
        <v>1624</v>
      </c>
      <c r="I2" s="80"/>
      <c r="J2" s="80"/>
      <c r="K2" s="80"/>
      <c r="L2" s="80" t="s">
        <v>1625</v>
      </c>
      <c r="M2" s="80"/>
      <c r="N2" s="80" t="s">
        <v>1626</v>
      </c>
      <c r="O2" s="80"/>
      <c r="P2" s="80"/>
      <c r="Q2" s="80" t="s">
        <v>54</v>
      </c>
      <c r="R2" s="80" t="s">
        <v>55</v>
      </c>
      <c r="S2" s="80"/>
      <c r="T2" s="80"/>
      <c r="U2" s="80"/>
      <c r="V2" s="80"/>
      <c r="W2" s="80"/>
      <c r="X2" s="80"/>
    </row>
    <row r="3" spans="1:24" ht="12.75">
      <c r="A3" s="121">
        <v>2015</v>
      </c>
      <c r="B3" s="80" t="s">
        <v>1630</v>
      </c>
      <c r="C3" s="81" t="s">
        <v>48</v>
      </c>
      <c r="D3" s="82">
        <v>42186</v>
      </c>
      <c r="E3" s="82">
        <v>42200</v>
      </c>
      <c r="F3" s="71" t="s">
        <v>2007</v>
      </c>
      <c r="G3" s="80" t="s">
        <v>2008</v>
      </c>
      <c r="H3" s="80" t="s">
        <v>2009</v>
      </c>
      <c r="I3" s="80" t="s">
        <v>1632</v>
      </c>
      <c r="J3" s="80"/>
      <c r="K3" s="80"/>
      <c r="L3" s="80"/>
      <c r="M3" s="80"/>
      <c r="N3" s="80"/>
      <c r="O3" s="80"/>
      <c r="P3" s="80"/>
      <c r="Q3" s="80"/>
      <c r="R3" s="80"/>
      <c r="S3" s="80"/>
      <c r="T3" s="80"/>
      <c r="U3" s="80"/>
      <c r="V3" s="80"/>
      <c r="W3" s="80"/>
      <c r="X3" s="80"/>
    </row>
    <row r="4" spans="1:24" ht="12.75">
      <c r="A4" s="73"/>
      <c r="B4" s="73"/>
      <c r="C4" s="73"/>
      <c r="D4" s="73"/>
      <c r="E4" s="73"/>
      <c r="F4" s="73"/>
      <c r="G4" s="73"/>
      <c r="H4" s="73"/>
      <c r="I4" s="73"/>
      <c r="J4" s="73"/>
      <c r="K4" s="73"/>
      <c r="L4" s="73"/>
      <c r="M4" s="73"/>
      <c r="N4" s="73"/>
      <c r="O4" s="73"/>
      <c r="P4" s="73"/>
      <c r="Q4" s="73"/>
      <c r="R4" s="73"/>
      <c r="S4" s="73"/>
      <c r="T4" s="73"/>
      <c r="U4" s="73"/>
      <c r="V4" s="73"/>
      <c r="W4" s="73"/>
      <c r="X4" s="7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B7"/>
  <sheetViews>
    <sheetView workbookViewId="0"/>
  </sheetViews>
  <sheetFormatPr baseColWidth="10" defaultColWidth="14.42578125" defaultRowHeight="15.75" customHeight="1"/>
  <sheetData>
    <row r="1" spans="1:2" ht="15.75" customHeight="1">
      <c r="A1" s="1" t="s">
        <v>0</v>
      </c>
      <c r="B1" s="1" t="s">
        <v>1</v>
      </c>
    </row>
    <row r="2" spans="1:2" ht="15.75" customHeight="1">
      <c r="A2" s="2" t="s">
        <v>2</v>
      </c>
      <c r="B2" s="2" t="s">
        <v>4</v>
      </c>
    </row>
    <row r="3" spans="1:2" ht="15.75" customHeight="1">
      <c r="A3" s="2" t="s">
        <v>5</v>
      </c>
      <c r="B3" s="2" t="s">
        <v>6</v>
      </c>
    </row>
    <row r="4" spans="1:2" ht="15.75" customHeight="1">
      <c r="A4" s="2" t="s">
        <v>7</v>
      </c>
      <c r="B4" s="2" t="s">
        <v>6</v>
      </c>
    </row>
    <row r="5" spans="1:2" ht="15.75" customHeight="1">
      <c r="A5" s="2" t="s">
        <v>8</v>
      </c>
      <c r="B5" s="2" t="s">
        <v>9</v>
      </c>
    </row>
    <row r="6" spans="1:2" ht="15.75" customHeight="1">
      <c r="A6" s="2" t="s">
        <v>10</v>
      </c>
      <c r="B6" s="2" t="s">
        <v>11</v>
      </c>
    </row>
    <row r="7" spans="1:2" ht="15.75" customHeight="1">
      <c r="A7" s="2" t="s">
        <v>12</v>
      </c>
      <c r="B7" s="2" t="s">
        <v>13</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AG986"/>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5" width="14.140625" customWidth="1"/>
    <col min="6" max="6" width="35.28515625" customWidth="1"/>
    <col min="7" max="23" width="14.140625" customWidth="1"/>
    <col min="24" max="33" width="18.7109375" customWidth="1"/>
  </cols>
  <sheetData>
    <row r="1" spans="1:33" ht="57" customHeight="1">
      <c r="A1" s="56" t="s">
        <v>1877</v>
      </c>
      <c r="B1" s="56" t="s">
        <v>1878</v>
      </c>
      <c r="C1" s="56" t="s">
        <v>1879</v>
      </c>
      <c r="D1" s="57" t="s">
        <v>19</v>
      </c>
      <c r="E1" s="57" t="s">
        <v>20</v>
      </c>
      <c r="F1" s="56" t="s">
        <v>14</v>
      </c>
      <c r="G1" s="56" t="s">
        <v>15</v>
      </c>
      <c r="H1" s="56" t="s">
        <v>21</v>
      </c>
      <c r="I1" s="57" t="s">
        <v>22</v>
      </c>
      <c r="J1" s="57" t="s">
        <v>23</v>
      </c>
      <c r="K1" s="57" t="s">
        <v>24</v>
      </c>
      <c r="L1" s="58" t="s">
        <v>1880</v>
      </c>
      <c r="M1" s="58" t="s">
        <v>1881</v>
      </c>
      <c r="N1" s="58" t="s">
        <v>1882</v>
      </c>
      <c r="O1" s="58" t="s">
        <v>28</v>
      </c>
      <c r="P1" s="58" t="s">
        <v>29</v>
      </c>
      <c r="Q1" s="58" t="s">
        <v>30</v>
      </c>
      <c r="R1" s="58" t="s">
        <v>31</v>
      </c>
      <c r="S1" s="58" t="s">
        <v>32</v>
      </c>
      <c r="T1" s="58" t="s">
        <v>33</v>
      </c>
      <c r="U1" s="58" t="s">
        <v>34</v>
      </c>
      <c r="V1" s="58" t="s">
        <v>35</v>
      </c>
      <c r="W1" s="58" t="s">
        <v>36</v>
      </c>
      <c r="X1" s="59" t="s">
        <v>1883</v>
      </c>
      <c r="Y1" s="59"/>
      <c r="Z1" s="59"/>
      <c r="AA1" s="59"/>
      <c r="AB1" s="59"/>
      <c r="AC1" s="59"/>
      <c r="AD1" s="59"/>
      <c r="AE1" s="59"/>
      <c r="AF1" s="59"/>
      <c r="AG1" s="59"/>
    </row>
    <row r="2" spans="1:33" ht="12.75">
      <c r="A2" s="79">
        <v>2017</v>
      </c>
      <c r="B2" s="80" t="s">
        <v>2010</v>
      </c>
      <c r="C2" s="81" t="s">
        <v>1638</v>
      </c>
      <c r="D2" s="82">
        <v>42921</v>
      </c>
      <c r="E2" s="82">
        <v>42931</v>
      </c>
      <c r="F2" s="80" t="s">
        <v>2011</v>
      </c>
      <c r="G2" s="80" t="s">
        <v>181</v>
      </c>
      <c r="H2" s="80" t="s">
        <v>1639</v>
      </c>
      <c r="I2" s="132" t="s">
        <v>1640</v>
      </c>
      <c r="J2" s="80"/>
      <c r="K2" s="80"/>
      <c r="L2" s="80" t="s">
        <v>1641</v>
      </c>
      <c r="M2" s="80"/>
      <c r="N2" s="80"/>
      <c r="O2" s="80"/>
      <c r="P2" s="80"/>
      <c r="Q2" s="80" t="s">
        <v>54</v>
      </c>
      <c r="R2" s="80" t="s">
        <v>55</v>
      </c>
      <c r="S2" s="80" t="s">
        <v>949</v>
      </c>
      <c r="T2" s="80" t="s">
        <v>1642</v>
      </c>
      <c r="U2" s="80" t="s">
        <v>1643</v>
      </c>
      <c r="V2" s="80" t="s">
        <v>1112</v>
      </c>
      <c r="W2" s="80" t="s">
        <v>1644</v>
      </c>
      <c r="X2" s="80" t="s">
        <v>103</v>
      </c>
      <c r="Y2" s="80"/>
      <c r="Z2" s="80"/>
      <c r="AA2" s="80"/>
      <c r="AB2" s="80"/>
      <c r="AC2" s="80"/>
      <c r="AD2" s="80"/>
      <c r="AE2" s="80"/>
      <c r="AF2" s="80"/>
      <c r="AG2" s="80"/>
    </row>
    <row r="3" spans="1:33" ht="12.75">
      <c r="A3" s="79">
        <v>2015</v>
      </c>
      <c r="B3" s="80" t="s">
        <v>1637</v>
      </c>
      <c r="C3" s="80" t="str">
        <f t="shared" ref="C3:C5" si="0">C2</f>
        <v xml:space="preserve">gs.altaira@scoutsdemadrid.org </v>
      </c>
      <c r="D3" s="82">
        <v>42188</v>
      </c>
      <c r="E3" s="82">
        <v>42197</v>
      </c>
      <c r="F3" s="80" t="s">
        <v>2011</v>
      </c>
      <c r="G3" s="80" t="s">
        <v>181</v>
      </c>
      <c r="H3" s="80" t="s">
        <v>1639</v>
      </c>
      <c r="I3" s="80" t="s">
        <v>1648</v>
      </c>
      <c r="J3" s="80"/>
      <c r="K3" s="80"/>
      <c r="L3" s="80"/>
      <c r="M3" s="80"/>
      <c r="N3" s="80"/>
      <c r="O3" s="80"/>
      <c r="P3" s="80"/>
      <c r="Q3" s="80"/>
      <c r="R3" s="80"/>
      <c r="S3" s="80"/>
      <c r="T3" s="80"/>
      <c r="U3" s="80"/>
      <c r="V3" s="80"/>
      <c r="W3" s="80"/>
      <c r="X3" s="80"/>
      <c r="Y3" s="80"/>
      <c r="Z3" s="80"/>
      <c r="AA3" s="80"/>
      <c r="AB3" s="80"/>
      <c r="AC3" s="80"/>
      <c r="AD3" s="80"/>
      <c r="AE3" s="80"/>
      <c r="AF3" s="80"/>
      <c r="AG3" s="80"/>
    </row>
    <row r="4" spans="1:33" ht="12.75">
      <c r="A4" s="75">
        <v>2018</v>
      </c>
      <c r="B4" s="76" t="s">
        <v>2010</v>
      </c>
      <c r="C4" s="76" t="str">
        <f t="shared" si="0"/>
        <v xml:space="preserve">gs.altaira@scoutsdemadrid.org </v>
      </c>
      <c r="D4" s="143">
        <v>42557</v>
      </c>
      <c r="E4" s="143">
        <v>42566</v>
      </c>
      <c r="F4" s="80" t="s">
        <v>2011</v>
      </c>
      <c r="G4" s="76" t="s">
        <v>181</v>
      </c>
      <c r="H4" s="76" t="s">
        <v>2013</v>
      </c>
      <c r="I4" s="145" t="s">
        <v>1648</v>
      </c>
      <c r="J4" s="87"/>
      <c r="K4" s="87"/>
      <c r="L4" s="87"/>
      <c r="M4" s="76">
        <v>659729841</v>
      </c>
      <c r="N4" s="76" t="s">
        <v>1651</v>
      </c>
      <c r="O4" s="87"/>
      <c r="P4" s="87"/>
      <c r="Q4" s="76" t="s">
        <v>54</v>
      </c>
      <c r="R4" s="71" t="s">
        <v>55</v>
      </c>
      <c r="S4" s="76" t="s">
        <v>949</v>
      </c>
      <c r="T4" s="71" t="s">
        <v>1335</v>
      </c>
      <c r="U4" s="76" t="s">
        <v>1652</v>
      </c>
      <c r="V4" s="76" t="s">
        <v>1112</v>
      </c>
      <c r="W4" s="87"/>
      <c r="X4" s="76" t="s">
        <v>1112</v>
      </c>
      <c r="Y4" s="76"/>
      <c r="Z4" s="76"/>
      <c r="AA4" s="76"/>
      <c r="AB4" s="76"/>
      <c r="AC4" s="76"/>
      <c r="AD4" s="76"/>
      <c r="AE4" s="76"/>
      <c r="AF4" s="76"/>
      <c r="AG4" s="76"/>
    </row>
    <row r="5" spans="1:33" ht="12.75">
      <c r="A5" s="79">
        <v>2018</v>
      </c>
      <c r="B5" s="80" t="s">
        <v>2010</v>
      </c>
      <c r="C5" s="80" t="str">
        <f t="shared" si="0"/>
        <v xml:space="preserve">gs.altaira@scoutsdemadrid.org </v>
      </c>
      <c r="D5" s="82">
        <v>43286</v>
      </c>
      <c r="E5" s="82">
        <v>43296</v>
      </c>
      <c r="F5" s="80" t="s">
        <v>2011</v>
      </c>
      <c r="G5" s="80" t="s">
        <v>181</v>
      </c>
      <c r="H5" s="80" t="s">
        <v>1656</v>
      </c>
      <c r="I5" s="80" t="s">
        <v>1657</v>
      </c>
      <c r="J5" s="80" t="s">
        <v>1658</v>
      </c>
      <c r="K5" s="80" t="s">
        <v>1658</v>
      </c>
      <c r="L5" s="80" t="s">
        <v>1659</v>
      </c>
      <c r="M5" s="95">
        <v>918550004</v>
      </c>
      <c r="N5" s="80" t="s">
        <v>1660</v>
      </c>
      <c r="O5" s="80" t="s">
        <v>1661</v>
      </c>
      <c r="P5" s="80" t="s">
        <v>1662</v>
      </c>
      <c r="Q5" s="80" t="s">
        <v>54</v>
      </c>
      <c r="R5" s="80" t="s">
        <v>55</v>
      </c>
      <c r="S5" s="80" t="s">
        <v>592</v>
      </c>
      <c r="T5" s="80" t="s">
        <v>1428</v>
      </c>
      <c r="U5" s="80" t="s">
        <v>718</v>
      </c>
      <c r="V5" s="80" t="s">
        <v>1112</v>
      </c>
      <c r="W5" s="80" t="s">
        <v>1663</v>
      </c>
      <c r="X5" s="80" t="s">
        <v>103</v>
      </c>
      <c r="Y5" s="80"/>
      <c r="Z5" s="80"/>
      <c r="AA5" s="80"/>
      <c r="AB5" s="80"/>
      <c r="AC5" s="80"/>
      <c r="AD5" s="80"/>
      <c r="AE5" s="80"/>
      <c r="AF5" s="80"/>
      <c r="AG5" s="80"/>
    </row>
    <row r="6" spans="1:33" ht="12.75">
      <c r="A6" s="79">
        <v>2018</v>
      </c>
      <c r="B6" s="80" t="s">
        <v>1948</v>
      </c>
      <c r="C6" s="81" t="s">
        <v>934</v>
      </c>
      <c r="D6" s="82">
        <v>43298</v>
      </c>
      <c r="E6" s="82">
        <v>43311</v>
      </c>
      <c r="F6" s="80" t="s">
        <v>2011</v>
      </c>
      <c r="G6" s="80" t="s">
        <v>181</v>
      </c>
      <c r="H6" s="80" t="s">
        <v>1667</v>
      </c>
      <c r="I6" s="80" t="s">
        <v>1668</v>
      </c>
      <c r="J6" s="80" t="s">
        <v>1669</v>
      </c>
      <c r="K6" s="80" t="s">
        <v>1670</v>
      </c>
      <c r="L6" s="80" t="s">
        <v>1671</v>
      </c>
      <c r="M6" s="95">
        <v>917384740</v>
      </c>
      <c r="N6" s="80" t="s">
        <v>1672</v>
      </c>
      <c r="O6" s="80" t="s">
        <v>1673</v>
      </c>
      <c r="P6" s="80" t="s">
        <v>1674</v>
      </c>
      <c r="Q6" s="80" t="s">
        <v>54</v>
      </c>
      <c r="R6" s="80" t="s">
        <v>55</v>
      </c>
      <c r="S6" s="80" t="s">
        <v>1675</v>
      </c>
      <c r="T6" s="80" t="s">
        <v>1676</v>
      </c>
      <c r="U6" s="80" t="s">
        <v>1677</v>
      </c>
      <c r="V6" s="80" t="s">
        <v>55</v>
      </c>
      <c r="W6" s="80" t="s">
        <v>1678</v>
      </c>
      <c r="X6" s="80" t="s">
        <v>103</v>
      </c>
      <c r="Y6" s="80"/>
      <c r="Z6" s="80"/>
      <c r="AA6" s="80"/>
      <c r="AB6" s="80"/>
      <c r="AC6" s="80"/>
      <c r="AD6" s="80"/>
      <c r="AE6" s="80"/>
      <c r="AF6" s="80"/>
      <c r="AG6" s="80"/>
    </row>
    <row r="7" spans="1:33" ht="12.75">
      <c r="A7" s="79">
        <v>2018</v>
      </c>
      <c r="B7" s="80" t="s">
        <v>1918</v>
      </c>
      <c r="C7" s="81" t="s">
        <v>1682</v>
      </c>
      <c r="D7" s="82">
        <v>43282</v>
      </c>
      <c r="E7" s="82">
        <v>43296</v>
      </c>
      <c r="F7" s="80" t="s">
        <v>2011</v>
      </c>
      <c r="G7" s="80" t="s">
        <v>181</v>
      </c>
      <c r="H7" s="80" t="s">
        <v>2016</v>
      </c>
      <c r="I7" s="80" t="s">
        <v>1684</v>
      </c>
      <c r="J7" s="80" t="s">
        <v>1658</v>
      </c>
      <c r="K7" s="80" t="s">
        <v>1685</v>
      </c>
      <c r="L7" s="80" t="s">
        <v>1686</v>
      </c>
      <c r="M7" s="95">
        <v>618826205</v>
      </c>
      <c r="N7" s="80" t="s">
        <v>1687</v>
      </c>
      <c r="O7" s="80" t="s">
        <v>1688</v>
      </c>
      <c r="P7" s="80" t="s">
        <v>1689</v>
      </c>
      <c r="Q7" s="80" t="s">
        <v>100</v>
      </c>
      <c r="R7" s="80" t="s">
        <v>55</v>
      </c>
      <c r="S7" s="80" t="s">
        <v>1690</v>
      </c>
      <c r="T7" s="80" t="s">
        <v>1691</v>
      </c>
      <c r="U7" s="80" t="s">
        <v>1692</v>
      </c>
      <c r="V7" s="80" t="s">
        <v>1658</v>
      </c>
      <c r="W7" s="80" t="s">
        <v>1693</v>
      </c>
      <c r="X7" s="80" t="s">
        <v>55</v>
      </c>
      <c r="Y7" s="80"/>
      <c r="Z7" s="80"/>
      <c r="AA7" s="80"/>
      <c r="AB7" s="80"/>
      <c r="AC7" s="80"/>
      <c r="AD7" s="80"/>
      <c r="AE7" s="80"/>
      <c r="AF7" s="80"/>
      <c r="AG7" s="80"/>
    </row>
    <row r="8" spans="1:33" ht="12.75">
      <c r="A8" s="79">
        <v>2019</v>
      </c>
      <c r="B8" s="80" t="s">
        <v>1944</v>
      </c>
      <c r="C8" s="81" t="s">
        <v>904</v>
      </c>
      <c r="D8" s="82">
        <v>43639</v>
      </c>
      <c r="E8" s="82">
        <v>43644</v>
      </c>
      <c r="F8" s="80" t="s">
        <v>2011</v>
      </c>
      <c r="G8" s="80" t="s">
        <v>2017</v>
      </c>
      <c r="H8" s="80" t="s">
        <v>1667</v>
      </c>
      <c r="I8" s="80" t="s">
        <v>1697</v>
      </c>
      <c r="J8" s="80" t="s">
        <v>672</v>
      </c>
      <c r="K8" s="80" t="s">
        <v>1698</v>
      </c>
      <c r="L8" s="80" t="s">
        <v>1699</v>
      </c>
      <c r="M8" s="95" t="s">
        <v>1700</v>
      </c>
      <c r="N8" s="80" t="s">
        <v>1672</v>
      </c>
      <c r="O8" s="80" t="s">
        <v>714</v>
      </c>
      <c r="P8" s="80">
        <v>5</v>
      </c>
      <c r="Q8" s="80" t="s">
        <v>54</v>
      </c>
      <c r="R8" s="80" t="s">
        <v>55</v>
      </c>
      <c r="S8" s="80">
        <v>0</v>
      </c>
      <c r="T8" s="80" t="s">
        <v>1701</v>
      </c>
      <c r="U8" s="80" t="s">
        <v>1702</v>
      </c>
      <c r="V8" s="80" t="s">
        <v>103</v>
      </c>
      <c r="W8" s="80" t="s">
        <v>1703</v>
      </c>
      <c r="X8" s="80" t="s">
        <v>103</v>
      </c>
      <c r="Y8" s="80"/>
      <c r="Z8" s="80"/>
      <c r="AA8" s="80"/>
      <c r="AB8" s="80"/>
      <c r="AC8" s="80"/>
      <c r="AD8" s="80"/>
      <c r="AE8" s="80"/>
      <c r="AF8" s="80"/>
      <c r="AG8" s="80"/>
    </row>
    <row r="9" spans="1:33" ht="12.75">
      <c r="A9" s="79">
        <v>2019</v>
      </c>
      <c r="B9" s="80" t="s">
        <v>2010</v>
      </c>
      <c r="C9" s="81" t="s">
        <v>1638</v>
      </c>
      <c r="D9" s="82">
        <v>43650</v>
      </c>
      <c r="E9" s="82">
        <v>43660</v>
      </c>
      <c r="F9" s="80" t="s">
        <v>2011</v>
      </c>
      <c r="G9" s="80" t="s">
        <v>181</v>
      </c>
      <c r="H9" s="80" t="s">
        <v>1656</v>
      </c>
      <c r="I9" s="80" t="s">
        <v>1706</v>
      </c>
      <c r="J9" s="80" t="s">
        <v>1707</v>
      </c>
      <c r="K9" s="80" t="s">
        <v>1707</v>
      </c>
      <c r="L9" s="80" t="s">
        <v>1708</v>
      </c>
      <c r="M9" s="95">
        <v>918550004</v>
      </c>
      <c r="N9" s="80" t="s">
        <v>1660</v>
      </c>
      <c r="O9" s="80">
        <v>10</v>
      </c>
      <c r="P9" s="80" t="s">
        <v>718</v>
      </c>
      <c r="Q9" s="80" t="s">
        <v>54</v>
      </c>
      <c r="R9" s="80" t="s">
        <v>55</v>
      </c>
      <c r="S9" s="80" t="s">
        <v>1709</v>
      </c>
      <c r="T9" s="80" t="s">
        <v>592</v>
      </c>
      <c r="U9" s="80" t="s">
        <v>1710</v>
      </c>
      <c r="V9" s="80" t="s">
        <v>1112</v>
      </c>
      <c r="W9" s="80" t="s">
        <v>1678</v>
      </c>
      <c r="X9" s="80" t="s">
        <v>103</v>
      </c>
      <c r="Y9" s="80"/>
      <c r="Z9" s="80"/>
      <c r="AA9" s="80"/>
      <c r="AB9" s="80"/>
      <c r="AC9" s="80"/>
      <c r="AD9" s="80"/>
      <c r="AE9" s="80"/>
      <c r="AF9" s="80"/>
      <c r="AG9" s="80"/>
    </row>
    <row r="10" spans="1:33" ht="12.75">
      <c r="A10" s="79">
        <v>2019</v>
      </c>
      <c r="B10" s="80" t="s">
        <v>1922</v>
      </c>
      <c r="C10" s="81" t="s">
        <v>650</v>
      </c>
      <c r="D10" s="82">
        <v>43680</v>
      </c>
      <c r="E10" s="82">
        <v>43686</v>
      </c>
      <c r="F10" s="80" t="s">
        <v>2011</v>
      </c>
      <c r="G10" s="80" t="s">
        <v>181</v>
      </c>
      <c r="H10" s="80" t="s">
        <v>1713</v>
      </c>
      <c r="I10" s="80" t="s">
        <v>1714</v>
      </c>
      <c r="J10" s="80" t="s">
        <v>1715</v>
      </c>
      <c r="K10" s="80" t="s">
        <v>1716</v>
      </c>
      <c r="L10" s="80" t="s">
        <v>1717</v>
      </c>
      <c r="M10" s="95">
        <v>609275172</v>
      </c>
      <c r="N10" s="80" t="s">
        <v>1718</v>
      </c>
      <c r="O10" s="80" t="s">
        <v>1719</v>
      </c>
      <c r="P10" s="80">
        <v>5000</v>
      </c>
      <c r="Q10" s="80" t="s">
        <v>54</v>
      </c>
      <c r="R10" s="80" t="s">
        <v>55</v>
      </c>
      <c r="S10" s="80" t="s">
        <v>1720</v>
      </c>
      <c r="T10" s="80" t="s">
        <v>1721</v>
      </c>
      <c r="U10" s="80" t="s">
        <v>1722</v>
      </c>
      <c r="V10" s="80" t="s">
        <v>1723</v>
      </c>
      <c r="W10" s="80" t="s">
        <v>1724</v>
      </c>
      <c r="X10" s="80" t="s">
        <v>103</v>
      </c>
      <c r="Y10" s="80"/>
      <c r="Z10" s="80"/>
      <c r="AA10" s="80"/>
      <c r="AB10" s="80"/>
      <c r="AC10" s="80"/>
      <c r="AD10" s="80"/>
      <c r="AE10" s="80"/>
      <c r="AF10" s="80"/>
      <c r="AG10" s="80"/>
    </row>
    <row r="11" spans="1:33" ht="12.75">
      <c r="A11" s="147"/>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row>
    <row r="12" spans="1:33" ht="12.75">
      <c r="A12" s="148"/>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row>
    <row r="13" spans="1:33" ht="12.75">
      <c r="A13" s="148"/>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row>
    <row r="14" spans="1:33" ht="12.75">
      <c r="A14" s="148"/>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row>
    <row r="15" spans="1:33" ht="12.75">
      <c r="A15" s="148"/>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row>
    <row r="16" spans="1:33" ht="12.75">
      <c r="A16" s="148"/>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row>
    <row r="17" spans="1:33" ht="12.75">
      <c r="A17" s="148"/>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row>
    <row r="18" spans="1:33" ht="12.75">
      <c r="A18" s="148"/>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row>
    <row r="19" spans="1:33" ht="12.75">
      <c r="A19" s="148"/>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row>
    <row r="20" spans="1:33" ht="12.75">
      <c r="A20" s="148"/>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row>
    <row r="21" spans="1:33" ht="12.75">
      <c r="A21" s="148"/>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row>
    <row r="22" spans="1:33" ht="12.75">
      <c r="A22" s="148"/>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row>
    <row r="23" spans="1:33" ht="12.75">
      <c r="A23" s="148"/>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row>
    <row r="24" spans="1:33" ht="12.75">
      <c r="A24" s="148"/>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row>
    <row r="25" spans="1:33" ht="12.75">
      <c r="A25" s="148"/>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row>
    <row r="26" spans="1:33" ht="12.75">
      <c r="A26" s="148"/>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row>
    <row r="27" spans="1:33" ht="12.75">
      <c r="A27" s="148"/>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row>
    <row r="28" spans="1:33" ht="12.75">
      <c r="A28" s="148"/>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row>
    <row r="29" spans="1:33" ht="12.75">
      <c r="A29" s="148"/>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row>
    <row r="30" spans="1:33" ht="12.75">
      <c r="A30" s="148"/>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row>
    <row r="31" spans="1:33" ht="12.75">
      <c r="A31" s="148"/>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row>
    <row r="32" spans="1:33" ht="12.75">
      <c r="A32" s="148"/>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row>
    <row r="33" spans="1:33" ht="12.75">
      <c r="A33" s="148"/>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row>
    <row r="34" spans="1:33" ht="12.75">
      <c r="A34" s="148"/>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row>
    <row r="35" spans="1:33" ht="12.75">
      <c r="A35" s="148"/>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row>
    <row r="36" spans="1:33" ht="12.75">
      <c r="A36" s="148"/>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row>
    <row r="37" spans="1:33" ht="12.75">
      <c r="A37" s="148"/>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row>
    <row r="38" spans="1:33" ht="12.75">
      <c r="A38" s="148"/>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row>
    <row r="39" spans="1:33" ht="12.75">
      <c r="A39" s="148"/>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row>
    <row r="40" spans="1:33" ht="12.75">
      <c r="A40" s="148"/>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row>
    <row r="41" spans="1:33" ht="12.75">
      <c r="A41" s="148"/>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row>
    <row r="42" spans="1:33" ht="12.75">
      <c r="A42" s="148"/>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row>
    <row r="43" spans="1:33" ht="12.75">
      <c r="A43" s="148"/>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row>
    <row r="44" spans="1:33" ht="12.75">
      <c r="A44" s="148"/>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row>
    <row r="45" spans="1:33" ht="12.75">
      <c r="A45" s="148"/>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row>
    <row r="46" spans="1:33" ht="12.75">
      <c r="A46" s="148"/>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row>
    <row r="47" spans="1:33" ht="12.75">
      <c r="A47" s="148"/>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row>
    <row r="48" spans="1:33" ht="12.75">
      <c r="A48" s="148"/>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row>
    <row r="49" spans="1:33" ht="12.75">
      <c r="A49" s="148"/>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row>
    <row r="50" spans="1:33" ht="12.75">
      <c r="A50" s="148"/>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3" ht="12.75">
      <c r="A51" s="148"/>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row>
    <row r="52" spans="1:33" ht="12.75">
      <c r="A52" s="148"/>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row>
    <row r="53" spans="1:33" ht="12.75">
      <c r="A53" s="148"/>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row>
    <row r="54" spans="1:33" ht="12.75">
      <c r="A54" s="148"/>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row>
    <row r="55" spans="1:33" ht="12.75">
      <c r="A55" s="148"/>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row>
    <row r="56" spans="1:33" ht="12.75">
      <c r="A56" s="148"/>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row>
    <row r="57" spans="1:33" ht="12.75">
      <c r="A57" s="148"/>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row>
    <row r="58" spans="1:33" ht="12.75">
      <c r="A58" s="148"/>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row>
    <row r="59" spans="1:33" ht="12.75">
      <c r="A59" s="148"/>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row>
    <row r="60" spans="1:33" ht="12.75">
      <c r="A60" s="148"/>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row>
    <row r="61" spans="1:33" ht="12.75">
      <c r="A61" s="148"/>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row>
    <row r="62" spans="1:33" ht="12.75">
      <c r="A62" s="148"/>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row>
    <row r="63" spans="1:33" ht="12.75">
      <c r="A63" s="148"/>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row>
    <row r="64" spans="1:33" ht="12.75">
      <c r="A64" s="148"/>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row>
    <row r="65" spans="1:33" ht="12.75">
      <c r="A65" s="148"/>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row>
    <row r="66" spans="1:33" ht="12.75">
      <c r="A66" s="148"/>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row>
    <row r="67" spans="1:33" ht="12.75">
      <c r="A67" s="148"/>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row>
    <row r="68" spans="1:33" ht="12.75">
      <c r="A68" s="148"/>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row>
    <row r="69" spans="1:33" ht="12.75">
      <c r="A69" s="148"/>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row>
    <row r="70" spans="1:33" ht="12.75">
      <c r="A70" s="148"/>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row>
    <row r="71" spans="1:33" ht="12.75">
      <c r="A71" s="148"/>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row>
    <row r="72" spans="1:33" ht="12.75">
      <c r="A72" s="148"/>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row>
    <row r="73" spans="1:33" ht="12.75">
      <c r="A73" s="148"/>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row>
    <row r="74" spans="1:33" ht="12.75">
      <c r="A74" s="148"/>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row>
    <row r="75" spans="1:33" ht="12.75">
      <c r="A75" s="148"/>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row>
    <row r="76" spans="1:33" ht="12.75">
      <c r="A76" s="148"/>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row>
    <row r="77" spans="1:33" ht="12.75">
      <c r="A77" s="148"/>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row>
    <row r="78" spans="1:33" ht="12.75">
      <c r="A78" s="148"/>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row>
    <row r="79" spans="1:33" ht="12.75">
      <c r="A79" s="148"/>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row>
    <row r="80" spans="1:33" ht="12.75">
      <c r="A80" s="148"/>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row>
    <row r="81" spans="1:33" ht="12.75">
      <c r="A81" s="148"/>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row>
    <row r="82" spans="1:33" ht="12.75">
      <c r="A82" s="148"/>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row>
    <row r="83" spans="1:33" ht="12.75">
      <c r="A83" s="148"/>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row>
    <row r="84" spans="1:33" ht="12.75">
      <c r="A84" s="148"/>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row>
    <row r="85" spans="1:33" ht="12.75">
      <c r="A85" s="148"/>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row>
    <row r="86" spans="1:33" ht="12.75">
      <c r="A86" s="148"/>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row>
    <row r="87" spans="1:33" ht="12.75">
      <c r="A87" s="148"/>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row>
    <row r="88" spans="1:33" ht="12.75">
      <c r="A88" s="148"/>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row>
    <row r="89" spans="1:33" ht="12.75">
      <c r="A89" s="148"/>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row>
    <row r="90" spans="1:33" ht="12.75">
      <c r="A90" s="148"/>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row>
    <row r="91" spans="1:33" ht="12.75">
      <c r="A91" s="148"/>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row>
    <row r="92" spans="1:33" ht="12.75">
      <c r="A92" s="148"/>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row>
    <row r="93" spans="1:33" ht="12.75">
      <c r="A93" s="148"/>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row>
    <row r="94" spans="1:33" ht="12.75">
      <c r="A94" s="148"/>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row>
    <row r="95" spans="1:33" ht="12.75">
      <c r="A95" s="148"/>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row>
    <row r="96" spans="1:33" ht="12.75">
      <c r="A96" s="148"/>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row>
    <row r="97" spans="1:33" ht="12.75">
      <c r="A97" s="148"/>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row>
    <row r="98" spans="1:33" ht="12.75">
      <c r="A98" s="148"/>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row>
    <row r="99" spans="1:33" ht="12.75">
      <c r="A99" s="148"/>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row>
    <row r="100" spans="1:33" ht="12.75">
      <c r="A100" s="148"/>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row>
    <row r="101" spans="1:33" ht="12.75">
      <c r="A101" s="148"/>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row>
    <row r="102" spans="1:33" ht="12.75">
      <c r="A102" s="148"/>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row>
    <row r="103" spans="1:33" ht="12.75">
      <c r="A103" s="148"/>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row>
    <row r="104" spans="1:33" ht="12.75">
      <c r="A104" s="148"/>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row>
    <row r="105" spans="1:33" ht="12.75">
      <c r="A105" s="148"/>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row>
    <row r="106" spans="1:33" ht="12.75">
      <c r="A106" s="148"/>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row>
    <row r="107" spans="1:33" ht="12.75">
      <c r="A107" s="148"/>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row>
    <row r="108" spans="1:33" ht="12.75">
      <c r="A108" s="148"/>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row>
    <row r="109" spans="1:33" ht="12.75">
      <c r="A109" s="148"/>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row>
    <row r="110" spans="1:33" ht="12.75">
      <c r="A110" s="148"/>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row>
    <row r="111" spans="1:33" ht="12.75">
      <c r="A111" s="148"/>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row>
    <row r="112" spans="1:33" ht="12.75">
      <c r="A112" s="148"/>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row>
    <row r="113" spans="1:33" ht="12.75">
      <c r="A113" s="148"/>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row>
    <row r="114" spans="1:33" ht="12.75">
      <c r="A114" s="148"/>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row>
    <row r="115" spans="1:33" ht="12.75">
      <c r="A115" s="148"/>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row>
    <row r="116" spans="1:33" ht="12.75">
      <c r="A116" s="148"/>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row>
    <row r="117" spans="1:33" ht="12.75">
      <c r="A117" s="148"/>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row>
    <row r="118" spans="1:33" ht="12.75">
      <c r="A118" s="148"/>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row>
    <row r="119" spans="1:33" ht="12.75">
      <c r="A119" s="148"/>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row>
    <row r="120" spans="1:33" ht="12.75">
      <c r="A120" s="148"/>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row>
    <row r="121" spans="1:33" ht="12.75">
      <c r="A121" s="148"/>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row>
    <row r="122" spans="1:33" ht="12.75">
      <c r="A122" s="148"/>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row>
    <row r="123" spans="1:33" ht="12.75">
      <c r="A123" s="148"/>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row>
    <row r="124" spans="1:33" ht="12.75">
      <c r="A124" s="148"/>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row>
    <row r="125" spans="1:33" ht="12.75">
      <c r="A125" s="148"/>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row>
    <row r="126" spans="1:33" ht="12.75">
      <c r="A126" s="148"/>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row>
    <row r="127" spans="1:33" ht="12.75">
      <c r="A127" s="148"/>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row>
    <row r="128" spans="1:33" ht="12.75">
      <c r="A128" s="148"/>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row>
    <row r="129" spans="1:33" ht="12.75">
      <c r="A129" s="148"/>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row>
    <row r="130" spans="1:33" ht="12.75">
      <c r="A130" s="148"/>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row>
    <row r="131" spans="1:33" ht="12.75">
      <c r="A131" s="148"/>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row>
    <row r="132" spans="1:33" ht="12.75">
      <c r="A132" s="148"/>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row>
    <row r="133" spans="1:33" ht="12.75">
      <c r="A133" s="148"/>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row>
    <row r="134" spans="1:33" ht="12.75">
      <c r="A134" s="148"/>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row>
    <row r="135" spans="1:33" ht="12.75">
      <c r="A135" s="148"/>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row>
    <row r="136" spans="1:33" ht="12.75">
      <c r="A136" s="148"/>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row>
    <row r="137" spans="1:33" ht="12.75">
      <c r="A137" s="148"/>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row>
    <row r="138" spans="1:33" ht="12.75">
      <c r="A138" s="148"/>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row>
    <row r="139" spans="1:33" ht="12.75">
      <c r="A139" s="148"/>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row>
    <row r="140" spans="1:33" ht="12.75">
      <c r="A140" s="148"/>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row>
    <row r="141" spans="1:33" ht="12.75">
      <c r="A141" s="148"/>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row>
    <row r="142" spans="1:33" ht="12.75">
      <c r="A142" s="148"/>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row>
    <row r="143" spans="1:33" ht="12.75">
      <c r="A143" s="148"/>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row>
    <row r="144" spans="1:33" ht="12.75">
      <c r="A144" s="148"/>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row>
    <row r="145" spans="1:33" ht="12.75">
      <c r="A145" s="148"/>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row>
    <row r="146" spans="1:33" ht="12.75">
      <c r="A146" s="148"/>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row>
    <row r="147" spans="1:33" ht="12.75">
      <c r="A147" s="148"/>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row>
    <row r="148" spans="1:33" ht="12.75">
      <c r="A148" s="148"/>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row>
    <row r="149" spans="1:33" ht="12.75">
      <c r="A149" s="148"/>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row>
    <row r="150" spans="1:33" ht="12.75">
      <c r="A150" s="148"/>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row>
    <row r="151" spans="1:33" ht="12.75">
      <c r="A151" s="148"/>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row>
    <row r="152" spans="1:33" ht="12.75">
      <c r="A152" s="148"/>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row>
    <row r="153" spans="1:33" ht="12.75">
      <c r="A153" s="148"/>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row>
    <row r="154" spans="1:33" ht="12.75">
      <c r="A154" s="148"/>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row>
    <row r="155" spans="1:33" ht="12.75">
      <c r="A155" s="148"/>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row>
    <row r="156" spans="1:33" ht="12.75">
      <c r="A156" s="148"/>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row>
    <row r="157" spans="1:33" ht="12.75">
      <c r="A157" s="148"/>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row>
    <row r="158" spans="1:33" ht="12.75">
      <c r="A158" s="148"/>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row>
    <row r="159" spans="1:33" ht="12.75">
      <c r="A159" s="148"/>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row>
    <row r="160" spans="1:33" ht="12.75">
      <c r="A160" s="148"/>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row>
    <row r="161" spans="1:33" ht="12.75">
      <c r="A161" s="148"/>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row>
    <row r="162" spans="1:33" ht="12.75">
      <c r="A162" s="148"/>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row>
    <row r="163" spans="1:33" ht="12.75">
      <c r="A163" s="148"/>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row>
    <row r="164" spans="1:33" ht="12.75">
      <c r="A164" s="148"/>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row>
    <row r="165" spans="1:33" ht="12.75">
      <c r="A165" s="148"/>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row>
    <row r="166" spans="1:33" ht="12.75">
      <c r="A166" s="148"/>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row>
    <row r="167" spans="1:33" ht="12.75">
      <c r="A167" s="148"/>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row>
    <row r="168" spans="1:33" ht="12.75">
      <c r="A168" s="148"/>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row>
    <row r="169" spans="1:33" ht="12.75">
      <c r="A169" s="148"/>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row>
    <row r="170" spans="1:33" ht="12.75">
      <c r="A170" s="148"/>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row>
    <row r="171" spans="1:33" ht="12.75">
      <c r="A171" s="148"/>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row>
    <row r="172" spans="1:33" ht="12.75">
      <c r="A172" s="148"/>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row>
    <row r="173" spans="1:33" ht="12.75">
      <c r="A173" s="148"/>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row>
    <row r="174" spans="1:33" ht="12.75">
      <c r="A174" s="148"/>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row>
    <row r="175" spans="1:33" ht="12.75">
      <c r="A175" s="148"/>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row>
    <row r="176" spans="1:33" ht="12.75">
      <c r="A176" s="148"/>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row>
    <row r="177" spans="1:33" ht="12.75">
      <c r="A177" s="148"/>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row>
    <row r="178" spans="1:33" ht="12.75">
      <c r="A178" s="148"/>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row>
    <row r="179" spans="1:33" ht="12.75">
      <c r="A179" s="148"/>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row>
    <row r="180" spans="1:33" ht="12.75">
      <c r="A180" s="148"/>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row>
    <row r="181" spans="1:33" ht="12.75">
      <c r="A181" s="148"/>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row>
    <row r="182" spans="1:33" ht="12.75">
      <c r="A182" s="148"/>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row>
    <row r="183" spans="1:33" ht="12.75">
      <c r="A183" s="148"/>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row>
    <row r="184" spans="1:33" ht="12.75">
      <c r="A184" s="148"/>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row>
    <row r="185" spans="1:33" ht="12.75">
      <c r="A185" s="148"/>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row>
    <row r="186" spans="1:33" ht="12.75">
      <c r="A186" s="148"/>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row>
    <row r="187" spans="1:33" ht="12.75">
      <c r="A187" s="148"/>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row>
    <row r="188" spans="1:33" ht="12.75">
      <c r="A188" s="148"/>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row>
    <row r="189" spans="1:33" ht="12.75">
      <c r="A189" s="148"/>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row>
    <row r="190" spans="1:33" ht="12.75">
      <c r="A190" s="148"/>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row>
    <row r="191" spans="1:33" ht="12.75">
      <c r="A191" s="148"/>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row>
    <row r="192" spans="1:33" ht="12.75">
      <c r="A192" s="148"/>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row>
    <row r="193" spans="1:33" ht="12.75">
      <c r="A193" s="148"/>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row>
    <row r="194" spans="1:33" ht="12.75">
      <c r="A194" s="148"/>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row>
    <row r="195" spans="1:33" ht="12.75">
      <c r="A195" s="148"/>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row>
    <row r="196" spans="1:33" ht="12.75">
      <c r="A196" s="148"/>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row>
    <row r="197" spans="1:33" ht="12.75">
      <c r="A197" s="148"/>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row>
    <row r="198" spans="1:33" ht="12.75">
      <c r="A198" s="148"/>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row>
    <row r="199" spans="1:33" ht="12.75">
      <c r="A199" s="148"/>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row>
    <row r="200" spans="1:33" ht="12.75">
      <c r="A200" s="148"/>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row>
    <row r="201" spans="1:33" ht="12.75">
      <c r="A201" s="148"/>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row>
    <row r="202" spans="1:33" ht="12.75">
      <c r="A202" s="148"/>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row>
    <row r="203" spans="1:33" ht="12.75">
      <c r="A203" s="148"/>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row>
    <row r="204" spans="1:33" ht="12.75">
      <c r="A204" s="148"/>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row>
    <row r="205" spans="1:33" ht="12.75">
      <c r="A205" s="148"/>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row>
    <row r="206" spans="1:33" ht="12.75">
      <c r="A206" s="148"/>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row>
    <row r="207" spans="1:33" ht="12.75">
      <c r="A207" s="148"/>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row>
    <row r="208" spans="1:33" ht="12.75">
      <c r="A208" s="148"/>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row>
    <row r="209" spans="1:33" ht="12.75">
      <c r="A209" s="148"/>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row>
    <row r="210" spans="1:33" ht="12.75">
      <c r="A210" s="148"/>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row>
    <row r="211" spans="1:33" ht="12.75">
      <c r="A211" s="148"/>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row>
    <row r="212" spans="1:33" ht="12.75">
      <c r="A212" s="148"/>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c r="AB212" s="146"/>
      <c r="AC212" s="146"/>
      <c r="AD212" s="146"/>
      <c r="AE212" s="146"/>
      <c r="AF212" s="146"/>
      <c r="AG212" s="146"/>
    </row>
    <row r="213" spans="1:33" ht="12.75">
      <c r="A213" s="148"/>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row>
    <row r="214" spans="1:33" ht="12.75">
      <c r="A214" s="148"/>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c r="AB214" s="146"/>
      <c r="AC214" s="146"/>
      <c r="AD214" s="146"/>
      <c r="AE214" s="146"/>
      <c r="AF214" s="146"/>
      <c r="AG214" s="146"/>
    </row>
    <row r="215" spans="1:33" ht="12.75">
      <c r="A215" s="148"/>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row>
    <row r="216" spans="1:33" ht="12.75">
      <c r="A216" s="148"/>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row>
    <row r="217" spans="1:33" ht="12.75">
      <c r="A217" s="148"/>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146"/>
      <c r="AG217" s="146"/>
    </row>
    <row r="218" spans="1:33" ht="12.75">
      <c r="A218" s="148"/>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6"/>
      <c r="AF218" s="146"/>
      <c r="AG218" s="146"/>
    </row>
    <row r="219" spans="1:33" ht="12.75">
      <c r="A219" s="148"/>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6"/>
      <c r="AF219" s="146"/>
      <c r="AG219" s="146"/>
    </row>
    <row r="220" spans="1:33" ht="12.75">
      <c r="A220" s="148"/>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146"/>
      <c r="AC220" s="146"/>
      <c r="AD220" s="146"/>
      <c r="AE220" s="146"/>
      <c r="AF220" s="146"/>
      <c r="AG220" s="146"/>
    </row>
    <row r="221" spans="1:33" ht="12.75">
      <c r="A221" s="148"/>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row>
    <row r="222" spans="1:33" ht="12.75">
      <c r="A222" s="148"/>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row>
    <row r="223" spans="1:33" ht="12.75">
      <c r="A223" s="148"/>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row>
    <row r="224" spans="1:33" ht="12.75">
      <c r="A224" s="148"/>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146"/>
      <c r="AE224" s="146"/>
      <c r="AF224" s="146"/>
      <c r="AG224" s="146"/>
    </row>
    <row r="225" spans="1:33" ht="12.75">
      <c r="A225" s="148"/>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c r="AB225" s="146"/>
      <c r="AC225" s="146"/>
      <c r="AD225" s="146"/>
      <c r="AE225" s="146"/>
      <c r="AF225" s="146"/>
      <c r="AG225" s="146"/>
    </row>
    <row r="226" spans="1:33" ht="12.75">
      <c r="A226" s="148"/>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146"/>
      <c r="AC226" s="146"/>
      <c r="AD226" s="146"/>
      <c r="AE226" s="146"/>
      <c r="AF226" s="146"/>
      <c r="AG226" s="146"/>
    </row>
    <row r="227" spans="1:33" ht="12.75">
      <c r="A227" s="148"/>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146"/>
      <c r="AC227" s="146"/>
      <c r="AD227" s="146"/>
      <c r="AE227" s="146"/>
      <c r="AF227" s="146"/>
      <c r="AG227" s="146"/>
    </row>
    <row r="228" spans="1:33" ht="12.75">
      <c r="A228" s="148"/>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c r="AB228" s="146"/>
      <c r="AC228" s="146"/>
      <c r="AD228" s="146"/>
      <c r="AE228" s="146"/>
      <c r="AF228" s="146"/>
      <c r="AG228" s="146"/>
    </row>
    <row r="229" spans="1:33" ht="12.75">
      <c r="A229" s="148"/>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146"/>
      <c r="AC229" s="146"/>
      <c r="AD229" s="146"/>
      <c r="AE229" s="146"/>
      <c r="AF229" s="146"/>
      <c r="AG229" s="146"/>
    </row>
    <row r="230" spans="1:33" ht="12.75">
      <c r="A230" s="148"/>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146"/>
      <c r="AC230" s="146"/>
      <c r="AD230" s="146"/>
      <c r="AE230" s="146"/>
      <c r="AF230" s="146"/>
      <c r="AG230" s="146"/>
    </row>
    <row r="231" spans="1:33" ht="12.75">
      <c r="A231" s="148"/>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c r="AB231" s="146"/>
      <c r="AC231" s="146"/>
      <c r="AD231" s="146"/>
      <c r="AE231" s="146"/>
      <c r="AF231" s="146"/>
      <c r="AG231" s="146"/>
    </row>
    <row r="232" spans="1:33" ht="12.75">
      <c r="A232" s="148"/>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146"/>
      <c r="AC232" s="146"/>
      <c r="AD232" s="146"/>
      <c r="AE232" s="146"/>
      <c r="AF232" s="146"/>
      <c r="AG232" s="146"/>
    </row>
    <row r="233" spans="1:33" ht="12.75">
      <c r="A233" s="148"/>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row>
    <row r="234" spans="1:33" ht="12.75">
      <c r="A234" s="148"/>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6"/>
      <c r="AF234" s="146"/>
      <c r="AG234" s="146"/>
    </row>
    <row r="235" spans="1:33" ht="12.75">
      <c r="A235" s="148"/>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146"/>
      <c r="AC235" s="146"/>
      <c r="AD235" s="146"/>
      <c r="AE235" s="146"/>
      <c r="AF235" s="146"/>
      <c r="AG235" s="146"/>
    </row>
    <row r="236" spans="1:33" ht="12.75">
      <c r="A236" s="148"/>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146"/>
      <c r="AC236" s="146"/>
      <c r="AD236" s="146"/>
      <c r="AE236" s="146"/>
      <c r="AF236" s="146"/>
      <c r="AG236" s="146"/>
    </row>
    <row r="237" spans="1:33" ht="12.75">
      <c r="A237" s="148"/>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c r="AB237" s="146"/>
      <c r="AC237" s="146"/>
      <c r="AD237" s="146"/>
      <c r="AE237" s="146"/>
      <c r="AF237" s="146"/>
      <c r="AG237" s="146"/>
    </row>
    <row r="238" spans="1:33" ht="12.75">
      <c r="A238" s="148"/>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146"/>
      <c r="AC238" s="146"/>
      <c r="AD238" s="146"/>
      <c r="AE238" s="146"/>
      <c r="AF238" s="146"/>
      <c r="AG238" s="146"/>
    </row>
    <row r="239" spans="1:33" ht="12.75">
      <c r="A239" s="148"/>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row>
    <row r="240" spans="1:33" ht="12.75">
      <c r="A240" s="148"/>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c r="AB240" s="146"/>
      <c r="AC240" s="146"/>
      <c r="AD240" s="146"/>
      <c r="AE240" s="146"/>
      <c r="AF240" s="146"/>
      <c r="AG240" s="146"/>
    </row>
    <row r="241" spans="1:33" ht="12.75">
      <c r="A241" s="148"/>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146"/>
      <c r="AC241" s="146"/>
      <c r="AD241" s="146"/>
      <c r="AE241" s="146"/>
      <c r="AF241" s="146"/>
      <c r="AG241" s="146"/>
    </row>
    <row r="242" spans="1:33" ht="12.75">
      <c r="A242" s="148"/>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c r="AB242" s="146"/>
      <c r="AC242" s="146"/>
      <c r="AD242" s="146"/>
      <c r="AE242" s="146"/>
      <c r="AF242" s="146"/>
      <c r="AG242" s="146"/>
    </row>
    <row r="243" spans="1:33" ht="12.75">
      <c r="A243" s="148"/>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c r="AB243" s="146"/>
      <c r="AC243" s="146"/>
      <c r="AD243" s="146"/>
      <c r="AE243" s="146"/>
      <c r="AF243" s="146"/>
      <c r="AG243" s="146"/>
    </row>
    <row r="244" spans="1:33" ht="12.75">
      <c r="A244" s="148"/>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146"/>
      <c r="AC244" s="146"/>
      <c r="AD244" s="146"/>
      <c r="AE244" s="146"/>
      <c r="AF244" s="146"/>
      <c r="AG244" s="146"/>
    </row>
    <row r="245" spans="1:33" ht="12.75">
      <c r="A245" s="148"/>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146"/>
      <c r="AC245" s="146"/>
      <c r="AD245" s="146"/>
      <c r="AE245" s="146"/>
      <c r="AF245" s="146"/>
      <c r="AG245" s="146"/>
    </row>
    <row r="246" spans="1:33" ht="12.75">
      <c r="A246" s="148"/>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c r="AB246" s="146"/>
      <c r="AC246" s="146"/>
      <c r="AD246" s="146"/>
      <c r="AE246" s="146"/>
      <c r="AF246" s="146"/>
      <c r="AG246" s="146"/>
    </row>
    <row r="247" spans="1:33" ht="12.75">
      <c r="A247" s="148"/>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row>
    <row r="248" spans="1:33" ht="12.75">
      <c r="A248" s="148"/>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row>
    <row r="249" spans="1:33" ht="12.75">
      <c r="A249" s="148"/>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6"/>
      <c r="AF249" s="146"/>
      <c r="AG249" s="146"/>
    </row>
    <row r="250" spans="1:33" ht="12.75">
      <c r="A250" s="148"/>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c r="AB250" s="146"/>
      <c r="AC250" s="146"/>
      <c r="AD250" s="146"/>
      <c r="AE250" s="146"/>
      <c r="AF250" s="146"/>
      <c r="AG250" s="146"/>
    </row>
    <row r="251" spans="1:33" ht="12.75">
      <c r="A251" s="148"/>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46"/>
      <c r="AF251" s="146"/>
      <c r="AG251" s="146"/>
    </row>
    <row r="252" spans="1:33" ht="12.75">
      <c r="A252" s="148"/>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c r="AB252" s="146"/>
      <c r="AC252" s="146"/>
      <c r="AD252" s="146"/>
      <c r="AE252" s="146"/>
      <c r="AF252" s="146"/>
      <c r="AG252" s="146"/>
    </row>
    <row r="253" spans="1:33" ht="12.75">
      <c r="A253" s="148"/>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46"/>
      <c r="AF253" s="146"/>
      <c r="AG253" s="146"/>
    </row>
    <row r="254" spans="1:33" ht="12.75">
      <c r="A254" s="148"/>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46"/>
      <c r="AD254" s="146"/>
      <c r="AE254" s="146"/>
      <c r="AF254" s="146"/>
      <c r="AG254" s="146"/>
    </row>
    <row r="255" spans="1:33" ht="12.75">
      <c r="A255" s="148"/>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c r="AB255" s="146"/>
      <c r="AC255" s="146"/>
      <c r="AD255" s="146"/>
      <c r="AE255" s="146"/>
      <c r="AF255" s="146"/>
      <c r="AG255" s="146"/>
    </row>
    <row r="256" spans="1:33" ht="12.75">
      <c r="A256" s="148"/>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row>
    <row r="257" spans="1:33" ht="12.75">
      <c r="A257" s="148"/>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46"/>
      <c r="AF257" s="146"/>
      <c r="AG257" s="146"/>
    </row>
    <row r="258" spans="1:33" ht="12.75">
      <c r="A258" s="148"/>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row>
    <row r="259" spans="1:33" ht="12.75">
      <c r="A259" s="148"/>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row>
    <row r="260" spans="1:33" ht="12.75">
      <c r="A260" s="148"/>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146"/>
      <c r="AC260" s="146"/>
      <c r="AD260" s="146"/>
      <c r="AE260" s="146"/>
      <c r="AF260" s="146"/>
      <c r="AG260" s="146"/>
    </row>
    <row r="261" spans="1:33" ht="12.75">
      <c r="A261" s="148"/>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c r="AB261" s="146"/>
      <c r="AC261" s="146"/>
      <c r="AD261" s="146"/>
      <c r="AE261" s="146"/>
      <c r="AF261" s="146"/>
      <c r="AG261" s="146"/>
    </row>
    <row r="262" spans="1:33" ht="12.75">
      <c r="A262" s="148"/>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146"/>
      <c r="AC262" s="146"/>
      <c r="AD262" s="146"/>
      <c r="AE262" s="146"/>
      <c r="AF262" s="146"/>
      <c r="AG262" s="146"/>
    </row>
    <row r="263" spans="1:33" ht="12.75">
      <c r="A263" s="148"/>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c r="AB263" s="146"/>
      <c r="AC263" s="146"/>
      <c r="AD263" s="146"/>
      <c r="AE263" s="146"/>
      <c r="AF263" s="146"/>
      <c r="AG263" s="146"/>
    </row>
    <row r="264" spans="1:33" ht="12.75">
      <c r="A264" s="148"/>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c r="AB264" s="146"/>
      <c r="AC264" s="146"/>
      <c r="AD264" s="146"/>
      <c r="AE264" s="146"/>
      <c r="AF264" s="146"/>
      <c r="AG264" s="146"/>
    </row>
    <row r="265" spans="1:33" ht="12.75">
      <c r="A265" s="148"/>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c r="AB265" s="146"/>
      <c r="AC265" s="146"/>
      <c r="AD265" s="146"/>
      <c r="AE265" s="146"/>
      <c r="AF265" s="146"/>
      <c r="AG265" s="146"/>
    </row>
    <row r="266" spans="1:33" ht="12.75">
      <c r="A266" s="148"/>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row>
    <row r="267" spans="1:33" ht="12.75">
      <c r="A267" s="148"/>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c r="AB267" s="146"/>
      <c r="AC267" s="146"/>
      <c r="AD267" s="146"/>
      <c r="AE267" s="146"/>
      <c r="AF267" s="146"/>
      <c r="AG267" s="146"/>
    </row>
    <row r="268" spans="1:33" ht="12.75">
      <c r="A268" s="148"/>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c r="AB268" s="146"/>
      <c r="AC268" s="146"/>
      <c r="AD268" s="146"/>
      <c r="AE268" s="146"/>
      <c r="AF268" s="146"/>
      <c r="AG268" s="146"/>
    </row>
    <row r="269" spans="1:33" ht="12.75">
      <c r="A269" s="148"/>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46"/>
      <c r="AD269" s="146"/>
      <c r="AE269" s="146"/>
      <c r="AF269" s="146"/>
      <c r="AG269" s="146"/>
    </row>
    <row r="270" spans="1:33" ht="12.75">
      <c r="A270" s="148"/>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c r="AA270" s="146"/>
      <c r="AB270" s="146"/>
      <c r="AC270" s="146"/>
      <c r="AD270" s="146"/>
      <c r="AE270" s="146"/>
      <c r="AF270" s="146"/>
      <c r="AG270" s="146"/>
    </row>
    <row r="271" spans="1:33" ht="12.75">
      <c r="A271" s="148"/>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row>
    <row r="272" spans="1:33" ht="12.75">
      <c r="A272" s="148"/>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146"/>
      <c r="AC272" s="146"/>
      <c r="AD272" s="146"/>
      <c r="AE272" s="146"/>
      <c r="AF272" s="146"/>
      <c r="AG272" s="146"/>
    </row>
    <row r="273" spans="1:33" ht="12.75">
      <c r="A273" s="148"/>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c r="AA273" s="146"/>
      <c r="AB273" s="146"/>
      <c r="AC273" s="146"/>
      <c r="AD273" s="146"/>
      <c r="AE273" s="146"/>
      <c r="AF273" s="146"/>
      <c r="AG273" s="146"/>
    </row>
    <row r="274" spans="1:33" ht="12.75">
      <c r="A274" s="148"/>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c r="AA274" s="146"/>
      <c r="AB274" s="146"/>
      <c r="AC274" s="146"/>
      <c r="AD274" s="146"/>
      <c r="AE274" s="146"/>
      <c r="AF274" s="146"/>
      <c r="AG274" s="146"/>
    </row>
    <row r="275" spans="1:33" ht="12.75">
      <c r="A275" s="148"/>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c r="AA275" s="146"/>
      <c r="AB275" s="146"/>
      <c r="AC275" s="146"/>
      <c r="AD275" s="146"/>
      <c r="AE275" s="146"/>
      <c r="AF275" s="146"/>
      <c r="AG275" s="146"/>
    </row>
    <row r="276" spans="1:33" ht="12.75">
      <c r="A276" s="148"/>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row>
    <row r="277" spans="1:33" ht="12.75">
      <c r="A277" s="148"/>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c r="AA277" s="146"/>
      <c r="AB277" s="146"/>
      <c r="AC277" s="146"/>
      <c r="AD277" s="146"/>
      <c r="AE277" s="146"/>
      <c r="AF277" s="146"/>
      <c r="AG277" s="146"/>
    </row>
    <row r="278" spans="1:33" ht="12.75">
      <c r="A278" s="148"/>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c r="AB278" s="146"/>
      <c r="AC278" s="146"/>
      <c r="AD278" s="146"/>
      <c r="AE278" s="146"/>
      <c r="AF278" s="146"/>
      <c r="AG278" s="146"/>
    </row>
    <row r="279" spans="1:33" ht="12.75">
      <c r="A279" s="148"/>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c r="AB279" s="146"/>
      <c r="AC279" s="146"/>
      <c r="AD279" s="146"/>
      <c r="AE279" s="146"/>
      <c r="AF279" s="146"/>
      <c r="AG279" s="146"/>
    </row>
    <row r="280" spans="1:33" ht="12.75">
      <c r="A280" s="148"/>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c r="AB280" s="146"/>
      <c r="AC280" s="146"/>
      <c r="AD280" s="146"/>
      <c r="AE280" s="146"/>
      <c r="AF280" s="146"/>
      <c r="AG280" s="146"/>
    </row>
    <row r="281" spans="1:33" ht="12.75">
      <c r="A281" s="148"/>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c r="AB281" s="146"/>
      <c r="AC281" s="146"/>
      <c r="AD281" s="146"/>
      <c r="AE281" s="146"/>
      <c r="AF281" s="146"/>
      <c r="AG281" s="146"/>
    </row>
    <row r="282" spans="1:33" ht="12.75">
      <c r="A282" s="148"/>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c r="AB282" s="146"/>
      <c r="AC282" s="146"/>
      <c r="AD282" s="146"/>
      <c r="AE282" s="146"/>
      <c r="AF282" s="146"/>
      <c r="AG282" s="146"/>
    </row>
    <row r="283" spans="1:33" ht="12.75">
      <c r="A283" s="148"/>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c r="AB283" s="146"/>
      <c r="AC283" s="146"/>
      <c r="AD283" s="146"/>
      <c r="AE283" s="146"/>
      <c r="AF283" s="146"/>
      <c r="AG283" s="146"/>
    </row>
    <row r="284" spans="1:33" ht="12.75">
      <c r="A284" s="148"/>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c r="AB284" s="146"/>
      <c r="AC284" s="146"/>
      <c r="AD284" s="146"/>
      <c r="AE284" s="146"/>
      <c r="AF284" s="146"/>
      <c r="AG284" s="146"/>
    </row>
    <row r="285" spans="1:33" ht="12.75">
      <c r="A285" s="148"/>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c r="AA285" s="146"/>
      <c r="AB285" s="146"/>
      <c r="AC285" s="146"/>
      <c r="AD285" s="146"/>
      <c r="AE285" s="146"/>
      <c r="AF285" s="146"/>
      <c r="AG285" s="146"/>
    </row>
    <row r="286" spans="1:33" ht="12.75">
      <c r="A286" s="148"/>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c r="AB286" s="146"/>
      <c r="AC286" s="146"/>
      <c r="AD286" s="146"/>
      <c r="AE286" s="146"/>
      <c r="AF286" s="146"/>
      <c r="AG286" s="146"/>
    </row>
    <row r="287" spans="1:33" ht="12.75">
      <c r="A287" s="148"/>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146"/>
      <c r="AC287" s="146"/>
      <c r="AD287" s="146"/>
      <c r="AE287" s="146"/>
      <c r="AF287" s="146"/>
      <c r="AG287" s="146"/>
    </row>
    <row r="288" spans="1:33" ht="12.75">
      <c r="A288" s="148"/>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146"/>
      <c r="AC288" s="146"/>
      <c r="AD288" s="146"/>
      <c r="AE288" s="146"/>
      <c r="AF288" s="146"/>
      <c r="AG288" s="146"/>
    </row>
    <row r="289" spans="1:33" ht="12.75">
      <c r="A289" s="148"/>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c r="AB289" s="146"/>
      <c r="AC289" s="146"/>
      <c r="AD289" s="146"/>
      <c r="AE289" s="146"/>
      <c r="AF289" s="146"/>
      <c r="AG289" s="146"/>
    </row>
    <row r="290" spans="1:33" ht="12.75">
      <c r="A290" s="148"/>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c r="AB290" s="146"/>
      <c r="AC290" s="146"/>
      <c r="AD290" s="146"/>
      <c r="AE290" s="146"/>
      <c r="AF290" s="146"/>
      <c r="AG290" s="146"/>
    </row>
    <row r="291" spans="1:33" ht="12.75">
      <c r="A291" s="148"/>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c r="AB291" s="146"/>
      <c r="AC291" s="146"/>
      <c r="AD291" s="146"/>
      <c r="AE291" s="146"/>
      <c r="AF291" s="146"/>
      <c r="AG291" s="146"/>
    </row>
    <row r="292" spans="1:33" ht="12.75">
      <c r="A292" s="148"/>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c r="AA292" s="146"/>
      <c r="AB292" s="146"/>
      <c r="AC292" s="146"/>
      <c r="AD292" s="146"/>
      <c r="AE292" s="146"/>
      <c r="AF292" s="146"/>
      <c r="AG292" s="146"/>
    </row>
    <row r="293" spans="1:33" ht="12.75">
      <c r="A293" s="148"/>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c r="AB293" s="146"/>
      <c r="AC293" s="146"/>
      <c r="AD293" s="146"/>
      <c r="AE293" s="146"/>
      <c r="AF293" s="146"/>
      <c r="AG293" s="146"/>
    </row>
    <row r="294" spans="1:33" ht="12.75">
      <c r="A294" s="148"/>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c r="AB294" s="146"/>
      <c r="AC294" s="146"/>
      <c r="AD294" s="146"/>
      <c r="AE294" s="146"/>
      <c r="AF294" s="146"/>
      <c r="AG294" s="146"/>
    </row>
    <row r="295" spans="1:33" ht="12.75">
      <c r="A295" s="148"/>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c r="AB295" s="146"/>
      <c r="AC295" s="146"/>
      <c r="AD295" s="146"/>
      <c r="AE295" s="146"/>
      <c r="AF295" s="146"/>
      <c r="AG295" s="146"/>
    </row>
    <row r="296" spans="1:33" ht="12.75">
      <c r="A296" s="148"/>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6"/>
      <c r="AD296" s="146"/>
      <c r="AE296" s="146"/>
      <c r="AF296" s="146"/>
      <c r="AG296" s="146"/>
    </row>
    <row r="297" spans="1:33" ht="12.75">
      <c r="A297" s="148"/>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c r="AA297" s="146"/>
      <c r="AB297" s="146"/>
      <c r="AC297" s="146"/>
      <c r="AD297" s="146"/>
      <c r="AE297" s="146"/>
      <c r="AF297" s="146"/>
      <c r="AG297" s="146"/>
    </row>
    <row r="298" spans="1:33" ht="12.75">
      <c r="A298" s="148"/>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row>
    <row r="299" spans="1:33" ht="12.75">
      <c r="A299" s="148"/>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c r="AA299" s="146"/>
      <c r="AB299" s="146"/>
      <c r="AC299" s="146"/>
      <c r="AD299" s="146"/>
      <c r="AE299" s="146"/>
      <c r="AF299" s="146"/>
      <c r="AG299" s="146"/>
    </row>
    <row r="300" spans="1:33" ht="12.75">
      <c r="A300" s="148"/>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c r="AA300" s="146"/>
      <c r="AB300" s="146"/>
      <c r="AC300" s="146"/>
      <c r="AD300" s="146"/>
      <c r="AE300" s="146"/>
      <c r="AF300" s="146"/>
      <c r="AG300" s="146"/>
    </row>
    <row r="301" spans="1:33" ht="12.75">
      <c r="A301" s="148"/>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c r="AB301" s="146"/>
      <c r="AC301" s="146"/>
      <c r="AD301" s="146"/>
      <c r="AE301" s="146"/>
      <c r="AF301" s="146"/>
      <c r="AG301" s="146"/>
    </row>
    <row r="302" spans="1:33" ht="12.75">
      <c r="A302" s="148"/>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c r="AA302" s="146"/>
      <c r="AB302" s="146"/>
      <c r="AC302" s="146"/>
      <c r="AD302" s="146"/>
      <c r="AE302" s="146"/>
      <c r="AF302" s="146"/>
      <c r="AG302" s="146"/>
    </row>
    <row r="303" spans="1:33" ht="12.75">
      <c r="A303" s="148"/>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46"/>
      <c r="AF303" s="146"/>
      <c r="AG303" s="146"/>
    </row>
    <row r="304" spans="1:33" ht="12.75">
      <c r="A304" s="148"/>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c r="AA304" s="146"/>
      <c r="AB304" s="146"/>
      <c r="AC304" s="146"/>
      <c r="AD304" s="146"/>
      <c r="AE304" s="146"/>
      <c r="AF304" s="146"/>
      <c r="AG304" s="146"/>
    </row>
    <row r="305" spans="1:33" ht="12.75">
      <c r="A305" s="148"/>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c r="AB305" s="146"/>
      <c r="AC305" s="146"/>
      <c r="AD305" s="146"/>
      <c r="AE305" s="146"/>
      <c r="AF305" s="146"/>
      <c r="AG305" s="146"/>
    </row>
    <row r="306" spans="1:33" ht="12.75">
      <c r="A306" s="148"/>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c r="AB306" s="146"/>
      <c r="AC306" s="146"/>
      <c r="AD306" s="146"/>
      <c r="AE306" s="146"/>
      <c r="AF306" s="146"/>
      <c r="AG306" s="146"/>
    </row>
    <row r="307" spans="1:33" ht="12.75">
      <c r="A307" s="148"/>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46"/>
      <c r="AF307" s="146"/>
      <c r="AG307" s="146"/>
    </row>
    <row r="308" spans="1:33" ht="12.75">
      <c r="A308" s="148"/>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c r="AB308" s="146"/>
      <c r="AC308" s="146"/>
      <c r="AD308" s="146"/>
      <c r="AE308" s="146"/>
      <c r="AF308" s="146"/>
      <c r="AG308" s="146"/>
    </row>
    <row r="309" spans="1:33" ht="12.75">
      <c r="A309" s="148"/>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row>
    <row r="310" spans="1:33" ht="12.75">
      <c r="A310" s="148"/>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c r="AB310" s="146"/>
      <c r="AC310" s="146"/>
      <c r="AD310" s="146"/>
      <c r="AE310" s="146"/>
      <c r="AF310" s="146"/>
      <c r="AG310" s="146"/>
    </row>
    <row r="311" spans="1:33" ht="12.75">
      <c r="A311" s="148"/>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c r="AA311" s="146"/>
      <c r="AB311" s="146"/>
      <c r="AC311" s="146"/>
      <c r="AD311" s="146"/>
      <c r="AE311" s="146"/>
      <c r="AF311" s="146"/>
      <c r="AG311" s="146"/>
    </row>
    <row r="312" spans="1:33" ht="12.75">
      <c r="A312" s="148"/>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c r="AA312" s="146"/>
      <c r="AB312" s="146"/>
      <c r="AC312" s="146"/>
      <c r="AD312" s="146"/>
      <c r="AE312" s="146"/>
      <c r="AF312" s="146"/>
      <c r="AG312" s="146"/>
    </row>
    <row r="313" spans="1:33" ht="12.75">
      <c r="A313" s="148"/>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c r="AB313" s="146"/>
      <c r="AC313" s="146"/>
      <c r="AD313" s="146"/>
      <c r="AE313" s="146"/>
      <c r="AF313" s="146"/>
      <c r="AG313" s="146"/>
    </row>
    <row r="314" spans="1:33" ht="12.75">
      <c r="A314" s="148"/>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c r="AA314" s="146"/>
      <c r="AB314" s="146"/>
      <c r="AC314" s="146"/>
      <c r="AD314" s="146"/>
      <c r="AE314" s="146"/>
      <c r="AF314" s="146"/>
      <c r="AG314" s="146"/>
    </row>
    <row r="315" spans="1:33" ht="12.75">
      <c r="A315" s="148"/>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c r="AA315" s="146"/>
      <c r="AB315" s="146"/>
      <c r="AC315" s="146"/>
      <c r="AD315" s="146"/>
      <c r="AE315" s="146"/>
      <c r="AF315" s="146"/>
      <c r="AG315" s="146"/>
    </row>
    <row r="316" spans="1:33" ht="12.75">
      <c r="A316" s="148"/>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c r="AA316" s="146"/>
      <c r="AB316" s="146"/>
      <c r="AC316" s="146"/>
      <c r="AD316" s="146"/>
      <c r="AE316" s="146"/>
      <c r="AF316" s="146"/>
      <c r="AG316" s="146"/>
    </row>
    <row r="317" spans="1:33" ht="12.75">
      <c r="A317" s="148"/>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c r="AA317" s="146"/>
      <c r="AB317" s="146"/>
      <c r="AC317" s="146"/>
      <c r="AD317" s="146"/>
      <c r="AE317" s="146"/>
      <c r="AF317" s="146"/>
      <c r="AG317" s="146"/>
    </row>
    <row r="318" spans="1:33" ht="12.75">
      <c r="A318" s="148"/>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6"/>
      <c r="AD318" s="146"/>
      <c r="AE318" s="146"/>
      <c r="AF318" s="146"/>
      <c r="AG318" s="146"/>
    </row>
    <row r="319" spans="1:33" ht="12.75">
      <c r="A319" s="148"/>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c r="AA319" s="146"/>
      <c r="AB319" s="146"/>
      <c r="AC319" s="146"/>
      <c r="AD319" s="146"/>
      <c r="AE319" s="146"/>
      <c r="AF319" s="146"/>
      <c r="AG319" s="146"/>
    </row>
    <row r="320" spans="1:33" ht="12.75">
      <c r="A320" s="148"/>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c r="AA320" s="146"/>
      <c r="AB320" s="146"/>
      <c r="AC320" s="146"/>
      <c r="AD320" s="146"/>
      <c r="AE320" s="146"/>
      <c r="AF320" s="146"/>
      <c r="AG320" s="146"/>
    </row>
    <row r="321" spans="1:33" ht="12.75">
      <c r="A321" s="148"/>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c r="AA321" s="146"/>
      <c r="AB321" s="146"/>
      <c r="AC321" s="146"/>
      <c r="AD321" s="146"/>
      <c r="AE321" s="146"/>
      <c r="AF321" s="146"/>
      <c r="AG321" s="146"/>
    </row>
    <row r="322" spans="1:33" ht="12.75">
      <c r="A322" s="148"/>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c r="AA322" s="146"/>
      <c r="AB322" s="146"/>
      <c r="AC322" s="146"/>
      <c r="AD322" s="146"/>
      <c r="AE322" s="146"/>
      <c r="AF322" s="146"/>
      <c r="AG322" s="146"/>
    </row>
    <row r="323" spans="1:33" ht="12.75">
      <c r="A323" s="148"/>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c r="AA323" s="146"/>
      <c r="AB323" s="146"/>
      <c r="AC323" s="146"/>
      <c r="AD323" s="146"/>
      <c r="AE323" s="146"/>
      <c r="AF323" s="146"/>
      <c r="AG323" s="146"/>
    </row>
    <row r="324" spans="1:33" ht="12.75">
      <c r="A324" s="148"/>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c r="AA324" s="146"/>
      <c r="AB324" s="146"/>
      <c r="AC324" s="146"/>
      <c r="AD324" s="146"/>
      <c r="AE324" s="146"/>
      <c r="AF324" s="146"/>
      <c r="AG324" s="146"/>
    </row>
    <row r="325" spans="1:33" ht="12.75">
      <c r="A325" s="148"/>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6"/>
      <c r="AF325" s="146"/>
      <c r="AG325" s="146"/>
    </row>
    <row r="326" spans="1:33" ht="12.75">
      <c r="A326" s="148"/>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c r="AA326" s="146"/>
      <c r="AB326" s="146"/>
      <c r="AC326" s="146"/>
      <c r="AD326" s="146"/>
      <c r="AE326" s="146"/>
      <c r="AF326" s="146"/>
      <c r="AG326" s="146"/>
    </row>
    <row r="327" spans="1:33" ht="12.75">
      <c r="A327" s="148"/>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c r="AA327" s="146"/>
      <c r="AB327" s="146"/>
      <c r="AC327" s="146"/>
      <c r="AD327" s="146"/>
      <c r="AE327" s="146"/>
      <c r="AF327" s="146"/>
      <c r="AG327" s="146"/>
    </row>
    <row r="328" spans="1:33" ht="12.75">
      <c r="A328" s="148"/>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c r="AA328" s="146"/>
      <c r="AB328" s="146"/>
      <c r="AC328" s="146"/>
      <c r="AD328" s="146"/>
      <c r="AE328" s="146"/>
      <c r="AF328" s="146"/>
      <c r="AG328" s="146"/>
    </row>
    <row r="329" spans="1:33" ht="12.75">
      <c r="A329" s="148"/>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c r="AB329" s="146"/>
      <c r="AC329" s="146"/>
      <c r="AD329" s="146"/>
      <c r="AE329" s="146"/>
      <c r="AF329" s="146"/>
      <c r="AG329" s="146"/>
    </row>
    <row r="330" spans="1:33" ht="12.75">
      <c r="A330" s="148"/>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row>
    <row r="331" spans="1:33" ht="12.75">
      <c r="A331" s="148"/>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c r="AA331" s="146"/>
      <c r="AB331" s="146"/>
      <c r="AC331" s="146"/>
      <c r="AD331" s="146"/>
      <c r="AE331" s="146"/>
      <c r="AF331" s="146"/>
      <c r="AG331" s="146"/>
    </row>
    <row r="332" spans="1:33" ht="12.75">
      <c r="A332" s="148"/>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c r="AA332" s="146"/>
      <c r="AB332" s="146"/>
      <c r="AC332" s="146"/>
      <c r="AD332" s="146"/>
      <c r="AE332" s="146"/>
      <c r="AF332" s="146"/>
      <c r="AG332" s="146"/>
    </row>
    <row r="333" spans="1:33" ht="12.75">
      <c r="A333" s="148"/>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c r="AA333" s="146"/>
      <c r="AB333" s="146"/>
      <c r="AC333" s="146"/>
      <c r="AD333" s="146"/>
      <c r="AE333" s="146"/>
      <c r="AF333" s="146"/>
      <c r="AG333" s="146"/>
    </row>
    <row r="334" spans="1:33" ht="12.75">
      <c r="A334" s="148"/>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row>
    <row r="335" spans="1:33" ht="12.75">
      <c r="A335" s="148"/>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c r="AA335" s="146"/>
      <c r="AB335" s="146"/>
      <c r="AC335" s="146"/>
      <c r="AD335" s="146"/>
      <c r="AE335" s="146"/>
      <c r="AF335" s="146"/>
      <c r="AG335" s="146"/>
    </row>
    <row r="336" spans="1:33" ht="12.75">
      <c r="A336" s="148"/>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c r="AA336" s="146"/>
      <c r="AB336" s="146"/>
      <c r="AC336" s="146"/>
      <c r="AD336" s="146"/>
      <c r="AE336" s="146"/>
      <c r="AF336" s="146"/>
      <c r="AG336" s="146"/>
    </row>
    <row r="337" spans="1:33" ht="12.75">
      <c r="A337" s="148"/>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row>
    <row r="338" spans="1:33" ht="12.75">
      <c r="A338" s="148"/>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c r="AB338" s="146"/>
      <c r="AC338" s="146"/>
      <c r="AD338" s="146"/>
      <c r="AE338" s="146"/>
      <c r="AF338" s="146"/>
      <c r="AG338" s="146"/>
    </row>
    <row r="339" spans="1:33" ht="12.75">
      <c r="A339" s="148"/>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c r="AA339" s="146"/>
      <c r="AB339" s="146"/>
      <c r="AC339" s="146"/>
      <c r="AD339" s="146"/>
      <c r="AE339" s="146"/>
      <c r="AF339" s="146"/>
      <c r="AG339" s="146"/>
    </row>
    <row r="340" spans="1:33" ht="12.75">
      <c r="A340" s="148"/>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6"/>
      <c r="AF340" s="146"/>
      <c r="AG340" s="146"/>
    </row>
    <row r="341" spans="1:33" ht="12.75">
      <c r="A341" s="148"/>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c r="AE341" s="146"/>
      <c r="AF341" s="146"/>
      <c r="AG341" s="146"/>
    </row>
    <row r="342" spans="1:33" ht="12.75">
      <c r="A342" s="148"/>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c r="AA342" s="146"/>
      <c r="AB342" s="146"/>
      <c r="AC342" s="146"/>
      <c r="AD342" s="146"/>
      <c r="AE342" s="146"/>
      <c r="AF342" s="146"/>
      <c r="AG342" s="146"/>
    </row>
    <row r="343" spans="1:33" ht="12.75">
      <c r="A343" s="148"/>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c r="AB343" s="146"/>
      <c r="AC343" s="146"/>
      <c r="AD343" s="146"/>
      <c r="AE343" s="146"/>
      <c r="AF343" s="146"/>
      <c r="AG343" s="146"/>
    </row>
    <row r="344" spans="1:33" ht="12.75">
      <c r="A344" s="148"/>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c r="AA344" s="146"/>
      <c r="AB344" s="146"/>
      <c r="AC344" s="146"/>
      <c r="AD344" s="146"/>
      <c r="AE344" s="146"/>
      <c r="AF344" s="146"/>
      <c r="AG344" s="146"/>
    </row>
    <row r="345" spans="1:33" ht="12.75">
      <c r="A345" s="148"/>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c r="AB345" s="146"/>
      <c r="AC345" s="146"/>
      <c r="AD345" s="146"/>
      <c r="AE345" s="146"/>
      <c r="AF345" s="146"/>
      <c r="AG345" s="146"/>
    </row>
    <row r="346" spans="1:33" ht="12.75">
      <c r="A346" s="148"/>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c r="AB346" s="146"/>
      <c r="AC346" s="146"/>
      <c r="AD346" s="146"/>
      <c r="AE346" s="146"/>
      <c r="AF346" s="146"/>
      <c r="AG346" s="146"/>
    </row>
    <row r="347" spans="1:33" ht="12.75">
      <c r="A347" s="148"/>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c r="AA347" s="146"/>
      <c r="AB347" s="146"/>
      <c r="AC347" s="146"/>
      <c r="AD347" s="146"/>
      <c r="AE347" s="146"/>
      <c r="AF347" s="146"/>
      <c r="AG347" s="146"/>
    </row>
    <row r="348" spans="1:33" ht="12.75">
      <c r="A348" s="148"/>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c r="AG348" s="146"/>
    </row>
    <row r="349" spans="1:33" ht="12.75">
      <c r="A349" s="148"/>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c r="AB349" s="146"/>
      <c r="AC349" s="146"/>
      <c r="AD349" s="146"/>
      <c r="AE349" s="146"/>
      <c r="AF349" s="146"/>
      <c r="AG349" s="146"/>
    </row>
    <row r="350" spans="1:33" ht="12.75">
      <c r="A350" s="148"/>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c r="AB350" s="146"/>
      <c r="AC350" s="146"/>
      <c r="AD350" s="146"/>
      <c r="AE350" s="146"/>
      <c r="AF350" s="146"/>
      <c r="AG350" s="146"/>
    </row>
    <row r="351" spans="1:33" ht="12.75">
      <c r="A351" s="148"/>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c r="AA351" s="146"/>
      <c r="AB351" s="146"/>
      <c r="AC351" s="146"/>
      <c r="AD351" s="146"/>
      <c r="AE351" s="146"/>
      <c r="AF351" s="146"/>
      <c r="AG351" s="146"/>
    </row>
    <row r="352" spans="1:33" ht="12.75">
      <c r="A352" s="148"/>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c r="AB352" s="146"/>
      <c r="AC352" s="146"/>
      <c r="AD352" s="146"/>
      <c r="AE352" s="146"/>
      <c r="AF352" s="146"/>
      <c r="AG352" s="146"/>
    </row>
    <row r="353" spans="1:33" ht="12.75">
      <c r="A353" s="148"/>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46"/>
      <c r="AF353" s="146"/>
      <c r="AG353" s="146"/>
    </row>
    <row r="354" spans="1:33" ht="12.75">
      <c r="A354" s="148"/>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c r="AA354" s="146"/>
      <c r="AB354" s="146"/>
      <c r="AC354" s="146"/>
      <c r="AD354" s="146"/>
      <c r="AE354" s="146"/>
      <c r="AF354" s="146"/>
      <c r="AG354" s="146"/>
    </row>
    <row r="355" spans="1:33" ht="12.75">
      <c r="A355" s="148"/>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46"/>
      <c r="AF355" s="146"/>
      <c r="AG355" s="146"/>
    </row>
    <row r="356" spans="1:33" ht="12.75">
      <c r="A356" s="148"/>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46"/>
      <c r="AF356" s="146"/>
      <c r="AG356" s="146"/>
    </row>
    <row r="357" spans="1:33" ht="12.75">
      <c r="A357" s="148"/>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c r="AB357" s="146"/>
      <c r="AC357" s="146"/>
      <c r="AD357" s="146"/>
      <c r="AE357" s="146"/>
      <c r="AF357" s="146"/>
      <c r="AG357" s="146"/>
    </row>
    <row r="358" spans="1:33" ht="12.75">
      <c r="A358" s="148"/>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c r="AA358" s="146"/>
      <c r="AB358" s="146"/>
      <c r="AC358" s="146"/>
      <c r="AD358" s="146"/>
      <c r="AE358" s="146"/>
      <c r="AF358" s="146"/>
      <c r="AG358" s="146"/>
    </row>
    <row r="359" spans="1:33" ht="12.75">
      <c r="A359" s="148"/>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c r="AA359" s="146"/>
      <c r="AB359" s="146"/>
      <c r="AC359" s="146"/>
      <c r="AD359" s="146"/>
      <c r="AE359" s="146"/>
      <c r="AF359" s="146"/>
      <c r="AG359" s="146"/>
    </row>
    <row r="360" spans="1:33" ht="12.75">
      <c r="A360" s="148"/>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c r="AB360" s="146"/>
      <c r="AC360" s="146"/>
      <c r="AD360" s="146"/>
      <c r="AE360" s="146"/>
      <c r="AF360" s="146"/>
      <c r="AG360" s="146"/>
    </row>
    <row r="361" spans="1:33" ht="12.75">
      <c r="A361" s="148"/>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c r="AA361" s="146"/>
      <c r="AB361" s="146"/>
      <c r="AC361" s="146"/>
      <c r="AD361" s="146"/>
      <c r="AE361" s="146"/>
      <c r="AF361" s="146"/>
      <c r="AG361" s="146"/>
    </row>
    <row r="362" spans="1:33" ht="12.75">
      <c r="A362" s="148"/>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c r="AA362" s="146"/>
      <c r="AB362" s="146"/>
      <c r="AC362" s="146"/>
      <c r="AD362" s="146"/>
      <c r="AE362" s="146"/>
      <c r="AF362" s="146"/>
      <c r="AG362" s="146"/>
    </row>
    <row r="363" spans="1:33" ht="12.75">
      <c r="A363" s="148"/>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c r="AB363" s="146"/>
      <c r="AC363" s="146"/>
      <c r="AD363" s="146"/>
      <c r="AE363" s="146"/>
      <c r="AF363" s="146"/>
      <c r="AG363" s="146"/>
    </row>
    <row r="364" spans="1:33" ht="12.75">
      <c r="A364" s="148"/>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6"/>
      <c r="AD364" s="146"/>
      <c r="AE364" s="146"/>
      <c r="AF364" s="146"/>
      <c r="AG364" s="146"/>
    </row>
    <row r="365" spans="1:33" ht="12.75">
      <c r="A365" s="148"/>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c r="AB365" s="146"/>
      <c r="AC365" s="146"/>
      <c r="AD365" s="146"/>
      <c r="AE365" s="146"/>
      <c r="AF365" s="146"/>
      <c r="AG365" s="146"/>
    </row>
    <row r="366" spans="1:33" ht="12.75">
      <c r="A366" s="148"/>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c r="AA366" s="146"/>
      <c r="AB366" s="146"/>
      <c r="AC366" s="146"/>
      <c r="AD366" s="146"/>
      <c r="AE366" s="146"/>
      <c r="AF366" s="146"/>
      <c r="AG366" s="146"/>
    </row>
    <row r="367" spans="1:33" ht="12.75">
      <c r="A367" s="148"/>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c r="AA367" s="146"/>
      <c r="AB367" s="146"/>
      <c r="AC367" s="146"/>
      <c r="AD367" s="146"/>
      <c r="AE367" s="146"/>
      <c r="AF367" s="146"/>
      <c r="AG367" s="146"/>
    </row>
    <row r="368" spans="1:33" ht="12.75">
      <c r="A368" s="148"/>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c r="AA368" s="146"/>
      <c r="AB368" s="146"/>
      <c r="AC368" s="146"/>
      <c r="AD368" s="146"/>
      <c r="AE368" s="146"/>
      <c r="AF368" s="146"/>
      <c r="AG368" s="146"/>
    </row>
    <row r="369" spans="1:33" ht="12.75">
      <c r="A369" s="148"/>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c r="AB369" s="146"/>
      <c r="AC369" s="146"/>
      <c r="AD369" s="146"/>
      <c r="AE369" s="146"/>
      <c r="AF369" s="146"/>
      <c r="AG369" s="146"/>
    </row>
    <row r="370" spans="1:33" ht="12.75">
      <c r="A370" s="148"/>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c r="AB370" s="146"/>
      <c r="AC370" s="146"/>
      <c r="AD370" s="146"/>
      <c r="AE370" s="146"/>
      <c r="AF370" s="146"/>
      <c r="AG370" s="146"/>
    </row>
    <row r="371" spans="1:33" ht="12.75">
      <c r="A371" s="148"/>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6"/>
      <c r="AF371" s="146"/>
      <c r="AG371" s="146"/>
    </row>
    <row r="372" spans="1:33" ht="12.75">
      <c r="A372" s="148"/>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row>
    <row r="373" spans="1:33" ht="12.75">
      <c r="A373" s="148"/>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c r="AB373" s="146"/>
      <c r="AC373" s="146"/>
      <c r="AD373" s="146"/>
      <c r="AE373" s="146"/>
      <c r="AF373" s="146"/>
      <c r="AG373" s="146"/>
    </row>
    <row r="374" spans="1:33" ht="12.75">
      <c r="A374" s="148"/>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c r="AB374" s="146"/>
      <c r="AC374" s="146"/>
      <c r="AD374" s="146"/>
      <c r="AE374" s="146"/>
      <c r="AF374" s="146"/>
      <c r="AG374" s="146"/>
    </row>
    <row r="375" spans="1:33" ht="12.75">
      <c r="A375" s="148"/>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c r="AB375" s="146"/>
      <c r="AC375" s="146"/>
      <c r="AD375" s="146"/>
      <c r="AE375" s="146"/>
      <c r="AF375" s="146"/>
      <c r="AG375" s="146"/>
    </row>
    <row r="376" spans="1:33" ht="12.75">
      <c r="A376" s="148"/>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c r="AA376" s="146"/>
      <c r="AB376" s="146"/>
      <c r="AC376" s="146"/>
      <c r="AD376" s="146"/>
      <c r="AE376" s="146"/>
      <c r="AF376" s="146"/>
      <c r="AG376" s="146"/>
    </row>
    <row r="377" spans="1:33" ht="12.75">
      <c r="A377" s="148"/>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c r="AA377" s="146"/>
      <c r="AB377" s="146"/>
      <c r="AC377" s="146"/>
      <c r="AD377" s="146"/>
      <c r="AE377" s="146"/>
      <c r="AF377" s="146"/>
      <c r="AG377" s="146"/>
    </row>
    <row r="378" spans="1:33" ht="12.75">
      <c r="A378" s="148"/>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c r="AA378" s="146"/>
      <c r="AB378" s="146"/>
      <c r="AC378" s="146"/>
      <c r="AD378" s="146"/>
      <c r="AE378" s="146"/>
      <c r="AF378" s="146"/>
      <c r="AG378" s="146"/>
    </row>
    <row r="379" spans="1:33" ht="12.75">
      <c r="A379" s="148"/>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c r="AA379" s="146"/>
      <c r="AB379" s="146"/>
      <c r="AC379" s="146"/>
      <c r="AD379" s="146"/>
      <c r="AE379" s="146"/>
      <c r="AF379" s="146"/>
      <c r="AG379" s="146"/>
    </row>
    <row r="380" spans="1:33" ht="12.75">
      <c r="A380" s="148"/>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c r="AA380" s="146"/>
      <c r="AB380" s="146"/>
      <c r="AC380" s="146"/>
      <c r="AD380" s="146"/>
      <c r="AE380" s="146"/>
      <c r="AF380" s="146"/>
      <c r="AG380" s="146"/>
    </row>
    <row r="381" spans="1:33" ht="12.75">
      <c r="A381" s="148"/>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c r="AA381" s="146"/>
      <c r="AB381" s="146"/>
      <c r="AC381" s="146"/>
      <c r="AD381" s="146"/>
      <c r="AE381" s="146"/>
      <c r="AF381" s="146"/>
      <c r="AG381" s="146"/>
    </row>
    <row r="382" spans="1:33" ht="12.75">
      <c r="A382" s="148"/>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c r="AA382" s="146"/>
      <c r="AB382" s="146"/>
      <c r="AC382" s="146"/>
      <c r="AD382" s="146"/>
      <c r="AE382" s="146"/>
      <c r="AF382" s="146"/>
      <c r="AG382" s="146"/>
    </row>
    <row r="383" spans="1:33" ht="12.75">
      <c r="A383" s="148"/>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c r="AA383" s="146"/>
      <c r="AB383" s="146"/>
      <c r="AC383" s="146"/>
      <c r="AD383" s="146"/>
      <c r="AE383" s="146"/>
      <c r="AF383" s="146"/>
      <c r="AG383" s="146"/>
    </row>
    <row r="384" spans="1:33" ht="12.75">
      <c r="A384" s="148"/>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c r="AA384" s="146"/>
      <c r="AB384" s="146"/>
      <c r="AC384" s="146"/>
      <c r="AD384" s="146"/>
      <c r="AE384" s="146"/>
      <c r="AF384" s="146"/>
      <c r="AG384" s="146"/>
    </row>
    <row r="385" spans="1:33" ht="12.75">
      <c r="A385" s="148"/>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c r="AA385" s="146"/>
      <c r="AB385" s="146"/>
      <c r="AC385" s="146"/>
      <c r="AD385" s="146"/>
      <c r="AE385" s="146"/>
      <c r="AF385" s="146"/>
      <c r="AG385" s="146"/>
    </row>
    <row r="386" spans="1:33" ht="12.75">
      <c r="A386" s="148"/>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c r="AB386" s="146"/>
      <c r="AC386" s="146"/>
      <c r="AD386" s="146"/>
      <c r="AE386" s="146"/>
      <c r="AF386" s="146"/>
      <c r="AG386" s="146"/>
    </row>
    <row r="387" spans="1:33" ht="12.75">
      <c r="A387" s="148"/>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6"/>
      <c r="AF387" s="146"/>
      <c r="AG387" s="146"/>
    </row>
    <row r="388" spans="1:33" ht="12.75">
      <c r="A388" s="148"/>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c r="AA388" s="146"/>
      <c r="AB388" s="146"/>
      <c r="AC388" s="146"/>
      <c r="AD388" s="146"/>
      <c r="AE388" s="146"/>
      <c r="AF388" s="146"/>
      <c r="AG388" s="146"/>
    </row>
    <row r="389" spans="1:33" ht="12.75">
      <c r="A389" s="148"/>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c r="AB389" s="146"/>
      <c r="AC389" s="146"/>
      <c r="AD389" s="146"/>
      <c r="AE389" s="146"/>
      <c r="AF389" s="146"/>
      <c r="AG389" s="146"/>
    </row>
    <row r="390" spans="1:33" ht="12.75">
      <c r="A390" s="148"/>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c r="AB390" s="146"/>
      <c r="AC390" s="146"/>
      <c r="AD390" s="146"/>
      <c r="AE390" s="146"/>
      <c r="AF390" s="146"/>
      <c r="AG390" s="146"/>
    </row>
    <row r="391" spans="1:33" ht="12.75">
      <c r="A391" s="148"/>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c r="AA391" s="146"/>
      <c r="AB391" s="146"/>
      <c r="AC391" s="146"/>
      <c r="AD391" s="146"/>
      <c r="AE391" s="146"/>
      <c r="AF391" s="146"/>
      <c r="AG391" s="146"/>
    </row>
    <row r="392" spans="1:33" ht="12.75">
      <c r="A392" s="148"/>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row>
    <row r="393" spans="1:33" ht="12.75">
      <c r="A393" s="148"/>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c r="AA393" s="146"/>
      <c r="AB393" s="146"/>
      <c r="AC393" s="146"/>
      <c r="AD393" s="146"/>
      <c r="AE393" s="146"/>
      <c r="AF393" s="146"/>
      <c r="AG393" s="146"/>
    </row>
    <row r="394" spans="1:33" ht="12.75">
      <c r="A394" s="148"/>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c r="AA394" s="146"/>
      <c r="AB394" s="146"/>
      <c r="AC394" s="146"/>
      <c r="AD394" s="146"/>
      <c r="AE394" s="146"/>
      <c r="AF394" s="146"/>
      <c r="AG394" s="146"/>
    </row>
    <row r="395" spans="1:33" ht="12.75">
      <c r="A395" s="148"/>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row>
    <row r="396" spans="1:33" ht="12.75">
      <c r="A396" s="148"/>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c r="AA396" s="146"/>
      <c r="AB396" s="146"/>
      <c r="AC396" s="146"/>
      <c r="AD396" s="146"/>
      <c r="AE396" s="146"/>
      <c r="AF396" s="146"/>
      <c r="AG396" s="146"/>
    </row>
    <row r="397" spans="1:33" ht="12.75">
      <c r="A397" s="148"/>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c r="AA397" s="146"/>
      <c r="AB397" s="146"/>
      <c r="AC397" s="146"/>
      <c r="AD397" s="146"/>
      <c r="AE397" s="146"/>
      <c r="AF397" s="146"/>
      <c r="AG397" s="146"/>
    </row>
    <row r="398" spans="1:33" ht="12.75">
      <c r="A398" s="148"/>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c r="AA398" s="146"/>
      <c r="AB398" s="146"/>
      <c r="AC398" s="146"/>
      <c r="AD398" s="146"/>
      <c r="AE398" s="146"/>
      <c r="AF398" s="146"/>
      <c r="AG398" s="146"/>
    </row>
    <row r="399" spans="1:33" ht="12.75">
      <c r="A399" s="148"/>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c r="AA399" s="146"/>
      <c r="AB399" s="146"/>
      <c r="AC399" s="146"/>
      <c r="AD399" s="146"/>
      <c r="AE399" s="146"/>
      <c r="AF399" s="146"/>
      <c r="AG399" s="146"/>
    </row>
    <row r="400" spans="1:33" ht="12.75">
      <c r="A400" s="148"/>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c r="AA400" s="146"/>
      <c r="AB400" s="146"/>
      <c r="AC400" s="146"/>
      <c r="AD400" s="146"/>
      <c r="AE400" s="146"/>
      <c r="AF400" s="146"/>
      <c r="AG400" s="146"/>
    </row>
    <row r="401" spans="1:33" ht="12.75">
      <c r="A401" s="148"/>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c r="AB401" s="146"/>
      <c r="AC401" s="146"/>
      <c r="AD401" s="146"/>
      <c r="AE401" s="146"/>
      <c r="AF401" s="146"/>
      <c r="AG401" s="146"/>
    </row>
    <row r="402" spans="1:33" ht="12.75">
      <c r="A402" s="148"/>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6"/>
      <c r="AD402" s="146"/>
      <c r="AE402" s="146"/>
      <c r="AF402" s="146"/>
      <c r="AG402" s="146"/>
    </row>
    <row r="403" spans="1:33" ht="12.75">
      <c r="A403" s="148"/>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c r="AA403" s="146"/>
      <c r="AB403" s="146"/>
      <c r="AC403" s="146"/>
      <c r="AD403" s="146"/>
      <c r="AE403" s="146"/>
      <c r="AF403" s="146"/>
      <c r="AG403" s="146"/>
    </row>
    <row r="404" spans="1:33" ht="12.75">
      <c r="A404" s="148"/>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c r="AA404" s="146"/>
      <c r="AB404" s="146"/>
      <c r="AC404" s="146"/>
      <c r="AD404" s="146"/>
      <c r="AE404" s="146"/>
      <c r="AF404" s="146"/>
      <c r="AG404" s="146"/>
    </row>
    <row r="405" spans="1:33" ht="12.75">
      <c r="A405" s="148"/>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c r="AA405" s="146"/>
      <c r="AB405" s="146"/>
      <c r="AC405" s="146"/>
      <c r="AD405" s="146"/>
      <c r="AE405" s="146"/>
      <c r="AF405" s="146"/>
      <c r="AG405" s="146"/>
    </row>
    <row r="406" spans="1:33" ht="12.75">
      <c r="A406" s="148"/>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c r="AA406" s="146"/>
      <c r="AB406" s="146"/>
      <c r="AC406" s="146"/>
      <c r="AD406" s="146"/>
      <c r="AE406" s="146"/>
      <c r="AF406" s="146"/>
      <c r="AG406" s="146"/>
    </row>
    <row r="407" spans="1:33" ht="12.75">
      <c r="A407" s="148"/>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c r="AA407" s="146"/>
      <c r="AB407" s="146"/>
      <c r="AC407" s="146"/>
      <c r="AD407" s="146"/>
      <c r="AE407" s="146"/>
      <c r="AF407" s="146"/>
      <c r="AG407" s="146"/>
    </row>
    <row r="408" spans="1:33" ht="12.75">
      <c r="A408" s="148"/>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c r="AA408" s="146"/>
      <c r="AB408" s="146"/>
      <c r="AC408" s="146"/>
      <c r="AD408" s="146"/>
      <c r="AE408" s="146"/>
      <c r="AF408" s="146"/>
      <c r="AG408" s="146"/>
    </row>
    <row r="409" spans="1:33" ht="12.75">
      <c r="A409" s="148"/>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c r="AB409" s="146"/>
      <c r="AC409" s="146"/>
      <c r="AD409" s="146"/>
      <c r="AE409" s="146"/>
      <c r="AF409" s="146"/>
      <c r="AG409" s="146"/>
    </row>
    <row r="410" spans="1:33" ht="12.75">
      <c r="A410" s="148"/>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c r="AB410" s="146"/>
      <c r="AC410" s="146"/>
      <c r="AD410" s="146"/>
      <c r="AE410" s="146"/>
      <c r="AF410" s="146"/>
      <c r="AG410" s="146"/>
    </row>
    <row r="411" spans="1:33" ht="12.75">
      <c r="A411" s="148"/>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c r="AB411" s="146"/>
      <c r="AC411" s="146"/>
      <c r="AD411" s="146"/>
      <c r="AE411" s="146"/>
      <c r="AF411" s="146"/>
      <c r="AG411" s="146"/>
    </row>
    <row r="412" spans="1:33" ht="12.75">
      <c r="A412" s="148"/>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c r="AA412" s="146"/>
      <c r="AB412" s="146"/>
      <c r="AC412" s="146"/>
      <c r="AD412" s="146"/>
      <c r="AE412" s="146"/>
      <c r="AF412" s="146"/>
      <c r="AG412" s="146"/>
    </row>
    <row r="413" spans="1:33" ht="12.75">
      <c r="A413" s="148"/>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row>
    <row r="414" spans="1:33" ht="12.75">
      <c r="A414" s="148"/>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c r="AA414" s="146"/>
      <c r="AB414" s="146"/>
      <c r="AC414" s="146"/>
      <c r="AD414" s="146"/>
      <c r="AE414" s="146"/>
      <c r="AF414" s="146"/>
      <c r="AG414" s="146"/>
    </row>
    <row r="415" spans="1:33" ht="12.75">
      <c r="A415" s="148"/>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c r="AB415" s="146"/>
      <c r="AC415" s="146"/>
      <c r="AD415" s="146"/>
      <c r="AE415" s="146"/>
      <c r="AF415" s="146"/>
      <c r="AG415" s="146"/>
    </row>
    <row r="416" spans="1:33" ht="12.75">
      <c r="A416" s="148"/>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c r="AB416" s="146"/>
      <c r="AC416" s="146"/>
      <c r="AD416" s="146"/>
      <c r="AE416" s="146"/>
      <c r="AF416" s="146"/>
      <c r="AG416" s="146"/>
    </row>
    <row r="417" spans="1:33" ht="12.75">
      <c r="A417" s="148"/>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c r="AB417" s="146"/>
      <c r="AC417" s="146"/>
      <c r="AD417" s="146"/>
      <c r="AE417" s="146"/>
      <c r="AF417" s="146"/>
      <c r="AG417" s="146"/>
    </row>
    <row r="418" spans="1:33" ht="12.75">
      <c r="A418" s="148"/>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c r="AA418" s="146"/>
      <c r="AB418" s="146"/>
      <c r="AC418" s="146"/>
      <c r="AD418" s="146"/>
      <c r="AE418" s="146"/>
      <c r="AF418" s="146"/>
      <c r="AG418" s="146"/>
    </row>
    <row r="419" spans="1:33" ht="12.75">
      <c r="A419" s="148"/>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c r="AB419" s="146"/>
      <c r="AC419" s="146"/>
      <c r="AD419" s="146"/>
      <c r="AE419" s="146"/>
      <c r="AF419" s="146"/>
      <c r="AG419" s="146"/>
    </row>
    <row r="420" spans="1:33" ht="12.75">
      <c r="A420" s="148"/>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c r="AB420" s="146"/>
      <c r="AC420" s="146"/>
      <c r="AD420" s="146"/>
      <c r="AE420" s="146"/>
      <c r="AF420" s="146"/>
      <c r="AG420" s="146"/>
    </row>
    <row r="421" spans="1:33" ht="12.75">
      <c r="A421" s="148"/>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c r="AB421" s="146"/>
      <c r="AC421" s="146"/>
      <c r="AD421" s="146"/>
      <c r="AE421" s="146"/>
      <c r="AF421" s="146"/>
      <c r="AG421" s="146"/>
    </row>
    <row r="422" spans="1:33" ht="12.75">
      <c r="A422" s="148"/>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c r="AB422" s="146"/>
      <c r="AC422" s="146"/>
      <c r="AD422" s="146"/>
      <c r="AE422" s="146"/>
      <c r="AF422" s="146"/>
      <c r="AG422" s="146"/>
    </row>
    <row r="423" spans="1:33" ht="12.75">
      <c r="A423" s="148"/>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c r="AB423" s="146"/>
      <c r="AC423" s="146"/>
      <c r="AD423" s="146"/>
      <c r="AE423" s="146"/>
      <c r="AF423" s="146"/>
      <c r="AG423" s="146"/>
    </row>
    <row r="424" spans="1:33" ht="12.75">
      <c r="A424" s="148"/>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c r="AD424" s="146"/>
      <c r="AE424" s="146"/>
      <c r="AF424" s="146"/>
      <c r="AG424" s="146"/>
    </row>
    <row r="425" spans="1:33" ht="12.75">
      <c r="A425" s="148"/>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c r="AB425" s="146"/>
      <c r="AC425" s="146"/>
      <c r="AD425" s="146"/>
      <c r="AE425" s="146"/>
      <c r="AF425" s="146"/>
      <c r="AG425" s="146"/>
    </row>
    <row r="426" spans="1:33" ht="12.75">
      <c r="A426" s="148"/>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c r="AA426" s="146"/>
      <c r="AB426" s="146"/>
      <c r="AC426" s="146"/>
      <c r="AD426" s="146"/>
      <c r="AE426" s="146"/>
      <c r="AF426" s="146"/>
      <c r="AG426" s="146"/>
    </row>
    <row r="427" spans="1:33" ht="12.75">
      <c r="A427" s="148"/>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c r="AA427" s="146"/>
      <c r="AB427" s="146"/>
      <c r="AC427" s="146"/>
      <c r="AD427" s="146"/>
      <c r="AE427" s="146"/>
      <c r="AF427" s="146"/>
      <c r="AG427" s="146"/>
    </row>
    <row r="428" spans="1:33" ht="12.75">
      <c r="A428" s="148"/>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c r="AA428" s="146"/>
      <c r="AB428" s="146"/>
      <c r="AC428" s="146"/>
      <c r="AD428" s="146"/>
      <c r="AE428" s="146"/>
      <c r="AF428" s="146"/>
      <c r="AG428" s="146"/>
    </row>
    <row r="429" spans="1:33" ht="12.75">
      <c r="A429" s="148"/>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c r="AB429" s="146"/>
      <c r="AC429" s="146"/>
      <c r="AD429" s="146"/>
      <c r="AE429" s="146"/>
      <c r="AF429" s="146"/>
      <c r="AG429" s="146"/>
    </row>
    <row r="430" spans="1:33" ht="12.75">
      <c r="A430" s="148"/>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c r="AA430" s="146"/>
      <c r="AB430" s="146"/>
      <c r="AC430" s="146"/>
      <c r="AD430" s="146"/>
      <c r="AE430" s="146"/>
      <c r="AF430" s="146"/>
      <c r="AG430" s="146"/>
    </row>
    <row r="431" spans="1:33" ht="12.75">
      <c r="A431" s="148"/>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c r="AA431" s="146"/>
      <c r="AB431" s="146"/>
      <c r="AC431" s="146"/>
      <c r="AD431" s="146"/>
      <c r="AE431" s="146"/>
      <c r="AF431" s="146"/>
      <c r="AG431" s="146"/>
    </row>
    <row r="432" spans="1:33" ht="12.75">
      <c r="A432" s="148"/>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c r="AB432" s="146"/>
      <c r="AC432" s="146"/>
      <c r="AD432" s="146"/>
      <c r="AE432" s="146"/>
      <c r="AF432" s="146"/>
      <c r="AG432" s="146"/>
    </row>
    <row r="433" spans="1:33" ht="12.75">
      <c r="A433" s="148"/>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c r="AB433" s="146"/>
      <c r="AC433" s="146"/>
      <c r="AD433" s="146"/>
      <c r="AE433" s="146"/>
      <c r="AF433" s="146"/>
      <c r="AG433" s="146"/>
    </row>
    <row r="434" spans="1:33" ht="12.75">
      <c r="A434" s="148"/>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c r="AA434" s="146"/>
      <c r="AB434" s="146"/>
      <c r="AC434" s="146"/>
      <c r="AD434" s="146"/>
      <c r="AE434" s="146"/>
      <c r="AF434" s="146"/>
      <c r="AG434" s="146"/>
    </row>
    <row r="435" spans="1:33" ht="12.75">
      <c r="A435" s="148"/>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c r="AA435" s="146"/>
      <c r="AB435" s="146"/>
      <c r="AC435" s="146"/>
      <c r="AD435" s="146"/>
      <c r="AE435" s="146"/>
      <c r="AF435" s="146"/>
      <c r="AG435" s="146"/>
    </row>
    <row r="436" spans="1:33" ht="12.75">
      <c r="A436" s="148"/>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c r="AA436" s="146"/>
      <c r="AB436" s="146"/>
      <c r="AC436" s="146"/>
      <c r="AD436" s="146"/>
      <c r="AE436" s="146"/>
      <c r="AF436" s="146"/>
      <c r="AG436" s="146"/>
    </row>
    <row r="437" spans="1:33" ht="12.75">
      <c r="A437" s="148"/>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c r="AB437" s="146"/>
      <c r="AC437" s="146"/>
      <c r="AD437" s="146"/>
      <c r="AE437" s="146"/>
      <c r="AF437" s="146"/>
      <c r="AG437" s="146"/>
    </row>
    <row r="438" spans="1:33" ht="12.75">
      <c r="A438" s="148"/>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c r="AB438" s="146"/>
      <c r="AC438" s="146"/>
      <c r="AD438" s="146"/>
      <c r="AE438" s="146"/>
      <c r="AF438" s="146"/>
      <c r="AG438" s="146"/>
    </row>
    <row r="439" spans="1:33" ht="12.75">
      <c r="A439" s="148"/>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c r="AB439" s="146"/>
      <c r="AC439" s="146"/>
      <c r="AD439" s="146"/>
      <c r="AE439" s="146"/>
      <c r="AF439" s="146"/>
      <c r="AG439" s="146"/>
    </row>
    <row r="440" spans="1:33" ht="12.75">
      <c r="A440" s="148"/>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c r="AA440" s="146"/>
      <c r="AB440" s="146"/>
      <c r="AC440" s="146"/>
      <c r="AD440" s="146"/>
      <c r="AE440" s="146"/>
      <c r="AF440" s="146"/>
      <c r="AG440" s="146"/>
    </row>
    <row r="441" spans="1:33" ht="12.75">
      <c r="A441" s="148"/>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c r="AA441" s="146"/>
      <c r="AB441" s="146"/>
      <c r="AC441" s="146"/>
      <c r="AD441" s="146"/>
      <c r="AE441" s="146"/>
      <c r="AF441" s="146"/>
      <c r="AG441" s="146"/>
    </row>
    <row r="442" spans="1:33" ht="12.75">
      <c r="A442" s="148"/>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c r="AB442" s="146"/>
      <c r="AC442" s="146"/>
      <c r="AD442" s="146"/>
      <c r="AE442" s="146"/>
      <c r="AF442" s="146"/>
      <c r="AG442" s="146"/>
    </row>
    <row r="443" spans="1:33" ht="12.75">
      <c r="A443" s="148"/>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c r="AA443" s="146"/>
      <c r="AB443" s="146"/>
      <c r="AC443" s="146"/>
      <c r="AD443" s="146"/>
      <c r="AE443" s="146"/>
      <c r="AF443" s="146"/>
      <c r="AG443" s="146"/>
    </row>
    <row r="444" spans="1:33" ht="12.75">
      <c r="A444" s="148"/>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c r="AA444" s="146"/>
      <c r="AB444" s="146"/>
      <c r="AC444" s="146"/>
      <c r="AD444" s="146"/>
      <c r="AE444" s="146"/>
      <c r="AF444" s="146"/>
      <c r="AG444" s="146"/>
    </row>
    <row r="445" spans="1:33" ht="12.75">
      <c r="A445" s="148"/>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c r="AB445" s="146"/>
      <c r="AC445" s="146"/>
      <c r="AD445" s="146"/>
      <c r="AE445" s="146"/>
      <c r="AF445" s="146"/>
      <c r="AG445" s="146"/>
    </row>
    <row r="446" spans="1:33" ht="12.75">
      <c r="A446" s="148"/>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c r="AB446" s="146"/>
      <c r="AC446" s="146"/>
      <c r="AD446" s="146"/>
      <c r="AE446" s="146"/>
      <c r="AF446" s="146"/>
      <c r="AG446" s="146"/>
    </row>
    <row r="447" spans="1:33" ht="12.75">
      <c r="A447" s="148"/>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c r="AB447" s="146"/>
      <c r="AC447" s="146"/>
      <c r="AD447" s="146"/>
      <c r="AE447" s="146"/>
      <c r="AF447" s="146"/>
      <c r="AG447" s="146"/>
    </row>
    <row r="448" spans="1:33" ht="12.75">
      <c r="A448" s="148"/>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c r="AB448" s="146"/>
      <c r="AC448" s="146"/>
      <c r="AD448" s="146"/>
      <c r="AE448" s="146"/>
      <c r="AF448" s="146"/>
      <c r="AG448" s="146"/>
    </row>
    <row r="449" spans="1:33" ht="12.75">
      <c r="A449" s="148"/>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c r="AA449" s="146"/>
      <c r="AB449" s="146"/>
      <c r="AC449" s="146"/>
      <c r="AD449" s="146"/>
      <c r="AE449" s="146"/>
      <c r="AF449" s="146"/>
      <c r="AG449" s="146"/>
    </row>
    <row r="450" spans="1:33" ht="12.75">
      <c r="A450" s="148"/>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c r="AA450" s="146"/>
      <c r="AB450" s="146"/>
      <c r="AC450" s="146"/>
      <c r="AD450" s="146"/>
      <c r="AE450" s="146"/>
      <c r="AF450" s="146"/>
      <c r="AG450" s="146"/>
    </row>
    <row r="451" spans="1:33" ht="12.75">
      <c r="A451" s="148"/>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c r="AA451" s="146"/>
      <c r="AB451" s="146"/>
      <c r="AC451" s="146"/>
      <c r="AD451" s="146"/>
      <c r="AE451" s="146"/>
      <c r="AF451" s="146"/>
      <c r="AG451" s="146"/>
    </row>
    <row r="452" spans="1:33" ht="12.75">
      <c r="A452" s="148"/>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c r="AA452" s="146"/>
      <c r="AB452" s="146"/>
      <c r="AC452" s="146"/>
      <c r="AD452" s="146"/>
      <c r="AE452" s="146"/>
      <c r="AF452" s="146"/>
      <c r="AG452" s="146"/>
    </row>
    <row r="453" spans="1:33" ht="12.75">
      <c r="A453" s="148"/>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c r="AA453" s="146"/>
      <c r="AB453" s="146"/>
      <c r="AC453" s="146"/>
      <c r="AD453" s="146"/>
      <c r="AE453" s="146"/>
      <c r="AF453" s="146"/>
      <c r="AG453" s="146"/>
    </row>
    <row r="454" spans="1:33" ht="12.75">
      <c r="A454" s="148"/>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c r="AA454" s="146"/>
      <c r="AB454" s="146"/>
      <c r="AC454" s="146"/>
      <c r="AD454" s="146"/>
      <c r="AE454" s="146"/>
      <c r="AF454" s="146"/>
      <c r="AG454" s="146"/>
    </row>
    <row r="455" spans="1:33" ht="12.75">
      <c r="A455" s="148"/>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c r="AA455" s="146"/>
      <c r="AB455" s="146"/>
      <c r="AC455" s="146"/>
      <c r="AD455" s="146"/>
      <c r="AE455" s="146"/>
      <c r="AF455" s="146"/>
      <c r="AG455" s="146"/>
    </row>
    <row r="456" spans="1:33" ht="12.75">
      <c r="A456" s="148"/>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c r="AA456" s="146"/>
      <c r="AB456" s="146"/>
      <c r="AC456" s="146"/>
      <c r="AD456" s="146"/>
      <c r="AE456" s="146"/>
      <c r="AF456" s="146"/>
      <c r="AG456" s="146"/>
    </row>
    <row r="457" spans="1:33" ht="12.75">
      <c r="A457" s="148"/>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c r="AA457" s="146"/>
      <c r="AB457" s="146"/>
      <c r="AC457" s="146"/>
      <c r="AD457" s="146"/>
      <c r="AE457" s="146"/>
      <c r="AF457" s="146"/>
      <c r="AG457" s="146"/>
    </row>
    <row r="458" spans="1:33" ht="12.75">
      <c r="A458" s="148"/>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c r="AA458" s="146"/>
      <c r="AB458" s="146"/>
      <c r="AC458" s="146"/>
      <c r="AD458" s="146"/>
      <c r="AE458" s="146"/>
      <c r="AF458" s="146"/>
      <c r="AG458" s="146"/>
    </row>
    <row r="459" spans="1:33" ht="12.75">
      <c r="A459" s="148"/>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c r="AA459" s="146"/>
      <c r="AB459" s="146"/>
      <c r="AC459" s="146"/>
      <c r="AD459" s="146"/>
      <c r="AE459" s="146"/>
      <c r="AF459" s="146"/>
      <c r="AG459" s="146"/>
    </row>
    <row r="460" spans="1:33" ht="12.75">
      <c r="A460" s="148"/>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c r="AA460" s="146"/>
      <c r="AB460" s="146"/>
      <c r="AC460" s="146"/>
      <c r="AD460" s="146"/>
      <c r="AE460" s="146"/>
      <c r="AF460" s="146"/>
      <c r="AG460" s="146"/>
    </row>
    <row r="461" spans="1:33" ht="12.75">
      <c r="A461" s="148"/>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c r="AA461" s="146"/>
      <c r="AB461" s="146"/>
      <c r="AC461" s="146"/>
      <c r="AD461" s="146"/>
      <c r="AE461" s="146"/>
      <c r="AF461" s="146"/>
      <c r="AG461" s="146"/>
    </row>
    <row r="462" spans="1:33" ht="12.75">
      <c r="A462" s="148"/>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c r="AB462" s="146"/>
      <c r="AC462" s="146"/>
      <c r="AD462" s="146"/>
      <c r="AE462" s="146"/>
      <c r="AF462" s="146"/>
      <c r="AG462" s="146"/>
    </row>
    <row r="463" spans="1:33" ht="12.75">
      <c r="A463" s="148"/>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c r="AB463" s="146"/>
      <c r="AC463" s="146"/>
      <c r="AD463" s="146"/>
      <c r="AE463" s="146"/>
      <c r="AF463" s="146"/>
      <c r="AG463" s="146"/>
    </row>
    <row r="464" spans="1:33" ht="12.75">
      <c r="A464" s="148"/>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c r="AB464" s="146"/>
      <c r="AC464" s="146"/>
      <c r="AD464" s="146"/>
      <c r="AE464" s="146"/>
      <c r="AF464" s="146"/>
      <c r="AG464" s="146"/>
    </row>
    <row r="465" spans="1:33" ht="12.75">
      <c r="A465" s="148"/>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c r="AA465" s="146"/>
      <c r="AB465" s="146"/>
      <c r="AC465" s="146"/>
      <c r="AD465" s="146"/>
      <c r="AE465" s="146"/>
      <c r="AF465" s="146"/>
      <c r="AG465" s="146"/>
    </row>
    <row r="466" spans="1:33" ht="12.75">
      <c r="A466" s="148"/>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c r="AB466" s="146"/>
      <c r="AC466" s="146"/>
      <c r="AD466" s="146"/>
      <c r="AE466" s="146"/>
      <c r="AF466" s="146"/>
      <c r="AG466" s="146"/>
    </row>
    <row r="467" spans="1:33" ht="12.75">
      <c r="A467" s="148"/>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c r="AA467" s="146"/>
      <c r="AB467" s="146"/>
      <c r="AC467" s="146"/>
      <c r="AD467" s="146"/>
      <c r="AE467" s="146"/>
      <c r="AF467" s="146"/>
      <c r="AG467" s="146"/>
    </row>
    <row r="468" spans="1:33" ht="12.75">
      <c r="A468" s="148"/>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c r="AA468" s="146"/>
      <c r="AB468" s="146"/>
      <c r="AC468" s="146"/>
      <c r="AD468" s="146"/>
      <c r="AE468" s="146"/>
      <c r="AF468" s="146"/>
      <c r="AG468" s="146"/>
    </row>
    <row r="469" spans="1:33" ht="12.75">
      <c r="A469" s="148"/>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c r="AA469" s="146"/>
      <c r="AB469" s="146"/>
      <c r="AC469" s="146"/>
      <c r="AD469" s="146"/>
      <c r="AE469" s="146"/>
      <c r="AF469" s="146"/>
      <c r="AG469" s="146"/>
    </row>
    <row r="470" spans="1:33" ht="12.75">
      <c r="A470" s="148"/>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c r="AA470" s="146"/>
      <c r="AB470" s="146"/>
      <c r="AC470" s="146"/>
      <c r="AD470" s="146"/>
      <c r="AE470" s="146"/>
      <c r="AF470" s="146"/>
      <c r="AG470" s="146"/>
    </row>
    <row r="471" spans="1:33" ht="12.75">
      <c r="A471" s="148"/>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c r="AB471" s="146"/>
      <c r="AC471" s="146"/>
      <c r="AD471" s="146"/>
      <c r="AE471" s="146"/>
      <c r="AF471" s="146"/>
      <c r="AG471" s="146"/>
    </row>
    <row r="472" spans="1:33" ht="12.75">
      <c r="A472" s="148"/>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c r="AB472" s="146"/>
      <c r="AC472" s="146"/>
      <c r="AD472" s="146"/>
      <c r="AE472" s="146"/>
      <c r="AF472" s="146"/>
      <c r="AG472" s="146"/>
    </row>
    <row r="473" spans="1:33" ht="12.75">
      <c r="A473" s="148"/>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c r="AB473" s="146"/>
      <c r="AC473" s="146"/>
      <c r="AD473" s="146"/>
      <c r="AE473" s="146"/>
      <c r="AF473" s="146"/>
      <c r="AG473" s="146"/>
    </row>
    <row r="474" spans="1:33" ht="12.75">
      <c r="A474" s="148"/>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c r="AB474" s="146"/>
      <c r="AC474" s="146"/>
      <c r="AD474" s="146"/>
      <c r="AE474" s="146"/>
      <c r="AF474" s="146"/>
      <c r="AG474" s="146"/>
    </row>
    <row r="475" spans="1:33" ht="12.75">
      <c r="A475" s="148"/>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c r="AA475" s="146"/>
      <c r="AB475" s="146"/>
      <c r="AC475" s="146"/>
      <c r="AD475" s="146"/>
      <c r="AE475" s="146"/>
      <c r="AF475" s="146"/>
      <c r="AG475" s="146"/>
    </row>
    <row r="476" spans="1:33" ht="12.75">
      <c r="A476" s="148"/>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46"/>
      <c r="AF476" s="146"/>
      <c r="AG476" s="146"/>
    </row>
    <row r="477" spans="1:33" ht="12.75">
      <c r="A477" s="148"/>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c r="AA477" s="146"/>
      <c r="AB477" s="146"/>
      <c r="AC477" s="146"/>
      <c r="AD477" s="146"/>
      <c r="AE477" s="146"/>
      <c r="AF477" s="146"/>
      <c r="AG477" s="146"/>
    </row>
    <row r="478" spans="1:33" ht="12.75">
      <c r="A478" s="148"/>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c r="AB478" s="146"/>
      <c r="AC478" s="146"/>
      <c r="AD478" s="146"/>
      <c r="AE478" s="146"/>
      <c r="AF478" s="146"/>
      <c r="AG478" s="146"/>
    </row>
    <row r="479" spans="1:33" ht="12.75">
      <c r="A479" s="148"/>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c r="AB479" s="146"/>
      <c r="AC479" s="146"/>
      <c r="AD479" s="146"/>
      <c r="AE479" s="146"/>
      <c r="AF479" s="146"/>
      <c r="AG479" s="146"/>
    </row>
    <row r="480" spans="1:33" ht="12.75">
      <c r="A480" s="148"/>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c r="AA480" s="146"/>
      <c r="AB480" s="146"/>
      <c r="AC480" s="146"/>
      <c r="AD480" s="146"/>
      <c r="AE480" s="146"/>
      <c r="AF480" s="146"/>
      <c r="AG480" s="146"/>
    </row>
    <row r="481" spans="1:33" ht="12.75">
      <c r="A481" s="148"/>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c r="AA481" s="146"/>
      <c r="AB481" s="146"/>
      <c r="AC481" s="146"/>
      <c r="AD481" s="146"/>
      <c r="AE481" s="146"/>
      <c r="AF481" s="146"/>
      <c r="AG481" s="146"/>
    </row>
    <row r="482" spans="1:33" ht="12.75">
      <c r="A482" s="148"/>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c r="AA482" s="146"/>
      <c r="AB482" s="146"/>
      <c r="AC482" s="146"/>
      <c r="AD482" s="146"/>
      <c r="AE482" s="146"/>
      <c r="AF482" s="146"/>
      <c r="AG482" s="146"/>
    </row>
    <row r="483" spans="1:33" ht="12.75">
      <c r="A483" s="148"/>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c r="AA483" s="146"/>
      <c r="AB483" s="146"/>
      <c r="AC483" s="146"/>
      <c r="AD483" s="146"/>
      <c r="AE483" s="146"/>
      <c r="AF483" s="146"/>
      <c r="AG483" s="146"/>
    </row>
    <row r="484" spans="1:33" ht="12.75">
      <c r="A484" s="148"/>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c r="AB484" s="146"/>
      <c r="AC484" s="146"/>
      <c r="AD484" s="146"/>
      <c r="AE484" s="146"/>
      <c r="AF484" s="146"/>
      <c r="AG484" s="146"/>
    </row>
    <row r="485" spans="1:33" ht="12.75">
      <c r="A485" s="148"/>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c r="AB485" s="146"/>
      <c r="AC485" s="146"/>
      <c r="AD485" s="146"/>
      <c r="AE485" s="146"/>
      <c r="AF485" s="146"/>
      <c r="AG485" s="146"/>
    </row>
    <row r="486" spans="1:33" ht="12.75">
      <c r="A486" s="148"/>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c r="AA486" s="146"/>
      <c r="AB486" s="146"/>
      <c r="AC486" s="146"/>
      <c r="AD486" s="146"/>
      <c r="AE486" s="146"/>
      <c r="AF486" s="146"/>
      <c r="AG486" s="146"/>
    </row>
    <row r="487" spans="1:33" ht="12.75">
      <c r="A487" s="148"/>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c r="AA487" s="146"/>
      <c r="AB487" s="146"/>
      <c r="AC487" s="146"/>
      <c r="AD487" s="146"/>
      <c r="AE487" s="146"/>
      <c r="AF487" s="146"/>
      <c r="AG487" s="146"/>
    </row>
    <row r="488" spans="1:33" ht="12.75">
      <c r="A488" s="148"/>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c r="AA488" s="146"/>
      <c r="AB488" s="146"/>
      <c r="AC488" s="146"/>
      <c r="AD488" s="146"/>
      <c r="AE488" s="146"/>
      <c r="AF488" s="146"/>
      <c r="AG488" s="146"/>
    </row>
    <row r="489" spans="1:33" ht="12.75">
      <c r="A489" s="148"/>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c r="AA489" s="146"/>
      <c r="AB489" s="146"/>
      <c r="AC489" s="146"/>
      <c r="AD489" s="146"/>
      <c r="AE489" s="146"/>
      <c r="AF489" s="146"/>
      <c r="AG489" s="146"/>
    </row>
    <row r="490" spans="1:33" ht="12.75">
      <c r="A490" s="148"/>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c r="AB490" s="146"/>
      <c r="AC490" s="146"/>
      <c r="AD490" s="146"/>
      <c r="AE490" s="146"/>
      <c r="AF490" s="146"/>
      <c r="AG490" s="146"/>
    </row>
    <row r="491" spans="1:33" ht="12.75">
      <c r="A491" s="148"/>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c r="AA491" s="146"/>
      <c r="AB491" s="146"/>
      <c r="AC491" s="146"/>
      <c r="AD491" s="146"/>
      <c r="AE491" s="146"/>
      <c r="AF491" s="146"/>
      <c r="AG491" s="146"/>
    </row>
    <row r="492" spans="1:33" ht="12.75">
      <c r="A492" s="148"/>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c r="AA492" s="146"/>
      <c r="AB492" s="146"/>
      <c r="AC492" s="146"/>
      <c r="AD492" s="146"/>
      <c r="AE492" s="146"/>
      <c r="AF492" s="146"/>
      <c r="AG492" s="146"/>
    </row>
    <row r="493" spans="1:33" ht="12.75">
      <c r="A493" s="148"/>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c r="AB493" s="146"/>
      <c r="AC493" s="146"/>
      <c r="AD493" s="146"/>
      <c r="AE493" s="146"/>
      <c r="AF493" s="146"/>
      <c r="AG493" s="146"/>
    </row>
    <row r="494" spans="1:33" ht="12.75">
      <c r="A494" s="148"/>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c r="AB494" s="146"/>
      <c r="AC494" s="146"/>
      <c r="AD494" s="146"/>
      <c r="AE494" s="146"/>
      <c r="AF494" s="146"/>
      <c r="AG494" s="146"/>
    </row>
    <row r="495" spans="1:33" ht="12.75">
      <c r="A495" s="148"/>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c r="AA495" s="146"/>
      <c r="AB495" s="146"/>
      <c r="AC495" s="146"/>
      <c r="AD495" s="146"/>
      <c r="AE495" s="146"/>
      <c r="AF495" s="146"/>
      <c r="AG495" s="146"/>
    </row>
    <row r="496" spans="1:33" ht="12.75">
      <c r="A496" s="148"/>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c r="AA496" s="146"/>
      <c r="AB496" s="146"/>
      <c r="AC496" s="146"/>
      <c r="AD496" s="146"/>
      <c r="AE496" s="146"/>
      <c r="AF496" s="146"/>
      <c r="AG496" s="146"/>
    </row>
    <row r="497" spans="1:33" ht="12.75">
      <c r="A497" s="148"/>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c r="AA497" s="146"/>
      <c r="AB497" s="146"/>
      <c r="AC497" s="146"/>
      <c r="AD497" s="146"/>
      <c r="AE497" s="146"/>
      <c r="AF497" s="146"/>
      <c r="AG497" s="146"/>
    </row>
    <row r="498" spans="1:33" ht="12.75">
      <c r="A498" s="148"/>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c r="AA498" s="146"/>
      <c r="AB498" s="146"/>
      <c r="AC498" s="146"/>
      <c r="AD498" s="146"/>
      <c r="AE498" s="146"/>
      <c r="AF498" s="146"/>
      <c r="AG498" s="146"/>
    </row>
    <row r="499" spans="1:33" ht="12.75">
      <c r="A499" s="148"/>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c r="AA499" s="146"/>
      <c r="AB499" s="146"/>
      <c r="AC499" s="146"/>
      <c r="AD499" s="146"/>
      <c r="AE499" s="146"/>
      <c r="AF499" s="146"/>
      <c r="AG499" s="146"/>
    </row>
    <row r="500" spans="1:33" ht="12.75">
      <c r="A500" s="148"/>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c r="AA500" s="146"/>
      <c r="AB500" s="146"/>
      <c r="AC500" s="146"/>
      <c r="AD500" s="146"/>
      <c r="AE500" s="146"/>
      <c r="AF500" s="146"/>
      <c r="AG500" s="146"/>
    </row>
    <row r="501" spans="1:33" ht="12.75">
      <c r="A501" s="148"/>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c r="AA501" s="146"/>
      <c r="AB501" s="146"/>
      <c r="AC501" s="146"/>
      <c r="AD501" s="146"/>
      <c r="AE501" s="146"/>
      <c r="AF501" s="146"/>
      <c r="AG501" s="146"/>
    </row>
    <row r="502" spans="1:33" ht="12.75">
      <c r="A502" s="148"/>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c r="AA502" s="146"/>
      <c r="AB502" s="146"/>
      <c r="AC502" s="146"/>
      <c r="AD502" s="146"/>
      <c r="AE502" s="146"/>
      <c r="AF502" s="146"/>
      <c r="AG502" s="146"/>
    </row>
    <row r="503" spans="1:33" ht="12.75">
      <c r="A503" s="148"/>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c r="AA503" s="146"/>
      <c r="AB503" s="146"/>
      <c r="AC503" s="146"/>
      <c r="AD503" s="146"/>
      <c r="AE503" s="146"/>
      <c r="AF503" s="146"/>
      <c r="AG503" s="146"/>
    </row>
    <row r="504" spans="1:33" ht="12.75">
      <c r="A504" s="148"/>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c r="AA504" s="146"/>
      <c r="AB504" s="146"/>
      <c r="AC504" s="146"/>
      <c r="AD504" s="146"/>
      <c r="AE504" s="146"/>
      <c r="AF504" s="146"/>
      <c r="AG504" s="146"/>
    </row>
    <row r="505" spans="1:33" ht="12.75">
      <c r="A505" s="148"/>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c r="AA505" s="146"/>
      <c r="AB505" s="146"/>
      <c r="AC505" s="146"/>
      <c r="AD505" s="146"/>
      <c r="AE505" s="146"/>
      <c r="AF505" s="146"/>
      <c r="AG505" s="146"/>
    </row>
    <row r="506" spans="1:33" ht="12.75">
      <c r="A506" s="148"/>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c r="AA506" s="146"/>
      <c r="AB506" s="146"/>
      <c r="AC506" s="146"/>
      <c r="AD506" s="146"/>
      <c r="AE506" s="146"/>
      <c r="AF506" s="146"/>
      <c r="AG506" s="146"/>
    </row>
    <row r="507" spans="1:33" ht="12.75">
      <c r="A507" s="148"/>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c r="AA507" s="146"/>
      <c r="AB507" s="146"/>
      <c r="AC507" s="146"/>
      <c r="AD507" s="146"/>
      <c r="AE507" s="146"/>
      <c r="AF507" s="146"/>
      <c r="AG507" s="146"/>
    </row>
    <row r="508" spans="1:33" ht="12.75">
      <c r="A508" s="148"/>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c r="AA508" s="146"/>
      <c r="AB508" s="146"/>
      <c r="AC508" s="146"/>
      <c r="AD508" s="146"/>
      <c r="AE508" s="146"/>
      <c r="AF508" s="146"/>
      <c r="AG508" s="146"/>
    </row>
    <row r="509" spans="1:33" ht="12.75">
      <c r="A509" s="148"/>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c r="AA509" s="146"/>
      <c r="AB509" s="146"/>
      <c r="AC509" s="146"/>
      <c r="AD509" s="146"/>
      <c r="AE509" s="146"/>
      <c r="AF509" s="146"/>
      <c r="AG509" s="146"/>
    </row>
    <row r="510" spans="1:33" ht="12.75">
      <c r="A510" s="148"/>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c r="AA510" s="146"/>
      <c r="AB510" s="146"/>
      <c r="AC510" s="146"/>
      <c r="AD510" s="146"/>
      <c r="AE510" s="146"/>
      <c r="AF510" s="146"/>
      <c r="AG510" s="146"/>
    </row>
    <row r="511" spans="1:33" ht="12.75">
      <c r="A511" s="148"/>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c r="AA511" s="146"/>
      <c r="AB511" s="146"/>
      <c r="AC511" s="146"/>
      <c r="AD511" s="146"/>
      <c r="AE511" s="146"/>
      <c r="AF511" s="146"/>
      <c r="AG511" s="146"/>
    </row>
    <row r="512" spans="1:33" ht="12.75">
      <c r="A512" s="148"/>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c r="AA512" s="146"/>
      <c r="AB512" s="146"/>
      <c r="AC512" s="146"/>
      <c r="AD512" s="146"/>
      <c r="AE512" s="146"/>
      <c r="AF512" s="146"/>
      <c r="AG512" s="146"/>
    </row>
    <row r="513" spans="1:33" ht="12.75">
      <c r="A513" s="148"/>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c r="AA513" s="146"/>
      <c r="AB513" s="146"/>
      <c r="AC513" s="146"/>
      <c r="AD513" s="146"/>
      <c r="AE513" s="146"/>
      <c r="AF513" s="146"/>
      <c r="AG513" s="146"/>
    </row>
    <row r="514" spans="1:33" ht="12.75">
      <c r="A514" s="148"/>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c r="AA514" s="146"/>
      <c r="AB514" s="146"/>
      <c r="AC514" s="146"/>
      <c r="AD514" s="146"/>
      <c r="AE514" s="146"/>
      <c r="AF514" s="146"/>
      <c r="AG514" s="146"/>
    </row>
    <row r="515" spans="1:33" ht="12.75">
      <c r="A515" s="148"/>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c r="AA515" s="146"/>
      <c r="AB515" s="146"/>
      <c r="AC515" s="146"/>
      <c r="AD515" s="146"/>
      <c r="AE515" s="146"/>
      <c r="AF515" s="146"/>
      <c r="AG515" s="146"/>
    </row>
    <row r="516" spans="1:33" ht="12.75">
      <c r="A516" s="148"/>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c r="AA516" s="146"/>
      <c r="AB516" s="146"/>
      <c r="AC516" s="146"/>
      <c r="AD516" s="146"/>
      <c r="AE516" s="146"/>
      <c r="AF516" s="146"/>
      <c r="AG516" s="146"/>
    </row>
    <row r="517" spans="1:33" ht="12.75">
      <c r="A517" s="148"/>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c r="AB517" s="146"/>
      <c r="AC517" s="146"/>
      <c r="AD517" s="146"/>
      <c r="AE517" s="146"/>
      <c r="AF517" s="146"/>
      <c r="AG517" s="146"/>
    </row>
    <row r="518" spans="1:33" ht="12.75">
      <c r="A518" s="148"/>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c r="AA518" s="146"/>
      <c r="AB518" s="146"/>
      <c r="AC518" s="146"/>
      <c r="AD518" s="146"/>
      <c r="AE518" s="146"/>
      <c r="AF518" s="146"/>
      <c r="AG518" s="146"/>
    </row>
    <row r="519" spans="1:33" ht="12.75">
      <c r="A519" s="148"/>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c r="AA519" s="146"/>
      <c r="AB519" s="146"/>
      <c r="AC519" s="146"/>
      <c r="AD519" s="146"/>
      <c r="AE519" s="146"/>
      <c r="AF519" s="146"/>
      <c r="AG519" s="146"/>
    </row>
    <row r="520" spans="1:33" ht="12.75">
      <c r="A520" s="148"/>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c r="AA520" s="146"/>
      <c r="AB520" s="146"/>
      <c r="AC520" s="146"/>
      <c r="AD520" s="146"/>
      <c r="AE520" s="146"/>
      <c r="AF520" s="146"/>
      <c r="AG520" s="146"/>
    </row>
    <row r="521" spans="1:33" ht="12.75">
      <c r="A521" s="148"/>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c r="AA521" s="146"/>
      <c r="AB521" s="146"/>
      <c r="AC521" s="146"/>
      <c r="AD521" s="146"/>
      <c r="AE521" s="146"/>
      <c r="AF521" s="146"/>
      <c r="AG521" s="146"/>
    </row>
    <row r="522" spans="1:33" ht="12.75">
      <c r="A522" s="148"/>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c r="AA522" s="146"/>
      <c r="AB522" s="146"/>
      <c r="AC522" s="146"/>
      <c r="AD522" s="146"/>
      <c r="AE522" s="146"/>
      <c r="AF522" s="146"/>
      <c r="AG522" s="146"/>
    </row>
    <row r="523" spans="1:33" ht="12.75">
      <c r="A523" s="148"/>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c r="AB523" s="146"/>
      <c r="AC523" s="146"/>
      <c r="AD523" s="146"/>
      <c r="AE523" s="146"/>
      <c r="AF523" s="146"/>
      <c r="AG523" s="146"/>
    </row>
    <row r="524" spans="1:33" ht="12.75">
      <c r="A524" s="148"/>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c r="AB524" s="146"/>
      <c r="AC524" s="146"/>
      <c r="AD524" s="146"/>
      <c r="AE524" s="146"/>
      <c r="AF524" s="146"/>
      <c r="AG524" s="146"/>
    </row>
    <row r="525" spans="1:33" ht="12.75">
      <c r="A525" s="148"/>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c r="AB525" s="146"/>
      <c r="AC525" s="146"/>
      <c r="AD525" s="146"/>
      <c r="AE525" s="146"/>
      <c r="AF525" s="146"/>
      <c r="AG525" s="146"/>
    </row>
    <row r="526" spans="1:33" ht="12.75">
      <c r="A526" s="148"/>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c r="AA526" s="146"/>
      <c r="AB526" s="146"/>
      <c r="AC526" s="146"/>
      <c r="AD526" s="146"/>
      <c r="AE526" s="146"/>
      <c r="AF526" s="146"/>
      <c r="AG526" s="146"/>
    </row>
    <row r="527" spans="1:33" ht="12.75">
      <c r="A527" s="148"/>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c r="AA527" s="146"/>
      <c r="AB527" s="146"/>
      <c r="AC527" s="146"/>
      <c r="AD527" s="146"/>
      <c r="AE527" s="146"/>
      <c r="AF527" s="146"/>
      <c r="AG527" s="146"/>
    </row>
    <row r="528" spans="1:33" ht="12.75">
      <c r="A528" s="148"/>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c r="AA528" s="146"/>
      <c r="AB528" s="146"/>
      <c r="AC528" s="146"/>
      <c r="AD528" s="146"/>
      <c r="AE528" s="146"/>
      <c r="AF528" s="146"/>
      <c r="AG528" s="146"/>
    </row>
    <row r="529" spans="1:33" ht="12.75">
      <c r="A529" s="148"/>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c r="AA529" s="146"/>
      <c r="AB529" s="146"/>
      <c r="AC529" s="146"/>
      <c r="AD529" s="146"/>
      <c r="AE529" s="146"/>
      <c r="AF529" s="146"/>
      <c r="AG529" s="146"/>
    </row>
    <row r="530" spans="1:33" ht="12.75">
      <c r="A530" s="148"/>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c r="AA530" s="146"/>
      <c r="AB530" s="146"/>
      <c r="AC530" s="146"/>
      <c r="AD530" s="146"/>
      <c r="AE530" s="146"/>
      <c r="AF530" s="146"/>
      <c r="AG530" s="146"/>
    </row>
    <row r="531" spans="1:33" ht="12.75">
      <c r="A531" s="148"/>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c r="AA531" s="146"/>
      <c r="AB531" s="146"/>
      <c r="AC531" s="146"/>
      <c r="AD531" s="146"/>
      <c r="AE531" s="146"/>
      <c r="AF531" s="146"/>
      <c r="AG531" s="146"/>
    </row>
    <row r="532" spans="1:33" ht="12.75">
      <c r="A532" s="148"/>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c r="AA532" s="146"/>
      <c r="AB532" s="146"/>
      <c r="AC532" s="146"/>
      <c r="AD532" s="146"/>
      <c r="AE532" s="146"/>
      <c r="AF532" s="146"/>
      <c r="AG532" s="146"/>
    </row>
    <row r="533" spans="1:33" ht="12.75">
      <c r="A533" s="148"/>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c r="AA533" s="146"/>
      <c r="AB533" s="146"/>
      <c r="AC533" s="146"/>
      <c r="AD533" s="146"/>
      <c r="AE533" s="146"/>
      <c r="AF533" s="146"/>
      <c r="AG533" s="146"/>
    </row>
    <row r="534" spans="1:33" ht="12.75">
      <c r="A534" s="148"/>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c r="AA534" s="146"/>
      <c r="AB534" s="146"/>
      <c r="AC534" s="146"/>
      <c r="AD534" s="146"/>
      <c r="AE534" s="146"/>
      <c r="AF534" s="146"/>
      <c r="AG534" s="146"/>
    </row>
    <row r="535" spans="1:33" ht="12.75">
      <c r="A535" s="148"/>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c r="AA535" s="146"/>
      <c r="AB535" s="146"/>
      <c r="AC535" s="146"/>
      <c r="AD535" s="146"/>
      <c r="AE535" s="146"/>
      <c r="AF535" s="146"/>
      <c r="AG535" s="146"/>
    </row>
    <row r="536" spans="1:33" ht="12.75">
      <c r="A536" s="148"/>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c r="AA536" s="146"/>
      <c r="AB536" s="146"/>
      <c r="AC536" s="146"/>
      <c r="AD536" s="146"/>
      <c r="AE536" s="146"/>
      <c r="AF536" s="146"/>
      <c r="AG536" s="146"/>
    </row>
    <row r="537" spans="1:33" ht="12.75">
      <c r="A537" s="148"/>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c r="AA537" s="146"/>
      <c r="AB537" s="146"/>
      <c r="AC537" s="146"/>
      <c r="AD537" s="146"/>
      <c r="AE537" s="146"/>
      <c r="AF537" s="146"/>
      <c r="AG537" s="146"/>
    </row>
    <row r="538" spans="1:33" ht="12.75">
      <c r="A538" s="148"/>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c r="AA538" s="146"/>
      <c r="AB538" s="146"/>
      <c r="AC538" s="146"/>
      <c r="AD538" s="146"/>
      <c r="AE538" s="146"/>
      <c r="AF538" s="146"/>
      <c r="AG538" s="146"/>
    </row>
    <row r="539" spans="1:33" ht="12.75">
      <c r="A539" s="148"/>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c r="AA539" s="146"/>
      <c r="AB539" s="146"/>
      <c r="AC539" s="146"/>
      <c r="AD539" s="146"/>
      <c r="AE539" s="146"/>
      <c r="AF539" s="146"/>
      <c r="AG539" s="146"/>
    </row>
    <row r="540" spans="1:33" ht="12.75">
      <c r="A540" s="148"/>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c r="AB540" s="146"/>
      <c r="AC540" s="146"/>
      <c r="AD540" s="146"/>
      <c r="AE540" s="146"/>
      <c r="AF540" s="146"/>
      <c r="AG540" s="146"/>
    </row>
    <row r="541" spans="1:33" ht="12.75">
      <c r="A541" s="148"/>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c r="AB541" s="146"/>
      <c r="AC541" s="146"/>
      <c r="AD541" s="146"/>
      <c r="AE541" s="146"/>
      <c r="AF541" s="146"/>
      <c r="AG541" s="146"/>
    </row>
    <row r="542" spans="1:33" ht="12.75">
      <c r="A542" s="148"/>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c r="AA542" s="146"/>
      <c r="AB542" s="146"/>
      <c r="AC542" s="146"/>
      <c r="AD542" s="146"/>
      <c r="AE542" s="146"/>
      <c r="AF542" s="146"/>
      <c r="AG542" s="146"/>
    </row>
    <row r="543" spans="1:33" ht="12.75">
      <c r="A543" s="148"/>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c r="AA543" s="146"/>
      <c r="AB543" s="146"/>
      <c r="AC543" s="146"/>
      <c r="AD543" s="146"/>
      <c r="AE543" s="146"/>
      <c r="AF543" s="146"/>
      <c r="AG543" s="146"/>
    </row>
    <row r="544" spans="1:33" ht="12.75">
      <c r="A544" s="148"/>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c r="AB544" s="146"/>
      <c r="AC544" s="146"/>
      <c r="AD544" s="146"/>
      <c r="AE544" s="146"/>
      <c r="AF544" s="146"/>
      <c r="AG544" s="146"/>
    </row>
    <row r="545" spans="1:33" ht="12.75">
      <c r="A545" s="148"/>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c r="AB545" s="146"/>
      <c r="AC545" s="146"/>
      <c r="AD545" s="146"/>
      <c r="AE545" s="146"/>
      <c r="AF545" s="146"/>
      <c r="AG545" s="146"/>
    </row>
    <row r="546" spans="1:33" ht="12.75">
      <c r="A546" s="148"/>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c r="AA546" s="146"/>
      <c r="AB546" s="146"/>
      <c r="AC546" s="146"/>
      <c r="AD546" s="146"/>
      <c r="AE546" s="146"/>
      <c r="AF546" s="146"/>
      <c r="AG546" s="146"/>
    </row>
    <row r="547" spans="1:33" ht="12.75">
      <c r="A547" s="148"/>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c r="AA547" s="146"/>
      <c r="AB547" s="146"/>
      <c r="AC547" s="146"/>
      <c r="AD547" s="146"/>
      <c r="AE547" s="146"/>
      <c r="AF547" s="146"/>
      <c r="AG547" s="146"/>
    </row>
    <row r="548" spans="1:33" ht="12.75">
      <c r="A548" s="148"/>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c r="AA548" s="146"/>
      <c r="AB548" s="146"/>
      <c r="AC548" s="146"/>
      <c r="AD548" s="146"/>
      <c r="AE548" s="146"/>
      <c r="AF548" s="146"/>
      <c r="AG548" s="146"/>
    </row>
    <row r="549" spans="1:33" ht="12.75">
      <c r="A549" s="148"/>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c r="AB549" s="146"/>
      <c r="AC549" s="146"/>
      <c r="AD549" s="146"/>
      <c r="AE549" s="146"/>
      <c r="AF549" s="146"/>
      <c r="AG549" s="146"/>
    </row>
    <row r="550" spans="1:33" ht="12.75">
      <c r="A550" s="148"/>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c r="AB550" s="146"/>
      <c r="AC550" s="146"/>
      <c r="AD550" s="146"/>
      <c r="AE550" s="146"/>
      <c r="AF550" s="146"/>
      <c r="AG550" s="146"/>
    </row>
    <row r="551" spans="1:33" ht="12.75">
      <c r="A551" s="148"/>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c r="AA551" s="146"/>
      <c r="AB551" s="146"/>
      <c r="AC551" s="146"/>
      <c r="AD551" s="146"/>
      <c r="AE551" s="146"/>
      <c r="AF551" s="146"/>
      <c r="AG551" s="146"/>
    </row>
    <row r="552" spans="1:33" ht="12.75">
      <c r="A552" s="148"/>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c r="AA552" s="146"/>
      <c r="AB552" s="146"/>
      <c r="AC552" s="146"/>
      <c r="AD552" s="146"/>
      <c r="AE552" s="146"/>
      <c r="AF552" s="146"/>
      <c r="AG552" s="146"/>
    </row>
    <row r="553" spans="1:33" ht="12.75">
      <c r="A553" s="148"/>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c r="AA553" s="146"/>
      <c r="AB553" s="146"/>
      <c r="AC553" s="146"/>
      <c r="AD553" s="146"/>
      <c r="AE553" s="146"/>
      <c r="AF553" s="146"/>
      <c r="AG553" s="146"/>
    </row>
    <row r="554" spans="1:33" ht="12.75">
      <c r="A554" s="148"/>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c r="AA554" s="146"/>
      <c r="AB554" s="146"/>
      <c r="AC554" s="146"/>
      <c r="AD554" s="146"/>
      <c r="AE554" s="146"/>
      <c r="AF554" s="146"/>
      <c r="AG554" s="146"/>
    </row>
    <row r="555" spans="1:33" ht="12.75">
      <c r="A555" s="148"/>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c r="AB555" s="146"/>
      <c r="AC555" s="146"/>
      <c r="AD555" s="146"/>
      <c r="AE555" s="146"/>
      <c r="AF555" s="146"/>
      <c r="AG555" s="146"/>
    </row>
    <row r="556" spans="1:33" ht="12.75">
      <c r="A556" s="148"/>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c r="AB556" s="146"/>
      <c r="AC556" s="146"/>
      <c r="AD556" s="146"/>
      <c r="AE556" s="146"/>
      <c r="AF556" s="146"/>
      <c r="AG556" s="146"/>
    </row>
    <row r="557" spans="1:33" ht="12.75">
      <c r="A557" s="148"/>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c r="AA557" s="146"/>
      <c r="AB557" s="146"/>
      <c r="AC557" s="146"/>
      <c r="AD557" s="146"/>
      <c r="AE557" s="146"/>
      <c r="AF557" s="146"/>
      <c r="AG557" s="146"/>
    </row>
    <row r="558" spans="1:33" ht="12.75">
      <c r="A558" s="148"/>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c r="AA558" s="146"/>
      <c r="AB558" s="146"/>
      <c r="AC558" s="146"/>
      <c r="AD558" s="146"/>
      <c r="AE558" s="146"/>
      <c r="AF558" s="146"/>
      <c r="AG558" s="146"/>
    </row>
    <row r="559" spans="1:33" ht="12.75">
      <c r="A559" s="148"/>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c r="AB559" s="146"/>
      <c r="AC559" s="146"/>
      <c r="AD559" s="146"/>
      <c r="AE559" s="146"/>
      <c r="AF559" s="146"/>
      <c r="AG559" s="146"/>
    </row>
    <row r="560" spans="1:33" ht="12.75">
      <c r="A560" s="148"/>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c r="AB560" s="146"/>
      <c r="AC560" s="146"/>
      <c r="AD560" s="146"/>
      <c r="AE560" s="146"/>
      <c r="AF560" s="146"/>
      <c r="AG560" s="146"/>
    </row>
    <row r="561" spans="1:33" ht="12.75">
      <c r="A561" s="148"/>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c r="AB561" s="146"/>
      <c r="AC561" s="146"/>
      <c r="AD561" s="146"/>
      <c r="AE561" s="146"/>
      <c r="AF561" s="146"/>
      <c r="AG561" s="146"/>
    </row>
    <row r="562" spans="1:33" ht="12.75">
      <c r="A562" s="148"/>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c r="AB562" s="146"/>
      <c r="AC562" s="146"/>
      <c r="AD562" s="146"/>
      <c r="AE562" s="146"/>
      <c r="AF562" s="146"/>
      <c r="AG562" s="146"/>
    </row>
    <row r="563" spans="1:33" ht="12.75">
      <c r="A563" s="148"/>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c r="AB563" s="146"/>
      <c r="AC563" s="146"/>
      <c r="AD563" s="146"/>
      <c r="AE563" s="146"/>
      <c r="AF563" s="146"/>
      <c r="AG563" s="146"/>
    </row>
    <row r="564" spans="1:33" ht="12.75">
      <c r="A564" s="148"/>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c r="AA564" s="146"/>
      <c r="AB564" s="146"/>
      <c r="AC564" s="146"/>
      <c r="AD564" s="146"/>
      <c r="AE564" s="146"/>
      <c r="AF564" s="146"/>
      <c r="AG564" s="146"/>
    </row>
    <row r="565" spans="1:33" ht="12.75">
      <c r="A565" s="148"/>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c r="AA565" s="146"/>
      <c r="AB565" s="146"/>
      <c r="AC565" s="146"/>
      <c r="AD565" s="146"/>
      <c r="AE565" s="146"/>
      <c r="AF565" s="146"/>
      <c r="AG565" s="146"/>
    </row>
    <row r="566" spans="1:33" ht="12.75">
      <c r="A566" s="148"/>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c r="AA566" s="146"/>
      <c r="AB566" s="146"/>
      <c r="AC566" s="146"/>
      <c r="AD566" s="146"/>
      <c r="AE566" s="146"/>
      <c r="AF566" s="146"/>
      <c r="AG566" s="146"/>
    </row>
    <row r="567" spans="1:33" ht="12.75">
      <c r="A567" s="148"/>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c r="AA567" s="146"/>
      <c r="AB567" s="146"/>
      <c r="AC567" s="146"/>
      <c r="AD567" s="146"/>
      <c r="AE567" s="146"/>
      <c r="AF567" s="146"/>
      <c r="AG567" s="146"/>
    </row>
    <row r="568" spans="1:33" ht="12.75">
      <c r="A568" s="148"/>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c r="AA568" s="146"/>
      <c r="AB568" s="146"/>
      <c r="AC568" s="146"/>
      <c r="AD568" s="146"/>
      <c r="AE568" s="146"/>
      <c r="AF568" s="146"/>
      <c r="AG568" s="146"/>
    </row>
    <row r="569" spans="1:33" ht="12.75">
      <c r="A569" s="148"/>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c r="AA569" s="146"/>
      <c r="AB569" s="146"/>
      <c r="AC569" s="146"/>
      <c r="AD569" s="146"/>
      <c r="AE569" s="146"/>
      <c r="AF569" s="146"/>
      <c r="AG569" s="146"/>
    </row>
    <row r="570" spans="1:33" ht="12.75">
      <c r="A570" s="148"/>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c r="AB570" s="146"/>
      <c r="AC570" s="146"/>
      <c r="AD570" s="146"/>
      <c r="AE570" s="146"/>
      <c r="AF570" s="146"/>
      <c r="AG570" s="146"/>
    </row>
    <row r="571" spans="1:33" ht="12.75">
      <c r="A571" s="148"/>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c r="AD571" s="146"/>
      <c r="AE571" s="146"/>
      <c r="AF571" s="146"/>
      <c r="AG571" s="146"/>
    </row>
    <row r="572" spans="1:33" ht="12.75">
      <c r="A572" s="148"/>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c r="AB572" s="146"/>
      <c r="AC572" s="146"/>
      <c r="AD572" s="146"/>
      <c r="AE572" s="146"/>
      <c r="AF572" s="146"/>
      <c r="AG572" s="146"/>
    </row>
    <row r="573" spans="1:33" ht="12.75">
      <c r="A573" s="148"/>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c r="AA573" s="146"/>
      <c r="AB573" s="146"/>
      <c r="AC573" s="146"/>
      <c r="AD573" s="146"/>
      <c r="AE573" s="146"/>
      <c r="AF573" s="146"/>
      <c r="AG573" s="146"/>
    </row>
    <row r="574" spans="1:33" ht="12.75">
      <c r="A574" s="148"/>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c r="AA574" s="146"/>
      <c r="AB574" s="146"/>
      <c r="AC574" s="146"/>
      <c r="AD574" s="146"/>
      <c r="AE574" s="146"/>
      <c r="AF574" s="146"/>
      <c r="AG574" s="146"/>
    </row>
    <row r="575" spans="1:33" ht="12.75">
      <c r="A575" s="148"/>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c r="AA575" s="146"/>
      <c r="AB575" s="146"/>
      <c r="AC575" s="146"/>
      <c r="AD575" s="146"/>
      <c r="AE575" s="146"/>
      <c r="AF575" s="146"/>
      <c r="AG575" s="146"/>
    </row>
    <row r="576" spans="1:33" ht="12.75">
      <c r="A576" s="148"/>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c r="AA576" s="146"/>
      <c r="AB576" s="146"/>
      <c r="AC576" s="146"/>
      <c r="AD576" s="146"/>
      <c r="AE576" s="146"/>
      <c r="AF576" s="146"/>
      <c r="AG576" s="146"/>
    </row>
    <row r="577" spans="1:33" ht="12.75">
      <c r="A577" s="148"/>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c r="AA577" s="146"/>
      <c r="AB577" s="146"/>
      <c r="AC577" s="146"/>
      <c r="AD577" s="146"/>
      <c r="AE577" s="146"/>
      <c r="AF577" s="146"/>
      <c r="AG577" s="146"/>
    </row>
    <row r="578" spans="1:33" ht="12.75">
      <c r="A578" s="148"/>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c r="AB578" s="146"/>
      <c r="AC578" s="146"/>
      <c r="AD578" s="146"/>
      <c r="AE578" s="146"/>
      <c r="AF578" s="146"/>
      <c r="AG578" s="146"/>
    </row>
    <row r="579" spans="1:33" ht="12.75">
      <c r="A579" s="148"/>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c r="AB579" s="146"/>
      <c r="AC579" s="146"/>
      <c r="AD579" s="146"/>
      <c r="AE579" s="146"/>
      <c r="AF579" s="146"/>
      <c r="AG579" s="146"/>
    </row>
    <row r="580" spans="1:33" ht="12.75">
      <c r="A580" s="148"/>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c r="AA580" s="146"/>
      <c r="AB580" s="146"/>
      <c r="AC580" s="146"/>
      <c r="AD580" s="146"/>
      <c r="AE580" s="146"/>
      <c r="AF580" s="146"/>
      <c r="AG580" s="146"/>
    </row>
    <row r="581" spans="1:33" ht="12.75">
      <c r="A581" s="148"/>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c r="AA581" s="146"/>
      <c r="AB581" s="146"/>
      <c r="AC581" s="146"/>
      <c r="AD581" s="146"/>
      <c r="AE581" s="146"/>
      <c r="AF581" s="146"/>
      <c r="AG581" s="146"/>
    </row>
    <row r="582" spans="1:33" ht="12.75">
      <c r="A582" s="148"/>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c r="AA582" s="146"/>
      <c r="AB582" s="146"/>
      <c r="AC582" s="146"/>
      <c r="AD582" s="146"/>
      <c r="AE582" s="146"/>
      <c r="AF582" s="146"/>
      <c r="AG582" s="146"/>
    </row>
    <row r="583" spans="1:33" ht="12.75">
      <c r="A583" s="148"/>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c r="AA583" s="146"/>
      <c r="AB583" s="146"/>
      <c r="AC583" s="146"/>
      <c r="AD583" s="146"/>
      <c r="AE583" s="146"/>
      <c r="AF583" s="146"/>
      <c r="AG583" s="146"/>
    </row>
    <row r="584" spans="1:33" ht="12.75">
      <c r="A584" s="148"/>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c r="AA584" s="146"/>
      <c r="AB584" s="146"/>
      <c r="AC584" s="146"/>
      <c r="AD584" s="146"/>
      <c r="AE584" s="146"/>
      <c r="AF584" s="146"/>
      <c r="AG584" s="146"/>
    </row>
    <row r="585" spans="1:33" ht="12.75">
      <c r="A585" s="148"/>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c r="AA585" s="146"/>
      <c r="AB585" s="146"/>
      <c r="AC585" s="146"/>
      <c r="AD585" s="146"/>
      <c r="AE585" s="146"/>
      <c r="AF585" s="146"/>
      <c r="AG585" s="146"/>
    </row>
    <row r="586" spans="1:33" ht="12.75">
      <c r="A586" s="148"/>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c r="AA586" s="146"/>
      <c r="AB586" s="146"/>
      <c r="AC586" s="146"/>
      <c r="AD586" s="146"/>
      <c r="AE586" s="146"/>
      <c r="AF586" s="146"/>
      <c r="AG586" s="146"/>
    </row>
    <row r="587" spans="1:33" ht="12.75">
      <c r="A587" s="148"/>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c r="AA587" s="146"/>
      <c r="AB587" s="146"/>
      <c r="AC587" s="146"/>
      <c r="AD587" s="146"/>
      <c r="AE587" s="146"/>
      <c r="AF587" s="146"/>
      <c r="AG587" s="146"/>
    </row>
    <row r="588" spans="1:33" ht="12.75">
      <c r="A588" s="148"/>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c r="AB588" s="146"/>
      <c r="AC588" s="146"/>
      <c r="AD588" s="146"/>
      <c r="AE588" s="146"/>
      <c r="AF588" s="146"/>
      <c r="AG588" s="146"/>
    </row>
    <row r="589" spans="1:33" ht="12.75">
      <c r="A589" s="148"/>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c r="AB589" s="146"/>
      <c r="AC589" s="146"/>
      <c r="AD589" s="146"/>
      <c r="AE589" s="146"/>
      <c r="AF589" s="146"/>
      <c r="AG589" s="146"/>
    </row>
    <row r="590" spans="1:33" ht="12.75">
      <c r="A590" s="148"/>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c r="AA590" s="146"/>
      <c r="AB590" s="146"/>
      <c r="AC590" s="146"/>
      <c r="AD590" s="146"/>
      <c r="AE590" s="146"/>
      <c r="AF590" s="146"/>
      <c r="AG590" s="146"/>
    </row>
    <row r="591" spans="1:33" ht="12.75">
      <c r="A591" s="148"/>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c r="AA591" s="146"/>
      <c r="AB591" s="146"/>
      <c r="AC591" s="146"/>
      <c r="AD591" s="146"/>
      <c r="AE591" s="146"/>
      <c r="AF591" s="146"/>
      <c r="AG591" s="146"/>
    </row>
    <row r="592" spans="1:33" ht="12.75">
      <c r="A592" s="148"/>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c r="AA592" s="146"/>
      <c r="AB592" s="146"/>
      <c r="AC592" s="146"/>
      <c r="AD592" s="146"/>
      <c r="AE592" s="146"/>
      <c r="AF592" s="146"/>
      <c r="AG592" s="146"/>
    </row>
    <row r="593" spans="1:33" ht="12.75">
      <c r="A593" s="148"/>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c r="AA593" s="146"/>
      <c r="AB593" s="146"/>
      <c r="AC593" s="146"/>
      <c r="AD593" s="146"/>
      <c r="AE593" s="146"/>
      <c r="AF593" s="146"/>
      <c r="AG593" s="146"/>
    </row>
    <row r="594" spans="1:33" ht="12.75">
      <c r="A594" s="148"/>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c r="AA594" s="146"/>
      <c r="AB594" s="146"/>
      <c r="AC594" s="146"/>
      <c r="AD594" s="146"/>
      <c r="AE594" s="146"/>
      <c r="AF594" s="146"/>
      <c r="AG594" s="146"/>
    </row>
    <row r="595" spans="1:33" ht="12.75">
      <c r="A595" s="148"/>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c r="AA595" s="146"/>
      <c r="AB595" s="146"/>
      <c r="AC595" s="146"/>
      <c r="AD595" s="146"/>
      <c r="AE595" s="146"/>
      <c r="AF595" s="146"/>
      <c r="AG595" s="146"/>
    </row>
    <row r="596" spans="1:33" ht="12.75">
      <c r="A596" s="148"/>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c r="AA596" s="146"/>
      <c r="AB596" s="146"/>
      <c r="AC596" s="146"/>
      <c r="AD596" s="146"/>
      <c r="AE596" s="146"/>
      <c r="AF596" s="146"/>
      <c r="AG596" s="146"/>
    </row>
    <row r="597" spans="1:33" ht="12.75">
      <c r="A597" s="148"/>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c r="AA597" s="146"/>
      <c r="AB597" s="146"/>
      <c r="AC597" s="146"/>
      <c r="AD597" s="146"/>
      <c r="AE597" s="146"/>
      <c r="AF597" s="146"/>
      <c r="AG597" s="146"/>
    </row>
    <row r="598" spans="1:33" ht="12.75">
      <c r="A598" s="148"/>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c r="AA598" s="146"/>
      <c r="AB598" s="146"/>
      <c r="AC598" s="146"/>
      <c r="AD598" s="146"/>
      <c r="AE598" s="146"/>
      <c r="AF598" s="146"/>
      <c r="AG598" s="146"/>
    </row>
    <row r="599" spans="1:33" ht="12.75">
      <c r="A599" s="148"/>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c r="AA599" s="146"/>
      <c r="AB599" s="146"/>
      <c r="AC599" s="146"/>
      <c r="AD599" s="146"/>
      <c r="AE599" s="146"/>
      <c r="AF599" s="146"/>
      <c r="AG599" s="146"/>
    </row>
    <row r="600" spans="1:33" ht="12.75">
      <c r="A600" s="148"/>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c r="AA600" s="146"/>
      <c r="AB600" s="146"/>
      <c r="AC600" s="146"/>
      <c r="AD600" s="146"/>
      <c r="AE600" s="146"/>
      <c r="AF600" s="146"/>
      <c r="AG600" s="146"/>
    </row>
    <row r="601" spans="1:33" ht="12.75">
      <c r="A601" s="148"/>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c r="AB601" s="146"/>
      <c r="AC601" s="146"/>
      <c r="AD601" s="146"/>
      <c r="AE601" s="146"/>
      <c r="AF601" s="146"/>
      <c r="AG601" s="146"/>
    </row>
    <row r="602" spans="1:33" ht="12.75">
      <c r="A602" s="148"/>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6"/>
      <c r="AF602" s="146"/>
      <c r="AG602" s="146"/>
    </row>
    <row r="603" spans="1:33" ht="12.75">
      <c r="A603" s="148"/>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c r="AA603" s="146"/>
      <c r="AB603" s="146"/>
      <c r="AC603" s="146"/>
      <c r="AD603" s="146"/>
      <c r="AE603" s="146"/>
      <c r="AF603" s="146"/>
      <c r="AG603" s="146"/>
    </row>
    <row r="604" spans="1:33" ht="12.75">
      <c r="A604" s="148"/>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c r="AA604" s="146"/>
      <c r="AB604" s="146"/>
      <c r="AC604" s="146"/>
      <c r="AD604" s="146"/>
      <c r="AE604" s="146"/>
      <c r="AF604" s="146"/>
      <c r="AG604" s="146"/>
    </row>
    <row r="605" spans="1:33" ht="12.75">
      <c r="A605" s="148"/>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c r="AA605" s="146"/>
      <c r="AB605" s="146"/>
      <c r="AC605" s="146"/>
      <c r="AD605" s="146"/>
      <c r="AE605" s="146"/>
      <c r="AF605" s="146"/>
      <c r="AG605" s="146"/>
    </row>
    <row r="606" spans="1:33" ht="12.75">
      <c r="A606" s="148"/>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c r="AA606" s="146"/>
      <c r="AB606" s="146"/>
      <c r="AC606" s="146"/>
      <c r="AD606" s="146"/>
      <c r="AE606" s="146"/>
      <c r="AF606" s="146"/>
      <c r="AG606" s="146"/>
    </row>
    <row r="607" spans="1:33" ht="12.75">
      <c r="A607" s="148"/>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c r="AA607" s="146"/>
      <c r="AB607" s="146"/>
      <c r="AC607" s="146"/>
      <c r="AD607" s="146"/>
      <c r="AE607" s="146"/>
      <c r="AF607" s="146"/>
      <c r="AG607" s="146"/>
    </row>
    <row r="608" spans="1:33" ht="12.75">
      <c r="A608" s="148"/>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c r="AA608" s="146"/>
      <c r="AB608" s="146"/>
      <c r="AC608" s="146"/>
      <c r="AD608" s="146"/>
      <c r="AE608" s="146"/>
      <c r="AF608" s="146"/>
      <c r="AG608" s="146"/>
    </row>
    <row r="609" spans="1:33" ht="12.75">
      <c r="A609" s="148"/>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c r="AA609" s="146"/>
      <c r="AB609" s="146"/>
      <c r="AC609" s="146"/>
      <c r="AD609" s="146"/>
      <c r="AE609" s="146"/>
      <c r="AF609" s="146"/>
      <c r="AG609" s="146"/>
    </row>
    <row r="610" spans="1:33" ht="12.75">
      <c r="A610" s="148"/>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c r="AA610" s="146"/>
      <c r="AB610" s="146"/>
      <c r="AC610" s="146"/>
      <c r="AD610" s="146"/>
      <c r="AE610" s="146"/>
      <c r="AF610" s="146"/>
      <c r="AG610" s="146"/>
    </row>
    <row r="611" spans="1:33" ht="12.75">
      <c r="A611" s="148"/>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c r="AA611" s="146"/>
      <c r="AB611" s="146"/>
      <c r="AC611" s="146"/>
      <c r="AD611" s="146"/>
      <c r="AE611" s="146"/>
      <c r="AF611" s="146"/>
      <c r="AG611" s="146"/>
    </row>
    <row r="612" spans="1:33" ht="12.75">
      <c r="A612" s="148"/>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c r="AA612" s="146"/>
      <c r="AB612" s="146"/>
      <c r="AC612" s="146"/>
      <c r="AD612" s="146"/>
      <c r="AE612" s="146"/>
      <c r="AF612" s="146"/>
      <c r="AG612" s="146"/>
    </row>
    <row r="613" spans="1:33" ht="12.75">
      <c r="A613" s="148"/>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c r="AA613" s="146"/>
      <c r="AB613" s="146"/>
      <c r="AC613" s="146"/>
      <c r="AD613" s="146"/>
      <c r="AE613" s="146"/>
      <c r="AF613" s="146"/>
      <c r="AG613" s="146"/>
    </row>
    <row r="614" spans="1:33" ht="12.75">
      <c r="A614" s="148"/>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c r="AB614" s="146"/>
      <c r="AC614" s="146"/>
      <c r="AD614" s="146"/>
      <c r="AE614" s="146"/>
      <c r="AF614" s="146"/>
      <c r="AG614" s="146"/>
    </row>
    <row r="615" spans="1:33" ht="12.75">
      <c r="A615" s="148"/>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c r="AB615" s="146"/>
      <c r="AC615" s="146"/>
      <c r="AD615" s="146"/>
      <c r="AE615" s="146"/>
      <c r="AF615" s="146"/>
      <c r="AG615" s="146"/>
    </row>
    <row r="616" spans="1:33" ht="12.75">
      <c r="A616" s="148"/>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c r="AA616" s="146"/>
      <c r="AB616" s="146"/>
      <c r="AC616" s="146"/>
      <c r="AD616" s="146"/>
      <c r="AE616" s="146"/>
      <c r="AF616" s="146"/>
      <c r="AG616" s="146"/>
    </row>
    <row r="617" spans="1:33" ht="12.75">
      <c r="A617" s="148"/>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c r="AB617" s="146"/>
      <c r="AC617" s="146"/>
      <c r="AD617" s="146"/>
      <c r="AE617" s="146"/>
      <c r="AF617" s="146"/>
      <c r="AG617" s="146"/>
    </row>
    <row r="618" spans="1:33" ht="12.75">
      <c r="A618" s="148"/>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6"/>
      <c r="AF618" s="146"/>
      <c r="AG618" s="146"/>
    </row>
    <row r="619" spans="1:33" ht="12.75">
      <c r="A619" s="148"/>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c r="AB619" s="146"/>
      <c r="AC619" s="146"/>
      <c r="AD619" s="146"/>
      <c r="AE619" s="146"/>
      <c r="AF619" s="146"/>
      <c r="AG619" s="146"/>
    </row>
    <row r="620" spans="1:33" ht="12.75">
      <c r="A620" s="148"/>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c r="AB620" s="146"/>
      <c r="AC620" s="146"/>
      <c r="AD620" s="146"/>
      <c r="AE620" s="146"/>
      <c r="AF620" s="146"/>
      <c r="AG620" s="146"/>
    </row>
    <row r="621" spans="1:33" ht="12.75">
      <c r="A621" s="148"/>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c r="AB621" s="146"/>
      <c r="AC621" s="146"/>
      <c r="AD621" s="146"/>
      <c r="AE621" s="146"/>
      <c r="AF621" s="146"/>
      <c r="AG621" s="146"/>
    </row>
    <row r="622" spans="1:33" ht="12.75">
      <c r="A622" s="148"/>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c r="AB622" s="146"/>
      <c r="AC622" s="146"/>
      <c r="AD622" s="146"/>
      <c r="AE622" s="146"/>
      <c r="AF622" s="146"/>
      <c r="AG622" s="146"/>
    </row>
    <row r="623" spans="1:33" ht="12.75">
      <c r="A623" s="148"/>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c r="AB623" s="146"/>
      <c r="AC623" s="146"/>
      <c r="AD623" s="146"/>
      <c r="AE623" s="146"/>
      <c r="AF623" s="146"/>
      <c r="AG623" s="146"/>
    </row>
    <row r="624" spans="1:33" ht="12.75">
      <c r="A624" s="148"/>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c r="AB624" s="146"/>
      <c r="AC624" s="146"/>
      <c r="AD624" s="146"/>
      <c r="AE624" s="146"/>
      <c r="AF624" s="146"/>
      <c r="AG624" s="146"/>
    </row>
    <row r="625" spans="1:33" ht="12.75">
      <c r="A625" s="148"/>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c r="AB625" s="146"/>
      <c r="AC625" s="146"/>
      <c r="AD625" s="146"/>
      <c r="AE625" s="146"/>
      <c r="AF625" s="146"/>
      <c r="AG625" s="146"/>
    </row>
    <row r="626" spans="1:33" ht="12.75">
      <c r="A626" s="148"/>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c r="AB626" s="146"/>
      <c r="AC626" s="146"/>
      <c r="AD626" s="146"/>
      <c r="AE626" s="146"/>
      <c r="AF626" s="146"/>
      <c r="AG626" s="146"/>
    </row>
    <row r="627" spans="1:33" ht="12.75">
      <c r="A627" s="148"/>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c r="AB627" s="146"/>
      <c r="AC627" s="146"/>
      <c r="AD627" s="146"/>
      <c r="AE627" s="146"/>
      <c r="AF627" s="146"/>
      <c r="AG627" s="146"/>
    </row>
    <row r="628" spans="1:33" ht="12.75">
      <c r="A628" s="148"/>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c r="AB628" s="146"/>
      <c r="AC628" s="146"/>
      <c r="AD628" s="146"/>
      <c r="AE628" s="146"/>
      <c r="AF628" s="146"/>
      <c r="AG628" s="146"/>
    </row>
    <row r="629" spans="1:33" ht="12.75">
      <c r="A629" s="148"/>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c r="AB629" s="146"/>
      <c r="AC629" s="146"/>
      <c r="AD629" s="146"/>
      <c r="AE629" s="146"/>
      <c r="AF629" s="146"/>
      <c r="AG629" s="146"/>
    </row>
    <row r="630" spans="1:33" ht="12.75">
      <c r="A630" s="148"/>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c r="AB630" s="146"/>
      <c r="AC630" s="146"/>
      <c r="AD630" s="146"/>
      <c r="AE630" s="146"/>
      <c r="AF630" s="146"/>
      <c r="AG630" s="146"/>
    </row>
    <row r="631" spans="1:33" ht="12.75">
      <c r="A631" s="148"/>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c r="AB631" s="146"/>
      <c r="AC631" s="146"/>
      <c r="AD631" s="146"/>
      <c r="AE631" s="146"/>
      <c r="AF631" s="146"/>
      <c r="AG631" s="146"/>
    </row>
    <row r="632" spans="1:33" ht="12.75">
      <c r="A632" s="148"/>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146"/>
      <c r="AG632" s="146"/>
    </row>
    <row r="633" spans="1:33" ht="12.75">
      <c r="A633" s="148"/>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6"/>
      <c r="AF633" s="146"/>
      <c r="AG633" s="146"/>
    </row>
    <row r="634" spans="1:33" ht="12.75">
      <c r="A634" s="148"/>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c r="AB634" s="146"/>
      <c r="AC634" s="146"/>
      <c r="AD634" s="146"/>
      <c r="AE634" s="146"/>
      <c r="AF634" s="146"/>
      <c r="AG634" s="146"/>
    </row>
    <row r="635" spans="1:33" ht="12.75">
      <c r="A635" s="148"/>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c r="AB635" s="146"/>
      <c r="AC635" s="146"/>
      <c r="AD635" s="146"/>
      <c r="AE635" s="146"/>
      <c r="AF635" s="146"/>
      <c r="AG635" s="146"/>
    </row>
    <row r="636" spans="1:33" ht="12.75">
      <c r="A636" s="148"/>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c r="AB636" s="146"/>
      <c r="AC636" s="146"/>
      <c r="AD636" s="146"/>
      <c r="AE636" s="146"/>
      <c r="AF636" s="146"/>
      <c r="AG636" s="146"/>
    </row>
    <row r="637" spans="1:33" ht="12.75">
      <c r="A637" s="148"/>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c r="AB637" s="146"/>
      <c r="AC637" s="146"/>
      <c r="AD637" s="146"/>
      <c r="AE637" s="146"/>
      <c r="AF637" s="146"/>
      <c r="AG637" s="146"/>
    </row>
    <row r="638" spans="1:33" ht="12.75">
      <c r="A638" s="148"/>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c r="AB638" s="146"/>
      <c r="AC638" s="146"/>
      <c r="AD638" s="146"/>
      <c r="AE638" s="146"/>
      <c r="AF638" s="146"/>
      <c r="AG638" s="146"/>
    </row>
    <row r="639" spans="1:33" ht="12.75">
      <c r="A639" s="148"/>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c r="AB639" s="146"/>
      <c r="AC639" s="146"/>
      <c r="AD639" s="146"/>
      <c r="AE639" s="146"/>
      <c r="AF639" s="146"/>
      <c r="AG639" s="146"/>
    </row>
    <row r="640" spans="1:33" ht="12.75">
      <c r="A640" s="148"/>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c r="AB640" s="146"/>
      <c r="AC640" s="146"/>
      <c r="AD640" s="146"/>
      <c r="AE640" s="146"/>
      <c r="AF640" s="146"/>
      <c r="AG640" s="146"/>
    </row>
    <row r="641" spans="1:33" ht="12.75">
      <c r="A641" s="148"/>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c r="AB641" s="146"/>
      <c r="AC641" s="146"/>
      <c r="AD641" s="146"/>
      <c r="AE641" s="146"/>
      <c r="AF641" s="146"/>
      <c r="AG641" s="146"/>
    </row>
    <row r="642" spans="1:33" ht="12.75">
      <c r="A642" s="148"/>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c r="AB642" s="146"/>
      <c r="AC642" s="146"/>
      <c r="AD642" s="146"/>
      <c r="AE642" s="146"/>
      <c r="AF642" s="146"/>
      <c r="AG642" s="146"/>
    </row>
    <row r="643" spans="1:33" ht="12.75">
      <c r="A643" s="148"/>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c r="AB643" s="146"/>
      <c r="AC643" s="146"/>
      <c r="AD643" s="146"/>
      <c r="AE643" s="146"/>
      <c r="AF643" s="146"/>
      <c r="AG643" s="146"/>
    </row>
    <row r="644" spans="1:33" ht="12.75">
      <c r="A644" s="148"/>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c r="AB644" s="146"/>
      <c r="AC644" s="146"/>
      <c r="AD644" s="146"/>
      <c r="AE644" s="146"/>
      <c r="AF644" s="146"/>
      <c r="AG644" s="146"/>
    </row>
    <row r="645" spans="1:33" ht="12.75">
      <c r="A645" s="148"/>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c r="AB645" s="146"/>
      <c r="AC645" s="146"/>
      <c r="AD645" s="146"/>
      <c r="AE645" s="146"/>
      <c r="AF645" s="146"/>
      <c r="AG645" s="146"/>
    </row>
    <row r="646" spans="1:33" ht="12.75">
      <c r="A646" s="148"/>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c r="AB646" s="146"/>
      <c r="AC646" s="146"/>
      <c r="AD646" s="146"/>
      <c r="AE646" s="146"/>
      <c r="AF646" s="146"/>
      <c r="AG646" s="146"/>
    </row>
    <row r="647" spans="1:33" ht="12.75">
      <c r="A647" s="148"/>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c r="AB647" s="146"/>
      <c r="AC647" s="146"/>
      <c r="AD647" s="146"/>
      <c r="AE647" s="146"/>
      <c r="AF647" s="146"/>
      <c r="AG647" s="146"/>
    </row>
    <row r="648" spans="1:33" ht="12.75">
      <c r="A648" s="148"/>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6"/>
      <c r="AF648" s="146"/>
      <c r="AG648" s="146"/>
    </row>
    <row r="649" spans="1:33" ht="12.75">
      <c r="A649" s="148"/>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c r="AB649" s="146"/>
      <c r="AC649" s="146"/>
      <c r="AD649" s="146"/>
      <c r="AE649" s="146"/>
      <c r="AF649" s="146"/>
      <c r="AG649" s="146"/>
    </row>
    <row r="650" spans="1:33" ht="12.75">
      <c r="A650" s="148"/>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c r="AB650" s="146"/>
      <c r="AC650" s="146"/>
      <c r="AD650" s="146"/>
      <c r="AE650" s="146"/>
      <c r="AF650" s="146"/>
      <c r="AG650" s="146"/>
    </row>
    <row r="651" spans="1:33" ht="12.75">
      <c r="A651" s="148"/>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c r="AB651" s="146"/>
      <c r="AC651" s="146"/>
      <c r="AD651" s="146"/>
      <c r="AE651" s="146"/>
      <c r="AF651" s="146"/>
      <c r="AG651" s="146"/>
    </row>
    <row r="652" spans="1:33" ht="12.75">
      <c r="A652" s="148"/>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c r="AB652" s="146"/>
      <c r="AC652" s="146"/>
      <c r="AD652" s="146"/>
      <c r="AE652" s="146"/>
      <c r="AF652" s="146"/>
      <c r="AG652" s="146"/>
    </row>
    <row r="653" spans="1:33" ht="12.75">
      <c r="A653" s="148"/>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6"/>
      <c r="AD653" s="146"/>
      <c r="AE653" s="146"/>
      <c r="AF653" s="146"/>
      <c r="AG653" s="146"/>
    </row>
    <row r="654" spans="1:33" ht="12.75">
      <c r="A654" s="148"/>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c r="AB654" s="146"/>
      <c r="AC654" s="146"/>
      <c r="AD654" s="146"/>
      <c r="AE654" s="146"/>
      <c r="AF654" s="146"/>
      <c r="AG654" s="146"/>
    </row>
    <row r="655" spans="1:33" ht="12.75">
      <c r="A655" s="148"/>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c r="AB655" s="146"/>
      <c r="AC655" s="146"/>
      <c r="AD655" s="146"/>
      <c r="AE655" s="146"/>
      <c r="AF655" s="146"/>
      <c r="AG655" s="146"/>
    </row>
    <row r="656" spans="1:33" ht="12.75">
      <c r="A656" s="148"/>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c r="AB656" s="146"/>
      <c r="AC656" s="146"/>
      <c r="AD656" s="146"/>
      <c r="AE656" s="146"/>
      <c r="AF656" s="146"/>
      <c r="AG656" s="146"/>
    </row>
    <row r="657" spans="1:33" ht="12.75">
      <c r="A657" s="148"/>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c r="AB657" s="146"/>
      <c r="AC657" s="146"/>
      <c r="AD657" s="146"/>
      <c r="AE657" s="146"/>
      <c r="AF657" s="146"/>
      <c r="AG657" s="146"/>
    </row>
    <row r="658" spans="1:33" ht="12.75">
      <c r="A658" s="148"/>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c r="AB658" s="146"/>
      <c r="AC658" s="146"/>
      <c r="AD658" s="146"/>
      <c r="AE658" s="146"/>
      <c r="AF658" s="146"/>
      <c r="AG658" s="146"/>
    </row>
    <row r="659" spans="1:33" ht="12.75">
      <c r="A659" s="148"/>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c r="AB659" s="146"/>
      <c r="AC659" s="146"/>
      <c r="AD659" s="146"/>
      <c r="AE659" s="146"/>
      <c r="AF659" s="146"/>
      <c r="AG659" s="146"/>
    </row>
    <row r="660" spans="1:33" ht="12.75">
      <c r="A660" s="148"/>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c r="AB660" s="146"/>
      <c r="AC660" s="146"/>
      <c r="AD660" s="146"/>
      <c r="AE660" s="146"/>
      <c r="AF660" s="146"/>
      <c r="AG660" s="146"/>
    </row>
    <row r="661" spans="1:33" ht="12.75">
      <c r="A661" s="148"/>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c r="AB661" s="146"/>
      <c r="AC661" s="146"/>
      <c r="AD661" s="146"/>
      <c r="AE661" s="146"/>
      <c r="AF661" s="146"/>
      <c r="AG661" s="146"/>
    </row>
    <row r="662" spans="1:33" ht="12.75">
      <c r="A662" s="148"/>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c r="AB662" s="146"/>
      <c r="AC662" s="146"/>
      <c r="AD662" s="146"/>
      <c r="AE662" s="146"/>
      <c r="AF662" s="146"/>
      <c r="AG662" s="146"/>
    </row>
    <row r="663" spans="1:33" ht="12.75">
      <c r="A663" s="148"/>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c r="AB663" s="146"/>
      <c r="AC663" s="146"/>
      <c r="AD663" s="146"/>
      <c r="AE663" s="146"/>
      <c r="AF663" s="146"/>
      <c r="AG663" s="146"/>
    </row>
    <row r="664" spans="1:33" ht="12.75">
      <c r="A664" s="148"/>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c r="AB664" s="146"/>
      <c r="AC664" s="146"/>
      <c r="AD664" s="146"/>
      <c r="AE664" s="146"/>
      <c r="AF664" s="146"/>
      <c r="AG664" s="146"/>
    </row>
    <row r="665" spans="1:33" ht="12.75">
      <c r="A665" s="148"/>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6"/>
      <c r="AD665" s="146"/>
      <c r="AE665" s="146"/>
      <c r="AF665" s="146"/>
      <c r="AG665" s="146"/>
    </row>
    <row r="666" spans="1:33" ht="12.75">
      <c r="A666" s="148"/>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c r="AB666" s="146"/>
      <c r="AC666" s="146"/>
      <c r="AD666" s="146"/>
      <c r="AE666" s="146"/>
      <c r="AF666" s="146"/>
      <c r="AG666" s="146"/>
    </row>
    <row r="667" spans="1:33" ht="12.75">
      <c r="A667" s="148"/>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c r="AB667" s="146"/>
      <c r="AC667" s="146"/>
      <c r="AD667" s="146"/>
      <c r="AE667" s="146"/>
      <c r="AF667" s="146"/>
      <c r="AG667" s="146"/>
    </row>
    <row r="668" spans="1:33" ht="12.75">
      <c r="A668" s="148"/>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c r="AB668" s="146"/>
      <c r="AC668" s="146"/>
      <c r="AD668" s="146"/>
      <c r="AE668" s="146"/>
      <c r="AF668" s="146"/>
      <c r="AG668" s="146"/>
    </row>
    <row r="669" spans="1:33" ht="12.75">
      <c r="A669" s="148"/>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c r="AB669" s="146"/>
      <c r="AC669" s="146"/>
      <c r="AD669" s="146"/>
      <c r="AE669" s="146"/>
      <c r="AF669" s="146"/>
      <c r="AG669" s="146"/>
    </row>
    <row r="670" spans="1:33" ht="12.75">
      <c r="A670" s="148"/>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c r="AB670" s="146"/>
      <c r="AC670" s="146"/>
      <c r="AD670" s="146"/>
      <c r="AE670" s="146"/>
      <c r="AF670" s="146"/>
      <c r="AG670" s="146"/>
    </row>
    <row r="671" spans="1:33" ht="12.75">
      <c r="A671" s="148"/>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c r="AB671" s="146"/>
      <c r="AC671" s="146"/>
      <c r="AD671" s="146"/>
      <c r="AE671" s="146"/>
      <c r="AF671" s="146"/>
      <c r="AG671" s="146"/>
    </row>
    <row r="672" spans="1:33" ht="12.75">
      <c r="A672" s="148"/>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c r="AB672" s="146"/>
      <c r="AC672" s="146"/>
      <c r="AD672" s="146"/>
      <c r="AE672" s="146"/>
      <c r="AF672" s="146"/>
      <c r="AG672" s="146"/>
    </row>
    <row r="673" spans="1:33" ht="12.75">
      <c r="A673" s="148"/>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c r="AB673" s="146"/>
      <c r="AC673" s="146"/>
      <c r="AD673" s="146"/>
      <c r="AE673" s="146"/>
      <c r="AF673" s="146"/>
      <c r="AG673" s="146"/>
    </row>
    <row r="674" spans="1:33" ht="12.75">
      <c r="A674" s="148"/>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c r="AB674" s="146"/>
      <c r="AC674" s="146"/>
      <c r="AD674" s="146"/>
      <c r="AE674" s="146"/>
      <c r="AF674" s="146"/>
      <c r="AG674" s="146"/>
    </row>
    <row r="675" spans="1:33" ht="12.75">
      <c r="A675" s="148"/>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c r="AB675" s="146"/>
      <c r="AC675" s="146"/>
      <c r="AD675" s="146"/>
      <c r="AE675" s="146"/>
      <c r="AF675" s="146"/>
      <c r="AG675" s="146"/>
    </row>
    <row r="676" spans="1:33" ht="12.75">
      <c r="A676" s="148"/>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c r="AB676" s="146"/>
      <c r="AC676" s="146"/>
      <c r="AD676" s="146"/>
      <c r="AE676" s="146"/>
      <c r="AF676" s="146"/>
      <c r="AG676" s="146"/>
    </row>
    <row r="677" spans="1:33" ht="12.75">
      <c r="A677" s="148"/>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c r="AD677" s="146"/>
      <c r="AE677" s="146"/>
      <c r="AF677" s="146"/>
      <c r="AG677" s="146"/>
    </row>
    <row r="678" spans="1:33" ht="12.75">
      <c r="A678" s="148"/>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6"/>
      <c r="AF678" s="146"/>
      <c r="AG678" s="146"/>
    </row>
    <row r="679" spans="1:33" ht="12.75">
      <c r="A679" s="148"/>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c r="AB679" s="146"/>
      <c r="AC679" s="146"/>
      <c r="AD679" s="146"/>
      <c r="AE679" s="146"/>
      <c r="AF679" s="146"/>
      <c r="AG679" s="146"/>
    </row>
    <row r="680" spans="1:33" ht="12.75">
      <c r="A680" s="148"/>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c r="AB680" s="146"/>
      <c r="AC680" s="146"/>
      <c r="AD680" s="146"/>
      <c r="AE680" s="146"/>
      <c r="AF680" s="146"/>
      <c r="AG680" s="146"/>
    </row>
    <row r="681" spans="1:33" ht="12.75">
      <c r="A681" s="148"/>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c r="AB681" s="146"/>
      <c r="AC681" s="146"/>
      <c r="AD681" s="146"/>
      <c r="AE681" s="146"/>
      <c r="AF681" s="146"/>
      <c r="AG681" s="146"/>
    </row>
    <row r="682" spans="1:33" ht="12.75">
      <c r="A682" s="148"/>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c r="AB682" s="146"/>
      <c r="AC682" s="146"/>
      <c r="AD682" s="146"/>
      <c r="AE682" s="146"/>
      <c r="AF682" s="146"/>
      <c r="AG682" s="146"/>
    </row>
    <row r="683" spans="1:33" ht="12.75">
      <c r="A683" s="148"/>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c r="AB683" s="146"/>
      <c r="AC683" s="146"/>
      <c r="AD683" s="146"/>
      <c r="AE683" s="146"/>
      <c r="AF683" s="146"/>
      <c r="AG683" s="146"/>
    </row>
    <row r="684" spans="1:33" ht="12.75">
      <c r="A684" s="148"/>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c r="AB684" s="146"/>
      <c r="AC684" s="146"/>
      <c r="AD684" s="146"/>
      <c r="AE684" s="146"/>
      <c r="AF684" s="146"/>
      <c r="AG684" s="146"/>
    </row>
    <row r="685" spans="1:33" ht="12.75">
      <c r="A685" s="148"/>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c r="AB685" s="146"/>
      <c r="AC685" s="146"/>
      <c r="AD685" s="146"/>
      <c r="AE685" s="146"/>
      <c r="AF685" s="146"/>
      <c r="AG685" s="146"/>
    </row>
    <row r="686" spans="1:33" ht="12.75">
      <c r="A686" s="148"/>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c r="AB686" s="146"/>
      <c r="AC686" s="146"/>
      <c r="AD686" s="146"/>
      <c r="AE686" s="146"/>
      <c r="AF686" s="146"/>
      <c r="AG686" s="146"/>
    </row>
    <row r="687" spans="1:33" ht="12.75">
      <c r="A687" s="148"/>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c r="AB687" s="146"/>
      <c r="AC687" s="146"/>
      <c r="AD687" s="146"/>
      <c r="AE687" s="146"/>
      <c r="AF687" s="146"/>
      <c r="AG687" s="146"/>
    </row>
    <row r="688" spans="1:33" ht="12.75">
      <c r="A688" s="148"/>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c r="AB688" s="146"/>
      <c r="AC688" s="146"/>
      <c r="AD688" s="146"/>
      <c r="AE688" s="146"/>
      <c r="AF688" s="146"/>
      <c r="AG688" s="146"/>
    </row>
    <row r="689" spans="1:33" ht="12.75">
      <c r="A689" s="148"/>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6"/>
      <c r="AD689" s="146"/>
      <c r="AE689" s="146"/>
      <c r="AF689" s="146"/>
      <c r="AG689" s="146"/>
    </row>
    <row r="690" spans="1:33" ht="12.75">
      <c r="A690" s="148"/>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c r="AB690" s="146"/>
      <c r="AC690" s="146"/>
      <c r="AD690" s="146"/>
      <c r="AE690" s="146"/>
      <c r="AF690" s="146"/>
      <c r="AG690" s="146"/>
    </row>
    <row r="691" spans="1:33" ht="12.75">
      <c r="A691" s="148"/>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c r="AB691" s="146"/>
      <c r="AC691" s="146"/>
      <c r="AD691" s="146"/>
      <c r="AE691" s="146"/>
      <c r="AF691" s="146"/>
      <c r="AG691" s="146"/>
    </row>
    <row r="692" spans="1:33" ht="12.75">
      <c r="A692" s="148"/>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c r="AB692" s="146"/>
      <c r="AC692" s="146"/>
      <c r="AD692" s="146"/>
      <c r="AE692" s="146"/>
      <c r="AF692" s="146"/>
      <c r="AG692" s="146"/>
    </row>
    <row r="693" spans="1:33" ht="12.75">
      <c r="A693" s="148"/>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c r="AB693" s="146"/>
      <c r="AC693" s="146"/>
      <c r="AD693" s="146"/>
      <c r="AE693" s="146"/>
      <c r="AF693" s="146"/>
      <c r="AG693" s="146"/>
    </row>
    <row r="694" spans="1:33" ht="12.75">
      <c r="A694" s="148"/>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6"/>
      <c r="AF694" s="146"/>
      <c r="AG694" s="146"/>
    </row>
    <row r="695" spans="1:33" ht="12.75">
      <c r="A695" s="148"/>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6"/>
      <c r="AD695" s="146"/>
      <c r="AE695" s="146"/>
      <c r="AF695" s="146"/>
      <c r="AG695" s="146"/>
    </row>
    <row r="696" spans="1:33" ht="12.75">
      <c r="A696" s="148"/>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6"/>
      <c r="AD696" s="146"/>
      <c r="AE696" s="146"/>
      <c r="AF696" s="146"/>
      <c r="AG696" s="146"/>
    </row>
    <row r="697" spans="1:33" ht="12.75">
      <c r="A697" s="148"/>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c r="AB697" s="146"/>
      <c r="AC697" s="146"/>
      <c r="AD697" s="146"/>
      <c r="AE697" s="146"/>
      <c r="AF697" s="146"/>
      <c r="AG697" s="146"/>
    </row>
    <row r="698" spans="1:33" ht="12.75">
      <c r="A698" s="148"/>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c r="AB698" s="146"/>
      <c r="AC698" s="146"/>
      <c r="AD698" s="146"/>
      <c r="AE698" s="146"/>
      <c r="AF698" s="146"/>
      <c r="AG698" s="146"/>
    </row>
    <row r="699" spans="1:33" ht="12.75">
      <c r="A699" s="148"/>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c r="AB699" s="146"/>
      <c r="AC699" s="146"/>
      <c r="AD699" s="146"/>
      <c r="AE699" s="146"/>
      <c r="AF699" s="146"/>
      <c r="AG699" s="146"/>
    </row>
    <row r="700" spans="1:33" ht="12.75">
      <c r="A700" s="148"/>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c r="AB700" s="146"/>
      <c r="AC700" s="146"/>
      <c r="AD700" s="146"/>
      <c r="AE700" s="146"/>
      <c r="AF700" s="146"/>
      <c r="AG700" s="146"/>
    </row>
    <row r="701" spans="1:33" ht="12.75">
      <c r="A701" s="148"/>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c r="AB701" s="146"/>
      <c r="AC701" s="146"/>
      <c r="AD701" s="146"/>
      <c r="AE701" s="146"/>
      <c r="AF701" s="146"/>
      <c r="AG701" s="146"/>
    </row>
    <row r="702" spans="1:33" ht="12.75">
      <c r="A702" s="148"/>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c r="AB702" s="146"/>
      <c r="AC702" s="146"/>
      <c r="AD702" s="146"/>
      <c r="AE702" s="146"/>
      <c r="AF702" s="146"/>
      <c r="AG702" s="146"/>
    </row>
    <row r="703" spans="1:33" ht="12.75">
      <c r="A703" s="148"/>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c r="AB703" s="146"/>
      <c r="AC703" s="146"/>
      <c r="AD703" s="146"/>
      <c r="AE703" s="146"/>
      <c r="AF703" s="146"/>
      <c r="AG703" s="146"/>
    </row>
    <row r="704" spans="1:33" ht="12.75">
      <c r="A704" s="148"/>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6"/>
      <c r="AD704" s="146"/>
      <c r="AE704" s="146"/>
      <c r="AF704" s="146"/>
      <c r="AG704" s="146"/>
    </row>
    <row r="705" spans="1:33" ht="12.75">
      <c r="A705" s="148"/>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6"/>
      <c r="AD705" s="146"/>
      <c r="AE705" s="146"/>
      <c r="AF705" s="146"/>
      <c r="AG705" s="146"/>
    </row>
    <row r="706" spans="1:33" ht="12.75">
      <c r="A706" s="148"/>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6"/>
      <c r="AD706" s="146"/>
      <c r="AE706" s="146"/>
      <c r="AF706" s="146"/>
      <c r="AG706" s="146"/>
    </row>
    <row r="707" spans="1:33" ht="12.75">
      <c r="A707" s="148"/>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c r="AD707" s="146"/>
      <c r="AE707" s="146"/>
      <c r="AF707" s="146"/>
      <c r="AG707" s="146"/>
    </row>
    <row r="708" spans="1:33" ht="12.75">
      <c r="A708" s="148"/>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c r="AB708" s="146"/>
      <c r="AC708" s="146"/>
      <c r="AD708" s="146"/>
      <c r="AE708" s="146"/>
      <c r="AF708" s="146"/>
      <c r="AG708" s="146"/>
    </row>
    <row r="709" spans="1:33" ht="12.75">
      <c r="A709" s="148"/>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6"/>
      <c r="AF709" s="146"/>
      <c r="AG709" s="146"/>
    </row>
    <row r="710" spans="1:33" ht="12.75">
      <c r="A710" s="148"/>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c r="AB710" s="146"/>
      <c r="AC710" s="146"/>
      <c r="AD710" s="146"/>
      <c r="AE710" s="146"/>
      <c r="AF710" s="146"/>
      <c r="AG710" s="146"/>
    </row>
    <row r="711" spans="1:33" ht="12.75">
      <c r="A711" s="148"/>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c r="AB711" s="146"/>
      <c r="AC711" s="146"/>
      <c r="AD711" s="146"/>
      <c r="AE711" s="146"/>
      <c r="AF711" s="146"/>
      <c r="AG711" s="146"/>
    </row>
    <row r="712" spans="1:33" ht="12.75">
      <c r="A712" s="148"/>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c r="AB712" s="146"/>
      <c r="AC712" s="146"/>
      <c r="AD712" s="146"/>
      <c r="AE712" s="146"/>
      <c r="AF712" s="146"/>
      <c r="AG712" s="146"/>
    </row>
    <row r="713" spans="1:33" ht="12.75">
      <c r="A713" s="148"/>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c r="AB713" s="146"/>
      <c r="AC713" s="146"/>
      <c r="AD713" s="146"/>
      <c r="AE713" s="146"/>
      <c r="AF713" s="146"/>
      <c r="AG713" s="146"/>
    </row>
    <row r="714" spans="1:33" ht="12.75">
      <c r="A714" s="148"/>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c r="AB714" s="146"/>
      <c r="AC714" s="146"/>
      <c r="AD714" s="146"/>
      <c r="AE714" s="146"/>
      <c r="AF714" s="146"/>
      <c r="AG714" s="146"/>
    </row>
    <row r="715" spans="1:33" ht="12.75">
      <c r="A715" s="148"/>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6"/>
      <c r="AD715" s="146"/>
      <c r="AE715" s="146"/>
      <c r="AF715" s="146"/>
      <c r="AG715" s="146"/>
    </row>
    <row r="716" spans="1:33" ht="12.75">
      <c r="A716" s="148"/>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c r="AD716" s="146"/>
      <c r="AE716" s="146"/>
      <c r="AF716" s="146"/>
      <c r="AG716" s="146"/>
    </row>
    <row r="717" spans="1:33" ht="12.75">
      <c r="A717" s="148"/>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c r="AB717" s="146"/>
      <c r="AC717" s="146"/>
      <c r="AD717" s="146"/>
      <c r="AE717" s="146"/>
      <c r="AF717" s="146"/>
      <c r="AG717" s="146"/>
    </row>
    <row r="718" spans="1:33" ht="12.75">
      <c r="A718" s="148"/>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c r="AB718" s="146"/>
      <c r="AC718" s="146"/>
      <c r="AD718" s="146"/>
      <c r="AE718" s="146"/>
      <c r="AF718" s="146"/>
      <c r="AG718" s="146"/>
    </row>
    <row r="719" spans="1:33" ht="12.75">
      <c r="A719" s="148"/>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c r="AB719" s="146"/>
      <c r="AC719" s="146"/>
      <c r="AD719" s="146"/>
      <c r="AE719" s="146"/>
      <c r="AF719" s="146"/>
      <c r="AG719" s="146"/>
    </row>
    <row r="720" spans="1:33" ht="12.75">
      <c r="A720" s="148"/>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c r="AB720" s="146"/>
      <c r="AC720" s="146"/>
      <c r="AD720" s="146"/>
      <c r="AE720" s="146"/>
      <c r="AF720" s="146"/>
      <c r="AG720" s="146"/>
    </row>
    <row r="721" spans="1:33" ht="12.75">
      <c r="A721" s="148"/>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c r="AB721" s="146"/>
      <c r="AC721" s="146"/>
      <c r="AD721" s="146"/>
      <c r="AE721" s="146"/>
      <c r="AF721" s="146"/>
      <c r="AG721" s="146"/>
    </row>
    <row r="722" spans="1:33" ht="12.75">
      <c r="A722" s="148"/>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c r="AB722" s="146"/>
      <c r="AC722" s="146"/>
      <c r="AD722" s="146"/>
      <c r="AE722" s="146"/>
      <c r="AF722" s="146"/>
      <c r="AG722" s="146"/>
    </row>
    <row r="723" spans="1:33" ht="12.75">
      <c r="A723" s="148"/>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146"/>
      <c r="AG723" s="146"/>
    </row>
    <row r="724" spans="1:33" ht="12.75">
      <c r="A724" s="148"/>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6"/>
      <c r="AF724" s="146"/>
      <c r="AG724" s="146"/>
    </row>
    <row r="725" spans="1:33" ht="12.75">
      <c r="A725" s="148"/>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6"/>
      <c r="AD725" s="146"/>
      <c r="AE725" s="146"/>
      <c r="AF725" s="146"/>
      <c r="AG725" s="146"/>
    </row>
    <row r="726" spans="1:33" ht="12.75">
      <c r="A726" s="148"/>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c r="AB726" s="146"/>
      <c r="AC726" s="146"/>
      <c r="AD726" s="146"/>
      <c r="AE726" s="146"/>
      <c r="AF726" s="146"/>
      <c r="AG726" s="146"/>
    </row>
    <row r="727" spans="1:33" ht="12.75">
      <c r="A727" s="148"/>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c r="AB727" s="146"/>
      <c r="AC727" s="146"/>
      <c r="AD727" s="146"/>
      <c r="AE727" s="146"/>
      <c r="AF727" s="146"/>
      <c r="AG727" s="146"/>
    </row>
    <row r="728" spans="1:33" ht="12.75">
      <c r="A728" s="148"/>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c r="AB728" s="146"/>
      <c r="AC728" s="146"/>
      <c r="AD728" s="146"/>
      <c r="AE728" s="146"/>
      <c r="AF728" s="146"/>
      <c r="AG728" s="146"/>
    </row>
    <row r="729" spans="1:33" ht="12.75">
      <c r="A729" s="148"/>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c r="AB729" s="146"/>
      <c r="AC729" s="146"/>
      <c r="AD729" s="146"/>
      <c r="AE729" s="146"/>
      <c r="AF729" s="146"/>
      <c r="AG729" s="146"/>
    </row>
    <row r="730" spans="1:33" ht="12.75">
      <c r="A730" s="148"/>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c r="AB730" s="146"/>
      <c r="AC730" s="146"/>
      <c r="AD730" s="146"/>
      <c r="AE730" s="146"/>
      <c r="AF730" s="146"/>
      <c r="AG730" s="146"/>
    </row>
    <row r="731" spans="1:33" ht="12.75">
      <c r="A731" s="148"/>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c r="AB731" s="146"/>
      <c r="AC731" s="146"/>
      <c r="AD731" s="146"/>
      <c r="AE731" s="146"/>
      <c r="AF731" s="146"/>
      <c r="AG731" s="146"/>
    </row>
    <row r="732" spans="1:33" ht="12.75">
      <c r="A732" s="148"/>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c r="AB732" s="146"/>
      <c r="AC732" s="146"/>
      <c r="AD732" s="146"/>
      <c r="AE732" s="146"/>
      <c r="AF732" s="146"/>
      <c r="AG732" s="146"/>
    </row>
    <row r="733" spans="1:33" ht="12.75">
      <c r="A733" s="148"/>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c r="AB733" s="146"/>
      <c r="AC733" s="146"/>
      <c r="AD733" s="146"/>
      <c r="AE733" s="146"/>
      <c r="AF733" s="146"/>
      <c r="AG733" s="146"/>
    </row>
    <row r="734" spans="1:33" ht="12.75">
      <c r="A734" s="148"/>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c r="AB734" s="146"/>
      <c r="AC734" s="146"/>
      <c r="AD734" s="146"/>
      <c r="AE734" s="146"/>
      <c r="AF734" s="146"/>
      <c r="AG734" s="146"/>
    </row>
    <row r="735" spans="1:33" ht="12.75">
      <c r="A735" s="148"/>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c r="AB735" s="146"/>
      <c r="AC735" s="146"/>
      <c r="AD735" s="146"/>
      <c r="AE735" s="146"/>
      <c r="AF735" s="146"/>
      <c r="AG735" s="146"/>
    </row>
    <row r="736" spans="1:33" ht="12.75">
      <c r="A736" s="148"/>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c r="AB736" s="146"/>
      <c r="AC736" s="146"/>
      <c r="AD736" s="146"/>
      <c r="AE736" s="146"/>
      <c r="AF736" s="146"/>
      <c r="AG736" s="146"/>
    </row>
    <row r="737" spans="1:33" ht="12.75">
      <c r="A737" s="148"/>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c r="AB737" s="146"/>
      <c r="AC737" s="146"/>
      <c r="AD737" s="146"/>
      <c r="AE737" s="146"/>
      <c r="AF737" s="146"/>
      <c r="AG737" s="146"/>
    </row>
    <row r="738" spans="1:33" ht="12.75">
      <c r="A738" s="148"/>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c r="AB738" s="146"/>
      <c r="AC738" s="146"/>
      <c r="AD738" s="146"/>
      <c r="AE738" s="146"/>
      <c r="AF738" s="146"/>
      <c r="AG738" s="146"/>
    </row>
    <row r="739" spans="1:33" ht="12.75">
      <c r="A739" s="148"/>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c r="AB739" s="146"/>
      <c r="AC739" s="146"/>
      <c r="AD739" s="146"/>
      <c r="AE739" s="146"/>
      <c r="AF739" s="146"/>
      <c r="AG739" s="146"/>
    </row>
    <row r="740" spans="1:33" ht="12.75">
      <c r="A740" s="148"/>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c r="AB740" s="146"/>
      <c r="AC740" s="146"/>
      <c r="AD740" s="146"/>
      <c r="AE740" s="146"/>
      <c r="AF740" s="146"/>
      <c r="AG740" s="146"/>
    </row>
    <row r="741" spans="1:33" ht="12.75">
      <c r="A741" s="148"/>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c r="AB741" s="146"/>
      <c r="AC741" s="146"/>
      <c r="AD741" s="146"/>
      <c r="AE741" s="146"/>
      <c r="AF741" s="146"/>
      <c r="AG741" s="146"/>
    </row>
    <row r="742" spans="1:33" ht="12.75">
      <c r="A742" s="148"/>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c r="AB742" s="146"/>
      <c r="AC742" s="146"/>
      <c r="AD742" s="146"/>
      <c r="AE742" s="146"/>
      <c r="AF742" s="146"/>
      <c r="AG742" s="146"/>
    </row>
    <row r="743" spans="1:33" ht="12.75">
      <c r="A743" s="148"/>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c r="AB743" s="146"/>
      <c r="AC743" s="146"/>
      <c r="AD743" s="146"/>
      <c r="AE743" s="146"/>
      <c r="AF743" s="146"/>
      <c r="AG743" s="146"/>
    </row>
    <row r="744" spans="1:33" ht="12.75">
      <c r="A744" s="148"/>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c r="AB744" s="146"/>
      <c r="AC744" s="146"/>
      <c r="AD744" s="146"/>
      <c r="AE744" s="146"/>
      <c r="AF744" s="146"/>
      <c r="AG744" s="146"/>
    </row>
    <row r="745" spans="1:33" ht="12.75">
      <c r="A745" s="148"/>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c r="AB745" s="146"/>
      <c r="AC745" s="146"/>
      <c r="AD745" s="146"/>
      <c r="AE745" s="146"/>
      <c r="AF745" s="146"/>
      <c r="AG745" s="146"/>
    </row>
    <row r="746" spans="1:33" ht="12.75">
      <c r="A746" s="148"/>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c r="AB746" s="146"/>
      <c r="AC746" s="146"/>
      <c r="AD746" s="146"/>
      <c r="AE746" s="146"/>
      <c r="AF746" s="146"/>
      <c r="AG746" s="146"/>
    </row>
    <row r="747" spans="1:33" ht="12.75">
      <c r="A747" s="148"/>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c r="AB747" s="146"/>
      <c r="AC747" s="146"/>
      <c r="AD747" s="146"/>
      <c r="AE747" s="146"/>
      <c r="AF747" s="146"/>
      <c r="AG747" s="146"/>
    </row>
    <row r="748" spans="1:33" ht="12.75">
      <c r="A748" s="148"/>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c r="AB748" s="146"/>
      <c r="AC748" s="146"/>
      <c r="AD748" s="146"/>
      <c r="AE748" s="146"/>
      <c r="AF748" s="146"/>
      <c r="AG748" s="146"/>
    </row>
    <row r="749" spans="1:33" ht="12.75">
      <c r="A749" s="148"/>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c r="AB749" s="146"/>
      <c r="AC749" s="146"/>
      <c r="AD749" s="146"/>
      <c r="AE749" s="146"/>
      <c r="AF749" s="146"/>
      <c r="AG749" s="146"/>
    </row>
    <row r="750" spans="1:33" ht="12.75">
      <c r="A750" s="148"/>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c r="AB750" s="146"/>
      <c r="AC750" s="146"/>
      <c r="AD750" s="146"/>
      <c r="AE750" s="146"/>
      <c r="AF750" s="146"/>
      <c r="AG750" s="146"/>
    </row>
    <row r="751" spans="1:33" ht="12.75">
      <c r="A751" s="148"/>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c r="AB751" s="146"/>
      <c r="AC751" s="146"/>
      <c r="AD751" s="146"/>
      <c r="AE751" s="146"/>
      <c r="AF751" s="146"/>
      <c r="AG751" s="146"/>
    </row>
    <row r="752" spans="1:33" ht="12.75">
      <c r="A752" s="148"/>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c r="AB752" s="146"/>
      <c r="AC752" s="146"/>
      <c r="AD752" s="146"/>
      <c r="AE752" s="146"/>
      <c r="AF752" s="146"/>
      <c r="AG752" s="146"/>
    </row>
    <row r="753" spans="1:33" ht="12.75">
      <c r="A753" s="148"/>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c r="AB753" s="146"/>
      <c r="AC753" s="146"/>
      <c r="AD753" s="146"/>
      <c r="AE753" s="146"/>
      <c r="AF753" s="146"/>
      <c r="AG753" s="146"/>
    </row>
    <row r="754" spans="1:33" ht="12.75">
      <c r="A754" s="148"/>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6"/>
      <c r="AF754" s="146"/>
      <c r="AG754" s="146"/>
    </row>
    <row r="755" spans="1:33" ht="12.75">
      <c r="A755" s="148"/>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c r="AB755" s="146"/>
      <c r="AC755" s="146"/>
      <c r="AD755" s="146"/>
      <c r="AE755" s="146"/>
      <c r="AF755" s="146"/>
      <c r="AG755" s="146"/>
    </row>
    <row r="756" spans="1:33" ht="12.75">
      <c r="A756" s="148"/>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c r="AB756" s="146"/>
      <c r="AC756" s="146"/>
      <c r="AD756" s="146"/>
      <c r="AE756" s="146"/>
      <c r="AF756" s="146"/>
      <c r="AG756" s="146"/>
    </row>
    <row r="757" spans="1:33" ht="12.75">
      <c r="A757" s="148"/>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c r="AB757" s="146"/>
      <c r="AC757" s="146"/>
      <c r="AD757" s="146"/>
      <c r="AE757" s="146"/>
      <c r="AF757" s="146"/>
      <c r="AG757" s="146"/>
    </row>
    <row r="758" spans="1:33" ht="12.75">
      <c r="A758" s="148"/>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c r="AB758" s="146"/>
      <c r="AC758" s="146"/>
      <c r="AD758" s="146"/>
      <c r="AE758" s="146"/>
      <c r="AF758" s="146"/>
      <c r="AG758" s="146"/>
    </row>
    <row r="759" spans="1:33" ht="12.75">
      <c r="A759" s="148"/>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c r="AB759" s="146"/>
      <c r="AC759" s="146"/>
      <c r="AD759" s="146"/>
      <c r="AE759" s="146"/>
      <c r="AF759" s="146"/>
      <c r="AG759" s="146"/>
    </row>
    <row r="760" spans="1:33" ht="12.75">
      <c r="A760" s="148"/>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c r="AB760" s="146"/>
      <c r="AC760" s="146"/>
      <c r="AD760" s="146"/>
      <c r="AE760" s="146"/>
      <c r="AF760" s="146"/>
      <c r="AG760" s="146"/>
    </row>
    <row r="761" spans="1:33" ht="12.75">
      <c r="A761" s="148"/>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c r="AB761" s="146"/>
      <c r="AC761" s="146"/>
      <c r="AD761" s="146"/>
      <c r="AE761" s="146"/>
      <c r="AF761" s="146"/>
      <c r="AG761" s="146"/>
    </row>
    <row r="762" spans="1:33" ht="12.75">
      <c r="A762" s="148"/>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c r="AB762" s="146"/>
      <c r="AC762" s="146"/>
      <c r="AD762" s="146"/>
      <c r="AE762" s="146"/>
      <c r="AF762" s="146"/>
      <c r="AG762" s="146"/>
    </row>
    <row r="763" spans="1:33" ht="12.75">
      <c r="A763" s="148"/>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c r="AB763" s="146"/>
      <c r="AC763" s="146"/>
      <c r="AD763" s="146"/>
      <c r="AE763" s="146"/>
      <c r="AF763" s="146"/>
      <c r="AG763" s="146"/>
    </row>
    <row r="764" spans="1:33" ht="12.75">
      <c r="A764" s="148"/>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c r="AB764" s="146"/>
      <c r="AC764" s="146"/>
      <c r="AD764" s="146"/>
      <c r="AE764" s="146"/>
      <c r="AF764" s="146"/>
      <c r="AG764" s="146"/>
    </row>
    <row r="765" spans="1:33" ht="12.75">
      <c r="A765" s="148"/>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c r="AB765" s="146"/>
      <c r="AC765" s="146"/>
      <c r="AD765" s="146"/>
      <c r="AE765" s="146"/>
      <c r="AF765" s="146"/>
      <c r="AG765" s="146"/>
    </row>
    <row r="766" spans="1:33" ht="12.75">
      <c r="A766" s="148"/>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c r="AB766" s="146"/>
      <c r="AC766" s="146"/>
      <c r="AD766" s="146"/>
      <c r="AE766" s="146"/>
      <c r="AF766" s="146"/>
      <c r="AG766" s="146"/>
    </row>
    <row r="767" spans="1:33" ht="12.75">
      <c r="A767" s="148"/>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row>
    <row r="768" spans="1:33" ht="12.75">
      <c r="A768" s="148"/>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c r="AB768" s="146"/>
      <c r="AC768" s="146"/>
      <c r="AD768" s="146"/>
      <c r="AE768" s="146"/>
      <c r="AF768" s="146"/>
      <c r="AG768" s="146"/>
    </row>
    <row r="769" spans="1:33" ht="12.75">
      <c r="A769" s="148"/>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c r="AB769" s="146"/>
      <c r="AC769" s="146"/>
      <c r="AD769" s="146"/>
      <c r="AE769" s="146"/>
      <c r="AF769" s="146"/>
      <c r="AG769" s="146"/>
    </row>
    <row r="770" spans="1:33" ht="12.75">
      <c r="A770" s="148"/>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6"/>
      <c r="AF770" s="146"/>
      <c r="AG770" s="146"/>
    </row>
    <row r="771" spans="1:33" ht="12.75">
      <c r="A771" s="148"/>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c r="AB771" s="146"/>
      <c r="AC771" s="146"/>
      <c r="AD771" s="146"/>
      <c r="AE771" s="146"/>
      <c r="AF771" s="146"/>
      <c r="AG771" s="146"/>
    </row>
    <row r="772" spans="1:33" ht="12.75">
      <c r="A772" s="148"/>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c r="AB772" s="146"/>
      <c r="AC772" s="146"/>
      <c r="AD772" s="146"/>
      <c r="AE772" s="146"/>
      <c r="AF772" s="146"/>
      <c r="AG772" s="146"/>
    </row>
    <row r="773" spans="1:33" ht="12.75">
      <c r="A773" s="148"/>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row>
    <row r="774" spans="1:33" ht="12.75">
      <c r="A774" s="148"/>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c r="AB774" s="146"/>
      <c r="AC774" s="146"/>
      <c r="AD774" s="146"/>
      <c r="AE774" s="146"/>
      <c r="AF774" s="146"/>
      <c r="AG774" s="146"/>
    </row>
    <row r="775" spans="1:33" ht="12.75">
      <c r="A775" s="148"/>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c r="AB775" s="146"/>
      <c r="AC775" s="146"/>
      <c r="AD775" s="146"/>
      <c r="AE775" s="146"/>
      <c r="AF775" s="146"/>
      <c r="AG775" s="146"/>
    </row>
    <row r="776" spans="1:33" ht="12.75">
      <c r="A776" s="148"/>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c r="AB776" s="146"/>
      <c r="AC776" s="146"/>
      <c r="AD776" s="146"/>
      <c r="AE776" s="146"/>
      <c r="AF776" s="146"/>
      <c r="AG776" s="146"/>
    </row>
    <row r="777" spans="1:33" ht="12.75">
      <c r="A777" s="148"/>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c r="AB777" s="146"/>
      <c r="AC777" s="146"/>
      <c r="AD777" s="146"/>
      <c r="AE777" s="146"/>
      <c r="AF777" s="146"/>
      <c r="AG777" s="146"/>
    </row>
    <row r="778" spans="1:33" ht="12.75">
      <c r="A778" s="148"/>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c r="AB778" s="146"/>
      <c r="AC778" s="146"/>
      <c r="AD778" s="146"/>
      <c r="AE778" s="146"/>
      <c r="AF778" s="146"/>
      <c r="AG778" s="146"/>
    </row>
    <row r="779" spans="1:33" ht="12.75">
      <c r="A779" s="148"/>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c r="AB779" s="146"/>
      <c r="AC779" s="146"/>
      <c r="AD779" s="146"/>
      <c r="AE779" s="146"/>
      <c r="AF779" s="146"/>
      <c r="AG779" s="146"/>
    </row>
    <row r="780" spans="1:33" ht="12.75">
      <c r="A780" s="148"/>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c r="AB780" s="146"/>
      <c r="AC780" s="146"/>
      <c r="AD780" s="146"/>
      <c r="AE780" s="146"/>
      <c r="AF780" s="146"/>
      <c r="AG780" s="146"/>
    </row>
    <row r="781" spans="1:33" ht="12.75">
      <c r="A781" s="148"/>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c r="AB781" s="146"/>
      <c r="AC781" s="146"/>
      <c r="AD781" s="146"/>
      <c r="AE781" s="146"/>
      <c r="AF781" s="146"/>
      <c r="AG781" s="146"/>
    </row>
    <row r="782" spans="1:33" ht="12.75">
      <c r="A782" s="148"/>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c r="AB782" s="146"/>
      <c r="AC782" s="146"/>
      <c r="AD782" s="146"/>
      <c r="AE782" s="146"/>
      <c r="AF782" s="146"/>
      <c r="AG782" s="146"/>
    </row>
    <row r="783" spans="1:33" ht="12.75">
      <c r="A783" s="148"/>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c r="AB783" s="146"/>
      <c r="AC783" s="146"/>
      <c r="AD783" s="146"/>
      <c r="AE783" s="146"/>
      <c r="AF783" s="146"/>
      <c r="AG783" s="146"/>
    </row>
    <row r="784" spans="1:33" ht="12.75">
      <c r="A784" s="148"/>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c r="AB784" s="146"/>
      <c r="AC784" s="146"/>
      <c r="AD784" s="146"/>
      <c r="AE784" s="146"/>
      <c r="AF784" s="146"/>
      <c r="AG784" s="146"/>
    </row>
    <row r="785" spans="1:33" ht="12.75">
      <c r="A785" s="148"/>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6"/>
      <c r="AF785" s="146"/>
      <c r="AG785" s="146"/>
    </row>
    <row r="786" spans="1:33" ht="12.75">
      <c r="A786" s="148"/>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c r="AB786" s="146"/>
      <c r="AC786" s="146"/>
      <c r="AD786" s="146"/>
      <c r="AE786" s="146"/>
      <c r="AF786" s="146"/>
      <c r="AG786" s="146"/>
    </row>
    <row r="787" spans="1:33" ht="12.75">
      <c r="A787" s="148"/>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c r="AB787" s="146"/>
      <c r="AC787" s="146"/>
      <c r="AD787" s="146"/>
      <c r="AE787" s="146"/>
      <c r="AF787" s="146"/>
      <c r="AG787" s="146"/>
    </row>
    <row r="788" spans="1:33" ht="12.75">
      <c r="A788" s="148"/>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c r="AB788" s="146"/>
      <c r="AC788" s="146"/>
      <c r="AD788" s="146"/>
      <c r="AE788" s="146"/>
      <c r="AF788" s="146"/>
      <c r="AG788" s="146"/>
    </row>
    <row r="789" spans="1:33" ht="12.75">
      <c r="A789" s="148"/>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c r="AB789" s="146"/>
      <c r="AC789" s="146"/>
      <c r="AD789" s="146"/>
      <c r="AE789" s="146"/>
      <c r="AF789" s="146"/>
      <c r="AG789" s="146"/>
    </row>
    <row r="790" spans="1:33" ht="12.75">
      <c r="A790" s="148"/>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c r="AB790" s="146"/>
      <c r="AC790" s="146"/>
      <c r="AD790" s="146"/>
      <c r="AE790" s="146"/>
      <c r="AF790" s="146"/>
      <c r="AG790" s="146"/>
    </row>
    <row r="791" spans="1:33" ht="12.75">
      <c r="A791" s="148"/>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c r="AB791" s="146"/>
      <c r="AC791" s="146"/>
      <c r="AD791" s="146"/>
      <c r="AE791" s="146"/>
      <c r="AF791" s="146"/>
      <c r="AG791" s="146"/>
    </row>
    <row r="792" spans="1:33" ht="12.75">
      <c r="A792" s="148"/>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c r="AB792" s="146"/>
      <c r="AC792" s="146"/>
      <c r="AD792" s="146"/>
      <c r="AE792" s="146"/>
      <c r="AF792" s="146"/>
      <c r="AG792" s="146"/>
    </row>
    <row r="793" spans="1:33" ht="12.75">
      <c r="A793" s="148"/>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c r="AB793" s="146"/>
      <c r="AC793" s="146"/>
      <c r="AD793" s="146"/>
      <c r="AE793" s="146"/>
      <c r="AF793" s="146"/>
      <c r="AG793" s="146"/>
    </row>
    <row r="794" spans="1:33" ht="12.75">
      <c r="A794" s="148"/>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c r="AB794" s="146"/>
      <c r="AC794" s="146"/>
      <c r="AD794" s="146"/>
      <c r="AE794" s="146"/>
      <c r="AF794" s="146"/>
      <c r="AG794" s="146"/>
    </row>
    <row r="795" spans="1:33" ht="12.75">
      <c r="A795" s="148"/>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c r="AB795" s="146"/>
      <c r="AC795" s="146"/>
      <c r="AD795" s="146"/>
      <c r="AE795" s="146"/>
      <c r="AF795" s="146"/>
      <c r="AG795" s="146"/>
    </row>
    <row r="796" spans="1:33" ht="12.75">
      <c r="A796" s="148"/>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c r="AB796" s="146"/>
      <c r="AC796" s="146"/>
      <c r="AD796" s="146"/>
      <c r="AE796" s="146"/>
      <c r="AF796" s="146"/>
      <c r="AG796" s="146"/>
    </row>
    <row r="797" spans="1:33" ht="12.75">
      <c r="A797" s="148"/>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c r="AB797" s="146"/>
      <c r="AC797" s="146"/>
      <c r="AD797" s="146"/>
      <c r="AE797" s="146"/>
      <c r="AF797" s="146"/>
      <c r="AG797" s="146"/>
    </row>
    <row r="798" spans="1:33" ht="12.75">
      <c r="A798" s="148"/>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c r="AB798" s="146"/>
      <c r="AC798" s="146"/>
      <c r="AD798" s="146"/>
      <c r="AE798" s="146"/>
      <c r="AF798" s="146"/>
      <c r="AG798" s="146"/>
    </row>
    <row r="799" spans="1:33" ht="12.75">
      <c r="A799" s="148"/>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c r="AB799" s="146"/>
      <c r="AC799" s="146"/>
      <c r="AD799" s="146"/>
      <c r="AE799" s="146"/>
      <c r="AF799" s="146"/>
      <c r="AG799" s="146"/>
    </row>
    <row r="800" spans="1:33" ht="12.75">
      <c r="A800" s="148"/>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6"/>
      <c r="AF800" s="146"/>
      <c r="AG800" s="146"/>
    </row>
    <row r="801" spans="1:33" ht="12.75">
      <c r="A801" s="148"/>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c r="AB801" s="146"/>
      <c r="AC801" s="146"/>
      <c r="AD801" s="146"/>
      <c r="AE801" s="146"/>
      <c r="AF801" s="146"/>
      <c r="AG801" s="146"/>
    </row>
    <row r="802" spans="1:33" ht="12.75">
      <c r="A802" s="148"/>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c r="AB802" s="146"/>
      <c r="AC802" s="146"/>
      <c r="AD802" s="146"/>
      <c r="AE802" s="146"/>
      <c r="AF802" s="146"/>
      <c r="AG802" s="146"/>
    </row>
    <row r="803" spans="1:33" ht="12.75">
      <c r="A803" s="148"/>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c r="AB803" s="146"/>
      <c r="AC803" s="146"/>
      <c r="AD803" s="146"/>
      <c r="AE803" s="146"/>
      <c r="AF803" s="146"/>
      <c r="AG803" s="146"/>
    </row>
    <row r="804" spans="1:33" ht="12.75">
      <c r="A804" s="148"/>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c r="AB804" s="146"/>
      <c r="AC804" s="146"/>
      <c r="AD804" s="146"/>
      <c r="AE804" s="146"/>
      <c r="AF804" s="146"/>
      <c r="AG804" s="146"/>
    </row>
    <row r="805" spans="1:33" ht="12.75">
      <c r="A805" s="148"/>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c r="AB805" s="146"/>
      <c r="AC805" s="146"/>
      <c r="AD805" s="146"/>
      <c r="AE805" s="146"/>
      <c r="AF805" s="146"/>
      <c r="AG805" s="146"/>
    </row>
    <row r="806" spans="1:33" ht="12.75">
      <c r="A806" s="148"/>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c r="AB806" s="146"/>
      <c r="AC806" s="146"/>
      <c r="AD806" s="146"/>
      <c r="AE806" s="146"/>
      <c r="AF806" s="146"/>
      <c r="AG806" s="146"/>
    </row>
    <row r="807" spans="1:33" ht="12.75">
      <c r="A807" s="148"/>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c r="AB807" s="146"/>
      <c r="AC807" s="146"/>
      <c r="AD807" s="146"/>
      <c r="AE807" s="146"/>
      <c r="AF807" s="146"/>
      <c r="AG807" s="146"/>
    </row>
    <row r="808" spans="1:33" ht="12.75">
      <c r="A808" s="148"/>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c r="AB808" s="146"/>
      <c r="AC808" s="146"/>
      <c r="AD808" s="146"/>
      <c r="AE808" s="146"/>
      <c r="AF808" s="146"/>
      <c r="AG808" s="146"/>
    </row>
    <row r="809" spans="1:33" ht="12.75">
      <c r="A809" s="148"/>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c r="AB809" s="146"/>
      <c r="AC809" s="146"/>
      <c r="AD809" s="146"/>
      <c r="AE809" s="146"/>
      <c r="AF809" s="146"/>
      <c r="AG809" s="146"/>
    </row>
    <row r="810" spans="1:33" ht="12.75">
      <c r="A810" s="148"/>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c r="AB810" s="146"/>
      <c r="AC810" s="146"/>
      <c r="AD810" s="146"/>
      <c r="AE810" s="146"/>
      <c r="AF810" s="146"/>
      <c r="AG810" s="146"/>
    </row>
    <row r="811" spans="1:33" ht="12.75">
      <c r="A811" s="148"/>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c r="AB811" s="146"/>
      <c r="AC811" s="146"/>
      <c r="AD811" s="146"/>
      <c r="AE811" s="146"/>
      <c r="AF811" s="146"/>
      <c r="AG811" s="146"/>
    </row>
    <row r="812" spans="1:33" ht="12.75">
      <c r="A812" s="148"/>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c r="AB812" s="146"/>
      <c r="AC812" s="146"/>
      <c r="AD812" s="146"/>
      <c r="AE812" s="146"/>
      <c r="AF812" s="146"/>
      <c r="AG812" s="146"/>
    </row>
    <row r="813" spans="1:33" ht="12.75">
      <c r="A813" s="148"/>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c r="AB813" s="146"/>
      <c r="AC813" s="146"/>
      <c r="AD813" s="146"/>
      <c r="AE813" s="146"/>
      <c r="AF813" s="146"/>
      <c r="AG813" s="146"/>
    </row>
    <row r="814" spans="1:33" ht="12.75">
      <c r="A814" s="148"/>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c r="AB814" s="146"/>
      <c r="AC814" s="146"/>
      <c r="AD814" s="146"/>
      <c r="AE814" s="146"/>
      <c r="AF814" s="146"/>
      <c r="AG814" s="146"/>
    </row>
    <row r="815" spans="1:33" ht="12.75">
      <c r="A815" s="148"/>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c r="AB815" s="146"/>
      <c r="AC815" s="146"/>
      <c r="AD815" s="146"/>
      <c r="AE815" s="146"/>
      <c r="AF815" s="146"/>
      <c r="AG815" s="146"/>
    </row>
    <row r="816" spans="1:33" ht="12.75">
      <c r="A816" s="148"/>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c r="AB816" s="146"/>
      <c r="AC816" s="146"/>
      <c r="AD816" s="146"/>
      <c r="AE816" s="146"/>
      <c r="AF816" s="146"/>
      <c r="AG816" s="146"/>
    </row>
    <row r="817" spans="1:33" ht="12.75">
      <c r="A817" s="148"/>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c r="AB817" s="146"/>
      <c r="AC817" s="146"/>
      <c r="AD817" s="146"/>
      <c r="AE817" s="146"/>
      <c r="AF817" s="146"/>
      <c r="AG817" s="146"/>
    </row>
    <row r="818" spans="1:33" ht="12.75">
      <c r="A818" s="148"/>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c r="AB818" s="146"/>
      <c r="AC818" s="146"/>
      <c r="AD818" s="146"/>
      <c r="AE818" s="146"/>
      <c r="AF818" s="146"/>
      <c r="AG818" s="146"/>
    </row>
    <row r="819" spans="1:33" ht="12.75">
      <c r="A819" s="148"/>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c r="AB819" s="146"/>
      <c r="AC819" s="146"/>
      <c r="AD819" s="146"/>
      <c r="AE819" s="146"/>
      <c r="AF819" s="146"/>
      <c r="AG819" s="146"/>
    </row>
    <row r="820" spans="1:33" ht="12.75">
      <c r="A820" s="148"/>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c r="AB820" s="146"/>
      <c r="AC820" s="146"/>
      <c r="AD820" s="146"/>
      <c r="AE820" s="146"/>
      <c r="AF820" s="146"/>
      <c r="AG820" s="146"/>
    </row>
    <row r="821" spans="1:33" ht="12.75">
      <c r="A821" s="148"/>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c r="AA821" s="146"/>
      <c r="AB821" s="146"/>
      <c r="AC821" s="146"/>
      <c r="AD821" s="146"/>
      <c r="AE821" s="146"/>
      <c r="AF821" s="146"/>
      <c r="AG821" s="146"/>
    </row>
    <row r="822" spans="1:33" ht="12.75">
      <c r="A822" s="148"/>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c r="AA822" s="146"/>
      <c r="AB822" s="146"/>
      <c r="AC822" s="146"/>
      <c r="AD822" s="146"/>
      <c r="AE822" s="146"/>
      <c r="AF822" s="146"/>
      <c r="AG822" s="146"/>
    </row>
    <row r="823" spans="1:33" ht="12.75">
      <c r="A823" s="148"/>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c r="AA823" s="146"/>
      <c r="AB823" s="146"/>
      <c r="AC823" s="146"/>
      <c r="AD823" s="146"/>
      <c r="AE823" s="146"/>
      <c r="AF823" s="146"/>
      <c r="AG823" s="146"/>
    </row>
    <row r="824" spans="1:33" ht="12.75">
      <c r="A824" s="148"/>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c r="AA824" s="146"/>
      <c r="AB824" s="146"/>
      <c r="AC824" s="146"/>
      <c r="AD824" s="146"/>
      <c r="AE824" s="146"/>
      <c r="AF824" s="146"/>
      <c r="AG824" s="146"/>
    </row>
    <row r="825" spans="1:33" ht="12.75">
      <c r="A825" s="148"/>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c r="AB825" s="146"/>
      <c r="AC825" s="146"/>
      <c r="AD825" s="146"/>
      <c r="AE825" s="146"/>
      <c r="AF825" s="146"/>
      <c r="AG825" s="146"/>
    </row>
    <row r="826" spans="1:33" ht="12.75">
      <c r="A826" s="148"/>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c r="AB826" s="146"/>
      <c r="AC826" s="146"/>
      <c r="AD826" s="146"/>
      <c r="AE826" s="146"/>
      <c r="AF826" s="146"/>
      <c r="AG826" s="146"/>
    </row>
    <row r="827" spans="1:33" ht="12.75">
      <c r="A827" s="148"/>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c r="AB827" s="146"/>
      <c r="AC827" s="146"/>
      <c r="AD827" s="146"/>
      <c r="AE827" s="146"/>
      <c r="AF827" s="146"/>
      <c r="AG827" s="146"/>
    </row>
    <row r="828" spans="1:33" ht="12.75">
      <c r="A828" s="148"/>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c r="AB828" s="146"/>
      <c r="AC828" s="146"/>
      <c r="AD828" s="146"/>
      <c r="AE828" s="146"/>
      <c r="AF828" s="146"/>
      <c r="AG828" s="146"/>
    </row>
    <row r="829" spans="1:33" ht="12.75">
      <c r="A829" s="148"/>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c r="AB829" s="146"/>
      <c r="AC829" s="146"/>
      <c r="AD829" s="146"/>
      <c r="AE829" s="146"/>
      <c r="AF829" s="146"/>
      <c r="AG829" s="146"/>
    </row>
    <row r="830" spans="1:33" ht="12.75">
      <c r="A830" s="148"/>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c r="AB830" s="146"/>
      <c r="AC830" s="146"/>
      <c r="AD830" s="146"/>
      <c r="AE830" s="146"/>
      <c r="AF830" s="146"/>
      <c r="AG830" s="146"/>
    </row>
    <row r="831" spans="1:33" ht="12.75">
      <c r="A831" s="148"/>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c r="AA831" s="146"/>
      <c r="AB831" s="146"/>
      <c r="AC831" s="146"/>
      <c r="AD831" s="146"/>
      <c r="AE831" s="146"/>
      <c r="AF831" s="146"/>
      <c r="AG831" s="146"/>
    </row>
    <row r="832" spans="1:33" ht="12.75">
      <c r="A832" s="148"/>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c r="AA832" s="146"/>
      <c r="AB832" s="146"/>
      <c r="AC832" s="146"/>
      <c r="AD832" s="146"/>
      <c r="AE832" s="146"/>
      <c r="AF832" s="146"/>
      <c r="AG832" s="146"/>
    </row>
    <row r="833" spans="1:33" ht="12.75">
      <c r="A833" s="148"/>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c r="AA833" s="146"/>
      <c r="AB833" s="146"/>
      <c r="AC833" s="146"/>
      <c r="AD833" s="146"/>
      <c r="AE833" s="146"/>
      <c r="AF833" s="146"/>
      <c r="AG833" s="146"/>
    </row>
    <row r="834" spans="1:33" ht="12.75">
      <c r="A834" s="148"/>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c r="AA834" s="146"/>
      <c r="AB834" s="146"/>
      <c r="AC834" s="146"/>
      <c r="AD834" s="146"/>
      <c r="AE834" s="146"/>
      <c r="AF834" s="146"/>
      <c r="AG834" s="146"/>
    </row>
    <row r="835" spans="1:33" ht="12.75">
      <c r="A835" s="148"/>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c r="AA835" s="146"/>
      <c r="AB835" s="146"/>
      <c r="AC835" s="146"/>
      <c r="AD835" s="146"/>
      <c r="AE835" s="146"/>
      <c r="AF835" s="146"/>
      <c r="AG835" s="146"/>
    </row>
    <row r="836" spans="1:33" ht="12.75">
      <c r="A836" s="148"/>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c r="AA836" s="146"/>
      <c r="AB836" s="146"/>
      <c r="AC836" s="146"/>
      <c r="AD836" s="146"/>
      <c r="AE836" s="146"/>
      <c r="AF836" s="146"/>
      <c r="AG836" s="146"/>
    </row>
    <row r="837" spans="1:33" ht="12.75">
      <c r="A837" s="148"/>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c r="AA837" s="146"/>
      <c r="AB837" s="146"/>
      <c r="AC837" s="146"/>
      <c r="AD837" s="146"/>
      <c r="AE837" s="146"/>
      <c r="AF837" s="146"/>
      <c r="AG837" s="146"/>
    </row>
    <row r="838" spans="1:33" ht="12.75">
      <c r="A838" s="148"/>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c r="AA838" s="146"/>
      <c r="AB838" s="146"/>
      <c r="AC838" s="146"/>
      <c r="AD838" s="146"/>
      <c r="AE838" s="146"/>
      <c r="AF838" s="146"/>
      <c r="AG838" s="146"/>
    </row>
    <row r="839" spans="1:33" ht="12.75">
      <c r="A839" s="148"/>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c r="AA839" s="146"/>
      <c r="AB839" s="146"/>
      <c r="AC839" s="146"/>
      <c r="AD839" s="146"/>
      <c r="AE839" s="146"/>
      <c r="AF839" s="146"/>
      <c r="AG839" s="146"/>
    </row>
    <row r="840" spans="1:33" ht="12.75">
      <c r="A840" s="148"/>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c r="AA840" s="146"/>
      <c r="AB840" s="146"/>
      <c r="AC840" s="146"/>
      <c r="AD840" s="146"/>
      <c r="AE840" s="146"/>
      <c r="AF840" s="146"/>
      <c r="AG840" s="146"/>
    </row>
    <row r="841" spans="1:33" ht="12.75">
      <c r="A841" s="148"/>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c r="AA841" s="146"/>
      <c r="AB841" s="146"/>
      <c r="AC841" s="146"/>
      <c r="AD841" s="146"/>
      <c r="AE841" s="146"/>
      <c r="AF841" s="146"/>
      <c r="AG841" s="146"/>
    </row>
    <row r="842" spans="1:33" ht="12.75">
      <c r="A842" s="148"/>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c r="AA842" s="146"/>
      <c r="AB842" s="146"/>
      <c r="AC842" s="146"/>
      <c r="AD842" s="146"/>
      <c r="AE842" s="146"/>
      <c r="AF842" s="146"/>
      <c r="AG842" s="146"/>
    </row>
    <row r="843" spans="1:33" ht="12.75">
      <c r="A843" s="148"/>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c r="AA843" s="146"/>
      <c r="AB843" s="146"/>
      <c r="AC843" s="146"/>
      <c r="AD843" s="146"/>
      <c r="AE843" s="146"/>
      <c r="AF843" s="146"/>
      <c r="AG843" s="146"/>
    </row>
    <row r="844" spans="1:33" ht="12.75">
      <c r="A844" s="148"/>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c r="AA844" s="146"/>
      <c r="AB844" s="146"/>
      <c r="AC844" s="146"/>
      <c r="AD844" s="146"/>
      <c r="AE844" s="146"/>
      <c r="AF844" s="146"/>
      <c r="AG844" s="146"/>
    </row>
    <row r="845" spans="1:33" ht="12.75">
      <c r="A845" s="148"/>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c r="AB845" s="146"/>
      <c r="AC845" s="146"/>
      <c r="AD845" s="146"/>
      <c r="AE845" s="146"/>
      <c r="AF845" s="146"/>
      <c r="AG845" s="146"/>
    </row>
    <row r="846" spans="1:33" ht="12.75">
      <c r="A846" s="148"/>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c r="AB846" s="146"/>
      <c r="AC846" s="146"/>
      <c r="AD846" s="146"/>
      <c r="AE846" s="146"/>
      <c r="AF846" s="146"/>
      <c r="AG846" s="146"/>
    </row>
    <row r="847" spans="1:33" ht="12.75">
      <c r="A847" s="148"/>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c r="AA847" s="146"/>
      <c r="AB847" s="146"/>
      <c r="AC847" s="146"/>
      <c r="AD847" s="146"/>
      <c r="AE847" s="146"/>
      <c r="AF847" s="146"/>
      <c r="AG847" s="146"/>
    </row>
    <row r="848" spans="1:33" ht="12.75">
      <c r="A848" s="148"/>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c r="AA848" s="146"/>
      <c r="AB848" s="146"/>
      <c r="AC848" s="146"/>
      <c r="AD848" s="146"/>
      <c r="AE848" s="146"/>
      <c r="AF848" s="146"/>
      <c r="AG848" s="146"/>
    </row>
    <row r="849" spans="1:33" ht="12.75">
      <c r="A849" s="148"/>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c r="AA849" s="146"/>
      <c r="AB849" s="146"/>
      <c r="AC849" s="146"/>
      <c r="AD849" s="146"/>
      <c r="AE849" s="146"/>
      <c r="AF849" s="146"/>
      <c r="AG849" s="146"/>
    </row>
    <row r="850" spans="1:33" ht="12.75">
      <c r="A850" s="148"/>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c r="AA850" s="146"/>
      <c r="AB850" s="146"/>
      <c r="AC850" s="146"/>
      <c r="AD850" s="146"/>
      <c r="AE850" s="146"/>
      <c r="AF850" s="146"/>
      <c r="AG850" s="146"/>
    </row>
    <row r="851" spans="1:33" ht="12.75">
      <c r="A851" s="148"/>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c r="AA851" s="146"/>
      <c r="AB851" s="146"/>
      <c r="AC851" s="146"/>
      <c r="AD851" s="146"/>
      <c r="AE851" s="146"/>
      <c r="AF851" s="146"/>
      <c r="AG851" s="146"/>
    </row>
    <row r="852" spans="1:33" ht="12.75">
      <c r="A852" s="148"/>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c r="AA852" s="146"/>
      <c r="AB852" s="146"/>
      <c r="AC852" s="146"/>
      <c r="AD852" s="146"/>
      <c r="AE852" s="146"/>
      <c r="AF852" s="146"/>
      <c r="AG852" s="146"/>
    </row>
    <row r="853" spans="1:33" ht="12.75">
      <c r="A853" s="148"/>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c r="AA853" s="146"/>
      <c r="AB853" s="146"/>
      <c r="AC853" s="146"/>
      <c r="AD853" s="146"/>
      <c r="AE853" s="146"/>
      <c r="AF853" s="146"/>
      <c r="AG853" s="146"/>
    </row>
    <row r="854" spans="1:33" ht="12.75">
      <c r="A854" s="148"/>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c r="AA854" s="146"/>
      <c r="AB854" s="146"/>
      <c r="AC854" s="146"/>
      <c r="AD854" s="146"/>
      <c r="AE854" s="146"/>
      <c r="AF854" s="146"/>
      <c r="AG854" s="146"/>
    </row>
    <row r="855" spans="1:33" ht="12.75">
      <c r="A855" s="148"/>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c r="AA855" s="146"/>
      <c r="AB855" s="146"/>
      <c r="AC855" s="146"/>
      <c r="AD855" s="146"/>
      <c r="AE855" s="146"/>
      <c r="AF855" s="146"/>
      <c r="AG855" s="146"/>
    </row>
    <row r="856" spans="1:33" ht="12.75">
      <c r="A856" s="148"/>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c r="AA856" s="146"/>
      <c r="AB856" s="146"/>
      <c r="AC856" s="146"/>
      <c r="AD856" s="146"/>
      <c r="AE856" s="146"/>
      <c r="AF856" s="146"/>
      <c r="AG856" s="146"/>
    </row>
    <row r="857" spans="1:33" ht="12.75">
      <c r="A857" s="148"/>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c r="AA857" s="146"/>
      <c r="AB857" s="146"/>
      <c r="AC857" s="146"/>
      <c r="AD857" s="146"/>
      <c r="AE857" s="146"/>
      <c r="AF857" s="146"/>
      <c r="AG857" s="146"/>
    </row>
    <row r="858" spans="1:33" ht="12.75">
      <c r="A858" s="148"/>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c r="AA858" s="146"/>
      <c r="AB858" s="146"/>
      <c r="AC858" s="146"/>
      <c r="AD858" s="146"/>
      <c r="AE858" s="146"/>
      <c r="AF858" s="146"/>
      <c r="AG858" s="146"/>
    </row>
    <row r="859" spans="1:33" ht="12.75">
      <c r="A859" s="148"/>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c r="AA859" s="146"/>
      <c r="AB859" s="146"/>
      <c r="AC859" s="146"/>
      <c r="AD859" s="146"/>
      <c r="AE859" s="146"/>
      <c r="AF859" s="146"/>
      <c r="AG859" s="146"/>
    </row>
    <row r="860" spans="1:33" ht="12.75">
      <c r="A860" s="148"/>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c r="AB860" s="146"/>
      <c r="AC860" s="146"/>
      <c r="AD860" s="146"/>
      <c r="AE860" s="146"/>
      <c r="AF860" s="146"/>
      <c r="AG860" s="146"/>
    </row>
    <row r="861" spans="1:33" ht="12.75">
      <c r="A861" s="148"/>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c r="AB861" s="146"/>
      <c r="AC861" s="146"/>
      <c r="AD861" s="146"/>
      <c r="AE861" s="146"/>
      <c r="AF861" s="146"/>
      <c r="AG861" s="146"/>
    </row>
    <row r="862" spans="1:33" ht="12.75">
      <c r="A862" s="148"/>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c r="AA862" s="146"/>
      <c r="AB862" s="146"/>
      <c r="AC862" s="146"/>
      <c r="AD862" s="146"/>
      <c r="AE862" s="146"/>
      <c r="AF862" s="146"/>
      <c r="AG862" s="146"/>
    </row>
    <row r="863" spans="1:33" ht="12.75">
      <c r="A863" s="148"/>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c r="AA863" s="146"/>
      <c r="AB863" s="146"/>
      <c r="AC863" s="146"/>
      <c r="AD863" s="146"/>
      <c r="AE863" s="146"/>
      <c r="AF863" s="146"/>
      <c r="AG863" s="146"/>
    </row>
    <row r="864" spans="1:33" ht="12.75">
      <c r="A864" s="148"/>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c r="AA864" s="146"/>
      <c r="AB864" s="146"/>
      <c r="AC864" s="146"/>
      <c r="AD864" s="146"/>
      <c r="AE864" s="146"/>
      <c r="AF864" s="146"/>
      <c r="AG864" s="146"/>
    </row>
    <row r="865" spans="1:33" ht="12.75">
      <c r="A865" s="148"/>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c r="AA865" s="146"/>
      <c r="AB865" s="146"/>
      <c r="AC865" s="146"/>
      <c r="AD865" s="146"/>
      <c r="AE865" s="146"/>
      <c r="AF865" s="146"/>
      <c r="AG865" s="146"/>
    </row>
    <row r="866" spans="1:33" ht="12.75">
      <c r="A866" s="148"/>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c r="AA866" s="146"/>
      <c r="AB866" s="146"/>
      <c r="AC866" s="146"/>
      <c r="AD866" s="146"/>
      <c r="AE866" s="146"/>
      <c r="AF866" s="146"/>
      <c r="AG866" s="146"/>
    </row>
    <row r="867" spans="1:33" ht="12.75">
      <c r="A867" s="148"/>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c r="AA867" s="146"/>
      <c r="AB867" s="146"/>
      <c r="AC867" s="146"/>
      <c r="AD867" s="146"/>
      <c r="AE867" s="146"/>
      <c r="AF867" s="146"/>
      <c r="AG867" s="146"/>
    </row>
    <row r="868" spans="1:33" ht="12.75">
      <c r="A868" s="148"/>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c r="AA868" s="146"/>
      <c r="AB868" s="146"/>
      <c r="AC868" s="146"/>
      <c r="AD868" s="146"/>
      <c r="AE868" s="146"/>
      <c r="AF868" s="146"/>
      <c r="AG868" s="146"/>
    </row>
    <row r="869" spans="1:33" ht="12.75">
      <c r="A869" s="148"/>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c r="AA869" s="146"/>
      <c r="AB869" s="146"/>
      <c r="AC869" s="146"/>
      <c r="AD869" s="146"/>
      <c r="AE869" s="146"/>
      <c r="AF869" s="146"/>
      <c r="AG869" s="146"/>
    </row>
    <row r="870" spans="1:33" ht="12.75">
      <c r="A870" s="148"/>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c r="AA870" s="146"/>
      <c r="AB870" s="146"/>
      <c r="AC870" s="146"/>
      <c r="AD870" s="146"/>
      <c r="AE870" s="146"/>
      <c r="AF870" s="146"/>
      <c r="AG870" s="146"/>
    </row>
    <row r="871" spans="1:33" ht="12.75">
      <c r="A871" s="148"/>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c r="AA871" s="146"/>
      <c r="AB871" s="146"/>
      <c r="AC871" s="146"/>
      <c r="AD871" s="146"/>
      <c r="AE871" s="146"/>
      <c r="AF871" s="146"/>
      <c r="AG871" s="146"/>
    </row>
    <row r="872" spans="1:33" ht="12.75">
      <c r="A872" s="148"/>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c r="AA872" s="146"/>
      <c r="AB872" s="146"/>
      <c r="AC872" s="146"/>
      <c r="AD872" s="146"/>
      <c r="AE872" s="146"/>
      <c r="AF872" s="146"/>
      <c r="AG872" s="146"/>
    </row>
    <row r="873" spans="1:33" ht="12.75">
      <c r="A873" s="148"/>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c r="AA873" s="146"/>
      <c r="AB873" s="146"/>
      <c r="AC873" s="146"/>
      <c r="AD873" s="146"/>
      <c r="AE873" s="146"/>
      <c r="AF873" s="146"/>
      <c r="AG873" s="146"/>
    </row>
    <row r="874" spans="1:33" ht="12.75">
      <c r="A874" s="148"/>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c r="AA874" s="146"/>
      <c r="AB874" s="146"/>
      <c r="AC874" s="146"/>
      <c r="AD874" s="146"/>
      <c r="AE874" s="146"/>
      <c r="AF874" s="146"/>
      <c r="AG874" s="146"/>
    </row>
    <row r="875" spans="1:33" ht="12.75">
      <c r="A875" s="148"/>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c r="AB875" s="146"/>
      <c r="AC875" s="146"/>
      <c r="AD875" s="146"/>
      <c r="AE875" s="146"/>
      <c r="AF875" s="146"/>
      <c r="AG875" s="146"/>
    </row>
    <row r="876" spans="1:33" ht="12.75">
      <c r="A876" s="148"/>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c r="AB876" s="146"/>
      <c r="AC876" s="146"/>
      <c r="AD876" s="146"/>
      <c r="AE876" s="146"/>
      <c r="AF876" s="146"/>
      <c r="AG876" s="146"/>
    </row>
    <row r="877" spans="1:33" ht="12.75">
      <c r="A877" s="148"/>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c r="AB877" s="146"/>
      <c r="AC877" s="146"/>
      <c r="AD877" s="146"/>
      <c r="AE877" s="146"/>
      <c r="AF877" s="146"/>
      <c r="AG877" s="146"/>
    </row>
    <row r="878" spans="1:33" ht="12.75">
      <c r="A878" s="148"/>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c r="AA878" s="146"/>
      <c r="AB878" s="146"/>
      <c r="AC878" s="146"/>
      <c r="AD878" s="146"/>
      <c r="AE878" s="146"/>
      <c r="AF878" s="146"/>
      <c r="AG878" s="146"/>
    </row>
    <row r="879" spans="1:33" ht="12.75">
      <c r="A879" s="148"/>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c r="AA879" s="146"/>
      <c r="AB879" s="146"/>
      <c r="AC879" s="146"/>
      <c r="AD879" s="146"/>
      <c r="AE879" s="146"/>
      <c r="AF879" s="146"/>
      <c r="AG879" s="146"/>
    </row>
    <row r="880" spans="1:33" ht="12.75">
      <c r="A880" s="148"/>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c r="AA880" s="146"/>
      <c r="AB880" s="146"/>
      <c r="AC880" s="146"/>
      <c r="AD880" s="146"/>
      <c r="AE880" s="146"/>
      <c r="AF880" s="146"/>
      <c r="AG880" s="146"/>
    </row>
    <row r="881" spans="1:33" ht="12.75">
      <c r="A881" s="148"/>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c r="AA881" s="146"/>
      <c r="AB881" s="146"/>
      <c r="AC881" s="146"/>
      <c r="AD881" s="146"/>
      <c r="AE881" s="146"/>
      <c r="AF881" s="146"/>
      <c r="AG881" s="146"/>
    </row>
    <row r="882" spans="1:33" ht="12.75">
      <c r="A882" s="148"/>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c r="AA882" s="146"/>
      <c r="AB882" s="146"/>
      <c r="AC882" s="146"/>
      <c r="AD882" s="146"/>
      <c r="AE882" s="146"/>
      <c r="AF882" s="146"/>
      <c r="AG882" s="146"/>
    </row>
    <row r="883" spans="1:33" ht="12.75">
      <c r="A883" s="148"/>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c r="AA883" s="146"/>
      <c r="AB883" s="146"/>
      <c r="AC883" s="146"/>
      <c r="AD883" s="146"/>
      <c r="AE883" s="146"/>
      <c r="AF883" s="146"/>
      <c r="AG883" s="146"/>
    </row>
    <row r="884" spans="1:33" ht="12.75">
      <c r="A884" s="148"/>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c r="AA884" s="146"/>
      <c r="AB884" s="146"/>
      <c r="AC884" s="146"/>
      <c r="AD884" s="146"/>
      <c r="AE884" s="146"/>
      <c r="AF884" s="146"/>
      <c r="AG884" s="146"/>
    </row>
    <row r="885" spans="1:33" ht="12.75">
      <c r="A885" s="148"/>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c r="AA885" s="146"/>
      <c r="AB885" s="146"/>
      <c r="AC885" s="146"/>
      <c r="AD885" s="146"/>
      <c r="AE885" s="146"/>
      <c r="AF885" s="146"/>
      <c r="AG885" s="146"/>
    </row>
    <row r="886" spans="1:33" ht="12.75">
      <c r="A886" s="148"/>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c r="AA886" s="146"/>
      <c r="AB886" s="146"/>
      <c r="AC886" s="146"/>
      <c r="AD886" s="146"/>
      <c r="AE886" s="146"/>
      <c r="AF886" s="146"/>
      <c r="AG886" s="146"/>
    </row>
    <row r="887" spans="1:33" ht="12.75">
      <c r="A887" s="148"/>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c r="AA887" s="146"/>
      <c r="AB887" s="146"/>
      <c r="AC887" s="146"/>
      <c r="AD887" s="146"/>
      <c r="AE887" s="146"/>
      <c r="AF887" s="146"/>
      <c r="AG887" s="146"/>
    </row>
    <row r="888" spans="1:33" ht="12.75">
      <c r="A888" s="148"/>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c r="AA888" s="146"/>
      <c r="AB888" s="146"/>
      <c r="AC888" s="146"/>
      <c r="AD888" s="146"/>
      <c r="AE888" s="146"/>
      <c r="AF888" s="146"/>
      <c r="AG888" s="146"/>
    </row>
    <row r="889" spans="1:33" ht="12.75">
      <c r="A889" s="148"/>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c r="AA889" s="146"/>
      <c r="AB889" s="146"/>
      <c r="AC889" s="146"/>
      <c r="AD889" s="146"/>
      <c r="AE889" s="146"/>
      <c r="AF889" s="146"/>
      <c r="AG889" s="146"/>
    </row>
    <row r="890" spans="1:33" ht="12.75">
      <c r="A890" s="148"/>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c r="AA890" s="146"/>
      <c r="AB890" s="146"/>
      <c r="AC890" s="146"/>
      <c r="AD890" s="146"/>
      <c r="AE890" s="146"/>
      <c r="AF890" s="146"/>
      <c r="AG890" s="146"/>
    </row>
    <row r="891" spans="1:33" ht="12.75">
      <c r="A891" s="148"/>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c r="AA891" s="146"/>
      <c r="AB891" s="146"/>
      <c r="AC891" s="146"/>
      <c r="AD891" s="146"/>
      <c r="AE891" s="146"/>
      <c r="AF891" s="146"/>
      <c r="AG891" s="146"/>
    </row>
    <row r="892" spans="1:33" ht="12.75">
      <c r="A892" s="148"/>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c r="AA892" s="146"/>
      <c r="AB892" s="146"/>
      <c r="AC892" s="146"/>
      <c r="AD892" s="146"/>
      <c r="AE892" s="146"/>
      <c r="AF892" s="146"/>
      <c r="AG892" s="146"/>
    </row>
    <row r="893" spans="1:33" ht="12.75">
      <c r="A893" s="148"/>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c r="AA893" s="146"/>
      <c r="AB893" s="146"/>
      <c r="AC893" s="146"/>
      <c r="AD893" s="146"/>
      <c r="AE893" s="146"/>
      <c r="AF893" s="146"/>
      <c r="AG893" s="146"/>
    </row>
    <row r="894" spans="1:33" ht="12.75">
      <c r="A894" s="148"/>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c r="AA894" s="146"/>
      <c r="AB894" s="146"/>
      <c r="AC894" s="146"/>
      <c r="AD894" s="146"/>
      <c r="AE894" s="146"/>
      <c r="AF894" s="146"/>
      <c r="AG894" s="146"/>
    </row>
    <row r="895" spans="1:33" ht="12.75">
      <c r="A895" s="148"/>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c r="AA895" s="146"/>
      <c r="AB895" s="146"/>
      <c r="AC895" s="146"/>
      <c r="AD895" s="146"/>
      <c r="AE895" s="146"/>
      <c r="AF895" s="146"/>
      <c r="AG895" s="146"/>
    </row>
    <row r="896" spans="1:33" ht="12.75">
      <c r="A896" s="148"/>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c r="AA896" s="146"/>
      <c r="AB896" s="146"/>
      <c r="AC896" s="146"/>
      <c r="AD896" s="146"/>
      <c r="AE896" s="146"/>
      <c r="AF896" s="146"/>
      <c r="AG896" s="146"/>
    </row>
    <row r="897" spans="1:33" ht="12.75">
      <c r="A897" s="148"/>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c r="AA897" s="146"/>
      <c r="AB897" s="146"/>
      <c r="AC897" s="146"/>
      <c r="AD897" s="146"/>
      <c r="AE897" s="146"/>
      <c r="AF897" s="146"/>
      <c r="AG897" s="146"/>
    </row>
    <row r="898" spans="1:33" ht="12.75">
      <c r="A898" s="148"/>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c r="AA898" s="146"/>
      <c r="AB898" s="146"/>
      <c r="AC898" s="146"/>
      <c r="AD898" s="146"/>
      <c r="AE898" s="146"/>
      <c r="AF898" s="146"/>
      <c r="AG898" s="146"/>
    </row>
    <row r="899" spans="1:33" ht="12.75">
      <c r="A899" s="148"/>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c r="AA899" s="146"/>
      <c r="AB899" s="146"/>
      <c r="AC899" s="146"/>
      <c r="AD899" s="146"/>
      <c r="AE899" s="146"/>
      <c r="AF899" s="146"/>
      <c r="AG899" s="146"/>
    </row>
    <row r="900" spans="1:33" ht="12.75">
      <c r="A900" s="148"/>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c r="AA900" s="146"/>
      <c r="AB900" s="146"/>
      <c r="AC900" s="146"/>
      <c r="AD900" s="146"/>
      <c r="AE900" s="146"/>
      <c r="AF900" s="146"/>
      <c r="AG900" s="146"/>
    </row>
    <row r="901" spans="1:33" ht="12.75">
      <c r="A901" s="148"/>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c r="AA901" s="146"/>
      <c r="AB901" s="146"/>
      <c r="AC901" s="146"/>
      <c r="AD901" s="146"/>
      <c r="AE901" s="146"/>
      <c r="AF901" s="146"/>
      <c r="AG901" s="146"/>
    </row>
    <row r="902" spans="1:33" ht="12.75">
      <c r="A902" s="148"/>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c r="AA902" s="146"/>
      <c r="AB902" s="146"/>
      <c r="AC902" s="146"/>
      <c r="AD902" s="146"/>
      <c r="AE902" s="146"/>
      <c r="AF902" s="146"/>
      <c r="AG902" s="146"/>
    </row>
    <row r="903" spans="1:33" ht="12.75">
      <c r="A903" s="148"/>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c r="AA903" s="146"/>
      <c r="AB903" s="146"/>
      <c r="AC903" s="146"/>
      <c r="AD903" s="146"/>
      <c r="AE903" s="146"/>
      <c r="AF903" s="146"/>
      <c r="AG903" s="146"/>
    </row>
    <row r="904" spans="1:33" ht="12.75">
      <c r="A904" s="148"/>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c r="AA904" s="146"/>
      <c r="AB904" s="146"/>
      <c r="AC904" s="146"/>
      <c r="AD904" s="146"/>
      <c r="AE904" s="146"/>
      <c r="AF904" s="146"/>
      <c r="AG904" s="146"/>
    </row>
    <row r="905" spans="1:33" ht="12.75">
      <c r="A905" s="148"/>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c r="AA905" s="146"/>
      <c r="AB905" s="146"/>
      <c r="AC905" s="146"/>
      <c r="AD905" s="146"/>
      <c r="AE905" s="146"/>
      <c r="AF905" s="146"/>
      <c r="AG905" s="146"/>
    </row>
    <row r="906" spans="1:33" ht="12.75">
      <c r="A906" s="148"/>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c r="AB906" s="146"/>
      <c r="AC906" s="146"/>
      <c r="AD906" s="146"/>
      <c r="AE906" s="146"/>
      <c r="AF906" s="146"/>
      <c r="AG906" s="146"/>
    </row>
    <row r="907" spans="1:33" ht="12.75">
      <c r="A907" s="148"/>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c r="AB907" s="146"/>
      <c r="AC907" s="146"/>
      <c r="AD907" s="146"/>
      <c r="AE907" s="146"/>
      <c r="AF907" s="146"/>
      <c r="AG907" s="146"/>
    </row>
    <row r="908" spans="1:33" ht="12.75">
      <c r="A908" s="148"/>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c r="AA908" s="146"/>
      <c r="AB908" s="146"/>
      <c r="AC908" s="146"/>
      <c r="AD908" s="146"/>
      <c r="AE908" s="146"/>
      <c r="AF908" s="146"/>
      <c r="AG908" s="146"/>
    </row>
    <row r="909" spans="1:33" ht="12.75">
      <c r="A909" s="148"/>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c r="AA909" s="146"/>
      <c r="AB909" s="146"/>
      <c r="AC909" s="146"/>
      <c r="AD909" s="146"/>
      <c r="AE909" s="146"/>
      <c r="AF909" s="146"/>
      <c r="AG909" s="146"/>
    </row>
    <row r="910" spans="1:33" ht="12.75">
      <c r="A910" s="148"/>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c r="AA910" s="146"/>
      <c r="AB910" s="146"/>
      <c r="AC910" s="146"/>
      <c r="AD910" s="146"/>
      <c r="AE910" s="146"/>
      <c r="AF910" s="146"/>
      <c r="AG910" s="146"/>
    </row>
    <row r="911" spans="1:33" ht="12.75">
      <c r="A911" s="148"/>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c r="AA911" s="146"/>
      <c r="AB911" s="146"/>
      <c r="AC911" s="146"/>
      <c r="AD911" s="146"/>
      <c r="AE911" s="146"/>
      <c r="AF911" s="146"/>
      <c r="AG911" s="146"/>
    </row>
    <row r="912" spans="1:33" ht="12.75">
      <c r="A912" s="148"/>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c r="AA912" s="146"/>
      <c r="AB912" s="146"/>
      <c r="AC912" s="146"/>
      <c r="AD912" s="146"/>
      <c r="AE912" s="146"/>
      <c r="AF912" s="146"/>
      <c r="AG912" s="146"/>
    </row>
    <row r="913" spans="1:33" ht="12.75">
      <c r="A913" s="148"/>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c r="AA913" s="146"/>
      <c r="AB913" s="146"/>
      <c r="AC913" s="146"/>
      <c r="AD913" s="146"/>
      <c r="AE913" s="146"/>
      <c r="AF913" s="146"/>
      <c r="AG913" s="146"/>
    </row>
    <row r="914" spans="1:33" ht="12.75">
      <c r="A914" s="148"/>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c r="AA914" s="146"/>
      <c r="AB914" s="146"/>
      <c r="AC914" s="146"/>
      <c r="AD914" s="146"/>
      <c r="AE914" s="146"/>
      <c r="AF914" s="146"/>
      <c r="AG914" s="146"/>
    </row>
    <row r="915" spans="1:33" ht="12.75">
      <c r="A915" s="148"/>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c r="AA915" s="146"/>
      <c r="AB915" s="146"/>
      <c r="AC915" s="146"/>
      <c r="AD915" s="146"/>
      <c r="AE915" s="146"/>
      <c r="AF915" s="146"/>
      <c r="AG915" s="146"/>
    </row>
    <row r="916" spans="1:33" ht="12.75">
      <c r="A916" s="148"/>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c r="AA916" s="146"/>
      <c r="AB916" s="146"/>
      <c r="AC916" s="146"/>
      <c r="AD916" s="146"/>
      <c r="AE916" s="146"/>
      <c r="AF916" s="146"/>
      <c r="AG916" s="146"/>
    </row>
    <row r="917" spans="1:33" ht="12.75">
      <c r="A917" s="148"/>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c r="AA917" s="146"/>
      <c r="AB917" s="146"/>
      <c r="AC917" s="146"/>
      <c r="AD917" s="146"/>
      <c r="AE917" s="146"/>
      <c r="AF917" s="146"/>
      <c r="AG917" s="146"/>
    </row>
    <row r="918" spans="1:33" ht="12.75">
      <c r="A918" s="148"/>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c r="AA918" s="146"/>
      <c r="AB918" s="146"/>
      <c r="AC918" s="146"/>
      <c r="AD918" s="146"/>
      <c r="AE918" s="146"/>
      <c r="AF918" s="146"/>
      <c r="AG918" s="146"/>
    </row>
    <row r="919" spans="1:33" ht="12.75">
      <c r="A919" s="148"/>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c r="AA919" s="146"/>
      <c r="AB919" s="146"/>
      <c r="AC919" s="146"/>
      <c r="AD919" s="146"/>
      <c r="AE919" s="146"/>
      <c r="AF919" s="146"/>
      <c r="AG919" s="146"/>
    </row>
    <row r="920" spans="1:33" ht="12.75">
      <c r="A920" s="148"/>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c r="AA920" s="146"/>
      <c r="AB920" s="146"/>
      <c r="AC920" s="146"/>
      <c r="AD920" s="146"/>
      <c r="AE920" s="146"/>
      <c r="AF920" s="146"/>
      <c r="AG920" s="146"/>
    </row>
    <row r="921" spans="1:33" ht="12.75">
      <c r="A921" s="148"/>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c r="AA921" s="146"/>
      <c r="AB921" s="146"/>
      <c r="AC921" s="146"/>
      <c r="AD921" s="146"/>
      <c r="AE921" s="146"/>
      <c r="AF921" s="146"/>
      <c r="AG921" s="146"/>
    </row>
    <row r="922" spans="1:33" ht="12.75">
      <c r="A922" s="148"/>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c r="AB922" s="146"/>
      <c r="AC922" s="146"/>
      <c r="AD922" s="146"/>
      <c r="AE922" s="146"/>
      <c r="AF922" s="146"/>
      <c r="AG922" s="146"/>
    </row>
    <row r="923" spans="1:33" ht="12.75">
      <c r="A923" s="148"/>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c r="AB923" s="146"/>
      <c r="AC923" s="146"/>
      <c r="AD923" s="146"/>
      <c r="AE923" s="146"/>
      <c r="AF923" s="146"/>
      <c r="AG923" s="146"/>
    </row>
    <row r="924" spans="1:33" ht="12.75">
      <c r="A924" s="148"/>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c r="AA924" s="146"/>
      <c r="AB924" s="146"/>
      <c r="AC924" s="146"/>
      <c r="AD924" s="146"/>
      <c r="AE924" s="146"/>
      <c r="AF924" s="146"/>
      <c r="AG924" s="146"/>
    </row>
    <row r="925" spans="1:33" ht="12.75">
      <c r="A925" s="148"/>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c r="AA925" s="146"/>
      <c r="AB925" s="146"/>
      <c r="AC925" s="146"/>
      <c r="AD925" s="146"/>
      <c r="AE925" s="146"/>
      <c r="AF925" s="146"/>
      <c r="AG925" s="146"/>
    </row>
    <row r="926" spans="1:33" ht="12.75">
      <c r="A926" s="148"/>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c r="AA926" s="146"/>
      <c r="AB926" s="146"/>
      <c r="AC926" s="146"/>
      <c r="AD926" s="146"/>
      <c r="AE926" s="146"/>
      <c r="AF926" s="146"/>
      <c r="AG926" s="146"/>
    </row>
    <row r="927" spans="1:33" ht="12.75">
      <c r="A927" s="148"/>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c r="AA927" s="146"/>
      <c r="AB927" s="146"/>
      <c r="AC927" s="146"/>
      <c r="AD927" s="146"/>
      <c r="AE927" s="146"/>
      <c r="AF927" s="146"/>
      <c r="AG927" s="146"/>
    </row>
    <row r="928" spans="1:33" ht="12.75">
      <c r="A928" s="148"/>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c r="AA928" s="146"/>
      <c r="AB928" s="146"/>
      <c r="AC928" s="146"/>
      <c r="AD928" s="146"/>
      <c r="AE928" s="146"/>
      <c r="AF928" s="146"/>
      <c r="AG928" s="146"/>
    </row>
    <row r="929" spans="1:33" ht="12.75">
      <c r="A929" s="148"/>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c r="AA929" s="146"/>
      <c r="AB929" s="146"/>
      <c r="AC929" s="146"/>
      <c r="AD929" s="146"/>
      <c r="AE929" s="146"/>
      <c r="AF929" s="146"/>
      <c r="AG929" s="146"/>
    </row>
    <row r="930" spans="1:33" ht="12.75">
      <c r="A930" s="148"/>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c r="AA930" s="146"/>
      <c r="AB930" s="146"/>
      <c r="AC930" s="146"/>
      <c r="AD930" s="146"/>
      <c r="AE930" s="146"/>
      <c r="AF930" s="146"/>
      <c r="AG930" s="146"/>
    </row>
    <row r="931" spans="1:33" ht="12.75">
      <c r="A931" s="148"/>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c r="AA931" s="146"/>
      <c r="AB931" s="146"/>
      <c r="AC931" s="146"/>
      <c r="AD931" s="146"/>
      <c r="AE931" s="146"/>
      <c r="AF931" s="146"/>
      <c r="AG931" s="146"/>
    </row>
    <row r="932" spans="1:33" ht="12.75">
      <c r="A932" s="148"/>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c r="AA932" s="146"/>
      <c r="AB932" s="146"/>
      <c r="AC932" s="146"/>
      <c r="AD932" s="146"/>
      <c r="AE932" s="146"/>
      <c r="AF932" s="146"/>
      <c r="AG932" s="146"/>
    </row>
    <row r="933" spans="1:33" ht="12.75">
      <c r="A933" s="148"/>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c r="AA933" s="146"/>
      <c r="AB933" s="146"/>
      <c r="AC933" s="146"/>
      <c r="AD933" s="146"/>
      <c r="AE933" s="146"/>
      <c r="AF933" s="146"/>
      <c r="AG933" s="146"/>
    </row>
    <row r="934" spans="1:33" ht="12.75">
      <c r="A934" s="148"/>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c r="AA934" s="146"/>
      <c r="AB934" s="146"/>
      <c r="AC934" s="146"/>
      <c r="AD934" s="146"/>
      <c r="AE934" s="146"/>
      <c r="AF934" s="146"/>
      <c r="AG934" s="146"/>
    </row>
    <row r="935" spans="1:33" ht="12.75">
      <c r="A935" s="148"/>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c r="AA935" s="146"/>
      <c r="AB935" s="146"/>
      <c r="AC935" s="146"/>
      <c r="AD935" s="146"/>
      <c r="AE935" s="146"/>
      <c r="AF935" s="146"/>
      <c r="AG935" s="146"/>
    </row>
    <row r="936" spans="1:33" ht="12.75">
      <c r="A936" s="148"/>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c r="AA936" s="146"/>
      <c r="AB936" s="146"/>
      <c r="AC936" s="146"/>
      <c r="AD936" s="146"/>
      <c r="AE936" s="146"/>
      <c r="AF936" s="146"/>
      <c r="AG936" s="146"/>
    </row>
    <row r="937" spans="1:33" ht="12.75">
      <c r="A937" s="148"/>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c r="AB937" s="146"/>
      <c r="AC937" s="146"/>
      <c r="AD937" s="146"/>
      <c r="AE937" s="146"/>
      <c r="AF937" s="146"/>
      <c r="AG937" s="146"/>
    </row>
    <row r="938" spans="1:33" ht="12.75">
      <c r="A938" s="148"/>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c r="AB938" s="146"/>
      <c r="AC938" s="146"/>
      <c r="AD938" s="146"/>
      <c r="AE938" s="146"/>
      <c r="AF938" s="146"/>
      <c r="AG938" s="146"/>
    </row>
    <row r="939" spans="1:33" ht="12.75">
      <c r="A939" s="148"/>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c r="AA939" s="146"/>
      <c r="AB939" s="146"/>
      <c r="AC939" s="146"/>
      <c r="AD939" s="146"/>
      <c r="AE939" s="146"/>
      <c r="AF939" s="146"/>
      <c r="AG939" s="146"/>
    </row>
    <row r="940" spans="1:33" ht="12.75">
      <c r="A940" s="148"/>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c r="AA940" s="146"/>
      <c r="AB940" s="146"/>
      <c r="AC940" s="146"/>
      <c r="AD940" s="146"/>
      <c r="AE940" s="146"/>
      <c r="AF940" s="146"/>
      <c r="AG940" s="146"/>
    </row>
    <row r="941" spans="1:33" ht="12.75">
      <c r="A941" s="148"/>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c r="AB941" s="146"/>
      <c r="AC941" s="146"/>
      <c r="AD941" s="146"/>
      <c r="AE941" s="146"/>
      <c r="AF941" s="146"/>
      <c r="AG941" s="146"/>
    </row>
    <row r="942" spans="1:33" ht="12.75">
      <c r="A942" s="148"/>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c r="AB942" s="146"/>
      <c r="AC942" s="146"/>
      <c r="AD942" s="146"/>
      <c r="AE942" s="146"/>
      <c r="AF942" s="146"/>
      <c r="AG942" s="146"/>
    </row>
    <row r="943" spans="1:33" ht="12.75">
      <c r="A943" s="148"/>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c r="AA943" s="146"/>
      <c r="AB943" s="146"/>
      <c r="AC943" s="146"/>
      <c r="AD943" s="146"/>
      <c r="AE943" s="146"/>
      <c r="AF943" s="146"/>
      <c r="AG943" s="146"/>
    </row>
    <row r="944" spans="1:33" ht="12.75">
      <c r="A944" s="148"/>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c r="AA944" s="146"/>
      <c r="AB944" s="146"/>
      <c r="AC944" s="146"/>
      <c r="AD944" s="146"/>
      <c r="AE944" s="146"/>
      <c r="AF944" s="146"/>
      <c r="AG944" s="146"/>
    </row>
    <row r="945" spans="1:33" ht="12.75">
      <c r="A945" s="148"/>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c r="AA945" s="146"/>
      <c r="AB945" s="146"/>
      <c r="AC945" s="146"/>
      <c r="AD945" s="146"/>
      <c r="AE945" s="146"/>
      <c r="AF945" s="146"/>
      <c r="AG945" s="146"/>
    </row>
    <row r="946" spans="1:33" ht="12.75">
      <c r="A946" s="148"/>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c r="AA946" s="146"/>
      <c r="AB946" s="146"/>
      <c r="AC946" s="146"/>
      <c r="AD946" s="146"/>
      <c r="AE946" s="146"/>
      <c r="AF946" s="146"/>
      <c r="AG946" s="146"/>
    </row>
    <row r="947" spans="1:33" ht="12.75">
      <c r="A947" s="148"/>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c r="AA947" s="146"/>
      <c r="AB947" s="146"/>
      <c r="AC947" s="146"/>
      <c r="AD947" s="146"/>
      <c r="AE947" s="146"/>
      <c r="AF947" s="146"/>
      <c r="AG947" s="146"/>
    </row>
    <row r="948" spans="1:33" ht="12.75">
      <c r="A948" s="148"/>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c r="AA948" s="146"/>
      <c r="AB948" s="146"/>
      <c r="AC948" s="146"/>
      <c r="AD948" s="146"/>
      <c r="AE948" s="146"/>
      <c r="AF948" s="146"/>
      <c r="AG948" s="146"/>
    </row>
    <row r="949" spans="1:33" ht="12.75">
      <c r="A949" s="148"/>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c r="AB949" s="146"/>
      <c r="AC949" s="146"/>
      <c r="AD949" s="146"/>
      <c r="AE949" s="146"/>
      <c r="AF949" s="146"/>
      <c r="AG949" s="146"/>
    </row>
    <row r="950" spans="1:33" ht="12.75">
      <c r="A950" s="148"/>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c r="AA950" s="146"/>
      <c r="AB950" s="146"/>
      <c r="AC950" s="146"/>
      <c r="AD950" s="146"/>
      <c r="AE950" s="146"/>
      <c r="AF950" s="146"/>
      <c r="AG950" s="146"/>
    </row>
    <row r="951" spans="1:33" ht="12.75">
      <c r="A951" s="148"/>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c r="AA951" s="146"/>
      <c r="AB951" s="146"/>
      <c r="AC951" s="146"/>
      <c r="AD951" s="146"/>
      <c r="AE951" s="146"/>
      <c r="AF951" s="146"/>
      <c r="AG951" s="146"/>
    </row>
    <row r="952" spans="1:33" ht="12.75">
      <c r="A952" s="148"/>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c r="AB952" s="146"/>
      <c r="AC952" s="146"/>
      <c r="AD952" s="146"/>
      <c r="AE952" s="146"/>
      <c r="AF952" s="146"/>
      <c r="AG952" s="146"/>
    </row>
    <row r="953" spans="1:33" ht="12.75">
      <c r="A953" s="148"/>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c r="AB953" s="146"/>
      <c r="AC953" s="146"/>
      <c r="AD953" s="146"/>
      <c r="AE953" s="146"/>
      <c r="AF953" s="146"/>
      <c r="AG953" s="146"/>
    </row>
    <row r="954" spans="1:33" ht="12.75">
      <c r="A954" s="148"/>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c r="AA954" s="146"/>
      <c r="AB954" s="146"/>
      <c r="AC954" s="146"/>
      <c r="AD954" s="146"/>
      <c r="AE954" s="146"/>
      <c r="AF954" s="146"/>
      <c r="AG954" s="146"/>
    </row>
    <row r="955" spans="1:33" ht="12.75">
      <c r="A955" s="148"/>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c r="AA955" s="146"/>
      <c r="AB955" s="146"/>
      <c r="AC955" s="146"/>
      <c r="AD955" s="146"/>
      <c r="AE955" s="146"/>
      <c r="AF955" s="146"/>
      <c r="AG955" s="146"/>
    </row>
    <row r="956" spans="1:33" ht="12.75">
      <c r="A956" s="148"/>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c r="AA956" s="146"/>
      <c r="AB956" s="146"/>
      <c r="AC956" s="146"/>
      <c r="AD956" s="146"/>
      <c r="AE956" s="146"/>
      <c r="AF956" s="146"/>
      <c r="AG956" s="146"/>
    </row>
    <row r="957" spans="1:33" ht="12.75">
      <c r="A957" s="148"/>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c r="AA957" s="146"/>
      <c r="AB957" s="146"/>
      <c r="AC957" s="146"/>
      <c r="AD957" s="146"/>
      <c r="AE957" s="146"/>
      <c r="AF957" s="146"/>
      <c r="AG957" s="146"/>
    </row>
    <row r="958" spans="1:33" ht="12.75">
      <c r="A958" s="148"/>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c r="AB958" s="146"/>
      <c r="AC958" s="146"/>
      <c r="AD958" s="146"/>
      <c r="AE958" s="146"/>
      <c r="AF958" s="146"/>
      <c r="AG958" s="146"/>
    </row>
    <row r="959" spans="1:33" ht="12.75">
      <c r="A959" s="148"/>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c r="AB959" s="146"/>
      <c r="AC959" s="146"/>
      <c r="AD959" s="146"/>
      <c r="AE959" s="146"/>
      <c r="AF959" s="146"/>
      <c r="AG959" s="146"/>
    </row>
    <row r="960" spans="1:33" ht="12.75">
      <c r="A960" s="148"/>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c r="AB960" s="146"/>
      <c r="AC960" s="146"/>
      <c r="AD960" s="146"/>
      <c r="AE960" s="146"/>
      <c r="AF960" s="146"/>
      <c r="AG960" s="146"/>
    </row>
    <row r="961" spans="1:33" ht="12.75">
      <c r="A961" s="148"/>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c r="AA961" s="146"/>
      <c r="AB961" s="146"/>
      <c r="AC961" s="146"/>
      <c r="AD961" s="146"/>
      <c r="AE961" s="146"/>
      <c r="AF961" s="146"/>
      <c r="AG961" s="146"/>
    </row>
    <row r="962" spans="1:33" ht="12.75">
      <c r="A962" s="148"/>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c r="AA962" s="146"/>
      <c r="AB962" s="146"/>
      <c r="AC962" s="146"/>
      <c r="AD962" s="146"/>
      <c r="AE962" s="146"/>
      <c r="AF962" s="146"/>
      <c r="AG962" s="146"/>
    </row>
    <row r="963" spans="1:33" ht="12.75">
      <c r="A963" s="148"/>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c r="AA963" s="146"/>
      <c r="AB963" s="146"/>
      <c r="AC963" s="146"/>
      <c r="AD963" s="146"/>
      <c r="AE963" s="146"/>
      <c r="AF963" s="146"/>
      <c r="AG963" s="146"/>
    </row>
    <row r="964" spans="1:33" ht="12.75">
      <c r="A964" s="148"/>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c r="AA964" s="146"/>
      <c r="AB964" s="146"/>
      <c r="AC964" s="146"/>
      <c r="AD964" s="146"/>
      <c r="AE964" s="146"/>
      <c r="AF964" s="146"/>
      <c r="AG964" s="146"/>
    </row>
    <row r="965" spans="1:33" ht="12.75">
      <c r="A965" s="148"/>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c r="AA965" s="146"/>
      <c r="AB965" s="146"/>
      <c r="AC965" s="146"/>
      <c r="AD965" s="146"/>
      <c r="AE965" s="146"/>
      <c r="AF965" s="146"/>
      <c r="AG965" s="146"/>
    </row>
    <row r="966" spans="1:33" ht="12.75">
      <c r="A966" s="148"/>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c r="AA966" s="146"/>
      <c r="AB966" s="146"/>
      <c r="AC966" s="146"/>
      <c r="AD966" s="146"/>
      <c r="AE966" s="146"/>
      <c r="AF966" s="146"/>
      <c r="AG966" s="146"/>
    </row>
    <row r="967" spans="1:33" ht="12.75">
      <c r="A967" s="148"/>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c r="AA967" s="146"/>
      <c r="AB967" s="146"/>
      <c r="AC967" s="146"/>
      <c r="AD967" s="146"/>
      <c r="AE967" s="146"/>
      <c r="AF967" s="146"/>
      <c r="AG967" s="146"/>
    </row>
    <row r="968" spans="1:33" ht="12.75">
      <c r="A968" s="148"/>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c r="AA968" s="146"/>
      <c r="AB968" s="146"/>
      <c r="AC968" s="146"/>
      <c r="AD968" s="146"/>
      <c r="AE968" s="146"/>
      <c r="AF968" s="146"/>
      <c r="AG968" s="146"/>
    </row>
    <row r="969" spans="1:33" ht="12.75">
      <c r="A969" s="148"/>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c r="AA969" s="146"/>
      <c r="AB969" s="146"/>
      <c r="AC969" s="146"/>
      <c r="AD969" s="146"/>
      <c r="AE969" s="146"/>
      <c r="AF969" s="146"/>
      <c r="AG969" s="146"/>
    </row>
    <row r="970" spans="1:33" ht="12.75">
      <c r="A970" s="148"/>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c r="AB970" s="146"/>
      <c r="AC970" s="146"/>
      <c r="AD970" s="146"/>
      <c r="AE970" s="146"/>
      <c r="AF970" s="146"/>
      <c r="AG970" s="146"/>
    </row>
    <row r="971" spans="1:33" ht="12.75">
      <c r="A971" s="148"/>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c r="AA971" s="146"/>
      <c r="AB971" s="146"/>
      <c r="AC971" s="146"/>
      <c r="AD971" s="146"/>
      <c r="AE971" s="146"/>
      <c r="AF971" s="146"/>
      <c r="AG971" s="146"/>
    </row>
    <row r="972" spans="1:33" ht="12.75">
      <c r="A972" s="148"/>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c r="AA972" s="146"/>
      <c r="AB972" s="146"/>
      <c r="AC972" s="146"/>
      <c r="AD972" s="146"/>
      <c r="AE972" s="146"/>
      <c r="AF972" s="146"/>
      <c r="AG972" s="146"/>
    </row>
    <row r="973" spans="1:33" ht="12.75">
      <c r="A973" s="148"/>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c r="AA973" s="146"/>
      <c r="AB973" s="146"/>
      <c r="AC973" s="146"/>
      <c r="AD973" s="146"/>
      <c r="AE973" s="146"/>
      <c r="AF973" s="146"/>
      <c r="AG973" s="146"/>
    </row>
    <row r="974" spans="1:33" ht="12.75">
      <c r="A974" s="148"/>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c r="AA974" s="146"/>
      <c r="AB974" s="146"/>
      <c r="AC974" s="146"/>
      <c r="AD974" s="146"/>
      <c r="AE974" s="146"/>
      <c r="AF974" s="146"/>
      <c r="AG974" s="146"/>
    </row>
    <row r="975" spans="1:33" ht="12.75">
      <c r="A975" s="148"/>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c r="AA975" s="146"/>
      <c r="AB975" s="146"/>
      <c r="AC975" s="146"/>
      <c r="AD975" s="146"/>
      <c r="AE975" s="146"/>
      <c r="AF975" s="146"/>
      <c r="AG975" s="146"/>
    </row>
    <row r="976" spans="1:33" ht="12.75">
      <c r="A976" s="148"/>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c r="AA976" s="146"/>
      <c r="AB976" s="146"/>
      <c r="AC976" s="146"/>
      <c r="AD976" s="146"/>
      <c r="AE976" s="146"/>
      <c r="AF976" s="146"/>
      <c r="AG976" s="146"/>
    </row>
    <row r="977" spans="1:33" ht="12.75">
      <c r="A977" s="148"/>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c r="AA977" s="146"/>
      <c r="AB977" s="146"/>
      <c r="AC977" s="146"/>
      <c r="AD977" s="146"/>
      <c r="AE977" s="146"/>
      <c r="AF977" s="146"/>
      <c r="AG977" s="146"/>
    </row>
    <row r="978" spans="1:33" ht="12.75">
      <c r="A978" s="148"/>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c r="AA978" s="146"/>
      <c r="AB978" s="146"/>
      <c r="AC978" s="146"/>
      <c r="AD978" s="146"/>
      <c r="AE978" s="146"/>
      <c r="AF978" s="146"/>
      <c r="AG978" s="146"/>
    </row>
    <row r="979" spans="1:33" ht="12.75">
      <c r="A979" s="148"/>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c r="AA979" s="146"/>
      <c r="AB979" s="146"/>
      <c r="AC979" s="146"/>
      <c r="AD979" s="146"/>
      <c r="AE979" s="146"/>
      <c r="AF979" s="146"/>
      <c r="AG979" s="146"/>
    </row>
    <row r="980" spans="1:33" ht="12.75">
      <c r="A980" s="148"/>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c r="AA980" s="146"/>
      <c r="AB980" s="146"/>
      <c r="AC980" s="146"/>
      <c r="AD980" s="146"/>
      <c r="AE980" s="146"/>
      <c r="AF980" s="146"/>
      <c r="AG980" s="146"/>
    </row>
    <row r="981" spans="1:33" ht="12.75">
      <c r="A981" s="148"/>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c r="AA981" s="146"/>
      <c r="AB981" s="146"/>
      <c r="AC981" s="146"/>
      <c r="AD981" s="146"/>
      <c r="AE981" s="146"/>
      <c r="AF981" s="146"/>
      <c r="AG981" s="146"/>
    </row>
    <row r="982" spans="1:33" ht="12.75">
      <c r="A982" s="148"/>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c r="AA982" s="146"/>
      <c r="AB982" s="146"/>
      <c r="AC982" s="146"/>
      <c r="AD982" s="146"/>
      <c r="AE982" s="146"/>
      <c r="AF982" s="146"/>
      <c r="AG982" s="146"/>
    </row>
    <row r="983" spans="1:33" ht="12.75">
      <c r="A983" s="148"/>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c r="AA983" s="146"/>
      <c r="AB983" s="146"/>
      <c r="AC983" s="146"/>
      <c r="AD983" s="146"/>
      <c r="AE983" s="146"/>
      <c r="AF983" s="146"/>
      <c r="AG983" s="146"/>
    </row>
    <row r="984" spans="1:33" ht="12.75">
      <c r="A984" s="148"/>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c r="AB984" s="146"/>
      <c r="AC984" s="146"/>
      <c r="AD984" s="146"/>
      <c r="AE984" s="146"/>
      <c r="AF984" s="146"/>
      <c r="AG984" s="146"/>
    </row>
    <row r="985" spans="1:33" ht="12.75">
      <c r="A985" s="148"/>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c r="AB985" s="146"/>
      <c r="AC985" s="146"/>
      <c r="AD985" s="146"/>
      <c r="AE985" s="146"/>
      <c r="AF985" s="146"/>
      <c r="AG985" s="146"/>
    </row>
    <row r="986" spans="1:33" ht="12.75">
      <c r="A986" s="148"/>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c r="AA986" s="146"/>
      <c r="AB986" s="146"/>
      <c r="AC986" s="146"/>
      <c r="AD986" s="146"/>
      <c r="AE986" s="146"/>
      <c r="AF986" s="146"/>
      <c r="AG986" s="146"/>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X991"/>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5.140625" customWidth="1"/>
    <col min="2" max="2" width="21.28515625" customWidth="1"/>
    <col min="3" max="3" width="32.85546875" customWidth="1"/>
    <col min="4" max="5" width="14.140625" customWidth="1"/>
    <col min="6" max="6" width="35.28515625" customWidth="1"/>
    <col min="7" max="24" width="14.140625" customWidth="1"/>
  </cols>
  <sheetData>
    <row r="1" spans="1:24" ht="57" customHeight="1">
      <c r="A1" s="129" t="s">
        <v>1877</v>
      </c>
      <c r="B1" s="129" t="s">
        <v>1878</v>
      </c>
      <c r="C1" s="129" t="s">
        <v>1879</v>
      </c>
      <c r="D1" s="128" t="s">
        <v>19</v>
      </c>
      <c r="E1" s="128" t="s">
        <v>20</v>
      </c>
      <c r="F1" s="129" t="s">
        <v>14</v>
      </c>
      <c r="G1" s="129" t="s">
        <v>15</v>
      </c>
      <c r="H1" s="129" t="s">
        <v>21</v>
      </c>
      <c r="I1" s="128" t="s">
        <v>22</v>
      </c>
      <c r="J1" s="128" t="s">
        <v>23</v>
      </c>
      <c r="K1" s="128" t="s">
        <v>24</v>
      </c>
      <c r="L1" s="141" t="s">
        <v>1880</v>
      </c>
      <c r="M1" s="141" t="s">
        <v>1881</v>
      </c>
      <c r="N1" s="141" t="s">
        <v>1882</v>
      </c>
      <c r="O1" s="141" t="s">
        <v>28</v>
      </c>
      <c r="P1" s="141" t="s">
        <v>29</v>
      </c>
      <c r="Q1" s="141" t="s">
        <v>30</v>
      </c>
      <c r="R1" s="141" t="s">
        <v>31</v>
      </c>
      <c r="S1" s="141" t="s">
        <v>32</v>
      </c>
      <c r="T1" s="141" t="s">
        <v>33</v>
      </c>
      <c r="U1" s="141" t="s">
        <v>34</v>
      </c>
      <c r="V1" s="141" t="s">
        <v>35</v>
      </c>
      <c r="W1" s="141" t="s">
        <v>36</v>
      </c>
      <c r="X1" s="142" t="s">
        <v>1883</v>
      </c>
    </row>
    <row r="2" spans="1:24" ht="12.75">
      <c r="A2" s="76">
        <v>2016</v>
      </c>
      <c r="B2" s="76" t="s">
        <v>1914</v>
      </c>
      <c r="C2" s="76" t="s">
        <v>497</v>
      </c>
      <c r="D2" s="77">
        <v>42567</v>
      </c>
      <c r="E2" s="77">
        <v>42581</v>
      </c>
      <c r="F2" s="76" t="s">
        <v>984</v>
      </c>
      <c r="G2" s="76" t="s">
        <v>199</v>
      </c>
      <c r="H2" s="76" t="s">
        <v>2012</v>
      </c>
      <c r="I2" s="76" t="s">
        <v>1729</v>
      </c>
      <c r="J2" s="87"/>
      <c r="K2" s="87"/>
      <c r="L2" s="76" t="s">
        <v>1730</v>
      </c>
      <c r="M2" s="76">
        <v>687733692</v>
      </c>
      <c r="N2" s="76" t="s">
        <v>1731</v>
      </c>
      <c r="O2" s="87"/>
      <c r="P2" s="87"/>
      <c r="Q2" s="76" t="s">
        <v>54</v>
      </c>
      <c r="R2" s="76" t="s">
        <v>55</v>
      </c>
      <c r="S2" s="76" t="s">
        <v>101</v>
      </c>
      <c r="T2" s="76" t="s">
        <v>1732</v>
      </c>
      <c r="U2" s="76" t="s">
        <v>1733</v>
      </c>
      <c r="V2" s="87"/>
      <c r="W2" s="76" t="s">
        <v>1734</v>
      </c>
      <c r="X2" s="76"/>
    </row>
    <row r="3" spans="1:24" ht="35.25" customHeight="1">
      <c r="A3" s="144">
        <v>2015</v>
      </c>
      <c r="B3" s="83" t="s">
        <v>1153</v>
      </c>
      <c r="C3" s="136" t="s">
        <v>1738</v>
      </c>
      <c r="D3" s="137">
        <v>42202</v>
      </c>
      <c r="E3" s="137">
        <v>42216</v>
      </c>
      <c r="F3" s="76" t="s">
        <v>2014</v>
      </c>
      <c r="G3" s="83" t="s">
        <v>199</v>
      </c>
      <c r="H3" s="83" t="s">
        <v>1739</v>
      </c>
      <c r="I3" s="83" t="s">
        <v>1740</v>
      </c>
      <c r="J3" s="83"/>
      <c r="K3" s="83" t="s">
        <v>1741</v>
      </c>
      <c r="L3" s="83"/>
      <c r="M3" s="83"/>
      <c r="N3" s="83"/>
      <c r="O3" s="83"/>
      <c r="P3" s="83"/>
      <c r="Q3" s="83"/>
      <c r="R3" s="83"/>
      <c r="S3" s="83"/>
      <c r="T3" s="83"/>
      <c r="U3" s="83"/>
      <c r="V3" s="83"/>
      <c r="W3" s="83"/>
      <c r="X3" s="83"/>
    </row>
    <row r="4" spans="1:24" ht="12.75">
      <c r="A4" s="144">
        <v>2015</v>
      </c>
      <c r="B4" s="139" t="s">
        <v>334</v>
      </c>
      <c r="C4" s="136" t="s">
        <v>335</v>
      </c>
      <c r="D4" s="137">
        <v>42186</v>
      </c>
      <c r="E4" s="137">
        <v>42200</v>
      </c>
      <c r="F4" s="76" t="s">
        <v>2014</v>
      </c>
      <c r="G4" s="139" t="s">
        <v>199</v>
      </c>
      <c r="H4" s="139" t="s">
        <v>2015</v>
      </c>
      <c r="I4" s="139" t="s">
        <v>1746</v>
      </c>
      <c r="J4" s="83"/>
      <c r="K4" s="83" t="s">
        <v>1747</v>
      </c>
      <c r="L4" s="139"/>
      <c r="M4" s="83"/>
      <c r="N4" s="83"/>
      <c r="O4" s="83"/>
      <c r="P4" s="83"/>
      <c r="Q4" s="139"/>
      <c r="R4" s="139"/>
      <c r="S4" s="139"/>
      <c r="T4" s="83"/>
      <c r="U4" s="139"/>
      <c r="V4" s="139"/>
      <c r="W4" s="83"/>
      <c r="X4" s="83"/>
    </row>
    <row r="5" spans="1:24" ht="12.75">
      <c r="A5" s="144">
        <v>2015</v>
      </c>
      <c r="B5" s="83" t="s">
        <v>334</v>
      </c>
      <c r="C5" s="83" t="str">
        <f>C4</f>
        <v xml:space="preserve">gs.tallac@scoutsdemadrid.org </v>
      </c>
      <c r="D5" s="137">
        <v>42186</v>
      </c>
      <c r="E5" s="137">
        <v>42200</v>
      </c>
      <c r="F5" s="76" t="s">
        <v>2014</v>
      </c>
      <c r="G5" s="83" t="s">
        <v>199</v>
      </c>
      <c r="H5" s="83" t="s">
        <v>2015</v>
      </c>
      <c r="I5" s="83" t="s">
        <v>1746</v>
      </c>
      <c r="J5" s="83"/>
      <c r="K5" s="83"/>
      <c r="L5" s="83"/>
      <c r="M5" s="83"/>
      <c r="N5" s="83"/>
      <c r="O5" s="83"/>
      <c r="P5" s="83"/>
      <c r="Q5" s="83"/>
      <c r="R5" s="83"/>
      <c r="S5" s="83"/>
      <c r="T5" s="83"/>
      <c r="U5" s="83"/>
      <c r="V5" s="83"/>
      <c r="W5" s="83"/>
      <c r="X5" s="83"/>
    </row>
    <row r="6" spans="1:24" ht="12.75">
      <c r="A6" s="134"/>
      <c r="B6" s="76"/>
      <c r="C6" s="76"/>
      <c r="D6" s="77"/>
      <c r="E6" s="77"/>
      <c r="F6" s="76"/>
      <c r="G6" s="76"/>
      <c r="H6" s="76"/>
      <c r="I6" s="76"/>
      <c r="J6" s="87"/>
      <c r="K6" s="87"/>
      <c r="L6" s="76"/>
      <c r="M6" s="76"/>
      <c r="N6" s="76"/>
      <c r="O6" s="87"/>
      <c r="P6" s="87"/>
      <c r="Q6" s="76"/>
      <c r="R6" s="76"/>
      <c r="S6" s="76"/>
      <c r="T6" s="76"/>
      <c r="U6" s="76"/>
      <c r="V6" s="87"/>
      <c r="W6" s="76"/>
      <c r="X6" s="76"/>
    </row>
    <row r="7" spans="1:24" ht="12.75">
      <c r="A7" s="134"/>
      <c r="B7" s="76"/>
      <c r="C7" s="76"/>
      <c r="D7" s="77"/>
      <c r="E7" s="77"/>
      <c r="F7" s="76"/>
      <c r="G7" s="76"/>
      <c r="H7" s="76"/>
      <c r="I7" s="76"/>
      <c r="J7" s="87"/>
      <c r="K7" s="87"/>
      <c r="L7" s="76"/>
      <c r="M7" s="76"/>
      <c r="N7" s="76"/>
      <c r="O7" s="87"/>
      <c r="P7" s="87"/>
      <c r="Q7" s="76"/>
      <c r="R7" s="76"/>
      <c r="S7" s="76"/>
      <c r="T7" s="76"/>
      <c r="U7" s="76"/>
      <c r="V7" s="87"/>
      <c r="W7" s="76"/>
      <c r="X7" s="76"/>
    </row>
    <row r="8" spans="1:24" ht="12.75">
      <c r="A8" s="134"/>
      <c r="B8" s="76"/>
      <c r="C8" s="76"/>
      <c r="D8" s="77"/>
      <c r="E8" s="77"/>
      <c r="F8" s="76"/>
      <c r="G8" s="76"/>
      <c r="H8" s="76"/>
      <c r="I8" s="76"/>
      <c r="J8" s="87"/>
      <c r="K8" s="87"/>
      <c r="L8" s="76"/>
      <c r="M8" s="76"/>
      <c r="N8" s="76"/>
      <c r="O8" s="87"/>
      <c r="P8" s="87"/>
      <c r="Q8" s="76"/>
      <c r="R8" s="76"/>
      <c r="S8" s="76"/>
      <c r="T8" s="76"/>
      <c r="U8" s="76"/>
      <c r="V8" s="87"/>
      <c r="W8" s="76"/>
      <c r="X8" s="76"/>
    </row>
    <row r="9" spans="1:24" ht="12.75">
      <c r="A9" s="87"/>
      <c r="B9" s="87"/>
      <c r="C9" s="87"/>
      <c r="D9" s="87"/>
      <c r="E9" s="87"/>
      <c r="F9" s="87"/>
      <c r="G9" s="87"/>
      <c r="H9" s="87"/>
      <c r="I9" s="87"/>
      <c r="J9" s="87"/>
      <c r="K9" s="87"/>
      <c r="L9" s="87"/>
      <c r="M9" s="87"/>
      <c r="N9" s="87"/>
      <c r="O9" s="87"/>
      <c r="P9" s="87"/>
      <c r="Q9" s="87"/>
      <c r="R9" s="87"/>
      <c r="S9" s="87"/>
      <c r="T9" s="87"/>
      <c r="U9" s="87"/>
      <c r="V9" s="87"/>
      <c r="W9" s="87"/>
      <c r="X9" s="87"/>
    </row>
    <row r="10" spans="1:24" ht="12.75">
      <c r="A10" s="146"/>
      <c r="B10" s="146"/>
      <c r="C10" s="146"/>
      <c r="D10" s="146"/>
      <c r="E10" s="146"/>
      <c r="F10" s="146"/>
      <c r="G10" s="146"/>
      <c r="H10" s="146"/>
      <c r="I10" s="146"/>
      <c r="J10" s="146"/>
      <c r="K10" s="146"/>
      <c r="L10" s="146"/>
      <c r="M10" s="146"/>
      <c r="N10" s="146"/>
      <c r="O10" s="146"/>
      <c r="P10" s="146"/>
      <c r="Q10" s="146"/>
      <c r="R10" s="146"/>
      <c r="S10" s="146"/>
      <c r="T10" s="146"/>
      <c r="U10" s="146"/>
      <c r="V10" s="146"/>
      <c r="W10" s="146"/>
      <c r="X10" s="146"/>
    </row>
    <row r="11" spans="1:24" ht="12.75">
      <c r="A11" s="146"/>
      <c r="B11" s="146"/>
      <c r="C11" s="146"/>
      <c r="D11" s="146"/>
      <c r="E11" s="146"/>
      <c r="F11" s="146"/>
      <c r="G11" s="146"/>
      <c r="H11" s="146"/>
      <c r="I11" s="146"/>
      <c r="J11" s="146"/>
      <c r="K11" s="146"/>
      <c r="L11" s="146"/>
      <c r="M11" s="146"/>
      <c r="N11" s="146"/>
      <c r="O11" s="146"/>
      <c r="P11" s="146"/>
      <c r="Q11" s="146"/>
      <c r="R11" s="146"/>
      <c r="S11" s="146"/>
      <c r="T11" s="146"/>
      <c r="U11" s="146"/>
      <c r="V11" s="146"/>
      <c r="W11" s="146"/>
      <c r="X11" s="146"/>
    </row>
    <row r="12" spans="1:24" ht="12.75">
      <c r="A12" s="146"/>
      <c r="B12" s="146"/>
      <c r="C12" s="146"/>
      <c r="D12" s="146"/>
      <c r="E12" s="146"/>
      <c r="F12" s="146"/>
      <c r="G12" s="146"/>
      <c r="H12" s="146"/>
      <c r="I12" s="146"/>
      <c r="J12" s="146"/>
      <c r="K12" s="146"/>
      <c r="L12" s="146"/>
      <c r="M12" s="146"/>
      <c r="N12" s="146"/>
      <c r="O12" s="146"/>
      <c r="P12" s="146"/>
      <c r="Q12" s="146"/>
      <c r="R12" s="146"/>
      <c r="S12" s="146"/>
      <c r="T12" s="146"/>
      <c r="U12" s="146"/>
      <c r="V12" s="146"/>
      <c r="W12" s="146"/>
      <c r="X12" s="146"/>
    </row>
    <row r="13" spans="1:24" ht="12.75">
      <c r="A13" s="146"/>
      <c r="B13" s="146"/>
      <c r="C13" s="146"/>
      <c r="D13" s="146"/>
      <c r="E13" s="146"/>
      <c r="F13" s="146"/>
      <c r="G13" s="146"/>
      <c r="H13" s="146"/>
      <c r="I13" s="146"/>
      <c r="J13" s="146"/>
      <c r="K13" s="146"/>
      <c r="L13" s="146"/>
      <c r="M13" s="146"/>
      <c r="N13" s="146"/>
      <c r="O13" s="146"/>
      <c r="P13" s="146"/>
      <c r="Q13" s="146"/>
      <c r="R13" s="146"/>
      <c r="S13" s="146"/>
      <c r="T13" s="146"/>
      <c r="U13" s="146"/>
      <c r="V13" s="146"/>
      <c r="W13" s="146"/>
      <c r="X13" s="146"/>
    </row>
    <row r="14" spans="1:24" ht="12.75">
      <c r="A14" s="146"/>
      <c r="B14" s="146"/>
      <c r="C14" s="146"/>
      <c r="D14" s="146"/>
      <c r="E14" s="146"/>
      <c r="F14" s="146"/>
      <c r="G14" s="146"/>
      <c r="H14" s="146"/>
      <c r="I14" s="146"/>
      <c r="J14" s="146"/>
      <c r="K14" s="146"/>
      <c r="L14" s="146"/>
      <c r="M14" s="146"/>
      <c r="N14" s="146"/>
      <c r="O14" s="146"/>
      <c r="P14" s="146"/>
      <c r="Q14" s="146"/>
      <c r="R14" s="146"/>
      <c r="S14" s="146"/>
      <c r="T14" s="146"/>
      <c r="U14" s="146"/>
      <c r="V14" s="146"/>
      <c r="W14" s="146"/>
      <c r="X14" s="146"/>
    </row>
    <row r="15" spans="1:24" ht="12.75">
      <c r="A15" s="146"/>
      <c r="B15" s="146"/>
      <c r="C15" s="146"/>
      <c r="D15" s="146"/>
      <c r="E15" s="146"/>
      <c r="F15" s="146"/>
      <c r="G15" s="146"/>
      <c r="H15" s="146"/>
      <c r="I15" s="146"/>
      <c r="J15" s="146"/>
      <c r="K15" s="146"/>
      <c r="L15" s="146"/>
      <c r="M15" s="146"/>
      <c r="N15" s="146"/>
      <c r="O15" s="146"/>
      <c r="P15" s="146"/>
      <c r="Q15" s="146"/>
      <c r="R15" s="146"/>
      <c r="S15" s="146"/>
      <c r="T15" s="146"/>
      <c r="U15" s="146"/>
      <c r="V15" s="146"/>
      <c r="W15" s="146"/>
      <c r="X15" s="146"/>
    </row>
    <row r="16" spans="1:24" ht="12.7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row>
    <row r="17" spans="1:24" ht="12.75">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row>
    <row r="18" spans="1:24" ht="12.7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row>
    <row r="19" spans="1:24" ht="12.75">
      <c r="A19" s="146"/>
      <c r="B19" s="146"/>
      <c r="C19" s="146"/>
      <c r="D19" s="146"/>
      <c r="E19" s="146"/>
      <c r="F19" s="146"/>
      <c r="G19" s="146"/>
      <c r="H19" s="146"/>
      <c r="I19" s="146"/>
      <c r="J19" s="146"/>
      <c r="K19" s="146"/>
      <c r="L19" s="146"/>
      <c r="M19" s="146"/>
      <c r="N19" s="146"/>
      <c r="O19" s="146"/>
      <c r="P19" s="146"/>
      <c r="Q19" s="146"/>
      <c r="R19" s="146"/>
      <c r="S19" s="146"/>
      <c r="T19" s="146"/>
      <c r="U19" s="146"/>
      <c r="V19" s="146"/>
      <c r="W19" s="146"/>
      <c r="X19" s="146"/>
    </row>
    <row r="20" spans="1:24" ht="12.75">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row>
    <row r="21" spans="1:24" ht="12.75">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row>
    <row r="22" spans="1:24" ht="12.75">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row>
    <row r="23" spans="1:24" ht="12.75">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row>
    <row r="24" spans="1:24" ht="12.75">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row>
    <row r="25" spans="1:24" ht="12.75">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row>
    <row r="26" spans="1:24" ht="12.75">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row>
    <row r="27" spans="1:24" ht="12.75">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row>
    <row r="28" spans="1:24" ht="12.75">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row>
    <row r="29" spans="1:24" ht="12.75">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row>
    <row r="30" spans="1:24" ht="12.75">
      <c r="A30" s="146"/>
      <c r="B30" s="146"/>
      <c r="C30" s="146"/>
      <c r="D30" s="146"/>
      <c r="E30" s="146"/>
      <c r="F30" s="146"/>
      <c r="G30" s="146"/>
      <c r="H30" s="146"/>
      <c r="I30" s="146"/>
      <c r="J30" s="146"/>
      <c r="K30" s="146"/>
      <c r="L30" s="146"/>
      <c r="M30" s="146"/>
      <c r="N30" s="146"/>
      <c r="O30" s="146"/>
      <c r="P30" s="146"/>
      <c r="Q30" s="146"/>
      <c r="R30" s="146"/>
      <c r="S30" s="146"/>
      <c r="T30" s="146"/>
      <c r="U30" s="146"/>
      <c r="V30" s="146"/>
      <c r="W30" s="146"/>
      <c r="X30" s="146"/>
    </row>
    <row r="31" spans="1:24" ht="12.75">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row>
    <row r="32" spans="1:24" ht="12.75">
      <c r="A32" s="146"/>
      <c r="B32" s="146"/>
      <c r="C32" s="146"/>
      <c r="D32" s="146"/>
      <c r="E32" s="146"/>
      <c r="F32" s="146"/>
      <c r="G32" s="146"/>
      <c r="H32" s="146"/>
      <c r="I32" s="146"/>
      <c r="J32" s="146"/>
      <c r="K32" s="146"/>
      <c r="L32" s="146"/>
      <c r="M32" s="146"/>
      <c r="N32" s="146"/>
      <c r="O32" s="146"/>
      <c r="P32" s="146"/>
      <c r="Q32" s="146"/>
      <c r="R32" s="146"/>
      <c r="S32" s="146"/>
      <c r="T32" s="146"/>
      <c r="U32" s="146"/>
      <c r="V32" s="146"/>
      <c r="W32" s="146"/>
      <c r="X32" s="146"/>
    </row>
    <row r="33" spans="1:24" ht="12.75">
      <c r="A33" s="146"/>
      <c r="B33" s="146"/>
      <c r="C33" s="146"/>
      <c r="D33" s="146"/>
      <c r="E33" s="146"/>
      <c r="F33" s="146"/>
      <c r="G33" s="146"/>
      <c r="H33" s="146"/>
      <c r="I33" s="146"/>
      <c r="J33" s="146"/>
      <c r="K33" s="146"/>
      <c r="L33" s="146"/>
      <c r="M33" s="146"/>
      <c r="N33" s="146"/>
      <c r="O33" s="146"/>
      <c r="P33" s="146"/>
      <c r="Q33" s="146"/>
      <c r="R33" s="146"/>
      <c r="S33" s="146"/>
      <c r="T33" s="146"/>
      <c r="U33" s="146"/>
      <c r="V33" s="146"/>
      <c r="W33" s="146"/>
      <c r="X33" s="146"/>
    </row>
    <row r="34" spans="1:24" ht="12.75">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row>
    <row r="35" spans="1:24" ht="12.75">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row>
    <row r="36" spans="1:24" ht="12.75">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row>
    <row r="37" spans="1:24" ht="12.75">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row>
    <row r="38" spans="1:24" ht="12.75">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row>
    <row r="39" spans="1:24" ht="12.75">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row>
    <row r="40" spans="1:24" ht="12.75">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row>
    <row r="41" spans="1:24" ht="12.75">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row>
    <row r="42" spans="1:24" ht="12.75">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row>
    <row r="43" spans="1:24" ht="12.75">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row>
    <row r="44" spans="1:24" ht="12.75">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row>
    <row r="45" spans="1:24" ht="12.75">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row>
    <row r="46" spans="1:24" ht="12.75">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row>
    <row r="47" spans="1:24" ht="12.75">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row>
    <row r="48" spans="1:24" ht="12.75">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row>
    <row r="49" spans="1:24" ht="12.75">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row>
    <row r="50" spans="1:24" ht="12.75">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row>
    <row r="51" spans="1:24" ht="12.75">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row>
    <row r="52" spans="1:24" ht="12.75">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row>
    <row r="53" spans="1:24" ht="12.75">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row>
    <row r="54" spans="1:24" ht="12.75">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row>
    <row r="55" spans="1:24" ht="12.75">
      <c r="A55" s="146"/>
      <c r="B55" s="146"/>
      <c r="C55" s="146"/>
      <c r="D55" s="146"/>
      <c r="E55" s="146"/>
      <c r="F55" s="146"/>
      <c r="G55" s="146"/>
      <c r="H55" s="146"/>
      <c r="I55" s="146"/>
      <c r="J55" s="146"/>
      <c r="K55" s="146"/>
      <c r="L55" s="146"/>
      <c r="M55" s="146"/>
      <c r="N55" s="146"/>
      <c r="O55" s="146"/>
      <c r="P55" s="146"/>
      <c r="Q55" s="146"/>
      <c r="R55" s="146"/>
      <c r="S55" s="146"/>
      <c r="T55" s="146"/>
      <c r="U55" s="146"/>
      <c r="V55" s="146"/>
      <c r="W55" s="146"/>
      <c r="X55" s="146"/>
    </row>
    <row r="56" spans="1:24" ht="12.75">
      <c r="A56" s="146"/>
      <c r="B56" s="146"/>
      <c r="C56" s="146"/>
      <c r="D56" s="146"/>
      <c r="E56" s="146"/>
      <c r="F56" s="146"/>
      <c r="G56" s="146"/>
      <c r="H56" s="146"/>
      <c r="I56" s="146"/>
      <c r="J56" s="146"/>
      <c r="K56" s="146"/>
      <c r="L56" s="146"/>
      <c r="M56" s="146"/>
      <c r="N56" s="146"/>
      <c r="O56" s="146"/>
      <c r="P56" s="146"/>
      <c r="Q56" s="146"/>
      <c r="R56" s="146"/>
      <c r="S56" s="146"/>
      <c r="T56" s="146"/>
      <c r="U56" s="146"/>
      <c r="V56" s="146"/>
      <c r="W56" s="146"/>
      <c r="X56" s="146"/>
    </row>
    <row r="57" spans="1:24" ht="12.75">
      <c r="A57" s="146"/>
      <c r="B57" s="146"/>
      <c r="C57" s="146"/>
      <c r="D57" s="146"/>
      <c r="E57" s="146"/>
      <c r="F57" s="146"/>
      <c r="G57" s="146"/>
      <c r="H57" s="146"/>
      <c r="I57" s="146"/>
      <c r="J57" s="146"/>
      <c r="K57" s="146"/>
      <c r="L57" s="146"/>
      <c r="M57" s="146"/>
      <c r="N57" s="146"/>
      <c r="O57" s="146"/>
      <c r="P57" s="146"/>
      <c r="Q57" s="146"/>
      <c r="R57" s="146"/>
      <c r="S57" s="146"/>
      <c r="T57" s="146"/>
      <c r="U57" s="146"/>
      <c r="V57" s="146"/>
      <c r="W57" s="146"/>
      <c r="X57" s="146"/>
    </row>
    <row r="58" spans="1:24" ht="12.75">
      <c r="A58" s="146"/>
      <c r="B58" s="146"/>
      <c r="C58" s="146"/>
      <c r="D58" s="146"/>
      <c r="E58" s="146"/>
      <c r="F58" s="146"/>
      <c r="G58" s="146"/>
      <c r="H58" s="146"/>
      <c r="I58" s="146"/>
      <c r="J58" s="146"/>
      <c r="K58" s="146"/>
      <c r="L58" s="146"/>
      <c r="M58" s="146"/>
      <c r="N58" s="146"/>
      <c r="O58" s="146"/>
      <c r="P58" s="146"/>
      <c r="Q58" s="146"/>
      <c r="R58" s="146"/>
      <c r="S58" s="146"/>
      <c r="T58" s="146"/>
      <c r="U58" s="146"/>
      <c r="V58" s="146"/>
      <c r="W58" s="146"/>
      <c r="X58" s="146"/>
    </row>
    <row r="59" spans="1:24" ht="12.75">
      <c r="A59" s="146"/>
      <c r="B59" s="146"/>
      <c r="C59" s="146"/>
      <c r="D59" s="146"/>
      <c r="E59" s="146"/>
      <c r="F59" s="146"/>
      <c r="G59" s="146"/>
      <c r="H59" s="146"/>
      <c r="I59" s="146"/>
      <c r="J59" s="146"/>
      <c r="K59" s="146"/>
      <c r="L59" s="146"/>
      <c r="M59" s="146"/>
      <c r="N59" s="146"/>
      <c r="O59" s="146"/>
      <c r="P59" s="146"/>
      <c r="Q59" s="146"/>
      <c r="R59" s="146"/>
      <c r="S59" s="146"/>
      <c r="T59" s="146"/>
      <c r="U59" s="146"/>
      <c r="V59" s="146"/>
      <c r="W59" s="146"/>
      <c r="X59" s="146"/>
    </row>
    <row r="60" spans="1:24" ht="12.75">
      <c r="A60" s="146"/>
      <c r="B60" s="146"/>
      <c r="C60" s="146"/>
      <c r="D60" s="146"/>
      <c r="E60" s="146"/>
      <c r="F60" s="146"/>
      <c r="G60" s="146"/>
      <c r="H60" s="146"/>
      <c r="I60" s="146"/>
      <c r="J60" s="146"/>
      <c r="K60" s="146"/>
      <c r="L60" s="146"/>
      <c r="M60" s="146"/>
      <c r="N60" s="146"/>
      <c r="O60" s="146"/>
      <c r="P60" s="146"/>
      <c r="Q60" s="146"/>
      <c r="R60" s="146"/>
      <c r="S60" s="146"/>
      <c r="T60" s="146"/>
      <c r="U60" s="146"/>
      <c r="V60" s="146"/>
      <c r="W60" s="146"/>
      <c r="X60" s="146"/>
    </row>
    <row r="61" spans="1:24" ht="12.75">
      <c r="A61" s="146"/>
      <c r="B61" s="146"/>
      <c r="C61" s="146"/>
      <c r="D61" s="146"/>
      <c r="E61" s="146"/>
      <c r="F61" s="146"/>
      <c r="G61" s="146"/>
      <c r="H61" s="146"/>
      <c r="I61" s="146"/>
      <c r="J61" s="146"/>
      <c r="K61" s="146"/>
      <c r="L61" s="146"/>
      <c r="M61" s="146"/>
      <c r="N61" s="146"/>
      <c r="O61" s="146"/>
      <c r="P61" s="146"/>
      <c r="Q61" s="146"/>
      <c r="R61" s="146"/>
      <c r="S61" s="146"/>
      <c r="T61" s="146"/>
      <c r="U61" s="146"/>
      <c r="V61" s="146"/>
      <c r="W61" s="146"/>
      <c r="X61" s="146"/>
    </row>
    <row r="62" spans="1:24" ht="12.75">
      <c r="A62" s="146"/>
      <c r="B62" s="146"/>
      <c r="C62" s="146"/>
      <c r="D62" s="146"/>
      <c r="E62" s="146"/>
      <c r="F62" s="146"/>
      <c r="G62" s="146"/>
      <c r="H62" s="146"/>
      <c r="I62" s="146"/>
      <c r="J62" s="146"/>
      <c r="K62" s="146"/>
      <c r="L62" s="146"/>
      <c r="M62" s="146"/>
      <c r="N62" s="146"/>
      <c r="O62" s="146"/>
      <c r="P62" s="146"/>
      <c r="Q62" s="146"/>
      <c r="R62" s="146"/>
      <c r="S62" s="146"/>
      <c r="T62" s="146"/>
      <c r="U62" s="146"/>
      <c r="V62" s="146"/>
      <c r="W62" s="146"/>
      <c r="X62" s="146"/>
    </row>
    <row r="63" spans="1:24" ht="12.75">
      <c r="A63" s="146"/>
      <c r="B63" s="146"/>
      <c r="C63" s="146"/>
      <c r="D63" s="146"/>
      <c r="E63" s="146"/>
      <c r="F63" s="146"/>
      <c r="G63" s="146"/>
      <c r="H63" s="146"/>
      <c r="I63" s="146"/>
      <c r="J63" s="146"/>
      <c r="K63" s="146"/>
      <c r="L63" s="146"/>
      <c r="M63" s="146"/>
      <c r="N63" s="146"/>
      <c r="O63" s="146"/>
      <c r="P63" s="146"/>
      <c r="Q63" s="146"/>
      <c r="R63" s="146"/>
      <c r="S63" s="146"/>
      <c r="T63" s="146"/>
      <c r="U63" s="146"/>
      <c r="V63" s="146"/>
      <c r="W63" s="146"/>
      <c r="X63" s="146"/>
    </row>
    <row r="64" spans="1:24" ht="12.75">
      <c r="A64" s="146"/>
      <c r="B64" s="146"/>
      <c r="C64" s="146"/>
      <c r="D64" s="146"/>
      <c r="E64" s="146"/>
      <c r="F64" s="146"/>
      <c r="G64" s="146"/>
      <c r="H64" s="146"/>
      <c r="I64" s="146"/>
      <c r="J64" s="146"/>
      <c r="K64" s="146"/>
      <c r="L64" s="146"/>
      <c r="M64" s="146"/>
      <c r="N64" s="146"/>
      <c r="O64" s="146"/>
      <c r="P64" s="146"/>
      <c r="Q64" s="146"/>
      <c r="R64" s="146"/>
      <c r="S64" s="146"/>
      <c r="T64" s="146"/>
      <c r="U64" s="146"/>
      <c r="V64" s="146"/>
      <c r="W64" s="146"/>
      <c r="X64" s="146"/>
    </row>
    <row r="65" spans="1:24" ht="12.75">
      <c r="A65" s="146"/>
      <c r="B65" s="146"/>
      <c r="C65" s="146"/>
      <c r="D65" s="146"/>
      <c r="E65" s="146"/>
      <c r="F65" s="146"/>
      <c r="G65" s="146"/>
      <c r="H65" s="146"/>
      <c r="I65" s="146"/>
      <c r="J65" s="146"/>
      <c r="K65" s="146"/>
      <c r="L65" s="146"/>
      <c r="M65" s="146"/>
      <c r="N65" s="146"/>
      <c r="O65" s="146"/>
      <c r="P65" s="146"/>
      <c r="Q65" s="146"/>
      <c r="R65" s="146"/>
      <c r="S65" s="146"/>
      <c r="T65" s="146"/>
      <c r="U65" s="146"/>
      <c r="V65" s="146"/>
      <c r="W65" s="146"/>
      <c r="X65" s="146"/>
    </row>
    <row r="66" spans="1:24" ht="12.75">
      <c r="A66" s="146"/>
      <c r="B66" s="146"/>
      <c r="C66" s="146"/>
      <c r="D66" s="146"/>
      <c r="E66" s="146"/>
      <c r="F66" s="146"/>
      <c r="G66" s="146"/>
      <c r="H66" s="146"/>
      <c r="I66" s="146"/>
      <c r="J66" s="146"/>
      <c r="K66" s="146"/>
      <c r="L66" s="146"/>
      <c r="M66" s="146"/>
      <c r="N66" s="146"/>
      <c r="O66" s="146"/>
      <c r="P66" s="146"/>
      <c r="Q66" s="146"/>
      <c r="R66" s="146"/>
      <c r="S66" s="146"/>
      <c r="T66" s="146"/>
      <c r="U66" s="146"/>
      <c r="V66" s="146"/>
      <c r="W66" s="146"/>
      <c r="X66" s="146"/>
    </row>
    <row r="67" spans="1:24" ht="12.75">
      <c r="A67" s="146"/>
      <c r="B67" s="146"/>
      <c r="C67" s="146"/>
      <c r="D67" s="146"/>
      <c r="E67" s="146"/>
      <c r="F67" s="146"/>
      <c r="G67" s="146"/>
      <c r="H67" s="146"/>
      <c r="I67" s="146"/>
      <c r="J67" s="146"/>
      <c r="K67" s="146"/>
      <c r="L67" s="146"/>
      <c r="M67" s="146"/>
      <c r="N67" s="146"/>
      <c r="O67" s="146"/>
      <c r="P67" s="146"/>
      <c r="Q67" s="146"/>
      <c r="R67" s="146"/>
      <c r="S67" s="146"/>
      <c r="T67" s="146"/>
      <c r="U67" s="146"/>
      <c r="V67" s="146"/>
      <c r="W67" s="146"/>
      <c r="X67" s="146"/>
    </row>
    <row r="68" spans="1:24" ht="12.75">
      <c r="A68" s="146"/>
      <c r="B68" s="146"/>
      <c r="C68" s="146"/>
      <c r="D68" s="146"/>
      <c r="E68" s="146"/>
      <c r="F68" s="146"/>
      <c r="G68" s="146"/>
      <c r="H68" s="146"/>
      <c r="I68" s="146"/>
      <c r="J68" s="146"/>
      <c r="K68" s="146"/>
      <c r="L68" s="146"/>
      <c r="M68" s="146"/>
      <c r="N68" s="146"/>
      <c r="O68" s="146"/>
      <c r="P68" s="146"/>
      <c r="Q68" s="146"/>
      <c r="R68" s="146"/>
      <c r="S68" s="146"/>
      <c r="T68" s="146"/>
      <c r="U68" s="146"/>
      <c r="V68" s="146"/>
      <c r="W68" s="146"/>
      <c r="X68" s="146"/>
    </row>
    <row r="69" spans="1:24" ht="12.75">
      <c r="A69" s="146"/>
      <c r="B69" s="146"/>
      <c r="C69" s="146"/>
      <c r="D69" s="146"/>
      <c r="E69" s="146"/>
      <c r="F69" s="146"/>
      <c r="G69" s="146"/>
      <c r="H69" s="146"/>
      <c r="I69" s="146"/>
      <c r="J69" s="146"/>
      <c r="K69" s="146"/>
      <c r="L69" s="146"/>
      <c r="M69" s="146"/>
      <c r="N69" s="146"/>
      <c r="O69" s="146"/>
      <c r="P69" s="146"/>
      <c r="Q69" s="146"/>
      <c r="R69" s="146"/>
      <c r="S69" s="146"/>
      <c r="T69" s="146"/>
      <c r="U69" s="146"/>
      <c r="V69" s="146"/>
      <c r="W69" s="146"/>
      <c r="X69" s="146"/>
    </row>
    <row r="70" spans="1:24" ht="12.75">
      <c r="A70" s="146"/>
      <c r="B70" s="146"/>
      <c r="C70" s="146"/>
      <c r="D70" s="146"/>
      <c r="E70" s="146"/>
      <c r="F70" s="146"/>
      <c r="G70" s="146"/>
      <c r="H70" s="146"/>
      <c r="I70" s="146"/>
      <c r="J70" s="146"/>
      <c r="K70" s="146"/>
      <c r="L70" s="146"/>
      <c r="M70" s="146"/>
      <c r="N70" s="146"/>
      <c r="O70" s="146"/>
      <c r="P70" s="146"/>
      <c r="Q70" s="146"/>
      <c r="R70" s="146"/>
      <c r="S70" s="146"/>
      <c r="T70" s="146"/>
      <c r="U70" s="146"/>
      <c r="V70" s="146"/>
      <c r="W70" s="146"/>
      <c r="X70" s="146"/>
    </row>
    <row r="71" spans="1:24" ht="12.75">
      <c r="A71" s="146"/>
      <c r="B71" s="146"/>
      <c r="C71" s="146"/>
      <c r="D71" s="146"/>
      <c r="E71" s="146"/>
      <c r="F71" s="146"/>
      <c r="G71" s="146"/>
      <c r="H71" s="146"/>
      <c r="I71" s="146"/>
      <c r="J71" s="146"/>
      <c r="K71" s="146"/>
      <c r="L71" s="146"/>
      <c r="M71" s="146"/>
      <c r="N71" s="146"/>
      <c r="O71" s="146"/>
      <c r="P71" s="146"/>
      <c r="Q71" s="146"/>
      <c r="R71" s="146"/>
      <c r="S71" s="146"/>
      <c r="T71" s="146"/>
      <c r="U71" s="146"/>
      <c r="V71" s="146"/>
      <c r="W71" s="146"/>
      <c r="X71" s="146"/>
    </row>
    <row r="72" spans="1:24" ht="12.75">
      <c r="A72" s="146"/>
      <c r="B72" s="146"/>
      <c r="C72" s="146"/>
      <c r="D72" s="146"/>
      <c r="E72" s="146"/>
      <c r="F72" s="146"/>
      <c r="G72" s="146"/>
      <c r="H72" s="146"/>
      <c r="I72" s="146"/>
      <c r="J72" s="146"/>
      <c r="K72" s="146"/>
      <c r="L72" s="146"/>
      <c r="M72" s="146"/>
      <c r="N72" s="146"/>
      <c r="O72" s="146"/>
      <c r="P72" s="146"/>
      <c r="Q72" s="146"/>
      <c r="R72" s="146"/>
      <c r="S72" s="146"/>
      <c r="T72" s="146"/>
      <c r="U72" s="146"/>
      <c r="V72" s="146"/>
      <c r="W72" s="146"/>
      <c r="X72" s="146"/>
    </row>
    <row r="73" spans="1:24" ht="12.75">
      <c r="A73" s="146"/>
      <c r="B73" s="146"/>
      <c r="C73" s="146"/>
      <c r="D73" s="146"/>
      <c r="E73" s="146"/>
      <c r="F73" s="146"/>
      <c r="G73" s="146"/>
      <c r="H73" s="146"/>
      <c r="I73" s="146"/>
      <c r="J73" s="146"/>
      <c r="K73" s="146"/>
      <c r="L73" s="146"/>
      <c r="M73" s="146"/>
      <c r="N73" s="146"/>
      <c r="O73" s="146"/>
      <c r="P73" s="146"/>
      <c r="Q73" s="146"/>
      <c r="R73" s="146"/>
      <c r="S73" s="146"/>
      <c r="T73" s="146"/>
      <c r="U73" s="146"/>
      <c r="V73" s="146"/>
      <c r="W73" s="146"/>
      <c r="X73" s="146"/>
    </row>
    <row r="74" spans="1:24" ht="12.75">
      <c r="A74" s="146"/>
      <c r="B74" s="146"/>
      <c r="C74" s="146"/>
      <c r="D74" s="146"/>
      <c r="E74" s="146"/>
      <c r="F74" s="146"/>
      <c r="G74" s="146"/>
      <c r="H74" s="146"/>
      <c r="I74" s="146"/>
      <c r="J74" s="146"/>
      <c r="K74" s="146"/>
      <c r="L74" s="146"/>
      <c r="M74" s="146"/>
      <c r="N74" s="146"/>
      <c r="O74" s="146"/>
      <c r="P74" s="146"/>
      <c r="Q74" s="146"/>
      <c r="R74" s="146"/>
      <c r="S74" s="146"/>
      <c r="T74" s="146"/>
      <c r="U74" s="146"/>
      <c r="V74" s="146"/>
      <c r="W74" s="146"/>
      <c r="X74" s="146"/>
    </row>
    <row r="75" spans="1:24" ht="12.75">
      <c r="A75" s="146"/>
      <c r="B75" s="146"/>
      <c r="C75" s="146"/>
      <c r="D75" s="146"/>
      <c r="E75" s="146"/>
      <c r="F75" s="146"/>
      <c r="G75" s="146"/>
      <c r="H75" s="146"/>
      <c r="I75" s="146"/>
      <c r="J75" s="146"/>
      <c r="K75" s="146"/>
      <c r="L75" s="146"/>
      <c r="M75" s="146"/>
      <c r="N75" s="146"/>
      <c r="O75" s="146"/>
      <c r="P75" s="146"/>
      <c r="Q75" s="146"/>
      <c r="R75" s="146"/>
      <c r="S75" s="146"/>
      <c r="T75" s="146"/>
      <c r="U75" s="146"/>
      <c r="V75" s="146"/>
      <c r="W75" s="146"/>
      <c r="X75" s="146"/>
    </row>
    <row r="76" spans="1:24" ht="12.75">
      <c r="A76" s="146"/>
      <c r="B76" s="146"/>
      <c r="C76" s="146"/>
      <c r="D76" s="146"/>
      <c r="E76" s="146"/>
      <c r="F76" s="146"/>
      <c r="G76" s="146"/>
      <c r="H76" s="146"/>
      <c r="I76" s="146"/>
      <c r="J76" s="146"/>
      <c r="K76" s="146"/>
      <c r="L76" s="146"/>
      <c r="M76" s="146"/>
      <c r="N76" s="146"/>
      <c r="O76" s="146"/>
      <c r="P76" s="146"/>
      <c r="Q76" s="146"/>
      <c r="R76" s="146"/>
      <c r="S76" s="146"/>
      <c r="T76" s="146"/>
      <c r="U76" s="146"/>
      <c r="V76" s="146"/>
      <c r="W76" s="146"/>
      <c r="X76" s="146"/>
    </row>
    <row r="77" spans="1:24" ht="12.75">
      <c r="A77" s="146"/>
      <c r="B77" s="146"/>
      <c r="C77" s="146"/>
      <c r="D77" s="146"/>
      <c r="E77" s="146"/>
      <c r="F77" s="146"/>
      <c r="G77" s="146"/>
      <c r="H77" s="146"/>
      <c r="I77" s="146"/>
      <c r="J77" s="146"/>
      <c r="K77" s="146"/>
      <c r="L77" s="146"/>
      <c r="M77" s="146"/>
      <c r="N77" s="146"/>
      <c r="O77" s="146"/>
      <c r="P77" s="146"/>
      <c r="Q77" s="146"/>
      <c r="R77" s="146"/>
      <c r="S77" s="146"/>
      <c r="T77" s="146"/>
      <c r="U77" s="146"/>
      <c r="V77" s="146"/>
      <c r="W77" s="146"/>
      <c r="X77" s="146"/>
    </row>
    <row r="78" spans="1:24" ht="12.75">
      <c r="A78" s="146"/>
      <c r="B78" s="146"/>
      <c r="C78" s="146"/>
      <c r="D78" s="146"/>
      <c r="E78" s="146"/>
      <c r="F78" s="146"/>
      <c r="G78" s="146"/>
      <c r="H78" s="146"/>
      <c r="I78" s="146"/>
      <c r="J78" s="146"/>
      <c r="K78" s="146"/>
      <c r="L78" s="146"/>
      <c r="M78" s="146"/>
      <c r="N78" s="146"/>
      <c r="O78" s="146"/>
      <c r="P78" s="146"/>
      <c r="Q78" s="146"/>
      <c r="R78" s="146"/>
      <c r="S78" s="146"/>
      <c r="T78" s="146"/>
      <c r="U78" s="146"/>
      <c r="V78" s="146"/>
      <c r="W78" s="146"/>
      <c r="X78" s="146"/>
    </row>
    <row r="79" spans="1:24" ht="12.75">
      <c r="A79" s="146"/>
      <c r="B79" s="146"/>
      <c r="C79" s="146"/>
      <c r="D79" s="146"/>
      <c r="E79" s="146"/>
      <c r="F79" s="146"/>
      <c r="G79" s="146"/>
      <c r="H79" s="146"/>
      <c r="I79" s="146"/>
      <c r="J79" s="146"/>
      <c r="K79" s="146"/>
      <c r="L79" s="146"/>
      <c r="M79" s="146"/>
      <c r="N79" s="146"/>
      <c r="O79" s="146"/>
      <c r="P79" s="146"/>
      <c r="Q79" s="146"/>
      <c r="R79" s="146"/>
      <c r="S79" s="146"/>
      <c r="T79" s="146"/>
      <c r="U79" s="146"/>
      <c r="V79" s="146"/>
      <c r="W79" s="146"/>
      <c r="X79" s="146"/>
    </row>
    <row r="80" spans="1:24" ht="12.75">
      <c r="A80" s="146"/>
      <c r="B80" s="146"/>
      <c r="C80" s="146"/>
      <c r="D80" s="146"/>
      <c r="E80" s="146"/>
      <c r="F80" s="146"/>
      <c r="G80" s="146"/>
      <c r="H80" s="146"/>
      <c r="I80" s="146"/>
      <c r="J80" s="146"/>
      <c r="K80" s="146"/>
      <c r="L80" s="146"/>
      <c r="M80" s="146"/>
      <c r="N80" s="146"/>
      <c r="O80" s="146"/>
      <c r="P80" s="146"/>
      <c r="Q80" s="146"/>
      <c r="R80" s="146"/>
      <c r="S80" s="146"/>
      <c r="T80" s="146"/>
      <c r="U80" s="146"/>
      <c r="V80" s="146"/>
      <c r="W80" s="146"/>
      <c r="X80" s="146"/>
    </row>
    <row r="81" spans="1:24" ht="12.75">
      <c r="A81" s="146"/>
      <c r="B81" s="146"/>
      <c r="C81" s="146"/>
      <c r="D81" s="146"/>
      <c r="E81" s="146"/>
      <c r="F81" s="146"/>
      <c r="G81" s="146"/>
      <c r="H81" s="146"/>
      <c r="I81" s="146"/>
      <c r="J81" s="146"/>
      <c r="K81" s="146"/>
      <c r="L81" s="146"/>
      <c r="M81" s="146"/>
      <c r="N81" s="146"/>
      <c r="O81" s="146"/>
      <c r="P81" s="146"/>
      <c r="Q81" s="146"/>
      <c r="R81" s="146"/>
      <c r="S81" s="146"/>
      <c r="T81" s="146"/>
      <c r="U81" s="146"/>
      <c r="V81" s="146"/>
      <c r="W81" s="146"/>
      <c r="X81" s="146"/>
    </row>
    <row r="82" spans="1:24" ht="12.75">
      <c r="A82" s="146"/>
      <c r="B82" s="146"/>
      <c r="C82" s="146"/>
      <c r="D82" s="146"/>
      <c r="E82" s="146"/>
      <c r="F82" s="146"/>
      <c r="G82" s="146"/>
      <c r="H82" s="146"/>
      <c r="I82" s="146"/>
      <c r="J82" s="146"/>
      <c r="K82" s="146"/>
      <c r="L82" s="146"/>
      <c r="M82" s="146"/>
      <c r="N82" s="146"/>
      <c r="O82" s="146"/>
      <c r="P82" s="146"/>
      <c r="Q82" s="146"/>
      <c r="R82" s="146"/>
      <c r="S82" s="146"/>
      <c r="T82" s="146"/>
      <c r="U82" s="146"/>
      <c r="V82" s="146"/>
      <c r="W82" s="146"/>
      <c r="X82" s="146"/>
    </row>
    <row r="83" spans="1:24" ht="12.75">
      <c r="A83" s="146"/>
      <c r="B83" s="146"/>
      <c r="C83" s="146"/>
      <c r="D83" s="146"/>
      <c r="E83" s="146"/>
      <c r="F83" s="146"/>
      <c r="G83" s="146"/>
      <c r="H83" s="146"/>
      <c r="I83" s="146"/>
      <c r="J83" s="146"/>
      <c r="K83" s="146"/>
      <c r="L83" s="146"/>
      <c r="M83" s="146"/>
      <c r="N83" s="146"/>
      <c r="O83" s="146"/>
      <c r="P83" s="146"/>
      <c r="Q83" s="146"/>
      <c r="R83" s="146"/>
      <c r="S83" s="146"/>
      <c r="T83" s="146"/>
      <c r="U83" s="146"/>
      <c r="V83" s="146"/>
      <c r="W83" s="146"/>
      <c r="X83" s="146"/>
    </row>
    <row r="84" spans="1:24" ht="12.75">
      <c r="A84" s="146"/>
      <c r="B84" s="146"/>
      <c r="C84" s="146"/>
      <c r="D84" s="146"/>
      <c r="E84" s="146"/>
      <c r="F84" s="146"/>
      <c r="G84" s="146"/>
      <c r="H84" s="146"/>
      <c r="I84" s="146"/>
      <c r="J84" s="146"/>
      <c r="K84" s="146"/>
      <c r="L84" s="146"/>
      <c r="M84" s="146"/>
      <c r="N84" s="146"/>
      <c r="O84" s="146"/>
      <c r="P84" s="146"/>
      <c r="Q84" s="146"/>
      <c r="R84" s="146"/>
      <c r="S84" s="146"/>
      <c r="T84" s="146"/>
      <c r="U84" s="146"/>
      <c r="V84" s="146"/>
      <c r="W84" s="146"/>
      <c r="X84" s="146"/>
    </row>
    <row r="85" spans="1:24" ht="12.75">
      <c r="A85" s="146"/>
      <c r="B85" s="146"/>
      <c r="C85" s="146"/>
      <c r="D85" s="146"/>
      <c r="E85" s="146"/>
      <c r="F85" s="146"/>
      <c r="G85" s="146"/>
      <c r="H85" s="146"/>
      <c r="I85" s="146"/>
      <c r="J85" s="146"/>
      <c r="K85" s="146"/>
      <c r="L85" s="146"/>
      <c r="M85" s="146"/>
      <c r="N85" s="146"/>
      <c r="O85" s="146"/>
      <c r="P85" s="146"/>
      <c r="Q85" s="146"/>
      <c r="R85" s="146"/>
      <c r="S85" s="146"/>
      <c r="T85" s="146"/>
      <c r="U85" s="146"/>
      <c r="V85" s="146"/>
      <c r="W85" s="146"/>
      <c r="X85" s="146"/>
    </row>
    <row r="86" spans="1:24" ht="12.75">
      <c r="A86" s="146"/>
      <c r="B86" s="146"/>
      <c r="C86" s="146"/>
      <c r="D86" s="146"/>
      <c r="E86" s="146"/>
      <c r="F86" s="146"/>
      <c r="G86" s="146"/>
      <c r="H86" s="146"/>
      <c r="I86" s="146"/>
      <c r="J86" s="146"/>
      <c r="K86" s="146"/>
      <c r="L86" s="146"/>
      <c r="M86" s="146"/>
      <c r="N86" s="146"/>
      <c r="O86" s="146"/>
      <c r="P86" s="146"/>
      <c r="Q86" s="146"/>
      <c r="R86" s="146"/>
      <c r="S86" s="146"/>
      <c r="T86" s="146"/>
      <c r="U86" s="146"/>
      <c r="V86" s="146"/>
      <c r="W86" s="146"/>
      <c r="X86" s="146"/>
    </row>
    <row r="87" spans="1:24" ht="12.75">
      <c r="A87" s="146"/>
      <c r="B87" s="146"/>
      <c r="C87" s="146"/>
      <c r="D87" s="146"/>
      <c r="E87" s="146"/>
      <c r="F87" s="146"/>
      <c r="G87" s="146"/>
      <c r="H87" s="146"/>
      <c r="I87" s="146"/>
      <c r="J87" s="146"/>
      <c r="K87" s="146"/>
      <c r="L87" s="146"/>
      <c r="M87" s="146"/>
      <c r="N87" s="146"/>
      <c r="O87" s="146"/>
      <c r="P87" s="146"/>
      <c r="Q87" s="146"/>
      <c r="R87" s="146"/>
      <c r="S87" s="146"/>
      <c r="T87" s="146"/>
      <c r="U87" s="146"/>
      <c r="V87" s="146"/>
      <c r="W87" s="146"/>
      <c r="X87" s="146"/>
    </row>
    <row r="88" spans="1:24" ht="12.75">
      <c r="A88" s="146"/>
      <c r="B88" s="146"/>
      <c r="C88" s="146"/>
      <c r="D88" s="146"/>
      <c r="E88" s="146"/>
      <c r="F88" s="146"/>
      <c r="G88" s="146"/>
      <c r="H88" s="146"/>
      <c r="I88" s="146"/>
      <c r="J88" s="146"/>
      <c r="K88" s="146"/>
      <c r="L88" s="146"/>
      <c r="M88" s="146"/>
      <c r="N88" s="146"/>
      <c r="O88" s="146"/>
      <c r="P88" s="146"/>
      <c r="Q88" s="146"/>
      <c r="R88" s="146"/>
      <c r="S88" s="146"/>
      <c r="T88" s="146"/>
      <c r="U88" s="146"/>
      <c r="V88" s="146"/>
      <c r="W88" s="146"/>
      <c r="X88" s="146"/>
    </row>
    <row r="89" spans="1:24" ht="12.75">
      <c r="A89" s="146"/>
      <c r="B89" s="146"/>
      <c r="C89" s="146"/>
      <c r="D89" s="146"/>
      <c r="E89" s="146"/>
      <c r="F89" s="146"/>
      <c r="G89" s="146"/>
      <c r="H89" s="146"/>
      <c r="I89" s="146"/>
      <c r="J89" s="146"/>
      <c r="K89" s="146"/>
      <c r="L89" s="146"/>
      <c r="M89" s="146"/>
      <c r="N89" s="146"/>
      <c r="O89" s="146"/>
      <c r="P89" s="146"/>
      <c r="Q89" s="146"/>
      <c r="R89" s="146"/>
      <c r="S89" s="146"/>
      <c r="T89" s="146"/>
      <c r="U89" s="146"/>
      <c r="V89" s="146"/>
      <c r="W89" s="146"/>
      <c r="X89" s="146"/>
    </row>
    <row r="90" spans="1:24" ht="12.75">
      <c r="A90" s="146"/>
      <c r="B90" s="146"/>
      <c r="C90" s="146"/>
      <c r="D90" s="146"/>
      <c r="E90" s="146"/>
      <c r="F90" s="146"/>
      <c r="G90" s="146"/>
      <c r="H90" s="146"/>
      <c r="I90" s="146"/>
      <c r="J90" s="146"/>
      <c r="K90" s="146"/>
      <c r="L90" s="146"/>
      <c r="M90" s="146"/>
      <c r="N90" s="146"/>
      <c r="O90" s="146"/>
      <c r="P90" s="146"/>
      <c r="Q90" s="146"/>
      <c r="R90" s="146"/>
      <c r="S90" s="146"/>
      <c r="T90" s="146"/>
      <c r="U90" s="146"/>
      <c r="V90" s="146"/>
      <c r="W90" s="146"/>
      <c r="X90" s="146"/>
    </row>
    <row r="91" spans="1:24" ht="12.75">
      <c r="A91" s="146"/>
      <c r="B91" s="146"/>
      <c r="C91" s="146"/>
      <c r="D91" s="146"/>
      <c r="E91" s="146"/>
      <c r="F91" s="146"/>
      <c r="G91" s="146"/>
      <c r="H91" s="146"/>
      <c r="I91" s="146"/>
      <c r="J91" s="146"/>
      <c r="K91" s="146"/>
      <c r="L91" s="146"/>
      <c r="M91" s="146"/>
      <c r="N91" s="146"/>
      <c r="O91" s="146"/>
      <c r="P91" s="146"/>
      <c r="Q91" s="146"/>
      <c r="R91" s="146"/>
      <c r="S91" s="146"/>
      <c r="T91" s="146"/>
      <c r="U91" s="146"/>
      <c r="V91" s="146"/>
      <c r="W91" s="146"/>
      <c r="X91" s="146"/>
    </row>
    <row r="92" spans="1:24" ht="12.75">
      <c r="A92" s="146"/>
      <c r="B92" s="146"/>
      <c r="C92" s="146"/>
      <c r="D92" s="146"/>
      <c r="E92" s="146"/>
      <c r="F92" s="146"/>
      <c r="G92" s="146"/>
      <c r="H92" s="146"/>
      <c r="I92" s="146"/>
      <c r="J92" s="146"/>
      <c r="K92" s="146"/>
      <c r="L92" s="146"/>
      <c r="M92" s="146"/>
      <c r="N92" s="146"/>
      <c r="O92" s="146"/>
      <c r="P92" s="146"/>
      <c r="Q92" s="146"/>
      <c r="R92" s="146"/>
      <c r="S92" s="146"/>
      <c r="T92" s="146"/>
      <c r="U92" s="146"/>
      <c r="V92" s="146"/>
      <c r="W92" s="146"/>
      <c r="X92" s="146"/>
    </row>
    <row r="93" spans="1:24" ht="12.75">
      <c r="A93" s="146"/>
      <c r="B93" s="146"/>
      <c r="C93" s="146"/>
      <c r="D93" s="146"/>
      <c r="E93" s="146"/>
      <c r="F93" s="146"/>
      <c r="G93" s="146"/>
      <c r="H93" s="146"/>
      <c r="I93" s="146"/>
      <c r="J93" s="146"/>
      <c r="K93" s="146"/>
      <c r="L93" s="146"/>
      <c r="M93" s="146"/>
      <c r="N93" s="146"/>
      <c r="O93" s="146"/>
      <c r="P93" s="146"/>
      <c r="Q93" s="146"/>
      <c r="R93" s="146"/>
      <c r="S93" s="146"/>
      <c r="T93" s="146"/>
      <c r="U93" s="146"/>
      <c r="V93" s="146"/>
      <c r="W93" s="146"/>
      <c r="X93" s="146"/>
    </row>
    <row r="94" spans="1:24" ht="12.75">
      <c r="A94" s="146"/>
      <c r="B94" s="146"/>
      <c r="C94" s="146"/>
      <c r="D94" s="146"/>
      <c r="E94" s="146"/>
      <c r="F94" s="146"/>
      <c r="G94" s="146"/>
      <c r="H94" s="146"/>
      <c r="I94" s="146"/>
      <c r="J94" s="146"/>
      <c r="K94" s="146"/>
      <c r="L94" s="146"/>
      <c r="M94" s="146"/>
      <c r="N94" s="146"/>
      <c r="O94" s="146"/>
      <c r="P94" s="146"/>
      <c r="Q94" s="146"/>
      <c r="R94" s="146"/>
      <c r="S94" s="146"/>
      <c r="T94" s="146"/>
      <c r="U94" s="146"/>
      <c r="V94" s="146"/>
      <c r="W94" s="146"/>
      <c r="X94" s="146"/>
    </row>
    <row r="95" spans="1:24" ht="12.75">
      <c r="A95" s="146"/>
      <c r="B95" s="146"/>
      <c r="C95" s="146"/>
      <c r="D95" s="146"/>
      <c r="E95" s="146"/>
      <c r="F95" s="146"/>
      <c r="G95" s="146"/>
      <c r="H95" s="146"/>
      <c r="I95" s="146"/>
      <c r="J95" s="146"/>
      <c r="K95" s="146"/>
      <c r="L95" s="146"/>
      <c r="M95" s="146"/>
      <c r="N95" s="146"/>
      <c r="O95" s="146"/>
      <c r="P95" s="146"/>
      <c r="Q95" s="146"/>
      <c r="R95" s="146"/>
      <c r="S95" s="146"/>
      <c r="T95" s="146"/>
      <c r="U95" s="146"/>
      <c r="V95" s="146"/>
      <c r="W95" s="146"/>
      <c r="X95" s="146"/>
    </row>
    <row r="96" spans="1:24" ht="12.75">
      <c r="A96" s="146"/>
      <c r="B96" s="146"/>
      <c r="C96" s="146"/>
      <c r="D96" s="146"/>
      <c r="E96" s="146"/>
      <c r="F96" s="146"/>
      <c r="G96" s="146"/>
      <c r="H96" s="146"/>
      <c r="I96" s="146"/>
      <c r="J96" s="146"/>
      <c r="K96" s="146"/>
      <c r="L96" s="146"/>
      <c r="M96" s="146"/>
      <c r="N96" s="146"/>
      <c r="O96" s="146"/>
      <c r="P96" s="146"/>
      <c r="Q96" s="146"/>
      <c r="R96" s="146"/>
      <c r="S96" s="146"/>
      <c r="T96" s="146"/>
      <c r="U96" s="146"/>
      <c r="V96" s="146"/>
      <c r="W96" s="146"/>
      <c r="X96" s="146"/>
    </row>
    <row r="97" spans="1:24" ht="12.75">
      <c r="A97" s="146"/>
      <c r="B97" s="146"/>
      <c r="C97" s="146"/>
      <c r="D97" s="146"/>
      <c r="E97" s="146"/>
      <c r="F97" s="146"/>
      <c r="G97" s="146"/>
      <c r="H97" s="146"/>
      <c r="I97" s="146"/>
      <c r="J97" s="146"/>
      <c r="K97" s="146"/>
      <c r="L97" s="146"/>
      <c r="M97" s="146"/>
      <c r="N97" s="146"/>
      <c r="O97" s="146"/>
      <c r="P97" s="146"/>
      <c r="Q97" s="146"/>
      <c r="R97" s="146"/>
      <c r="S97" s="146"/>
      <c r="T97" s="146"/>
      <c r="U97" s="146"/>
      <c r="V97" s="146"/>
      <c r="W97" s="146"/>
      <c r="X97" s="146"/>
    </row>
    <row r="98" spans="1:24" ht="12.75">
      <c r="A98" s="146"/>
      <c r="B98" s="146"/>
      <c r="C98" s="146"/>
      <c r="D98" s="146"/>
      <c r="E98" s="146"/>
      <c r="F98" s="146"/>
      <c r="G98" s="146"/>
      <c r="H98" s="146"/>
      <c r="I98" s="146"/>
      <c r="J98" s="146"/>
      <c r="K98" s="146"/>
      <c r="L98" s="146"/>
      <c r="M98" s="146"/>
      <c r="N98" s="146"/>
      <c r="O98" s="146"/>
      <c r="P98" s="146"/>
      <c r="Q98" s="146"/>
      <c r="R98" s="146"/>
      <c r="S98" s="146"/>
      <c r="T98" s="146"/>
      <c r="U98" s="146"/>
      <c r="V98" s="146"/>
      <c r="W98" s="146"/>
      <c r="X98" s="146"/>
    </row>
    <row r="99" spans="1:24" ht="12.75">
      <c r="A99" s="146"/>
      <c r="B99" s="146"/>
      <c r="C99" s="146"/>
      <c r="D99" s="146"/>
      <c r="E99" s="146"/>
      <c r="F99" s="146"/>
      <c r="G99" s="146"/>
      <c r="H99" s="146"/>
      <c r="I99" s="146"/>
      <c r="J99" s="146"/>
      <c r="K99" s="146"/>
      <c r="L99" s="146"/>
      <c r="M99" s="146"/>
      <c r="N99" s="146"/>
      <c r="O99" s="146"/>
      <c r="P99" s="146"/>
      <c r="Q99" s="146"/>
      <c r="R99" s="146"/>
      <c r="S99" s="146"/>
      <c r="T99" s="146"/>
      <c r="U99" s="146"/>
      <c r="V99" s="146"/>
      <c r="W99" s="146"/>
      <c r="X99" s="146"/>
    </row>
    <row r="100" spans="1:24" ht="12.75">
      <c r="A100" s="146"/>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row>
    <row r="101" spans="1:24" ht="12.75">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row>
    <row r="102" spans="1:24" ht="12.75">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row>
    <row r="103" spans="1:24" ht="12.75">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row>
    <row r="104" spans="1:24" ht="12.75">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row>
    <row r="105" spans="1:24" ht="12.75">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row>
    <row r="106" spans="1:24" ht="12.75">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row>
    <row r="107" spans="1:24" ht="12.75">
      <c r="A107" s="146"/>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row>
    <row r="108" spans="1:24" ht="12.75">
      <c r="A108" s="146"/>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row>
    <row r="109" spans="1:24" ht="12.75">
      <c r="A109" s="146"/>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row>
    <row r="110" spans="1:24" ht="12.75">
      <c r="A110" s="146"/>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row>
    <row r="111" spans="1:24" ht="12.75">
      <c r="A111" s="146"/>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row>
    <row r="112" spans="1:24" ht="12.75">
      <c r="A112" s="146"/>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row>
    <row r="113" spans="1:24" ht="12.75">
      <c r="A113" s="146"/>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row>
    <row r="114" spans="1:24" ht="12.75">
      <c r="A114" s="146"/>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row>
    <row r="115" spans="1:24" ht="12.75">
      <c r="A115" s="146"/>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row>
    <row r="116" spans="1:24" ht="12.75">
      <c r="A116" s="146"/>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row>
    <row r="117" spans="1:24" ht="12.75">
      <c r="A117" s="146"/>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row>
    <row r="118" spans="1:24" ht="12.75">
      <c r="A118" s="146"/>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row>
    <row r="119" spans="1:24" ht="12.75">
      <c r="A119" s="146"/>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row>
    <row r="120" spans="1:24" ht="12.75">
      <c r="A120" s="146"/>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row>
    <row r="121" spans="1:24" ht="12.75">
      <c r="A121" s="146"/>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row>
    <row r="122" spans="1:24" ht="12.75">
      <c r="A122" s="146"/>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row>
    <row r="123" spans="1:24" ht="12.75">
      <c r="A123" s="146"/>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row>
    <row r="124" spans="1:24" ht="12.75">
      <c r="A124" s="146"/>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row>
    <row r="125" spans="1:24" ht="12.75">
      <c r="A125" s="146"/>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row>
    <row r="126" spans="1:24" ht="12.75">
      <c r="A126" s="146"/>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row>
    <row r="127" spans="1:24" ht="12.75">
      <c r="A127" s="146"/>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row>
    <row r="128" spans="1:24" ht="12.75">
      <c r="A128" s="146"/>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row>
    <row r="129" spans="1:24" ht="12.75">
      <c r="A129" s="146"/>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row>
    <row r="130" spans="1:24" ht="12.75">
      <c r="A130" s="146"/>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row>
    <row r="131" spans="1:24" ht="12.75">
      <c r="A131" s="146"/>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row>
    <row r="132" spans="1:24" ht="12.75">
      <c r="A132" s="146"/>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row>
    <row r="133" spans="1:24" ht="12.75">
      <c r="A133" s="146"/>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row>
    <row r="134" spans="1:24" ht="12.75">
      <c r="A134" s="146"/>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row>
    <row r="135" spans="1:24" ht="12.75">
      <c r="A135" s="146"/>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row>
    <row r="136" spans="1:24" ht="12.75">
      <c r="A136" s="146"/>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row>
    <row r="137" spans="1:24" ht="12.75">
      <c r="A137" s="146"/>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row>
    <row r="138" spans="1:24" ht="12.75">
      <c r="A138" s="146"/>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row>
    <row r="139" spans="1:24" ht="12.75">
      <c r="A139" s="146"/>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row>
    <row r="140" spans="1:24" ht="12.75">
      <c r="A140" s="146"/>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row>
    <row r="141" spans="1:24" ht="12.75">
      <c r="A141" s="146"/>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row>
    <row r="142" spans="1:24" ht="12.75">
      <c r="A142" s="146"/>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row>
    <row r="143" spans="1:24" ht="12.75">
      <c r="A143" s="146"/>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row>
    <row r="144" spans="1:24" ht="12.75">
      <c r="A144" s="146"/>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row>
    <row r="145" spans="1:24" ht="12.75">
      <c r="A145" s="146"/>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row>
    <row r="146" spans="1:24" ht="12.75">
      <c r="A146" s="146"/>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row>
    <row r="147" spans="1:24" ht="12.75">
      <c r="A147" s="146"/>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row>
    <row r="148" spans="1:24" ht="12.75">
      <c r="A148" s="146"/>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row>
    <row r="149" spans="1:24" ht="12.75">
      <c r="A149" s="146"/>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row>
    <row r="150" spans="1:24" ht="12.75">
      <c r="A150" s="146"/>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row>
    <row r="151" spans="1:24" ht="12.75">
      <c r="A151" s="146"/>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row>
    <row r="152" spans="1:24" ht="12.75">
      <c r="A152" s="146"/>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row>
    <row r="153" spans="1:24" ht="12.75">
      <c r="A153" s="146"/>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row>
    <row r="154" spans="1:24" ht="12.75">
      <c r="A154" s="146"/>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row>
    <row r="155" spans="1:24" ht="12.75">
      <c r="A155" s="146"/>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row>
    <row r="156" spans="1:24" ht="12.75">
      <c r="A156" s="146"/>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row>
    <row r="157" spans="1:24" ht="12.75">
      <c r="A157" s="146"/>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row>
    <row r="158" spans="1:24" ht="12.75">
      <c r="A158" s="146"/>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row>
    <row r="159" spans="1:24" ht="12.75">
      <c r="A159" s="146"/>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row>
    <row r="160" spans="1:24" ht="12.75">
      <c r="A160" s="146"/>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row>
    <row r="161" spans="1:24" ht="12.75">
      <c r="A161" s="146"/>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row>
    <row r="162" spans="1:24" ht="12.75">
      <c r="A162" s="146"/>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row>
    <row r="163" spans="1:24" ht="12.75">
      <c r="A163" s="146"/>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row>
    <row r="164" spans="1:24" ht="12.75">
      <c r="A164" s="146"/>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row>
    <row r="165" spans="1:24" ht="12.75">
      <c r="A165" s="146"/>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row>
    <row r="166" spans="1:24" ht="12.75">
      <c r="A166" s="146"/>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row>
    <row r="167" spans="1:24" ht="12.75">
      <c r="A167" s="146"/>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row>
    <row r="168" spans="1:24" ht="12.75">
      <c r="A168" s="146"/>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row>
    <row r="169" spans="1:24" ht="12.75">
      <c r="A169" s="146"/>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row>
    <row r="170" spans="1:24" ht="12.75">
      <c r="A170" s="146"/>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row>
    <row r="171" spans="1:24" ht="12.75">
      <c r="A171" s="146"/>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row>
    <row r="172" spans="1:24" ht="12.75">
      <c r="A172" s="146"/>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row>
    <row r="173" spans="1:24" ht="12.75">
      <c r="A173" s="146"/>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row>
    <row r="174" spans="1:24" ht="12.75">
      <c r="A174" s="146"/>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row>
    <row r="175" spans="1:24" ht="12.75">
      <c r="A175" s="146"/>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row>
    <row r="176" spans="1:24" ht="12.75">
      <c r="A176" s="146"/>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row>
    <row r="177" spans="1:24" ht="12.75">
      <c r="A177" s="146"/>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row>
    <row r="178" spans="1:24" ht="12.75">
      <c r="A178" s="146"/>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row>
    <row r="179" spans="1:24" ht="12.75">
      <c r="A179" s="146"/>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row>
    <row r="180" spans="1:24" ht="12.75">
      <c r="A180" s="146"/>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row>
    <row r="181" spans="1:24" ht="12.75">
      <c r="A181" s="146"/>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row>
    <row r="182" spans="1:24" ht="12.75">
      <c r="A182" s="146"/>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row>
    <row r="183" spans="1:24" ht="12.75">
      <c r="A183" s="146"/>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row>
    <row r="184" spans="1:24" ht="12.75">
      <c r="A184" s="146"/>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row>
    <row r="185" spans="1:24" ht="12.75">
      <c r="A185" s="146"/>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row>
    <row r="186" spans="1:24" ht="12.75">
      <c r="A186" s="146"/>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row>
    <row r="187" spans="1:24" ht="12.75">
      <c r="A187" s="146"/>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row>
    <row r="188" spans="1:24" ht="12.75">
      <c r="A188" s="146"/>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row>
    <row r="189" spans="1:24" ht="12.75">
      <c r="A189" s="146"/>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row>
    <row r="190" spans="1:24" ht="12.75">
      <c r="A190" s="146"/>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row>
    <row r="191" spans="1:24" ht="12.75">
      <c r="A191" s="146"/>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row>
    <row r="192" spans="1:24" ht="12.75">
      <c r="A192" s="146"/>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row>
    <row r="193" spans="1:24" ht="12.75">
      <c r="A193" s="146"/>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row>
    <row r="194" spans="1:24" ht="12.75">
      <c r="A194" s="146"/>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row>
    <row r="195" spans="1:24" ht="12.75">
      <c r="A195" s="146"/>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row>
    <row r="196" spans="1:24" ht="12.75">
      <c r="A196" s="146"/>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row>
    <row r="197" spans="1:24" ht="12.75">
      <c r="A197" s="146"/>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row>
    <row r="198" spans="1:24" ht="12.75">
      <c r="A198" s="146"/>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row>
    <row r="199" spans="1:24" ht="12.75">
      <c r="A199" s="146"/>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row>
    <row r="200" spans="1:24" ht="12.75">
      <c r="A200" s="146"/>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row>
    <row r="201" spans="1:24" ht="12.75">
      <c r="A201" s="146"/>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row>
    <row r="202" spans="1:24" ht="12.75">
      <c r="A202" s="146"/>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row>
    <row r="203" spans="1:24" ht="12.75">
      <c r="A203" s="146"/>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row>
    <row r="204" spans="1:24" ht="12.75">
      <c r="A204" s="146"/>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row>
    <row r="205" spans="1:24" ht="12.75">
      <c r="A205" s="146"/>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row>
    <row r="206" spans="1:24" ht="12.75">
      <c r="A206" s="146"/>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row>
    <row r="207" spans="1:24" ht="12.75">
      <c r="A207" s="146"/>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row>
    <row r="208" spans="1:24" ht="12.75">
      <c r="A208" s="146"/>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row>
    <row r="209" spans="1:24" ht="12.75">
      <c r="A209" s="146"/>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row>
    <row r="210" spans="1:24" ht="12.75">
      <c r="A210" s="146"/>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row>
    <row r="211" spans="1:24" ht="12.75">
      <c r="A211" s="146"/>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row>
    <row r="212" spans="1:24" ht="12.75">
      <c r="A212" s="146"/>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row>
    <row r="213" spans="1:24" ht="12.75">
      <c r="A213" s="146"/>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row>
    <row r="214" spans="1:24" ht="12.75">
      <c r="A214" s="146"/>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row>
    <row r="215" spans="1:24" ht="12.75">
      <c r="A215" s="146"/>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row>
    <row r="216" spans="1:24" ht="12.75">
      <c r="A216" s="146"/>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row>
    <row r="217" spans="1:24" ht="12.75">
      <c r="A217" s="146"/>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row>
    <row r="218" spans="1:24" ht="12.75">
      <c r="A218" s="146"/>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row>
    <row r="219" spans="1:24" ht="12.75">
      <c r="A219" s="146"/>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row>
    <row r="220" spans="1:24" ht="12.75">
      <c r="A220" s="146"/>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row>
    <row r="221" spans="1:24" ht="12.75">
      <c r="A221" s="146"/>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row>
    <row r="222" spans="1:24" ht="12.75">
      <c r="A222" s="146"/>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row>
    <row r="223" spans="1:24" ht="12.75">
      <c r="A223" s="146"/>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row>
    <row r="224" spans="1:24" ht="12.75">
      <c r="A224" s="146"/>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row>
    <row r="225" spans="1:24" ht="12.75">
      <c r="A225" s="146"/>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row>
    <row r="226" spans="1:24" ht="12.75">
      <c r="A226" s="146"/>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row>
    <row r="227" spans="1:24" ht="12.75">
      <c r="A227" s="146"/>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row>
    <row r="228" spans="1:24" ht="12.75">
      <c r="A228" s="146"/>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row>
    <row r="229" spans="1:24" ht="12.75">
      <c r="A229" s="146"/>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row>
    <row r="230" spans="1:24" ht="12.75">
      <c r="A230" s="146"/>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row>
    <row r="231" spans="1:24" ht="12.75">
      <c r="A231" s="146"/>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row>
    <row r="232" spans="1:24" ht="12.75">
      <c r="A232" s="146"/>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row>
    <row r="233" spans="1:24" ht="12.75">
      <c r="A233" s="146"/>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row>
    <row r="234" spans="1:24" ht="12.75">
      <c r="A234" s="146"/>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row>
    <row r="235" spans="1:24" ht="12.75">
      <c r="A235" s="146"/>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row>
    <row r="236" spans="1:24" ht="12.75">
      <c r="A236" s="146"/>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row>
    <row r="237" spans="1:24" ht="12.75">
      <c r="A237" s="146"/>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row>
    <row r="238" spans="1:24" ht="12.75">
      <c r="A238" s="146"/>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row>
    <row r="239" spans="1:24" ht="12.75">
      <c r="A239" s="146"/>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row>
    <row r="240" spans="1:24" ht="12.75">
      <c r="A240" s="146"/>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row>
    <row r="241" spans="1:24" ht="12.75">
      <c r="A241" s="146"/>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row>
    <row r="242" spans="1:24" ht="12.75">
      <c r="A242" s="146"/>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row>
    <row r="243" spans="1:24" ht="12.75">
      <c r="A243" s="146"/>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row>
    <row r="244" spans="1:24" ht="12.75">
      <c r="A244" s="146"/>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row>
    <row r="245" spans="1:24" ht="12.75">
      <c r="A245" s="146"/>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row>
    <row r="246" spans="1:24" ht="12.75">
      <c r="A246" s="146"/>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row>
    <row r="247" spans="1:24" ht="12.75">
      <c r="A247" s="146"/>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row>
    <row r="248" spans="1:24" ht="12.75">
      <c r="A248" s="146"/>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row>
    <row r="249" spans="1:24" ht="12.75">
      <c r="A249" s="146"/>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row>
    <row r="250" spans="1:24" ht="12.75">
      <c r="A250" s="146"/>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row>
    <row r="251" spans="1:24" ht="12.75">
      <c r="A251" s="146"/>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row>
    <row r="252" spans="1:24" ht="12.75">
      <c r="A252" s="146"/>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row>
    <row r="253" spans="1:24" ht="12.75">
      <c r="A253" s="146"/>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row>
    <row r="254" spans="1:24" ht="12.75">
      <c r="A254" s="146"/>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row>
    <row r="255" spans="1:24" ht="12.75">
      <c r="A255" s="146"/>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row>
    <row r="256" spans="1:24" ht="12.75">
      <c r="A256" s="146"/>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row>
    <row r="257" spans="1:24" ht="12.75">
      <c r="A257" s="146"/>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row>
    <row r="258" spans="1:24" ht="12.75">
      <c r="A258" s="146"/>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row>
    <row r="259" spans="1:24" ht="12.75">
      <c r="A259" s="146"/>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row>
    <row r="260" spans="1:24" ht="12.75">
      <c r="A260" s="146"/>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row>
    <row r="261" spans="1:24" ht="12.75">
      <c r="A261" s="146"/>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row>
    <row r="262" spans="1:24" ht="12.75">
      <c r="A262" s="146"/>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row>
    <row r="263" spans="1:24" ht="12.75">
      <c r="A263" s="146"/>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row>
    <row r="264" spans="1:24" ht="12.75">
      <c r="A264" s="146"/>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row>
    <row r="265" spans="1:24" ht="12.75">
      <c r="A265" s="146"/>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row>
    <row r="266" spans="1:24" ht="12.75">
      <c r="A266" s="146"/>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row>
    <row r="267" spans="1:24" ht="12.75">
      <c r="A267" s="146"/>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row>
    <row r="268" spans="1:24" ht="12.75">
      <c r="A268" s="146"/>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row>
    <row r="269" spans="1:24" ht="12.75">
      <c r="A269" s="146"/>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row>
    <row r="270" spans="1:24" ht="12.75">
      <c r="A270" s="146"/>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row>
    <row r="271" spans="1:24" ht="12.75">
      <c r="A271" s="146"/>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row>
    <row r="272" spans="1:24" ht="12.75">
      <c r="A272" s="146"/>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row>
    <row r="273" spans="1:24" ht="12.75">
      <c r="A273" s="146"/>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row>
    <row r="274" spans="1:24" ht="12.75">
      <c r="A274" s="146"/>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row>
    <row r="275" spans="1:24" ht="12.75">
      <c r="A275" s="146"/>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row>
    <row r="276" spans="1:24" ht="12.75">
      <c r="A276" s="146"/>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row>
    <row r="277" spans="1:24" ht="12.75">
      <c r="A277" s="146"/>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row>
    <row r="278" spans="1:24" ht="12.75">
      <c r="A278" s="146"/>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row>
    <row r="279" spans="1:24" ht="12.75">
      <c r="A279" s="146"/>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row>
    <row r="280" spans="1:24" ht="12.75">
      <c r="A280" s="146"/>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row>
    <row r="281" spans="1:24" ht="12.75">
      <c r="A281" s="146"/>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row>
    <row r="282" spans="1:24" ht="12.75">
      <c r="A282" s="146"/>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row>
    <row r="283" spans="1:24" ht="12.75">
      <c r="A283" s="146"/>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row>
    <row r="284" spans="1:24" ht="12.75">
      <c r="A284" s="146"/>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row>
    <row r="285" spans="1:24" ht="12.75">
      <c r="A285" s="146"/>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row>
    <row r="286" spans="1:24" ht="12.75">
      <c r="A286" s="146"/>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row>
    <row r="287" spans="1:24" ht="12.75">
      <c r="A287" s="146"/>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row>
    <row r="288" spans="1:24" ht="12.75">
      <c r="A288" s="146"/>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row>
    <row r="289" spans="1:24" ht="12.75">
      <c r="A289" s="146"/>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row>
    <row r="290" spans="1:24" ht="12.75">
      <c r="A290" s="146"/>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row>
    <row r="291" spans="1:24" ht="12.75">
      <c r="A291" s="146"/>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row>
    <row r="292" spans="1:24" ht="12.75">
      <c r="A292" s="146"/>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row>
    <row r="293" spans="1:24" ht="12.75">
      <c r="A293" s="146"/>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row>
    <row r="294" spans="1:24" ht="12.75">
      <c r="A294" s="146"/>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row>
    <row r="295" spans="1:24" ht="12.75">
      <c r="A295" s="146"/>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row>
    <row r="296" spans="1:24" ht="12.75">
      <c r="A296" s="146"/>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row>
    <row r="297" spans="1:24" ht="12.75">
      <c r="A297" s="146"/>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row>
    <row r="298" spans="1:24" ht="12.75">
      <c r="A298" s="146"/>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row>
    <row r="299" spans="1:24" ht="12.75">
      <c r="A299" s="146"/>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row>
    <row r="300" spans="1:24" ht="12.75">
      <c r="A300" s="146"/>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row>
    <row r="301" spans="1:24" ht="12.75">
      <c r="A301" s="146"/>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row>
    <row r="302" spans="1:24" ht="12.75">
      <c r="A302" s="146"/>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row>
    <row r="303" spans="1:24" ht="12.75">
      <c r="A303" s="146"/>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row>
    <row r="304" spans="1:24" ht="12.75">
      <c r="A304" s="146"/>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row>
    <row r="305" spans="1:24" ht="12.75">
      <c r="A305" s="146"/>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row>
    <row r="306" spans="1:24" ht="12.75">
      <c r="A306" s="146"/>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row>
    <row r="307" spans="1:24" ht="12.75">
      <c r="A307" s="146"/>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row>
    <row r="308" spans="1:24" ht="12.75">
      <c r="A308" s="146"/>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row>
    <row r="309" spans="1:24" ht="12.75">
      <c r="A309" s="146"/>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row>
    <row r="310" spans="1:24" ht="12.75">
      <c r="A310" s="146"/>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row>
    <row r="311" spans="1:24" ht="12.75">
      <c r="A311" s="146"/>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row>
    <row r="312" spans="1:24" ht="12.75">
      <c r="A312" s="146"/>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row>
    <row r="313" spans="1:24" ht="12.75">
      <c r="A313" s="146"/>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row>
    <row r="314" spans="1:24" ht="12.75">
      <c r="A314" s="146"/>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row>
    <row r="315" spans="1:24" ht="12.75">
      <c r="A315" s="146"/>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row>
    <row r="316" spans="1:24" ht="12.75">
      <c r="A316" s="146"/>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row>
    <row r="317" spans="1:24" ht="12.75">
      <c r="A317" s="146"/>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row>
    <row r="318" spans="1:24" ht="12.75">
      <c r="A318" s="146"/>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row>
    <row r="319" spans="1:24" ht="12.75">
      <c r="A319" s="146"/>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row>
    <row r="320" spans="1:24" ht="12.75">
      <c r="A320" s="146"/>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row>
    <row r="321" spans="1:24" ht="12.75">
      <c r="A321" s="146"/>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row>
    <row r="322" spans="1:24" ht="12.75">
      <c r="A322" s="146"/>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row>
    <row r="323" spans="1:24" ht="12.75">
      <c r="A323" s="146"/>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row>
    <row r="324" spans="1:24" ht="12.75">
      <c r="A324" s="146"/>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row>
    <row r="325" spans="1:24" ht="12.75">
      <c r="A325" s="146"/>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row>
    <row r="326" spans="1:24" ht="12.75">
      <c r="A326" s="146"/>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row>
    <row r="327" spans="1:24" ht="12.75">
      <c r="A327" s="146"/>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row>
    <row r="328" spans="1:24" ht="12.75">
      <c r="A328" s="146"/>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row>
    <row r="329" spans="1:24" ht="12.75">
      <c r="A329" s="146"/>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row>
    <row r="330" spans="1:24" ht="12.75">
      <c r="A330" s="146"/>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row>
    <row r="331" spans="1:24" ht="12.75">
      <c r="A331" s="146"/>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row>
    <row r="332" spans="1:24" ht="12.75">
      <c r="A332" s="146"/>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row>
    <row r="333" spans="1:24" ht="12.75">
      <c r="A333" s="146"/>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row>
    <row r="334" spans="1:24" ht="12.75">
      <c r="A334" s="146"/>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row>
    <row r="335" spans="1:24" ht="12.75">
      <c r="A335" s="146"/>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row>
    <row r="336" spans="1:24" ht="12.75">
      <c r="A336" s="146"/>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row>
    <row r="337" spans="1:24" ht="12.75">
      <c r="A337" s="146"/>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row>
    <row r="338" spans="1:24" ht="12.75">
      <c r="A338" s="146"/>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row>
    <row r="339" spans="1:24" ht="12.75">
      <c r="A339" s="146"/>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row>
    <row r="340" spans="1:24" ht="12.75">
      <c r="A340" s="146"/>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row>
    <row r="341" spans="1:24" ht="12.75">
      <c r="A341" s="146"/>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row>
    <row r="342" spans="1:24" ht="12.75">
      <c r="A342" s="146"/>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row>
    <row r="343" spans="1:24" ht="12.75">
      <c r="A343" s="146"/>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row>
    <row r="344" spans="1:24" ht="12.75">
      <c r="A344" s="146"/>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row>
    <row r="345" spans="1:24" ht="12.75">
      <c r="A345" s="146"/>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row>
    <row r="346" spans="1:24" ht="12.75">
      <c r="A346" s="146"/>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row>
    <row r="347" spans="1:24" ht="12.75">
      <c r="A347" s="146"/>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row>
    <row r="348" spans="1:24" ht="12.75">
      <c r="A348" s="146"/>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row>
    <row r="349" spans="1:24" ht="12.75">
      <c r="A349" s="146"/>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row>
    <row r="350" spans="1:24" ht="12.75">
      <c r="A350" s="146"/>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row>
    <row r="351" spans="1:24" ht="12.75">
      <c r="A351" s="146"/>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row>
    <row r="352" spans="1:24" ht="12.75">
      <c r="A352" s="146"/>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row>
    <row r="353" spans="1:24" ht="12.75">
      <c r="A353" s="146"/>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row>
    <row r="354" spans="1:24" ht="12.75">
      <c r="A354" s="146"/>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row>
    <row r="355" spans="1:24" ht="12.75">
      <c r="A355" s="146"/>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row>
    <row r="356" spans="1:24" ht="12.75">
      <c r="A356" s="146"/>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row>
    <row r="357" spans="1:24" ht="12.75">
      <c r="A357" s="146"/>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row>
    <row r="358" spans="1:24" ht="12.75">
      <c r="A358" s="146"/>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row>
    <row r="359" spans="1:24" ht="12.75">
      <c r="A359" s="146"/>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row>
    <row r="360" spans="1:24" ht="12.75">
      <c r="A360" s="146"/>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row>
    <row r="361" spans="1:24" ht="12.75">
      <c r="A361" s="146"/>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row>
    <row r="362" spans="1:24" ht="12.75">
      <c r="A362" s="146"/>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row>
    <row r="363" spans="1:24" ht="12.75">
      <c r="A363" s="146"/>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row>
    <row r="364" spans="1:24" ht="12.75">
      <c r="A364" s="146"/>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row>
    <row r="365" spans="1:24" ht="12.75">
      <c r="A365" s="146"/>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row>
    <row r="366" spans="1:24" ht="12.75">
      <c r="A366" s="146"/>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row>
    <row r="367" spans="1:24" ht="12.75">
      <c r="A367" s="146"/>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row>
    <row r="368" spans="1:24" ht="12.75">
      <c r="A368" s="146"/>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row>
    <row r="369" spans="1:24" ht="12.75">
      <c r="A369" s="146"/>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row>
    <row r="370" spans="1:24" ht="12.75">
      <c r="A370" s="146"/>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row>
    <row r="371" spans="1:24" ht="12.75">
      <c r="A371" s="146"/>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row>
    <row r="372" spans="1:24" ht="12.75">
      <c r="A372" s="146"/>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row>
    <row r="373" spans="1:24" ht="12.75">
      <c r="A373" s="146"/>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row>
    <row r="374" spans="1:24" ht="12.75">
      <c r="A374" s="146"/>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row>
    <row r="375" spans="1:24" ht="12.75">
      <c r="A375" s="146"/>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row>
    <row r="376" spans="1:24" ht="12.75">
      <c r="A376" s="146"/>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row>
    <row r="377" spans="1:24" ht="12.75">
      <c r="A377" s="146"/>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row>
    <row r="378" spans="1:24" ht="12.75">
      <c r="A378" s="146"/>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row>
    <row r="379" spans="1:24" ht="12.75">
      <c r="A379" s="146"/>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row>
    <row r="380" spans="1:24" ht="12.75">
      <c r="A380" s="146"/>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row>
    <row r="381" spans="1:24" ht="12.75">
      <c r="A381" s="146"/>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row>
    <row r="382" spans="1:24" ht="12.75">
      <c r="A382" s="146"/>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row>
    <row r="383" spans="1:24" ht="12.75">
      <c r="A383" s="146"/>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row>
    <row r="384" spans="1:24" ht="12.75">
      <c r="A384" s="146"/>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row>
    <row r="385" spans="1:24" ht="12.75">
      <c r="A385" s="146"/>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row>
    <row r="386" spans="1:24" ht="12.75">
      <c r="A386" s="146"/>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row>
    <row r="387" spans="1:24" ht="12.75">
      <c r="A387" s="146"/>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row>
    <row r="388" spans="1:24" ht="12.75">
      <c r="A388" s="146"/>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row>
    <row r="389" spans="1:24" ht="12.75">
      <c r="A389" s="146"/>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row>
    <row r="390" spans="1:24" ht="12.75">
      <c r="A390" s="146"/>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row>
    <row r="391" spans="1:24" ht="12.75">
      <c r="A391" s="146"/>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row>
    <row r="392" spans="1:24" ht="12.75">
      <c r="A392" s="146"/>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row>
    <row r="393" spans="1:24" ht="12.75">
      <c r="A393" s="146"/>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row>
    <row r="394" spans="1:24" ht="12.75">
      <c r="A394" s="146"/>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row>
    <row r="395" spans="1:24" ht="12.75">
      <c r="A395" s="146"/>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row>
    <row r="396" spans="1:24" ht="12.75">
      <c r="A396" s="146"/>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row>
    <row r="397" spans="1:24" ht="12.75">
      <c r="A397" s="146"/>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row>
    <row r="398" spans="1:24" ht="12.75">
      <c r="A398" s="146"/>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row>
    <row r="399" spans="1:24" ht="12.75">
      <c r="A399" s="146"/>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row>
    <row r="400" spans="1:24" ht="12.75">
      <c r="A400" s="146"/>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row>
    <row r="401" spans="1:24" ht="12.75">
      <c r="A401" s="146"/>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row>
    <row r="402" spans="1:24" ht="12.75">
      <c r="A402" s="146"/>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row>
    <row r="403" spans="1:24" ht="12.75">
      <c r="A403" s="146"/>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row>
    <row r="404" spans="1:24" ht="12.75">
      <c r="A404" s="146"/>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row>
    <row r="405" spans="1:24" ht="12.75">
      <c r="A405" s="146"/>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row>
    <row r="406" spans="1:24" ht="12.75">
      <c r="A406" s="146"/>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row>
    <row r="407" spans="1:24" ht="12.75">
      <c r="A407" s="146"/>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row>
    <row r="408" spans="1:24" ht="12.75">
      <c r="A408" s="146"/>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row>
    <row r="409" spans="1:24" ht="12.75">
      <c r="A409" s="146"/>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row>
    <row r="410" spans="1:24" ht="12.75">
      <c r="A410" s="146"/>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row>
    <row r="411" spans="1:24" ht="12.75">
      <c r="A411" s="146"/>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row>
    <row r="412" spans="1:24" ht="12.75">
      <c r="A412" s="146"/>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row>
    <row r="413" spans="1:24" ht="12.75">
      <c r="A413" s="146"/>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row>
    <row r="414" spans="1:24" ht="12.75">
      <c r="A414" s="146"/>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row>
    <row r="415" spans="1:24" ht="12.75">
      <c r="A415" s="146"/>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row>
    <row r="416" spans="1:24" ht="12.75">
      <c r="A416" s="146"/>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row>
    <row r="417" spans="1:24" ht="12.75">
      <c r="A417" s="146"/>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row>
    <row r="418" spans="1:24" ht="12.75">
      <c r="A418" s="146"/>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row>
    <row r="419" spans="1:24" ht="12.75">
      <c r="A419" s="146"/>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row>
    <row r="420" spans="1:24" ht="12.75">
      <c r="A420" s="146"/>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row>
    <row r="421" spans="1:24" ht="12.75">
      <c r="A421" s="146"/>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row>
    <row r="422" spans="1:24" ht="12.75">
      <c r="A422" s="146"/>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row>
    <row r="423" spans="1:24" ht="12.75">
      <c r="A423" s="146"/>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row>
    <row r="424" spans="1:24" ht="12.75">
      <c r="A424" s="146"/>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row>
    <row r="425" spans="1:24" ht="12.75">
      <c r="A425" s="146"/>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row>
    <row r="426" spans="1:24" ht="12.75">
      <c r="A426" s="146"/>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row>
    <row r="427" spans="1:24" ht="12.75">
      <c r="A427" s="146"/>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row>
    <row r="428" spans="1:24" ht="12.75">
      <c r="A428" s="146"/>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row>
    <row r="429" spans="1:24" ht="12.75">
      <c r="A429" s="146"/>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row>
    <row r="430" spans="1:24" ht="12.75">
      <c r="A430" s="146"/>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row>
    <row r="431" spans="1:24" ht="12.75">
      <c r="A431" s="146"/>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row>
    <row r="432" spans="1:24" ht="12.75">
      <c r="A432" s="146"/>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row>
    <row r="433" spans="1:24" ht="12.75">
      <c r="A433" s="146"/>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row>
    <row r="434" spans="1:24" ht="12.75">
      <c r="A434" s="146"/>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row>
    <row r="435" spans="1:24" ht="12.75">
      <c r="A435" s="146"/>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row>
    <row r="436" spans="1:24" ht="12.75">
      <c r="A436" s="146"/>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row>
    <row r="437" spans="1:24" ht="12.75">
      <c r="A437" s="146"/>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row>
    <row r="438" spans="1:24" ht="12.75">
      <c r="A438" s="146"/>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row>
    <row r="439" spans="1:24" ht="12.75">
      <c r="A439" s="146"/>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row>
    <row r="440" spans="1:24" ht="12.75">
      <c r="A440" s="146"/>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row>
    <row r="441" spans="1:24" ht="12.75">
      <c r="A441" s="146"/>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row>
    <row r="442" spans="1:24" ht="12.75">
      <c r="A442" s="146"/>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row>
    <row r="443" spans="1:24" ht="12.75">
      <c r="A443" s="146"/>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row>
    <row r="444" spans="1:24" ht="12.75">
      <c r="A444" s="146"/>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row>
    <row r="445" spans="1:24" ht="12.75">
      <c r="A445" s="146"/>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row>
    <row r="446" spans="1:24" ht="12.75">
      <c r="A446" s="146"/>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row>
    <row r="447" spans="1:24" ht="12.75">
      <c r="A447" s="146"/>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row>
    <row r="448" spans="1:24" ht="12.75">
      <c r="A448" s="146"/>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row>
    <row r="449" spans="1:24" ht="12.75">
      <c r="A449" s="146"/>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row>
    <row r="450" spans="1:24" ht="12.75">
      <c r="A450" s="146"/>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row>
    <row r="451" spans="1:24" ht="12.75">
      <c r="A451" s="146"/>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row>
    <row r="452" spans="1:24" ht="12.75">
      <c r="A452" s="146"/>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row>
    <row r="453" spans="1:24" ht="12.75">
      <c r="A453" s="146"/>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row>
    <row r="454" spans="1:24" ht="12.75">
      <c r="A454" s="146"/>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row>
    <row r="455" spans="1:24" ht="12.75">
      <c r="A455" s="146"/>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row>
    <row r="456" spans="1:24" ht="12.75">
      <c r="A456" s="146"/>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row>
    <row r="457" spans="1:24" ht="12.75">
      <c r="A457" s="146"/>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row>
    <row r="458" spans="1:24" ht="12.75">
      <c r="A458" s="146"/>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row>
    <row r="459" spans="1:24" ht="12.75">
      <c r="A459" s="146"/>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row>
    <row r="460" spans="1:24" ht="12.75">
      <c r="A460" s="146"/>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row>
    <row r="461" spans="1:24" ht="12.75">
      <c r="A461" s="146"/>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row>
    <row r="462" spans="1:24" ht="12.75">
      <c r="A462" s="146"/>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row>
    <row r="463" spans="1:24" ht="12.75">
      <c r="A463" s="146"/>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row>
    <row r="464" spans="1:24" ht="12.75">
      <c r="A464" s="146"/>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row>
    <row r="465" spans="1:24" ht="12.75">
      <c r="A465" s="146"/>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row>
    <row r="466" spans="1:24" ht="12.75">
      <c r="A466" s="146"/>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row>
    <row r="467" spans="1:24" ht="12.75">
      <c r="A467" s="146"/>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row>
    <row r="468" spans="1:24" ht="12.75">
      <c r="A468" s="146"/>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row>
    <row r="469" spans="1:24" ht="12.75">
      <c r="A469" s="146"/>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row>
    <row r="470" spans="1:24" ht="12.75">
      <c r="A470" s="146"/>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row>
    <row r="471" spans="1:24" ht="12.75">
      <c r="A471" s="146"/>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row>
    <row r="472" spans="1:24" ht="12.75">
      <c r="A472" s="146"/>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row>
    <row r="473" spans="1:24" ht="12.75">
      <c r="A473" s="146"/>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row>
    <row r="474" spans="1:24" ht="12.75">
      <c r="A474" s="146"/>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row>
    <row r="475" spans="1:24" ht="12.75">
      <c r="A475" s="146"/>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row>
    <row r="476" spans="1:24" ht="12.75">
      <c r="A476" s="146"/>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row>
    <row r="477" spans="1:24" ht="12.75">
      <c r="A477" s="146"/>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row>
    <row r="478" spans="1:24" ht="12.75">
      <c r="A478" s="146"/>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row>
    <row r="479" spans="1:24" ht="12.75">
      <c r="A479" s="146"/>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row>
    <row r="480" spans="1:24" ht="12.75">
      <c r="A480" s="146"/>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row>
    <row r="481" spans="1:24" ht="12.75">
      <c r="A481" s="146"/>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row>
    <row r="482" spans="1:24" ht="12.75">
      <c r="A482" s="146"/>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row>
    <row r="483" spans="1:24" ht="12.75">
      <c r="A483" s="146"/>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row>
    <row r="484" spans="1:24" ht="12.75">
      <c r="A484" s="146"/>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row>
    <row r="485" spans="1:24" ht="12.75">
      <c r="A485" s="146"/>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row>
    <row r="486" spans="1:24" ht="12.75">
      <c r="A486" s="146"/>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row>
    <row r="487" spans="1:24" ht="12.75">
      <c r="A487" s="146"/>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row>
    <row r="488" spans="1:24" ht="12.75">
      <c r="A488" s="146"/>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row>
    <row r="489" spans="1:24" ht="12.75">
      <c r="A489" s="146"/>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row>
    <row r="490" spans="1:24" ht="12.75">
      <c r="A490" s="146"/>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row>
    <row r="491" spans="1:24" ht="12.75">
      <c r="A491" s="146"/>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row>
    <row r="492" spans="1:24" ht="12.75">
      <c r="A492" s="146"/>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row>
    <row r="493" spans="1:24" ht="12.75">
      <c r="A493" s="146"/>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row>
    <row r="494" spans="1:24" ht="12.75">
      <c r="A494" s="146"/>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row>
    <row r="495" spans="1:24" ht="12.75">
      <c r="A495" s="146"/>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row>
    <row r="496" spans="1:24" ht="12.75">
      <c r="A496" s="146"/>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row>
    <row r="497" spans="1:24" ht="12.75">
      <c r="A497" s="146"/>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row>
    <row r="498" spans="1:24" ht="12.75">
      <c r="A498" s="146"/>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row>
    <row r="499" spans="1:24" ht="12.75">
      <c r="A499" s="146"/>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row>
    <row r="500" spans="1:24" ht="12.75">
      <c r="A500" s="146"/>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row>
    <row r="501" spans="1:24" ht="12.75">
      <c r="A501" s="146"/>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row>
    <row r="502" spans="1:24" ht="12.75">
      <c r="A502" s="146"/>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row>
    <row r="503" spans="1:24" ht="12.75">
      <c r="A503" s="146"/>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row>
    <row r="504" spans="1:24" ht="12.75">
      <c r="A504" s="146"/>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row>
    <row r="505" spans="1:24" ht="12.75">
      <c r="A505" s="146"/>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row>
    <row r="506" spans="1:24" ht="12.75">
      <c r="A506" s="146"/>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row>
    <row r="507" spans="1:24" ht="12.75">
      <c r="A507" s="146"/>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row>
    <row r="508" spans="1:24" ht="12.75">
      <c r="A508" s="146"/>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row>
    <row r="509" spans="1:24" ht="12.75">
      <c r="A509" s="146"/>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row>
    <row r="510" spans="1:24" ht="12.75">
      <c r="A510" s="146"/>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row>
    <row r="511" spans="1:24" ht="12.75">
      <c r="A511" s="146"/>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row>
    <row r="512" spans="1:24" ht="12.75">
      <c r="A512" s="146"/>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row>
    <row r="513" spans="1:24" ht="12.75">
      <c r="A513" s="146"/>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row>
    <row r="514" spans="1:24" ht="12.75">
      <c r="A514" s="146"/>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row>
    <row r="515" spans="1:24" ht="12.75">
      <c r="A515" s="146"/>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row>
    <row r="516" spans="1:24" ht="12.75">
      <c r="A516" s="146"/>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row>
    <row r="517" spans="1:24" ht="12.75">
      <c r="A517" s="146"/>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row>
    <row r="518" spans="1:24" ht="12.75">
      <c r="A518" s="146"/>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row>
    <row r="519" spans="1:24" ht="12.75">
      <c r="A519" s="146"/>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row>
    <row r="520" spans="1:24" ht="12.75">
      <c r="A520" s="146"/>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row>
    <row r="521" spans="1:24" ht="12.75">
      <c r="A521" s="146"/>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row>
    <row r="522" spans="1:24" ht="12.75">
      <c r="A522" s="146"/>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row>
    <row r="523" spans="1:24" ht="12.75">
      <c r="A523" s="146"/>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row>
    <row r="524" spans="1:24" ht="12.75">
      <c r="A524" s="146"/>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row>
    <row r="525" spans="1:24" ht="12.75">
      <c r="A525" s="146"/>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row>
    <row r="526" spans="1:24" ht="12.75">
      <c r="A526" s="146"/>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row>
    <row r="527" spans="1:24" ht="12.75">
      <c r="A527" s="146"/>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row>
    <row r="528" spans="1:24" ht="12.75">
      <c r="A528" s="146"/>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row>
    <row r="529" spans="1:24" ht="12.75">
      <c r="A529" s="146"/>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row>
    <row r="530" spans="1:24" ht="12.75">
      <c r="A530" s="146"/>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row>
    <row r="531" spans="1:24" ht="12.75">
      <c r="A531" s="146"/>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row>
    <row r="532" spans="1:24" ht="12.75">
      <c r="A532" s="146"/>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row>
    <row r="533" spans="1:24" ht="12.75">
      <c r="A533" s="146"/>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row>
    <row r="534" spans="1:24" ht="12.75">
      <c r="A534" s="146"/>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row>
    <row r="535" spans="1:24" ht="12.75">
      <c r="A535" s="146"/>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row>
    <row r="536" spans="1:24" ht="12.75">
      <c r="A536" s="146"/>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row>
    <row r="537" spans="1:24" ht="12.75">
      <c r="A537" s="146"/>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row>
    <row r="538" spans="1:24" ht="12.75">
      <c r="A538" s="146"/>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row>
    <row r="539" spans="1:24" ht="12.75">
      <c r="A539" s="146"/>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row>
    <row r="540" spans="1:24" ht="12.75">
      <c r="A540" s="146"/>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row>
    <row r="541" spans="1:24" ht="12.75">
      <c r="A541" s="146"/>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row>
    <row r="542" spans="1:24" ht="12.75">
      <c r="A542" s="146"/>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row>
    <row r="543" spans="1:24" ht="12.75">
      <c r="A543" s="146"/>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row>
    <row r="544" spans="1:24" ht="12.75">
      <c r="A544" s="146"/>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row>
    <row r="545" spans="1:24" ht="12.75">
      <c r="A545" s="146"/>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row>
    <row r="546" spans="1:24" ht="12.75">
      <c r="A546" s="146"/>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row>
    <row r="547" spans="1:24" ht="12.75">
      <c r="A547" s="146"/>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row>
    <row r="548" spans="1:24" ht="12.75">
      <c r="A548" s="146"/>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row>
    <row r="549" spans="1:24" ht="12.75">
      <c r="A549" s="146"/>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row>
    <row r="550" spans="1:24" ht="12.75">
      <c r="A550" s="146"/>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row>
    <row r="551" spans="1:24" ht="12.75">
      <c r="A551" s="146"/>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row>
    <row r="552" spans="1:24" ht="12.75">
      <c r="A552" s="146"/>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row>
    <row r="553" spans="1:24" ht="12.75">
      <c r="A553" s="146"/>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row>
    <row r="554" spans="1:24" ht="12.75">
      <c r="A554" s="146"/>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row>
    <row r="555" spans="1:24" ht="12.75">
      <c r="A555" s="146"/>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row>
    <row r="556" spans="1:24" ht="12.75">
      <c r="A556" s="146"/>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row>
    <row r="557" spans="1:24" ht="12.75">
      <c r="A557" s="146"/>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row>
    <row r="558" spans="1:24" ht="12.75">
      <c r="A558" s="146"/>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row>
    <row r="559" spans="1:24" ht="12.75">
      <c r="A559" s="146"/>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row>
    <row r="560" spans="1:24" ht="12.75">
      <c r="A560" s="146"/>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row>
    <row r="561" spans="1:24" ht="12.75">
      <c r="A561" s="146"/>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row>
    <row r="562" spans="1:24" ht="12.75">
      <c r="A562" s="146"/>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row>
    <row r="563" spans="1:24" ht="12.75">
      <c r="A563" s="146"/>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row>
    <row r="564" spans="1:24" ht="12.75">
      <c r="A564" s="146"/>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row>
    <row r="565" spans="1:24" ht="12.75">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row>
    <row r="566" spans="1:24" ht="12.75">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row>
    <row r="567" spans="1:24" ht="12.75">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row>
    <row r="568" spans="1:24" ht="12.75">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row>
    <row r="569" spans="1:24" ht="12.75">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row>
    <row r="570" spans="1:24" ht="12.75">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row>
    <row r="571" spans="1:24" ht="12.75">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row>
    <row r="572" spans="1:24" ht="12.75">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row>
    <row r="573" spans="1:24" ht="12.75">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row>
    <row r="574" spans="1:24" ht="12.75">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row>
    <row r="575" spans="1:24" ht="12.75">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row>
    <row r="576" spans="1:24" ht="12.75">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row>
    <row r="577" spans="1:24" ht="12.75">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row>
    <row r="578" spans="1:24" ht="12.75">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row>
    <row r="579" spans="1:24" ht="12.75">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row>
    <row r="580" spans="1:24" ht="12.75">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row>
    <row r="581" spans="1:24" ht="12.75">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row>
    <row r="582" spans="1:24" ht="12.75">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row>
    <row r="583" spans="1:24" ht="12.75">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row>
    <row r="584" spans="1:24" ht="12.75">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row>
    <row r="585" spans="1:24" ht="12.75">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row>
    <row r="586" spans="1:24" ht="12.75">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row>
    <row r="587" spans="1:24" ht="12.75">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row>
    <row r="588" spans="1:24" ht="12.75">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row>
    <row r="589" spans="1:24" ht="12.75">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row>
    <row r="590" spans="1:24" ht="12.75">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row>
    <row r="591" spans="1:24" ht="12.75">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row>
    <row r="592" spans="1:24" ht="12.75">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row>
    <row r="593" spans="1:24" ht="12.75">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row>
    <row r="594" spans="1:24" ht="12.75">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row>
    <row r="595" spans="1:24" ht="12.75">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row>
    <row r="596" spans="1:24" ht="12.75">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row>
    <row r="597" spans="1:24" ht="12.75">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row>
    <row r="598" spans="1:24" ht="12.75">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row>
    <row r="599" spans="1:24" ht="12.75">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row>
    <row r="600" spans="1:24" ht="12.75">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row>
    <row r="601" spans="1:24" ht="12.75">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row>
    <row r="602" spans="1:24" ht="12.75">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row>
    <row r="603" spans="1:24" ht="12.75">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row>
    <row r="604" spans="1:24" ht="12.75">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row>
    <row r="605" spans="1:24" ht="12.75">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row>
    <row r="606" spans="1:24" ht="12.75">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row>
    <row r="607" spans="1:24" ht="12.75">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row>
    <row r="608" spans="1:24" ht="12.75">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row>
    <row r="609" spans="1:24" ht="12.75">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row>
    <row r="610" spans="1:24" ht="12.75">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row>
    <row r="611" spans="1:24" ht="12.75">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row>
    <row r="612" spans="1:24" ht="12.75">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row>
    <row r="613" spans="1:24" ht="12.75">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row>
    <row r="614" spans="1:24" ht="12.75">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row>
    <row r="615" spans="1:24" ht="12.75">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row>
    <row r="616" spans="1:24" ht="12.75">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row>
    <row r="617" spans="1:24" ht="12.75">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row>
    <row r="618" spans="1:24" ht="12.75">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row>
    <row r="619" spans="1:24" ht="12.75">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row>
    <row r="620" spans="1:24" ht="12.75">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row>
    <row r="621" spans="1:24" ht="12.75">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row>
    <row r="622" spans="1:24" ht="12.75">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row>
    <row r="623" spans="1:24" ht="12.75">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row>
    <row r="624" spans="1:24" ht="12.75">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row>
    <row r="625" spans="1:24" ht="12.75">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row>
    <row r="626" spans="1:24" ht="12.75">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row>
    <row r="627" spans="1:24" ht="12.75">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row>
    <row r="628" spans="1:24" ht="12.75">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row>
    <row r="629" spans="1:24" ht="12.75">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row>
    <row r="630" spans="1:24" ht="12.75">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row>
    <row r="631" spans="1:24" ht="12.75">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row>
    <row r="632" spans="1:24" ht="12.75">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row>
    <row r="633" spans="1:24" ht="12.75">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row>
    <row r="634" spans="1:24" ht="12.75">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row>
    <row r="635" spans="1:24" ht="12.75">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row>
    <row r="636" spans="1:24" ht="12.75">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row>
    <row r="637" spans="1:24" ht="12.75">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row>
    <row r="638" spans="1:24" ht="12.75">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row>
    <row r="639" spans="1:24" ht="12.75">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row>
    <row r="640" spans="1:24" ht="12.75">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row>
    <row r="641" spans="1:24" ht="12.75">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row>
    <row r="642" spans="1:24" ht="12.75">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row>
    <row r="643" spans="1:24" ht="12.75">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row>
    <row r="644" spans="1:24" ht="12.75">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row>
    <row r="645" spans="1:24" ht="12.75">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row>
    <row r="646" spans="1:24" ht="12.75">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row>
    <row r="647" spans="1:24" ht="12.75">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row>
    <row r="648" spans="1:24" ht="12.75">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row>
    <row r="649" spans="1:24" ht="12.75">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row>
    <row r="650" spans="1:24" ht="12.75">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row>
    <row r="651" spans="1:24" ht="12.75">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row>
    <row r="652" spans="1:24" ht="12.75">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row>
    <row r="653" spans="1:24" ht="12.75">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row>
    <row r="654" spans="1:24" ht="12.75">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row>
    <row r="655" spans="1:24" ht="12.75">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row>
    <row r="656" spans="1:24" ht="12.75">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row>
    <row r="657" spans="1:24" ht="12.75">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row>
    <row r="658" spans="1:24" ht="12.75">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row>
    <row r="659" spans="1:24" ht="12.75">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row>
    <row r="660" spans="1:24" ht="12.75">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row>
    <row r="661" spans="1:24" ht="12.75">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row>
    <row r="662" spans="1:24" ht="12.75">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row>
    <row r="663" spans="1:24" ht="12.75">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row>
    <row r="664" spans="1:24" ht="12.75">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row>
    <row r="665" spans="1:24" ht="12.75">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row>
    <row r="666" spans="1:24" ht="12.75">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row>
    <row r="667" spans="1:24" ht="12.75">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row>
    <row r="668" spans="1:24" ht="12.75">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row>
    <row r="669" spans="1:24" ht="12.75">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row>
    <row r="670" spans="1:24" ht="12.75">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row>
    <row r="671" spans="1:24" ht="12.75">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row>
    <row r="672" spans="1:24" ht="12.75">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row>
    <row r="673" spans="1:24" ht="12.75">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row>
    <row r="674" spans="1:24" ht="12.75">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row>
    <row r="675" spans="1:24" ht="12.75">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row>
    <row r="676" spans="1:24" ht="12.75">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row>
    <row r="677" spans="1:24" ht="12.75">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row>
    <row r="678" spans="1:24" ht="12.75">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row>
    <row r="679" spans="1:24" ht="12.75">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row>
    <row r="680" spans="1:24" ht="12.75">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row>
    <row r="681" spans="1:24" ht="12.75">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row>
    <row r="682" spans="1:24" ht="12.75">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row>
    <row r="683" spans="1:24" ht="12.75">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row>
    <row r="684" spans="1:24" ht="12.75">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row>
    <row r="685" spans="1:24" ht="12.75">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row>
    <row r="686" spans="1:24" ht="12.75">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row>
    <row r="687" spans="1:24" ht="12.75">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row>
    <row r="688" spans="1:24" ht="12.75">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row>
    <row r="689" spans="1:24" ht="12.75">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row>
    <row r="690" spans="1:24" ht="12.75">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row>
    <row r="691" spans="1:24" ht="12.75">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row>
    <row r="692" spans="1:24" ht="12.75">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row>
    <row r="693" spans="1:24" ht="12.75">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row>
    <row r="694" spans="1:24" ht="12.75">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row>
    <row r="695" spans="1:24" ht="12.75">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row>
    <row r="696" spans="1:24" ht="12.75">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row>
    <row r="697" spans="1:24" ht="12.75">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row>
    <row r="698" spans="1:24" ht="12.75">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row>
    <row r="699" spans="1:24" ht="12.75">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row>
    <row r="700" spans="1:24" ht="12.75">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row>
    <row r="701" spans="1:24" ht="12.75">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row>
    <row r="702" spans="1:24" ht="12.75">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row>
    <row r="703" spans="1:24" ht="12.75">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row>
    <row r="704" spans="1:24" ht="12.75">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row>
    <row r="705" spans="1:24" ht="12.75">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row>
    <row r="706" spans="1:24" ht="12.75">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row>
    <row r="707" spans="1:24" ht="12.75">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row>
    <row r="708" spans="1:24" ht="12.75">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row>
    <row r="709" spans="1:24" ht="12.75">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row>
    <row r="710" spans="1:24" ht="12.75">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row>
    <row r="711" spans="1:24" ht="12.75">
      <c r="A711" s="146"/>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row>
    <row r="712" spans="1:24" ht="12.75">
      <c r="A712" s="146"/>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row>
    <row r="713" spans="1:24" ht="12.75">
      <c r="A713" s="146"/>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row>
    <row r="714" spans="1:24" ht="12.75">
      <c r="A714" s="146"/>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row>
    <row r="715" spans="1:24" ht="12.75">
      <c r="A715" s="146"/>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row>
    <row r="716" spans="1:24" ht="12.75">
      <c r="A716" s="146"/>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row>
    <row r="717" spans="1:24" ht="12.75">
      <c r="A717" s="146"/>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row>
    <row r="718" spans="1:24" ht="12.75">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row>
    <row r="719" spans="1:24" ht="12.75">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row>
    <row r="720" spans="1:24" ht="12.75">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row>
    <row r="721" spans="1:24" ht="12.75">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row>
    <row r="722" spans="1:24" ht="12.75">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row>
    <row r="723" spans="1:24" ht="12.75">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row>
    <row r="724" spans="1:24" ht="12.75">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row>
    <row r="725" spans="1:24" ht="12.75">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row>
    <row r="726" spans="1:24" ht="12.75">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row>
    <row r="727" spans="1:24" ht="12.75">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row>
    <row r="728" spans="1:24" ht="12.75">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row>
    <row r="729" spans="1:24" ht="12.75">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row>
    <row r="730" spans="1:24" ht="12.75">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row>
    <row r="731" spans="1:24" ht="12.75">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row>
    <row r="732" spans="1:24" ht="12.75">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row>
    <row r="733" spans="1:24" ht="12.75">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row>
    <row r="734" spans="1:24" ht="12.75">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row>
    <row r="735" spans="1:24" ht="12.75">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row>
    <row r="736" spans="1:24" ht="12.75">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row>
    <row r="737" spans="1:24" ht="12.75">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row>
    <row r="738" spans="1:24" ht="12.75">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row>
    <row r="739" spans="1:24" ht="12.75">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row>
    <row r="740" spans="1:24" ht="12.75">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row>
    <row r="741" spans="1:24" ht="12.75">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row>
    <row r="742" spans="1:24" ht="12.75">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row>
    <row r="743" spans="1:24" ht="12.75">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row>
    <row r="744" spans="1:24" ht="12.75">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row>
    <row r="745" spans="1:24" ht="12.75">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row>
    <row r="746" spans="1:24" ht="12.75">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row>
    <row r="747" spans="1:24" ht="12.75">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row>
    <row r="748" spans="1:24" ht="12.75">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row>
    <row r="749" spans="1:24" ht="12.75">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row>
    <row r="750" spans="1:24" ht="12.75">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row>
    <row r="751" spans="1:24" ht="12.75">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row>
    <row r="752" spans="1:24" ht="12.75">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row>
    <row r="753" spans="1:24" ht="12.75">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row>
    <row r="754" spans="1:24" ht="12.75">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row>
    <row r="755" spans="1:24" ht="12.75">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row>
    <row r="756" spans="1:24" ht="12.75">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row>
    <row r="757" spans="1:24" ht="12.75">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row>
    <row r="758" spans="1:24" ht="12.75">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row>
    <row r="759" spans="1:24" ht="12.75">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row>
    <row r="760" spans="1:24" ht="12.75">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row>
    <row r="761" spans="1:24" ht="12.75">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row>
    <row r="762" spans="1:24" ht="12.75">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row>
    <row r="763" spans="1:24" ht="12.75">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row>
    <row r="764" spans="1:24" ht="12.75">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row>
    <row r="765" spans="1:24" ht="12.75">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row>
    <row r="766" spans="1:24" ht="12.75">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row>
    <row r="767" spans="1:24" ht="12.75">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row>
    <row r="768" spans="1:24" ht="12.75">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row>
    <row r="769" spans="1:24" ht="12.75">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row>
    <row r="770" spans="1:24" ht="12.75">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row>
    <row r="771" spans="1:24" ht="12.75">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row>
    <row r="772" spans="1:24" ht="12.75">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row>
    <row r="773" spans="1:24" ht="12.75">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row>
    <row r="774" spans="1:24" ht="12.75">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row>
    <row r="775" spans="1:24" ht="12.75">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row>
    <row r="776" spans="1:24" ht="12.75">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row>
    <row r="777" spans="1:24" ht="12.75">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row>
    <row r="778" spans="1:24" ht="12.75">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row>
    <row r="779" spans="1:24" ht="12.75">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row>
    <row r="780" spans="1:24" ht="12.75">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row>
    <row r="781" spans="1:24" ht="12.75">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row>
    <row r="782" spans="1:24" ht="12.75">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row>
    <row r="783" spans="1:24" ht="12.75">
      <c r="A783" s="146"/>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row>
    <row r="784" spans="1:24" ht="12.75">
      <c r="A784" s="146"/>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row>
    <row r="785" spans="1:24" ht="12.75">
      <c r="A785" s="146"/>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row>
    <row r="786" spans="1:24" ht="12.75">
      <c r="A786" s="146"/>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row>
    <row r="787" spans="1:24" ht="12.75">
      <c r="A787" s="146"/>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row>
    <row r="788" spans="1:24" ht="12.75">
      <c r="A788" s="146"/>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row>
    <row r="789" spans="1:24" ht="12.75">
      <c r="A789" s="146"/>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row>
    <row r="790" spans="1:24" ht="12.75">
      <c r="A790" s="146"/>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row>
    <row r="791" spans="1:24" ht="12.75">
      <c r="A791" s="146"/>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row>
    <row r="792" spans="1:24" ht="12.75">
      <c r="A792" s="146"/>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row>
    <row r="793" spans="1:24" ht="12.75">
      <c r="A793" s="146"/>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row>
    <row r="794" spans="1:24" ht="12.75">
      <c r="A794" s="146"/>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row>
    <row r="795" spans="1:24" ht="12.75">
      <c r="A795" s="146"/>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row>
    <row r="796" spans="1:24" ht="12.75">
      <c r="A796" s="146"/>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row>
    <row r="797" spans="1:24" ht="12.75">
      <c r="A797" s="146"/>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row>
    <row r="798" spans="1:24" ht="12.75">
      <c r="A798" s="146"/>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row>
    <row r="799" spans="1:24" ht="12.75">
      <c r="A799" s="146"/>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row>
    <row r="800" spans="1:24" ht="12.75">
      <c r="A800" s="146"/>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row>
    <row r="801" spans="1:24" ht="12.75">
      <c r="A801" s="146"/>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row>
    <row r="802" spans="1:24" ht="12.75">
      <c r="A802" s="146"/>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row>
    <row r="803" spans="1:24" ht="12.75">
      <c r="A803" s="146"/>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row>
    <row r="804" spans="1:24" ht="12.75">
      <c r="A804" s="146"/>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row>
    <row r="805" spans="1:24" ht="12.75">
      <c r="A805" s="146"/>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row>
    <row r="806" spans="1:24" ht="12.75">
      <c r="A806" s="146"/>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row>
    <row r="807" spans="1:24" ht="12.75">
      <c r="A807" s="146"/>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row>
    <row r="808" spans="1:24" ht="12.75">
      <c r="A808" s="146"/>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row>
    <row r="809" spans="1:24" ht="12.75">
      <c r="A809" s="146"/>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row>
    <row r="810" spans="1:24" ht="12.75">
      <c r="A810" s="146"/>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row>
    <row r="811" spans="1:24" ht="12.75">
      <c r="A811" s="146"/>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row>
    <row r="812" spans="1:24" ht="12.75">
      <c r="A812" s="146"/>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row>
    <row r="813" spans="1:24" ht="12.75">
      <c r="A813" s="146"/>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row>
    <row r="814" spans="1:24" ht="12.75">
      <c r="A814" s="146"/>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row>
    <row r="815" spans="1:24" ht="12.75">
      <c r="A815" s="146"/>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row>
    <row r="816" spans="1:24" ht="12.75">
      <c r="A816" s="146"/>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row>
    <row r="817" spans="1:24" ht="12.75">
      <c r="A817" s="146"/>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row>
    <row r="818" spans="1:24" ht="12.75">
      <c r="A818" s="146"/>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row>
    <row r="819" spans="1:24" ht="12.75">
      <c r="A819" s="146"/>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row>
    <row r="820" spans="1:24" ht="12.75">
      <c r="A820" s="146"/>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row>
    <row r="821" spans="1:24" ht="12.75">
      <c r="A821" s="146"/>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row>
    <row r="822" spans="1:24" ht="12.75">
      <c r="A822" s="146"/>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row>
    <row r="823" spans="1:24" ht="12.75">
      <c r="A823" s="146"/>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row>
    <row r="824" spans="1:24" ht="12.75">
      <c r="A824" s="146"/>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row>
    <row r="825" spans="1:24" ht="12.75">
      <c r="A825" s="146"/>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row>
    <row r="826" spans="1:24" ht="12.75">
      <c r="A826" s="146"/>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row>
    <row r="827" spans="1:24" ht="12.75">
      <c r="A827" s="146"/>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row>
    <row r="828" spans="1:24" ht="12.75">
      <c r="A828" s="146"/>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row>
    <row r="829" spans="1:24" ht="12.75">
      <c r="A829" s="146"/>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row>
    <row r="830" spans="1:24" ht="12.75">
      <c r="A830" s="146"/>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row>
    <row r="831" spans="1:24" ht="12.75">
      <c r="A831" s="146"/>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row>
    <row r="832" spans="1:24" ht="12.75">
      <c r="A832" s="146"/>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row>
    <row r="833" spans="1:24" ht="12.75">
      <c r="A833" s="146"/>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row>
    <row r="834" spans="1:24" ht="12.75">
      <c r="A834" s="146"/>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row>
    <row r="835" spans="1:24" ht="12.75">
      <c r="A835" s="146"/>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row>
    <row r="836" spans="1:24" ht="12.75">
      <c r="A836" s="146"/>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row>
    <row r="837" spans="1:24" ht="12.75">
      <c r="A837" s="146"/>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row>
    <row r="838" spans="1:24" ht="12.75">
      <c r="A838" s="146"/>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row>
    <row r="839" spans="1:24" ht="12.75">
      <c r="A839" s="146"/>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row>
    <row r="840" spans="1:24" ht="12.75">
      <c r="A840" s="146"/>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row>
    <row r="841" spans="1:24" ht="12.75">
      <c r="A841" s="146"/>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row>
    <row r="842" spans="1:24" ht="12.75">
      <c r="A842" s="146"/>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row>
    <row r="843" spans="1:24" ht="12.75">
      <c r="A843" s="146"/>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row>
    <row r="844" spans="1:24" ht="12.75">
      <c r="A844" s="146"/>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row>
    <row r="845" spans="1:24" ht="12.75">
      <c r="A845" s="146"/>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row>
    <row r="846" spans="1:24" ht="12.75">
      <c r="A846" s="146"/>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row>
    <row r="847" spans="1:24" ht="12.75">
      <c r="A847" s="146"/>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row>
    <row r="848" spans="1:24" ht="12.75">
      <c r="A848" s="146"/>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row>
    <row r="849" spans="1:24" ht="12.75">
      <c r="A849" s="146"/>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row>
    <row r="850" spans="1:24" ht="12.75">
      <c r="A850" s="146"/>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row>
    <row r="851" spans="1:24" ht="12.75">
      <c r="A851" s="146"/>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row>
    <row r="852" spans="1:24" ht="12.75">
      <c r="A852" s="146"/>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row>
    <row r="853" spans="1:24" ht="12.75">
      <c r="A853" s="146"/>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row>
    <row r="854" spans="1:24" ht="12.75">
      <c r="A854" s="146"/>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row>
    <row r="855" spans="1:24" ht="12.75">
      <c r="A855" s="146"/>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row>
    <row r="856" spans="1:24" ht="12.75">
      <c r="A856" s="146"/>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row>
    <row r="857" spans="1:24" ht="12.75">
      <c r="A857" s="146"/>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row>
    <row r="858" spans="1:24" ht="12.75">
      <c r="A858" s="146"/>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row>
    <row r="859" spans="1:24" ht="12.75">
      <c r="A859" s="146"/>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row>
    <row r="860" spans="1:24" ht="12.75">
      <c r="A860" s="146"/>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row>
    <row r="861" spans="1:24" ht="12.75">
      <c r="A861" s="146"/>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row>
    <row r="862" spans="1:24" ht="12.75">
      <c r="A862" s="146"/>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row>
    <row r="863" spans="1:24" ht="12.75">
      <c r="A863" s="146"/>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row>
    <row r="864" spans="1:24" ht="12.75">
      <c r="A864" s="146"/>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row>
    <row r="865" spans="1:24" ht="12.75">
      <c r="A865" s="146"/>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row>
    <row r="866" spans="1:24" ht="12.75">
      <c r="A866" s="146"/>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row>
    <row r="867" spans="1:24" ht="12.75">
      <c r="A867" s="146"/>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row>
    <row r="868" spans="1:24" ht="12.75">
      <c r="A868" s="146"/>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row>
    <row r="869" spans="1:24" ht="12.75">
      <c r="A869" s="146"/>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row>
    <row r="870" spans="1:24" ht="12.75">
      <c r="A870" s="146"/>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row>
    <row r="871" spans="1:24" ht="12.75">
      <c r="A871" s="146"/>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row>
    <row r="872" spans="1:24" ht="12.75">
      <c r="A872" s="146"/>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row>
    <row r="873" spans="1:24" ht="12.75">
      <c r="A873" s="146"/>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row>
    <row r="874" spans="1:24" ht="12.75">
      <c r="A874" s="146"/>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row>
    <row r="875" spans="1:24" ht="12.75">
      <c r="A875" s="146"/>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row>
    <row r="876" spans="1:24" ht="12.75">
      <c r="A876" s="146"/>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row>
    <row r="877" spans="1:24" ht="12.75">
      <c r="A877" s="146"/>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row>
    <row r="878" spans="1:24" ht="12.75">
      <c r="A878" s="146"/>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row>
    <row r="879" spans="1:24" ht="12.75">
      <c r="A879" s="146"/>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row>
    <row r="880" spans="1:24" ht="12.75">
      <c r="A880" s="146"/>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row>
    <row r="881" spans="1:24" ht="12.75">
      <c r="A881" s="146"/>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row>
    <row r="882" spans="1:24" ht="12.75">
      <c r="A882" s="146"/>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row>
    <row r="883" spans="1:24" ht="12.75">
      <c r="A883" s="146"/>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row>
    <row r="884" spans="1:24" ht="12.75">
      <c r="A884" s="146"/>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row>
    <row r="885" spans="1:24" ht="12.75">
      <c r="A885" s="146"/>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row>
    <row r="886" spans="1:24" ht="12.75">
      <c r="A886" s="146"/>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row>
    <row r="887" spans="1:24" ht="12.75">
      <c r="A887" s="146"/>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row>
    <row r="888" spans="1:24" ht="12.75">
      <c r="A888" s="146"/>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row>
    <row r="889" spans="1:24" ht="12.75">
      <c r="A889" s="146"/>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row>
    <row r="890" spans="1:24" ht="12.75">
      <c r="A890" s="146"/>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row>
    <row r="891" spans="1:24" ht="12.75">
      <c r="A891" s="146"/>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row>
    <row r="892" spans="1:24" ht="12.75">
      <c r="A892" s="146"/>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row>
    <row r="893" spans="1:24" ht="12.75">
      <c r="A893" s="146"/>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row>
    <row r="894" spans="1:24" ht="12.75">
      <c r="A894" s="146"/>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row>
    <row r="895" spans="1:24" ht="12.75">
      <c r="A895" s="146"/>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row>
    <row r="896" spans="1:24" ht="12.75">
      <c r="A896" s="146"/>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row>
    <row r="897" spans="1:24" ht="12.75">
      <c r="A897" s="146"/>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row>
    <row r="898" spans="1:24" ht="12.75">
      <c r="A898" s="146"/>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row>
    <row r="899" spans="1:24" ht="12.75">
      <c r="A899" s="146"/>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row>
    <row r="900" spans="1:24" ht="12.75">
      <c r="A900" s="146"/>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row>
    <row r="901" spans="1:24" ht="12.75">
      <c r="A901" s="146"/>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row>
    <row r="902" spans="1:24" ht="12.75">
      <c r="A902" s="146"/>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row>
    <row r="903" spans="1:24" ht="12.75">
      <c r="A903" s="146"/>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row>
    <row r="904" spans="1:24" ht="12.75">
      <c r="A904" s="146"/>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row>
    <row r="905" spans="1:24" ht="12.75">
      <c r="A905" s="146"/>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row>
    <row r="906" spans="1:24" ht="12.75">
      <c r="A906" s="146"/>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row>
    <row r="907" spans="1:24" ht="12.75">
      <c r="A907" s="146"/>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row>
    <row r="908" spans="1:24" ht="12.75">
      <c r="A908" s="146"/>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row>
    <row r="909" spans="1:24" ht="12.75">
      <c r="A909" s="146"/>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row>
    <row r="910" spans="1:24" ht="12.75">
      <c r="A910" s="146"/>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row>
    <row r="911" spans="1:24" ht="12.75">
      <c r="A911" s="146"/>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row>
    <row r="912" spans="1:24" ht="12.75">
      <c r="A912" s="146"/>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row>
    <row r="913" spans="1:24" ht="12.75">
      <c r="A913" s="146"/>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row>
    <row r="914" spans="1:24" ht="12.75">
      <c r="A914" s="146"/>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row>
    <row r="915" spans="1:24" ht="12.75">
      <c r="A915" s="146"/>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row>
    <row r="916" spans="1:24" ht="12.75">
      <c r="A916" s="146"/>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row>
    <row r="917" spans="1:24" ht="12.75">
      <c r="A917" s="146"/>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row>
    <row r="918" spans="1:24" ht="12.75">
      <c r="A918" s="146"/>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row>
    <row r="919" spans="1:24" ht="12.75">
      <c r="A919" s="146"/>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row>
    <row r="920" spans="1:24" ht="12.75">
      <c r="A920" s="146"/>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row>
    <row r="921" spans="1:24" ht="12.75">
      <c r="A921" s="146"/>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row>
    <row r="922" spans="1:24" ht="12.75">
      <c r="A922" s="146"/>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row>
    <row r="923" spans="1:24" ht="12.75">
      <c r="A923" s="146"/>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row>
    <row r="924" spans="1:24" ht="12.75">
      <c r="A924" s="146"/>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row>
    <row r="925" spans="1:24" ht="12.75">
      <c r="A925" s="146"/>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row>
    <row r="926" spans="1:24" ht="12.75">
      <c r="A926" s="146"/>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row>
    <row r="927" spans="1:24" ht="12.75">
      <c r="A927" s="146"/>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row>
    <row r="928" spans="1:24" ht="12.75">
      <c r="A928" s="146"/>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row>
    <row r="929" spans="1:24" ht="12.75">
      <c r="A929" s="146"/>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row>
    <row r="930" spans="1:24" ht="12.75">
      <c r="A930" s="146"/>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row>
    <row r="931" spans="1:24" ht="12.75">
      <c r="A931" s="146"/>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row>
    <row r="932" spans="1:24" ht="12.75">
      <c r="A932" s="146"/>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row>
    <row r="933" spans="1:24" ht="12.75">
      <c r="A933" s="146"/>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row>
    <row r="934" spans="1:24" ht="12.75">
      <c r="A934" s="146"/>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row>
    <row r="935" spans="1:24" ht="12.75">
      <c r="A935" s="146"/>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row>
    <row r="936" spans="1:24" ht="12.75">
      <c r="A936" s="146"/>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row>
    <row r="937" spans="1:24" ht="12.75">
      <c r="A937" s="146"/>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row>
    <row r="938" spans="1:24" ht="12.75">
      <c r="A938" s="146"/>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row>
    <row r="939" spans="1:24" ht="12.75">
      <c r="A939" s="146"/>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row>
    <row r="940" spans="1:24" ht="12.75">
      <c r="A940" s="146"/>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row>
    <row r="941" spans="1:24" ht="12.75">
      <c r="A941" s="146"/>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row>
    <row r="942" spans="1:24" ht="12.75">
      <c r="A942" s="146"/>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row>
    <row r="943" spans="1:24" ht="12.75">
      <c r="A943" s="146"/>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row>
    <row r="944" spans="1:24" ht="12.75">
      <c r="A944" s="146"/>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row>
    <row r="945" spans="1:24" ht="12.75">
      <c r="A945" s="146"/>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row>
    <row r="946" spans="1:24" ht="12.75">
      <c r="A946" s="146"/>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row>
    <row r="947" spans="1:24" ht="12.75">
      <c r="A947" s="146"/>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row>
    <row r="948" spans="1:24" ht="12.75">
      <c r="A948" s="146"/>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row>
    <row r="949" spans="1:24" ht="12.75">
      <c r="A949" s="146"/>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row>
    <row r="950" spans="1:24" ht="12.75">
      <c r="A950" s="146"/>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row>
    <row r="951" spans="1:24" ht="12.75">
      <c r="A951" s="146"/>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row>
    <row r="952" spans="1:24" ht="12.75">
      <c r="A952" s="146"/>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row>
    <row r="953" spans="1:24" ht="12.75">
      <c r="A953" s="146"/>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row>
    <row r="954" spans="1:24" ht="12.75">
      <c r="A954" s="146"/>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row>
    <row r="955" spans="1:24" ht="12.75">
      <c r="A955" s="146"/>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row>
    <row r="956" spans="1:24" ht="12.75">
      <c r="A956" s="146"/>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row>
    <row r="957" spans="1:24" ht="12.75">
      <c r="A957" s="146"/>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row>
    <row r="958" spans="1:24" ht="12.75">
      <c r="A958" s="146"/>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row>
    <row r="959" spans="1:24" ht="12.75">
      <c r="A959" s="146"/>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row>
    <row r="960" spans="1:24" ht="12.75">
      <c r="A960" s="146"/>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row>
    <row r="961" spans="1:24" ht="12.75">
      <c r="A961" s="146"/>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row>
    <row r="962" spans="1:24" ht="12.75">
      <c r="A962" s="146"/>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row>
    <row r="963" spans="1:24" ht="12.75">
      <c r="A963" s="146"/>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row>
    <row r="964" spans="1:24" ht="12.75">
      <c r="A964" s="146"/>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row>
    <row r="965" spans="1:24" ht="12.75">
      <c r="A965" s="146"/>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row>
    <row r="966" spans="1:24" ht="12.75">
      <c r="A966" s="146"/>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row>
    <row r="967" spans="1:24" ht="12.75">
      <c r="A967" s="146"/>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row>
    <row r="968" spans="1:24" ht="12.75">
      <c r="A968" s="146"/>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row>
    <row r="969" spans="1:24" ht="12.75">
      <c r="A969" s="146"/>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row>
    <row r="970" spans="1:24" ht="12.75">
      <c r="A970" s="146"/>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row>
    <row r="971" spans="1:24" ht="12.75">
      <c r="A971" s="146"/>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row>
    <row r="972" spans="1:24" ht="12.75">
      <c r="A972" s="146"/>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row>
    <row r="973" spans="1:24" ht="12.75">
      <c r="A973" s="146"/>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row>
    <row r="974" spans="1:24" ht="12.75">
      <c r="A974" s="146"/>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row>
    <row r="975" spans="1:24" ht="12.75">
      <c r="A975" s="146"/>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row>
    <row r="976" spans="1:24" ht="12.75">
      <c r="A976" s="146"/>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row>
    <row r="977" spans="1:24" ht="12.75">
      <c r="A977" s="146"/>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row>
    <row r="978" spans="1:24" ht="12.75">
      <c r="A978" s="146"/>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row>
    <row r="979" spans="1:24" ht="12.75">
      <c r="A979" s="146"/>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row>
    <row r="980" spans="1:24" ht="12.75">
      <c r="A980" s="146"/>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row>
    <row r="981" spans="1:24" ht="12.75">
      <c r="A981" s="146"/>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row>
    <row r="982" spans="1:24" ht="12.75">
      <c r="A982" s="146"/>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row>
    <row r="983" spans="1:24" ht="12.75">
      <c r="A983" s="146"/>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row>
    <row r="984" spans="1:24" ht="12.75">
      <c r="A984" s="146"/>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row>
    <row r="985" spans="1:24" ht="12.75">
      <c r="A985" s="146"/>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row>
    <row r="986" spans="1:24" ht="12.75">
      <c r="A986" s="146"/>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row>
    <row r="987" spans="1:24" ht="12.75">
      <c r="A987" s="146"/>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row>
    <row r="988" spans="1:24" ht="12.75">
      <c r="A988" s="146"/>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row>
    <row r="989" spans="1:24" ht="12.75">
      <c r="A989" s="146"/>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row>
    <row r="990" spans="1:24" ht="12.75">
      <c r="A990" s="146"/>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row>
    <row r="991" spans="1:24" ht="12.75">
      <c r="A991" s="146"/>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AG993"/>
  <sheetViews>
    <sheetView workbookViewId="0">
      <pane xSplit="3" ySplit="1" topLeftCell="D2" activePane="bottomRight" state="frozen"/>
      <selection pane="topRight" activeCell="D1" sqref="D1"/>
      <selection pane="bottomLeft" activeCell="A2" sqref="A2"/>
      <selection pane="bottomRight" activeCell="D2" sqref="D2"/>
    </sheetView>
  </sheetViews>
  <sheetFormatPr baseColWidth="10" defaultColWidth="14.42578125" defaultRowHeight="15.75" customHeight="1"/>
  <cols>
    <col min="1" max="1" width="16.7109375" customWidth="1"/>
    <col min="2" max="2" width="21.28515625" customWidth="1"/>
    <col min="3" max="3" width="32.85546875" customWidth="1"/>
    <col min="4" max="5" width="14.140625" customWidth="1"/>
    <col min="6" max="6" width="35.28515625" customWidth="1"/>
    <col min="7" max="33" width="14.140625" customWidth="1"/>
  </cols>
  <sheetData>
    <row r="1" spans="1:33" ht="57" customHeight="1">
      <c r="A1" s="129" t="s">
        <v>1877</v>
      </c>
      <c r="B1" s="129" t="s">
        <v>1878</v>
      </c>
      <c r="C1" s="129" t="s">
        <v>1879</v>
      </c>
      <c r="D1" s="128" t="s">
        <v>19</v>
      </c>
      <c r="E1" s="128" t="s">
        <v>20</v>
      </c>
      <c r="F1" s="129" t="s">
        <v>14</v>
      </c>
      <c r="G1" s="129" t="s">
        <v>15</v>
      </c>
      <c r="H1" s="129" t="s">
        <v>21</v>
      </c>
      <c r="I1" s="128" t="s">
        <v>22</v>
      </c>
      <c r="J1" s="128" t="s">
        <v>23</v>
      </c>
      <c r="K1" s="128" t="s">
        <v>24</v>
      </c>
      <c r="L1" s="141" t="s">
        <v>1880</v>
      </c>
      <c r="M1" s="141" t="s">
        <v>1881</v>
      </c>
      <c r="N1" s="141" t="s">
        <v>1882</v>
      </c>
      <c r="O1" s="141" t="s">
        <v>28</v>
      </c>
      <c r="P1" s="141" t="s">
        <v>29</v>
      </c>
      <c r="Q1" s="141" t="s">
        <v>30</v>
      </c>
      <c r="R1" s="141" t="s">
        <v>31</v>
      </c>
      <c r="S1" s="141" t="s">
        <v>32</v>
      </c>
      <c r="T1" s="141" t="s">
        <v>33</v>
      </c>
      <c r="U1" s="141" t="s">
        <v>34</v>
      </c>
      <c r="V1" s="141" t="s">
        <v>35</v>
      </c>
      <c r="W1" s="141" t="s">
        <v>36</v>
      </c>
      <c r="X1" s="142" t="s">
        <v>1883</v>
      </c>
      <c r="Y1" s="142"/>
      <c r="Z1" s="142"/>
      <c r="AA1" s="142"/>
      <c r="AB1" s="142"/>
      <c r="AC1" s="142"/>
      <c r="AD1" s="142"/>
      <c r="AE1" s="142"/>
      <c r="AF1" s="142"/>
      <c r="AG1" s="142"/>
    </row>
    <row r="2" spans="1:33" ht="12.75">
      <c r="A2" s="75">
        <v>2016</v>
      </c>
      <c r="B2" s="76" t="s">
        <v>1908</v>
      </c>
      <c r="C2" s="76" t="s">
        <v>1754</v>
      </c>
      <c r="D2" s="77">
        <v>42567</v>
      </c>
      <c r="E2" s="77">
        <v>42581</v>
      </c>
      <c r="F2" s="76" t="s">
        <v>1753</v>
      </c>
      <c r="G2" s="76" t="s">
        <v>191</v>
      </c>
      <c r="H2" s="76" t="s">
        <v>1755</v>
      </c>
      <c r="I2" s="87"/>
      <c r="J2" s="87"/>
      <c r="K2" s="87"/>
      <c r="L2" s="76" t="s">
        <v>1756</v>
      </c>
      <c r="M2" s="87"/>
      <c r="N2" s="87"/>
      <c r="O2" s="87"/>
      <c r="P2" s="87"/>
      <c r="Q2" s="76" t="s">
        <v>54</v>
      </c>
      <c r="R2" s="76" t="s">
        <v>55</v>
      </c>
      <c r="S2" s="76" t="s">
        <v>948</v>
      </c>
      <c r="T2" s="87"/>
      <c r="U2" s="76" t="s">
        <v>1757</v>
      </c>
      <c r="V2" s="76" t="s">
        <v>1758</v>
      </c>
      <c r="W2" s="87"/>
      <c r="X2" s="87"/>
      <c r="Y2" s="87"/>
      <c r="Z2" s="87"/>
      <c r="AA2" s="87"/>
      <c r="AB2" s="87"/>
      <c r="AC2" s="87"/>
      <c r="AD2" s="87"/>
      <c r="AE2" s="87"/>
      <c r="AF2" s="87"/>
      <c r="AG2" s="87"/>
    </row>
    <row r="3" spans="1:33" ht="12.75">
      <c r="A3" s="135">
        <v>2017</v>
      </c>
      <c r="B3" s="87" t="s">
        <v>2018</v>
      </c>
      <c r="C3" s="136" t="s">
        <v>1763</v>
      </c>
      <c r="D3" s="137">
        <v>42979</v>
      </c>
      <c r="E3" s="137">
        <v>42988</v>
      </c>
      <c r="F3" s="83" t="s">
        <v>1753</v>
      </c>
      <c r="G3" s="83" t="s">
        <v>191</v>
      </c>
      <c r="H3" s="83" t="s">
        <v>2019</v>
      </c>
      <c r="I3" s="83"/>
      <c r="J3" s="83"/>
      <c r="K3" s="83"/>
      <c r="L3" s="83" t="s">
        <v>1765</v>
      </c>
      <c r="M3" s="83"/>
      <c r="N3" s="83"/>
      <c r="O3" s="83"/>
      <c r="P3" s="83"/>
      <c r="Q3" s="83"/>
      <c r="R3" s="83"/>
      <c r="S3" s="83"/>
      <c r="T3" s="83"/>
      <c r="U3" s="83"/>
      <c r="V3" s="83"/>
      <c r="W3" s="83"/>
      <c r="X3" s="83"/>
      <c r="Y3" s="83"/>
      <c r="Z3" s="83"/>
      <c r="AA3" s="83"/>
      <c r="AB3" s="83"/>
      <c r="AC3" s="83"/>
      <c r="AD3" s="83"/>
      <c r="AE3" s="83"/>
      <c r="AF3" s="83"/>
      <c r="AG3" s="83"/>
    </row>
    <row r="4" spans="1:33" ht="12.75">
      <c r="A4" s="75">
        <v>2016</v>
      </c>
      <c r="B4" s="76" t="s">
        <v>1926</v>
      </c>
      <c r="C4" s="76" t="s">
        <v>658</v>
      </c>
      <c r="D4" s="77">
        <v>42548</v>
      </c>
      <c r="E4" s="77">
        <v>42561</v>
      </c>
      <c r="F4" s="76" t="s">
        <v>1753</v>
      </c>
      <c r="G4" s="76" t="s">
        <v>191</v>
      </c>
      <c r="H4" s="76" t="s">
        <v>1769</v>
      </c>
      <c r="I4" s="76" t="s">
        <v>1770</v>
      </c>
      <c r="J4" s="76" t="s">
        <v>672</v>
      </c>
      <c r="K4" s="76" t="s">
        <v>1771</v>
      </c>
      <c r="L4" s="76" t="s">
        <v>1772</v>
      </c>
      <c r="M4" s="76">
        <v>351925114783</v>
      </c>
      <c r="N4" s="76" t="s">
        <v>672</v>
      </c>
      <c r="O4" s="76" t="s">
        <v>672</v>
      </c>
      <c r="P4" s="76" t="s">
        <v>1773</v>
      </c>
      <c r="Q4" s="76" t="s">
        <v>54</v>
      </c>
      <c r="R4" s="76" t="s">
        <v>55</v>
      </c>
      <c r="S4" s="76" t="s">
        <v>1774</v>
      </c>
      <c r="T4" s="76" t="s">
        <v>1775</v>
      </c>
      <c r="U4" s="76" t="s">
        <v>1776</v>
      </c>
      <c r="V4" s="76" t="s">
        <v>55</v>
      </c>
      <c r="W4" s="76" t="s">
        <v>1777</v>
      </c>
      <c r="X4" s="76"/>
      <c r="Y4" s="76"/>
      <c r="Z4" s="76"/>
      <c r="AA4" s="76"/>
      <c r="AB4" s="76"/>
      <c r="AC4" s="76"/>
      <c r="AD4" s="76"/>
      <c r="AE4" s="76"/>
      <c r="AF4" s="76"/>
      <c r="AG4" s="76"/>
    </row>
    <row r="5" spans="1:33" ht="12.75">
      <c r="A5" s="75">
        <v>2016</v>
      </c>
      <c r="B5" s="76" t="s">
        <v>1905</v>
      </c>
      <c r="C5" s="76" t="s">
        <v>1781</v>
      </c>
      <c r="D5" s="77">
        <v>42564</v>
      </c>
      <c r="E5" s="77">
        <v>42581</v>
      </c>
      <c r="F5" s="76" t="s">
        <v>1753</v>
      </c>
      <c r="G5" s="76" t="s">
        <v>191</v>
      </c>
      <c r="H5" s="76" t="s">
        <v>2020</v>
      </c>
      <c r="I5" s="76" t="s">
        <v>1783</v>
      </c>
      <c r="J5" s="87"/>
      <c r="K5" s="87"/>
      <c r="L5" s="76" t="s">
        <v>1784</v>
      </c>
      <c r="M5" s="87"/>
      <c r="N5" s="87"/>
      <c r="O5" s="87"/>
      <c r="P5" s="87"/>
      <c r="Q5" s="76" t="s">
        <v>100</v>
      </c>
      <c r="R5" s="76" t="s">
        <v>55</v>
      </c>
      <c r="S5" s="76" t="s">
        <v>1785</v>
      </c>
      <c r="T5" s="76" t="s">
        <v>1786</v>
      </c>
      <c r="U5" s="76" t="s">
        <v>103</v>
      </c>
      <c r="V5" s="76" t="s">
        <v>372</v>
      </c>
      <c r="W5" s="76" t="s">
        <v>1787</v>
      </c>
      <c r="X5" s="76"/>
      <c r="Y5" s="76"/>
      <c r="Z5" s="76"/>
      <c r="AA5" s="76"/>
      <c r="AB5" s="76"/>
      <c r="AC5" s="76"/>
      <c r="AD5" s="76"/>
      <c r="AE5" s="76"/>
      <c r="AF5" s="76"/>
      <c r="AG5" s="76"/>
    </row>
    <row r="6" spans="1:33" ht="12.75">
      <c r="A6" s="75">
        <v>2017</v>
      </c>
      <c r="B6" s="76" t="s">
        <v>1901</v>
      </c>
      <c r="C6" s="76" t="s">
        <v>335</v>
      </c>
      <c r="D6" s="77">
        <v>42917</v>
      </c>
      <c r="E6" s="77">
        <v>42931</v>
      </c>
      <c r="F6" s="76" t="s">
        <v>1753</v>
      </c>
      <c r="G6" s="76" t="s">
        <v>191</v>
      </c>
      <c r="H6" s="76" t="s">
        <v>1791</v>
      </c>
      <c r="I6" s="145" t="s">
        <v>1792</v>
      </c>
      <c r="J6" s="87"/>
      <c r="K6" s="87"/>
      <c r="L6" s="76" t="s">
        <v>1793</v>
      </c>
      <c r="M6" s="87"/>
      <c r="N6" s="87"/>
      <c r="O6" s="87"/>
      <c r="P6" s="87"/>
      <c r="Q6" s="76" t="s">
        <v>54</v>
      </c>
      <c r="R6" s="76" t="s">
        <v>55</v>
      </c>
      <c r="S6" s="76" t="s">
        <v>386</v>
      </c>
      <c r="T6" s="76" t="s">
        <v>1794</v>
      </c>
      <c r="U6" s="76" t="s">
        <v>1795</v>
      </c>
      <c r="V6" s="87"/>
      <c r="W6" s="87"/>
      <c r="X6" s="87"/>
      <c r="Y6" s="87"/>
      <c r="Z6" s="87"/>
      <c r="AA6" s="87"/>
      <c r="AB6" s="87"/>
      <c r="AC6" s="87"/>
      <c r="AD6" s="87"/>
      <c r="AE6" s="87"/>
      <c r="AF6" s="87"/>
      <c r="AG6" s="87"/>
    </row>
    <row r="7" spans="1:33" ht="12.75">
      <c r="A7" s="75">
        <v>2016</v>
      </c>
      <c r="B7" s="76" t="s">
        <v>1890</v>
      </c>
      <c r="C7" s="76" t="s">
        <v>1799</v>
      </c>
      <c r="D7" s="77">
        <v>42567</v>
      </c>
      <c r="E7" s="77">
        <v>42581</v>
      </c>
      <c r="F7" s="76" t="s">
        <v>1753</v>
      </c>
      <c r="G7" s="76" t="s">
        <v>191</v>
      </c>
      <c r="H7" s="76" t="s">
        <v>2021</v>
      </c>
      <c r="I7" s="76" t="s">
        <v>1801</v>
      </c>
      <c r="J7" s="87"/>
      <c r="K7" s="76" t="s">
        <v>1802</v>
      </c>
      <c r="L7" s="76" t="s">
        <v>1803</v>
      </c>
      <c r="M7" s="76" t="s">
        <v>1804</v>
      </c>
      <c r="N7" s="76" t="s">
        <v>1805</v>
      </c>
      <c r="O7" s="76" t="s">
        <v>1806</v>
      </c>
      <c r="P7" s="87"/>
      <c r="Q7" s="76" t="s">
        <v>54</v>
      </c>
      <c r="R7" s="76" t="s">
        <v>55</v>
      </c>
      <c r="S7" s="76" t="s">
        <v>137</v>
      </c>
      <c r="T7" s="76" t="s">
        <v>1807</v>
      </c>
      <c r="U7" s="76" t="s">
        <v>1808</v>
      </c>
      <c r="V7" s="76" t="s">
        <v>1809</v>
      </c>
      <c r="W7" s="76" t="s">
        <v>1810</v>
      </c>
      <c r="X7" s="76"/>
      <c r="Y7" s="76"/>
      <c r="Z7" s="76"/>
      <c r="AA7" s="76"/>
      <c r="AB7" s="76"/>
      <c r="AC7" s="76"/>
      <c r="AD7" s="76"/>
      <c r="AE7" s="76"/>
      <c r="AF7" s="76"/>
      <c r="AG7" s="76"/>
    </row>
    <row r="8" spans="1:33" ht="12.75">
      <c r="A8" s="135">
        <v>2015</v>
      </c>
      <c r="B8" s="83" t="s">
        <v>1580</v>
      </c>
      <c r="C8" s="136" t="s">
        <v>1814</v>
      </c>
      <c r="D8" s="137">
        <v>42200</v>
      </c>
      <c r="E8" s="137">
        <v>42215</v>
      </c>
      <c r="F8" s="87"/>
      <c r="G8" s="83" t="s">
        <v>191</v>
      </c>
      <c r="H8" s="83" t="s">
        <v>1815</v>
      </c>
      <c r="I8" s="83" t="s">
        <v>1816</v>
      </c>
      <c r="J8" s="83"/>
      <c r="K8" s="83"/>
      <c r="L8" s="83"/>
      <c r="M8" s="83"/>
      <c r="N8" s="83"/>
      <c r="O8" s="83"/>
      <c r="P8" s="83"/>
      <c r="Q8" s="83"/>
      <c r="R8" s="83"/>
      <c r="S8" s="83"/>
      <c r="T8" s="83"/>
      <c r="U8" s="83"/>
      <c r="V8" s="83"/>
      <c r="W8" s="83"/>
      <c r="X8" s="83"/>
      <c r="Y8" s="83"/>
      <c r="Z8" s="83"/>
      <c r="AA8" s="83"/>
      <c r="AB8" s="83"/>
      <c r="AC8" s="83"/>
      <c r="AD8" s="83"/>
      <c r="AE8" s="83"/>
      <c r="AF8" s="83"/>
      <c r="AG8" s="83"/>
    </row>
    <row r="9" spans="1:33" ht="12.75">
      <c r="A9" s="135">
        <v>2015</v>
      </c>
      <c r="B9" s="83" t="s">
        <v>2003</v>
      </c>
      <c r="C9" s="136" t="s">
        <v>1781</v>
      </c>
      <c r="D9" s="137">
        <v>42201</v>
      </c>
      <c r="E9" s="137">
        <v>42215</v>
      </c>
      <c r="F9" s="87"/>
      <c r="G9" s="136" t="s">
        <v>191</v>
      </c>
      <c r="H9" s="136" t="s">
        <v>1820</v>
      </c>
      <c r="I9" s="83" t="s">
        <v>1821</v>
      </c>
      <c r="J9" s="83"/>
      <c r="K9" s="83" t="s">
        <v>1822</v>
      </c>
      <c r="L9" s="83"/>
      <c r="M9" s="83"/>
      <c r="N9" s="83"/>
      <c r="O9" s="83"/>
      <c r="P9" s="83"/>
      <c r="Q9" s="83"/>
      <c r="R9" s="83"/>
      <c r="S9" s="83"/>
      <c r="T9" s="83"/>
      <c r="U9" s="83"/>
      <c r="V9" s="83"/>
      <c r="W9" s="83"/>
      <c r="X9" s="83"/>
      <c r="Y9" s="83"/>
      <c r="Z9" s="83"/>
      <c r="AA9" s="83"/>
      <c r="AB9" s="83"/>
      <c r="AC9" s="83"/>
      <c r="AD9" s="83"/>
      <c r="AE9" s="83"/>
      <c r="AF9" s="83"/>
      <c r="AG9" s="83"/>
    </row>
    <row r="10" spans="1:33" ht="12.75">
      <c r="A10" s="135">
        <v>2018</v>
      </c>
      <c r="B10" s="139" t="s">
        <v>1896</v>
      </c>
      <c r="C10" s="136" t="s">
        <v>252</v>
      </c>
      <c r="D10" s="137">
        <v>43302</v>
      </c>
      <c r="E10" s="137">
        <v>43341</v>
      </c>
      <c r="F10" s="139" t="s">
        <v>1753</v>
      </c>
      <c r="G10" s="139" t="s">
        <v>200</v>
      </c>
      <c r="H10" s="139" t="s">
        <v>2022</v>
      </c>
      <c r="I10" s="139" t="s">
        <v>1611</v>
      </c>
      <c r="J10" s="83" t="s">
        <v>1611</v>
      </c>
      <c r="K10" s="83" t="s">
        <v>1826</v>
      </c>
      <c r="L10" s="139" t="s">
        <v>1827</v>
      </c>
      <c r="M10" s="83" t="s">
        <v>1828</v>
      </c>
      <c r="N10" s="83" t="s">
        <v>382</v>
      </c>
      <c r="O10" s="138">
        <v>0</v>
      </c>
      <c r="P10" s="83" t="s">
        <v>1829</v>
      </c>
      <c r="Q10" s="139" t="s">
        <v>54</v>
      </c>
      <c r="R10" s="139" t="s">
        <v>55</v>
      </c>
      <c r="S10" s="139" t="s">
        <v>883</v>
      </c>
      <c r="T10" s="139" t="s">
        <v>1830</v>
      </c>
      <c r="U10" s="139" t="s">
        <v>103</v>
      </c>
      <c r="V10" s="83" t="s">
        <v>372</v>
      </c>
      <c r="W10" s="83" t="s">
        <v>1831</v>
      </c>
      <c r="X10" s="83"/>
      <c r="Y10" s="83"/>
      <c r="Z10" s="83"/>
      <c r="AA10" s="83"/>
      <c r="AB10" s="83"/>
      <c r="AC10" s="83"/>
      <c r="AD10" s="83"/>
      <c r="AE10" s="83"/>
      <c r="AF10" s="83"/>
      <c r="AG10" s="83"/>
    </row>
    <row r="11" spans="1:33" ht="12.75">
      <c r="A11" s="135">
        <v>2019</v>
      </c>
      <c r="B11" s="83" t="s">
        <v>1885</v>
      </c>
      <c r="C11" s="136" t="s">
        <v>840</v>
      </c>
      <c r="D11" s="137">
        <v>43662</v>
      </c>
      <c r="E11" s="137">
        <v>43676</v>
      </c>
      <c r="F11" s="87" t="s">
        <v>1753</v>
      </c>
      <c r="G11" s="83" t="s">
        <v>191</v>
      </c>
      <c r="H11" s="83" t="s">
        <v>1835</v>
      </c>
      <c r="I11" s="83" t="s">
        <v>1836</v>
      </c>
      <c r="J11" s="83">
        <v>0</v>
      </c>
      <c r="K11" s="83" t="s">
        <v>1837</v>
      </c>
      <c r="L11" s="83" t="s">
        <v>1838</v>
      </c>
      <c r="M11" s="83" t="s">
        <v>1839</v>
      </c>
      <c r="N11" s="83" t="s">
        <v>1840</v>
      </c>
      <c r="O11" s="83" t="s">
        <v>1841</v>
      </c>
      <c r="P11" s="83" t="s">
        <v>1842</v>
      </c>
      <c r="Q11" s="83" t="s">
        <v>54</v>
      </c>
      <c r="R11" s="83" t="s">
        <v>55</v>
      </c>
      <c r="S11" s="83" t="s">
        <v>883</v>
      </c>
      <c r="T11" s="83" t="s">
        <v>1843</v>
      </c>
      <c r="U11" s="83" t="s">
        <v>1844</v>
      </c>
      <c r="V11" s="83" t="s">
        <v>1845</v>
      </c>
      <c r="W11" s="83" t="s">
        <v>1846</v>
      </c>
      <c r="X11" s="83" t="s">
        <v>55</v>
      </c>
      <c r="Y11" s="83"/>
      <c r="Z11" s="83"/>
      <c r="AA11" s="83"/>
      <c r="AB11" s="83"/>
      <c r="AC11" s="83"/>
      <c r="AD11" s="83"/>
      <c r="AE11" s="83"/>
      <c r="AF11" s="83"/>
      <c r="AG11" s="83"/>
    </row>
    <row r="12" spans="1:33" ht="12.75">
      <c r="A12" s="135">
        <v>2019</v>
      </c>
      <c r="B12" s="83" t="s">
        <v>1896</v>
      </c>
      <c r="C12" s="136" t="s">
        <v>252</v>
      </c>
      <c r="D12" s="137">
        <v>43679</v>
      </c>
      <c r="E12" s="137">
        <v>43688</v>
      </c>
      <c r="F12" s="87" t="s">
        <v>1753</v>
      </c>
      <c r="G12" s="83" t="s">
        <v>191</v>
      </c>
      <c r="H12" s="83" t="s">
        <v>2023</v>
      </c>
      <c r="I12" s="83" t="s">
        <v>1851</v>
      </c>
      <c r="J12" s="83" t="s">
        <v>1611</v>
      </c>
      <c r="K12" s="83" t="s">
        <v>1851</v>
      </c>
      <c r="L12" s="83" t="s">
        <v>1852</v>
      </c>
      <c r="M12" s="83" t="s">
        <v>1853</v>
      </c>
      <c r="N12" s="83" t="s">
        <v>1854</v>
      </c>
      <c r="O12" s="83" t="s">
        <v>1855</v>
      </c>
      <c r="P12" s="83" t="s">
        <v>1856</v>
      </c>
      <c r="Q12" s="83" t="s">
        <v>54</v>
      </c>
      <c r="R12" s="83" t="s">
        <v>55</v>
      </c>
      <c r="S12" s="83" t="s">
        <v>1427</v>
      </c>
      <c r="T12" s="83" t="s">
        <v>1807</v>
      </c>
      <c r="U12" s="83" t="s">
        <v>1857</v>
      </c>
      <c r="V12" s="83" t="s">
        <v>125</v>
      </c>
      <c r="W12" s="83" t="s">
        <v>1858</v>
      </c>
      <c r="X12" s="83" t="s">
        <v>55</v>
      </c>
      <c r="Y12" s="83"/>
      <c r="Z12" s="83"/>
      <c r="AA12" s="83"/>
      <c r="AB12" s="83"/>
      <c r="AC12" s="83"/>
      <c r="AD12" s="83"/>
      <c r="AE12" s="83"/>
      <c r="AF12" s="83"/>
      <c r="AG12" s="83"/>
    </row>
    <row r="13" spans="1:33" ht="12.75">
      <c r="A13" s="135">
        <v>2019</v>
      </c>
      <c r="B13" s="83" t="s">
        <v>2024</v>
      </c>
      <c r="C13" s="136" t="s">
        <v>1863</v>
      </c>
      <c r="D13" s="137">
        <v>43678</v>
      </c>
      <c r="E13" s="137">
        <v>43692</v>
      </c>
      <c r="F13" s="87" t="s">
        <v>1753</v>
      </c>
      <c r="G13" s="83" t="s">
        <v>198</v>
      </c>
      <c r="H13" s="83" t="s">
        <v>2025</v>
      </c>
      <c r="I13" s="83" t="s">
        <v>1865</v>
      </c>
      <c r="J13" s="83" t="s">
        <v>641</v>
      </c>
      <c r="K13" s="83" t="s">
        <v>1866</v>
      </c>
      <c r="L13" s="83" t="s">
        <v>1867</v>
      </c>
      <c r="M13" s="83" t="s">
        <v>1868</v>
      </c>
      <c r="N13" s="83" t="s">
        <v>1869</v>
      </c>
      <c r="O13" s="83">
        <v>70</v>
      </c>
      <c r="P13" s="83" t="s">
        <v>1870</v>
      </c>
      <c r="Q13" s="83" t="s">
        <v>54</v>
      </c>
      <c r="R13" s="83" t="s">
        <v>55</v>
      </c>
      <c r="S13" s="83" t="s">
        <v>1148</v>
      </c>
      <c r="T13" s="83" t="s">
        <v>1148</v>
      </c>
      <c r="U13" s="83" t="s">
        <v>1871</v>
      </c>
      <c r="V13" s="83" t="s">
        <v>103</v>
      </c>
      <c r="W13" s="83" t="s">
        <v>1872</v>
      </c>
      <c r="X13" s="83" t="s">
        <v>55</v>
      </c>
      <c r="Y13" s="83"/>
      <c r="Z13" s="83"/>
      <c r="AA13" s="83"/>
      <c r="AB13" s="83"/>
      <c r="AC13" s="83"/>
      <c r="AD13" s="83"/>
      <c r="AE13" s="83"/>
      <c r="AF13" s="83"/>
      <c r="AG13" s="83"/>
    </row>
    <row r="14" spans="1:33" ht="12.75">
      <c r="A14" s="148"/>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row>
    <row r="15" spans="1:33" ht="12.75">
      <c r="A15" s="148"/>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row>
    <row r="16" spans="1:33" ht="12.75">
      <c r="A16" s="148"/>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row>
    <row r="17" spans="1:33" ht="12.75">
      <c r="A17" s="148"/>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row>
    <row r="18" spans="1:33" ht="12.75">
      <c r="A18" s="148"/>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row>
    <row r="19" spans="1:33" ht="12.75">
      <c r="A19" s="148"/>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row>
    <row r="20" spans="1:33" ht="12.75">
      <c r="A20" s="148"/>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row>
    <row r="21" spans="1:33" ht="12.75">
      <c r="A21" s="148"/>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row>
    <row r="22" spans="1:33" ht="12.75">
      <c r="A22" s="148"/>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row>
    <row r="23" spans="1:33" ht="12.75">
      <c r="A23" s="148"/>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c r="AA23" s="146"/>
      <c r="AB23" s="146"/>
      <c r="AC23" s="146"/>
      <c r="AD23" s="146"/>
      <c r="AE23" s="146"/>
      <c r="AF23" s="146"/>
      <c r="AG23" s="146"/>
    </row>
    <row r="24" spans="1:33" ht="12.75">
      <c r="A24" s="148"/>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row>
    <row r="25" spans="1:33" ht="12.75">
      <c r="A25" s="148"/>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row>
    <row r="26" spans="1:33" ht="12.75">
      <c r="A26" s="148"/>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c r="AA26" s="146"/>
      <c r="AB26" s="146"/>
      <c r="AC26" s="146"/>
      <c r="AD26" s="146"/>
      <c r="AE26" s="146"/>
      <c r="AF26" s="146"/>
      <c r="AG26" s="146"/>
    </row>
    <row r="27" spans="1:33" ht="12.75">
      <c r="A27" s="148"/>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row>
    <row r="28" spans="1:33" ht="12.75">
      <c r="A28" s="148"/>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c r="AA28" s="146"/>
      <c r="AB28" s="146"/>
      <c r="AC28" s="146"/>
      <c r="AD28" s="146"/>
      <c r="AE28" s="146"/>
      <c r="AF28" s="146"/>
      <c r="AG28" s="146"/>
    </row>
    <row r="29" spans="1:33" ht="12.75">
      <c r="A29" s="148"/>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c r="AA29" s="146"/>
      <c r="AB29" s="146"/>
      <c r="AC29" s="146"/>
      <c r="AD29" s="146"/>
      <c r="AE29" s="146"/>
      <c r="AF29" s="146"/>
      <c r="AG29" s="146"/>
    </row>
    <row r="30" spans="1:33" ht="12.75">
      <c r="A30" s="148"/>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c r="AA30" s="146"/>
      <c r="AB30" s="146"/>
      <c r="AC30" s="146"/>
      <c r="AD30" s="146"/>
      <c r="AE30" s="146"/>
      <c r="AF30" s="146"/>
      <c r="AG30" s="146"/>
    </row>
    <row r="31" spans="1:33" ht="12.75">
      <c r="A31" s="148"/>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row>
    <row r="32" spans="1:33" ht="12.75">
      <c r="A32" s="148"/>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c r="AA32" s="146"/>
      <c r="AB32" s="146"/>
      <c r="AC32" s="146"/>
      <c r="AD32" s="146"/>
      <c r="AE32" s="146"/>
      <c r="AF32" s="146"/>
      <c r="AG32" s="146"/>
    </row>
    <row r="33" spans="1:33" ht="12.75">
      <c r="A33" s="148"/>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row>
    <row r="34" spans="1:33" ht="12.75">
      <c r="A34" s="148"/>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c r="AA34" s="146"/>
      <c r="AB34" s="146"/>
      <c r="AC34" s="146"/>
      <c r="AD34" s="146"/>
      <c r="AE34" s="146"/>
      <c r="AF34" s="146"/>
      <c r="AG34" s="146"/>
    </row>
    <row r="35" spans="1:33" ht="12.75">
      <c r="A35" s="148"/>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row>
    <row r="36" spans="1:33" ht="12.75">
      <c r="A36" s="148"/>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row>
    <row r="37" spans="1:33" ht="12.75">
      <c r="A37" s="148"/>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row>
    <row r="38" spans="1:33" ht="12.75">
      <c r="A38" s="148"/>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row>
    <row r="39" spans="1:33" ht="12.75">
      <c r="A39" s="148"/>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row>
    <row r="40" spans="1:33" ht="12.75">
      <c r="A40" s="148"/>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row>
    <row r="41" spans="1:33" ht="12.75">
      <c r="A41" s="148"/>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c r="AA41" s="146"/>
      <c r="AB41" s="146"/>
      <c r="AC41" s="146"/>
      <c r="AD41" s="146"/>
      <c r="AE41" s="146"/>
      <c r="AF41" s="146"/>
      <c r="AG41" s="146"/>
    </row>
    <row r="42" spans="1:33" ht="12.75">
      <c r="A42" s="148"/>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row>
    <row r="43" spans="1:33" ht="12.75">
      <c r="A43" s="148"/>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row>
    <row r="44" spans="1:33" ht="12.75">
      <c r="A44" s="148"/>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c r="AA44" s="146"/>
      <c r="AB44" s="146"/>
      <c r="AC44" s="146"/>
      <c r="AD44" s="146"/>
      <c r="AE44" s="146"/>
      <c r="AF44" s="146"/>
      <c r="AG44" s="146"/>
    </row>
    <row r="45" spans="1:33" ht="12.75">
      <c r="A45" s="148"/>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row>
    <row r="46" spans="1:33" ht="12.75">
      <c r="A46" s="148"/>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c r="AA46" s="146"/>
      <c r="AB46" s="146"/>
      <c r="AC46" s="146"/>
      <c r="AD46" s="146"/>
      <c r="AE46" s="146"/>
      <c r="AF46" s="146"/>
      <c r="AG46" s="146"/>
    </row>
    <row r="47" spans="1:33" ht="12.75">
      <c r="A47" s="148"/>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row>
    <row r="48" spans="1:33" ht="12.75">
      <c r="A48" s="148"/>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c r="AA48" s="146"/>
      <c r="AB48" s="146"/>
      <c r="AC48" s="146"/>
      <c r="AD48" s="146"/>
      <c r="AE48" s="146"/>
      <c r="AF48" s="146"/>
      <c r="AG48" s="146"/>
    </row>
    <row r="49" spans="1:33" ht="12.75">
      <c r="A49" s="148"/>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c r="AA49" s="146"/>
      <c r="AB49" s="146"/>
      <c r="AC49" s="146"/>
      <c r="AD49" s="146"/>
      <c r="AE49" s="146"/>
      <c r="AF49" s="146"/>
      <c r="AG49" s="146"/>
    </row>
    <row r="50" spans="1:33" ht="12.75">
      <c r="A50" s="148"/>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c r="AA50" s="146"/>
      <c r="AB50" s="146"/>
      <c r="AC50" s="146"/>
      <c r="AD50" s="146"/>
      <c r="AE50" s="146"/>
      <c r="AF50" s="146"/>
      <c r="AG50" s="146"/>
    </row>
    <row r="51" spans="1:33" ht="12.75">
      <c r="A51" s="148"/>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row>
    <row r="52" spans="1:33" ht="12.75">
      <c r="A52" s="148"/>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c r="AA52" s="146"/>
      <c r="AB52" s="146"/>
      <c r="AC52" s="146"/>
      <c r="AD52" s="146"/>
      <c r="AE52" s="146"/>
      <c r="AF52" s="146"/>
      <c r="AG52" s="146"/>
    </row>
    <row r="53" spans="1:33" ht="12.75">
      <c r="A53" s="148"/>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row>
    <row r="54" spans="1:33" ht="12.75">
      <c r="A54" s="148"/>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c r="AA54" s="146"/>
      <c r="AB54" s="146"/>
      <c r="AC54" s="146"/>
      <c r="AD54" s="146"/>
      <c r="AE54" s="146"/>
      <c r="AF54" s="146"/>
      <c r="AG54" s="146"/>
    </row>
    <row r="55" spans="1:33" ht="12.75">
      <c r="A55" s="148"/>
      <c r="B55" s="146"/>
      <c r="C55" s="146"/>
      <c r="D55" s="146"/>
      <c r="E55" s="146"/>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row>
    <row r="56" spans="1:33" ht="12.75">
      <c r="A56" s="148"/>
      <c r="B56" s="146"/>
      <c r="C56" s="146"/>
      <c r="D56" s="146"/>
      <c r="E56" s="146"/>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row>
    <row r="57" spans="1:33" ht="12.75">
      <c r="A57" s="148"/>
      <c r="B57" s="146"/>
      <c r="C57" s="146"/>
      <c r="D57" s="146"/>
      <c r="E57" s="146"/>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row>
    <row r="58" spans="1:33" ht="12.75">
      <c r="A58" s="148"/>
      <c r="B58" s="146"/>
      <c r="C58" s="146"/>
      <c r="D58" s="146"/>
      <c r="E58" s="146"/>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row>
    <row r="59" spans="1:33" ht="12.75">
      <c r="A59" s="148"/>
      <c r="B59" s="146"/>
      <c r="C59" s="146"/>
      <c r="D59" s="146"/>
      <c r="E59" s="146"/>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row>
    <row r="60" spans="1:33" ht="12.75">
      <c r="A60" s="148"/>
      <c r="B60" s="146"/>
      <c r="C60" s="146"/>
      <c r="D60" s="146"/>
      <c r="E60" s="146"/>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row>
    <row r="61" spans="1:33" ht="12.75">
      <c r="A61" s="148"/>
      <c r="B61" s="146"/>
      <c r="C61" s="146"/>
      <c r="D61" s="146"/>
      <c r="E61" s="146"/>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row>
    <row r="62" spans="1:33" ht="12.75">
      <c r="A62" s="148"/>
      <c r="B62" s="146"/>
      <c r="C62" s="146"/>
      <c r="D62" s="146"/>
      <c r="E62" s="146"/>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row>
    <row r="63" spans="1:33" ht="12.75">
      <c r="A63" s="148"/>
      <c r="B63" s="146"/>
      <c r="C63" s="146"/>
      <c r="D63" s="146"/>
      <c r="E63" s="146"/>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row>
    <row r="64" spans="1:33" ht="12.75">
      <c r="A64" s="148"/>
      <c r="B64" s="146"/>
      <c r="C64" s="146"/>
      <c r="D64" s="146"/>
      <c r="E64" s="146"/>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row>
    <row r="65" spans="1:33" ht="12.75">
      <c r="A65" s="148"/>
      <c r="B65" s="146"/>
      <c r="C65" s="146"/>
      <c r="D65" s="146"/>
      <c r="E65" s="146"/>
      <c r="F65" s="146"/>
      <c r="G65" s="146"/>
      <c r="H65" s="146"/>
      <c r="I65" s="146"/>
      <c r="J65" s="146"/>
      <c r="K65" s="146"/>
      <c r="L65" s="146"/>
      <c r="M65" s="146"/>
      <c r="N65" s="146"/>
      <c r="O65" s="146"/>
      <c r="P65" s="146"/>
      <c r="Q65" s="146"/>
      <c r="R65" s="146"/>
      <c r="S65" s="146"/>
      <c r="T65" s="146"/>
      <c r="U65" s="146"/>
      <c r="V65" s="146"/>
      <c r="W65" s="146"/>
      <c r="X65" s="146"/>
      <c r="Y65" s="146"/>
      <c r="Z65" s="146"/>
      <c r="AA65" s="146"/>
      <c r="AB65" s="146"/>
      <c r="AC65" s="146"/>
      <c r="AD65" s="146"/>
      <c r="AE65" s="146"/>
      <c r="AF65" s="146"/>
      <c r="AG65" s="146"/>
    </row>
    <row r="66" spans="1:33" ht="12.75">
      <c r="A66" s="148"/>
      <c r="B66" s="146"/>
      <c r="C66" s="146"/>
      <c r="D66" s="146"/>
      <c r="E66" s="146"/>
      <c r="F66" s="146"/>
      <c r="G66" s="146"/>
      <c r="H66" s="146"/>
      <c r="I66" s="146"/>
      <c r="J66" s="146"/>
      <c r="K66" s="146"/>
      <c r="L66" s="146"/>
      <c r="M66" s="146"/>
      <c r="N66" s="146"/>
      <c r="O66" s="146"/>
      <c r="P66" s="146"/>
      <c r="Q66" s="146"/>
      <c r="R66" s="146"/>
      <c r="S66" s="146"/>
      <c r="T66" s="146"/>
      <c r="U66" s="146"/>
      <c r="V66" s="146"/>
      <c r="W66" s="146"/>
      <c r="X66" s="146"/>
      <c r="Y66" s="146"/>
      <c r="Z66" s="146"/>
      <c r="AA66" s="146"/>
      <c r="AB66" s="146"/>
      <c r="AC66" s="146"/>
      <c r="AD66" s="146"/>
      <c r="AE66" s="146"/>
      <c r="AF66" s="146"/>
      <c r="AG66" s="146"/>
    </row>
    <row r="67" spans="1:33" ht="12.75">
      <c r="A67" s="148"/>
      <c r="B67" s="146"/>
      <c r="C67" s="146"/>
      <c r="D67" s="146"/>
      <c r="E67" s="146"/>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row>
    <row r="68" spans="1:33" ht="12.75">
      <c r="A68" s="148"/>
      <c r="B68" s="146"/>
      <c r="C68" s="146"/>
      <c r="D68" s="146"/>
      <c r="E68" s="146"/>
      <c r="F68" s="146"/>
      <c r="G68" s="146"/>
      <c r="H68" s="146"/>
      <c r="I68" s="146"/>
      <c r="J68" s="146"/>
      <c r="K68" s="146"/>
      <c r="L68" s="146"/>
      <c r="M68" s="146"/>
      <c r="N68" s="146"/>
      <c r="O68" s="146"/>
      <c r="P68" s="146"/>
      <c r="Q68" s="146"/>
      <c r="R68" s="146"/>
      <c r="S68" s="146"/>
      <c r="T68" s="146"/>
      <c r="U68" s="146"/>
      <c r="V68" s="146"/>
      <c r="W68" s="146"/>
      <c r="X68" s="146"/>
      <c r="Y68" s="146"/>
      <c r="Z68" s="146"/>
      <c r="AA68" s="146"/>
      <c r="AB68" s="146"/>
      <c r="AC68" s="146"/>
      <c r="AD68" s="146"/>
      <c r="AE68" s="146"/>
      <c r="AF68" s="146"/>
      <c r="AG68" s="146"/>
    </row>
    <row r="69" spans="1:33" ht="12.75">
      <c r="A69" s="148"/>
      <c r="B69" s="146"/>
      <c r="C69" s="146"/>
      <c r="D69" s="146"/>
      <c r="E69" s="146"/>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row>
    <row r="70" spans="1:33" ht="12.75">
      <c r="A70" s="148"/>
      <c r="B70" s="146"/>
      <c r="C70" s="146"/>
      <c r="D70" s="146"/>
      <c r="E70" s="146"/>
      <c r="F70" s="146"/>
      <c r="G70" s="146"/>
      <c r="H70" s="146"/>
      <c r="I70" s="146"/>
      <c r="J70" s="146"/>
      <c r="K70" s="146"/>
      <c r="L70" s="146"/>
      <c r="M70" s="146"/>
      <c r="N70" s="146"/>
      <c r="O70" s="146"/>
      <c r="P70" s="146"/>
      <c r="Q70" s="146"/>
      <c r="R70" s="146"/>
      <c r="S70" s="146"/>
      <c r="T70" s="146"/>
      <c r="U70" s="146"/>
      <c r="V70" s="146"/>
      <c r="W70" s="146"/>
      <c r="X70" s="146"/>
      <c r="Y70" s="146"/>
      <c r="Z70" s="146"/>
      <c r="AA70" s="146"/>
      <c r="AB70" s="146"/>
      <c r="AC70" s="146"/>
      <c r="AD70" s="146"/>
      <c r="AE70" s="146"/>
      <c r="AF70" s="146"/>
      <c r="AG70" s="146"/>
    </row>
    <row r="71" spans="1:33" ht="12.75">
      <c r="A71" s="148"/>
      <c r="B71" s="146"/>
      <c r="C71" s="146"/>
      <c r="D71" s="146"/>
      <c r="E71" s="146"/>
      <c r="F71" s="146"/>
      <c r="G71" s="146"/>
      <c r="H71" s="146"/>
      <c r="I71" s="146"/>
      <c r="J71" s="146"/>
      <c r="K71" s="146"/>
      <c r="L71" s="146"/>
      <c r="M71" s="146"/>
      <c r="N71" s="146"/>
      <c r="O71" s="146"/>
      <c r="P71" s="146"/>
      <c r="Q71" s="146"/>
      <c r="R71" s="146"/>
      <c r="S71" s="146"/>
      <c r="T71" s="146"/>
      <c r="U71" s="146"/>
      <c r="V71" s="146"/>
      <c r="W71" s="146"/>
      <c r="X71" s="146"/>
      <c r="Y71" s="146"/>
      <c r="Z71" s="146"/>
      <c r="AA71" s="146"/>
      <c r="AB71" s="146"/>
      <c r="AC71" s="146"/>
      <c r="AD71" s="146"/>
      <c r="AE71" s="146"/>
      <c r="AF71" s="146"/>
      <c r="AG71" s="146"/>
    </row>
    <row r="72" spans="1:33" ht="12.75">
      <c r="A72" s="148"/>
      <c r="B72" s="146"/>
      <c r="C72" s="146"/>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row>
    <row r="73" spans="1:33" ht="12.75">
      <c r="A73" s="148"/>
      <c r="B73" s="146"/>
      <c r="C73" s="146"/>
      <c r="D73" s="146"/>
      <c r="E73" s="146"/>
      <c r="F73" s="146"/>
      <c r="G73" s="146"/>
      <c r="H73" s="146"/>
      <c r="I73" s="146"/>
      <c r="J73" s="146"/>
      <c r="K73" s="146"/>
      <c r="L73" s="146"/>
      <c r="M73" s="146"/>
      <c r="N73" s="146"/>
      <c r="O73" s="146"/>
      <c r="P73" s="146"/>
      <c r="Q73" s="146"/>
      <c r="R73" s="146"/>
      <c r="S73" s="146"/>
      <c r="T73" s="146"/>
      <c r="U73" s="146"/>
      <c r="V73" s="146"/>
      <c r="W73" s="146"/>
      <c r="X73" s="146"/>
      <c r="Y73" s="146"/>
      <c r="Z73" s="146"/>
      <c r="AA73" s="146"/>
      <c r="AB73" s="146"/>
      <c r="AC73" s="146"/>
      <c r="AD73" s="146"/>
      <c r="AE73" s="146"/>
      <c r="AF73" s="146"/>
      <c r="AG73" s="146"/>
    </row>
    <row r="74" spans="1:33" ht="12.75">
      <c r="A74" s="148"/>
      <c r="B74" s="146"/>
      <c r="C74" s="146"/>
      <c r="D74" s="146"/>
      <c r="E74" s="146"/>
      <c r="F74" s="146"/>
      <c r="G74" s="146"/>
      <c r="H74" s="146"/>
      <c r="I74" s="146"/>
      <c r="J74" s="146"/>
      <c r="K74" s="146"/>
      <c r="L74" s="146"/>
      <c r="M74" s="146"/>
      <c r="N74" s="146"/>
      <c r="O74" s="146"/>
      <c r="P74" s="146"/>
      <c r="Q74" s="146"/>
      <c r="R74" s="146"/>
      <c r="S74" s="146"/>
      <c r="T74" s="146"/>
      <c r="U74" s="146"/>
      <c r="V74" s="146"/>
      <c r="W74" s="146"/>
      <c r="X74" s="146"/>
      <c r="Y74" s="146"/>
      <c r="Z74" s="146"/>
      <c r="AA74" s="146"/>
      <c r="AB74" s="146"/>
      <c r="AC74" s="146"/>
      <c r="AD74" s="146"/>
      <c r="AE74" s="146"/>
      <c r="AF74" s="146"/>
      <c r="AG74" s="146"/>
    </row>
    <row r="75" spans="1:33" ht="12.75">
      <c r="A75" s="148"/>
      <c r="B75" s="146"/>
      <c r="C75" s="146"/>
      <c r="D75" s="146"/>
      <c r="E75" s="146"/>
      <c r="F75" s="146"/>
      <c r="G75" s="146"/>
      <c r="H75" s="146"/>
      <c r="I75" s="146"/>
      <c r="J75" s="146"/>
      <c r="K75" s="146"/>
      <c r="L75" s="146"/>
      <c r="M75" s="146"/>
      <c r="N75" s="146"/>
      <c r="O75" s="146"/>
      <c r="P75" s="146"/>
      <c r="Q75" s="146"/>
      <c r="R75" s="146"/>
      <c r="S75" s="146"/>
      <c r="T75" s="146"/>
      <c r="U75" s="146"/>
      <c r="V75" s="146"/>
      <c r="W75" s="146"/>
      <c r="X75" s="146"/>
      <c r="Y75" s="146"/>
      <c r="Z75" s="146"/>
      <c r="AA75" s="146"/>
      <c r="AB75" s="146"/>
      <c r="AC75" s="146"/>
      <c r="AD75" s="146"/>
      <c r="AE75" s="146"/>
      <c r="AF75" s="146"/>
      <c r="AG75" s="146"/>
    </row>
    <row r="76" spans="1:33" ht="12.75">
      <c r="A76" s="148"/>
      <c r="B76" s="146"/>
      <c r="C76" s="146"/>
      <c r="D76" s="146"/>
      <c r="E76" s="146"/>
      <c r="F76" s="146"/>
      <c r="G76" s="146"/>
      <c r="H76" s="146"/>
      <c r="I76" s="146"/>
      <c r="J76" s="146"/>
      <c r="K76" s="146"/>
      <c r="L76" s="146"/>
      <c r="M76" s="146"/>
      <c r="N76" s="146"/>
      <c r="O76" s="146"/>
      <c r="P76" s="146"/>
      <c r="Q76" s="146"/>
      <c r="R76" s="146"/>
      <c r="S76" s="146"/>
      <c r="T76" s="146"/>
      <c r="U76" s="146"/>
      <c r="V76" s="146"/>
      <c r="W76" s="146"/>
      <c r="X76" s="146"/>
      <c r="Y76" s="146"/>
      <c r="Z76" s="146"/>
      <c r="AA76" s="146"/>
      <c r="AB76" s="146"/>
      <c r="AC76" s="146"/>
      <c r="AD76" s="146"/>
      <c r="AE76" s="146"/>
      <c r="AF76" s="146"/>
      <c r="AG76" s="146"/>
    </row>
    <row r="77" spans="1:33" ht="12.75">
      <c r="A77" s="148"/>
      <c r="B77" s="146"/>
      <c r="C77" s="146"/>
      <c r="D77" s="146"/>
      <c r="E77" s="146"/>
      <c r="F77" s="146"/>
      <c r="G77" s="146"/>
      <c r="H77" s="146"/>
      <c r="I77" s="146"/>
      <c r="J77" s="146"/>
      <c r="K77" s="146"/>
      <c r="L77" s="146"/>
      <c r="M77" s="146"/>
      <c r="N77" s="146"/>
      <c r="O77" s="146"/>
      <c r="P77" s="146"/>
      <c r="Q77" s="146"/>
      <c r="R77" s="146"/>
      <c r="S77" s="146"/>
      <c r="T77" s="146"/>
      <c r="U77" s="146"/>
      <c r="V77" s="146"/>
      <c r="W77" s="146"/>
      <c r="X77" s="146"/>
      <c r="Y77" s="146"/>
      <c r="Z77" s="146"/>
      <c r="AA77" s="146"/>
      <c r="AB77" s="146"/>
      <c r="AC77" s="146"/>
      <c r="AD77" s="146"/>
      <c r="AE77" s="146"/>
      <c r="AF77" s="146"/>
      <c r="AG77" s="146"/>
    </row>
    <row r="78" spans="1:33" ht="12.75">
      <c r="A78" s="148"/>
      <c r="B78" s="146"/>
      <c r="C78" s="146"/>
      <c r="D78" s="146"/>
      <c r="E78" s="146"/>
      <c r="F78" s="146"/>
      <c r="G78" s="146"/>
      <c r="H78" s="146"/>
      <c r="I78" s="146"/>
      <c r="J78" s="146"/>
      <c r="K78" s="146"/>
      <c r="L78" s="146"/>
      <c r="M78" s="146"/>
      <c r="N78" s="146"/>
      <c r="O78" s="146"/>
      <c r="P78" s="146"/>
      <c r="Q78" s="146"/>
      <c r="R78" s="146"/>
      <c r="S78" s="146"/>
      <c r="T78" s="146"/>
      <c r="U78" s="146"/>
      <c r="V78" s="146"/>
      <c r="W78" s="146"/>
      <c r="X78" s="146"/>
      <c r="Y78" s="146"/>
      <c r="Z78" s="146"/>
      <c r="AA78" s="146"/>
      <c r="AB78" s="146"/>
      <c r="AC78" s="146"/>
      <c r="AD78" s="146"/>
      <c r="AE78" s="146"/>
      <c r="AF78" s="146"/>
      <c r="AG78" s="146"/>
    </row>
    <row r="79" spans="1:33" ht="12.75">
      <c r="A79" s="148"/>
      <c r="B79" s="146"/>
      <c r="C79" s="146"/>
      <c r="D79" s="146"/>
      <c r="E79" s="146"/>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row>
    <row r="80" spans="1:33" ht="12.75">
      <c r="A80" s="148"/>
      <c r="B80" s="146"/>
      <c r="C80" s="146"/>
      <c r="D80" s="146"/>
      <c r="E80" s="146"/>
      <c r="F80" s="146"/>
      <c r="G80" s="146"/>
      <c r="H80" s="146"/>
      <c r="I80" s="146"/>
      <c r="J80" s="146"/>
      <c r="K80" s="146"/>
      <c r="L80" s="146"/>
      <c r="M80" s="146"/>
      <c r="N80" s="146"/>
      <c r="O80" s="146"/>
      <c r="P80" s="146"/>
      <c r="Q80" s="146"/>
      <c r="R80" s="146"/>
      <c r="S80" s="146"/>
      <c r="T80" s="146"/>
      <c r="U80" s="146"/>
      <c r="V80" s="146"/>
      <c r="W80" s="146"/>
      <c r="X80" s="146"/>
      <c r="Y80" s="146"/>
      <c r="Z80" s="146"/>
      <c r="AA80" s="146"/>
      <c r="AB80" s="146"/>
      <c r="AC80" s="146"/>
      <c r="AD80" s="146"/>
      <c r="AE80" s="146"/>
      <c r="AF80" s="146"/>
      <c r="AG80" s="146"/>
    </row>
    <row r="81" spans="1:33" ht="12.75">
      <c r="A81" s="148"/>
      <c r="B81" s="146"/>
      <c r="C81" s="146"/>
      <c r="D81" s="146"/>
      <c r="E81" s="146"/>
      <c r="F81" s="146"/>
      <c r="G81" s="146"/>
      <c r="H81" s="146"/>
      <c r="I81" s="146"/>
      <c r="J81" s="146"/>
      <c r="K81" s="146"/>
      <c r="L81" s="146"/>
      <c r="M81" s="146"/>
      <c r="N81" s="146"/>
      <c r="O81" s="146"/>
      <c r="P81" s="146"/>
      <c r="Q81" s="146"/>
      <c r="R81" s="146"/>
      <c r="S81" s="146"/>
      <c r="T81" s="146"/>
      <c r="U81" s="146"/>
      <c r="V81" s="146"/>
      <c r="W81" s="146"/>
      <c r="X81" s="146"/>
      <c r="Y81" s="146"/>
      <c r="Z81" s="146"/>
      <c r="AA81" s="146"/>
      <c r="AB81" s="146"/>
      <c r="AC81" s="146"/>
      <c r="AD81" s="146"/>
      <c r="AE81" s="146"/>
      <c r="AF81" s="146"/>
      <c r="AG81" s="146"/>
    </row>
    <row r="82" spans="1:33" ht="12.75">
      <c r="A82" s="148"/>
      <c r="B82" s="146"/>
      <c r="C82" s="146"/>
      <c r="D82" s="146"/>
      <c r="E82" s="146"/>
      <c r="F82" s="146"/>
      <c r="G82" s="146"/>
      <c r="H82" s="146"/>
      <c r="I82" s="146"/>
      <c r="J82" s="146"/>
      <c r="K82" s="146"/>
      <c r="L82" s="146"/>
      <c r="M82" s="146"/>
      <c r="N82" s="146"/>
      <c r="O82" s="146"/>
      <c r="P82" s="146"/>
      <c r="Q82" s="146"/>
      <c r="R82" s="146"/>
      <c r="S82" s="146"/>
      <c r="T82" s="146"/>
      <c r="U82" s="146"/>
      <c r="V82" s="146"/>
      <c r="W82" s="146"/>
      <c r="X82" s="146"/>
      <c r="Y82" s="146"/>
      <c r="Z82" s="146"/>
      <c r="AA82" s="146"/>
      <c r="AB82" s="146"/>
      <c r="AC82" s="146"/>
      <c r="AD82" s="146"/>
      <c r="AE82" s="146"/>
      <c r="AF82" s="146"/>
      <c r="AG82" s="146"/>
    </row>
    <row r="83" spans="1:33" ht="12.75">
      <c r="A83" s="148"/>
      <c r="B83" s="146"/>
      <c r="C83" s="146"/>
      <c r="D83" s="146"/>
      <c r="E83" s="146"/>
      <c r="F83" s="146"/>
      <c r="G83" s="146"/>
      <c r="H83" s="146"/>
      <c r="I83" s="146"/>
      <c r="J83" s="146"/>
      <c r="K83" s="146"/>
      <c r="L83" s="146"/>
      <c r="M83" s="146"/>
      <c r="N83" s="146"/>
      <c r="O83" s="146"/>
      <c r="P83" s="146"/>
      <c r="Q83" s="146"/>
      <c r="R83" s="146"/>
      <c r="S83" s="146"/>
      <c r="T83" s="146"/>
      <c r="U83" s="146"/>
      <c r="V83" s="146"/>
      <c r="W83" s="146"/>
      <c r="X83" s="146"/>
      <c r="Y83" s="146"/>
      <c r="Z83" s="146"/>
      <c r="AA83" s="146"/>
      <c r="AB83" s="146"/>
      <c r="AC83" s="146"/>
      <c r="AD83" s="146"/>
      <c r="AE83" s="146"/>
      <c r="AF83" s="146"/>
      <c r="AG83" s="146"/>
    </row>
    <row r="84" spans="1:33" ht="12.75">
      <c r="A84" s="148"/>
      <c r="B84" s="146"/>
      <c r="C84" s="146"/>
      <c r="D84" s="146"/>
      <c r="E84" s="146"/>
      <c r="F84" s="146"/>
      <c r="G84" s="146"/>
      <c r="H84" s="146"/>
      <c r="I84" s="146"/>
      <c r="J84" s="146"/>
      <c r="K84" s="146"/>
      <c r="L84" s="146"/>
      <c r="M84" s="146"/>
      <c r="N84" s="146"/>
      <c r="O84" s="146"/>
      <c r="P84" s="146"/>
      <c r="Q84" s="146"/>
      <c r="R84" s="146"/>
      <c r="S84" s="146"/>
      <c r="T84" s="146"/>
      <c r="U84" s="146"/>
      <c r="V84" s="146"/>
      <c r="W84" s="146"/>
      <c r="X84" s="146"/>
      <c r="Y84" s="146"/>
      <c r="Z84" s="146"/>
      <c r="AA84" s="146"/>
      <c r="AB84" s="146"/>
      <c r="AC84" s="146"/>
      <c r="AD84" s="146"/>
      <c r="AE84" s="146"/>
      <c r="AF84" s="146"/>
      <c r="AG84" s="146"/>
    </row>
    <row r="85" spans="1:33" ht="12.75">
      <c r="A85" s="148"/>
      <c r="B85" s="146"/>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row>
    <row r="86" spans="1:33" ht="12.75">
      <c r="A86" s="148"/>
      <c r="B86" s="146"/>
      <c r="C86" s="146"/>
      <c r="D86" s="146"/>
      <c r="E86" s="146"/>
      <c r="F86" s="146"/>
      <c r="G86" s="146"/>
      <c r="H86" s="146"/>
      <c r="I86" s="146"/>
      <c r="J86" s="146"/>
      <c r="K86" s="146"/>
      <c r="L86" s="146"/>
      <c r="M86" s="146"/>
      <c r="N86" s="146"/>
      <c r="O86" s="146"/>
      <c r="P86" s="146"/>
      <c r="Q86" s="146"/>
      <c r="R86" s="146"/>
      <c r="S86" s="146"/>
      <c r="T86" s="146"/>
      <c r="U86" s="146"/>
      <c r="V86" s="146"/>
      <c r="W86" s="146"/>
      <c r="X86" s="146"/>
      <c r="Y86" s="146"/>
      <c r="Z86" s="146"/>
      <c r="AA86" s="146"/>
      <c r="AB86" s="146"/>
      <c r="AC86" s="146"/>
      <c r="AD86" s="146"/>
      <c r="AE86" s="146"/>
      <c r="AF86" s="146"/>
      <c r="AG86" s="146"/>
    </row>
    <row r="87" spans="1:33" ht="12.75">
      <c r="A87" s="148"/>
      <c r="B87" s="146"/>
      <c r="C87" s="146"/>
      <c r="D87" s="146"/>
      <c r="E87" s="146"/>
      <c r="F87" s="146"/>
      <c r="G87" s="146"/>
      <c r="H87" s="146"/>
      <c r="I87" s="146"/>
      <c r="J87" s="146"/>
      <c r="K87" s="146"/>
      <c r="L87" s="146"/>
      <c r="M87" s="146"/>
      <c r="N87" s="146"/>
      <c r="O87" s="146"/>
      <c r="P87" s="146"/>
      <c r="Q87" s="146"/>
      <c r="R87" s="146"/>
      <c r="S87" s="146"/>
      <c r="T87" s="146"/>
      <c r="U87" s="146"/>
      <c r="V87" s="146"/>
      <c r="W87" s="146"/>
      <c r="X87" s="146"/>
      <c r="Y87" s="146"/>
      <c r="Z87" s="146"/>
      <c r="AA87" s="146"/>
      <c r="AB87" s="146"/>
      <c r="AC87" s="146"/>
      <c r="AD87" s="146"/>
      <c r="AE87" s="146"/>
      <c r="AF87" s="146"/>
      <c r="AG87" s="146"/>
    </row>
    <row r="88" spans="1:33" ht="12.75">
      <c r="A88" s="148"/>
      <c r="B88" s="146"/>
      <c r="C88" s="146"/>
      <c r="D88" s="146"/>
      <c r="E88" s="146"/>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row>
    <row r="89" spans="1:33" ht="12.75">
      <c r="A89" s="148"/>
      <c r="B89" s="146"/>
      <c r="C89" s="146"/>
      <c r="D89" s="146"/>
      <c r="E89" s="146"/>
      <c r="F89" s="146"/>
      <c r="G89" s="146"/>
      <c r="H89" s="146"/>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row>
    <row r="90" spans="1:33" ht="12.75">
      <c r="A90" s="148"/>
      <c r="B90" s="146"/>
      <c r="C90" s="146"/>
      <c r="D90" s="146"/>
      <c r="E90" s="146"/>
      <c r="F90" s="146"/>
      <c r="G90" s="146"/>
      <c r="H90" s="146"/>
      <c r="I90" s="146"/>
      <c r="J90" s="146"/>
      <c r="K90" s="146"/>
      <c r="L90" s="146"/>
      <c r="M90" s="146"/>
      <c r="N90" s="146"/>
      <c r="O90" s="146"/>
      <c r="P90" s="146"/>
      <c r="Q90" s="146"/>
      <c r="R90" s="146"/>
      <c r="S90" s="146"/>
      <c r="T90" s="146"/>
      <c r="U90" s="146"/>
      <c r="V90" s="146"/>
      <c r="W90" s="146"/>
      <c r="X90" s="146"/>
      <c r="Y90" s="146"/>
      <c r="Z90" s="146"/>
      <c r="AA90" s="146"/>
      <c r="AB90" s="146"/>
      <c r="AC90" s="146"/>
      <c r="AD90" s="146"/>
      <c r="AE90" s="146"/>
      <c r="AF90" s="146"/>
      <c r="AG90" s="146"/>
    </row>
    <row r="91" spans="1:33" ht="12.75">
      <c r="A91" s="148"/>
      <c r="B91" s="146"/>
      <c r="C91" s="146"/>
      <c r="D91" s="146"/>
      <c r="E91" s="146"/>
      <c r="F91" s="146"/>
      <c r="G91" s="146"/>
      <c r="H91" s="146"/>
      <c r="I91" s="146"/>
      <c r="J91" s="146"/>
      <c r="K91" s="146"/>
      <c r="L91" s="146"/>
      <c r="M91" s="146"/>
      <c r="N91" s="146"/>
      <c r="O91" s="146"/>
      <c r="P91" s="146"/>
      <c r="Q91" s="146"/>
      <c r="R91" s="146"/>
      <c r="S91" s="146"/>
      <c r="T91" s="146"/>
      <c r="U91" s="146"/>
      <c r="V91" s="146"/>
      <c r="W91" s="146"/>
      <c r="X91" s="146"/>
      <c r="Y91" s="146"/>
      <c r="Z91" s="146"/>
      <c r="AA91" s="146"/>
      <c r="AB91" s="146"/>
      <c r="AC91" s="146"/>
      <c r="AD91" s="146"/>
      <c r="AE91" s="146"/>
      <c r="AF91" s="146"/>
      <c r="AG91" s="146"/>
    </row>
    <row r="92" spans="1:33" ht="12.75">
      <c r="A92" s="148"/>
      <c r="B92" s="146"/>
      <c r="C92" s="146"/>
      <c r="D92" s="146"/>
      <c r="E92" s="146"/>
      <c r="F92" s="146"/>
      <c r="G92" s="146"/>
      <c r="H92" s="146"/>
      <c r="I92" s="146"/>
      <c r="J92" s="146"/>
      <c r="K92" s="146"/>
      <c r="L92" s="146"/>
      <c r="M92" s="146"/>
      <c r="N92" s="146"/>
      <c r="O92" s="146"/>
      <c r="P92" s="146"/>
      <c r="Q92" s="146"/>
      <c r="R92" s="146"/>
      <c r="S92" s="146"/>
      <c r="T92" s="146"/>
      <c r="U92" s="146"/>
      <c r="V92" s="146"/>
      <c r="W92" s="146"/>
      <c r="X92" s="146"/>
      <c r="Y92" s="146"/>
      <c r="Z92" s="146"/>
      <c r="AA92" s="146"/>
      <c r="AB92" s="146"/>
      <c r="AC92" s="146"/>
      <c r="AD92" s="146"/>
      <c r="AE92" s="146"/>
      <c r="AF92" s="146"/>
      <c r="AG92" s="146"/>
    </row>
    <row r="93" spans="1:33" ht="12.75">
      <c r="A93" s="148"/>
      <c r="B93" s="146"/>
      <c r="C93" s="146"/>
      <c r="D93" s="146"/>
      <c r="E93" s="146"/>
      <c r="F93" s="146"/>
      <c r="G93" s="146"/>
      <c r="H93" s="146"/>
      <c r="I93" s="146"/>
      <c r="J93" s="146"/>
      <c r="K93" s="146"/>
      <c r="L93" s="146"/>
      <c r="M93" s="146"/>
      <c r="N93" s="146"/>
      <c r="O93" s="146"/>
      <c r="P93" s="146"/>
      <c r="Q93" s="146"/>
      <c r="R93" s="146"/>
      <c r="S93" s="146"/>
      <c r="T93" s="146"/>
      <c r="U93" s="146"/>
      <c r="V93" s="146"/>
      <c r="W93" s="146"/>
      <c r="X93" s="146"/>
      <c r="Y93" s="146"/>
      <c r="Z93" s="146"/>
      <c r="AA93" s="146"/>
      <c r="AB93" s="146"/>
      <c r="AC93" s="146"/>
      <c r="AD93" s="146"/>
      <c r="AE93" s="146"/>
      <c r="AF93" s="146"/>
      <c r="AG93" s="146"/>
    </row>
    <row r="94" spans="1:33" ht="12.75">
      <c r="A94" s="148"/>
      <c r="B94" s="146"/>
      <c r="C94" s="146"/>
      <c r="D94" s="146"/>
      <c r="E94" s="146"/>
      <c r="F94" s="146"/>
      <c r="G94" s="146"/>
      <c r="H94" s="146"/>
      <c r="I94" s="146"/>
      <c r="J94" s="146"/>
      <c r="K94" s="146"/>
      <c r="L94" s="146"/>
      <c r="M94" s="146"/>
      <c r="N94" s="146"/>
      <c r="O94" s="146"/>
      <c r="P94" s="146"/>
      <c r="Q94" s="146"/>
      <c r="R94" s="146"/>
      <c r="S94" s="146"/>
      <c r="T94" s="146"/>
      <c r="U94" s="146"/>
      <c r="V94" s="146"/>
      <c r="W94" s="146"/>
      <c r="X94" s="146"/>
      <c r="Y94" s="146"/>
      <c r="Z94" s="146"/>
      <c r="AA94" s="146"/>
      <c r="AB94" s="146"/>
      <c r="AC94" s="146"/>
      <c r="AD94" s="146"/>
      <c r="AE94" s="146"/>
      <c r="AF94" s="146"/>
      <c r="AG94" s="146"/>
    </row>
    <row r="95" spans="1:33" ht="12.75">
      <c r="A95" s="148"/>
      <c r="B95" s="146"/>
      <c r="C95" s="146"/>
      <c r="D95" s="146"/>
      <c r="E95" s="146"/>
      <c r="F95" s="146"/>
      <c r="G95" s="146"/>
      <c r="H95" s="146"/>
      <c r="I95" s="146"/>
      <c r="J95" s="146"/>
      <c r="K95" s="146"/>
      <c r="L95" s="146"/>
      <c r="M95" s="146"/>
      <c r="N95" s="146"/>
      <c r="O95" s="146"/>
      <c r="P95" s="146"/>
      <c r="Q95" s="146"/>
      <c r="R95" s="146"/>
      <c r="S95" s="146"/>
      <c r="T95" s="146"/>
      <c r="U95" s="146"/>
      <c r="V95" s="146"/>
      <c r="W95" s="146"/>
      <c r="X95" s="146"/>
      <c r="Y95" s="146"/>
      <c r="Z95" s="146"/>
      <c r="AA95" s="146"/>
      <c r="AB95" s="146"/>
      <c r="AC95" s="146"/>
      <c r="AD95" s="146"/>
      <c r="AE95" s="146"/>
      <c r="AF95" s="146"/>
      <c r="AG95" s="146"/>
    </row>
    <row r="96" spans="1:33" ht="12.75">
      <c r="A96" s="148"/>
      <c r="B96" s="146"/>
      <c r="C96" s="146"/>
      <c r="D96" s="146"/>
      <c r="E96" s="146"/>
      <c r="F96" s="146"/>
      <c r="G96" s="146"/>
      <c r="H96" s="146"/>
      <c r="I96" s="146"/>
      <c r="J96" s="146"/>
      <c r="K96" s="146"/>
      <c r="L96" s="146"/>
      <c r="M96" s="146"/>
      <c r="N96" s="146"/>
      <c r="O96" s="146"/>
      <c r="P96" s="146"/>
      <c r="Q96" s="146"/>
      <c r="R96" s="146"/>
      <c r="S96" s="146"/>
      <c r="T96" s="146"/>
      <c r="U96" s="146"/>
      <c r="V96" s="146"/>
      <c r="W96" s="146"/>
      <c r="X96" s="146"/>
      <c r="Y96" s="146"/>
      <c r="Z96" s="146"/>
      <c r="AA96" s="146"/>
      <c r="AB96" s="146"/>
      <c r="AC96" s="146"/>
      <c r="AD96" s="146"/>
      <c r="AE96" s="146"/>
      <c r="AF96" s="146"/>
      <c r="AG96" s="146"/>
    </row>
    <row r="97" spans="1:33" ht="12.75">
      <c r="A97" s="148"/>
      <c r="B97" s="146"/>
      <c r="C97" s="146"/>
      <c r="D97" s="146"/>
      <c r="E97" s="146"/>
      <c r="F97" s="146"/>
      <c r="G97" s="146"/>
      <c r="H97" s="146"/>
      <c r="I97" s="146"/>
      <c r="J97" s="146"/>
      <c r="K97" s="146"/>
      <c r="L97" s="146"/>
      <c r="M97" s="146"/>
      <c r="N97" s="146"/>
      <c r="O97" s="146"/>
      <c r="P97" s="146"/>
      <c r="Q97" s="146"/>
      <c r="R97" s="146"/>
      <c r="S97" s="146"/>
      <c r="T97" s="146"/>
      <c r="U97" s="146"/>
      <c r="V97" s="146"/>
      <c r="W97" s="146"/>
      <c r="X97" s="146"/>
      <c r="Y97" s="146"/>
      <c r="Z97" s="146"/>
      <c r="AA97" s="146"/>
      <c r="AB97" s="146"/>
      <c r="AC97" s="146"/>
      <c r="AD97" s="146"/>
      <c r="AE97" s="146"/>
      <c r="AF97" s="146"/>
      <c r="AG97" s="146"/>
    </row>
    <row r="98" spans="1:33" ht="12.75">
      <c r="A98" s="148"/>
      <c r="B98" s="146"/>
      <c r="C98" s="146"/>
      <c r="D98" s="146"/>
      <c r="E98" s="146"/>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row>
    <row r="99" spans="1:33" ht="12.75">
      <c r="A99" s="148"/>
      <c r="B99" s="146"/>
      <c r="C99" s="146"/>
      <c r="D99" s="146"/>
      <c r="E99" s="146"/>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row>
    <row r="100" spans="1:33" ht="12.75">
      <c r="A100" s="148"/>
      <c r="B100" s="146"/>
      <c r="C100" s="146"/>
      <c r="D100" s="146"/>
      <c r="E100" s="146"/>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row>
    <row r="101" spans="1:33" ht="12.75">
      <c r="A101" s="148"/>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row>
    <row r="102" spans="1:33" ht="12.75">
      <c r="A102" s="148"/>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row>
    <row r="103" spans="1:33" ht="12.75">
      <c r="A103" s="148"/>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row>
    <row r="104" spans="1:33" ht="12.75">
      <c r="A104" s="148"/>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6"/>
      <c r="AG104" s="146"/>
    </row>
    <row r="105" spans="1:33" ht="12.75">
      <c r="A105" s="148"/>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6"/>
      <c r="AG105" s="146"/>
    </row>
    <row r="106" spans="1:33" ht="12.75">
      <c r="A106" s="148"/>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row>
    <row r="107" spans="1:33" ht="12.75">
      <c r="A107" s="148"/>
      <c r="B107" s="146"/>
      <c r="C107" s="146"/>
      <c r="D107" s="146"/>
      <c r="E107" s="146"/>
      <c r="F107" s="146"/>
      <c r="G107" s="146"/>
      <c r="H107" s="146"/>
      <c r="I107" s="146"/>
      <c r="J107" s="146"/>
      <c r="K107" s="146"/>
      <c r="L107" s="146"/>
      <c r="M107" s="146"/>
      <c r="N107" s="146"/>
      <c r="O107" s="146"/>
      <c r="P107" s="146"/>
      <c r="Q107" s="146"/>
      <c r="R107" s="146"/>
      <c r="S107" s="146"/>
      <c r="T107" s="146"/>
      <c r="U107" s="146"/>
      <c r="V107" s="146"/>
      <c r="W107" s="146"/>
      <c r="X107" s="146"/>
      <c r="Y107" s="146"/>
      <c r="Z107" s="146"/>
      <c r="AA107" s="146"/>
      <c r="AB107" s="146"/>
      <c r="AC107" s="146"/>
      <c r="AD107" s="146"/>
      <c r="AE107" s="146"/>
      <c r="AF107" s="146"/>
      <c r="AG107" s="146"/>
    </row>
    <row r="108" spans="1:33" ht="12.75">
      <c r="A108" s="148"/>
      <c r="B108" s="146"/>
      <c r="C108" s="146"/>
      <c r="D108" s="146"/>
      <c r="E108" s="146"/>
      <c r="F108" s="146"/>
      <c r="G108" s="146"/>
      <c r="H108" s="146"/>
      <c r="I108" s="146"/>
      <c r="J108" s="146"/>
      <c r="K108" s="146"/>
      <c r="L108" s="146"/>
      <c r="M108" s="146"/>
      <c r="N108" s="146"/>
      <c r="O108" s="146"/>
      <c r="P108" s="146"/>
      <c r="Q108" s="146"/>
      <c r="R108" s="146"/>
      <c r="S108" s="146"/>
      <c r="T108" s="146"/>
      <c r="U108" s="146"/>
      <c r="V108" s="146"/>
      <c r="W108" s="146"/>
      <c r="X108" s="146"/>
      <c r="Y108" s="146"/>
      <c r="Z108" s="146"/>
      <c r="AA108" s="146"/>
      <c r="AB108" s="146"/>
      <c r="AC108" s="146"/>
      <c r="AD108" s="146"/>
      <c r="AE108" s="146"/>
      <c r="AF108" s="146"/>
      <c r="AG108" s="146"/>
    </row>
    <row r="109" spans="1:33" ht="12.75">
      <c r="A109" s="148"/>
      <c r="B109" s="146"/>
      <c r="C109" s="146"/>
      <c r="D109" s="146"/>
      <c r="E109" s="146"/>
      <c r="F109" s="146"/>
      <c r="G109" s="146"/>
      <c r="H109" s="146"/>
      <c r="I109" s="146"/>
      <c r="J109" s="146"/>
      <c r="K109" s="146"/>
      <c r="L109" s="146"/>
      <c r="M109" s="146"/>
      <c r="N109" s="146"/>
      <c r="O109" s="146"/>
      <c r="P109" s="146"/>
      <c r="Q109" s="146"/>
      <c r="R109" s="146"/>
      <c r="S109" s="146"/>
      <c r="T109" s="146"/>
      <c r="U109" s="146"/>
      <c r="V109" s="146"/>
      <c r="W109" s="146"/>
      <c r="X109" s="146"/>
      <c r="Y109" s="146"/>
      <c r="Z109" s="146"/>
      <c r="AA109" s="146"/>
      <c r="AB109" s="146"/>
      <c r="AC109" s="146"/>
      <c r="AD109" s="146"/>
      <c r="AE109" s="146"/>
      <c r="AF109" s="146"/>
      <c r="AG109" s="146"/>
    </row>
    <row r="110" spans="1:33" ht="12.75">
      <c r="A110" s="148"/>
      <c r="B110" s="146"/>
      <c r="C110" s="146"/>
      <c r="D110" s="146"/>
      <c r="E110" s="146"/>
      <c r="F110" s="146"/>
      <c r="G110" s="146"/>
      <c r="H110" s="146"/>
      <c r="I110" s="146"/>
      <c r="J110" s="146"/>
      <c r="K110" s="146"/>
      <c r="L110" s="146"/>
      <c r="M110" s="146"/>
      <c r="N110" s="146"/>
      <c r="O110" s="146"/>
      <c r="P110" s="146"/>
      <c r="Q110" s="146"/>
      <c r="R110" s="146"/>
      <c r="S110" s="146"/>
      <c r="T110" s="146"/>
      <c r="U110" s="146"/>
      <c r="V110" s="146"/>
      <c r="W110" s="146"/>
      <c r="X110" s="146"/>
      <c r="Y110" s="146"/>
      <c r="Z110" s="146"/>
      <c r="AA110" s="146"/>
      <c r="AB110" s="146"/>
      <c r="AC110" s="146"/>
      <c r="AD110" s="146"/>
      <c r="AE110" s="146"/>
      <c r="AF110" s="146"/>
      <c r="AG110" s="146"/>
    </row>
    <row r="111" spans="1:33" ht="12.75">
      <c r="A111" s="148"/>
      <c r="B111" s="146"/>
      <c r="C111" s="146"/>
      <c r="D111" s="146"/>
      <c r="E111" s="146"/>
      <c r="F111" s="146"/>
      <c r="G111" s="146"/>
      <c r="H111" s="146"/>
      <c r="I111" s="146"/>
      <c r="J111" s="146"/>
      <c r="K111" s="146"/>
      <c r="L111" s="146"/>
      <c r="M111" s="146"/>
      <c r="N111" s="146"/>
      <c r="O111" s="146"/>
      <c r="P111" s="146"/>
      <c r="Q111" s="146"/>
      <c r="R111" s="146"/>
      <c r="S111" s="146"/>
      <c r="T111" s="146"/>
      <c r="U111" s="146"/>
      <c r="V111" s="146"/>
      <c r="W111" s="146"/>
      <c r="X111" s="146"/>
      <c r="Y111" s="146"/>
      <c r="Z111" s="146"/>
      <c r="AA111" s="146"/>
      <c r="AB111" s="146"/>
      <c r="AC111" s="146"/>
      <c r="AD111" s="146"/>
      <c r="AE111" s="146"/>
      <c r="AF111" s="146"/>
      <c r="AG111" s="146"/>
    </row>
    <row r="112" spans="1:33" ht="12.75">
      <c r="A112" s="148"/>
      <c r="B112" s="146"/>
      <c r="C112" s="146"/>
      <c r="D112" s="146"/>
      <c r="E112" s="146"/>
      <c r="F112" s="146"/>
      <c r="G112" s="146"/>
      <c r="H112" s="146"/>
      <c r="I112" s="146"/>
      <c r="J112" s="146"/>
      <c r="K112" s="146"/>
      <c r="L112" s="146"/>
      <c r="M112" s="146"/>
      <c r="N112" s="146"/>
      <c r="O112" s="146"/>
      <c r="P112" s="146"/>
      <c r="Q112" s="146"/>
      <c r="R112" s="146"/>
      <c r="S112" s="146"/>
      <c r="T112" s="146"/>
      <c r="U112" s="146"/>
      <c r="V112" s="146"/>
      <c r="W112" s="146"/>
      <c r="X112" s="146"/>
      <c r="Y112" s="146"/>
      <c r="Z112" s="146"/>
      <c r="AA112" s="146"/>
      <c r="AB112" s="146"/>
      <c r="AC112" s="146"/>
      <c r="AD112" s="146"/>
      <c r="AE112" s="146"/>
      <c r="AF112" s="146"/>
      <c r="AG112" s="146"/>
    </row>
    <row r="113" spans="1:33" ht="12.75">
      <c r="A113" s="148"/>
      <c r="B113" s="146"/>
      <c r="C113" s="146"/>
      <c r="D113" s="146"/>
      <c r="E113" s="146"/>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row>
    <row r="114" spans="1:33" ht="12.75">
      <c r="A114" s="148"/>
      <c r="B114" s="146"/>
      <c r="C114" s="146"/>
      <c r="D114" s="146"/>
      <c r="E114" s="146"/>
      <c r="F114" s="146"/>
      <c r="G114" s="146"/>
      <c r="H114" s="146"/>
      <c r="I114" s="146"/>
      <c r="J114" s="146"/>
      <c r="K114" s="146"/>
      <c r="L114" s="146"/>
      <c r="M114" s="146"/>
      <c r="N114" s="146"/>
      <c r="O114" s="146"/>
      <c r="P114" s="146"/>
      <c r="Q114" s="146"/>
      <c r="R114" s="146"/>
      <c r="S114" s="146"/>
      <c r="T114" s="146"/>
      <c r="U114" s="146"/>
      <c r="V114" s="146"/>
      <c r="W114" s="146"/>
      <c r="X114" s="146"/>
      <c r="Y114" s="146"/>
      <c r="Z114" s="146"/>
      <c r="AA114" s="146"/>
      <c r="AB114" s="146"/>
      <c r="AC114" s="146"/>
      <c r="AD114" s="146"/>
      <c r="AE114" s="146"/>
      <c r="AF114" s="146"/>
      <c r="AG114" s="146"/>
    </row>
    <row r="115" spans="1:33" ht="12.75">
      <c r="A115" s="148"/>
      <c r="B115" s="146"/>
      <c r="C115" s="146"/>
      <c r="D115" s="146"/>
      <c r="E115" s="146"/>
      <c r="F115" s="146"/>
      <c r="G115" s="146"/>
      <c r="H115" s="146"/>
      <c r="I115" s="146"/>
      <c r="J115" s="146"/>
      <c r="K115" s="146"/>
      <c r="L115" s="146"/>
      <c r="M115" s="146"/>
      <c r="N115" s="146"/>
      <c r="O115" s="146"/>
      <c r="P115" s="146"/>
      <c r="Q115" s="146"/>
      <c r="R115" s="146"/>
      <c r="S115" s="146"/>
      <c r="T115" s="146"/>
      <c r="U115" s="146"/>
      <c r="V115" s="146"/>
      <c r="W115" s="146"/>
      <c r="X115" s="146"/>
      <c r="Y115" s="146"/>
      <c r="Z115" s="146"/>
      <c r="AA115" s="146"/>
      <c r="AB115" s="146"/>
      <c r="AC115" s="146"/>
      <c r="AD115" s="146"/>
      <c r="AE115" s="146"/>
      <c r="AF115" s="146"/>
      <c r="AG115" s="146"/>
    </row>
    <row r="116" spans="1:33" ht="12.75">
      <c r="A116" s="148"/>
      <c r="B116" s="146"/>
      <c r="C116" s="146"/>
      <c r="D116" s="146"/>
      <c r="E116" s="146"/>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row>
    <row r="117" spans="1:33" ht="12.75">
      <c r="A117" s="148"/>
      <c r="B117" s="146"/>
      <c r="C117" s="146"/>
      <c r="D117" s="146"/>
      <c r="E117" s="146"/>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row>
    <row r="118" spans="1:33" ht="12.75">
      <c r="A118" s="148"/>
      <c r="B118" s="146"/>
      <c r="C118" s="146"/>
      <c r="D118" s="146"/>
      <c r="E118" s="146"/>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row>
    <row r="119" spans="1:33" ht="12.75">
      <c r="A119" s="148"/>
      <c r="B119" s="146"/>
      <c r="C119" s="146"/>
      <c r="D119" s="146"/>
      <c r="E119" s="146"/>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row>
    <row r="120" spans="1:33" ht="12.75">
      <c r="A120" s="148"/>
      <c r="B120" s="146"/>
      <c r="C120" s="146"/>
      <c r="D120" s="146"/>
      <c r="E120" s="146"/>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row>
    <row r="121" spans="1:33" ht="12.75">
      <c r="A121" s="148"/>
      <c r="B121" s="146"/>
      <c r="C121" s="146"/>
      <c r="D121" s="146"/>
      <c r="E121" s="146"/>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row>
    <row r="122" spans="1:33" ht="12.75">
      <c r="A122" s="148"/>
      <c r="B122" s="146"/>
      <c r="C122" s="146"/>
      <c r="D122" s="146"/>
      <c r="E122" s="146"/>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row>
    <row r="123" spans="1:33" ht="12.75">
      <c r="A123" s="148"/>
      <c r="B123" s="146"/>
      <c r="C123" s="146"/>
      <c r="D123" s="146"/>
      <c r="E123" s="146"/>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row>
    <row r="124" spans="1:33" ht="12.75">
      <c r="A124" s="148"/>
      <c r="B124" s="146"/>
      <c r="C124" s="146"/>
      <c r="D124" s="146"/>
      <c r="E124" s="146"/>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row>
    <row r="125" spans="1:33" ht="12.75">
      <c r="A125" s="148"/>
      <c r="B125" s="146"/>
      <c r="C125" s="146"/>
      <c r="D125" s="146"/>
      <c r="E125" s="146"/>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row>
    <row r="126" spans="1:33" ht="12.75">
      <c r="A126" s="148"/>
      <c r="B126" s="146"/>
      <c r="C126" s="146"/>
      <c r="D126" s="146"/>
      <c r="E126" s="146"/>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row>
    <row r="127" spans="1:33" ht="12.75">
      <c r="A127" s="148"/>
      <c r="B127" s="146"/>
      <c r="C127" s="146"/>
      <c r="D127" s="146"/>
      <c r="E127" s="146"/>
      <c r="F127" s="146"/>
      <c r="G127" s="146"/>
      <c r="H127" s="146"/>
      <c r="I127" s="146"/>
      <c r="J127" s="146"/>
      <c r="K127" s="146"/>
      <c r="L127" s="146"/>
      <c r="M127" s="146"/>
      <c r="N127" s="146"/>
      <c r="O127" s="146"/>
      <c r="P127" s="146"/>
      <c r="Q127" s="146"/>
      <c r="R127" s="146"/>
      <c r="S127" s="146"/>
      <c r="T127" s="146"/>
      <c r="U127" s="146"/>
      <c r="V127" s="146"/>
      <c r="W127" s="146"/>
      <c r="X127" s="146"/>
      <c r="Y127" s="146"/>
      <c r="Z127" s="146"/>
      <c r="AA127" s="146"/>
      <c r="AB127" s="146"/>
      <c r="AC127" s="146"/>
      <c r="AD127" s="146"/>
      <c r="AE127" s="146"/>
      <c r="AF127" s="146"/>
      <c r="AG127" s="146"/>
    </row>
    <row r="128" spans="1:33" ht="12.75">
      <c r="A128" s="148"/>
      <c r="B128" s="146"/>
      <c r="C128" s="146"/>
      <c r="D128" s="146"/>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row>
    <row r="129" spans="1:33" ht="12.75">
      <c r="A129" s="148"/>
      <c r="B129" s="146"/>
      <c r="C129" s="146"/>
      <c r="D129" s="146"/>
      <c r="E129" s="146"/>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row>
    <row r="130" spans="1:33" ht="12.75">
      <c r="A130" s="148"/>
      <c r="B130" s="146"/>
      <c r="C130" s="146"/>
      <c r="D130" s="146"/>
      <c r="E130" s="146"/>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row>
    <row r="131" spans="1:33" ht="12.75">
      <c r="A131" s="148"/>
      <c r="B131" s="146"/>
      <c r="C131" s="146"/>
      <c r="D131" s="146"/>
      <c r="E131" s="146"/>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row>
    <row r="132" spans="1:33" ht="12.75">
      <c r="A132" s="148"/>
      <c r="B132" s="146"/>
      <c r="C132" s="146"/>
      <c r="D132" s="146"/>
      <c r="E132" s="146"/>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row>
    <row r="133" spans="1:33" ht="12.75">
      <c r="A133" s="148"/>
      <c r="B133" s="146"/>
      <c r="C133" s="146"/>
      <c r="D133" s="146"/>
      <c r="E133" s="146"/>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row>
    <row r="134" spans="1:33" ht="12.75">
      <c r="A134" s="148"/>
      <c r="B134" s="146"/>
      <c r="C134" s="146"/>
      <c r="D134" s="146"/>
      <c r="E134" s="146"/>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row>
    <row r="135" spans="1:33" ht="12.75">
      <c r="A135" s="148"/>
      <c r="B135" s="146"/>
      <c r="C135" s="146"/>
      <c r="D135" s="146"/>
      <c r="E135" s="146"/>
      <c r="F135" s="146"/>
      <c r="G135" s="146"/>
      <c r="H135" s="146"/>
      <c r="I135" s="146"/>
      <c r="J135" s="146"/>
      <c r="K135" s="146"/>
      <c r="L135" s="146"/>
      <c r="M135" s="146"/>
      <c r="N135" s="146"/>
      <c r="O135" s="146"/>
      <c r="P135" s="146"/>
      <c r="Q135" s="146"/>
      <c r="R135" s="146"/>
      <c r="S135" s="146"/>
      <c r="T135" s="146"/>
      <c r="U135" s="146"/>
      <c r="V135" s="146"/>
      <c r="W135" s="146"/>
      <c r="X135" s="146"/>
      <c r="Y135" s="146"/>
      <c r="Z135" s="146"/>
      <c r="AA135" s="146"/>
      <c r="AB135" s="146"/>
      <c r="AC135" s="146"/>
      <c r="AD135" s="146"/>
      <c r="AE135" s="146"/>
      <c r="AF135" s="146"/>
      <c r="AG135" s="146"/>
    </row>
    <row r="136" spans="1:33" ht="12.75">
      <c r="A136" s="148"/>
      <c r="B136" s="146"/>
      <c r="C136" s="146"/>
      <c r="D136" s="146"/>
      <c r="E136" s="146"/>
      <c r="F136" s="146"/>
      <c r="G136" s="146"/>
      <c r="H136" s="146"/>
      <c r="I136" s="146"/>
      <c r="J136" s="146"/>
      <c r="K136" s="146"/>
      <c r="L136" s="146"/>
      <c r="M136" s="146"/>
      <c r="N136" s="146"/>
      <c r="O136" s="146"/>
      <c r="P136" s="146"/>
      <c r="Q136" s="146"/>
      <c r="R136" s="146"/>
      <c r="S136" s="146"/>
      <c r="T136" s="146"/>
      <c r="U136" s="146"/>
      <c r="V136" s="146"/>
      <c r="W136" s="146"/>
      <c r="X136" s="146"/>
      <c r="Y136" s="146"/>
      <c r="Z136" s="146"/>
      <c r="AA136" s="146"/>
      <c r="AB136" s="146"/>
      <c r="AC136" s="146"/>
      <c r="AD136" s="146"/>
      <c r="AE136" s="146"/>
      <c r="AF136" s="146"/>
      <c r="AG136" s="146"/>
    </row>
    <row r="137" spans="1:33" ht="12.75">
      <c r="A137" s="148"/>
      <c r="B137" s="146"/>
      <c r="C137" s="146"/>
      <c r="D137" s="146"/>
      <c r="E137" s="146"/>
      <c r="F137" s="146"/>
      <c r="G137" s="146"/>
      <c r="H137" s="146"/>
      <c r="I137" s="146"/>
      <c r="J137" s="146"/>
      <c r="K137" s="146"/>
      <c r="L137" s="146"/>
      <c r="M137" s="146"/>
      <c r="N137" s="146"/>
      <c r="O137" s="146"/>
      <c r="P137" s="146"/>
      <c r="Q137" s="146"/>
      <c r="R137" s="146"/>
      <c r="S137" s="146"/>
      <c r="T137" s="146"/>
      <c r="U137" s="146"/>
      <c r="V137" s="146"/>
      <c r="W137" s="146"/>
      <c r="X137" s="146"/>
      <c r="Y137" s="146"/>
      <c r="Z137" s="146"/>
      <c r="AA137" s="146"/>
      <c r="AB137" s="146"/>
      <c r="AC137" s="146"/>
      <c r="AD137" s="146"/>
      <c r="AE137" s="146"/>
      <c r="AF137" s="146"/>
      <c r="AG137" s="146"/>
    </row>
    <row r="138" spans="1:33" ht="12.75">
      <c r="A138" s="148"/>
      <c r="B138" s="146"/>
      <c r="C138" s="146"/>
      <c r="D138" s="146"/>
      <c r="E138" s="146"/>
      <c r="F138" s="146"/>
      <c r="G138" s="146"/>
      <c r="H138" s="146"/>
      <c r="I138" s="146"/>
      <c r="J138" s="146"/>
      <c r="K138" s="146"/>
      <c r="L138" s="146"/>
      <c r="M138" s="146"/>
      <c r="N138" s="146"/>
      <c r="O138" s="146"/>
      <c r="P138" s="146"/>
      <c r="Q138" s="146"/>
      <c r="R138" s="146"/>
      <c r="S138" s="146"/>
      <c r="T138" s="146"/>
      <c r="U138" s="146"/>
      <c r="V138" s="146"/>
      <c r="W138" s="146"/>
      <c r="X138" s="146"/>
      <c r="Y138" s="146"/>
      <c r="Z138" s="146"/>
      <c r="AA138" s="146"/>
      <c r="AB138" s="146"/>
      <c r="AC138" s="146"/>
      <c r="AD138" s="146"/>
      <c r="AE138" s="146"/>
      <c r="AF138" s="146"/>
      <c r="AG138" s="146"/>
    </row>
    <row r="139" spans="1:33" ht="12.75">
      <c r="A139" s="148"/>
      <c r="B139" s="146"/>
      <c r="C139" s="146"/>
      <c r="D139" s="146"/>
      <c r="E139" s="146"/>
      <c r="F139" s="146"/>
      <c r="G139" s="146"/>
      <c r="H139" s="146"/>
      <c r="I139" s="146"/>
      <c r="J139" s="146"/>
      <c r="K139" s="146"/>
      <c r="L139" s="146"/>
      <c r="M139" s="146"/>
      <c r="N139" s="146"/>
      <c r="O139" s="146"/>
      <c r="P139" s="146"/>
      <c r="Q139" s="146"/>
      <c r="R139" s="146"/>
      <c r="S139" s="146"/>
      <c r="T139" s="146"/>
      <c r="U139" s="146"/>
      <c r="V139" s="146"/>
      <c r="W139" s="146"/>
      <c r="X139" s="146"/>
      <c r="Y139" s="146"/>
      <c r="Z139" s="146"/>
      <c r="AA139" s="146"/>
      <c r="AB139" s="146"/>
      <c r="AC139" s="146"/>
      <c r="AD139" s="146"/>
      <c r="AE139" s="146"/>
      <c r="AF139" s="146"/>
      <c r="AG139" s="146"/>
    </row>
    <row r="140" spans="1:33" ht="12.75">
      <c r="A140" s="148"/>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c r="Z140" s="146"/>
      <c r="AA140" s="146"/>
      <c r="AB140" s="146"/>
      <c r="AC140" s="146"/>
      <c r="AD140" s="146"/>
      <c r="AE140" s="146"/>
      <c r="AF140" s="146"/>
      <c r="AG140" s="146"/>
    </row>
    <row r="141" spans="1:33" ht="12.75">
      <c r="A141" s="148"/>
      <c r="B141" s="146"/>
      <c r="C141" s="146"/>
      <c r="D141" s="146"/>
      <c r="E141" s="146"/>
      <c r="F141" s="146"/>
      <c r="G141" s="146"/>
      <c r="H141" s="146"/>
      <c r="I141" s="146"/>
      <c r="J141" s="146"/>
      <c r="K141" s="146"/>
      <c r="L141" s="146"/>
      <c r="M141" s="146"/>
      <c r="N141" s="146"/>
      <c r="O141" s="146"/>
      <c r="P141" s="146"/>
      <c r="Q141" s="146"/>
      <c r="R141" s="146"/>
      <c r="S141" s="146"/>
      <c r="T141" s="146"/>
      <c r="U141" s="146"/>
      <c r="V141" s="146"/>
      <c r="W141" s="146"/>
      <c r="X141" s="146"/>
      <c r="Y141" s="146"/>
      <c r="Z141" s="146"/>
      <c r="AA141" s="146"/>
      <c r="AB141" s="146"/>
      <c r="AC141" s="146"/>
      <c r="AD141" s="146"/>
      <c r="AE141" s="146"/>
      <c r="AF141" s="146"/>
      <c r="AG141" s="146"/>
    </row>
    <row r="142" spans="1:33" ht="12.75">
      <c r="A142" s="148"/>
      <c r="B142" s="146"/>
      <c r="C142" s="146"/>
      <c r="D142" s="146"/>
      <c r="E142" s="146"/>
      <c r="F142" s="146"/>
      <c r="G142" s="146"/>
      <c r="H142" s="146"/>
      <c r="I142" s="146"/>
      <c r="J142" s="146"/>
      <c r="K142" s="146"/>
      <c r="L142" s="146"/>
      <c r="M142" s="146"/>
      <c r="N142" s="146"/>
      <c r="O142" s="146"/>
      <c r="P142" s="146"/>
      <c r="Q142" s="146"/>
      <c r="R142" s="146"/>
      <c r="S142" s="146"/>
      <c r="T142" s="146"/>
      <c r="U142" s="146"/>
      <c r="V142" s="146"/>
      <c r="W142" s="146"/>
      <c r="X142" s="146"/>
      <c r="Y142" s="146"/>
      <c r="Z142" s="146"/>
      <c r="AA142" s="146"/>
      <c r="AB142" s="146"/>
      <c r="AC142" s="146"/>
      <c r="AD142" s="146"/>
      <c r="AE142" s="146"/>
      <c r="AF142" s="146"/>
      <c r="AG142" s="146"/>
    </row>
    <row r="143" spans="1:33" ht="12.75">
      <c r="A143" s="148"/>
      <c r="B143" s="146"/>
      <c r="C143" s="146"/>
      <c r="D143" s="146"/>
      <c r="E143" s="146"/>
      <c r="F143" s="146"/>
      <c r="G143" s="146"/>
      <c r="H143" s="146"/>
      <c r="I143" s="146"/>
      <c r="J143" s="146"/>
      <c r="K143" s="146"/>
      <c r="L143" s="146"/>
      <c r="M143" s="146"/>
      <c r="N143" s="146"/>
      <c r="O143" s="146"/>
      <c r="P143" s="146"/>
      <c r="Q143" s="146"/>
      <c r="R143" s="146"/>
      <c r="S143" s="146"/>
      <c r="T143" s="146"/>
      <c r="U143" s="146"/>
      <c r="V143" s="146"/>
      <c r="W143" s="146"/>
      <c r="X143" s="146"/>
      <c r="Y143" s="146"/>
      <c r="Z143" s="146"/>
      <c r="AA143" s="146"/>
      <c r="AB143" s="146"/>
      <c r="AC143" s="146"/>
      <c r="AD143" s="146"/>
      <c r="AE143" s="146"/>
      <c r="AF143" s="146"/>
      <c r="AG143" s="146"/>
    </row>
    <row r="144" spans="1:33" ht="12.75">
      <c r="A144" s="148"/>
      <c r="B144" s="146"/>
      <c r="C144" s="146"/>
      <c r="D144" s="146"/>
      <c r="E144" s="146"/>
      <c r="F144" s="146"/>
      <c r="G144" s="146"/>
      <c r="H144" s="146"/>
      <c r="I144" s="146"/>
      <c r="J144" s="146"/>
      <c r="K144" s="146"/>
      <c r="L144" s="146"/>
      <c r="M144" s="146"/>
      <c r="N144" s="146"/>
      <c r="O144" s="146"/>
      <c r="P144" s="146"/>
      <c r="Q144" s="146"/>
      <c r="R144" s="146"/>
      <c r="S144" s="146"/>
      <c r="T144" s="146"/>
      <c r="U144" s="146"/>
      <c r="V144" s="146"/>
      <c r="W144" s="146"/>
      <c r="X144" s="146"/>
      <c r="Y144" s="146"/>
      <c r="Z144" s="146"/>
      <c r="AA144" s="146"/>
      <c r="AB144" s="146"/>
      <c r="AC144" s="146"/>
      <c r="AD144" s="146"/>
      <c r="AE144" s="146"/>
      <c r="AF144" s="146"/>
      <c r="AG144" s="146"/>
    </row>
    <row r="145" spans="1:33" ht="12.75">
      <c r="A145" s="148"/>
      <c r="B145" s="146"/>
      <c r="C145" s="146"/>
      <c r="D145" s="146"/>
      <c r="E145" s="146"/>
      <c r="F145" s="146"/>
      <c r="G145" s="146"/>
      <c r="H145" s="146"/>
      <c r="I145" s="146"/>
      <c r="J145" s="146"/>
      <c r="K145" s="146"/>
      <c r="L145" s="146"/>
      <c r="M145" s="146"/>
      <c r="N145" s="146"/>
      <c r="O145" s="146"/>
      <c r="P145" s="146"/>
      <c r="Q145" s="146"/>
      <c r="R145" s="146"/>
      <c r="S145" s="146"/>
      <c r="T145" s="146"/>
      <c r="U145" s="146"/>
      <c r="V145" s="146"/>
      <c r="W145" s="146"/>
      <c r="X145" s="146"/>
      <c r="Y145" s="146"/>
      <c r="Z145" s="146"/>
      <c r="AA145" s="146"/>
      <c r="AB145" s="146"/>
      <c r="AC145" s="146"/>
      <c r="AD145" s="146"/>
      <c r="AE145" s="146"/>
      <c r="AF145" s="146"/>
      <c r="AG145" s="146"/>
    </row>
    <row r="146" spans="1:33" ht="12.75">
      <c r="A146" s="148"/>
      <c r="B146" s="146"/>
      <c r="C146" s="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row>
    <row r="147" spans="1:33" ht="12.75">
      <c r="A147" s="148"/>
      <c r="B147" s="146"/>
      <c r="C147" s="146"/>
      <c r="D147" s="146"/>
      <c r="E147" s="146"/>
      <c r="F147" s="146"/>
      <c r="G147" s="146"/>
      <c r="H147" s="146"/>
      <c r="I147" s="146"/>
      <c r="J147" s="146"/>
      <c r="K147" s="146"/>
      <c r="L147" s="146"/>
      <c r="M147" s="146"/>
      <c r="N147" s="146"/>
      <c r="O147" s="146"/>
      <c r="P147" s="146"/>
      <c r="Q147" s="146"/>
      <c r="R147" s="146"/>
      <c r="S147" s="146"/>
      <c r="T147" s="146"/>
      <c r="U147" s="146"/>
      <c r="V147" s="146"/>
      <c r="W147" s="146"/>
      <c r="X147" s="146"/>
      <c r="Y147" s="146"/>
      <c r="Z147" s="146"/>
      <c r="AA147" s="146"/>
      <c r="AB147" s="146"/>
      <c r="AC147" s="146"/>
      <c r="AD147" s="146"/>
      <c r="AE147" s="146"/>
      <c r="AF147" s="146"/>
      <c r="AG147" s="146"/>
    </row>
    <row r="148" spans="1:33" ht="12.75">
      <c r="A148" s="148"/>
      <c r="B148" s="146"/>
      <c r="C148" s="146"/>
      <c r="D148" s="146"/>
      <c r="E148" s="146"/>
      <c r="F148" s="146"/>
      <c r="G148" s="146"/>
      <c r="H148" s="146"/>
      <c r="I148" s="146"/>
      <c r="J148" s="146"/>
      <c r="K148" s="146"/>
      <c r="L148" s="146"/>
      <c r="M148" s="146"/>
      <c r="N148" s="146"/>
      <c r="O148" s="146"/>
      <c r="P148" s="146"/>
      <c r="Q148" s="146"/>
      <c r="R148" s="146"/>
      <c r="S148" s="146"/>
      <c r="T148" s="146"/>
      <c r="U148" s="146"/>
      <c r="V148" s="146"/>
      <c r="W148" s="146"/>
      <c r="X148" s="146"/>
      <c r="Y148" s="146"/>
      <c r="Z148" s="146"/>
      <c r="AA148" s="146"/>
      <c r="AB148" s="146"/>
      <c r="AC148" s="146"/>
      <c r="AD148" s="146"/>
      <c r="AE148" s="146"/>
      <c r="AF148" s="146"/>
      <c r="AG148" s="146"/>
    </row>
    <row r="149" spans="1:33" ht="12.75">
      <c r="A149" s="148"/>
      <c r="B149" s="146"/>
      <c r="C149" s="146"/>
      <c r="D149" s="146"/>
      <c r="E149" s="146"/>
      <c r="F149" s="146"/>
      <c r="G149" s="146"/>
      <c r="H149" s="146"/>
      <c r="I149" s="146"/>
      <c r="J149" s="146"/>
      <c r="K149" s="146"/>
      <c r="L149" s="146"/>
      <c r="M149" s="146"/>
      <c r="N149" s="146"/>
      <c r="O149" s="146"/>
      <c r="P149" s="146"/>
      <c r="Q149" s="146"/>
      <c r="R149" s="146"/>
      <c r="S149" s="146"/>
      <c r="T149" s="146"/>
      <c r="U149" s="146"/>
      <c r="V149" s="146"/>
      <c r="W149" s="146"/>
      <c r="X149" s="146"/>
      <c r="Y149" s="146"/>
      <c r="Z149" s="146"/>
      <c r="AA149" s="146"/>
      <c r="AB149" s="146"/>
      <c r="AC149" s="146"/>
      <c r="AD149" s="146"/>
      <c r="AE149" s="146"/>
      <c r="AF149" s="146"/>
      <c r="AG149" s="146"/>
    </row>
    <row r="150" spans="1:33" ht="12.75">
      <c r="A150" s="148"/>
      <c r="B150" s="146"/>
      <c r="C150" s="146"/>
      <c r="D150" s="146"/>
      <c r="E150" s="146"/>
      <c r="F150" s="146"/>
      <c r="G150" s="146"/>
      <c r="H150" s="146"/>
      <c r="I150" s="146"/>
      <c r="J150" s="146"/>
      <c r="K150" s="146"/>
      <c r="L150" s="146"/>
      <c r="M150" s="146"/>
      <c r="N150" s="146"/>
      <c r="O150" s="146"/>
      <c r="P150" s="146"/>
      <c r="Q150" s="146"/>
      <c r="R150" s="146"/>
      <c r="S150" s="146"/>
      <c r="T150" s="146"/>
      <c r="U150" s="146"/>
      <c r="V150" s="146"/>
      <c r="W150" s="146"/>
      <c r="X150" s="146"/>
      <c r="Y150" s="146"/>
      <c r="Z150" s="146"/>
      <c r="AA150" s="146"/>
      <c r="AB150" s="146"/>
      <c r="AC150" s="146"/>
      <c r="AD150" s="146"/>
      <c r="AE150" s="146"/>
      <c r="AF150" s="146"/>
      <c r="AG150" s="146"/>
    </row>
    <row r="151" spans="1:33" ht="12.75">
      <c r="A151" s="148"/>
      <c r="B151" s="146"/>
      <c r="C151" s="146"/>
      <c r="D151" s="146"/>
      <c r="E151" s="146"/>
      <c r="F151" s="146"/>
      <c r="G151" s="146"/>
      <c r="H151" s="146"/>
      <c r="I151" s="146"/>
      <c r="J151" s="146"/>
      <c r="K151" s="146"/>
      <c r="L151" s="146"/>
      <c r="M151" s="146"/>
      <c r="N151" s="146"/>
      <c r="O151" s="146"/>
      <c r="P151" s="146"/>
      <c r="Q151" s="146"/>
      <c r="R151" s="146"/>
      <c r="S151" s="146"/>
      <c r="T151" s="146"/>
      <c r="U151" s="146"/>
      <c r="V151" s="146"/>
      <c r="W151" s="146"/>
      <c r="X151" s="146"/>
      <c r="Y151" s="146"/>
      <c r="Z151" s="146"/>
      <c r="AA151" s="146"/>
      <c r="AB151" s="146"/>
      <c r="AC151" s="146"/>
      <c r="AD151" s="146"/>
      <c r="AE151" s="146"/>
      <c r="AF151" s="146"/>
      <c r="AG151" s="146"/>
    </row>
    <row r="152" spans="1:33" ht="12.75">
      <c r="A152" s="148"/>
      <c r="B152" s="146"/>
      <c r="C152" s="146"/>
      <c r="D152" s="146"/>
      <c r="E152" s="146"/>
      <c r="F152" s="146"/>
      <c r="G152" s="146"/>
      <c r="H152" s="146"/>
      <c r="I152" s="146"/>
      <c r="J152" s="146"/>
      <c r="K152" s="146"/>
      <c r="L152" s="146"/>
      <c r="M152" s="146"/>
      <c r="N152" s="146"/>
      <c r="O152" s="146"/>
      <c r="P152" s="146"/>
      <c r="Q152" s="146"/>
      <c r="R152" s="146"/>
      <c r="S152" s="146"/>
      <c r="T152" s="146"/>
      <c r="U152" s="146"/>
      <c r="V152" s="146"/>
      <c r="W152" s="146"/>
      <c r="X152" s="146"/>
      <c r="Y152" s="146"/>
      <c r="Z152" s="146"/>
      <c r="AA152" s="146"/>
      <c r="AB152" s="146"/>
      <c r="AC152" s="146"/>
      <c r="AD152" s="146"/>
      <c r="AE152" s="146"/>
      <c r="AF152" s="146"/>
      <c r="AG152" s="146"/>
    </row>
    <row r="153" spans="1:33" ht="12.75">
      <c r="A153" s="148"/>
      <c r="B153" s="146"/>
      <c r="C153" s="146"/>
      <c r="D153" s="146"/>
      <c r="E153" s="146"/>
      <c r="F153" s="146"/>
      <c r="G153" s="146"/>
      <c r="H153" s="146"/>
      <c r="I153" s="146"/>
      <c r="J153" s="146"/>
      <c r="K153" s="146"/>
      <c r="L153" s="146"/>
      <c r="M153" s="146"/>
      <c r="N153" s="146"/>
      <c r="O153" s="146"/>
      <c r="P153" s="146"/>
      <c r="Q153" s="146"/>
      <c r="R153" s="146"/>
      <c r="S153" s="146"/>
      <c r="T153" s="146"/>
      <c r="U153" s="146"/>
      <c r="V153" s="146"/>
      <c r="W153" s="146"/>
      <c r="X153" s="146"/>
      <c r="Y153" s="146"/>
      <c r="Z153" s="146"/>
      <c r="AA153" s="146"/>
      <c r="AB153" s="146"/>
      <c r="AC153" s="146"/>
      <c r="AD153" s="146"/>
      <c r="AE153" s="146"/>
      <c r="AF153" s="146"/>
      <c r="AG153" s="146"/>
    </row>
    <row r="154" spans="1:33" ht="12.75">
      <c r="A154" s="148"/>
      <c r="B154" s="146"/>
      <c r="C154" s="146"/>
      <c r="D154" s="146"/>
      <c r="E154" s="146"/>
      <c r="F154" s="146"/>
      <c r="G154" s="146"/>
      <c r="H154" s="146"/>
      <c r="I154" s="146"/>
      <c r="J154" s="146"/>
      <c r="K154" s="146"/>
      <c r="L154" s="146"/>
      <c r="M154" s="146"/>
      <c r="N154" s="146"/>
      <c r="O154" s="146"/>
      <c r="P154" s="146"/>
      <c r="Q154" s="146"/>
      <c r="R154" s="146"/>
      <c r="S154" s="146"/>
      <c r="T154" s="146"/>
      <c r="U154" s="146"/>
      <c r="V154" s="146"/>
      <c r="W154" s="146"/>
      <c r="X154" s="146"/>
      <c r="Y154" s="146"/>
      <c r="Z154" s="146"/>
      <c r="AA154" s="146"/>
      <c r="AB154" s="146"/>
      <c r="AC154" s="146"/>
      <c r="AD154" s="146"/>
      <c r="AE154" s="146"/>
      <c r="AF154" s="146"/>
      <c r="AG154" s="146"/>
    </row>
    <row r="155" spans="1:33" ht="12.75">
      <c r="A155" s="148"/>
      <c r="B155" s="146"/>
      <c r="C155" s="146"/>
      <c r="D155" s="146"/>
      <c r="E155" s="146"/>
      <c r="F155" s="146"/>
      <c r="G155" s="146"/>
      <c r="H155" s="146"/>
      <c r="I155" s="146"/>
      <c r="J155" s="146"/>
      <c r="K155" s="146"/>
      <c r="L155" s="146"/>
      <c r="M155" s="146"/>
      <c r="N155" s="146"/>
      <c r="O155" s="146"/>
      <c r="P155" s="146"/>
      <c r="Q155" s="146"/>
      <c r="R155" s="146"/>
      <c r="S155" s="146"/>
      <c r="T155" s="146"/>
      <c r="U155" s="146"/>
      <c r="V155" s="146"/>
      <c r="W155" s="146"/>
      <c r="X155" s="146"/>
      <c r="Y155" s="146"/>
      <c r="Z155" s="146"/>
      <c r="AA155" s="146"/>
      <c r="AB155" s="146"/>
      <c r="AC155" s="146"/>
      <c r="AD155" s="146"/>
      <c r="AE155" s="146"/>
      <c r="AF155" s="146"/>
      <c r="AG155" s="146"/>
    </row>
    <row r="156" spans="1:33" ht="12.75">
      <c r="A156" s="148"/>
      <c r="B156" s="146"/>
      <c r="C156" s="146"/>
      <c r="D156" s="146"/>
      <c r="E156" s="146"/>
      <c r="F156" s="146"/>
      <c r="G156" s="146"/>
      <c r="H156" s="146"/>
      <c r="I156" s="146"/>
      <c r="J156" s="146"/>
      <c r="K156" s="146"/>
      <c r="L156" s="146"/>
      <c r="M156" s="146"/>
      <c r="N156" s="146"/>
      <c r="O156" s="146"/>
      <c r="P156" s="146"/>
      <c r="Q156" s="146"/>
      <c r="R156" s="146"/>
      <c r="S156" s="146"/>
      <c r="T156" s="146"/>
      <c r="U156" s="146"/>
      <c r="V156" s="146"/>
      <c r="W156" s="146"/>
      <c r="X156" s="146"/>
      <c r="Y156" s="146"/>
      <c r="Z156" s="146"/>
      <c r="AA156" s="146"/>
      <c r="AB156" s="146"/>
      <c r="AC156" s="146"/>
      <c r="AD156" s="146"/>
      <c r="AE156" s="146"/>
      <c r="AF156" s="146"/>
      <c r="AG156" s="146"/>
    </row>
    <row r="157" spans="1:33" ht="12.75">
      <c r="A157" s="148"/>
      <c r="B157" s="146"/>
      <c r="C157" s="146"/>
      <c r="D157" s="146"/>
      <c r="E157" s="146"/>
      <c r="F157" s="146"/>
      <c r="G157" s="146"/>
      <c r="H157" s="146"/>
      <c r="I157" s="146"/>
      <c r="J157" s="146"/>
      <c r="K157" s="146"/>
      <c r="L157" s="146"/>
      <c r="M157" s="146"/>
      <c r="N157" s="146"/>
      <c r="O157" s="146"/>
      <c r="P157" s="146"/>
      <c r="Q157" s="146"/>
      <c r="R157" s="146"/>
      <c r="S157" s="146"/>
      <c r="T157" s="146"/>
      <c r="U157" s="146"/>
      <c r="V157" s="146"/>
      <c r="W157" s="146"/>
      <c r="X157" s="146"/>
      <c r="Y157" s="146"/>
      <c r="Z157" s="146"/>
      <c r="AA157" s="146"/>
      <c r="AB157" s="146"/>
      <c r="AC157" s="146"/>
      <c r="AD157" s="146"/>
      <c r="AE157" s="146"/>
      <c r="AF157" s="146"/>
      <c r="AG157" s="146"/>
    </row>
    <row r="158" spans="1:33" ht="12.75">
      <c r="A158" s="148"/>
      <c r="B158" s="146"/>
      <c r="C158" s="146"/>
      <c r="D158" s="146"/>
      <c r="E158" s="146"/>
      <c r="F158" s="146"/>
      <c r="G158" s="146"/>
      <c r="H158" s="146"/>
      <c r="I158" s="146"/>
      <c r="J158" s="146"/>
      <c r="K158" s="146"/>
      <c r="L158" s="146"/>
      <c r="M158" s="146"/>
      <c r="N158" s="146"/>
      <c r="O158" s="146"/>
      <c r="P158" s="146"/>
      <c r="Q158" s="146"/>
      <c r="R158" s="146"/>
      <c r="S158" s="146"/>
      <c r="T158" s="146"/>
      <c r="U158" s="146"/>
      <c r="V158" s="146"/>
      <c r="W158" s="146"/>
      <c r="X158" s="146"/>
      <c r="Y158" s="146"/>
      <c r="Z158" s="146"/>
      <c r="AA158" s="146"/>
      <c r="AB158" s="146"/>
      <c r="AC158" s="146"/>
      <c r="AD158" s="146"/>
      <c r="AE158" s="146"/>
      <c r="AF158" s="146"/>
      <c r="AG158" s="146"/>
    </row>
    <row r="159" spans="1:33" ht="12.75">
      <c r="A159" s="148"/>
      <c r="B159" s="146"/>
      <c r="C159" s="146"/>
      <c r="D159" s="146"/>
      <c r="E159" s="146"/>
      <c r="F159" s="146"/>
      <c r="G159" s="146"/>
      <c r="H159" s="146"/>
      <c r="I159" s="146"/>
      <c r="J159" s="146"/>
      <c r="K159" s="146"/>
      <c r="L159" s="146"/>
      <c r="M159" s="146"/>
      <c r="N159" s="146"/>
      <c r="O159" s="146"/>
      <c r="P159" s="146"/>
      <c r="Q159" s="146"/>
      <c r="R159" s="146"/>
      <c r="S159" s="146"/>
      <c r="T159" s="146"/>
      <c r="U159" s="146"/>
      <c r="V159" s="146"/>
      <c r="W159" s="146"/>
      <c r="X159" s="146"/>
      <c r="Y159" s="146"/>
      <c r="Z159" s="146"/>
      <c r="AA159" s="146"/>
      <c r="AB159" s="146"/>
      <c r="AC159" s="146"/>
      <c r="AD159" s="146"/>
      <c r="AE159" s="146"/>
      <c r="AF159" s="146"/>
      <c r="AG159" s="146"/>
    </row>
    <row r="160" spans="1:33" ht="12.75">
      <c r="A160" s="148"/>
      <c r="B160" s="146"/>
      <c r="C160" s="146"/>
      <c r="D160" s="146"/>
      <c r="E160" s="146"/>
      <c r="F160" s="146"/>
      <c r="G160" s="146"/>
      <c r="H160" s="146"/>
      <c r="I160" s="146"/>
      <c r="J160" s="146"/>
      <c r="K160" s="146"/>
      <c r="L160" s="146"/>
      <c r="M160" s="146"/>
      <c r="N160" s="146"/>
      <c r="O160" s="146"/>
      <c r="P160" s="146"/>
      <c r="Q160" s="146"/>
      <c r="R160" s="146"/>
      <c r="S160" s="146"/>
      <c r="T160" s="146"/>
      <c r="U160" s="146"/>
      <c r="V160" s="146"/>
      <c r="W160" s="146"/>
      <c r="X160" s="146"/>
      <c r="Y160" s="146"/>
      <c r="Z160" s="146"/>
      <c r="AA160" s="146"/>
      <c r="AB160" s="146"/>
      <c r="AC160" s="146"/>
      <c r="AD160" s="146"/>
      <c r="AE160" s="146"/>
      <c r="AF160" s="146"/>
      <c r="AG160" s="146"/>
    </row>
    <row r="161" spans="1:33" ht="12.75">
      <c r="A161" s="148"/>
      <c r="B161" s="146"/>
      <c r="C161" s="146"/>
      <c r="D161" s="146"/>
      <c r="E161" s="146"/>
      <c r="F161" s="146"/>
      <c r="G161" s="146"/>
      <c r="H161" s="146"/>
      <c r="I161" s="146"/>
      <c r="J161" s="146"/>
      <c r="K161" s="146"/>
      <c r="L161" s="146"/>
      <c r="M161" s="146"/>
      <c r="N161" s="146"/>
      <c r="O161" s="146"/>
      <c r="P161" s="146"/>
      <c r="Q161" s="146"/>
      <c r="R161" s="146"/>
      <c r="S161" s="146"/>
      <c r="T161" s="146"/>
      <c r="U161" s="146"/>
      <c r="V161" s="146"/>
      <c r="W161" s="146"/>
      <c r="X161" s="146"/>
      <c r="Y161" s="146"/>
      <c r="Z161" s="146"/>
      <c r="AA161" s="146"/>
      <c r="AB161" s="146"/>
      <c r="AC161" s="146"/>
      <c r="AD161" s="146"/>
      <c r="AE161" s="146"/>
      <c r="AF161" s="146"/>
      <c r="AG161" s="146"/>
    </row>
    <row r="162" spans="1:33" ht="12.75">
      <c r="A162" s="148"/>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c r="AB162" s="146"/>
      <c r="AC162" s="146"/>
      <c r="AD162" s="146"/>
      <c r="AE162" s="146"/>
      <c r="AF162" s="146"/>
      <c r="AG162" s="146"/>
    </row>
    <row r="163" spans="1:33" ht="12.75">
      <c r="A163" s="148"/>
      <c r="B163" s="146"/>
      <c r="C163" s="146"/>
      <c r="D163" s="146"/>
      <c r="E163" s="146"/>
      <c r="F163" s="146"/>
      <c r="G163" s="146"/>
      <c r="H163" s="146"/>
      <c r="I163" s="146"/>
      <c r="J163" s="146"/>
      <c r="K163" s="146"/>
      <c r="L163" s="146"/>
      <c r="M163" s="146"/>
      <c r="N163" s="146"/>
      <c r="O163" s="146"/>
      <c r="P163" s="146"/>
      <c r="Q163" s="146"/>
      <c r="R163" s="146"/>
      <c r="S163" s="146"/>
      <c r="T163" s="146"/>
      <c r="U163" s="146"/>
      <c r="V163" s="146"/>
      <c r="W163" s="146"/>
      <c r="X163" s="146"/>
      <c r="Y163" s="146"/>
      <c r="Z163" s="146"/>
      <c r="AA163" s="146"/>
      <c r="AB163" s="146"/>
      <c r="AC163" s="146"/>
      <c r="AD163" s="146"/>
      <c r="AE163" s="146"/>
      <c r="AF163" s="146"/>
      <c r="AG163" s="146"/>
    </row>
    <row r="164" spans="1:33" ht="12.75">
      <c r="A164" s="148"/>
      <c r="B164" s="146"/>
      <c r="C164" s="146"/>
      <c r="D164" s="146"/>
      <c r="E164" s="146"/>
      <c r="F164" s="146"/>
      <c r="G164" s="146"/>
      <c r="H164" s="146"/>
      <c r="I164" s="146"/>
      <c r="J164" s="146"/>
      <c r="K164" s="146"/>
      <c r="L164" s="146"/>
      <c r="M164" s="146"/>
      <c r="N164" s="146"/>
      <c r="O164" s="146"/>
      <c r="P164" s="146"/>
      <c r="Q164" s="146"/>
      <c r="R164" s="146"/>
      <c r="S164" s="146"/>
      <c r="T164" s="146"/>
      <c r="U164" s="146"/>
      <c r="V164" s="146"/>
      <c r="W164" s="146"/>
      <c r="X164" s="146"/>
      <c r="Y164" s="146"/>
      <c r="Z164" s="146"/>
      <c r="AA164" s="146"/>
      <c r="AB164" s="146"/>
      <c r="AC164" s="146"/>
      <c r="AD164" s="146"/>
      <c r="AE164" s="146"/>
      <c r="AF164" s="146"/>
      <c r="AG164" s="146"/>
    </row>
    <row r="165" spans="1:33" ht="12.75">
      <c r="A165" s="148"/>
      <c r="B165" s="146"/>
      <c r="C165" s="146"/>
      <c r="D165" s="146"/>
      <c r="E165" s="146"/>
      <c r="F165" s="146"/>
      <c r="G165" s="146"/>
      <c r="H165" s="146"/>
      <c r="I165" s="146"/>
      <c r="J165" s="146"/>
      <c r="K165" s="146"/>
      <c r="L165" s="146"/>
      <c r="M165" s="146"/>
      <c r="N165" s="146"/>
      <c r="O165" s="146"/>
      <c r="P165" s="146"/>
      <c r="Q165" s="146"/>
      <c r="R165" s="146"/>
      <c r="S165" s="146"/>
      <c r="T165" s="146"/>
      <c r="U165" s="146"/>
      <c r="V165" s="146"/>
      <c r="W165" s="146"/>
      <c r="X165" s="146"/>
      <c r="Y165" s="146"/>
      <c r="Z165" s="146"/>
      <c r="AA165" s="146"/>
      <c r="AB165" s="146"/>
      <c r="AC165" s="146"/>
      <c r="AD165" s="146"/>
      <c r="AE165" s="146"/>
      <c r="AF165" s="146"/>
      <c r="AG165" s="146"/>
    </row>
    <row r="166" spans="1:33" ht="12.75">
      <c r="A166" s="148"/>
      <c r="B166" s="146"/>
      <c r="C166" s="146"/>
      <c r="D166" s="146"/>
      <c r="E166" s="146"/>
      <c r="F166" s="146"/>
      <c r="G166" s="146"/>
      <c r="H166" s="146"/>
      <c r="I166" s="146"/>
      <c r="J166" s="146"/>
      <c r="K166" s="146"/>
      <c r="L166" s="146"/>
      <c r="M166" s="146"/>
      <c r="N166" s="146"/>
      <c r="O166" s="146"/>
      <c r="P166" s="146"/>
      <c r="Q166" s="146"/>
      <c r="R166" s="146"/>
      <c r="S166" s="146"/>
      <c r="T166" s="146"/>
      <c r="U166" s="146"/>
      <c r="V166" s="146"/>
      <c r="W166" s="146"/>
      <c r="X166" s="146"/>
      <c r="Y166" s="146"/>
      <c r="Z166" s="146"/>
      <c r="AA166" s="146"/>
      <c r="AB166" s="146"/>
      <c r="AC166" s="146"/>
      <c r="AD166" s="146"/>
      <c r="AE166" s="146"/>
      <c r="AF166" s="146"/>
      <c r="AG166" s="146"/>
    </row>
    <row r="167" spans="1:33" ht="12.75">
      <c r="A167" s="148"/>
      <c r="B167" s="146"/>
      <c r="C167" s="146"/>
      <c r="D167" s="146"/>
      <c r="E167" s="146"/>
      <c r="F167" s="146"/>
      <c r="G167" s="146"/>
      <c r="H167" s="146"/>
      <c r="I167" s="146"/>
      <c r="J167" s="146"/>
      <c r="K167" s="146"/>
      <c r="L167" s="146"/>
      <c r="M167" s="146"/>
      <c r="N167" s="146"/>
      <c r="O167" s="146"/>
      <c r="P167" s="146"/>
      <c r="Q167" s="146"/>
      <c r="R167" s="146"/>
      <c r="S167" s="146"/>
      <c r="T167" s="146"/>
      <c r="U167" s="146"/>
      <c r="V167" s="146"/>
      <c r="W167" s="146"/>
      <c r="X167" s="146"/>
      <c r="Y167" s="146"/>
      <c r="Z167" s="146"/>
      <c r="AA167" s="146"/>
      <c r="AB167" s="146"/>
      <c r="AC167" s="146"/>
      <c r="AD167" s="146"/>
      <c r="AE167" s="146"/>
      <c r="AF167" s="146"/>
      <c r="AG167" s="146"/>
    </row>
    <row r="168" spans="1:33" ht="12.75">
      <c r="A168" s="148"/>
      <c r="B168" s="146"/>
      <c r="C168" s="146"/>
      <c r="D168" s="146"/>
      <c r="E168" s="146"/>
      <c r="F168" s="146"/>
      <c r="G168" s="146"/>
      <c r="H168" s="146"/>
      <c r="I168" s="146"/>
      <c r="J168" s="146"/>
      <c r="K168" s="146"/>
      <c r="L168" s="146"/>
      <c r="M168" s="146"/>
      <c r="N168" s="146"/>
      <c r="O168" s="146"/>
      <c r="P168" s="146"/>
      <c r="Q168" s="146"/>
      <c r="R168" s="146"/>
      <c r="S168" s="146"/>
      <c r="T168" s="146"/>
      <c r="U168" s="146"/>
      <c r="V168" s="146"/>
      <c r="W168" s="146"/>
      <c r="X168" s="146"/>
      <c r="Y168" s="146"/>
      <c r="Z168" s="146"/>
      <c r="AA168" s="146"/>
      <c r="AB168" s="146"/>
      <c r="AC168" s="146"/>
      <c r="AD168" s="146"/>
      <c r="AE168" s="146"/>
      <c r="AF168" s="146"/>
      <c r="AG168" s="146"/>
    </row>
    <row r="169" spans="1:33" ht="12.75">
      <c r="A169" s="148"/>
      <c r="B169" s="146"/>
      <c r="C169" s="146"/>
      <c r="D169" s="146"/>
      <c r="E169" s="146"/>
      <c r="F169" s="146"/>
      <c r="G169" s="146"/>
      <c r="H169" s="146"/>
      <c r="I169" s="146"/>
      <c r="J169" s="146"/>
      <c r="K169" s="146"/>
      <c r="L169" s="146"/>
      <c r="M169" s="146"/>
      <c r="N169" s="146"/>
      <c r="O169" s="146"/>
      <c r="P169" s="146"/>
      <c r="Q169" s="146"/>
      <c r="R169" s="146"/>
      <c r="S169" s="146"/>
      <c r="T169" s="146"/>
      <c r="U169" s="146"/>
      <c r="V169" s="146"/>
      <c r="W169" s="146"/>
      <c r="X169" s="146"/>
      <c r="Y169" s="146"/>
      <c r="Z169" s="146"/>
      <c r="AA169" s="146"/>
      <c r="AB169" s="146"/>
      <c r="AC169" s="146"/>
      <c r="AD169" s="146"/>
      <c r="AE169" s="146"/>
      <c r="AF169" s="146"/>
      <c r="AG169" s="146"/>
    </row>
    <row r="170" spans="1:33" ht="12.75">
      <c r="A170" s="148"/>
      <c r="B170" s="146"/>
      <c r="C170" s="146"/>
      <c r="D170" s="146"/>
      <c r="E170" s="146"/>
      <c r="F170" s="146"/>
      <c r="G170" s="146"/>
      <c r="H170" s="146"/>
      <c r="I170" s="146"/>
      <c r="J170" s="146"/>
      <c r="K170" s="146"/>
      <c r="L170" s="146"/>
      <c r="M170" s="146"/>
      <c r="N170" s="146"/>
      <c r="O170" s="146"/>
      <c r="P170" s="146"/>
      <c r="Q170" s="146"/>
      <c r="R170" s="146"/>
      <c r="S170" s="146"/>
      <c r="T170" s="146"/>
      <c r="U170" s="146"/>
      <c r="V170" s="146"/>
      <c r="W170" s="146"/>
      <c r="X170" s="146"/>
      <c r="Y170" s="146"/>
      <c r="Z170" s="146"/>
      <c r="AA170" s="146"/>
      <c r="AB170" s="146"/>
      <c r="AC170" s="146"/>
      <c r="AD170" s="146"/>
      <c r="AE170" s="146"/>
      <c r="AF170" s="146"/>
      <c r="AG170" s="146"/>
    </row>
    <row r="171" spans="1:33" ht="12.75">
      <c r="A171" s="148"/>
      <c r="B171" s="146"/>
      <c r="C171" s="146"/>
      <c r="D171" s="146"/>
      <c r="E171" s="146"/>
      <c r="F171" s="146"/>
      <c r="G171" s="146"/>
      <c r="H171" s="146"/>
      <c r="I171" s="146"/>
      <c r="J171" s="146"/>
      <c r="K171" s="146"/>
      <c r="L171" s="146"/>
      <c r="M171" s="146"/>
      <c r="N171" s="146"/>
      <c r="O171" s="146"/>
      <c r="P171" s="146"/>
      <c r="Q171" s="146"/>
      <c r="R171" s="146"/>
      <c r="S171" s="146"/>
      <c r="T171" s="146"/>
      <c r="U171" s="146"/>
      <c r="V171" s="146"/>
      <c r="W171" s="146"/>
      <c r="X171" s="146"/>
      <c r="Y171" s="146"/>
      <c r="Z171" s="146"/>
      <c r="AA171" s="146"/>
      <c r="AB171" s="146"/>
      <c r="AC171" s="146"/>
      <c r="AD171" s="146"/>
      <c r="AE171" s="146"/>
      <c r="AF171" s="146"/>
      <c r="AG171" s="146"/>
    </row>
    <row r="172" spans="1:33" ht="12.75">
      <c r="A172" s="148"/>
      <c r="B172" s="146"/>
      <c r="C172" s="146"/>
      <c r="D172" s="146"/>
      <c r="E172" s="146"/>
      <c r="F172" s="146"/>
      <c r="G172" s="146"/>
      <c r="H172" s="146"/>
      <c r="I172" s="146"/>
      <c r="J172" s="146"/>
      <c r="K172" s="146"/>
      <c r="L172" s="146"/>
      <c r="M172" s="146"/>
      <c r="N172" s="146"/>
      <c r="O172" s="146"/>
      <c r="P172" s="146"/>
      <c r="Q172" s="146"/>
      <c r="R172" s="146"/>
      <c r="S172" s="146"/>
      <c r="T172" s="146"/>
      <c r="U172" s="146"/>
      <c r="V172" s="146"/>
      <c r="W172" s="146"/>
      <c r="X172" s="146"/>
      <c r="Y172" s="146"/>
      <c r="Z172" s="146"/>
      <c r="AA172" s="146"/>
      <c r="AB172" s="146"/>
      <c r="AC172" s="146"/>
      <c r="AD172" s="146"/>
      <c r="AE172" s="146"/>
      <c r="AF172" s="146"/>
      <c r="AG172" s="146"/>
    </row>
    <row r="173" spans="1:33" ht="12.75">
      <c r="A173" s="148"/>
      <c r="B173" s="146"/>
      <c r="C173" s="146"/>
      <c r="D173" s="146"/>
      <c r="E173" s="146"/>
      <c r="F173" s="146"/>
      <c r="G173" s="146"/>
      <c r="H173" s="146"/>
      <c r="I173" s="146"/>
      <c r="J173" s="146"/>
      <c r="K173" s="146"/>
      <c r="L173" s="146"/>
      <c r="M173" s="146"/>
      <c r="N173" s="146"/>
      <c r="O173" s="146"/>
      <c r="P173" s="146"/>
      <c r="Q173" s="146"/>
      <c r="R173" s="146"/>
      <c r="S173" s="146"/>
      <c r="T173" s="146"/>
      <c r="U173" s="146"/>
      <c r="V173" s="146"/>
      <c r="W173" s="146"/>
      <c r="X173" s="146"/>
      <c r="Y173" s="146"/>
      <c r="Z173" s="146"/>
      <c r="AA173" s="146"/>
      <c r="AB173" s="146"/>
      <c r="AC173" s="146"/>
      <c r="AD173" s="146"/>
      <c r="AE173" s="146"/>
      <c r="AF173" s="146"/>
      <c r="AG173" s="146"/>
    </row>
    <row r="174" spans="1:33" ht="12.75">
      <c r="A174" s="148"/>
      <c r="B174" s="146"/>
      <c r="C174" s="146"/>
      <c r="D174" s="146"/>
      <c r="E174" s="146"/>
      <c r="F174" s="146"/>
      <c r="G174" s="146"/>
      <c r="H174" s="146"/>
      <c r="I174" s="146"/>
      <c r="J174" s="146"/>
      <c r="K174" s="146"/>
      <c r="L174" s="146"/>
      <c r="M174" s="146"/>
      <c r="N174" s="146"/>
      <c r="O174" s="146"/>
      <c r="P174" s="146"/>
      <c r="Q174" s="146"/>
      <c r="R174" s="146"/>
      <c r="S174" s="146"/>
      <c r="T174" s="146"/>
      <c r="U174" s="146"/>
      <c r="V174" s="146"/>
      <c r="W174" s="146"/>
      <c r="X174" s="146"/>
      <c r="Y174" s="146"/>
      <c r="Z174" s="146"/>
      <c r="AA174" s="146"/>
      <c r="AB174" s="146"/>
      <c r="AC174" s="146"/>
      <c r="AD174" s="146"/>
      <c r="AE174" s="146"/>
      <c r="AF174" s="146"/>
      <c r="AG174" s="146"/>
    </row>
    <row r="175" spans="1:33" ht="12.75">
      <c r="A175" s="148"/>
      <c r="B175" s="146"/>
      <c r="C175" s="146"/>
      <c r="D175" s="146"/>
      <c r="E175" s="146"/>
      <c r="F175" s="146"/>
      <c r="G175" s="146"/>
      <c r="H175" s="146"/>
      <c r="I175" s="146"/>
      <c r="J175" s="146"/>
      <c r="K175" s="146"/>
      <c r="L175" s="146"/>
      <c r="M175" s="146"/>
      <c r="N175" s="146"/>
      <c r="O175" s="146"/>
      <c r="P175" s="146"/>
      <c r="Q175" s="146"/>
      <c r="R175" s="146"/>
      <c r="S175" s="146"/>
      <c r="T175" s="146"/>
      <c r="U175" s="146"/>
      <c r="V175" s="146"/>
      <c r="W175" s="146"/>
      <c r="X175" s="146"/>
      <c r="Y175" s="146"/>
      <c r="Z175" s="146"/>
      <c r="AA175" s="146"/>
      <c r="AB175" s="146"/>
      <c r="AC175" s="146"/>
      <c r="AD175" s="146"/>
      <c r="AE175" s="146"/>
      <c r="AF175" s="146"/>
      <c r="AG175" s="146"/>
    </row>
    <row r="176" spans="1:33" ht="12.75">
      <c r="A176" s="148"/>
      <c r="B176" s="146"/>
      <c r="C176" s="146"/>
      <c r="D176" s="146"/>
      <c r="E176" s="146"/>
      <c r="F176" s="146"/>
      <c r="G176" s="146"/>
      <c r="H176" s="146"/>
      <c r="I176" s="146"/>
      <c r="J176" s="146"/>
      <c r="K176" s="146"/>
      <c r="L176" s="146"/>
      <c r="M176" s="146"/>
      <c r="N176" s="146"/>
      <c r="O176" s="146"/>
      <c r="P176" s="146"/>
      <c r="Q176" s="146"/>
      <c r="R176" s="146"/>
      <c r="S176" s="146"/>
      <c r="T176" s="146"/>
      <c r="U176" s="146"/>
      <c r="V176" s="146"/>
      <c r="W176" s="146"/>
      <c r="X176" s="146"/>
      <c r="Y176" s="146"/>
      <c r="Z176" s="146"/>
      <c r="AA176" s="146"/>
      <c r="AB176" s="146"/>
      <c r="AC176" s="146"/>
      <c r="AD176" s="146"/>
      <c r="AE176" s="146"/>
      <c r="AF176" s="146"/>
      <c r="AG176" s="146"/>
    </row>
    <row r="177" spans="1:33" ht="12.75">
      <c r="A177" s="148"/>
      <c r="B177" s="146"/>
      <c r="C177" s="146"/>
      <c r="D177" s="146"/>
      <c r="E177" s="146"/>
      <c r="F177" s="146"/>
      <c r="G177" s="146"/>
      <c r="H177" s="146"/>
      <c r="I177" s="146"/>
      <c r="J177" s="146"/>
      <c r="K177" s="146"/>
      <c r="L177" s="146"/>
      <c r="M177" s="146"/>
      <c r="N177" s="146"/>
      <c r="O177" s="146"/>
      <c r="P177" s="146"/>
      <c r="Q177" s="146"/>
      <c r="R177" s="146"/>
      <c r="S177" s="146"/>
      <c r="T177" s="146"/>
      <c r="U177" s="146"/>
      <c r="V177" s="146"/>
      <c r="W177" s="146"/>
      <c r="X177" s="146"/>
      <c r="Y177" s="146"/>
      <c r="Z177" s="146"/>
      <c r="AA177" s="146"/>
      <c r="AB177" s="146"/>
      <c r="AC177" s="146"/>
      <c r="AD177" s="146"/>
      <c r="AE177" s="146"/>
      <c r="AF177" s="146"/>
      <c r="AG177" s="146"/>
    </row>
    <row r="178" spans="1:33" ht="12.75">
      <c r="A178" s="148"/>
      <c r="B178" s="146"/>
      <c r="C178" s="146"/>
      <c r="D178" s="146"/>
      <c r="E178" s="146"/>
      <c r="F178" s="146"/>
      <c r="G178" s="146"/>
      <c r="H178" s="146"/>
      <c r="I178" s="146"/>
      <c r="J178" s="146"/>
      <c r="K178" s="146"/>
      <c r="L178" s="146"/>
      <c r="M178" s="146"/>
      <c r="N178" s="146"/>
      <c r="O178" s="146"/>
      <c r="P178" s="146"/>
      <c r="Q178" s="146"/>
      <c r="R178" s="146"/>
      <c r="S178" s="146"/>
      <c r="T178" s="146"/>
      <c r="U178" s="146"/>
      <c r="V178" s="146"/>
      <c r="W178" s="146"/>
      <c r="X178" s="146"/>
      <c r="Y178" s="146"/>
      <c r="Z178" s="146"/>
      <c r="AA178" s="146"/>
      <c r="AB178" s="146"/>
      <c r="AC178" s="146"/>
      <c r="AD178" s="146"/>
      <c r="AE178" s="146"/>
      <c r="AF178" s="146"/>
      <c r="AG178" s="146"/>
    </row>
    <row r="179" spans="1:33" ht="12.75">
      <c r="A179" s="148"/>
      <c r="B179" s="146"/>
      <c r="C179" s="146"/>
      <c r="D179" s="146"/>
      <c r="E179" s="146"/>
      <c r="F179" s="146"/>
      <c r="G179" s="146"/>
      <c r="H179" s="146"/>
      <c r="I179" s="146"/>
      <c r="J179" s="146"/>
      <c r="K179" s="146"/>
      <c r="L179" s="146"/>
      <c r="M179" s="146"/>
      <c r="N179" s="146"/>
      <c r="O179" s="146"/>
      <c r="P179" s="146"/>
      <c r="Q179" s="146"/>
      <c r="R179" s="146"/>
      <c r="S179" s="146"/>
      <c r="T179" s="146"/>
      <c r="U179" s="146"/>
      <c r="V179" s="146"/>
      <c r="W179" s="146"/>
      <c r="X179" s="146"/>
      <c r="Y179" s="146"/>
      <c r="Z179" s="146"/>
      <c r="AA179" s="146"/>
      <c r="AB179" s="146"/>
      <c r="AC179" s="146"/>
      <c r="AD179" s="146"/>
      <c r="AE179" s="146"/>
      <c r="AF179" s="146"/>
      <c r="AG179" s="146"/>
    </row>
    <row r="180" spans="1:33" ht="12.75">
      <c r="A180" s="148"/>
      <c r="B180" s="146"/>
      <c r="C180" s="146"/>
      <c r="D180" s="146"/>
      <c r="E180" s="146"/>
      <c r="F180" s="146"/>
      <c r="G180" s="146"/>
      <c r="H180" s="146"/>
      <c r="I180" s="146"/>
      <c r="J180" s="146"/>
      <c r="K180" s="146"/>
      <c r="L180" s="146"/>
      <c r="M180" s="146"/>
      <c r="N180" s="146"/>
      <c r="O180" s="146"/>
      <c r="P180" s="146"/>
      <c r="Q180" s="146"/>
      <c r="R180" s="146"/>
      <c r="S180" s="146"/>
      <c r="T180" s="146"/>
      <c r="U180" s="146"/>
      <c r="V180" s="146"/>
      <c r="W180" s="146"/>
      <c r="X180" s="146"/>
      <c r="Y180" s="146"/>
      <c r="Z180" s="146"/>
      <c r="AA180" s="146"/>
      <c r="AB180" s="146"/>
      <c r="AC180" s="146"/>
      <c r="AD180" s="146"/>
      <c r="AE180" s="146"/>
      <c r="AF180" s="146"/>
      <c r="AG180" s="146"/>
    </row>
    <row r="181" spans="1:33" ht="12.75">
      <c r="A181" s="148"/>
      <c r="B181" s="146"/>
      <c r="C181" s="146"/>
      <c r="D181" s="146"/>
      <c r="E181" s="146"/>
      <c r="F181" s="146"/>
      <c r="G181" s="146"/>
      <c r="H181" s="146"/>
      <c r="I181" s="146"/>
      <c r="J181" s="146"/>
      <c r="K181" s="146"/>
      <c r="L181" s="146"/>
      <c r="M181" s="146"/>
      <c r="N181" s="146"/>
      <c r="O181" s="146"/>
      <c r="P181" s="146"/>
      <c r="Q181" s="146"/>
      <c r="R181" s="146"/>
      <c r="S181" s="146"/>
      <c r="T181" s="146"/>
      <c r="U181" s="146"/>
      <c r="V181" s="146"/>
      <c r="W181" s="146"/>
      <c r="X181" s="146"/>
      <c r="Y181" s="146"/>
      <c r="Z181" s="146"/>
      <c r="AA181" s="146"/>
      <c r="AB181" s="146"/>
      <c r="AC181" s="146"/>
      <c r="AD181" s="146"/>
      <c r="AE181" s="146"/>
      <c r="AF181" s="146"/>
      <c r="AG181" s="146"/>
    </row>
    <row r="182" spans="1:33" ht="12.75">
      <c r="A182" s="148"/>
      <c r="B182" s="146"/>
      <c r="C182" s="146"/>
      <c r="D182" s="146"/>
      <c r="E182" s="146"/>
      <c r="F182" s="146"/>
      <c r="G182" s="146"/>
      <c r="H182" s="146"/>
      <c r="I182" s="146"/>
      <c r="J182" s="146"/>
      <c r="K182" s="146"/>
      <c r="L182" s="146"/>
      <c r="M182" s="146"/>
      <c r="N182" s="146"/>
      <c r="O182" s="146"/>
      <c r="P182" s="146"/>
      <c r="Q182" s="146"/>
      <c r="R182" s="146"/>
      <c r="S182" s="146"/>
      <c r="T182" s="146"/>
      <c r="U182" s="146"/>
      <c r="V182" s="146"/>
      <c r="W182" s="146"/>
      <c r="X182" s="146"/>
      <c r="Y182" s="146"/>
      <c r="Z182" s="146"/>
      <c r="AA182" s="146"/>
      <c r="AB182" s="146"/>
      <c r="AC182" s="146"/>
      <c r="AD182" s="146"/>
      <c r="AE182" s="146"/>
      <c r="AF182" s="146"/>
      <c r="AG182" s="146"/>
    </row>
    <row r="183" spans="1:33" ht="12.75">
      <c r="A183" s="148"/>
      <c r="B183" s="146"/>
      <c r="C183" s="146"/>
      <c r="D183" s="146"/>
      <c r="E183" s="146"/>
      <c r="F183" s="146"/>
      <c r="G183" s="146"/>
      <c r="H183" s="146"/>
      <c r="I183" s="146"/>
      <c r="J183" s="146"/>
      <c r="K183" s="146"/>
      <c r="L183" s="146"/>
      <c r="M183" s="146"/>
      <c r="N183" s="146"/>
      <c r="O183" s="146"/>
      <c r="P183" s="146"/>
      <c r="Q183" s="146"/>
      <c r="R183" s="146"/>
      <c r="S183" s="146"/>
      <c r="T183" s="146"/>
      <c r="U183" s="146"/>
      <c r="V183" s="146"/>
      <c r="W183" s="146"/>
      <c r="X183" s="146"/>
      <c r="Y183" s="146"/>
      <c r="Z183" s="146"/>
      <c r="AA183" s="146"/>
      <c r="AB183" s="146"/>
      <c r="AC183" s="146"/>
      <c r="AD183" s="146"/>
      <c r="AE183" s="146"/>
      <c r="AF183" s="146"/>
      <c r="AG183" s="146"/>
    </row>
    <row r="184" spans="1:33" ht="12.75">
      <c r="A184" s="148"/>
      <c r="B184" s="146"/>
      <c r="C184" s="146"/>
      <c r="D184" s="146"/>
      <c r="E184" s="146"/>
      <c r="F184" s="146"/>
      <c r="G184" s="146"/>
      <c r="H184" s="146"/>
      <c r="I184" s="146"/>
      <c r="J184" s="146"/>
      <c r="K184" s="146"/>
      <c r="L184" s="146"/>
      <c r="M184" s="146"/>
      <c r="N184" s="146"/>
      <c r="O184" s="146"/>
      <c r="P184" s="146"/>
      <c r="Q184" s="146"/>
      <c r="R184" s="146"/>
      <c r="S184" s="146"/>
      <c r="T184" s="146"/>
      <c r="U184" s="146"/>
      <c r="V184" s="146"/>
      <c r="W184" s="146"/>
      <c r="X184" s="146"/>
      <c r="Y184" s="146"/>
      <c r="Z184" s="146"/>
      <c r="AA184" s="146"/>
      <c r="AB184" s="146"/>
      <c r="AC184" s="146"/>
      <c r="AD184" s="146"/>
      <c r="AE184" s="146"/>
      <c r="AF184" s="146"/>
      <c r="AG184" s="146"/>
    </row>
    <row r="185" spans="1:33" ht="12.75">
      <c r="A185" s="148"/>
      <c r="B185" s="146"/>
      <c r="C185" s="146"/>
      <c r="D185" s="146"/>
      <c r="E185" s="146"/>
      <c r="F185" s="146"/>
      <c r="G185" s="146"/>
      <c r="H185" s="146"/>
      <c r="I185" s="146"/>
      <c r="J185" s="146"/>
      <c r="K185" s="146"/>
      <c r="L185" s="146"/>
      <c r="M185" s="146"/>
      <c r="N185" s="146"/>
      <c r="O185" s="146"/>
      <c r="P185" s="146"/>
      <c r="Q185" s="146"/>
      <c r="R185" s="146"/>
      <c r="S185" s="146"/>
      <c r="T185" s="146"/>
      <c r="U185" s="146"/>
      <c r="V185" s="146"/>
      <c r="W185" s="146"/>
      <c r="X185" s="146"/>
      <c r="Y185" s="146"/>
      <c r="Z185" s="146"/>
      <c r="AA185" s="146"/>
      <c r="AB185" s="146"/>
      <c r="AC185" s="146"/>
      <c r="AD185" s="146"/>
      <c r="AE185" s="146"/>
      <c r="AF185" s="146"/>
      <c r="AG185" s="146"/>
    </row>
    <row r="186" spans="1:33" ht="12.75">
      <c r="A186" s="148"/>
      <c r="B186" s="146"/>
      <c r="C186" s="146"/>
      <c r="D186" s="146"/>
      <c r="E186" s="146"/>
      <c r="F186" s="146"/>
      <c r="G186" s="146"/>
      <c r="H186" s="146"/>
      <c r="I186" s="146"/>
      <c r="J186" s="146"/>
      <c r="K186" s="146"/>
      <c r="L186" s="146"/>
      <c r="M186" s="146"/>
      <c r="N186" s="146"/>
      <c r="O186" s="146"/>
      <c r="P186" s="146"/>
      <c r="Q186" s="146"/>
      <c r="R186" s="146"/>
      <c r="S186" s="146"/>
      <c r="T186" s="146"/>
      <c r="U186" s="146"/>
      <c r="V186" s="146"/>
      <c r="W186" s="146"/>
      <c r="X186" s="146"/>
      <c r="Y186" s="146"/>
      <c r="Z186" s="146"/>
      <c r="AA186" s="146"/>
      <c r="AB186" s="146"/>
      <c r="AC186" s="146"/>
      <c r="AD186" s="146"/>
      <c r="AE186" s="146"/>
      <c r="AF186" s="146"/>
      <c r="AG186" s="146"/>
    </row>
    <row r="187" spans="1:33" ht="12.75">
      <c r="A187" s="148"/>
      <c r="B187" s="146"/>
      <c r="C187" s="146"/>
      <c r="D187" s="146"/>
      <c r="E187" s="146"/>
      <c r="F187" s="146"/>
      <c r="G187" s="146"/>
      <c r="H187" s="146"/>
      <c r="I187" s="146"/>
      <c r="J187" s="146"/>
      <c r="K187" s="146"/>
      <c r="L187" s="146"/>
      <c r="M187" s="146"/>
      <c r="N187" s="146"/>
      <c r="O187" s="146"/>
      <c r="P187" s="146"/>
      <c r="Q187" s="146"/>
      <c r="R187" s="146"/>
      <c r="S187" s="146"/>
      <c r="T187" s="146"/>
      <c r="U187" s="146"/>
      <c r="V187" s="146"/>
      <c r="W187" s="146"/>
      <c r="X187" s="146"/>
      <c r="Y187" s="146"/>
      <c r="Z187" s="146"/>
      <c r="AA187" s="146"/>
      <c r="AB187" s="146"/>
      <c r="AC187" s="146"/>
      <c r="AD187" s="146"/>
      <c r="AE187" s="146"/>
      <c r="AF187" s="146"/>
      <c r="AG187" s="146"/>
    </row>
    <row r="188" spans="1:33" ht="12.75">
      <c r="A188" s="148"/>
      <c r="B188" s="146"/>
      <c r="C188" s="146"/>
      <c r="D188" s="146"/>
      <c r="E188" s="146"/>
      <c r="F188" s="146"/>
      <c r="G188" s="146"/>
      <c r="H188" s="146"/>
      <c r="I188" s="146"/>
      <c r="J188" s="146"/>
      <c r="K188" s="146"/>
      <c r="L188" s="146"/>
      <c r="M188" s="146"/>
      <c r="N188" s="146"/>
      <c r="O188" s="146"/>
      <c r="P188" s="146"/>
      <c r="Q188" s="146"/>
      <c r="R188" s="146"/>
      <c r="S188" s="146"/>
      <c r="T188" s="146"/>
      <c r="U188" s="146"/>
      <c r="V188" s="146"/>
      <c r="W188" s="146"/>
      <c r="X188" s="146"/>
      <c r="Y188" s="146"/>
      <c r="Z188" s="146"/>
      <c r="AA188" s="146"/>
      <c r="AB188" s="146"/>
      <c r="AC188" s="146"/>
      <c r="AD188" s="146"/>
      <c r="AE188" s="146"/>
      <c r="AF188" s="146"/>
      <c r="AG188" s="146"/>
    </row>
    <row r="189" spans="1:33" ht="12.75">
      <c r="A189" s="148"/>
      <c r="B189" s="146"/>
      <c r="C189" s="146"/>
      <c r="D189" s="146"/>
      <c r="E189" s="146"/>
      <c r="F189" s="146"/>
      <c r="G189" s="146"/>
      <c r="H189" s="146"/>
      <c r="I189" s="146"/>
      <c r="J189" s="146"/>
      <c r="K189" s="146"/>
      <c r="L189" s="146"/>
      <c r="M189" s="146"/>
      <c r="N189" s="146"/>
      <c r="O189" s="146"/>
      <c r="P189" s="146"/>
      <c r="Q189" s="146"/>
      <c r="R189" s="146"/>
      <c r="S189" s="146"/>
      <c r="T189" s="146"/>
      <c r="U189" s="146"/>
      <c r="V189" s="146"/>
      <c r="W189" s="146"/>
      <c r="X189" s="146"/>
      <c r="Y189" s="146"/>
      <c r="Z189" s="146"/>
      <c r="AA189" s="146"/>
      <c r="AB189" s="146"/>
      <c r="AC189" s="146"/>
      <c r="AD189" s="146"/>
      <c r="AE189" s="146"/>
      <c r="AF189" s="146"/>
      <c r="AG189" s="146"/>
    </row>
    <row r="190" spans="1:33" ht="12.75">
      <c r="A190" s="148"/>
      <c r="B190" s="146"/>
      <c r="C190" s="146"/>
      <c r="D190" s="146"/>
      <c r="E190" s="146"/>
      <c r="F190" s="146"/>
      <c r="G190" s="146"/>
      <c r="H190" s="146"/>
      <c r="I190" s="146"/>
      <c r="J190" s="146"/>
      <c r="K190" s="146"/>
      <c r="L190" s="146"/>
      <c r="M190" s="146"/>
      <c r="N190" s="146"/>
      <c r="O190" s="146"/>
      <c r="P190" s="146"/>
      <c r="Q190" s="146"/>
      <c r="R190" s="146"/>
      <c r="S190" s="146"/>
      <c r="T190" s="146"/>
      <c r="U190" s="146"/>
      <c r="V190" s="146"/>
      <c r="W190" s="146"/>
      <c r="X190" s="146"/>
      <c r="Y190" s="146"/>
      <c r="Z190" s="146"/>
      <c r="AA190" s="146"/>
      <c r="AB190" s="146"/>
      <c r="AC190" s="146"/>
      <c r="AD190" s="146"/>
      <c r="AE190" s="146"/>
      <c r="AF190" s="146"/>
      <c r="AG190" s="146"/>
    </row>
    <row r="191" spans="1:33" ht="12.75">
      <c r="A191" s="148"/>
      <c r="B191" s="146"/>
      <c r="C191" s="146"/>
      <c r="D191" s="146"/>
      <c r="E191" s="146"/>
      <c r="F191" s="146"/>
      <c r="G191" s="146"/>
      <c r="H191" s="146"/>
      <c r="I191" s="146"/>
      <c r="J191" s="146"/>
      <c r="K191" s="146"/>
      <c r="L191" s="146"/>
      <c r="M191" s="146"/>
      <c r="N191" s="146"/>
      <c r="O191" s="146"/>
      <c r="P191" s="146"/>
      <c r="Q191" s="146"/>
      <c r="R191" s="146"/>
      <c r="S191" s="146"/>
      <c r="T191" s="146"/>
      <c r="U191" s="146"/>
      <c r="V191" s="146"/>
      <c r="W191" s="146"/>
      <c r="X191" s="146"/>
      <c r="Y191" s="146"/>
      <c r="Z191" s="146"/>
      <c r="AA191" s="146"/>
      <c r="AB191" s="146"/>
      <c r="AC191" s="146"/>
      <c r="AD191" s="146"/>
      <c r="AE191" s="146"/>
      <c r="AF191" s="146"/>
      <c r="AG191" s="146"/>
    </row>
    <row r="192" spans="1:33" ht="12.75">
      <c r="A192" s="148"/>
      <c r="B192" s="146"/>
      <c r="C192" s="146"/>
      <c r="D192" s="146"/>
      <c r="E192" s="146"/>
      <c r="F192" s="146"/>
      <c r="G192" s="146"/>
      <c r="H192" s="146"/>
      <c r="I192" s="146"/>
      <c r="J192" s="146"/>
      <c r="K192" s="146"/>
      <c r="L192" s="146"/>
      <c r="M192" s="146"/>
      <c r="N192" s="146"/>
      <c r="O192" s="146"/>
      <c r="P192" s="146"/>
      <c r="Q192" s="146"/>
      <c r="R192" s="146"/>
      <c r="S192" s="146"/>
      <c r="T192" s="146"/>
      <c r="U192" s="146"/>
      <c r="V192" s="146"/>
      <c r="W192" s="146"/>
      <c r="X192" s="146"/>
      <c r="Y192" s="146"/>
      <c r="Z192" s="146"/>
      <c r="AA192" s="146"/>
      <c r="AB192" s="146"/>
      <c r="AC192" s="146"/>
      <c r="AD192" s="146"/>
      <c r="AE192" s="146"/>
      <c r="AF192" s="146"/>
      <c r="AG192" s="146"/>
    </row>
    <row r="193" spans="1:33" ht="12.75">
      <c r="A193" s="148"/>
      <c r="B193" s="146"/>
      <c r="C193" s="146"/>
      <c r="D193" s="146"/>
      <c r="E193" s="146"/>
      <c r="F193" s="146"/>
      <c r="G193" s="146"/>
      <c r="H193" s="146"/>
      <c r="I193" s="146"/>
      <c r="J193" s="146"/>
      <c r="K193" s="146"/>
      <c r="L193" s="146"/>
      <c r="M193" s="146"/>
      <c r="N193" s="146"/>
      <c r="O193" s="146"/>
      <c r="P193" s="146"/>
      <c r="Q193" s="146"/>
      <c r="R193" s="146"/>
      <c r="S193" s="146"/>
      <c r="T193" s="146"/>
      <c r="U193" s="146"/>
      <c r="V193" s="146"/>
      <c r="W193" s="146"/>
      <c r="X193" s="146"/>
      <c r="Y193" s="146"/>
      <c r="Z193" s="146"/>
      <c r="AA193" s="146"/>
      <c r="AB193" s="146"/>
      <c r="AC193" s="146"/>
      <c r="AD193" s="146"/>
      <c r="AE193" s="146"/>
      <c r="AF193" s="146"/>
      <c r="AG193" s="146"/>
    </row>
    <row r="194" spans="1:33" ht="12.75">
      <c r="A194" s="148"/>
      <c r="B194" s="146"/>
      <c r="C194" s="146"/>
      <c r="D194" s="146"/>
      <c r="E194" s="146"/>
      <c r="F194" s="146"/>
      <c r="G194" s="146"/>
      <c r="H194" s="146"/>
      <c r="I194" s="146"/>
      <c r="J194" s="146"/>
      <c r="K194" s="146"/>
      <c r="L194" s="146"/>
      <c r="M194" s="146"/>
      <c r="N194" s="146"/>
      <c r="O194" s="146"/>
      <c r="P194" s="146"/>
      <c r="Q194" s="146"/>
      <c r="R194" s="146"/>
      <c r="S194" s="146"/>
      <c r="T194" s="146"/>
      <c r="U194" s="146"/>
      <c r="V194" s="146"/>
      <c r="W194" s="146"/>
      <c r="X194" s="146"/>
      <c r="Y194" s="146"/>
      <c r="Z194" s="146"/>
      <c r="AA194" s="146"/>
      <c r="AB194" s="146"/>
      <c r="AC194" s="146"/>
      <c r="AD194" s="146"/>
      <c r="AE194" s="146"/>
      <c r="AF194" s="146"/>
      <c r="AG194" s="146"/>
    </row>
    <row r="195" spans="1:33" ht="12.75">
      <c r="A195" s="148"/>
      <c r="B195" s="146"/>
      <c r="C195" s="146"/>
      <c r="D195" s="146"/>
      <c r="E195" s="146"/>
      <c r="F195" s="146"/>
      <c r="G195" s="146"/>
      <c r="H195" s="146"/>
      <c r="I195" s="146"/>
      <c r="J195" s="146"/>
      <c r="K195" s="146"/>
      <c r="L195" s="146"/>
      <c r="M195" s="146"/>
      <c r="N195" s="146"/>
      <c r="O195" s="146"/>
      <c r="P195" s="146"/>
      <c r="Q195" s="146"/>
      <c r="R195" s="146"/>
      <c r="S195" s="146"/>
      <c r="T195" s="146"/>
      <c r="U195" s="146"/>
      <c r="V195" s="146"/>
      <c r="W195" s="146"/>
      <c r="X195" s="146"/>
      <c r="Y195" s="146"/>
      <c r="Z195" s="146"/>
      <c r="AA195" s="146"/>
      <c r="AB195" s="146"/>
      <c r="AC195" s="146"/>
      <c r="AD195" s="146"/>
      <c r="AE195" s="146"/>
      <c r="AF195" s="146"/>
      <c r="AG195" s="146"/>
    </row>
    <row r="196" spans="1:33" ht="12.75">
      <c r="A196" s="148"/>
      <c r="B196" s="146"/>
      <c r="C196" s="146"/>
      <c r="D196" s="146"/>
      <c r="E196" s="146"/>
      <c r="F196" s="146"/>
      <c r="G196" s="146"/>
      <c r="H196" s="146"/>
      <c r="I196" s="146"/>
      <c r="J196" s="146"/>
      <c r="K196" s="146"/>
      <c r="L196" s="146"/>
      <c r="M196" s="146"/>
      <c r="N196" s="146"/>
      <c r="O196" s="146"/>
      <c r="P196" s="146"/>
      <c r="Q196" s="146"/>
      <c r="R196" s="146"/>
      <c r="S196" s="146"/>
      <c r="T196" s="146"/>
      <c r="U196" s="146"/>
      <c r="V196" s="146"/>
      <c r="W196" s="146"/>
      <c r="X196" s="146"/>
      <c r="Y196" s="146"/>
      <c r="Z196" s="146"/>
      <c r="AA196" s="146"/>
      <c r="AB196" s="146"/>
      <c r="AC196" s="146"/>
      <c r="AD196" s="146"/>
      <c r="AE196" s="146"/>
      <c r="AF196" s="146"/>
      <c r="AG196" s="146"/>
    </row>
    <row r="197" spans="1:33" ht="12.75">
      <c r="A197" s="148"/>
      <c r="B197" s="146"/>
      <c r="C197" s="146"/>
      <c r="D197" s="146"/>
      <c r="E197" s="146"/>
      <c r="F197" s="146"/>
      <c r="G197" s="146"/>
      <c r="H197" s="146"/>
      <c r="I197" s="146"/>
      <c r="J197" s="146"/>
      <c r="K197" s="146"/>
      <c r="L197" s="146"/>
      <c r="M197" s="146"/>
      <c r="N197" s="146"/>
      <c r="O197" s="146"/>
      <c r="P197" s="146"/>
      <c r="Q197" s="146"/>
      <c r="R197" s="146"/>
      <c r="S197" s="146"/>
      <c r="T197" s="146"/>
      <c r="U197" s="146"/>
      <c r="V197" s="146"/>
      <c r="W197" s="146"/>
      <c r="X197" s="146"/>
      <c r="Y197" s="146"/>
      <c r="Z197" s="146"/>
      <c r="AA197" s="146"/>
      <c r="AB197" s="146"/>
      <c r="AC197" s="146"/>
      <c r="AD197" s="146"/>
      <c r="AE197" s="146"/>
      <c r="AF197" s="146"/>
      <c r="AG197" s="146"/>
    </row>
    <row r="198" spans="1:33" ht="12.75">
      <c r="A198" s="148"/>
      <c r="B198" s="146"/>
      <c r="C198" s="146"/>
      <c r="D198" s="146"/>
      <c r="E198" s="146"/>
      <c r="F198" s="146"/>
      <c r="G198" s="146"/>
      <c r="H198" s="146"/>
      <c r="I198" s="146"/>
      <c r="J198" s="146"/>
      <c r="K198" s="146"/>
      <c r="L198" s="146"/>
      <c r="M198" s="146"/>
      <c r="N198" s="146"/>
      <c r="O198" s="146"/>
      <c r="P198" s="146"/>
      <c r="Q198" s="146"/>
      <c r="R198" s="146"/>
      <c r="S198" s="146"/>
      <c r="T198" s="146"/>
      <c r="U198" s="146"/>
      <c r="V198" s="146"/>
      <c r="W198" s="146"/>
      <c r="X198" s="146"/>
      <c r="Y198" s="146"/>
      <c r="Z198" s="146"/>
      <c r="AA198" s="146"/>
      <c r="AB198" s="146"/>
      <c r="AC198" s="146"/>
      <c r="AD198" s="146"/>
      <c r="AE198" s="146"/>
      <c r="AF198" s="146"/>
      <c r="AG198" s="146"/>
    </row>
    <row r="199" spans="1:33" ht="12.75">
      <c r="A199" s="148"/>
      <c r="B199" s="146"/>
      <c r="C199" s="146"/>
      <c r="D199" s="146"/>
      <c r="E199" s="146"/>
      <c r="F199" s="146"/>
      <c r="G199" s="146"/>
      <c r="H199" s="146"/>
      <c r="I199" s="146"/>
      <c r="J199" s="146"/>
      <c r="K199" s="146"/>
      <c r="L199" s="146"/>
      <c r="M199" s="146"/>
      <c r="N199" s="146"/>
      <c r="O199" s="146"/>
      <c r="P199" s="146"/>
      <c r="Q199" s="146"/>
      <c r="R199" s="146"/>
      <c r="S199" s="146"/>
      <c r="T199" s="146"/>
      <c r="U199" s="146"/>
      <c r="V199" s="146"/>
      <c r="W199" s="146"/>
      <c r="X199" s="146"/>
      <c r="Y199" s="146"/>
      <c r="Z199" s="146"/>
      <c r="AA199" s="146"/>
      <c r="AB199" s="146"/>
      <c r="AC199" s="146"/>
      <c r="AD199" s="146"/>
      <c r="AE199" s="146"/>
      <c r="AF199" s="146"/>
      <c r="AG199" s="146"/>
    </row>
    <row r="200" spans="1:33" ht="12.75">
      <c r="A200" s="148"/>
      <c r="B200" s="146"/>
      <c r="C200" s="146"/>
      <c r="D200" s="146"/>
      <c r="E200" s="146"/>
      <c r="F200" s="146"/>
      <c r="G200" s="146"/>
      <c r="H200" s="146"/>
      <c r="I200" s="146"/>
      <c r="J200" s="146"/>
      <c r="K200" s="146"/>
      <c r="L200" s="146"/>
      <c r="M200" s="146"/>
      <c r="N200" s="146"/>
      <c r="O200" s="146"/>
      <c r="P200" s="146"/>
      <c r="Q200" s="146"/>
      <c r="R200" s="146"/>
      <c r="S200" s="146"/>
      <c r="T200" s="146"/>
      <c r="U200" s="146"/>
      <c r="V200" s="146"/>
      <c r="W200" s="146"/>
      <c r="X200" s="146"/>
      <c r="Y200" s="146"/>
      <c r="Z200" s="146"/>
      <c r="AA200" s="146"/>
      <c r="AB200" s="146"/>
      <c r="AC200" s="146"/>
      <c r="AD200" s="146"/>
      <c r="AE200" s="146"/>
      <c r="AF200" s="146"/>
      <c r="AG200" s="146"/>
    </row>
    <row r="201" spans="1:33" ht="12.75">
      <c r="A201" s="148"/>
      <c r="B201" s="146"/>
      <c r="C201" s="146"/>
      <c r="D201" s="146"/>
      <c r="E201" s="146"/>
      <c r="F201" s="146"/>
      <c r="G201" s="146"/>
      <c r="H201" s="146"/>
      <c r="I201" s="146"/>
      <c r="J201" s="146"/>
      <c r="K201" s="146"/>
      <c r="L201" s="146"/>
      <c r="M201" s="146"/>
      <c r="N201" s="146"/>
      <c r="O201" s="146"/>
      <c r="P201" s="146"/>
      <c r="Q201" s="146"/>
      <c r="R201" s="146"/>
      <c r="S201" s="146"/>
      <c r="T201" s="146"/>
      <c r="U201" s="146"/>
      <c r="V201" s="146"/>
      <c r="W201" s="146"/>
      <c r="X201" s="146"/>
      <c r="Y201" s="146"/>
      <c r="Z201" s="146"/>
      <c r="AA201" s="146"/>
      <c r="AB201" s="146"/>
      <c r="AC201" s="146"/>
      <c r="AD201" s="146"/>
      <c r="AE201" s="146"/>
      <c r="AF201" s="146"/>
      <c r="AG201" s="146"/>
    </row>
    <row r="202" spans="1:33" ht="12.75">
      <c r="A202" s="148"/>
      <c r="B202" s="146"/>
      <c r="C202" s="146"/>
      <c r="D202" s="146"/>
      <c r="E202" s="146"/>
      <c r="F202" s="146"/>
      <c r="G202" s="146"/>
      <c r="H202" s="146"/>
      <c r="I202" s="146"/>
      <c r="J202" s="146"/>
      <c r="K202" s="146"/>
      <c r="L202" s="146"/>
      <c r="M202" s="146"/>
      <c r="N202" s="146"/>
      <c r="O202" s="146"/>
      <c r="P202" s="146"/>
      <c r="Q202" s="146"/>
      <c r="R202" s="146"/>
      <c r="S202" s="146"/>
      <c r="T202" s="146"/>
      <c r="U202" s="146"/>
      <c r="V202" s="146"/>
      <c r="W202" s="146"/>
      <c r="X202" s="146"/>
      <c r="Y202" s="146"/>
      <c r="Z202" s="146"/>
      <c r="AA202" s="146"/>
      <c r="AB202" s="146"/>
      <c r="AC202" s="146"/>
      <c r="AD202" s="146"/>
      <c r="AE202" s="146"/>
      <c r="AF202" s="146"/>
      <c r="AG202" s="146"/>
    </row>
    <row r="203" spans="1:33" ht="12.75">
      <c r="A203" s="148"/>
      <c r="B203" s="146"/>
      <c r="C203" s="146"/>
      <c r="D203" s="146"/>
      <c r="E203" s="146"/>
      <c r="F203" s="146"/>
      <c r="G203" s="146"/>
      <c r="H203" s="146"/>
      <c r="I203" s="146"/>
      <c r="J203" s="146"/>
      <c r="K203" s="146"/>
      <c r="L203" s="146"/>
      <c r="M203" s="146"/>
      <c r="N203" s="146"/>
      <c r="O203" s="146"/>
      <c r="P203" s="146"/>
      <c r="Q203" s="146"/>
      <c r="R203" s="146"/>
      <c r="S203" s="146"/>
      <c r="T203" s="146"/>
      <c r="U203" s="146"/>
      <c r="V203" s="146"/>
      <c r="W203" s="146"/>
      <c r="X203" s="146"/>
      <c r="Y203" s="146"/>
      <c r="Z203" s="146"/>
      <c r="AA203" s="146"/>
      <c r="AB203" s="146"/>
      <c r="AC203" s="146"/>
      <c r="AD203" s="146"/>
      <c r="AE203" s="146"/>
      <c r="AF203" s="146"/>
      <c r="AG203" s="146"/>
    </row>
    <row r="204" spans="1:33" ht="12.75">
      <c r="A204" s="148"/>
      <c r="B204" s="146"/>
      <c r="C204" s="146"/>
      <c r="D204" s="146"/>
      <c r="E204" s="146"/>
      <c r="F204" s="146"/>
      <c r="G204" s="146"/>
      <c r="H204" s="146"/>
      <c r="I204" s="146"/>
      <c r="J204" s="146"/>
      <c r="K204" s="146"/>
      <c r="L204" s="146"/>
      <c r="M204" s="146"/>
      <c r="N204" s="146"/>
      <c r="O204" s="146"/>
      <c r="P204" s="146"/>
      <c r="Q204" s="146"/>
      <c r="R204" s="146"/>
      <c r="S204" s="146"/>
      <c r="T204" s="146"/>
      <c r="U204" s="146"/>
      <c r="V204" s="146"/>
      <c r="W204" s="146"/>
      <c r="X204" s="146"/>
      <c r="Y204" s="146"/>
      <c r="Z204" s="146"/>
      <c r="AA204" s="146"/>
      <c r="AB204" s="146"/>
      <c r="AC204" s="146"/>
      <c r="AD204" s="146"/>
      <c r="AE204" s="146"/>
      <c r="AF204" s="146"/>
      <c r="AG204" s="146"/>
    </row>
    <row r="205" spans="1:33" ht="12.75">
      <c r="A205" s="148"/>
      <c r="B205" s="146"/>
      <c r="C205" s="146"/>
      <c r="D205" s="146"/>
      <c r="E205" s="146"/>
      <c r="F205" s="146"/>
      <c r="G205" s="146"/>
      <c r="H205" s="146"/>
      <c r="I205" s="146"/>
      <c r="J205" s="146"/>
      <c r="K205" s="146"/>
      <c r="L205" s="146"/>
      <c r="M205" s="146"/>
      <c r="N205" s="146"/>
      <c r="O205" s="146"/>
      <c r="P205" s="146"/>
      <c r="Q205" s="146"/>
      <c r="R205" s="146"/>
      <c r="S205" s="146"/>
      <c r="T205" s="146"/>
      <c r="U205" s="146"/>
      <c r="V205" s="146"/>
      <c r="W205" s="146"/>
      <c r="X205" s="146"/>
      <c r="Y205" s="146"/>
      <c r="Z205" s="146"/>
      <c r="AA205" s="146"/>
      <c r="AB205" s="146"/>
      <c r="AC205" s="146"/>
      <c r="AD205" s="146"/>
      <c r="AE205" s="146"/>
      <c r="AF205" s="146"/>
      <c r="AG205" s="146"/>
    </row>
    <row r="206" spans="1:33" ht="12.75">
      <c r="A206" s="148"/>
      <c r="B206" s="146"/>
      <c r="C206" s="146"/>
      <c r="D206" s="146"/>
      <c r="E206" s="146"/>
      <c r="F206" s="146"/>
      <c r="G206" s="146"/>
      <c r="H206" s="146"/>
      <c r="I206" s="146"/>
      <c r="J206" s="146"/>
      <c r="K206" s="146"/>
      <c r="L206" s="146"/>
      <c r="M206" s="146"/>
      <c r="N206" s="146"/>
      <c r="O206" s="146"/>
      <c r="P206" s="146"/>
      <c r="Q206" s="146"/>
      <c r="R206" s="146"/>
      <c r="S206" s="146"/>
      <c r="T206" s="146"/>
      <c r="U206" s="146"/>
      <c r="V206" s="146"/>
      <c r="W206" s="146"/>
      <c r="X206" s="146"/>
      <c r="Y206" s="146"/>
      <c r="Z206" s="146"/>
      <c r="AA206" s="146"/>
      <c r="AB206" s="146"/>
      <c r="AC206" s="146"/>
      <c r="AD206" s="146"/>
      <c r="AE206" s="146"/>
      <c r="AF206" s="146"/>
      <c r="AG206" s="146"/>
    </row>
    <row r="207" spans="1:33" ht="12.75">
      <c r="A207" s="148"/>
      <c r="B207" s="146"/>
      <c r="C207" s="146"/>
      <c r="D207" s="146"/>
      <c r="E207" s="146"/>
      <c r="F207" s="146"/>
      <c r="G207" s="146"/>
      <c r="H207" s="146"/>
      <c r="I207" s="146"/>
      <c r="J207" s="146"/>
      <c r="K207" s="146"/>
      <c r="L207" s="146"/>
      <c r="M207" s="146"/>
      <c r="N207" s="146"/>
      <c r="O207" s="146"/>
      <c r="P207" s="146"/>
      <c r="Q207" s="146"/>
      <c r="R207" s="146"/>
      <c r="S207" s="146"/>
      <c r="T207" s="146"/>
      <c r="U207" s="146"/>
      <c r="V207" s="146"/>
      <c r="W207" s="146"/>
      <c r="X207" s="146"/>
      <c r="Y207" s="146"/>
      <c r="Z207" s="146"/>
      <c r="AA207" s="146"/>
      <c r="AB207" s="146"/>
      <c r="AC207" s="146"/>
      <c r="AD207" s="146"/>
      <c r="AE207" s="146"/>
      <c r="AF207" s="146"/>
      <c r="AG207" s="146"/>
    </row>
    <row r="208" spans="1:33" ht="12.75">
      <c r="A208" s="148"/>
      <c r="B208" s="146"/>
      <c r="C208" s="146"/>
      <c r="D208" s="146"/>
      <c r="E208" s="146"/>
      <c r="F208" s="146"/>
      <c r="G208" s="146"/>
      <c r="H208" s="146"/>
      <c r="I208" s="146"/>
      <c r="J208" s="146"/>
      <c r="K208" s="146"/>
      <c r="L208" s="146"/>
      <c r="M208" s="146"/>
      <c r="N208" s="146"/>
      <c r="O208" s="146"/>
      <c r="P208" s="146"/>
      <c r="Q208" s="146"/>
      <c r="R208" s="146"/>
      <c r="S208" s="146"/>
      <c r="T208" s="146"/>
      <c r="U208" s="146"/>
      <c r="V208" s="146"/>
      <c r="W208" s="146"/>
      <c r="X208" s="146"/>
      <c r="Y208" s="146"/>
      <c r="Z208" s="146"/>
      <c r="AA208" s="146"/>
      <c r="AB208" s="146"/>
      <c r="AC208" s="146"/>
      <c r="AD208" s="146"/>
      <c r="AE208" s="146"/>
      <c r="AF208" s="146"/>
      <c r="AG208" s="146"/>
    </row>
    <row r="209" spans="1:33" ht="12.75">
      <c r="A209" s="148"/>
      <c r="B209" s="146"/>
      <c r="C209" s="146"/>
      <c r="D209" s="146"/>
      <c r="E209" s="146"/>
      <c r="F209" s="146"/>
      <c r="G209" s="146"/>
      <c r="H209" s="146"/>
      <c r="I209" s="146"/>
      <c r="J209" s="146"/>
      <c r="K209" s="146"/>
      <c r="L209" s="146"/>
      <c r="M209" s="146"/>
      <c r="N209" s="146"/>
      <c r="O209" s="146"/>
      <c r="P209" s="146"/>
      <c r="Q209" s="146"/>
      <c r="R209" s="146"/>
      <c r="S209" s="146"/>
      <c r="T209" s="146"/>
      <c r="U209" s="146"/>
      <c r="V209" s="146"/>
      <c r="W209" s="146"/>
      <c r="X209" s="146"/>
      <c r="Y209" s="146"/>
      <c r="Z209" s="146"/>
      <c r="AA209" s="146"/>
      <c r="AB209" s="146"/>
      <c r="AC209" s="146"/>
      <c r="AD209" s="146"/>
      <c r="AE209" s="146"/>
      <c r="AF209" s="146"/>
      <c r="AG209" s="146"/>
    </row>
    <row r="210" spans="1:33" ht="12.75">
      <c r="A210" s="148"/>
      <c r="B210" s="146"/>
      <c r="C210" s="146"/>
      <c r="D210" s="146"/>
      <c r="E210" s="146"/>
      <c r="F210" s="146"/>
      <c r="G210" s="146"/>
      <c r="H210" s="146"/>
      <c r="I210" s="146"/>
      <c r="J210" s="146"/>
      <c r="K210" s="146"/>
      <c r="L210" s="146"/>
      <c r="M210" s="146"/>
      <c r="N210" s="146"/>
      <c r="O210" s="146"/>
      <c r="P210" s="146"/>
      <c r="Q210" s="146"/>
      <c r="R210" s="146"/>
      <c r="S210" s="146"/>
      <c r="T210" s="146"/>
      <c r="U210" s="146"/>
      <c r="V210" s="146"/>
      <c r="W210" s="146"/>
      <c r="X210" s="146"/>
      <c r="Y210" s="146"/>
      <c r="Z210" s="146"/>
      <c r="AA210" s="146"/>
      <c r="AB210" s="146"/>
      <c r="AC210" s="146"/>
      <c r="AD210" s="146"/>
      <c r="AE210" s="146"/>
      <c r="AF210" s="146"/>
      <c r="AG210" s="146"/>
    </row>
    <row r="211" spans="1:33" ht="12.75">
      <c r="A211" s="148"/>
      <c r="B211" s="146"/>
      <c r="C211" s="146"/>
      <c r="D211" s="146"/>
      <c r="E211" s="146"/>
      <c r="F211" s="146"/>
      <c r="G211" s="146"/>
      <c r="H211" s="146"/>
      <c r="I211" s="146"/>
      <c r="J211" s="146"/>
      <c r="K211" s="146"/>
      <c r="L211" s="146"/>
      <c r="M211" s="146"/>
      <c r="N211" s="146"/>
      <c r="O211" s="146"/>
      <c r="P211" s="146"/>
      <c r="Q211" s="146"/>
      <c r="R211" s="146"/>
      <c r="S211" s="146"/>
      <c r="T211" s="146"/>
      <c r="U211" s="146"/>
      <c r="V211" s="146"/>
      <c r="W211" s="146"/>
      <c r="X211" s="146"/>
      <c r="Y211" s="146"/>
      <c r="Z211" s="146"/>
      <c r="AA211" s="146"/>
      <c r="AB211" s="146"/>
      <c r="AC211" s="146"/>
      <c r="AD211" s="146"/>
      <c r="AE211" s="146"/>
      <c r="AF211" s="146"/>
      <c r="AG211" s="146"/>
    </row>
    <row r="212" spans="1:33" ht="12.75">
      <c r="A212" s="148"/>
      <c r="B212" s="146"/>
      <c r="C212" s="146"/>
      <c r="D212" s="146"/>
      <c r="E212" s="146"/>
      <c r="F212" s="146"/>
      <c r="G212" s="146"/>
      <c r="H212" s="146"/>
      <c r="I212" s="146"/>
      <c r="J212" s="146"/>
      <c r="K212" s="146"/>
      <c r="L212" s="146"/>
      <c r="M212" s="146"/>
      <c r="N212" s="146"/>
      <c r="O212" s="146"/>
      <c r="P212" s="146"/>
      <c r="Q212" s="146"/>
      <c r="R212" s="146"/>
      <c r="S212" s="146"/>
      <c r="T212" s="146"/>
      <c r="U212" s="146"/>
      <c r="V212" s="146"/>
      <c r="W212" s="146"/>
      <c r="X212" s="146"/>
      <c r="Y212" s="146"/>
      <c r="Z212" s="146"/>
      <c r="AA212" s="146"/>
      <c r="AB212" s="146"/>
      <c r="AC212" s="146"/>
      <c r="AD212" s="146"/>
      <c r="AE212" s="146"/>
      <c r="AF212" s="146"/>
      <c r="AG212" s="146"/>
    </row>
    <row r="213" spans="1:33" ht="12.75">
      <c r="A213" s="148"/>
      <c r="B213" s="146"/>
      <c r="C213" s="146"/>
      <c r="D213" s="146"/>
      <c r="E213" s="146"/>
      <c r="F213" s="146"/>
      <c r="G213" s="146"/>
      <c r="H213" s="146"/>
      <c r="I213" s="146"/>
      <c r="J213" s="146"/>
      <c r="K213" s="146"/>
      <c r="L213" s="146"/>
      <c r="M213" s="146"/>
      <c r="N213" s="146"/>
      <c r="O213" s="146"/>
      <c r="P213" s="146"/>
      <c r="Q213" s="146"/>
      <c r="R213" s="146"/>
      <c r="S213" s="146"/>
      <c r="T213" s="146"/>
      <c r="U213" s="146"/>
      <c r="V213" s="146"/>
      <c r="W213" s="146"/>
      <c r="X213" s="146"/>
      <c r="Y213" s="146"/>
      <c r="Z213" s="146"/>
      <c r="AA213" s="146"/>
      <c r="AB213" s="146"/>
      <c r="AC213" s="146"/>
      <c r="AD213" s="146"/>
      <c r="AE213" s="146"/>
      <c r="AF213" s="146"/>
      <c r="AG213" s="146"/>
    </row>
    <row r="214" spans="1:33" ht="12.75">
      <c r="A214" s="148"/>
      <c r="B214" s="146"/>
      <c r="C214" s="146"/>
      <c r="D214" s="146"/>
      <c r="E214" s="146"/>
      <c r="F214" s="146"/>
      <c r="G214" s="146"/>
      <c r="H214" s="146"/>
      <c r="I214" s="146"/>
      <c r="J214" s="146"/>
      <c r="K214" s="146"/>
      <c r="L214" s="146"/>
      <c r="M214" s="146"/>
      <c r="N214" s="146"/>
      <c r="O214" s="146"/>
      <c r="P214" s="146"/>
      <c r="Q214" s="146"/>
      <c r="R214" s="146"/>
      <c r="S214" s="146"/>
      <c r="T214" s="146"/>
      <c r="U214" s="146"/>
      <c r="V214" s="146"/>
      <c r="W214" s="146"/>
      <c r="X214" s="146"/>
      <c r="Y214" s="146"/>
      <c r="Z214" s="146"/>
      <c r="AA214" s="146"/>
      <c r="AB214" s="146"/>
      <c r="AC214" s="146"/>
      <c r="AD214" s="146"/>
      <c r="AE214" s="146"/>
      <c r="AF214" s="146"/>
      <c r="AG214" s="146"/>
    </row>
    <row r="215" spans="1:33" ht="12.75">
      <c r="A215" s="148"/>
      <c r="B215" s="146"/>
      <c r="C215" s="146"/>
      <c r="D215" s="146"/>
      <c r="E215" s="146"/>
      <c r="F215" s="146"/>
      <c r="G215" s="146"/>
      <c r="H215" s="146"/>
      <c r="I215" s="146"/>
      <c r="J215" s="146"/>
      <c r="K215" s="146"/>
      <c r="L215" s="146"/>
      <c r="M215" s="146"/>
      <c r="N215" s="146"/>
      <c r="O215" s="146"/>
      <c r="P215" s="146"/>
      <c r="Q215" s="146"/>
      <c r="R215" s="146"/>
      <c r="S215" s="146"/>
      <c r="T215" s="146"/>
      <c r="U215" s="146"/>
      <c r="V215" s="146"/>
      <c r="W215" s="146"/>
      <c r="X215" s="146"/>
      <c r="Y215" s="146"/>
      <c r="Z215" s="146"/>
      <c r="AA215" s="146"/>
      <c r="AB215" s="146"/>
      <c r="AC215" s="146"/>
      <c r="AD215" s="146"/>
      <c r="AE215" s="146"/>
      <c r="AF215" s="146"/>
      <c r="AG215" s="146"/>
    </row>
    <row r="216" spans="1:33" ht="12.75">
      <c r="A216" s="148"/>
      <c r="B216" s="146"/>
      <c r="C216" s="146"/>
      <c r="D216" s="146"/>
      <c r="E216" s="146"/>
      <c r="F216" s="146"/>
      <c r="G216" s="146"/>
      <c r="H216" s="146"/>
      <c r="I216" s="146"/>
      <c r="J216" s="146"/>
      <c r="K216" s="146"/>
      <c r="L216" s="146"/>
      <c r="M216" s="146"/>
      <c r="N216" s="146"/>
      <c r="O216" s="146"/>
      <c r="P216" s="146"/>
      <c r="Q216" s="146"/>
      <c r="R216" s="146"/>
      <c r="S216" s="146"/>
      <c r="T216" s="146"/>
      <c r="U216" s="146"/>
      <c r="V216" s="146"/>
      <c r="W216" s="146"/>
      <c r="X216" s="146"/>
      <c r="Y216" s="146"/>
      <c r="Z216" s="146"/>
      <c r="AA216" s="146"/>
      <c r="AB216" s="146"/>
      <c r="AC216" s="146"/>
      <c r="AD216" s="146"/>
      <c r="AE216" s="146"/>
      <c r="AF216" s="146"/>
      <c r="AG216" s="146"/>
    </row>
    <row r="217" spans="1:33" ht="12.75">
      <c r="A217" s="148"/>
      <c r="B217" s="146"/>
      <c r="C217" s="146"/>
      <c r="D217" s="146"/>
      <c r="E217" s="146"/>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146"/>
      <c r="AG217" s="146"/>
    </row>
    <row r="218" spans="1:33" ht="12.75">
      <c r="A218" s="148"/>
      <c r="B218" s="146"/>
      <c r="C218" s="146"/>
      <c r="D218" s="146"/>
      <c r="E218" s="146"/>
      <c r="F218" s="146"/>
      <c r="G218" s="146"/>
      <c r="H218" s="146"/>
      <c r="I218" s="146"/>
      <c r="J218" s="146"/>
      <c r="K218" s="146"/>
      <c r="L218" s="146"/>
      <c r="M218" s="146"/>
      <c r="N218" s="146"/>
      <c r="O218" s="146"/>
      <c r="P218" s="146"/>
      <c r="Q218" s="146"/>
      <c r="R218" s="146"/>
      <c r="S218" s="146"/>
      <c r="T218" s="146"/>
      <c r="U218" s="146"/>
      <c r="V218" s="146"/>
      <c r="W218" s="146"/>
      <c r="X218" s="146"/>
      <c r="Y218" s="146"/>
      <c r="Z218" s="146"/>
      <c r="AA218" s="146"/>
      <c r="AB218" s="146"/>
      <c r="AC218" s="146"/>
      <c r="AD218" s="146"/>
      <c r="AE218" s="146"/>
      <c r="AF218" s="146"/>
      <c r="AG218" s="146"/>
    </row>
    <row r="219" spans="1:33" ht="12.75">
      <c r="A219" s="148"/>
      <c r="B219" s="146"/>
      <c r="C219" s="146"/>
      <c r="D219" s="146"/>
      <c r="E219" s="146"/>
      <c r="F219" s="146"/>
      <c r="G219" s="146"/>
      <c r="H219" s="146"/>
      <c r="I219" s="146"/>
      <c r="J219" s="146"/>
      <c r="K219" s="146"/>
      <c r="L219" s="146"/>
      <c r="M219" s="146"/>
      <c r="N219" s="146"/>
      <c r="O219" s="146"/>
      <c r="P219" s="146"/>
      <c r="Q219" s="146"/>
      <c r="R219" s="146"/>
      <c r="S219" s="146"/>
      <c r="T219" s="146"/>
      <c r="U219" s="146"/>
      <c r="V219" s="146"/>
      <c r="W219" s="146"/>
      <c r="X219" s="146"/>
      <c r="Y219" s="146"/>
      <c r="Z219" s="146"/>
      <c r="AA219" s="146"/>
      <c r="AB219" s="146"/>
      <c r="AC219" s="146"/>
      <c r="AD219" s="146"/>
      <c r="AE219" s="146"/>
      <c r="AF219" s="146"/>
      <c r="AG219" s="146"/>
    </row>
    <row r="220" spans="1:33" ht="12.75">
      <c r="A220" s="148"/>
      <c r="B220" s="146"/>
      <c r="C220" s="146"/>
      <c r="D220" s="146"/>
      <c r="E220" s="146"/>
      <c r="F220" s="146"/>
      <c r="G220" s="146"/>
      <c r="H220" s="146"/>
      <c r="I220" s="146"/>
      <c r="J220" s="146"/>
      <c r="K220" s="146"/>
      <c r="L220" s="146"/>
      <c r="M220" s="146"/>
      <c r="N220" s="146"/>
      <c r="O220" s="146"/>
      <c r="P220" s="146"/>
      <c r="Q220" s="146"/>
      <c r="R220" s="146"/>
      <c r="S220" s="146"/>
      <c r="T220" s="146"/>
      <c r="U220" s="146"/>
      <c r="V220" s="146"/>
      <c r="W220" s="146"/>
      <c r="X220" s="146"/>
      <c r="Y220" s="146"/>
      <c r="Z220" s="146"/>
      <c r="AA220" s="146"/>
      <c r="AB220" s="146"/>
      <c r="AC220" s="146"/>
      <c r="AD220" s="146"/>
      <c r="AE220" s="146"/>
      <c r="AF220" s="146"/>
      <c r="AG220" s="146"/>
    </row>
    <row r="221" spans="1:33" ht="12.75">
      <c r="A221" s="148"/>
      <c r="B221" s="146"/>
      <c r="C221" s="146"/>
      <c r="D221" s="146"/>
      <c r="E221" s="146"/>
      <c r="F221" s="146"/>
      <c r="G221" s="146"/>
      <c r="H221" s="146"/>
      <c r="I221" s="146"/>
      <c r="J221" s="146"/>
      <c r="K221" s="146"/>
      <c r="L221" s="146"/>
      <c r="M221" s="146"/>
      <c r="N221" s="146"/>
      <c r="O221" s="146"/>
      <c r="P221" s="146"/>
      <c r="Q221" s="146"/>
      <c r="R221" s="146"/>
      <c r="S221" s="146"/>
      <c r="T221" s="146"/>
      <c r="U221" s="146"/>
      <c r="V221" s="146"/>
      <c r="W221" s="146"/>
      <c r="X221" s="146"/>
      <c r="Y221" s="146"/>
      <c r="Z221" s="146"/>
      <c r="AA221" s="146"/>
      <c r="AB221" s="146"/>
      <c r="AC221" s="146"/>
      <c r="AD221" s="146"/>
      <c r="AE221" s="146"/>
      <c r="AF221" s="146"/>
      <c r="AG221" s="146"/>
    </row>
    <row r="222" spans="1:33" ht="12.75">
      <c r="A222" s="148"/>
      <c r="B222" s="146"/>
      <c r="C222" s="146"/>
      <c r="D222" s="146"/>
      <c r="E222" s="146"/>
      <c r="F222" s="146"/>
      <c r="G222" s="146"/>
      <c r="H222" s="146"/>
      <c r="I222" s="146"/>
      <c r="J222" s="146"/>
      <c r="K222" s="146"/>
      <c r="L222" s="146"/>
      <c r="M222" s="146"/>
      <c r="N222" s="146"/>
      <c r="O222" s="146"/>
      <c r="P222" s="146"/>
      <c r="Q222" s="146"/>
      <c r="R222" s="146"/>
      <c r="S222" s="146"/>
      <c r="T222" s="146"/>
      <c r="U222" s="146"/>
      <c r="V222" s="146"/>
      <c r="W222" s="146"/>
      <c r="X222" s="146"/>
      <c r="Y222" s="146"/>
      <c r="Z222" s="146"/>
      <c r="AA222" s="146"/>
      <c r="AB222" s="146"/>
      <c r="AC222" s="146"/>
      <c r="AD222" s="146"/>
      <c r="AE222" s="146"/>
      <c r="AF222" s="146"/>
      <c r="AG222" s="146"/>
    </row>
    <row r="223" spans="1:33" ht="12.75">
      <c r="A223" s="148"/>
      <c r="B223" s="146"/>
      <c r="C223" s="146"/>
      <c r="D223" s="146"/>
      <c r="E223" s="146"/>
      <c r="F223" s="146"/>
      <c r="G223" s="146"/>
      <c r="H223" s="146"/>
      <c r="I223" s="146"/>
      <c r="J223" s="146"/>
      <c r="K223" s="146"/>
      <c r="L223" s="146"/>
      <c r="M223" s="146"/>
      <c r="N223" s="146"/>
      <c r="O223" s="146"/>
      <c r="P223" s="146"/>
      <c r="Q223" s="146"/>
      <c r="R223" s="146"/>
      <c r="S223" s="146"/>
      <c r="T223" s="146"/>
      <c r="U223" s="146"/>
      <c r="V223" s="146"/>
      <c r="W223" s="146"/>
      <c r="X223" s="146"/>
      <c r="Y223" s="146"/>
      <c r="Z223" s="146"/>
      <c r="AA223" s="146"/>
      <c r="AB223" s="146"/>
      <c r="AC223" s="146"/>
      <c r="AD223" s="146"/>
      <c r="AE223" s="146"/>
      <c r="AF223" s="146"/>
      <c r="AG223" s="146"/>
    </row>
    <row r="224" spans="1:33" ht="12.75">
      <c r="A224" s="148"/>
      <c r="B224" s="146"/>
      <c r="C224" s="146"/>
      <c r="D224" s="146"/>
      <c r="E224" s="146"/>
      <c r="F224" s="146"/>
      <c r="G224" s="146"/>
      <c r="H224" s="146"/>
      <c r="I224" s="146"/>
      <c r="J224" s="146"/>
      <c r="K224" s="146"/>
      <c r="L224" s="146"/>
      <c r="M224" s="146"/>
      <c r="N224" s="146"/>
      <c r="O224" s="146"/>
      <c r="P224" s="146"/>
      <c r="Q224" s="146"/>
      <c r="R224" s="146"/>
      <c r="S224" s="146"/>
      <c r="T224" s="146"/>
      <c r="U224" s="146"/>
      <c r="V224" s="146"/>
      <c r="W224" s="146"/>
      <c r="X224" s="146"/>
      <c r="Y224" s="146"/>
      <c r="Z224" s="146"/>
      <c r="AA224" s="146"/>
      <c r="AB224" s="146"/>
      <c r="AC224" s="146"/>
      <c r="AD224" s="146"/>
      <c r="AE224" s="146"/>
      <c r="AF224" s="146"/>
      <c r="AG224" s="146"/>
    </row>
    <row r="225" spans="1:33" ht="12.75">
      <c r="A225" s="148"/>
      <c r="B225" s="146"/>
      <c r="C225" s="146"/>
      <c r="D225" s="146"/>
      <c r="E225" s="146"/>
      <c r="F225" s="146"/>
      <c r="G225" s="146"/>
      <c r="H225" s="146"/>
      <c r="I225" s="146"/>
      <c r="J225" s="146"/>
      <c r="K225" s="146"/>
      <c r="L225" s="146"/>
      <c r="M225" s="146"/>
      <c r="N225" s="146"/>
      <c r="O225" s="146"/>
      <c r="P225" s="146"/>
      <c r="Q225" s="146"/>
      <c r="R225" s="146"/>
      <c r="S225" s="146"/>
      <c r="T225" s="146"/>
      <c r="U225" s="146"/>
      <c r="V225" s="146"/>
      <c r="W225" s="146"/>
      <c r="X225" s="146"/>
      <c r="Y225" s="146"/>
      <c r="Z225" s="146"/>
      <c r="AA225" s="146"/>
      <c r="AB225" s="146"/>
      <c r="AC225" s="146"/>
      <c r="AD225" s="146"/>
      <c r="AE225" s="146"/>
      <c r="AF225" s="146"/>
      <c r="AG225" s="146"/>
    </row>
    <row r="226" spans="1:33" ht="12.75">
      <c r="A226" s="148"/>
      <c r="B226" s="146"/>
      <c r="C226" s="146"/>
      <c r="D226" s="146"/>
      <c r="E226" s="146"/>
      <c r="F226" s="146"/>
      <c r="G226" s="146"/>
      <c r="H226" s="146"/>
      <c r="I226" s="146"/>
      <c r="J226" s="146"/>
      <c r="K226" s="146"/>
      <c r="L226" s="146"/>
      <c r="M226" s="146"/>
      <c r="N226" s="146"/>
      <c r="O226" s="146"/>
      <c r="P226" s="146"/>
      <c r="Q226" s="146"/>
      <c r="R226" s="146"/>
      <c r="S226" s="146"/>
      <c r="T226" s="146"/>
      <c r="U226" s="146"/>
      <c r="V226" s="146"/>
      <c r="W226" s="146"/>
      <c r="X226" s="146"/>
      <c r="Y226" s="146"/>
      <c r="Z226" s="146"/>
      <c r="AA226" s="146"/>
      <c r="AB226" s="146"/>
      <c r="AC226" s="146"/>
      <c r="AD226" s="146"/>
      <c r="AE226" s="146"/>
      <c r="AF226" s="146"/>
      <c r="AG226" s="146"/>
    </row>
    <row r="227" spans="1:33" ht="12.75">
      <c r="A227" s="148"/>
      <c r="B227" s="146"/>
      <c r="C227" s="146"/>
      <c r="D227" s="146"/>
      <c r="E227" s="146"/>
      <c r="F227" s="146"/>
      <c r="G227" s="146"/>
      <c r="H227" s="146"/>
      <c r="I227" s="146"/>
      <c r="J227" s="146"/>
      <c r="K227" s="146"/>
      <c r="L227" s="146"/>
      <c r="M227" s="146"/>
      <c r="N227" s="146"/>
      <c r="O227" s="146"/>
      <c r="P227" s="146"/>
      <c r="Q227" s="146"/>
      <c r="R227" s="146"/>
      <c r="S227" s="146"/>
      <c r="T227" s="146"/>
      <c r="U227" s="146"/>
      <c r="V227" s="146"/>
      <c r="W227" s="146"/>
      <c r="X227" s="146"/>
      <c r="Y227" s="146"/>
      <c r="Z227" s="146"/>
      <c r="AA227" s="146"/>
      <c r="AB227" s="146"/>
      <c r="AC227" s="146"/>
      <c r="AD227" s="146"/>
      <c r="AE227" s="146"/>
      <c r="AF227" s="146"/>
      <c r="AG227" s="146"/>
    </row>
    <row r="228" spans="1:33" ht="12.75">
      <c r="A228" s="148"/>
      <c r="B228" s="146"/>
      <c r="C228" s="146"/>
      <c r="D228" s="146"/>
      <c r="E228" s="146"/>
      <c r="F228" s="146"/>
      <c r="G228" s="146"/>
      <c r="H228" s="146"/>
      <c r="I228" s="146"/>
      <c r="J228" s="146"/>
      <c r="K228" s="146"/>
      <c r="L228" s="146"/>
      <c r="M228" s="146"/>
      <c r="N228" s="146"/>
      <c r="O228" s="146"/>
      <c r="P228" s="146"/>
      <c r="Q228" s="146"/>
      <c r="R228" s="146"/>
      <c r="S228" s="146"/>
      <c r="T228" s="146"/>
      <c r="U228" s="146"/>
      <c r="V228" s="146"/>
      <c r="W228" s="146"/>
      <c r="X228" s="146"/>
      <c r="Y228" s="146"/>
      <c r="Z228" s="146"/>
      <c r="AA228" s="146"/>
      <c r="AB228" s="146"/>
      <c r="AC228" s="146"/>
      <c r="AD228" s="146"/>
      <c r="AE228" s="146"/>
      <c r="AF228" s="146"/>
      <c r="AG228" s="146"/>
    </row>
    <row r="229" spans="1:33" ht="12.75">
      <c r="A229" s="148"/>
      <c r="B229" s="146"/>
      <c r="C229" s="146"/>
      <c r="D229" s="146"/>
      <c r="E229" s="146"/>
      <c r="F229" s="146"/>
      <c r="G229" s="146"/>
      <c r="H229" s="146"/>
      <c r="I229" s="146"/>
      <c r="J229" s="146"/>
      <c r="K229" s="146"/>
      <c r="L229" s="146"/>
      <c r="M229" s="146"/>
      <c r="N229" s="146"/>
      <c r="O229" s="146"/>
      <c r="P229" s="146"/>
      <c r="Q229" s="146"/>
      <c r="R229" s="146"/>
      <c r="S229" s="146"/>
      <c r="T229" s="146"/>
      <c r="U229" s="146"/>
      <c r="V229" s="146"/>
      <c r="W229" s="146"/>
      <c r="X229" s="146"/>
      <c r="Y229" s="146"/>
      <c r="Z229" s="146"/>
      <c r="AA229" s="146"/>
      <c r="AB229" s="146"/>
      <c r="AC229" s="146"/>
      <c r="AD229" s="146"/>
      <c r="AE229" s="146"/>
      <c r="AF229" s="146"/>
      <c r="AG229" s="146"/>
    </row>
    <row r="230" spans="1:33" ht="12.75">
      <c r="A230" s="148"/>
      <c r="B230" s="146"/>
      <c r="C230" s="146"/>
      <c r="D230" s="146"/>
      <c r="E230" s="146"/>
      <c r="F230" s="146"/>
      <c r="G230" s="146"/>
      <c r="H230" s="146"/>
      <c r="I230" s="146"/>
      <c r="J230" s="146"/>
      <c r="K230" s="146"/>
      <c r="L230" s="146"/>
      <c r="M230" s="146"/>
      <c r="N230" s="146"/>
      <c r="O230" s="146"/>
      <c r="P230" s="146"/>
      <c r="Q230" s="146"/>
      <c r="R230" s="146"/>
      <c r="S230" s="146"/>
      <c r="T230" s="146"/>
      <c r="U230" s="146"/>
      <c r="V230" s="146"/>
      <c r="W230" s="146"/>
      <c r="X230" s="146"/>
      <c r="Y230" s="146"/>
      <c r="Z230" s="146"/>
      <c r="AA230" s="146"/>
      <c r="AB230" s="146"/>
      <c r="AC230" s="146"/>
      <c r="AD230" s="146"/>
      <c r="AE230" s="146"/>
      <c r="AF230" s="146"/>
      <c r="AG230" s="146"/>
    </row>
    <row r="231" spans="1:33" ht="12.75">
      <c r="A231" s="148"/>
      <c r="B231" s="146"/>
      <c r="C231" s="146"/>
      <c r="D231" s="146"/>
      <c r="E231" s="146"/>
      <c r="F231" s="146"/>
      <c r="G231" s="146"/>
      <c r="H231" s="146"/>
      <c r="I231" s="146"/>
      <c r="J231" s="146"/>
      <c r="K231" s="146"/>
      <c r="L231" s="146"/>
      <c r="M231" s="146"/>
      <c r="N231" s="146"/>
      <c r="O231" s="146"/>
      <c r="P231" s="146"/>
      <c r="Q231" s="146"/>
      <c r="R231" s="146"/>
      <c r="S231" s="146"/>
      <c r="T231" s="146"/>
      <c r="U231" s="146"/>
      <c r="V231" s="146"/>
      <c r="W231" s="146"/>
      <c r="X231" s="146"/>
      <c r="Y231" s="146"/>
      <c r="Z231" s="146"/>
      <c r="AA231" s="146"/>
      <c r="AB231" s="146"/>
      <c r="AC231" s="146"/>
      <c r="AD231" s="146"/>
      <c r="AE231" s="146"/>
      <c r="AF231" s="146"/>
      <c r="AG231" s="146"/>
    </row>
    <row r="232" spans="1:33" ht="12.75">
      <c r="A232" s="148"/>
      <c r="B232" s="146"/>
      <c r="C232" s="146"/>
      <c r="D232" s="146"/>
      <c r="E232" s="146"/>
      <c r="F232" s="146"/>
      <c r="G232" s="146"/>
      <c r="H232" s="146"/>
      <c r="I232" s="146"/>
      <c r="J232" s="146"/>
      <c r="K232" s="146"/>
      <c r="L232" s="146"/>
      <c r="M232" s="146"/>
      <c r="N232" s="146"/>
      <c r="O232" s="146"/>
      <c r="P232" s="146"/>
      <c r="Q232" s="146"/>
      <c r="R232" s="146"/>
      <c r="S232" s="146"/>
      <c r="T232" s="146"/>
      <c r="U232" s="146"/>
      <c r="V232" s="146"/>
      <c r="W232" s="146"/>
      <c r="X232" s="146"/>
      <c r="Y232" s="146"/>
      <c r="Z232" s="146"/>
      <c r="AA232" s="146"/>
      <c r="AB232" s="146"/>
      <c r="AC232" s="146"/>
      <c r="AD232" s="146"/>
      <c r="AE232" s="146"/>
      <c r="AF232" s="146"/>
      <c r="AG232" s="146"/>
    </row>
    <row r="233" spans="1:33" ht="12.75">
      <c r="A233" s="148"/>
      <c r="B233" s="146"/>
      <c r="C233" s="146"/>
      <c r="D233" s="146"/>
      <c r="E233" s="146"/>
      <c r="F233" s="146"/>
      <c r="G233" s="146"/>
      <c r="H233" s="146"/>
      <c r="I233" s="146"/>
      <c r="J233" s="146"/>
      <c r="K233" s="146"/>
      <c r="L233" s="146"/>
      <c r="M233" s="146"/>
      <c r="N233" s="146"/>
      <c r="O233" s="146"/>
      <c r="P233" s="146"/>
      <c r="Q233" s="146"/>
      <c r="R233" s="146"/>
      <c r="S233" s="146"/>
      <c r="T233" s="146"/>
      <c r="U233" s="146"/>
      <c r="V233" s="146"/>
      <c r="W233" s="146"/>
      <c r="X233" s="146"/>
      <c r="Y233" s="146"/>
      <c r="Z233" s="146"/>
      <c r="AA233" s="146"/>
      <c r="AB233" s="146"/>
      <c r="AC233" s="146"/>
      <c r="AD233" s="146"/>
      <c r="AE233" s="146"/>
      <c r="AF233" s="146"/>
      <c r="AG233" s="146"/>
    </row>
    <row r="234" spans="1:33" ht="12.75">
      <c r="A234" s="148"/>
      <c r="B234" s="146"/>
      <c r="C234" s="146"/>
      <c r="D234" s="146"/>
      <c r="E234" s="146"/>
      <c r="F234" s="146"/>
      <c r="G234" s="146"/>
      <c r="H234" s="146"/>
      <c r="I234" s="146"/>
      <c r="J234" s="146"/>
      <c r="K234" s="146"/>
      <c r="L234" s="146"/>
      <c r="M234" s="146"/>
      <c r="N234" s="146"/>
      <c r="O234" s="146"/>
      <c r="P234" s="146"/>
      <c r="Q234" s="146"/>
      <c r="R234" s="146"/>
      <c r="S234" s="146"/>
      <c r="T234" s="146"/>
      <c r="U234" s="146"/>
      <c r="V234" s="146"/>
      <c r="W234" s="146"/>
      <c r="X234" s="146"/>
      <c r="Y234" s="146"/>
      <c r="Z234" s="146"/>
      <c r="AA234" s="146"/>
      <c r="AB234" s="146"/>
      <c r="AC234" s="146"/>
      <c r="AD234" s="146"/>
      <c r="AE234" s="146"/>
      <c r="AF234" s="146"/>
      <c r="AG234" s="146"/>
    </row>
    <row r="235" spans="1:33" ht="12.75">
      <c r="A235" s="148"/>
      <c r="B235" s="146"/>
      <c r="C235" s="146"/>
      <c r="D235" s="146"/>
      <c r="E235" s="146"/>
      <c r="F235" s="146"/>
      <c r="G235" s="146"/>
      <c r="H235" s="146"/>
      <c r="I235" s="146"/>
      <c r="J235" s="146"/>
      <c r="K235" s="146"/>
      <c r="L235" s="146"/>
      <c r="M235" s="146"/>
      <c r="N235" s="146"/>
      <c r="O235" s="146"/>
      <c r="P235" s="146"/>
      <c r="Q235" s="146"/>
      <c r="R235" s="146"/>
      <c r="S235" s="146"/>
      <c r="T235" s="146"/>
      <c r="U235" s="146"/>
      <c r="V235" s="146"/>
      <c r="W235" s="146"/>
      <c r="X235" s="146"/>
      <c r="Y235" s="146"/>
      <c r="Z235" s="146"/>
      <c r="AA235" s="146"/>
      <c r="AB235" s="146"/>
      <c r="AC235" s="146"/>
      <c r="AD235" s="146"/>
      <c r="AE235" s="146"/>
      <c r="AF235" s="146"/>
      <c r="AG235" s="146"/>
    </row>
    <row r="236" spans="1:33" ht="12.75">
      <c r="A236" s="148"/>
      <c r="B236" s="146"/>
      <c r="C236" s="146"/>
      <c r="D236" s="146"/>
      <c r="E236" s="146"/>
      <c r="F236" s="146"/>
      <c r="G236" s="146"/>
      <c r="H236" s="146"/>
      <c r="I236" s="146"/>
      <c r="J236" s="146"/>
      <c r="K236" s="146"/>
      <c r="L236" s="146"/>
      <c r="M236" s="146"/>
      <c r="N236" s="146"/>
      <c r="O236" s="146"/>
      <c r="P236" s="146"/>
      <c r="Q236" s="146"/>
      <c r="R236" s="146"/>
      <c r="S236" s="146"/>
      <c r="T236" s="146"/>
      <c r="U236" s="146"/>
      <c r="V236" s="146"/>
      <c r="W236" s="146"/>
      <c r="X236" s="146"/>
      <c r="Y236" s="146"/>
      <c r="Z236" s="146"/>
      <c r="AA236" s="146"/>
      <c r="AB236" s="146"/>
      <c r="AC236" s="146"/>
      <c r="AD236" s="146"/>
      <c r="AE236" s="146"/>
      <c r="AF236" s="146"/>
      <c r="AG236" s="146"/>
    </row>
    <row r="237" spans="1:33" ht="12.75">
      <c r="A237" s="148"/>
      <c r="B237" s="146"/>
      <c r="C237" s="146"/>
      <c r="D237" s="146"/>
      <c r="E237" s="146"/>
      <c r="F237" s="146"/>
      <c r="G237" s="146"/>
      <c r="H237" s="146"/>
      <c r="I237" s="146"/>
      <c r="J237" s="146"/>
      <c r="K237" s="146"/>
      <c r="L237" s="146"/>
      <c r="M237" s="146"/>
      <c r="N237" s="146"/>
      <c r="O237" s="146"/>
      <c r="P237" s="146"/>
      <c r="Q237" s="146"/>
      <c r="R237" s="146"/>
      <c r="S237" s="146"/>
      <c r="T237" s="146"/>
      <c r="U237" s="146"/>
      <c r="V237" s="146"/>
      <c r="W237" s="146"/>
      <c r="X237" s="146"/>
      <c r="Y237" s="146"/>
      <c r="Z237" s="146"/>
      <c r="AA237" s="146"/>
      <c r="AB237" s="146"/>
      <c r="AC237" s="146"/>
      <c r="AD237" s="146"/>
      <c r="AE237" s="146"/>
      <c r="AF237" s="146"/>
      <c r="AG237" s="146"/>
    </row>
    <row r="238" spans="1:33" ht="12.75">
      <c r="A238" s="148"/>
      <c r="B238" s="146"/>
      <c r="C238" s="146"/>
      <c r="D238" s="146"/>
      <c r="E238" s="146"/>
      <c r="F238" s="146"/>
      <c r="G238" s="146"/>
      <c r="H238" s="146"/>
      <c r="I238" s="146"/>
      <c r="J238" s="146"/>
      <c r="K238" s="146"/>
      <c r="L238" s="146"/>
      <c r="M238" s="146"/>
      <c r="N238" s="146"/>
      <c r="O238" s="146"/>
      <c r="P238" s="146"/>
      <c r="Q238" s="146"/>
      <c r="R238" s="146"/>
      <c r="S238" s="146"/>
      <c r="T238" s="146"/>
      <c r="U238" s="146"/>
      <c r="V238" s="146"/>
      <c r="W238" s="146"/>
      <c r="X238" s="146"/>
      <c r="Y238" s="146"/>
      <c r="Z238" s="146"/>
      <c r="AA238" s="146"/>
      <c r="AB238" s="146"/>
      <c r="AC238" s="146"/>
      <c r="AD238" s="146"/>
      <c r="AE238" s="146"/>
      <c r="AF238" s="146"/>
      <c r="AG238" s="146"/>
    </row>
    <row r="239" spans="1:33" ht="12.75">
      <c r="A239" s="148"/>
      <c r="B239" s="146"/>
      <c r="C239" s="146"/>
      <c r="D239" s="146"/>
      <c r="E239" s="146"/>
      <c r="F239" s="146"/>
      <c r="G239" s="146"/>
      <c r="H239" s="146"/>
      <c r="I239" s="146"/>
      <c r="J239" s="146"/>
      <c r="K239" s="146"/>
      <c r="L239" s="146"/>
      <c r="M239" s="146"/>
      <c r="N239" s="146"/>
      <c r="O239" s="146"/>
      <c r="P239" s="146"/>
      <c r="Q239" s="146"/>
      <c r="R239" s="146"/>
      <c r="S239" s="146"/>
      <c r="T239" s="146"/>
      <c r="U239" s="146"/>
      <c r="V239" s="146"/>
      <c r="W239" s="146"/>
      <c r="X239" s="146"/>
      <c r="Y239" s="146"/>
      <c r="Z239" s="146"/>
      <c r="AA239" s="146"/>
      <c r="AB239" s="146"/>
      <c r="AC239" s="146"/>
      <c r="AD239" s="146"/>
      <c r="AE239" s="146"/>
      <c r="AF239" s="146"/>
      <c r="AG239" s="146"/>
    </row>
    <row r="240" spans="1:33" ht="12.75">
      <c r="A240" s="148"/>
      <c r="B240" s="146"/>
      <c r="C240" s="146"/>
      <c r="D240" s="146"/>
      <c r="E240" s="146"/>
      <c r="F240" s="146"/>
      <c r="G240" s="146"/>
      <c r="H240" s="146"/>
      <c r="I240" s="146"/>
      <c r="J240" s="146"/>
      <c r="K240" s="146"/>
      <c r="L240" s="146"/>
      <c r="M240" s="146"/>
      <c r="N240" s="146"/>
      <c r="O240" s="146"/>
      <c r="P240" s="146"/>
      <c r="Q240" s="146"/>
      <c r="R240" s="146"/>
      <c r="S240" s="146"/>
      <c r="T240" s="146"/>
      <c r="U240" s="146"/>
      <c r="V240" s="146"/>
      <c r="W240" s="146"/>
      <c r="X240" s="146"/>
      <c r="Y240" s="146"/>
      <c r="Z240" s="146"/>
      <c r="AA240" s="146"/>
      <c r="AB240" s="146"/>
      <c r="AC240" s="146"/>
      <c r="AD240" s="146"/>
      <c r="AE240" s="146"/>
      <c r="AF240" s="146"/>
      <c r="AG240" s="146"/>
    </row>
    <row r="241" spans="1:33" ht="12.75">
      <c r="A241" s="148"/>
      <c r="B241" s="146"/>
      <c r="C241" s="146"/>
      <c r="D241" s="146"/>
      <c r="E241" s="146"/>
      <c r="F241" s="146"/>
      <c r="G241" s="146"/>
      <c r="H241" s="146"/>
      <c r="I241" s="146"/>
      <c r="J241" s="146"/>
      <c r="K241" s="146"/>
      <c r="L241" s="146"/>
      <c r="M241" s="146"/>
      <c r="N241" s="146"/>
      <c r="O241" s="146"/>
      <c r="P241" s="146"/>
      <c r="Q241" s="146"/>
      <c r="R241" s="146"/>
      <c r="S241" s="146"/>
      <c r="T241" s="146"/>
      <c r="U241" s="146"/>
      <c r="V241" s="146"/>
      <c r="W241" s="146"/>
      <c r="X241" s="146"/>
      <c r="Y241" s="146"/>
      <c r="Z241" s="146"/>
      <c r="AA241" s="146"/>
      <c r="AB241" s="146"/>
      <c r="AC241" s="146"/>
      <c r="AD241" s="146"/>
      <c r="AE241" s="146"/>
      <c r="AF241" s="146"/>
      <c r="AG241" s="146"/>
    </row>
    <row r="242" spans="1:33" ht="12.75">
      <c r="A242" s="148"/>
      <c r="B242" s="146"/>
      <c r="C242" s="146"/>
      <c r="D242" s="146"/>
      <c r="E242" s="146"/>
      <c r="F242" s="146"/>
      <c r="G242" s="146"/>
      <c r="H242" s="146"/>
      <c r="I242" s="146"/>
      <c r="J242" s="146"/>
      <c r="K242" s="146"/>
      <c r="L242" s="146"/>
      <c r="M242" s="146"/>
      <c r="N242" s="146"/>
      <c r="O242" s="146"/>
      <c r="P242" s="146"/>
      <c r="Q242" s="146"/>
      <c r="R242" s="146"/>
      <c r="S242" s="146"/>
      <c r="T242" s="146"/>
      <c r="U242" s="146"/>
      <c r="V242" s="146"/>
      <c r="W242" s="146"/>
      <c r="X242" s="146"/>
      <c r="Y242" s="146"/>
      <c r="Z242" s="146"/>
      <c r="AA242" s="146"/>
      <c r="AB242" s="146"/>
      <c r="AC242" s="146"/>
      <c r="AD242" s="146"/>
      <c r="AE242" s="146"/>
      <c r="AF242" s="146"/>
      <c r="AG242" s="146"/>
    </row>
    <row r="243" spans="1:33" ht="12.75">
      <c r="A243" s="148"/>
      <c r="B243" s="146"/>
      <c r="C243" s="146"/>
      <c r="D243" s="146"/>
      <c r="E243" s="146"/>
      <c r="F243" s="146"/>
      <c r="G243" s="146"/>
      <c r="H243" s="146"/>
      <c r="I243" s="146"/>
      <c r="J243" s="146"/>
      <c r="K243" s="146"/>
      <c r="L243" s="146"/>
      <c r="M243" s="146"/>
      <c r="N243" s="146"/>
      <c r="O243" s="146"/>
      <c r="P243" s="146"/>
      <c r="Q243" s="146"/>
      <c r="R243" s="146"/>
      <c r="S243" s="146"/>
      <c r="T243" s="146"/>
      <c r="U243" s="146"/>
      <c r="V243" s="146"/>
      <c r="W243" s="146"/>
      <c r="X243" s="146"/>
      <c r="Y243" s="146"/>
      <c r="Z243" s="146"/>
      <c r="AA243" s="146"/>
      <c r="AB243" s="146"/>
      <c r="AC243" s="146"/>
      <c r="AD243" s="146"/>
      <c r="AE243" s="146"/>
      <c r="AF243" s="146"/>
      <c r="AG243" s="146"/>
    </row>
    <row r="244" spans="1:33" ht="12.75">
      <c r="A244" s="148"/>
      <c r="B244" s="146"/>
      <c r="C244" s="146"/>
      <c r="D244" s="146"/>
      <c r="E244" s="146"/>
      <c r="F244" s="146"/>
      <c r="G244" s="146"/>
      <c r="H244" s="146"/>
      <c r="I244" s="146"/>
      <c r="J244" s="146"/>
      <c r="K244" s="146"/>
      <c r="L244" s="146"/>
      <c r="M244" s="146"/>
      <c r="N244" s="146"/>
      <c r="O244" s="146"/>
      <c r="P244" s="146"/>
      <c r="Q244" s="146"/>
      <c r="R244" s="146"/>
      <c r="S244" s="146"/>
      <c r="T244" s="146"/>
      <c r="U244" s="146"/>
      <c r="V244" s="146"/>
      <c r="W244" s="146"/>
      <c r="X244" s="146"/>
      <c r="Y244" s="146"/>
      <c r="Z244" s="146"/>
      <c r="AA244" s="146"/>
      <c r="AB244" s="146"/>
      <c r="AC244" s="146"/>
      <c r="AD244" s="146"/>
      <c r="AE244" s="146"/>
      <c r="AF244" s="146"/>
      <c r="AG244" s="146"/>
    </row>
    <row r="245" spans="1:33" ht="12.75">
      <c r="A245" s="148"/>
      <c r="B245" s="146"/>
      <c r="C245" s="146"/>
      <c r="D245" s="146"/>
      <c r="E245" s="146"/>
      <c r="F245" s="146"/>
      <c r="G245" s="146"/>
      <c r="H245" s="146"/>
      <c r="I245" s="146"/>
      <c r="J245" s="146"/>
      <c r="K245" s="146"/>
      <c r="L245" s="146"/>
      <c r="M245" s="146"/>
      <c r="N245" s="146"/>
      <c r="O245" s="146"/>
      <c r="P245" s="146"/>
      <c r="Q245" s="146"/>
      <c r="R245" s="146"/>
      <c r="S245" s="146"/>
      <c r="T245" s="146"/>
      <c r="U245" s="146"/>
      <c r="V245" s="146"/>
      <c r="W245" s="146"/>
      <c r="X245" s="146"/>
      <c r="Y245" s="146"/>
      <c r="Z245" s="146"/>
      <c r="AA245" s="146"/>
      <c r="AB245" s="146"/>
      <c r="AC245" s="146"/>
      <c r="AD245" s="146"/>
      <c r="AE245" s="146"/>
      <c r="AF245" s="146"/>
      <c r="AG245" s="146"/>
    </row>
    <row r="246" spans="1:33" ht="12.75">
      <c r="A246" s="148"/>
      <c r="B246" s="146"/>
      <c r="C246" s="146"/>
      <c r="D246" s="146"/>
      <c r="E246" s="146"/>
      <c r="F246" s="146"/>
      <c r="G246" s="146"/>
      <c r="H246" s="146"/>
      <c r="I246" s="146"/>
      <c r="J246" s="146"/>
      <c r="K246" s="146"/>
      <c r="L246" s="146"/>
      <c r="M246" s="146"/>
      <c r="N246" s="146"/>
      <c r="O246" s="146"/>
      <c r="P246" s="146"/>
      <c r="Q246" s="146"/>
      <c r="R246" s="146"/>
      <c r="S246" s="146"/>
      <c r="T246" s="146"/>
      <c r="U246" s="146"/>
      <c r="V246" s="146"/>
      <c r="W246" s="146"/>
      <c r="X246" s="146"/>
      <c r="Y246" s="146"/>
      <c r="Z246" s="146"/>
      <c r="AA246" s="146"/>
      <c r="AB246" s="146"/>
      <c r="AC246" s="146"/>
      <c r="AD246" s="146"/>
      <c r="AE246" s="146"/>
      <c r="AF246" s="146"/>
      <c r="AG246" s="146"/>
    </row>
    <row r="247" spans="1:33" ht="12.75">
      <c r="A247" s="148"/>
      <c r="B247" s="146"/>
      <c r="C247" s="146"/>
      <c r="D247" s="146"/>
      <c r="E247" s="146"/>
      <c r="F247" s="146"/>
      <c r="G247" s="146"/>
      <c r="H247" s="146"/>
      <c r="I247" s="146"/>
      <c r="J247" s="146"/>
      <c r="K247" s="146"/>
      <c r="L247" s="146"/>
      <c r="M247" s="146"/>
      <c r="N247" s="146"/>
      <c r="O247" s="146"/>
      <c r="P247" s="146"/>
      <c r="Q247" s="146"/>
      <c r="R247" s="146"/>
      <c r="S247" s="146"/>
      <c r="T247" s="146"/>
      <c r="U247" s="146"/>
      <c r="V247" s="146"/>
      <c r="W247" s="146"/>
      <c r="X247" s="146"/>
      <c r="Y247" s="146"/>
      <c r="Z247" s="146"/>
      <c r="AA247" s="146"/>
      <c r="AB247" s="146"/>
      <c r="AC247" s="146"/>
      <c r="AD247" s="146"/>
      <c r="AE247" s="146"/>
      <c r="AF247" s="146"/>
      <c r="AG247" s="146"/>
    </row>
    <row r="248" spans="1:33" ht="12.75">
      <c r="A248" s="148"/>
      <c r="B248" s="146"/>
      <c r="C248" s="146"/>
      <c r="D248" s="146"/>
      <c r="E248" s="146"/>
      <c r="F248" s="146"/>
      <c r="G248" s="146"/>
      <c r="H248" s="146"/>
      <c r="I248" s="146"/>
      <c r="J248" s="146"/>
      <c r="K248" s="146"/>
      <c r="L248" s="146"/>
      <c r="M248" s="146"/>
      <c r="N248" s="146"/>
      <c r="O248" s="146"/>
      <c r="P248" s="146"/>
      <c r="Q248" s="146"/>
      <c r="R248" s="146"/>
      <c r="S248" s="146"/>
      <c r="T248" s="146"/>
      <c r="U248" s="146"/>
      <c r="V248" s="146"/>
      <c r="W248" s="146"/>
      <c r="X248" s="146"/>
      <c r="Y248" s="146"/>
      <c r="Z248" s="146"/>
      <c r="AA248" s="146"/>
      <c r="AB248" s="146"/>
      <c r="AC248" s="146"/>
      <c r="AD248" s="146"/>
      <c r="AE248" s="146"/>
      <c r="AF248" s="146"/>
      <c r="AG248" s="146"/>
    </row>
    <row r="249" spans="1:33" ht="12.75">
      <c r="A249" s="148"/>
      <c r="B249" s="146"/>
      <c r="C249" s="146"/>
      <c r="D249" s="146"/>
      <c r="E249" s="146"/>
      <c r="F249" s="146"/>
      <c r="G249" s="146"/>
      <c r="H249" s="146"/>
      <c r="I249" s="146"/>
      <c r="J249" s="146"/>
      <c r="K249" s="146"/>
      <c r="L249" s="146"/>
      <c r="M249" s="146"/>
      <c r="N249" s="146"/>
      <c r="O249" s="146"/>
      <c r="P249" s="146"/>
      <c r="Q249" s="146"/>
      <c r="R249" s="146"/>
      <c r="S249" s="146"/>
      <c r="T249" s="146"/>
      <c r="U249" s="146"/>
      <c r="V249" s="146"/>
      <c r="W249" s="146"/>
      <c r="X249" s="146"/>
      <c r="Y249" s="146"/>
      <c r="Z249" s="146"/>
      <c r="AA249" s="146"/>
      <c r="AB249" s="146"/>
      <c r="AC249" s="146"/>
      <c r="AD249" s="146"/>
      <c r="AE249" s="146"/>
      <c r="AF249" s="146"/>
      <c r="AG249" s="146"/>
    </row>
    <row r="250" spans="1:33" ht="12.75">
      <c r="A250" s="148"/>
      <c r="B250" s="146"/>
      <c r="C250" s="146"/>
      <c r="D250" s="146"/>
      <c r="E250" s="146"/>
      <c r="F250" s="146"/>
      <c r="G250" s="146"/>
      <c r="H250" s="146"/>
      <c r="I250" s="146"/>
      <c r="J250" s="146"/>
      <c r="K250" s="146"/>
      <c r="L250" s="146"/>
      <c r="M250" s="146"/>
      <c r="N250" s="146"/>
      <c r="O250" s="146"/>
      <c r="P250" s="146"/>
      <c r="Q250" s="146"/>
      <c r="R250" s="146"/>
      <c r="S250" s="146"/>
      <c r="T250" s="146"/>
      <c r="U250" s="146"/>
      <c r="V250" s="146"/>
      <c r="W250" s="146"/>
      <c r="X250" s="146"/>
      <c r="Y250" s="146"/>
      <c r="Z250" s="146"/>
      <c r="AA250" s="146"/>
      <c r="AB250" s="146"/>
      <c r="AC250" s="146"/>
      <c r="AD250" s="146"/>
      <c r="AE250" s="146"/>
      <c r="AF250" s="146"/>
      <c r="AG250" s="146"/>
    </row>
    <row r="251" spans="1:33" ht="12.75">
      <c r="A251" s="148"/>
      <c r="B251" s="146"/>
      <c r="C251" s="146"/>
      <c r="D251" s="146"/>
      <c r="E251" s="146"/>
      <c r="F251" s="146"/>
      <c r="G251" s="146"/>
      <c r="H251" s="146"/>
      <c r="I251" s="146"/>
      <c r="J251" s="146"/>
      <c r="K251" s="146"/>
      <c r="L251" s="146"/>
      <c r="M251" s="146"/>
      <c r="N251" s="146"/>
      <c r="O251" s="146"/>
      <c r="P251" s="146"/>
      <c r="Q251" s="146"/>
      <c r="R251" s="146"/>
      <c r="S251" s="146"/>
      <c r="T251" s="146"/>
      <c r="U251" s="146"/>
      <c r="V251" s="146"/>
      <c r="W251" s="146"/>
      <c r="X251" s="146"/>
      <c r="Y251" s="146"/>
      <c r="Z251" s="146"/>
      <c r="AA251" s="146"/>
      <c r="AB251" s="146"/>
      <c r="AC251" s="146"/>
      <c r="AD251" s="146"/>
      <c r="AE251" s="146"/>
      <c r="AF251" s="146"/>
      <c r="AG251" s="146"/>
    </row>
    <row r="252" spans="1:33" ht="12.75">
      <c r="A252" s="148"/>
      <c r="B252" s="146"/>
      <c r="C252" s="146"/>
      <c r="D252" s="146"/>
      <c r="E252" s="146"/>
      <c r="F252" s="146"/>
      <c r="G252" s="146"/>
      <c r="H252" s="146"/>
      <c r="I252" s="146"/>
      <c r="J252" s="146"/>
      <c r="K252" s="146"/>
      <c r="L252" s="146"/>
      <c r="M252" s="146"/>
      <c r="N252" s="146"/>
      <c r="O252" s="146"/>
      <c r="P252" s="146"/>
      <c r="Q252" s="146"/>
      <c r="R252" s="146"/>
      <c r="S252" s="146"/>
      <c r="T252" s="146"/>
      <c r="U252" s="146"/>
      <c r="V252" s="146"/>
      <c r="W252" s="146"/>
      <c r="X252" s="146"/>
      <c r="Y252" s="146"/>
      <c r="Z252" s="146"/>
      <c r="AA252" s="146"/>
      <c r="AB252" s="146"/>
      <c r="AC252" s="146"/>
      <c r="AD252" s="146"/>
      <c r="AE252" s="146"/>
      <c r="AF252" s="146"/>
      <c r="AG252" s="146"/>
    </row>
    <row r="253" spans="1:33" ht="12.75">
      <c r="A253" s="148"/>
      <c r="B253" s="146"/>
      <c r="C253" s="146"/>
      <c r="D253" s="146"/>
      <c r="E253" s="146"/>
      <c r="F253" s="146"/>
      <c r="G253" s="146"/>
      <c r="H253" s="146"/>
      <c r="I253" s="146"/>
      <c r="J253" s="146"/>
      <c r="K253" s="146"/>
      <c r="L253" s="146"/>
      <c r="M253" s="146"/>
      <c r="N253" s="146"/>
      <c r="O253" s="146"/>
      <c r="P253" s="146"/>
      <c r="Q253" s="146"/>
      <c r="R253" s="146"/>
      <c r="S253" s="146"/>
      <c r="T253" s="146"/>
      <c r="U253" s="146"/>
      <c r="V253" s="146"/>
      <c r="W253" s="146"/>
      <c r="X253" s="146"/>
      <c r="Y253" s="146"/>
      <c r="Z253" s="146"/>
      <c r="AA253" s="146"/>
      <c r="AB253" s="146"/>
      <c r="AC253" s="146"/>
      <c r="AD253" s="146"/>
      <c r="AE253" s="146"/>
      <c r="AF253" s="146"/>
      <c r="AG253" s="146"/>
    </row>
    <row r="254" spans="1:33" ht="12.75">
      <c r="A254" s="148"/>
      <c r="B254" s="146"/>
      <c r="C254" s="146"/>
      <c r="D254" s="146"/>
      <c r="E254" s="146"/>
      <c r="F254" s="146"/>
      <c r="G254" s="146"/>
      <c r="H254" s="146"/>
      <c r="I254" s="146"/>
      <c r="J254" s="146"/>
      <c r="K254" s="146"/>
      <c r="L254" s="146"/>
      <c r="M254" s="146"/>
      <c r="N254" s="146"/>
      <c r="O254" s="146"/>
      <c r="P254" s="146"/>
      <c r="Q254" s="146"/>
      <c r="R254" s="146"/>
      <c r="S254" s="146"/>
      <c r="T254" s="146"/>
      <c r="U254" s="146"/>
      <c r="V254" s="146"/>
      <c r="W254" s="146"/>
      <c r="X254" s="146"/>
      <c r="Y254" s="146"/>
      <c r="Z254" s="146"/>
      <c r="AA254" s="146"/>
      <c r="AB254" s="146"/>
      <c r="AC254" s="146"/>
      <c r="AD254" s="146"/>
      <c r="AE254" s="146"/>
      <c r="AF254" s="146"/>
      <c r="AG254" s="146"/>
    </row>
    <row r="255" spans="1:33" ht="12.75">
      <c r="A255" s="148"/>
      <c r="B255" s="146"/>
      <c r="C255" s="146"/>
      <c r="D255" s="146"/>
      <c r="E255" s="146"/>
      <c r="F255" s="146"/>
      <c r="G255" s="146"/>
      <c r="H255" s="146"/>
      <c r="I255" s="146"/>
      <c r="J255" s="146"/>
      <c r="K255" s="146"/>
      <c r="L255" s="146"/>
      <c r="M255" s="146"/>
      <c r="N255" s="146"/>
      <c r="O255" s="146"/>
      <c r="P255" s="146"/>
      <c r="Q255" s="146"/>
      <c r="R255" s="146"/>
      <c r="S255" s="146"/>
      <c r="T255" s="146"/>
      <c r="U255" s="146"/>
      <c r="V255" s="146"/>
      <c r="W255" s="146"/>
      <c r="X255" s="146"/>
      <c r="Y255" s="146"/>
      <c r="Z255" s="146"/>
      <c r="AA255" s="146"/>
      <c r="AB255" s="146"/>
      <c r="AC255" s="146"/>
      <c r="AD255" s="146"/>
      <c r="AE255" s="146"/>
      <c r="AF255" s="146"/>
      <c r="AG255" s="146"/>
    </row>
    <row r="256" spans="1:33" ht="12.75">
      <c r="A256" s="148"/>
      <c r="B256" s="146"/>
      <c r="C256" s="146"/>
      <c r="D256" s="146"/>
      <c r="E256" s="146"/>
      <c r="F256" s="146"/>
      <c r="G256" s="146"/>
      <c r="H256" s="146"/>
      <c r="I256" s="146"/>
      <c r="J256" s="146"/>
      <c r="K256" s="146"/>
      <c r="L256" s="146"/>
      <c r="M256" s="146"/>
      <c r="N256" s="146"/>
      <c r="O256" s="146"/>
      <c r="P256" s="146"/>
      <c r="Q256" s="146"/>
      <c r="R256" s="146"/>
      <c r="S256" s="146"/>
      <c r="T256" s="146"/>
      <c r="U256" s="146"/>
      <c r="V256" s="146"/>
      <c r="W256" s="146"/>
      <c r="X256" s="146"/>
      <c r="Y256" s="146"/>
      <c r="Z256" s="146"/>
      <c r="AA256" s="146"/>
      <c r="AB256" s="146"/>
      <c r="AC256" s="146"/>
      <c r="AD256" s="146"/>
      <c r="AE256" s="146"/>
      <c r="AF256" s="146"/>
      <c r="AG256" s="146"/>
    </row>
    <row r="257" spans="1:33" ht="12.75">
      <c r="A257" s="148"/>
      <c r="B257" s="146"/>
      <c r="C257" s="146"/>
      <c r="D257" s="146"/>
      <c r="E257" s="146"/>
      <c r="F257" s="146"/>
      <c r="G257" s="146"/>
      <c r="H257" s="146"/>
      <c r="I257" s="146"/>
      <c r="J257" s="146"/>
      <c r="K257" s="146"/>
      <c r="L257" s="146"/>
      <c r="M257" s="146"/>
      <c r="N257" s="146"/>
      <c r="O257" s="146"/>
      <c r="P257" s="146"/>
      <c r="Q257" s="146"/>
      <c r="R257" s="146"/>
      <c r="S257" s="146"/>
      <c r="T257" s="146"/>
      <c r="U257" s="146"/>
      <c r="V257" s="146"/>
      <c r="W257" s="146"/>
      <c r="X257" s="146"/>
      <c r="Y257" s="146"/>
      <c r="Z257" s="146"/>
      <c r="AA257" s="146"/>
      <c r="AB257" s="146"/>
      <c r="AC257" s="146"/>
      <c r="AD257" s="146"/>
      <c r="AE257" s="146"/>
      <c r="AF257" s="146"/>
      <c r="AG257" s="146"/>
    </row>
    <row r="258" spans="1:33" ht="12.75">
      <c r="A258" s="148"/>
      <c r="B258" s="146"/>
      <c r="C258" s="146"/>
      <c r="D258" s="146"/>
      <c r="E258" s="146"/>
      <c r="F258" s="146"/>
      <c r="G258" s="146"/>
      <c r="H258" s="146"/>
      <c r="I258" s="146"/>
      <c r="J258" s="146"/>
      <c r="K258" s="146"/>
      <c r="L258" s="146"/>
      <c r="M258" s="146"/>
      <c r="N258" s="146"/>
      <c r="O258" s="146"/>
      <c r="P258" s="146"/>
      <c r="Q258" s="146"/>
      <c r="R258" s="146"/>
      <c r="S258" s="146"/>
      <c r="T258" s="146"/>
      <c r="U258" s="146"/>
      <c r="V258" s="146"/>
      <c r="W258" s="146"/>
      <c r="X258" s="146"/>
      <c r="Y258" s="146"/>
      <c r="Z258" s="146"/>
      <c r="AA258" s="146"/>
      <c r="AB258" s="146"/>
      <c r="AC258" s="146"/>
      <c r="AD258" s="146"/>
      <c r="AE258" s="146"/>
      <c r="AF258" s="146"/>
      <c r="AG258" s="146"/>
    </row>
    <row r="259" spans="1:33" ht="12.75">
      <c r="A259" s="148"/>
      <c r="B259" s="146"/>
      <c r="C259" s="146"/>
      <c r="D259" s="146"/>
      <c r="E259" s="146"/>
      <c r="F259" s="146"/>
      <c r="G259" s="146"/>
      <c r="H259" s="146"/>
      <c r="I259" s="146"/>
      <c r="J259" s="146"/>
      <c r="K259" s="146"/>
      <c r="L259" s="146"/>
      <c r="M259" s="146"/>
      <c r="N259" s="146"/>
      <c r="O259" s="146"/>
      <c r="P259" s="146"/>
      <c r="Q259" s="146"/>
      <c r="R259" s="146"/>
      <c r="S259" s="146"/>
      <c r="T259" s="146"/>
      <c r="U259" s="146"/>
      <c r="V259" s="146"/>
      <c r="W259" s="146"/>
      <c r="X259" s="146"/>
      <c r="Y259" s="146"/>
      <c r="Z259" s="146"/>
      <c r="AA259" s="146"/>
      <c r="AB259" s="146"/>
      <c r="AC259" s="146"/>
      <c r="AD259" s="146"/>
      <c r="AE259" s="146"/>
      <c r="AF259" s="146"/>
      <c r="AG259" s="146"/>
    </row>
    <row r="260" spans="1:33" ht="12.75">
      <c r="A260" s="148"/>
      <c r="B260" s="146"/>
      <c r="C260" s="146"/>
      <c r="D260" s="146"/>
      <c r="E260" s="146"/>
      <c r="F260" s="146"/>
      <c r="G260" s="146"/>
      <c r="H260" s="146"/>
      <c r="I260" s="146"/>
      <c r="J260" s="146"/>
      <c r="K260" s="146"/>
      <c r="L260" s="146"/>
      <c r="M260" s="146"/>
      <c r="N260" s="146"/>
      <c r="O260" s="146"/>
      <c r="P260" s="146"/>
      <c r="Q260" s="146"/>
      <c r="R260" s="146"/>
      <c r="S260" s="146"/>
      <c r="T260" s="146"/>
      <c r="U260" s="146"/>
      <c r="V260" s="146"/>
      <c r="W260" s="146"/>
      <c r="X260" s="146"/>
      <c r="Y260" s="146"/>
      <c r="Z260" s="146"/>
      <c r="AA260" s="146"/>
      <c r="AB260" s="146"/>
      <c r="AC260" s="146"/>
      <c r="AD260" s="146"/>
      <c r="AE260" s="146"/>
      <c r="AF260" s="146"/>
      <c r="AG260" s="146"/>
    </row>
    <row r="261" spans="1:33" ht="12.75">
      <c r="A261" s="148"/>
      <c r="B261" s="146"/>
      <c r="C261" s="146"/>
      <c r="D261" s="146"/>
      <c r="E261" s="146"/>
      <c r="F261" s="146"/>
      <c r="G261" s="146"/>
      <c r="H261" s="146"/>
      <c r="I261" s="146"/>
      <c r="J261" s="146"/>
      <c r="K261" s="146"/>
      <c r="L261" s="146"/>
      <c r="M261" s="146"/>
      <c r="N261" s="146"/>
      <c r="O261" s="146"/>
      <c r="P261" s="146"/>
      <c r="Q261" s="146"/>
      <c r="R261" s="146"/>
      <c r="S261" s="146"/>
      <c r="T261" s="146"/>
      <c r="U261" s="146"/>
      <c r="V261" s="146"/>
      <c r="W261" s="146"/>
      <c r="X261" s="146"/>
      <c r="Y261" s="146"/>
      <c r="Z261" s="146"/>
      <c r="AA261" s="146"/>
      <c r="AB261" s="146"/>
      <c r="AC261" s="146"/>
      <c r="AD261" s="146"/>
      <c r="AE261" s="146"/>
      <c r="AF261" s="146"/>
      <c r="AG261" s="146"/>
    </row>
    <row r="262" spans="1:33" ht="12.75">
      <c r="A262" s="148"/>
      <c r="B262" s="146"/>
      <c r="C262" s="146"/>
      <c r="D262" s="146"/>
      <c r="E262" s="146"/>
      <c r="F262" s="146"/>
      <c r="G262" s="146"/>
      <c r="H262" s="146"/>
      <c r="I262" s="146"/>
      <c r="J262" s="146"/>
      <c r="K262" s="146"/>
      <c r="L262" s="146"/>
      <c r="M262" s="146"/>
      <c r="N262" s="146"/>
      <c r="O262" s="146"/>
      <c r="P262" s="146"/>
      <c r="Q262" s="146"/>
      <c r="R262" s="146"/>
      <c r="S262" s="146"/>
      <c r="T262" s="146"/>
      <c r="U262" s="146"/>
      <c r="V262" s="146"/>
      <c r="W262" s="146"/>
      <c r="X262" s="146"/>
      <c r="Y262" s="146"/>
      <c r="Z262" s="146"/>
      <c r="AA262" s="146"/>
      <c r="AB262" s="146"/>
      <c r="AC262" s="146"/>
      <c r="AD262" s="146"/>
      <c r="AE262" s="146"/>
      <c r="AF262" s="146"/>
      <c r="AG262" s="146"/>
    </row>
    <row r="263" spans="1:33" ht="12.75">
      <c r="A263" s="148"/>
      <c r="B263" s="146"/>
      <c r="C263" s="146"/>
      <c r="D263" s="146"/>
      <c r="E263" s="146"/>
      <c r="F263" s="146"/>
      <c r="G263" s="146"/>
      <c r="H263" s="146"/>
      <c r="I263" s="146"/>
      <c r="J263" s="146"/>
      <c r="K263" s="146"/>
      <c r="L263" s="146"/>
      <c r="M263" s="146"/>
      <c r="N263" s="146"/>
      <c r="O263" s="146"/>
      <c r="P263" s="146"/>
      <c r="Q263" s="146"/>
      <c r="R263" s="146"/>
      <c r="S263" s="146"/>
      <c r="T263" s="146"/>
      <c r="U263" s="146"/>
      <c r="V263" s="146"/>
      <c r="W263" s="146"/>
      <c r="X263" s="146"/>
      <c r="Y263" s="146"/>
      <c r="Z263" s="146"/>
      <c r="AA263" s="146"/>
      <c r="AB263" s="146"/>
      <c r="AC263" s="146"/>
      <c r="AD263" s="146"/>
      <c r="AE263" s="146"/>
      <c r="AF263" s="146"/>
      <c r="AG263" s="146"/>
    </row>
    <row r="264" spans="1:33" ht="12.75">
      <c r="A264" s="148"/>
      <c r="B264" s="146"/>
      <c r="C264" s="146"/>
      <c r="D264" s="146"/>
      <c r="E264" s="146"/>
      <c r="F264" s="146"/>
      <c r="G264" s="146"/>
      <c r="H264" s="146"/>
      <c r="I264" s="146"/>
      <c r="J264" s="146"/>
      <c r="K264" s="146"/>
      <c r="L264" s="146"/>
      <c r="M264" s="146"/>
      <c r="N264" s="146"/>
      <c r="O264" s="146"/>
      <c r="P264" s="146"/>
      <c r="Q264" s="146"/>
      <c r="R264" s="146"/>
      <c r="S264" s="146"/>
      <c r="T264" s="146"/>
      <c r="U264" s="146"/>
      <c r="V264" s="146"/>
      <c r="W264" s="146"/>
      <c r="X264" s="146"/>
      <c r="Y264" s="146"/>
      <c r="Z264" s="146"/>
      <c r="AA264" s="146"/>
      <c r="AB264" s="146"/>
      <c r="AC264" s="146"/>
      <c r="AD264" s="146"/>
      <c r="AE264" s="146"/>
      <c r="AF264" s="146"/>
      <c r="AG264" s="146"/>
    </row>
    <row r="265" spans="1:33" ht="12.75">
      <c r="A265" s="148"/>
      <c r="B265" s="146"/>
      <c r="C265" s="146"/>
      <c r="D265" s="146"/>
      <c r="E265" s="146"/>
      <c r="F265" s="146"/>
      <c r="G265" s="146"/>
      <c r="H265" s="146"/>
      <c r="I265" s="146"/>
      <c r="J265" s="146"/>
      <c r="K265" s="146"/>
      <c r="L265" s="146"/>
      <c r="M265" s="146"/>
      <c r="N265" s="146"/>
      <c r="O265" s="146"/>
      <c r="P265" s="146"/>
      <c r="Q265" s="146"/>
      <c r="R265" s="146"/>
      <c r="S265" s="146"/>
      <c r="T265" s="146"/>
      <c r="U265" s="146"/>
      <c r="V265" s="146"/>
      <c r="W265" s="146"/>
      <c r="X265" s="146"/>
      <c r="Y265" s="146"/>
      <c r="Z265" s="146"/>
      <c r="AA265" s="146"/>
      <c r="AB265" s="146"/>
      <c r="AC265" s="146"/>
      <c r="AD265" s="146"/>
      <c r="AE265" s="146"/>
      <c r="AF265" s="146"/>
      <c r="AG265" s="146"/>
    </row>
    <row r="266" spans="1:33" ht="12.75">
      <c r="A266" s="148"/>
      <c r="B266" s="146"/>
      <c r="C266" s="146"/>
      <c r="D266" s="146"/>
      <c r="E266" s="146"/>
      <c r="F266" s="146"/>
      <c r="G266" s="146"/>
      <c r="H266" s="146"/>
      <c r="I266" s="146"/>
      <c r="J266" s="146"/>
      <c r="K266" s="146"/>
      <c r="L266" s="146"/>
      <c r="M266" s="146"/>
      <c r="N266" s="146"/>
      <c r="O266" s="146"/>
      <c r="P266" s="146"/>
      <c r="Q266" s="146"/>
      <c r="R266" s="146"/>
      <c r="S266" s="146"/>
      <c r="T266" s="146"/>
      <c r="U266" s="146"/>
      <c r="V266" s="146"/>
      <c r="W266" s="146"/>
      <c r="X266" s="146"/>
      <c r="Y266" s="146"/>
      <c r="Z266" s="146"/>
      <c r="AA266" s="146"/>
      <c r="AB266" s="146"/>
      <c r="AC266" s="146"/>
      <c r="AD266" s="146"/>
      <c r="AE266" s="146"/>
      <c r="AF266" s="146"/>
      <c r="AG266" s="146"/>
    </row>
    <row r="267" spans="1:33" ht="12.75">
      <c r="A267" s="148"/>
      <c r="B267" s="146"/>
      <c r="C267" s="146"/>
      <c r="D267" s="146"/>
      <c r="E267" s="146"/>
      <c r="F267" s="146"/>
      <c r="G267" s="146"/>
      <c r="H267" s="146"/>
      <c r="I267" s="146"/>
      <c r="J267" s="146"/>
      <c r="K267" s="146"/>
      <c r="L267" s="146"/>
      <c r="M267" s="146"/>
      <c r="N267" s="146"/>
      <c r="O267" s="146"/>
      <c r="P267" s="146"/>
      <c r="Q267" s="146"/>
      <c r="R267" s="146"/>
      <c r="S267" s="146"/>
      <c r="T267" s="146"/>
      <c r="U267" s="146"/>
      <c r="V267" s="146"/>
      <c r="W267" s="146"/>
      <c r="X267" s="146"/>
      <c r="Y267" s="146"/>
      <c r="Z267" s="146"/>
      <c r="AA267" s="146"/>
      <c r="AB267" s="146"/>
      <c r="AC267" s="146"/>
      <c r="AD267" s="146"/>
      <c r="AE267" s="146"/>
      <c r="AF267" s="146"/>
      <c r="AG267" s="146"/>
    </row>
    <row r="268" spans="1:33" ht="12.75">
      <c r="A268" s="148"/>
      <c r="B268" s="146"/>
      <c r="C268" s="146"/>
      <c r="D268" s="146"/>
      <c r="E268" s="146"/>
      <c r="F268" s="146"/>
      <c r="G268" s="146"/>
      <c r="H268" s="146"/>
      <c r="I268" s="146"/>
      <c r="J268" s="146"/>
      <c r="K268" s="146"/>
      <c r="L268" s="146"/>
      <c r="M268" s="146"/>
      <c r="N268" s="146"/>
      <c r="O268" s="146"/>
      <c r="P268" s="146"/>
      <c r="Q268" s="146"/>
      <c r="R268" s="146"/>
      <c r="S268" s="146"/>
      <c r="T268" s="146"/>
      <c r="U268" s="146"/>
      <c r="V268" s="146"/>
      <c r="W268" s="146"/>
      <c r="X268" s="146"/>
      <c r="Y268" s="146"/>
      <c r="Z268" s="146"/>
      <c r="AA268" s="146"/>
      <c r="AB268" s="146"/>
      <c r="AC268" s="146"/>
      <c r="AD268" s="146"/>
      <c r="AE268" s="146"/>
      <c r="AF268" s="146"/>
      <c r="AG268" s="146"/>
    </row>
    <row r="269" spans="1:33" ht="12.75">
      <c r="A269" s="148"/>
      <c r="B269" s="146"/>
      <c r="C269" s="146"/>
      <c r="D269" s="146"/>
      <c r="E269" s="146"/>
      <c r="F269" s="146"/>
      <c r="G269" s="146"/>
      <c r="H269" s="146"/>
      <c r="I269" s="146"/>
      <c r="J269" s="146"/>
      <c r="K269" s="146"/>
      <c r="L269" s="146"/>
      <c r="M269" s="146"/>
      <c r="N269" s="146"/>
      <c r="O269" s="146"/>
      <c r="P269" s="146"/>
      <c r="Q269" s="146"/>
      <c r="R269" s="146"/>
      <c r="S269" s="146"/>
      <c r="T269" s="146"/>
      <c r="U269" s="146"/>
      <c r="V269" s="146"/>
      <c r="W269" s="146"/>
      <c r="X269" s="146"/>
      <c r="Y269" s="146"/>
      <c r="Z269" s="146"/>
      <c r="AA269" s="146"/>
      <c r="AB269" s="146"/>
      <c r="AC269" s="146"/>
      <c r="AD269" s="146"/>
      <c r="AE269" s="146"/>
      <c r="AF269" s="146"/>
      <c r="AG269" s="146"/>
    </row>
    <row r="270" spans="1:33" ht="12.75">
      <c r="A270" s="148"/>
      <c r="B270" s="146"/>
      <c r="C270" s="146"/>
      <c r="D270" s="146"/>
      <c r="E270" s="146"/>
      <c r="F270" s="146"/>
      <c r="G270" s="146"/>
      <c r="H270" s="146"/>
      <c r="I270" s="146"/>
      <c r="J270" s="146"/>
      <c r="K270" s="146"/>
      <c r="L270" s="146"/>
      <c r="M270" s="146"/>
      <c r="N270" s="146"/>
      <c r="O270" s="146"/>
      <c r="P270" s="146"/>
      <c r="Q270" s="146"/>
      <c r="R270" s="146"/>
      <c r="S270" s="146"/>
      <c r="T270" s="146"/>
      <c r="U270" s="146"/>
      <c r="V270" s="146"/>
      <c r="W270" s="146"/>
      <c r="X270" s="146"/>
      <c r="Y270" s="146"/>
      <c r="Z270" s="146"/>
      <c r="AA270" s="146"/>
      <c r="AB270" s="146"/>
      <c r="AC270" s="146"/>
      <c r="AD270" s="146"/>
      <c r="AE270" s="146"/>
      <c r="AF270" s="146"/>
      <c r="AG270" s="146"/>
    </row>
    <row r="271" spans="1:33" ht="12.75">
      <c r="A271" s="148"/>
      <c r="B271" s="146"/>
      <c r="C271" s="146"/>
      <c r="D271" s="146"/>
      <c r="E271" s="146"/>
      <c r="F271" s="146"/>
      <c r="G271" s="146"/>
      <c r="H271" s="146"/>
      <c r="I271" s="146"/>
      <c r="J271" s="146"/>
      <c r="K271" s="146"/>
      <c r="L271" s="146"/>
      <c r="M271" s="146"/>
      <c r="N271" s="146"/>
      <c r="O271" s="146"/>
      <c r="P271" s="146"/>
      <c r="Q271" s="146"/>
      <c r="R271" s="146"/>
      <c r="S271" s="146"/>
      <c r="T271" s="146"/>
      <c r="U271" s="146"/>
      <c r="V271" s="146"/>
      <c r="W271" s="146"/>
      <c r="X271" s="146"/>
      <c r="Y271" s="146"/>
      <c r="Z271" s="146"/>
      <c r="AA271" s="146"/>
      <c r="AB271" s="146"/>
      <c r="AC271" s="146"/>
      <c r="AD271" s="146"/>
      <c r="AE271" s="146"/>
      <c r="AF271" s="146"/>
      <c r="AG271" s="146"/>
    </row>
    <row r="272" spans="1:33" ht="12.75">
      <c r="A272" s="148"/>
      <c r="B272" s="146"/>
      <c r="C272" s="146"/>
      <c r="D272" s="146"/>
      <c r="E272" s="146"/>
      <c r="F272" s="146"/>
      <c r="G272" s="146"/>
      <c r="H272" s="146"/>
      <c r="I272" s="146"/>
      <c r="J272" s="146"/>
      <c r="K272" s="146"/>
      <c r="L272" s="146"/>
      <c r="M272" s="146"/>
      <c r="N272" s="146"/>
      <c r="O272" s="146"/>
      <c r="P272" s="146"/>
      <c r="Q272" s="146"/>
      <c r="R272" s="146"/>
      <c r="S272" s="146"/>
      <c r="T272" s="146"/>
      <c r="U272" s="146"/>
      <c r="V272" s="146"/>
      <c r="W272" s="146"/>
      <c r="X272" s="146"/>
      <c r="Y272" s="146"/>
      <c r="Z272" s="146"/>
      <c r="AA272" s="146"/>
      <c r="AB272" s="146"/>
      <c r="AC272" s="146"/>
      <c r="AD272" s="146"/>
      <c r="AE272" s="146"/>
      <c r="AF272" s="146"/>
      <c r="AG272" s="146"/>
    </row>
    <row r="273" spans="1:33" ht="12.75">
      <c r="A273" s="148"/>
      <c r="B273" s="146"/>
      <c r="C273" s="146"/>
      <c r="D273" s="146"/>
      <c r="E273" s="146"/>
      <c r="F273" s="146"/>
      <c r="G273" s="146"/>
      <c r="H273" s="146"/>
      <c r="I273" s="146"/>
      <c r="J273" s="146"/>
      <c r="K273" s="146"/>
      <c r="L273" s="146"/>
      <c r="M273" s="146"/>
      <c r="N273" s="146"/>
      <c r="O273" s="146"/>
      <c r="P273" s="146"/>
      <c r="Q273" s="146"/>
      <c r="R273" s="146"/>
      <c r="S273" s="146"/>
      <c r="T273" s="146"/>
      <c r="U273" s="146"/>
      <c r="V273" s="146"/>
      <c r="W273" s="146"/>
      <c r="X273" s="146"/>
      <c r="Y273" s="146"/>
      <c r="Z273" s="146"/>
      <c r="AA273" s="146"/>
      <c r="AB273" s="146"/>
      <c r="AC273" s="146"/>
      <c r="AD273" s="146"/>
      <c r="AE273" s="146"/>
      <c r="AF273" s="146"/>
      <c r="AG273" s="146"/>
    </row>
    <row r="274" spans="1:33" ht="12.75">
      <c r="A274" s="148"/>
      <c r="B274" s="146"/>
      <c r="C274" s="146"/>
      <c r="D274" s="146"/>
      <c r="E274" s="146"/>
      <c r="F274" s="146"/>
      <c r="G274" s="146"/>
      <c r="H274" s="146"/>
      <c r="I274" s="146"/>
      <c r="J274" s="146"/>
      <c r="K274" s="146"/>
      <c r="L274" s="146"/>
      <c r="M274" s="146"/>
      <c r="N274" s="146"/>
      <c r="O274" s="146"/>
      <c r="P274" s="146"/>
      <c r="Q274" s="146"/>
      <c r="R274" s="146"/>
      <c r="S274" s="146"/>
      <c r="T274" s="146"/>
      <c r="U274" s="146"/>
      <c r="V274" s="146"/>
      <c r="W274" s="146"/>
      <c r="X274" s="146"/>
      <c r="Y274" s="146"/>
      <c r="Z274" s="146"/>
      <c r="AA274" s="146"/>
      <c r="AB274" s="146"/>
      <c r="AC274" s="146"/>
      <c r="AD274" s="146"/>
      <c r="AE274" s="146"/>
      <c r="AF274" s="146"/>
      <c r="AG274" s="146"/>
    </row>
    <row r="275" spans="1:33" ht="12.75">
      <c r="A275" s="148"/>
      <c r="B275" s="146"/>
      <c r="C275" s="146"/>
      <c r="D275" s="146"/>
      <c r="E275" s="146"/>
      <c r="F275" s="146"/>
      <c r="G275" s="146"/>
      <c r="H275" s="146"/>
      <c r="I275" s="146"/>
      <c r="J275" s="146"/>
      <c r="K275" s="146"/>
      <c r="L275" s="146"/>
      <c r="M275" s="146"/>
      <c r="N275" s="146"/>
      <c r="O275" s="146"/>
      <c r="P275" s="146"/>
      <c r="Q275" s="146"/>
      <c r="R275" s="146"/>
      <c r="S275" s="146"/>
      <c r="T275" s="146"/>
      <c r="U275" s="146"/>
      <c r="V275" s="146"/>
      <c r="W275" s="146"/>
      <c r="X275" s="146"/>
      <c r="Y275" s="146"/>
      <c r="Z275" s="146"/>
      <c r="AA275" s="146"/>
      <c r="AB275" s="146"/>
      <c r="AC275" s="146"/>
      <c r="AD275" s="146"/>
      <c r="AE275" s="146"/>
      <c r="AF275" s="146"/>
      <c r="AG275" s="146"/>
    </row>
    <row r="276" spans="1:33" ht="12.75">
      <c r="A276" s="148"/>
      <c r="B276" s="146"/>
      <c r="C276" s="146"/>
      <c r="D276" s="146"/>
      <c r="E276" s="146"/>
      <c r="F276" s="146"/>
      <c r="G276" s="146"/>
      <c r="H276" s="146"/>
      <c r="I276" s="146"/>
      <c r="J276" s="146"/>
      <c r="K276" s="146"/>
      <c r="L276" s="146"/>
      <c r="M276" s="146"/>
      <c r="N276" s="146"/>
      <c r="O276" s="146"/>
      <c r="P276" s="146"/>
      <c r="Q276" s="146"/>
      <c r="R276" s="146"/>
      <c r="S276" s="146"/>
      <c r="T276" s="146"/>
      <c r="U276" s="146"/>
      <c r="V276" s="146"/>
      <c r="W276" s="146"/>
      <c r="X276" s="146"/>
      <c r="Y276" s="146"/>
      <c r="Z276" s="146"/>
      <c r="AA276" s="146"/>
      <c r="AB276" s="146"/>
      <c r="AC276" s="146"/>
      <c r="AD276" s="146"/>
      <c r="AE276" s="146"/>
      <c r="AF276" s="146"/>
      <c r="AG276" s="146"/>
    </row>
    <row r="277" spans="1:33" ht="12.75">
      <c r="A277" s="148"/>
      <c r="B277" s="146"/>
      <c r="C277" s="146"/>
      <c r="D277" s="146"/>
      <c r="E277" s="146"/>
      <c r="F277" s="146"/>
      <c r="G277" s="146"/>
      <c r="H277" s="146"/>
      <c r="I277" s="146"/>
      <c r="J277" s="146"/>
      <c r="K277" s="146"/>
      <c r="L277" s="146"/>
      <c r="M277" s="146"/>
      <c r="N277" s="146"/>
      <c r="O277" s="146"/>
      <c r="P277" s="146"/>
      <c r="Q277" s="146"/>
      <c r="R277" s="146"/>
      <c r="S277" s="146"/>
      <c r="T277" s="146"/>
      <c r="U277" s="146"/>
      <c r="V277" s="146"/>
      <c r="W277" s="146"/>
      <c r="X277" s="146"/>
      <c r="Y277" s="146"/>
      <c r="Z277" s="146"/>
      <c r="AA277" s="146"/>
      <c r="AB277" s="146"/>
      <c r="AC277" s="146"/>
      <c r="AD277" s="146"/>
      <c r="AE277" s="146"/>
      <c r="AF277" s="146"/>
      <c r="AG277" s="146"/>
    </row>
    <row r="278" spans="1:33" ht="12.75">
      <c r="A278" s="148"/>
      <c r="B278" s="146"/>
      <c r="C278" s="146"/>
      <c r="D278" s="146"/>
      <c r="E278" s="146"/>
      <c r="F278" s="146"/>
      <c r="G278" s="146"/>
      <c r="H278" s="146"/>
      <c r="I278" s="146"/>
      <c r="J278" s="146"/>
      <c r="K278" s="146"/>
      <c r="L278" s="146"/>
      <c r="M278" s="146"/>
      <c r="N278" s="146"/>
      <c r="O278" s="146"/>
      <c r="P278" s="146"/>
      <c r="Q278" s="146"/>
      <c r="R278" s="146"/>
      <c r="S278" s="146"/>
      <c r="T278" s="146"/>
      <c r="U278" s="146"/>
      <c r="V278" s="146"/>
      <c r="W278" s="146"/>
      <c r="X278" s="146"/>
      <c r="Y278" s="146"/>
      <c r="Z278" s="146"/>
      <c r="AA278" s="146"/>
      <c r="AB278" s="146"/>
      <c r="AC278" s="146"/>
      <c r="AD278" s="146"/>
      <c r="AE278" s="146"/>
      <c r="AF278" s="146"/>
      <c r="AG278" s="146"/>
    </row>
    <row r="279" spans="1:33" ht="12.75">
      <c r="A279" s="148"/>
      <c r="B279" s="146"/>
      <c r="C279" s="146"/>
      <c r="D279" s="146"/>
      <c r="E279" s="146"/>
      <c r="F279" s="146"/>
      <c r="G279" s="146"/>
      <c r="H279" s="146"/>
      <c r="I279" s="146"/>
      <c r="J279" s="146"/>
      <c r="K279" s="146"/>
      <c r="L279" s="146"/>
      <c r="M279" s="146"/>
      <c r="N279" s="146"/>
      <c r="O279" s="146"/>
      <c r="P279" s="146"/>
      <c r="Q279" s="146"/>
      <c r="R279" s="146"/>
      <c r="S279" s="146"/>
      <c r="T279" s="146"/>
      <c r="U279" s="146"/>
      <c r="V279" s="146"/>
      <c r="W279" s="146"/>
      <c r="X279" s="146"/>
      <c r="Y279" s="146"/>
      <c r="Z279" s="146"/>
      <c r="AA279" s="146"/>
      <c r="AB279" s="146"/>
      <c r="AC279" s="146"/>
      <c r="AD279" s="146"/>
      <c r="AE279" s="146"/>
      <c r="AF279" s="146"/>
      <c r="AG279" s="146"/>
    </row>
    <row r="280" spans="1:33" ht="12.75">
      <c r="A280" s="148"/>
      <c r="B280" s="146"/>
      <c r="C280" s="146"/>
      <c r="D280" s="146"/>
      <c r="E280" s="146"/>
      <c r="F280" s="146"/>
      <c r="G280" s="146"/>
      <c r="H280" s="146"/>
      <c r="I280" s="146"/>
      <c r="J280" s="146"/>
      <c r="K280" s="146"/>
      <c r="L280" s="146"/>
      <c r="M280" s="146"/>
      <c r="N280" s="146"/>
      <c r="O280" s="146"/>
      <c r="P280" s="146"/>
      <c r="Q280" s="146"/>
      <c r="R280" s="146"/>
      <c r="S280" s="146"/>
      <c r="T280" s="146"/>
      <c r="U280" s="146"/>
      <c r="V280" s="146"/>
      <c r="W280" s="146"/>
      <c r="X280" s="146"/>
      <c r="Y280" s="146"/>
      <c r="Z280" s="146"/>
      <c r="AA280" s="146"/>
      <c r="AB280" s="146"/>
      <c r="AC280" s="146"/>
      <c r="AD280" s="146"/>
      <c r="AE280" s="146"/>
      <c r="AF280" s="146"/>
      <c r="AG280" s="146"/>
    </row>
    <row r="281" spans="1:33" ht="12.75">
      <c r="A281" s="148"/>
      <c r="B281" s="146"/>
      <c r="C281" s="146"/>
      <c r="D281" s="146"/>
      <c r="E281" s="146"/>
      <c r="F281" s="146"/>
      <c r="G281" s="146"/>
      <c r="H281" s="146"/>
      <c r="I281" s="146"/>
      <c r="J281" s="146"/>
      <c r="K281" s="146"/>
      <c r="L281" s="146"/>
      <c r="M281" s="146"/>
      <c r="N281" s="146"/>
      <c r="O281" s="146"/>
      <c r="P281" s="146"/>
      <c r="Q281" s="146"/>
      <c r="R281" s="146"/>
      <c r="S281" s="146"/>
      <c r="T281" s="146"/>
      <c r="U281" s="146"/>
      <c r="V281" s="146"/>
      <c r="W281" s="146"/>
      <c r="X281" s="146"/>
      <c r="Y281" s="146"/>
      <c r="Z281" s="146"/>
      <c r="AA281" s="146"/>
      <c r="AB281" s="146"/>
      <c r="AC281" s="146"/>
      <c r="AD281" s="146"/>
      <c r="AE281" s="146"/>
      <c r="AF281" s="146"/>
      <c r="AG281" s="146"/>
    </row>
    <row r="282" spans="1:33" ht="12.75">
      <c r="A282" s="148"/>
      <c r="B282" s="146"/>
      <c r="C282" s="146"/>
      <c r="D282" s="146"/>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c r="AB282" s="146"/>
      <c r="AC282" s="146"/>
      <c r="AD282" s="146"/>
      <c r="AE282" s="146"/>
      <c r="AF282" s="146"/>
      <c r="AG282" s="146"/>
    </row>
    <row r="283" spans="1:33" ht="12.75">
      <c r="A283" s="148"/>
      <c r="B283" s="146"/>
      <c r="C283" s="146"/>
      <c r="D283" s="146"/>
      <c r="E283" s="146"/>
      <c r="F283" s="146"/>
      <c r="G283" s="146"/>
      <c r="H283" s="146"/>
      <c r="I283" s="146"/>
      <c r="J283" s="146"/>
      <c r="K283" s="146"/>
      <c r="L283" s="146"/>
      <c r="M283" s="146"/>
      <c r="N283" s="146"/>
      <c r="O283" s="146"/>
      <c r="P283" s="146"/>
      <c r="Q283" s="146"/>
      <c r="R283" s="146"/>
      <c r="S283" s="146"/>
      <c r="T283" s="146"/>
      <c r="U283" s="146"/>
      <c r="V283" s="146"/>
      <c r="W283" s="146"/>
      <c r="X283" s="146"/>
      <c r="Y283" s="146"/>
      <c r="Z283" s="146"/>
      <c r="AA283" s="146"/>
      <c r="AB283" s="146"/>
      <c r="AC283" s="146"/>
      <c r="AD283" s="146"/>
      <c r="AE283" s="146"/>
      <c r="AF283" s="146"/>
      <c r="AG283" s="146"/>
    </row>
    <row r="284" spans="1:33" ht="12.75">
      <c r="A284" s="148"/>
      <c r="B284" s="146"/>
      <c r="C284" s="146"/>
      <c r="D284" s="146"/>
      <c r="E284" s="146"/>
      <c r="F284" s="146"/>
      <c r="G284" s="146"/>
      <c r="H284" s="146"/>
      <c r="I284" s="146"/>
      <c r="J284" s="146"/>
      <c r="K284" s="146"/>
      <c r="L284" s="146"/>
      <c r="M284" s="146"/>
      <c r="N284" s="146"/>
      <c r="O284" s="146"/>
      <c r="P284" s="146"/>
      <c r="Q284" s="146"/>
      <c r="R284" s="146"/>
      <c r="S284" s="146"/>
      <c r="T284" s="146"/>
      <c r="U284" s="146"/>
      <c r="V284" s="146"/>
      <c r="W284" s="146"/>
      <c r="X284" s="146"/>
      <c r="Y284" s="146"/>
      <c r="Z284" s="146"/>
      <c r="AA284" s="146"/>
      <c r="AB284" s="146"/>
      <c r="AC284" s="146"/>
      <c r="AD284" s="146"/>
      <c r="AE284" s="146"/>
      <c r="AF284" s="146"/>
      <c r="AG284" s="146"/>
    </row>
    <row r="285" spans="1:33" ht="12.75">
      <c r="A285" s="148"/>
      <c r="B285" s="146"/>
      <c r="C285" s="146"/>
      <c r="D285" s="146"/>
      <c r="E285" s="146"/>
      <c r="F285" s="146"/>
      <c r="G285" s="146"/>
      <c r="H285" s="146"/>
      <c r="I285" s="146"/>
      <c r="J285" s="146"/>
      <c r="K285" s="146"/>
      <c r="L285" s="146"/>
      <c r="M285" s="146"/>
      <c r="N285" s="146"/>
      <c r="O285" s="146"/>
      <c r="P285" s="146"/>
      <c r="Q285" s="146"/>
      <c r="R285" s="146"/>
      <c r="S285" s="146"/>
      <c r="T285" s="146"/>
      <c r="U285" s="146"/>
      <c r="V285" s="146"/>
      <c r="W285" s="146"/>
      <c r="X285" s="146"/>
      <c r="Y285" s="146"/>
      <c r="Z285" s="146"/>
      <c r="AA285" s="146"/>
      <c r="AB285" s="146"/>
      <c r="AC285" s="146"/>
      <c r="AD285" s="146"/>
      <c r="AE285" s="146"/>
      <c r="AF285" s="146"/>
      <c r="AG285" s="146"/>
    </row>
    <row r="286" spans="1:33" ht="12.75">
      <c r="A286" s="148"/>
      <c r="B286" s="146"/>
      <c r="C286" s="146"/>
      <c r="D286" s="146"/>
      <c r="E286" s="146"/>
      <c r="F286" s="146"/>
      <c r="G286" s="146"/>
      <c r="H286" s="146"/>
      <c r="I286" s="146"/>
      <c r="J286" s="146"/>
      <c r="K286" s="146"/>
      <c r="L286" s="146"/>
      <c r="M286" s="146"/>
      <c r="N286" s="146"/>
      <c r="O286" s="146"/>
      <c r="P286" s="146"/>
      <c r="Q286" s="146"/>
      <c r="R286" s="146"/>
      <c r="S286" s="146"/>
      <c r="T286" s="146"/>
      <c r="U286" s="146"/>
      <c r="V286" s="146"/>
      <c r="W286" s="146"/>
      <c r="X286" s="146"/>
      <c r="Y286" s="146"/>
      <c r="Z286" s="146"/>
      <c r="AA286" s="146"/>
      <c r="AB286" s="146"/>
      <c r="AC286" s="146"/>
      <c r="AD286" s="146"/>
      <c r="AE286" s="146"/>
      <c r="AF286" s="146"/>
      <c r="AG286" s="146"/>
    </row>
    <row r="287" spans="1:33" ht="12.75">
      <c r="A287" s="148"/>
      <c r="B287" s="146"/>
      <c r="C287" s="146"/>
      <c r="D287" s="146"/>
      <c r="E287" s="146"/>
      <c r="F287" s="146"/>
      <c r="G287" s="146"/>
      <c r="H287" s="146"/>
      <c r="I287" s="146"/>
      <c r="J287" s="146"/>
      <c r="K287" s="146"/>
      <c r="L287" s="146"/>
      <c r="M287" s="146"/>
      <c r="N287" s="146"/>
      <c r="O287" s="146"/>
      <c r="P287" s="146"/>
      <c r="Q287" s="146"/>
      <c r="R287" s="146"/>
      <c r="S287" s="146"/>
      <c r="T287" s="146"/>
      <c r="U287" s="146"/>
      <c r="V287" s="146"/>
      <c r="W287" s="146"/>
      <c r="X287" s="146"/>
      <c r="Y287" s="146"/>
      <c r="Z287" s="146"/>
      <c r="AA287" s="146"/>
      <c r="AB287" s="146"/>
      <c r="AC287" s="146"/>
      <c r="AD287" s="146"/>
      <c r="AE287" s="146"/>
      <c r="AF287" s="146"/>
      <c r="AG287" s="146"/>
    </row>
    <row r="288" spans="1:33" ht="12.75">
      <c r="A288" s="148"/>
      <c r="B288" s="146"/>
      <c r="C288" s="146"/>
      <c r="D288" s="146"/>
      <c r="E288" s="146"/>
      <c r="F288" s="146"/>
      <c r="G288" s="146"/>
      <c r="H288" s="146"/>
      <c r="I288" s="146"/>
      <c r="J288" s="146"/>
      <c r="K288" s="146"/>
      <c r="L288" s="146"/>
      <c r="M288" s="146"/>
      <c r="N288" s="146"/>
      <c r="O288" s="146"/>
      <c r="P288" s="146"/>
      <c r="Q288" s="146"/>
      <c r="R288" s="146"/>
      <c r="S288" s="146"/>
      <c r="T288" s="146"/>
      <c r="U288" s="146"/>
      <c r="V288" s="146"/>
      <c r="W288" s="146"/>
      <c r="X288" s="146"/>
      <c r="Y288" s="146"/>
      <c r="Z288" s="146"/>
      <c r="AA288" s="146"/>
      <c r="AB288" s="146"/>
      <c r="AC288" s="146"/>
      <c r="AD288" s="146"/>
      <c r="AE288" s="146"/>
      <c r="AF288" s="146"/>
      <c r="AG288" s="146"/>
    </row>
    <row r="289" spans="1:33" ht="12.75">
      <c r="A289" s="148"/>
      <c r="B289" s="146"/>
      <c r="C289" s="146"/>
      <c r="D289" s="146"/>
      <c r="E289" s="146"/>
      <c r="F289" s="146"/>
      <c r="G289" s="146"/>
      <c r="H289" s="146"/>
      <c r="I289" s="146"/>
      <c r="J289" s="146"/>
      <c r="K289" s="146"/>
      <c r="L289" s="146"/>
      <c r="M289" s="146"/>
      <c r="N289" s="146"/>
      <c r="O289" s="146"/>
      <c r="P289" s="146"/>
      <c r="Q289" s="146"/>
      <c r="R289" s="146"/>
      <c r="S289" s="146"/>
      <c r="T289" s="146"/>
      <c r="U289" s="146"/>
      <c r="V289" s="146"/>
      <c r="W289" s="146"/>
      <c r="X289" s="146"/>
      <c r="Y289" s="146"/>
      <c r="Z289" s="146"/>
      <c r="AA289" s="146"/>
      <c r="AB289" s="146"/>
      <c r="AC289" s="146"/>
      <c r="AD289" s="146"/>
      <c r="AE289" s="146"/>
      <c r="AF289" s="146"/>
      <c r="AG289" s="146"/>
    </row>
    <row r="290" spans="1:33" ht="12.75">
      <c r="A290" s="148"/>
      <c r="B290" s="146"/>
      <c r="C290" s="146"/>
      <c r="D290" s="146"/>
      <c r="E290" s="146"/>
      <c r="F290" s="146"/>
      <c r="G290" s="146"/>
      <c r="H290" s="146"/>
      <c r="I290" s="146"/>
      <c r="J290" s="146"/>
      <c r="K290" s="146"/>
      <c r="L290" s="146"/>
      <c r="M290" s="146"/>
      <c r="N290" s="146"/>
      <c r="O290" s="146"/>
      <c r="P290" s="146"/>
      <c r="Q290" s="146"/>
      <c r="R290" s="146"/>
      <c r="S290" s="146"/>
      <c r="T290" s="146"/>
      <c r="U290" s="146"/>
      <c r="V290" s="146"/>
      <c r="W290" s="146"/>
      <c r="X290" s="146"/>
      <c r="Y290" s="146"/>
      <c r="Z290" s="146"/>
      <c r="AA290" s="146"/>
      <c r="AB290" s="146"/>
      <c r="AC290" s="146"/>
      <c r="AD290" s="146"/>
      <c r="AE290" s="146"/>
      <c r="AF290" s="146"/>
      <c r="AG290" s="146"/>
    </row>
    <row r="291" spans="1:33" ht="12.75">
      <c r="A291" s="148"/>
      <c r="B291" s="146"/>
      <c r="C291" s="146"/>
      <c r="D291" s="146"/>
      <c r="E291" s="146"/>
      <c r="F291" s="146"/>
      <c r="G291" s="146"/>
      <c r="H291" s="146"/>
      <c r="I291" s="146"/>
      <c r="J291" s="146"/>
      <c r="K291" s="146"/>
      <c r="L291" s="146"/>
      <c r="M291" s="146"/>
      <c r="N291" s="146"/>
      <c r="O291" s="146"/>
      <c r="P291" s="146"/>
      <c r="Q291" s="146"/>
      <c r="R291" s="146"/>
      <c r="S291" s="146"/>
      <c r="T291" s="146"/>
      <c r="U291" s="146"/>
      <c r="V291" s="146"/>
      <c r="W291" s="146"/>
      <c r="X291" s="146"/>
      <c r="Y291" s="146"/>
      <c r="Z291" s="146"/>
      <c r="AA291" s="146"/>
      <c r="AB291" s="146"/>
      <c r="AC291" s="146"/>
      <c r="AD291" s="146"/>
      <c r="AE291" s="146"/>
      <c r="AF291" s="146"/>
      <c r="AG291" s="146"/>
    </row>
    <row r="292" spans="1:33" ht="12.75">
      <c r="A292" s="148"/>
      <c r="B292" s="146"/>
      <c r="C292" s="146"/>
      <c r="D292" s="146"/>
      <c r="E292" s="146"/>
      <c r="F292" s="146"/>
      <c r="G292" s="146"/>
      <c r="H292" s="146"/>
      <c r="I292" s="146"/>
      <c r="J292" s="146"/>
      <c r="K292" s="146"/>
      <c r="L292" s="146"/>
      <c r="M292" s="146"/>
      <c r="N292" s="146"/>
      <c r="O292" s="146"/>
      <c r="P292" s="146"/>
      <c r="Q292" s="146"/>
      <c r="R292" s="146"/>
      <c r="S292" s="146"/>
      <c r="T292" s="146"/>
      <c r="U292" s="146"/>
      <c r="V292" s="146"/>
      <c r="W292" s="146"/>
      <c r="X292" s="146"/>
      <c r="Y292" s="146"/>
      <c r="Z292" s="146"/>
      <c r="AA292" s="146"/>
      <c r="AB292" s="146"/>
      <c r="AC292" s="146"/>
      <c r="AD292" s="146"/>
      <c r="AE292" s="146"/>
      <c r="AF292" s="146"/>
      <c r="AG292" s="146"/>
    </row>
    <row r="293" spans="1:33" ht="12.75">
      <c r="A293" s="148"/>
      <c r="B293" s="146"/>
      <c r="C293" s="146"/>
      <c r="D293" s="146"/>
      <c r="E293" s="146"/>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c r="AB293" s="146"/>
      <c r="AC293" s="146"/>
      <c r="AD293" s="146"/>
      <c r="AE293" s="146"/>
      <c r="AF293" s="146"/>
      <c r="AG293" s="146"/>
    </row>
    <row r="294" spans="1:33" ht="12.75">
      <c r="A294" s="148"/>
      <c r="B294" s="146"/>
      <c r="C294" s="146"/>
      <c r="D294" s="146"/>
      <c r="E294" s="146"/>
      <c r="F294" s="146"/>
      <c r="G294" s="146"/>
      <c r="H294" s="146"/>
      <c r="I294" s="146"/>
      <c r="J294" s="146"/>
      <c r="K294" s="146"/>
      <c r="L294" s="146"/>
      <c r="M294" s="146"/>
      <c r="N294" s="146"/>
      <c r="O294" s="146"/>
      <c r="P294" s="146"/>
      <c r="Q294" s="146"/>
      <c r="R294" s="146"/>
      <c r="S294" s="146"/>
      <c r="T294" s="146"/>
      <c r="U294" s="146"/>
      <c r="V294" s="146"/>
      <c r="W294" s="146"/>
      <c r="X294" s="146"/>
      <c r="Y294" s="146"/>
      <c r="Z294" s="146"/>
      <c r="AA294" s="146"/>
      <c r="AB294" s="146"/>
      <c r="AC294" s="146"/>
      <c r="AD294" s="146"/>
      <c r="AE294" s="146"/>
      <c r="AF294" s="146"/>
      <c r="AG294" s="146"/>
    </row>
    <row r="295" spans="1:33" ht="12.75">
      <c r="A295" s="148"/>
      <c r="B295" s="146"/>
      <c r="C295" s="146"/>
      <c r="D295" s="146"/>
      <c r="E295" s="146"/>
      <c r="F295" s="146"/>
      <c r="G295" s="146"/>
      <c r="H295" s="146"/>
      <c r="I295" s="146"/>
      <c r="J295" s="146"/>
      <c r="K295" s="146"/>
      <c r="L295" s="146"/>
      <c r="M295" s="146"/>
      <c r="N295" s="146"/>
      <c r="O295" s="146"/>
      <c r="P295" s="146"/>
      <c r="Q295" s="146"/>
      <c r="R295" s="146"/>
      <c r="S295" s="146"/>
      <c r="T295" s="146"/>
      <c r="U295" s="146"/>
      <c r="V295" s="146"/>
      <c r="W295" s="146"/>
      <c r="X295" s="146"/>
      <c r="Y295" s="146"/>
      <c r="Z295" s="146"/>
      <c r="AA295" s="146"/>
      <c r="AB295" s="146"/>
      <c r="AC295" s="146"/>
      <c r="AD295" s="146"/>
      <c r="AE295" s="146"/>
      <c r="AF295" s="146"/>
      <c r="AG295" s="146"/>
    </row>
    <row r="296" spans="1:33" ht="12.75">
      <c r="A296" s="148"/>
      <c r="B296" s="146"/>
      <c r="C296" s="146"/>
      <c r="D296" s="146"/>
      <c r="E296" s="146"/>
      <c r="F296" s="146"/>
      <c r="G296" s="146"/>
      <c r="H296" s="146"/>
      <c r="I296" s="146"/>
      <c r="J296" s="146"/>
      <c r="K296" s="146"/>
      <c r="L296" s="146"/>
      <c r="M296" s="146"/>
      <c r="N296" s="146"/>
      <c r="O296" s="146"/>
      <c r="P296" s="146"/>
      <c r="Q296" s="146"/>
      <c r="R296" s="146"/>
      <c r="S296" s="146"/>
      <c r="T296" s="146"/>
      <c r="U296" s="146"/>
      <c r="V296" s="146"/>
      <c r="W296" s="146"/>
      <c r="X296" s="146"/>
      <c r="Y296" s="146"/>
      <c r="Z296" s="146"/>
      <c r="AA296" s="146"/>
      <c r="AB296" s="146"/>
      <c r="AC296" s="146"/>
      <c r="AD296" s="146"/>
      <c r="AE296" s="146"/>
      <c r="AF296" s="146"/>
      <c r="AG296" s="146"/>
    </row>
    <row r="297" spans="1:33" ht="12.75">
      <c r="A297" s="148"/>
      <c r="B297" s="146"/>
      <c r="C297" s="146"/>
      <c r="D297" s="146"/>
      <c r="E297" s="146"/>
      <c r="F297" s="146"/>
      <c r="G297" s="146"/>
      <c r="H297" s="146"/>
      <c r="I297" s="146"/>
      <c r="J297" s="146"/>
      <c r="K297" s="146"/>
      <c r="L297" s="146"/>
      <c r="M297" s="146"/>
      <c r="N297" s="146"/>
      <c r="O297" s="146"/>
      <c r="P297" s="146"/>
      <c r="Q297" s="146"/>
      <c r="R297" s="146"/>
      <c r="S297" s="146"/>
      <c r="T297" s="146"/>
      <c r="U297" s="146"/>
      <c r="V297" s="146"/>
      <c r="W297" s="146"/>
      <c r="X297" s="146"/>
      <c r="Y297" s="146"/>
      <c r="Z297" s="146"/>
      <c r="AA297" s="146"/>
      <c r="AB297" s="146"/>
      <c r="AC297" s="146"/>
      <c r="AD297" s="146"/>
      <c r="AE297" s="146"/>
      <c r="AF297" s="146"/>
      <c r="AG297" s="146"/>
    </row>
    <row r="298" spans="1:33" ht="12.75">
      <c r="A298" s="148"/>
      <c r="B298" s="146"/>
      <c r="C298" s="146"/>
      <c r="D298" s="146"/>
      <c r="E298" s="146"/>
      <c r="F298" s="146"/>
      <c r="G298" s="146"/>
      <c r="H298" s="146"/>
      <c r="I298" s="146"/>
      <c r="J298" s="146"/>
      <c r="K298" s="146"/>
      <c r="L298" s="146"/>
      <c r="M298" s="146"/>
      <c r="N298" s="146"/>
      <c r="O298" s="146"/>
      <c r="P298" s="146"/>
      <c r="Q298" s="146"/>
      <c r="R298" s="146"/>
      <c r="S298" s="146"/>
      <c r="T298" s="146"/>
      <c r="U298" s="146"/>
      <c r="V298" s="146"/>
      <c r="W298" s="146"/>
      <c r="X298" s="146"/>
      <c r="Y298" s="146"/>
      <c r="Z298" s="146"/>
      <c r="AA298" s="146"/>
      <c r="AB298" s="146"/>
      <c r="AC298" s="146"/>
      <c r="AD298" s="146"/>
      <c r="AE298" s="146"/>
      <c r="AF298" s="146"/>
      <c r="AG298" s="146"/>
    </row>
    <row r="299" spans="1:33" ht="12.75">
      <c r="A299" s="148"/>
      <c r="B299" s="146"/>
      <c r="C299" s="146"/>
      <c r="D299" s="146"/>
      <c r="E299" s="146"/>
      <c r="F299" s="146"/>
      <c r="G299" s="146"/>
      <c r="H299" s="146"/>
      <c r="I299" s="146"/>
      <c r="J299" s="146"/>
      <c r="K299" s="146"/>
      <c r="L299" s="146"/>
      <c r="M299" s="146"/>
      <c r="N299" s="146"/>
      <c r="O299" s="146"/>
      <c r="P299" s="146"/>
      <c r="Q299" s="146"/>
      <c r="R299" s="146"/>
      <c r="S299" s="146"/>
      <c r="T299" s="146"/>
      <c r="U299" s="146"/>
      <c r="V299" s="146"/>
      <c r="W299" s="146"/>
      <c r="X299" s="146"/>
      <c r="Y299" s="146"/>
      <c r="Z299" s="146"/>
      <c r="AA299" s="146"/>
      <c r="AB299" s="146"/>
      <c r="AC299" s="146"/>
      <c r="AD299" s="146"/>
      <c r="AE299" s="146"/>
      <c r="AF299" s="146"/>
      <c r="AG299" s="146"/>
    </row>
    <row r="300" spans="1:33" ht="12.75">
      <c r="A300" s="148"/>
      <c r="B300" s="146"/>
      <c r="C300" s="146"/>
      <c r="D300" s="146"/>
      <c r="E300" s="146"/>
      <c r="F300" s="146"/>
      <c r="G300" s="146"/>
      <c r="H300" s="146"/>
      <c r="I300" s="146"/>
      <c r="J300" s="146"/>
      <c r="K300" s="146"/>
      <c r="L300" s="146"/>
      <c r="M300" s="146"/>
      <c r="N300" s="146"/>
      <c r="O300" s="146"/>
      <c r="P300" s="146"/>
      <c r="Q300" s="146"/>
      <c r="R300" s="146"/>
      <c r="S300" s="146"/>
      <c r="T300" s="146"/>
      <c r="U300" s="146"/>
      <c r="V300" s="146"/>
      <c r="W300" s="146"/>
      <c r="X300" s="146"/>
      <c r="Y300" s="146"/>
      <c r="Z300" s="146"/>
      <c r="AA300" s="146"/>
      <c r="AB300" s="146"/>
      <c r="AC300" s="146"/>
      <c r="AD300" s="146"/>
      <c r="AE300" s="146"/>
      <c r="AF300" s="146"/>
      <c r="AG300" s="146"/>
    </row>
    <row r="301" spans="1:33" ht="12.75">
      <c r="A301" s="148"/>
      <c r="B301" s="146"/>
      <c r="C301" s="146"/>
      <c r="D301" s="146"/>
      <c r="E301" s="146"/>
      <c r="F301" s="146"/>
      <c r="G301" s="146"/>
      <c r="H301" s="146"/>
      <c r="I301" s="146"/>
      <c r="J301" s="146"/>
      <c r="K301" s="146"/>
      <c r="L301" s="146"/>
      <c r="M301" s="146"/>
      <c r="N301" s="146"/>
      <c r="O301" s="146"/>
      <c r="P301" s="146"/>
      <c r="Q301" s="146"/>
      <c r="R301" s="146"/>
      <c r="S301" s="146"/>
      <c r="T301" s="146"/>
      <c r="U301" s="146"/>
      <c r="V301" s="146"/>
      <c r="W301" s="146"/>
      <c r="X301" s="146"/>
      <c r="Y301" s="146"/>
      <c r="Z301" s="146"/>
      <c r="AA301" s="146"/>
      <c r="AB301" s="146"/>
      <c r="AC301" s="146"/>
      <c r="AD301" s="146"/>
      <c r="AE301" s="146"/>
      <c r="AF301" s="146"/>
      <c r="AG301" s="146"/>
    </row>
    <row r="302" spans="1:33" ht="12.75">
      <c r="A302" s="148"/>
      <c r="B302" s="146"/>
      <c r="C302" s="146"/>
      <c r="D302" s="146"/>
      <c r="E302" s="146"/>
      <c r="F302" s="146"/>
      <c r="G302" s="146"/>
      <c r="H302" s="146"/>
      <c r="I302" s="146"/>
      <c r="J302" s="146"/>
      <c r="K302" s="146"/>
      <c r="L302" s="146"/>
      <c r="M302" s="146"/>
      <c r="N302" s="146"/>
      <c r="O302" s="146"/>
      <c r="P302" s="146"/>
      <c r="Q302" s="146"/>
      <c r="R302" s="146"/>
      <c r="S302" s="146"/>
      <c r="T302" s="146"/>
      <c r="U302" s="146"/>
      <c r="V302" s="146"/>
      <c r="W302" s="146"/>
      <c r="X302" s="146"/>
      <c r="Y302" s="146"/>
      <c r="Z302" s="146"/>
      <c r="AA302" s="146"/>
      <c r="AB302" s="146"/>
      <c r="AC302" s="146"/>
      <c r="AD302" s="146"/>
      <c r="AE302" s="146"/>
      <c r="AF302" s="146"/>
      <c r="AG302" s="146"/>
    </row>
    <row r="303" spans="1:33" ht="12.75">
      <c r="A303" s="148"/>
      <c r="B303" s="146"/>
      <c r="C303" s="146"/>
      <c r="D303" s="146"/>
      <c r="E303" s="146"/>
      <c r="F303" s="146"/>
      <c r="G303" s="146"/>
      <c r="H303" s="146"/>
      <c r="I303" s="146"/>
      <c r="J303" s="146"/>
      <c r="K303" s="146"/>
      <c r="L303" s="146"/>
      <c r="M303" s="146"/>
      <c r="N303" s="146"/>
      <c r="O303" s="146"/>
      <c r="P303" s="146"/>
      <c r="Q303" s="146"/>
      <c r="R303" s="146"/>
      <c r="S303" s="146"/>
      <c r="T303" s="146"/>
      <c r="U303" s="146"/>
      <c r="V303" s="146"/>
      <c r="W303" s="146"/>
      <c r="X303" s="146"/>
      <c r="Y303" s="146"/>
      <c r="Z303" s="146"/>
      <c r="AA303" s="146"/>
      <c r="AB303" s="146"/>
      <c r="AC303" s="146"/>
      <c r="AD303" s="146"/>
      <c r="AE303" s="146"/>
      <c r="AF303" s="146"/>
      <c r="AG303" s="146"/>
    </row>
    <row r="304" spans="1:33" ht="12.75">
      <c r="A304" s="148"/>
      <c r="B304" s="146"/>
      <c r="C304" s="146"/>
      <c r="D304" s="146"/>
      <c r="E304" s="146"/>
      <c r="F304" s="146"/>
      <c r="G304" s="146"/>
      <c r="H304" s="146"/>
      <c r="I304" s="146"/>
      <c r="J304" s="146"/>
      <c r="K304" s="146"/>
      <c r="L304" s="146"/>
      <c r="M304" s="146"/>
      <c r="N304" s="146"/>
      <c r="O304" s="146"/>
      <c r="P304" s="146"/>
      <c r="Q304" s="146"/>
      <c r="R304" s="146"/>
      <c r="S304" s="146"/>
      <c r="T304" s="146"/>
      <c r="U304" s="146"/>
      <c r="V304" s="146"/>
      <c r="W304" s="146"/>
      <c r="X304" s="146"/>
      <c r="Y304" s="146"/>
      <c r="Z304" s="146"/>
      <c r="AA304" s="146"/>
      <c r="AB304" s="146"/>
      <c r="AC304" s="146"/>
      <c r="AD304" s="146"/>
      <c r="AE304" s="146"/>
      <c r="AF304" s="146"/>
      <c r="AG304" s="146"/>
    </row>
    <row r="305" spans="1:33" ht="12.75">
      <c r="A305" s="148"/>
      <c r="B305" s="146"/>
      <c r="C305" s="146"/>
      <c r="D305" s="146"/>
      <c r="E305" s="146"/>
      <c r="F305" s="146"/>
      <c r="G305" s="146"/>
      <c r="H305" s="146"/>
      <c r="I305" s="146"/>
      <c r="J305" s="146"/>
      <c r="K305" s="146"/>
      <c r="L305" s="146"/>
      <c r="M305" s="146"/>
      <c r="N305" s="146"/>
      <c r="O305" s="146"/>
      <c r="P305" s="146"/>
      <c r="Q305" s="146"/>
      <c r="R305" s="146"/>
      <c r="S305" s="146"/>
      <c r="T305" s="146"/>
      <c r="U305" s="146"/>
      <c r="V305" s="146"/>
      <c r="W305" s="146"/>
      <c r="X305" s="146"/>
      <c r="Y305" s="146"/>
      <c r="Z305" s="146"/>
      <c r="AA305" s="146"/>
      <c r="AB305" s="146"/>
      <c r="AC305" s="146"/>
      <c r="AD305" s="146"/>
      <c r="AE305" s="146"/>
      <c r="AF305" s="146"/>
      <c r="AG305" s="146"/>
    </row>
    <row r="306" spans="1:33" ht="12.75">
      <c r="A306" s="148"/>
      <c r="B306" s="146"/>
      <c r="C306" s="146"/>
      <c r="D306" s="146"/>
      <c r="E306" s="146"/>
      <c r="F306" s="146"/>
      <c r="G306" s="146"/>
      <c r="H306" s="146"/>
      <c r="I306" s="146"/>
      <c r="J306" s="146"/>
      <c r="K306" s="146"/>
      <c r="L306" s="146"/>
      <c r="M306" s="146"/>
      <c r="N306" s="146"/>
      <c r="O306" s="146"/>
      <c r="P306" s="146"/>
      <c r="Q306" s="146"/>
      <c r="R306" s="146"/>
      <c r="S306" s="146"/>
      <c r="T306" s="146"/>
      <c r="U306" s="146"/>
      <c r="V306" s="146"/>
      <c r="W306" s="146"/>
      <c r="X306" s="146"/>
      <c r="Y306" s="146"/>
      <c r="Z306" s="146"/>
      <c r="AA306" s="146"/>
      <c r="AB306" s="146"/>
      <c r="AC306" s="146"/>
      <c r="AD306" s="146"/>
      <c r="AE306" s="146"/>
      <c r="AF306" s="146"/>
      <c r="AG306" s="146"/>
    </row>
    <row r="307" spans="1:33" ht="12.75">
      <c r="A307" s="148"/>
      <c r="B307" s="146"/>
      <c r="C307" s="146"/>
      <c r="D307" s="146"/>
      <c r="E307" s="146"/>
      <c r="F307" s="146"/>
      <c r="G307" s="146"/>
      <c r="H307" s="146"/>
      <c r="I307" s="146"/>
      <c r="J307" s="146"/>
      <c r="K307" s="146"/>
      <c r="L307" s="146"/>
      <c r="M307" s="146"/>
      <c r="N307" s="146"/>
      <c r="O307" s="146"/>
      <c r="P307" s="146"/>
      <c r="Q307" s="146"/>
      <c r="R307" s="146"/>
      <c r="S307" s="146"/>
      <c r="T307" s="146"/>
      <c r="U307" s="146"/>
      <c r="V307" s="146"/>
      <c r="W307" s="146"/>
      <c r="X307" s="146"/>
      <c r="Y307" s="146"/>
      <c r="Z307" s="146"/>
      <c r="AA307" s="146"/>
      <c r="AB307" s="146"/>
      <c r="AC307" s="146"/>
      <c r="AD307" s="146"/>
      <c r="AE307" s="146"/>
      <c r="AF307" s="146"/>
      <c r="AG307" s="146"/>
    </row>
    <row r="308" spans="1:33" ht="12.75">
      <c r="A308" s="148"/>
      <c r="B308" s="146"/>
      <c r="C308" s="146"/>
      <c r="D308" s="146"/>
      <c r="E308" s="146"/>
      <c r="F308" s="146"/>
      <c r="G308" s="146"/>
      <c r="H308" s="146"/>
      <c r="I308" s="146"/>
      <c r="J308" s="146"/>
      <c r="K308" s="146"/>
      <c r="L308" s="146"/>
      <c r="M308" s="146"/>
      <c r="N308" s="146"/>
      <c r="O308" s="146"/>
      <c r="P308" s="146"/>
      <c r="Q308" s="146"/>
      <c r="R308" s="146"/>
      <c r="S308" s="146"/>
      <c r="T308" s="146"/>
      <c r="U308" s="146"/>
      <c r="V308" s="146"/>
      <c r="W308" s="146"/>
      <c r="X308" s="146"/>
      <c r="Y308" s="146"/>
      <c r="Z308" s="146"/>
      <c r="AA308" s="146"/>
      <c r="AB308" s="146"/>
      <c r="AC308" s="146"/>
      <c r="AD308" s="146"/>
      <c r="AE308" s="146"/>
      <c r="AF308" s="146"/>
      <c r="AG308" s="146"/>
    </row>
    <row r="309" spans="1:33" ht="12.75">
      <c r="A309" s="148"/>
      <c r="B309" s="146"/>
      <c r="C309" s="146"/>
      <c r="D309" s="146"/>
      <c r="E309" s="146"/>
      <c r="F309" s="146"/>
      <c r="G309" s="146"/>
      <c r="H309" s="146"/>
      <c r="I309" s="146"/>
      <c r="J309" s="146"/>
      <c r="K309" s="146"/>
      <c r="L309" s="146"/>
      <c r="M309" s="146"/>
      <c r="N309" s="146"/>
      <c r="O309" s="146"/>
      <c r="P309" s="146"/>
      <c r="Q309" s="146"/>
      <c r="R309" s="146"/>
      <c r="S309" s="146"/>
      <c r="T309" s="146"/>
      <c r="U309" s="146"/>
      <c r="V309" s="146"/>
      <c r="W309" s="146"/>
      <c r="X309" s="146"/>
      <c r="Y309" s="146"/>
      <c r="Z309" s="146"/>
      <c r="AA309" s="146"/>
      <c r="AB309" s="146"/>
      <c r="AC309" s="146"/>
      <c r="AD309" s="146"/>
      <c r="AE309" s="146"/>
      <c r="AF309" s="146"/>
      <c r="AG309" s="146"/>
    </row>
    <row r="310" spans="1:33" ht="12.75">
      <c r="A310" s="148"/>
      <c r="B310" s="146"/>
      <c r="C310" s="146"/>
      <c r="D310" s="146"/>
      <c r="E310" s="146"/>
      <c r="F310" s="146"/>
      <c r="G310" s="146"/>
      <c r="H310" s="146"/>
      <c r="I310" s="146"/>
      <c r="J310" s="146"/>
      <c r="K310" s="146"/>
      <c r="L310" s="146"/>
      <c r="M310" s="146"/>
      <c r="N310" s="146"/>
      <c r="O310" s="146"/>
      <c r="P310" s="146"/>
      <c r="Q310" s="146"/>
      <c r="R310" s="146"/>
      <c r="S310" s="146"/>
      <c r="T310" s="146"/>
      <c r="U310" s="146"/>
      <c r="V310" s="146"/>
      <c r="W310" s="146"/>
      <c r="X310" s="146"/>
      <c r="Y310" s="146"/>
      <c r="Z310" s="146"/>
      <c r="AA310" s="146"/>
      <c r="AB310" s="146"/>
      <c r="AC310" s="146"/>
      <c r="AD310" s="146"/>
      <c r="AE310" s="146"/>
      <c r="AF310" s="146"/>
      <c r="AG310" s="146"/>
    </row>
    <row r="311" spans="1:33" ht="12.75">
      <c r="A311" s="148"/>
      <c r="B311" s="146"/>
      <c r="C311" s="146"/>
      <c r="D311" s="146"/>
      <c r="E311" s="146"/>
      <c r="F311" s="146"/>
      <c r="G311" s="146"/>
      <c r="H311" s="146"/>
      <c r="I311" s="146"/>
      <c r="J311" s="146"/>
      <c r="K311" s="146"/>
      <c r="L311" s="146"/>
      <c r="M311" s="146"/>
      <c r="N311" s="146"/>
      <c r="O311" s="146"/>
      <c r="P311" s="146"/>
      <c r="Q311" s="146"/>
      <c r="R311" s="146"/>
      <c r="S311" s="146"/>
      <c r="T311" s="146"/>
      <c r="U311" s="146"/>
      <c r="V311" s="146"/>
      <c r="W311" s="146"/>
      <c r="X311" s="146"/>
      <c r="Y311" s="146"/>
      <c r="Z311" s="146"/>
      <c r="AA311" s="146"/>
      <c r="AB311" s="146"/>
      <c r="AC311" s="146"/>
      <c r="AD311" s="146"/>
      <c r="AE311" s="146"/>
      <c r="AF311" s="146"/>
      <c r="AG311" s="146"/>
    </row>
    <row r="312" spans="1:33" ht="12.75">
      <c r="A312" s="148"/>
      <c r="B312" s="146"/>
      <c r="C312" s="146"/>
      <c r="D312" s="146"/>
      <c r="E312" s="146"/>
      <c r="F312" s="146"/>
      <c r="G312" s="146"/>
      <c r="H312" s="146"/>
      <c r="I312" s="146"/>
      <c r="J312" s="146"/>
      <c r="K312" s="146"/>
      <c r="L312" s="146"/>
      <c r="M312" s="146"/>
      <c r="N312" s="146"/>
      <c r="O312" s="146"/>
      <c r="P312" s="146"/>
      <c r="Q312" s="146"/>
      <c r="R312" s="146"/>
      <c r="S312" s="146"/>
      <c r="T312" s="146"/>
      <c r="U312" s="146"/>
      <c r="V312" s="146"/>
      <c r="W312" s="146"/>
      <c r="X312" s="146"/>
      <c r="Y312" s="146"/>
      <c r="Z312" s="146"/>
      <c r="AA312" s="146"/>
      <c r="AB312" s="146"/>
      <c r="AC312" s="146"/>
      <c r="AD312" s="146"/>
      <c r="AE312" s="146"/>
      <c r="AF312" s="146"/>
      <c r="AG312" s="146"/>
    </row>
    <row r="313" spans="1:33" ht="12.75">
      <c r="A313" s="148"/>
      <c r="B313" s="146"/>
      <c r="C313" s="146"/>
      <c r="D313" s="146"/>
      <c r="E313" s="146"/>
      <c r="F313" s="146"/>
      <c r="G313" s="146"/>
      <c r="H313" s="146"/>
      <c r="I313" s="146"/>
      <c r="J313" s="146"/>
      <c r="K313" s="146"/>
      <c r="L313" s="146"/>
      <c r="M313" s="146"/>
      <c r="N313" s="146"/>
      <c r="O313" s="146"/>
      <c r="P313" s="146"/>
      <c r="Q313" s="146"/>
      <c r="R313" s="146"/>
      <c r="S313" s="146"/>
      <c r="T313" s="146"/>
      <c r="U313" s="146"/>
      <c r="V313" s="146"/>
      <c r="W313" s="146"/>
      <c r="X313" s="146"/>
      <c r="Y313" s="146"/>
      <c r="Z313" s="146"/>
      <c r="AA313" s="146"/>
      <c r="AB313" s="146"/>
      <c r="AC313" s="146"/>
      <c r="AD313" s="146"/>
      <c r="AE313" s="146"/>
      <c r="AF313" s="146"/>
      <c r="AG313" s="146"/>
    </row>
    <row r="314" spans="1:33" ht="12.75">
      <c r="A314" s="148"/>
      <c r="B314" s="146"/>
      <c r="C314" s="146"/>
      <c r="D314" s="146"/>
      <c r="E314" s="146"/>
      <c r="F314" s="146"/>
      <c r="G314" s="146"/>
      <c r="H314" s="146"/>
      <c r="I314" s="146"/>
      <c r="J314" s="146"/>
      <c r="K314" s="146"/>
      <c r="L314" s="146"/>
      <c r="M314" s="146"/>
      <c r="N314" s="146"/>
      <c r="O314" s="146"/>
      <c r="P314" s="146"/>
      <c r="Q314" s="146"/>
      <c r="R314" s="146"/>
      <c r="S314" s="146"/>
      <c r="T314" s="146"/>
      <c r="U314" s="146"/>
      <c r="V314" s="146"/>
      <c r="W314" s="146"/>
      <c r="X314" s="146"/>
      <c r="Y314" s="146"/>
      <c r="Z314" s="146"/>
      <c r="AA314" s="146"/>
      <c r="AB314" s="146"/>
      <c r="AC314" s="146"/>
      <c r="AD314" s="146"/>
      <c r="AE314" s="146"/>
      <c r="AF314" s="146"/>
      <c r="AG314" s="146"/>
    </row>
    <row r="315" spans="1:33" ht="12.75">
      <c r="A315" s="148"/>
      <c r="B315" s="146"/>
      <c r="C315" s="146"/>
      <c r="D315" s="146"/>
      <c r="E315" s="146"/>
      <c r="F315" s="146"/>
      <c r="G315" s="146"/>
      <c r="H315" s="146"/>
      <c r="I315" s="146"/>
      <c r="J315" s="146"/>
      <c r="K315" s="146"/>
      <c r="L315" s="146"/>
      <c r="M315" s="146"/>
      <c r="N315" s="146"/>
      <c r="O315" s="146"/>
      <c r="P315" s="146"/>
      <c r="Q315" s="146"/>
      <c r="R315" s="146"/>
      <c r="S315" s="146"/>
      <c r="T315" s="146"/>
      <c r="U315" s="146"/>
      <c r="V315" s="146"/>
      <c r="W315" s="146"/>
      <c r="X315" s="146"/>
      <c r="Y315" s="146"/>
      <c r="Z315" s="146"/>
      <c r="AA315" s="146"/>
      <c r="AB315" s="146"/>
      <c r="AC315" s="146"/>
      <c r="AD315" s="146"/>
      <c r="AE315" s="146"/>
      <c r="AF315" s="146"/>
      <c r="AG315" s="146"/>
    </row>
    <row r="316" spans="1:33" ht="12.75">
      <c r="A316" s="148"/>
      <c r="B316" s="146"/>
      <c r="C316" s="146"/>
      <c r="D316" s="146"/>
      <c r="E316" s="146"/>
      <c r="F316" s="146"/>
      <c r="G316" s="146"/>
      <c r="H316" s="146"/>
      <c r="I316" s="146"/>
      <c r="J316" s="146"/>
      <c r="K316" s="146"/>
      <c r="L316" s="146"/>
      <c r="M316" s="146"/>
      <c r="N316" s="146"/>
      <c r="O316" s="146"/>
      <c r="P316" s="146"/>
      <c r="Q316" s="146"/>
      <c r="R316" s="146"/>
      <c r="S316" s="146"/>
      <c r="T316" s="146"/>
      <c r="U316" s="146"/>
      <c r="V316" s="146"/>
      <c r="W316" s="146"/>
      <c r="X316" s="146"/>
      <c r="Y316" s="146"/>
      <c r="Z316" s="146"/>
      <c r="AA316" s="146"/>
      <c r="AB316" s="146"/>
      <c r="AC316" s="146"/>
      <c r="AD316" s="146"/>
      <c r="AE316" s="146"/>
      <c r="AF316" s="146"/>
      <c r="AG316" s="146"/>
    </row>
    <row r="317" spans="1:33" ht="12.75">
      <c r="A317" s="148"/>
      <c r="B317" s="146"/>
      <c r="C317" s="146"/>
      <c r="D317" s="146"/>
      <c r="E317" s="146"/>
      <c r="F317" s="146"/>
      <c r="G317" s="146"/>
      <c r="H317" s="146"/>
      <c r="I317" s="146"/>
      <c r="J317" s="146"/>
      <c r="K317" s="146"/>
      <c r="L317" s="146"/>
      <c r="M317" s="146"/>
      <c r="N317" s="146"/>
      <c r="O317" s="146"/>
      <c r="P317" s="146"/>
      <c r="Q317" s="146"/>
      <c r="R317" s="146"/>
      <c r="S317" s="146"/>
      <c r="T317" s="146"/>
      <c r="U317" s="146"/>
      <c r="V317" s="146"/>
      <c r="W317" s="146"/>
      <c r="X317" s="146"/>
      <c r="Y317" s="146"/>
      <c r="Z317" s="146"/>
      <c r="AA317" s="146"/>
      <c r="AB317" s="146"/>
      <c r="AC317" s="146"/>
      <c r="AD317" s="146"/>
      <c r="AE317" s="146"/>
      <c r="AF317" s="146"/>
      <c r="AG317" s="146"/>
    </row>
    <row r="318" spans="1:33" ht="12.75">
      <c r="A318" s="148"/>
      <c r="B318" s="146"/>
      <c r="C318" s="146"/>
      <c r="D318" s="146"/>
      <c r="E318" s="146"/>
      <c r="F318" s="146"/>
      <c r="G318" s="146"/>
      <c r="H318" s="146"/>
      <c r="I318" s="146"/>
      <c r="J318" s="146"/>
      <c r="K318" s="146"/>
      <c r="L318" s="146"/>
      <c r="M318" s="146"/>
      <c r="N318" s="146"/>
      <c r="O318" s="146"/>
      <c r="P318" s="146"/>
      <c r="Q318" s="146"/>
      <c r="R318" s="146"/>
      <c r="S318" s="146"/>
      <c r="T318" s="146"/>
      <c r="U318" s="146"/>
      <c r="V318" s="146"/>
      <c r="W318" s="146"/>
      <c r="X318" s="146"/>
      <c r="Y318" s="146"/>
      <c r="Z318" s="146"/>
      <c r="AA318" s="146"/>
      <c r="AB318" s="146"/>
      <c r="AC318" s="146"/>
      <c r="AD318" s="146"/>
      <c r="AE318" s="146"/>
      <c r="AF318" s="146"/>
      <c r="AG318" s="146"/>
    </row>
    <row r="319" spans="1:33" ht="12.75">
      <c r="A319" s="148"/>
      <c r="B319" s="146"/>
      <c r="C319" s="146"/>
      <c r="D319" s="146"/>
      <c r="E319" s="146"/>
      <c r="F319" s="146"/>
      <c r="G319" s="146"/>
      <c r="H319" s="146"/>
      <c r="I319" s="146"/>
      <c r="J319" s="146"/>
      <c r="K319" s="146"/>
      <c r="L319" s="146"/>
      <c r="M319" s="146"/>
      <c r="N319" s="146"/>
      <c r="O319" s="146"/>
      <c r="P319" s="146"/>
      <c r="Q319" s="146"/>
      <c r="R319" s="146"/>
      <c r="S319" s="146"/>
      <c r="T319" s="146"/>
      <c r="U319" s="146"/>
      <c r="V319" s="146"/>
      <c r="W319" s="146"/>
      <c r="X319" s="146"/>
      <c r="Y319" s="146"/>
      <c r="Z319" s="146"/>
      <c r="AA319" s="146"/>
      <c r="AB319" s="146"/>
      <c r="AC319" s="146"/>
      <c r="AD319" s="146"/>
      <c r="AE319" s="146"/>
      <c r="AF319" s="146"/>
      <c r="AG319" s="146"/>
    </row>
    <row r="320" spans="1:33" ht="12.75">
      <c r="A320" s="148"/>
      <c r="B320" s="146"/>
      <c r="C320" s="146"/>
      <c r="D320" s="146"/>
      <c r="E320" s="146"/>
      <c r="F320" s="146"/>
      <c r="G320" s="146"/>
      <c r="H320" s="146"/>
      <c r="I320" s="146"/>
      <c r="J320" s="146"/>
      <c r="K320" s="146"/>
      <c r="L320" s="146"/>
      <c r="M320" s="146"/>
      <c r="N320" s="146"/>
      <c r="O320" s="146"/>
      <c r="P320" s="146"/>
      <c r="Q320" s="146"/>
      <c r="R320" s="146"/>
      <c r="S320" s="146"/>
      <c r="T320" s="146"/>
      <c r="U320" s="146"/>
      <c r="V320" s="146"/>
      <c r="W320" s="146"/>
      <c r="X320" s="146"/>
      <c r="Y320" s="146"/>
      <c r="Z320" s="146"/>
      <c r="AA320" s="146"/>
      <c r="AB320" s="146"/>
      <c r="AC320" s="146"/>
      <c r="AD320" s="146"/>
      <c r="AE320" s="146"/>
      <c r="AF320" s="146"/>
      <c r="AG320" s="146"/>
    </row>
    <row r="321" spans="1:33" ht="12.75">
      <c r="A321" s="148"/>
      <c r="B321" s="146"/>
      <c r="C321" s="146"/>
      <c r="D321" s="146"/>
      <c r="E321" s="146"/>
      <c r="F321" s="146"/>
      <c r="G321" s="146"/>
      <c r="H321" s="146"/>
      <c r="I321" s="146"/>
      <c r="J321" s="146"/>
      <c r="K321" s="146"/>
      <c r="L321" s="146"/>
      <c r="M321" s="146"/>
      <c r="N321" s="146"/>
      <c r="O321" s="146"/>
      <c r="P321" s="146"/>
      <c r="Q321" s="146"/>
      <c r="R321" s="146"/>
      <c r="S321" s="146"/>
      <c r="T321" s="146"/>
      <c r="U321" s="146"/>
      <c r="V321" s="146"/>
      <c r="W321" s="146"/>
      <c r="X321" s="146"/>
      <c r="Y321" s="146"/>
      <c r="Z321" s="146"/>
      <c r="AA321" s="146"/>
      <c r="AB321" s="146"/>
      <c r="AC321" s="146"/>
      <c r="AD321" s="146"/>
      <c r="AE321" s="146"/>
      <c r="AF321" s="146"/>
      <c r="AG321" s="146"/>
    </row>
    <row r="322" spans="1:33" ht="12.75">
      <c r="A322" s="148"/>
      <c r="B322" s="146"/>
      <c r="C322" s="146"/>
      <c r="D322" s="146"/>
      <c r="E322" s="146"/>
      <c r="F322" s="146"/>
      <c r="G322" s="146"/>
      <c r="H322" s="146"/>
      <c r="I322" s="146"/>
      <c r="J322" s="146"/>
      <c r="K322" s="146"/>
      <c r="L322" s="146"/>
      <c r="M322" s="146"/>
      <c r="N322" s="146"/>
      <c r="O322" s="146"/>
      <c r="P322" s="146"/>
      <c r="Q322" s="146"/>
      <c r="R322" s="146"/>
      <c r="S322" s="146"/>
      <c r="T322" s="146"/>
      <c r="U322" s="146"/>
      <c r="V322" s="146"/>
      <c r="W322" s="146"/>
      <c r="X322" s="146"/>
      <c r="Y322" s="146"/>
      <c r="Z322" s="146"/>
      <c r="AA322" s="146"/>
      <c r="AB322" s="146"/>
      <c r="AC322" s="146"/>
      <c r="AD322" s="146"/>
      <c r="AE322" s="146"/>
      <c r="AF322" s="146"/>
      <c r="AG322" s="146"/>
    </row>
    <row r="323" spans="1:33" ht="12.75">
      <c r="A323" s="148"/>
      <c r="B323" s="146"/>
      <c r="C323" s="146"/>
      <c r="D323" s="146"/>
      <c r="E323" s="146"/>
      <c r="F323" s="146"/>
      <c r="G323" s="146"/>
      <c r="H323" s="146"/>
      <c r="I323" s="146"/>
      <c r="J323" s="146"/>
      <c r="K323" s="146"/>
      <c r="L323" s="146"/>
      <c r="M323" s="146"/>
      <c r="N323" s="146"/>
      <c r="O323" s="146"/>
      <c r="P323" s="146"/>
      <c r="Q323" s="146"/>
      <c r="R323" s="146"/>
      <c r="S323" s="146"/>
      <c r="T323" s="146"/>
      <c r="U323" s="146"/>
      <c r="V323" s="146"/>
      <c r="W323" s="146"/>
      <c r="X323" s="146"/>
      <c r="Y323" s="146"/>
      <c r="Z323" s="146"/>
      <c r="AA323" s="146"/>
      <c r="AB323" s="146"/>
      <c r="AC323" s="146"/>
      <c r="AD323" s="146"/>
      <c r="AE323" s="146"/>
      <c r="AF323" s="146"/>
      <c r="AG323" s="146"/>
    </row>
    <row r="324" spans="1:33" ht="12.75">
      <c r="A324" s="148"/>
      <c r="B324" s="146"/>
      <c r="C324" s="146"/>
      <c r="D324" s="146"/>
      <c r="E324" s="146"/>
      <c r="F324" s="146"/>
      <c r="G324" s="146"/>
      <c r="H324" s="146"/>
      <c r="I324" s="146"/>
      <c r="J324" s="146"/>
      <c r="K324" s="146"/>
      <c r="L324" s="146"/>
      <c r="M324" s="146"/>
      <c r="N324" s="146"/>
      <c r="O324" s="146"/>
      <c r="P324" s="146"/>
      <c r="Q324" s="146"/>
      <c r="R324" s="146"/>
      <c r="S324" s="146"/>
      <c r="T324" s="146"/>
      <c r="U324" s="146"/>
      <c r="V324" s="146"/>
      <c r="W324" s="146"/>
      <c r="X324" s="146"/>
      <c r="Y324" s="146"/>
      <c r="Z324" s="146"/>
      <c r="AA324" s="146"/>
      <c r="AB324" s="146"/>
      <c r="AC324" s="146"/>
      <c r="AD324" s="146"/>
      <c r="AE324" s="146"/>
      <c r="AF324" s="146"/>
      <c r="AG324" s="146"/>
    </row>
    <row r="325" spans="1:33" ht="12.75">
      <c r="A325" s="148"/>
      <c r="B325" s="146"/>
      <c r="C325" s="146"/>
      <c r="D325" s="146"/>
      <c r="E325" s="146"/>
      <c r="F325" s="146"/>
      <c r="G325" s="146"/>
      <c r="H325" s="146"/>
      <c r="I325" s="146"/>
      <c r="J325" s="146"/>
      <c r="K325" s="146"/>
      <c r="L325" s="146"/>
      <c r="M325" s="146"/>
      <c r="N325" s="146"/>
      <c r="O325" s="146"/>
      <c r="P325" s="146"/>
      <c r="Q325" s="146"/>
      <c r="R325" s="146"/>
      <c r="S325" s="146"/>
      <c r="T325" s="146"/>
      <c r="U325" s="146"/>
      <c r="V325" s="146"/>
      <c r="W325" s="146"/>
      <c r="X325" s="146"/>
      <c r="Y325" s="146"/>
      <c r="Z325" s="146"/>
      <c r="AA325" s="146"/>
      <c r="AB325" s="146"/>
      <c r="AC325" s="146"/>
      <c r="AD325" s="146"/>
      <c r="AE325" s="146"/>
      <c r="AF325" s="146"/>
      <c r="AG325" s="146"/>
    </row>
    <row r="326" spans="1:33" ht="12.75">
      <c r="A326" s="148"/>
      <c r="B326" s="146"/>
      <c r="C326" s="146"/>
      <c r="D326" s="146"/>
      <c r="E326" s="146"/>
      <c r="F326" s="146"/>
      <c r="G326" s="146"/>
      <c r="H326" s="146"/>
      <c r="I326" s="146"/>
      <c r="J326" s="146"/>
      <c r="K326" s="146"/>
      <c r="L326" s="146"/>
      <c r="M326" s="146"/>
      <c r="N326" s="146"/>
      <c r="O326" s="146"/>
      <c r="P326" s="146"/>
      <c r="Q326" s="146"/>
      <c r="R326" s="146"/>
      <c r="S326" s="146"/>
      <c r="T326" s="146"/>
      <c r="U326" s="146"/>
      <c r="V326" s="146"/>
      <c r="W326" s="146"/>
      <c r="X326" s="146"/>
      <c r="Y326" s="146"/>
      <c r="Z326" s="146"/>
      <c r="AA326" s="146"/>
      <c r="AB326" s="146"/>
      <c r="AC326" s="146"/>
      <c r="AD326" s="146"/>
      <c r="AE326" s="146"/>
      <c r="AF326" s="146"/>
      <c r="AG326" s="146"/>
    </row>
    <row r="327" spans="1:33" ht="12.75">
      <c r="A327" s="148"/>
      <c r="B327" s="146"/>
      <c r="C327" s="146"/>
      <c r="D327" s="146"/>
      <c r="E327" s="146"/>
      <c r="F327" s="146"/>
      <c r="G327" s="146"/>
      <c r="H327" s="146"/>
      <c r="I327" s="146"/>
      <c r="J327" s="146"/>
      <c r="K327" s="146"/>
      <c r="L327" s="146"/>
      <c r="M327" s="146"/>
      <c r="N327" s="146"/>
      <c r="O327" s="146"/>
      <c r="P327" s="146"/>
      <c r="Q327" s="146"/>
      <c r="R327" s="146"/>
      <c r="S327" s="146"/>
      <c r="T327" s="146"/>
      <c r="U327" s="146"/>
      <c r="V327" s="146"/>
      <c r="W327" s="146"/>
      <c r="X327" s="146"/>
      <c r="Y327" s="146"/>
      <c r="Z327" s="146"/>
      <c r="AA327" s="146"/>
      <c r="AB327" s="146"/>
      <c r="AC327" s="146"/>
      <c r="AD327" s="146"/>
      <c r="AE327" s="146"/>
      <c r="AF327" s="146"/>
      <c r="AG327" s="146"/>
    </row>
    <row r="328" spans="1:33" ht="12.75">
      <c r="A328" s="148"/>
      <c r="B328" s="146"/>
      <c r="C328" s="146"/>
      <c r="D328" s="146"/>
      <c r="E328" s="146"/>
      <c r="F328" s="146"/>
      <c r="G328" s="146"/>
      <c r="H328" s="146"/>
      <c r="I328" s="146"/>
      <c r="J328" s="146"/>
      <c r="K328" s="146"/>
      <c r="L328" s="146"/>
      <c r="M328" s="146"/>
      <c r="N328" s="146"/>
      <c r="O328" s="146"/>
      <c r="P328" s="146"/>
      <c r="Q328" s="146"/>
      <c r="R328" s="146"/>
      <c r="S328" s="146"/>
      <c r="T328" s="146"/>
      <c r="U328" s="146"/>
      <c r="V328" s="146"/>
      <c r="W328" s="146"/>
      <c r="X328" s="146"/>
      <c r="Y328" s="146"/>
      <c r="Z328" s="146"/>
      <c r="AA328" s="146"/>
      <c r="AB328" s="146"/>
      <c r="AC328" s="146"/>
      <c r="AD328" s="146"/>
      <c r="AE328" s="146"/>
      <c r="AF328" s="146"/>
      <c r="AG328" s="146"/>
    </row>
    <row r="329" spans="1:33" ht="12.75">
      <c r="A329" s="148"/>
      <c r="B329" s="146"/>
      <c r="C329" s="146"/>
      <c r="D329" s="146"/>
      <c r="E329" s="146"/>
      <c r="F329" s="146"/>
      <c r="G329" s="146"/>
      <c r="H329" s="146"/>
      <c r="I329" s="146"/>
      <c r="J329" s="146"/>
      <c r="K329" s="146"/>
      <c r="L329" s="146"/>
      <c r="M329" s="146"/>
      <c r="N329" s="146"/>
      <c r="O329" s="146"/>
      <c r="P329" s="146"/>
      <c r="Q329" s="146"/>
      <c r="R329" s="146"/>
      <c r="S329" s="146"/>
      <c r="T329" s="146"/>
      <c r="U329" s="146"/>
      <c r="V329" s="146"/>
      <c r="W329" s="146"/>
      <c r="X329" s="146"/>
      <c r="Y329" s="146"/>
      <c r="Z329" s="146"/>
      <c r="AA329" s="146"/>
      <c r="AB329" s="146"/>
      <c r="AC329" s="146"/>
      <c r="AD329" s="146"/>
      <c r="AE329" s="146"/>
      <c r="AF329" s="146"/>
      <c r="AG329" s="146"/>
    </row>
    <row r="330" spans="1:33" ht="12.75">
      <c r="A330" s="148"/>
      <c r="B330" s="146"/>
      <c r="C330" s="146"/>
      <c r="D330" s="146"/>
      <c r="E330" s="146"/>
      <c r="F330" s="146"/>
      <c r="G330" s="146"/>
      <c r="H330" s="146"/>
      <c r="I330" s="146"/>
      <c r="J330" s="146"/>
      <c r="K330" s="146"/>
      <c r="L330" s="146"/>
      <c r="M330" s="146"/>
      <c r="N330" s="146"/>
      <c r="O330" s="146"/>
      <c r="P330" s="146"/>
      <c r="Q330" s="146"/>
      <c r="R330" s="146"/>
      <c r="S330" s="146"/>
      <c r="T330" s="146"/>
      <c r="U330" s="146"/>
      <c r="V330" s="146"/>
      <c r="W330" s="146"/>
      <c r="X330" s="146"/>
      <c r="Y330" s="146"/>
      <c r="Z330" s="146"/>
      <c r="AA330" s="146"/>
      <c r="AB330" s="146"/>
      <c r="AC330" s="146"/>
      <c r="AD330" s="146"/>
      <c r="AE330" s="146"/>
      <c r="AF330" s="146"/>
      <c r="AG330" s="146"/>
    </row>
    <row r="331" spans="1:33" ht="12.75">
      <c r="A331" s="148"/>
      <c r="B331" s="146"/>
      <c r="C331" s="146"/>
      <c r="D331" s="146"/>
      <c r="E331" s="146"/>
      <c r="F331" s="146"/>
      <c r="G331" s="146"/>
      <c r="H331" s="146"/>
      <c r="I331" s="146"/>
      <c r="J331" s="146"/>
      <c r="K331" s="146"/>
      <c r="L331" s="146"/>
      <c r="M331" s="146"/>
      <c r="N331" s="146"/>
      <c r="O331" s="146"/>
      <c r="P331" s="146"/>
      <c r="Q331" s="146"/>
      <c r="R331" s="146"/>
      <c r="S331" s="146"/>
      <c r="T331" s="146"/>
      <c r="U331" s="146"/>
      <c r="V331" s="146"/>
      <c r="W331" s="146"/>
      <c r="X331" s="146"/>
      <c r="Y331" s="146"/>
      <c r="Z331" s="146"/>
      <c r="AA331" s="146"/>
      <c r="AB331" s="146"/>
      <c r="AC331" s="146"/>
      <c r="AD331" s="146"/>
      <c r="AE331" s="146"/>
      <c r="AF331" s="146"/>
      <c r="AG331" s="146"/>
    </row>
    <row r="332" spans="1:33" ht="12.75">
      <c r="A332" s="148"/>
      <c r="B332" s="146"/>
      <c r="C332" s="146"/>
      <c r="D332" s="146"/>
      <c r="E332" s="146"/>
      <c r="F332" s="146"/>
      <c r="G332" s="146"/>
      <c r="H332" s="146"/>
      <c r="I332" s="146"/>
      <c r="J332" s="146"/>
      <c r="K332" s="146"/>
      <c r="L332" s="146"/>
      <c r="M332" s="146"/>
      <c r="N332" s="146"/>
      <c r="O332" s="146"/>
      <c r="P332" s="146"/>
      <c r="Q332" s="146"/>
      <c r="R332" s="146"/>
      <c r="S332" s="146"/>
      <c r="T332" s="146"/>
      <c r="U332" s="146"/>
      <c r="V332" s="146"/>
      <c r="W332" s="146"/>
      <c r="X332" s="146"/>
      <c r="Y332" s="146"/>
      <c r="Z332" s="146"/>
      <c r="AA332" s="146"/>
      <c r="AB332" s="146"/>
      <c r="AC332" s="146"/>
      <c r="AD332" s="146"/>
      <c r="AE332" s="146"/>
      <c r="AF332" s="146"/>
      <c r="AG332" s="146"/>
    </row>
    <row r="333" spans="1:33" ht="12.75">
      <c r="A333" s="148"/>
      <c r="B333" s="146"/>
      <c r="C333" s="146"/>
      <c r="D333" s="146"/>
      <c r="E333" s="146"/>
      <c r="F333" s="146"/>
      <c r="G333" s="146"/>
      <c r="H333" s="146"/>
      <c r="I333" s="146"/>
      <c r="J333" s="146"/>
      <c r="K333" s="146"/>
      <c r="L333" s="146"/>
      <c r="M333" s="146"/>
      <c r="N333" s="146"/>
      <c r="O333" s="146"/>
      <c r="P333" s="146"/>
      <c r="Q333" s="146"/>
      <c r="R333" s="146"/>
      <c r="S333" s="146"/>
      <c r="T333" s="146"/>
      <c r="U333" s="146"/>
      <c r="V333" s="146"/>
      <c r="W333" s="146"/>
      <c r="X333" s="146"/>
      <c r="Y333" s="146"/>
      <c r="Z333" s="146"/>
      <c r="AA333" s="146"/>
      <c r="AB333" s="146"/>
      <c r="AC333" s="146"/>
      <c r="AD333" s="146"/>
      <c r="AE333" s="146"/>
      <c r="AF333" s="146"/>
      <c r="AG333" s="146"/>
    </row>
    <row r="334" spans="1:33" ht="12.75">
      <c r="A334" s="148"/>
      <c r="B334" s="146"/>
      <c r="C334" s="146"/>
      <c r="D334" s="146"/>
      <c r="E334" s="146"/>
      <c r="F334" s="146"/>
      <c r="G334" s="146"/>
      <c r="H334" s="146"/>
      <c r="I334" s="146"/>
      <c r="J334" s="146"/>
      <c r="K334" s="146"/>
      <c r="L334" s="146"/>
      <c r="M334" s="146"/>
      <c r="N334" s="146"/>
      <c r="O334" s="146"/>
      <c r="P334" s="146"/>
      <c r="Q334" s="146"/>
      <c r="R334" s="146"/>
      <c r="S334" s="146"/>
      <c r="T334" s="146"/>
      <c r="U334" s="146"/>
      <c r="V334" s="146"/>
      <c r="W334" s="146"/>
      <c r="X334" s="146"/>
      <c r="Y334" s="146"/>
      <c r="Z334" s="146"/>
      <c r="AA334" s="146"/>
      <c r="AB334" s="146"/>
      <c r="AC334" s="146"/>
      <c r="AD334" s="146"/>
      <c r="AE334" s="146"/>
      <c r="AF334" s="146"/>
      <c r="AG334" s="146"/>
    </row>
    <row r="335" spans="1:33" ht="12.75">
      <c r="A335" s="148"/>
      <c r="B335" s="146"/>
      <c r="C335" s="146"/>
      <c r="D335" s="146"/>
      <c r="E335" s="146"/>
      <c r="F335" s="146"/>
      <c r="G335" s="146"/>
      <c r="H335" s="146"/>
      <c r="I335" s="146"/>
      <c r="J335" s="146"/>
      <c r="K335" s="146"/>
      <c r="L335" s="146"/>
      <c r="M335" s="146"/>
      <c r="N335" s="146"/>
      <c r="O335" s="146"/>
      <c r="P335" s="146"/>
      <c r="Q335" s="146"/>
      <c r="R335" s="146"/>
      <c r="S335" s="146"/>
      <c r="T335" s="146"/>
      <c r="U335" s="146"/>
      <c r="V335" s="146"/>
      <c r="W335" s="146"/>
      <c r="X335" s="146"/>
      <c r="Y335" s="146"/>
      <c r="Z335" s="146"/>
      <c r="AA335" s="146"/>
      <c r="AB335" s="146"/>
      <c r="AC335" s="146"/>
      <c r="AD335" s="146"/>
      <c r="AE335" s="146"/>
      <c r="AF335" s="146"/>
      <c r="AG335" s="146"/>
    </row>
    <row r="336" spans="1:33" ht="12.75">
      <c r="A336" s="148"/>
      <c r="B336" s="146"/>
      <c r="C336" s="146"/>
      <c r="D336" s="146"/>
      <c r="E336" s="146"/>
      <c r="F336" s="146"/>
      <c r="G336" s="146"/>
      <c r="H336" s="146"/>
      <c r="I336" s="146"/>
      <c r="J336" s="146"/>
      <c r="K336" s="146"/>
      <c r="L336" s="146"/>
      <c r="M336" s="146"/>
      <c r="N336" s="146"/>
      <c r="O336" s="146"/>
      <c r="P336" s="146"/>
      <c r="Q336" s="146"/>
      <c r="R336" s="146"/>
      <c r="S336" s="146"/>
      <c r="T336" s="146"/>
      <c r="U336" s="146"/>
      <c r="V336" s="146"/>
      <c r="W336" s="146"/>
      <c r="X336" s="146"/>
      <c r="Y336" s="146"/>
      <c r="Z336" s="146"/>
      <c r="AA336" s="146"/>
      <c r="AB336" s="146"/>
      <c r="AC336" s="146"/>
      <c r="AD336" s="146"/>
      <c r="AE336" s="146"/>
      <c r="AF336" s="146"/>
      <c r="AG336" s="146"/>
    </row>
    <row r="337" spans="1:33" ht="12.75">
      <c r="A337" s="148"/>
      <c r="B337" s="146"/>
      <c r="C337" s="146"/>
      <c r="D337" s="146"/>
      <c r="E337" s="146"/>
      <c r="F337" s="146"/>
      <c r="G337" s="146"/>
      <c r="H337" s="146"/>
      <c r="I337" s="146"/>
      <c r="J337" s="146"/>
      <c r="K337" s="146"/>
      <c r="L337" s="146"/>
      <c r="M337" s="146"/>
      <c r="N337" s="146"/>
      <c r="O337" s="146"/>
      <c r="P337" s="146"/>
      <c r="Q337" s="146"/>
      <c r="R337" s="146"/>
      <c r="S337" s="146"/>
      <c r="T337" s="146"/>
      <c r="U337" s="146"/>
      <c r="V337" s="146"/>
      <c r="W337" s="146"/>
      <c r="X337" s="146"/>
      <c r="Y337" s="146"/>
      <c r="Z337" s="146"/>
      <c r="AA337" s="146"/>
      <c r="AB337" s="146"/>
      <c r="AC337" s="146"/>
      <c r="AD337" s="146"/>
      <c r="AE337" s="146"/>
      <c r="AF337" s="146"/>
      <c r="AG337" s="146"/>
    </row>
    <row r="338" spans="1:33" ht="12.75">
      <c r="A338" s="148"/>
      <c r="B338" s="146"/>
      <c r="C338" s="146"/>
      <c r="D338" s="146"/>
      <c r="E338" s="146"/>
      <c r="F338" s="146"/>
      <c r="G338" s="146"/>
      <c r="H338" s="146"/>
      <c r="I338" s="146"/>
      <c r="J338" s="146"/>
      <c r="K338" s="146"/>
      <c r="L338" s="146"/>
      <c r="M338" s="146"/>
      <c r="N338" s="146"/>
      <c r="O338" s="146"/>
      <c r="P338" s="146"/>
      <c r="Q338" s="146"/>
      <c r="R338" s="146"/>
      <c r="S338" s="146"/>
      <c r="T338" s="146"/>
      <c r="U338" s="146"/>
      <c r="V338" s="146"/>
      <c r="W338" s="146"/>
      <c r="X338" s="146"/>
      <c r="Y338" s="146"/>
      <c r="Z338" s="146"/>
      <c r="AA338" s="146"/>
      <c r="AB338" s="146"/>
      <c r="AC338" s="146"/>
      <c r="AD338" s="146"/>
      <c r="AE338" s="146"/>
      <c r="AF338" s="146"/>
      <c r="AG338" s="146"/>
    </row>
    <row r="339" spans="1:33" ht="12.75">
      <c r="A339" s="148"/>
      <c r="B339" s="146"/>
      <c r="C339" s="146"/>
      <c r="D339" s="146"/>
      <c r="E339" s="146"/>
      <c r="F339" s="146"/>
      <c r="G339" s="146"/>
      <c r="H339" s="146"/>
      <c r="I339" s="146"/>
      <c r="J339" s="146"/>
      <c r="K339" s="146"/>
      <c r="L339" s="146"/>
      <c r="M339" s="146"/>
      <c r="N339" s="146"/>
      <c r="O339" s="146"/>
      <c r="P339" s="146"/>
      <c r="Q339" s="146"/>
      <c r="R339" s="146"/>
      <c r="S339" s="146"/>
      <c r="T339" s="146"/>
      <c r="U339" s="146"/>
      <c r="V339" s="146"/>
      <c r="W339" s="146"/>
      <c r="X339" s="146"/>
      <c r="Y339" s="146"/>
      <c r="Z339" s="146"/>
      <c r="AA339" s="146"/>
      <c r="AB339" s="146"/>
      <c r="AC339" s="146"/>
      <c r="AD339" s="146"/>
      <c r="AE339" s="146"/>
      <c r="AF339" s="146"/>
      <c r="AG339" s="146"/>
    </row>
    <row r="340" spans="1:33" ht="12.75">
      <c r="A340" s="148"/>
      <c r="B340" s="146"/>
      <c r="C340" s="146"/>
      <c r="D340" s="146"/>
      <c r="E340" s="146"/>
      <c r="F340" s="146"/>
      <c r="G340" s="146"/>
      <c r="H340" s="146"/>
      <c r="I340" s="146"/>
      <c r="J340" s="146"/>
      <c r="K340" s="146"/>
      <c r="L340" s="146"/>
      <c r="M340" s="146"/>
      <c r="N340" s="146"/>
      <c r="O340" s="146"/>
      <c r="P340" s="146"/>
      <c r="Q340" s="146"/>
      <c r="R340" s="146"/>
      <c r="S340" s="146"/>
      <c r="T340" s="146"/>
      <c r="U340" s="146"/>
      <c r="V340" s="146"/>
      <c r="W340" s="146"/>
      <c r="X340" s="146"/>
      <c r="Y340" s="146"/>
      <c r="Z340" s="146"/>
      <c r="AA340" s="146"/>
      <c r="AB340" s="146"/>
      <c r="AC340" s="146"/>
      <c r="AD340" s="146"/>
      <c r="AE340" s="146"/>
      <c r="AF340" s="146"/>
      <c r="AG340" s="146"/>
    </row>
    <row r="341" spans="1:33" ht="12.75">
      <c r="A341" s="148"/>
      <c r="B341" s="146"/>
      <c r="C341" s="146"/>
      <c r="D341" s="146"/>
      <c r="E341" s="146"/>
      <c r="F341" s="146"/>
      <c r="G341" s="146"/>
      <c r="H341" s="146"/>
      <c r="I341" s="146"/>
      <c r="J341" s="146"/>
      <c r="K341" s="146"/>
      <c r="L341" s="146"/>
      <c r="M341" s="146"/>
      <c r="N341" s="146"/>
      <c r="O341" s="146"/>
      <c r="P341" s="146"/>
      <c r="Q341" s="146"/>
      <c r="R341" s="146"/>
      <c r="S341" s="146"/>
      <c r="T341" s="146"/>
      <c r="U341" s="146"/>
      <c r="V341" s="146"/>
      <c r="W341" s="146"/>
      <c r="X341" s="146"/>
      <c r="Y341" s="146"/>
      <c r="Z341" s="146"/>
      <c r="AA341" s="146"/>
      <c r="AB341" s="146"/>
      <c r="AC341" s="146"/>
      <c r="AD341" s="146"/>
      <c r="AE341" s="146"/>
      <c r="AF341" s="146"/>
      <c r="AG341" s="146"/>
    </row>
    <row r="342" spans="1:33" ht="12.75">
      <c r="A342" s="148"/>
      <c r="B342" s="146"/>
      <c r="C342" s="146"/>
      <c r="D342" s="146"/>
      <c r="E342" s="146"/>
      <c r="F342" s="146"/>
      <c r="G342" s="146"/>
      <c r="H342" s="146"/>
      <c r="I342" s="146"/>
      <c r="J342" s="146"/>
      <c r="K342" s="146"/>
      <c r="L342" s="146"/>
      <c r="M342" s="146"/>
      <c r="N342" s="146"/>
      <c r="O342" s="146"/>
      <c r="P342" s="146"/>
      <c r="Q342" s="146"/>
      <c r="R342" s="146"/>
      <c r="S342" s="146"/>
      <c r="T342" s="146"/>
      <c r="U342" s="146"/>
      <c r="V342" s="146"/>
      <c r="W342" s="146"/>
      <c r="X342" s="146"/>
      <c r="Y342" s="146"/>
      <c r="Z342" s="146"/>
      <c r="AA342" s="146"/>
      <c r="AB342" s="146"/>
      <c r="AC342" s="146"/>
      <c r="AD342" s="146"/>
      <c r="AE342" s="146"/>
      <c r="AF342" s="146"/>
      <c r="AG342" s="146"/>
    </row>
    <row r="343" spans="1:33" ht="12.75">
      <c r="A343" s="148"/>
      <c r="B343" s="146"/>
      <c r="C343" s="146"/>
      <c r="D343" s="146"/>
      <c r="E343" s="146"/>
      <c r="F343" s="146"/>
      <c r="G343" s="146"/>
      <c r="H343" s="146"/>
      <c r="I343" s="146"/>
      <c r="J343" s="146"/>
      <c r="K343" s="146"/>
      <c r="L343" s="146"/>
      <c r="M343" s="146"/>
      <c r="N343" s="146"/>
      <c r="O343" s="146"/>
      <c r="P343" s="146"/>
      <c r="Q343" s="146"/>
      <c r="R343" s="146"/>
      <c r="S343" s="146"/>
      <c r="T343" s="146"/>
      <c r="U343" s="146"/>
      <c r="V343" s="146"/>
      <c r="W343" s="146"/>
      <c r="X343" s="146"/>
      <c r="Y343" s="146"/>
      <c r="Z343" s="146"/>
      <c r="AA343" s="146"/>
      <c r="AB343" s="146"/>
      <c r="AC343" s="146"/>
      <c r="AD343" s="146"/>
      <c r="AE343" s="146"/>
      <c r="AF343" s="146"/>
      <c r="AG343" s="146"/>
    </row>
    <row r="344" spans="1:33" ht="12.75">
      <c r="A344" s="148"/>
      <c r="B344" s="146"/>
      <c r="C344" s="146"/>
      <c r="D344" s="146"/>
      <c r="E344" s="146"/>
      <c r="F344" s="146"/>
      <c r="G344" s="146"/>
      <c r="H344" s="146"/>
      <c r="I344" s="146"/>
      <c r="J344" s="146"/>
      <c r="K344" s="146"/>
      <c r="L344" s="146"/>
      <c r="M344" s="146"/>
      <c r="N344" s="146"/>
      <c r="O344" s="146"/>
      <c r="P344" s="146"/>
      <c r="Q344" s="146"/>
      <c r="R344" s="146"/>
      <c r="S344" s="146"/>
      <c r="T344" s="146"/>
      <c r="U344" s="146"/>
      <c r="V344" s="146"/>
      <c r="W344" s="146"/>
      <c r="X344" s="146"/>
      <c r="Y344" s="146"/>
      <c r="Z344" s="146"/>
      <c r="AA344" s="146"/>
      <c r="AB344" s="146"/>
      <c r="AC344" s="146"/>
      <c r="AD344" s="146"/>
      <c r="AE344" s="146"/>
      <c r="AF344" s="146"/>
      <c r="AG344" s="146"/>
    </row>
    <row r="345" spans="1:33" ht="12.75">
      <c r="A345" s="148"/>
      <c r="B345" s="146"/>
      <c r="C345" s="146"/>
      <c r="D345" s="146"/>
      <c r="E345" s="146"/>
      <c r="F345" s="146"/>
      <c r="G345" s="146"/>
      <c r="H345" s="146"/>
      <c r="I345" s="146"/>
      <c r="J345" s="146"/>
      <c r="K345" s="146"/>
      <c r="L345" s="146"/>
      <c r="M345" s="146"/>
      <c r="N345" s="146"/>
      <c r="O345" s="146"/>
      <c r="P345" s="146"/>
      <c r="Q345" s="146"/>
      <c r="R345" s="146"/>
      <c r="S345" s="146"/>
      <c r="T345" s="146"/>
      <c r="U345" s="146"/>
      <c r="V345" s="146"/>
      <c r="W345" s="146"/>
      <c r="X345" s="146"/>
      <c r="Y345" s="146"/>
      <c r="Z345" s="146"/>
      <c r="AA345" s="146"/>
      <c r="AB345" s="146"/>
      <c r="AC345" s="146"/>
      <c r="AD345" s="146"/>
      <c r="AE345" s="146"/>
      <c r="AF345" s="146"/>
      <c r="AG345" s="146"/>
    </row>
    <row r="346" spans="1:33" ht="12.75">
      <c r="A346" s="148"/>
      <c r="B346" s="146"/>
      <c r="C346" s="146"/>
      <c r="D346" s="146"/>
      <c r="E346" s="146"/>
      <c r="F346" s="146"/>
      <c r="G346" s="146"/>
      <c r="H346" s="146"/>
      <c r="I346" s="146"/>
      <c r="J346" s="146"/>
      <c r="K346" s="146"/>
      <c r="L346" s="146"/>
      <c r="M346" s="146"/>
      <c r="N346" s="146"/>
      <c r="O346" s="146"/>
      <c r="P346" s="146"/>
      <c r="Q346" s="146"/>
      <c r="R346" s="146"/>
      <c r="S346" s="146"/>
      <c r="T346" s="146"/>
      <c r="U346" s="146"/>
      <c r="V346" s="146"/>
      <c r="W346" s="146"/>
      <c r="X346" s="146"/>
      <c r="Y346" s="146"/>
      <c r="Z346" s="146"/>
      <c r="AA346" s="146"/>
      <c r="AB346" s="146"/>
      <c r="AC346" s="146"/>
      <c r="AD346" s="146"/>
      <c r="AE346" s="146"/>
      <c r="AF346" s="146"/>
      <c r="AG346" s="146"/>
    </row>
    <row r="347" spans="1:33" ht="12.75">
      <c r="A347" s="148"/>
      <c r="B347" s="146"/>
      <c r="C347" s="146"/>
      <c r="D347" s="146"/>
      <c r="E347" s="146"/>
      <c r="F347" s="146"/>
      <c r="G347" s="146"/>
      <c r="H347" s="146"/>
      <c r="I347" s="146"/>
      <c r="J347" s="146"/>
      <c r="K347" s="146"/>
      <c r="L347" s="146"/>
      <c r="M347" s="146"/>
      <c r="N347" s="146"/>
      <c r="O347" s="146"/>
      <c r="P347" s="146"/>
      <c r="Q347" s="146"/>
      <c r="R347" s="146"/>
      <c r="S347" s="146"/>
      <c r="T347" s="146"/>
      <c r="U347" s="146"/>
      <c r="V347" s="146"/>
      <c r="W347" s="146"/>
      <c r="X347" s="146"/>
      <c r="Y347" s="146"/>
      <c r="Z347" s="146"/>
      <c r="AA347" s="146"/>
      <c r="AB347" s="146"/>
      <c r="AC347" s="146"/>
      <c r="AD347" s="146"/>
      <c r="AE347" s="146"/>
      <c r="AF347" s="146"/>
      <c r="AG347" s="146"/>
    </row>
    <row r="348" spans="1:33" ht="12.75">
      <c r="A348" s="148"/>
      <c r="B348" s="146"/>
      <c r="C348" s="146"/>
      <c r="D348" s="146"/>
      <c r="E348" s="146"/>
      <c r="F348" s="146"/>
      <c r="G348" s="146"/>
      <c r="H348" s="146"/>
      <c r="I348" s="146"/>
      <c r="J348" s="146"/>
      <c r="K348" s="146"/>
      <c r="L348" s="146"/>
      <c r="M348" s="146"/>
      <c r="N348" s="146"/>
      <c r="O348" s="146"/>
      <c r="P348" s="146"/>
      <c r="Q348" s="146"/>
      <c r="R348" s="146"/>
      <c r="S348" s="146"/>
      <c r="T348" s="146"/>
      <c r="U348" s="146"/>
      <c r="V348" s="146"/>
      <c r="W348" s="146"/>
      <c r="X348" s="146"/>
      <c r="Y348" s="146"/>
      <c r="Z348" s="146"/>
      <c r="AA348" s="146"/>
      <c r="AB348" s="146"/>
      <c r="AC348" s="146"/>
      <c r="AD348" s="146"/>
      <c r="AE348" s="146"/>
      <c r="AF348" s="146"/>
      <c r="AG348" s="146"/>
    </row>
    <row r="349" spans="1:33" ht="12.75">
      <c r="A349" s="148"/>
      <c r="B349" s="146"/>
      <c r="C349" s="146"/>
      <c r="D349" s="146"/>
      <c r="E349" s="146"/>
      <c r="F349" s="146"/>
      <c r="G349" s="146"/>
      <c r="H349" s="146"/>
      <c r="I349" s="146"/>
      <c r="J349" s="146"/>
      <c r="K349" s="146"/>
      <c r="L349" s="146"/>
      <c r="M349" s="146"/>
      <c r="N349" s="146"/>
      <c r="O349" s="146"/>
      <c r="P349" s="146"/>
      <c r="Q349" s="146"/>
      <c r="R349" s="146"/>
      <c r="S349" s="146"/>
      <c r="T349" s="146"/>
      <c r="U349" s="146"/>
      <c r="V349" s="146"/>
      <c r="W349" s="146"/>
      <c r="X349" s="146"/>
      <c r="Y349" s="146"/>
      <c r="Z349" s="146"/>
      <c r="AA349" s="146"/>
      <c r="AB349" s="146"/>
      <c r="AC349" s="146"/>
      <c r="AD349" s="146"/>
      <c r="AE349" s="146"/>
      <c r="AF349" s="146"/>
      <c r="AG349" s="146"/>
    </row>
    <row r="350" spans="1:33" ht="12.75">
      <c r="A350" s="148"/>
      <c r="B350" s="146"/>
      <c r="C350" s="146"/>
      <c r="D350" s="146"/>
      <c r="E350" s="146"/>
      <c r="F350" s="146"/>
      <c r="G350" s="146"/>
      <c r="H350" s="146"/>
      <c r="I350" s="146"/>
      <c r="J350" s="146"/>
      <c r="K350" s="146"/>
      <c r="L350" s="146"/>
      <c r="M350" s="146"/>
      <c r="N350" s="146"/>
      <c r="O350" s="146"/>
      <c r="P350" s="146"/>
      <c r="Q350" s="146"/>
      <c r="R350" s="146"/>
      <c r="S350" s="146"/>
      <c r="T350" s="146"/>
      <c r="U350" s="146"/>
      <c r="V350" s="146"/>
      <c r="W350" s="146"/>
      <c r="X350" s="146"/>
      <c r="Y350" s="146"/>
      <c r="Z350" s="146"/>
      <c r="AA350" s="146"/>
      <c r="AB350" s="146"/>
      <c r="AC350" s="146"/>
      <c r="AD350" s="146"/>
      <c r="AE350" s="146"/>
      <c r="AF350" s="146"/>
      <c r="AG350" s="146"/>
    </row>
    <row r="351" spans="1:33" ht="12.75">
      <c r="A351" s="148"/>
      <c r="B351" s="146"/>
      <c r="C351" s="146"/>
      <c r="D351" s="146"/>
      <c r="E351" s="146"/>
      <c r="F351" s="146"/>
      <c r="G351" s="146"/>
      <c r="H351" s="146"/>
      <c r="I351" s="146"/>
      <c r="J351" s="146"/>
      <c r="K351" s="146"/>
      <c r="L351" s="146"/>
      <c r="M351" s="146"/>
      <c r="N351" s="146"/>
      <c r="O351" s="146"/>
      <c r="P351" s="146"/>
      <c r="Q351" s="146"/>
      <c r="R351" s="146"/>
      <c r="S351" s="146"/>
      <c r="T351" s="146"/>
      <c r="U351" s="146"/>
      <c r="V351" s="146"/>
      <c r="W351" s="146"/>
      <c r="X351" s="146"/>
      <c r="Y351" s="146"/>
      <c r="Z351" s="146"/>
      <c r="AA351" s="146"/>
      <c r="AB351" s="146"/>
      <c r="AC351" s="146"/>
      <c r="AD351" s="146"/>
      <c r="AE351" s="146"/>
      <c r="AF351" s="146"/>
      <c r="AG351" s="146"/>
    </row>
    <row r="352" spans="1:33" ht="12.75">
      <c r="A352" s="148"/>
      <c r="B352" s="146"/>
      <c r="C352" s="146"/>
      <c r="D352" s="146"/>
      <c r="E352" s="146"/>
      <c r="F352" s="146"/>
      <c r="G352" s="146"/>
      <c r="H352" s="146"/>
      <c r="I352" s="146"/>
      <c r="J352" s="146"/>
      <c r="K352" s="146"/>
      <c r="L352" s="146"/>
      <c r="M352" s="146"/>
      <c r="N352" s="146"/>
      <c r="O352" s="146"/>
      <c r="P352" s="146"/>
      <c r="Q352" s="146"/>
      <c r="R352" s="146"/>
      <c r="S352" s="146"/>
      <c r="T352" s="146"/>
      <c r="U352" s="146"/>
      <c r="V352" s="146"/>
      <c r="W352" s="146"/>
      <c r="X352" s="146"/>
      <c r="Y352" s="146"/>
      <c r="Z352" s="146"/>
      <c r="AA352" s="146"/>
      <c r="AB352" s="146"/>
      <c r="AC352" s="146"/>
      <c r="AD352" s="146"/>
      <c r="AE352" s="146"/>
      <c r="AF352" s="146"/>
      <c r="AG352" s="146"/>
    </row>
    <row r="353" spans="1:33" ht="12.75">
      <c r="A353" s="148"/>
      <c r="B353" s="146"/>
      <c r="C353" s="146"/>
      <c r="D353" s="146"/>
      <c r="E353" s="146"/>
      <c r="F353" s="146"/>
      <c r="G353" s="146"/>
      <c r="H353" s="146"/>
      <c r="I353" s="146"/>
      <c r="J353" s="146"/>
      <c r="K353" s="146"/>
      <c r="L353" s="146"/>
      <c r="M353" s="146"/>
      <c r="N353" s="146"/>
      <c r="O353" s="146"/>
      <c r="P353" s="146"/>
      <c r="Q353" s="146"/>
      <c r="R353" s="146"/>
      <c r="S353" s="146"/>
      <c r="T353" s="146"/>
      <c r="U353" s="146"/>
      <c r="V353" s="146"/>
      <c r="W353" s="146"/>
      <c r="X353" s="146"/>
      <c r="Y353" s="146"/>
      <c r="Z353" s="146"/>
      <c r="AA353" s="146"/>
      <c r="AB353" s="146"/>
      <c r="AC353" s="146"/>
      <c r="AD353" s="146"/>
      <c r="AE353" s="146"/>
      <c r="AF353" s="146"/>
      <c r="AG353" s="146"/>
    </row>
    <row r="354" spans="1:33" ht="12.75">
      <c r="A354" s="148"/>
      <c r="B354" s="146"/>
      <c r="C354" s="146"/>
      <c r="D354" s="146"/>
      <c r="E354" s="146"/>
      <c r="F354" s="146"/>
      <c r="G354" s="146"/>
      <c r="H354" s="146"/>
      <c r="I354" s="146"/>
      <c r="J354" s="146"/>
      <c r="K354" s="146"/>
      <c r="L354" s="146"/>
      <c r="M354" s="146"/>
      <c r="N354" s="146"/>
      <c r="O354" s="146"/>
      <c r="P354" s="146"/>
      <c r="Q354" s="146"/>
      <c r="R354" s="146"/>
      <c r="S354" s="146"/>
      <c r="T354" s="146"/>
      <c r="U354" s="146"/>
      <c r="V354" s="146"/>
      <c r="W354" s="146"/>
      <c r="X354" s="146"/>
      <c r="Y354" s="146"/>
      <c r="Z354" s="146"/>
      <c r="AA354" s="146"/>
      <c r="AB354" s="146"/>
      <c r="AC354" s="146"/>
      <c r="AD354" s="146"/>
      <c r="AE354" s="146"/>
      <c r="AF354" s="146"/>
      <c r="AG354" s="146"/>
    </row>
    <row r="355" spans="1:33" ht="12.75">
      <c r="A355" s="148"/>
      <c r="B355" s="146"/>
      <c r="C355" s="146"/>
      <c r="D355" s="146"/>
      <c r="E355" s="146"/>
      <c r="F355" s="146"/>
      <c r="G355" s="146"/>
      <c r="H355" s="146"/>
      <c r="I355" s="146"/>
      <c r="J355" s="146"/>
      <c r="K355" s="146"/>
      <c r="L355" s="146"/>
      <c r="M355" s="146"/>
      <c r="N355" s="146"/>
      <c r="O355" s="146"/>
      <c r="P355" s="146"/>
      <c r="Q355" s="146"/>
      <c r="R355" s="146"/>
      <c r="S355" s="146"/>
      <c r="T355" s="146"/>
      <c r="U355" s="146"/>
      <c r="V355" s="146"/>
      <c r="W355" s="146"/>
      <c r="X355" s="146"/>
      <c r="Y355" s="146"/>
      <c r="Z355" s="146"/>
      <c r="AA355" s="146"/>
      <c r="AB355" s="146"/>
      <c r="AC355" s="146"/>
      <c r="AD355" s="146"/>
      <c r="AE355" s="146"/>
      <c r="AF355" s="146"/>
      <c r="AG355" s="146"/>
    </row>
    <row r="356" spans="1:33" ht="12.75">
      <c r="A356" s="148"/>
      <c r="B356" s="146"/>
      <c r="C356" s="146"/>
      <c r="D356" s="146"/>
      <c r="E356" s="146"/>
      <c r="F356" s="146"/>
      <c r="G356" s="146"/>
      <c r="H356" s="146"/>
      <c r="I356" s="146"/>
      <c r="J356" s="146"/>
      <c r="K356" s="146"/>
      <c r="L356" s="146"/>
      <c r="M356" s="146"/>
      <c r="N356" s="146"/>
      <c r="O356" s="146"/>
      <c r="P356" s="146"/>
      <c r="Q356" s="146"/>
      <c r="R356" s="146"/>
      <c r="S356" s="146"/>
      <c r="T356" s="146"/>
      <c r="U356" s="146"/>
      <c r="V356" s="146"/>
      <c r="W356" s="146"/>
      <c r="X356" s="146"/>
      <c r="Y356" s="146"/>
      <c r="Z356" s="146"/>
      <c r="AA356" s="146"/>
      <c r="AB356" s="146"/>
      <c r="AC356" s="146"/>
      <c r="AD356" s="146"/>
      <c r="AE356" s="146"/>
      <c r="AF356" s="146"/>
      <c r="AG356" s="146"/>
    </row>
    <row r="357" spans="1:33" ht="12.75">
      <c r="A357" s="148"/>
      <c r="B357" s="146"/>
      <c r="C357" s="146"/>
      <c r="D357" s="146"/>
      <c r="E357" s="146"/>
      <c r="F357" s="146"/>
      <c r="G357" s="146"/>
      <c r="H357" s="146"/>
      <c r="I357" s="146"/>
      <c r="J357" s="146"/>
      <c r="K357" s="146"/>
      <c r="L357" s="146"/>
      <c r="M357" s="146"/>
      <c r="N357" s="146"/>
      <c r="O357" s="146"/>
      <c r="P357" s="146"/>
      <c r="Q357" s="146"/>
      <c r="R357" s="146"/>
      <c r="S357" s="146"/>
      <c r="T357" s="146"/>
      <c r="U357" s="146"/>
      <c r="V357" s="146"/>
      <c r="W357" s="146"/>
      <c r="X357" s="146"/>
      <c r="Y357" s="146"/>
      <c r="Z357" s="146"/>
      <c r="AA357" s="146"/>
      <c r="AB357" s="146"/>
      <c r="AC357" s="146"/>
      <c r="AD357" s="146"/>
      <c r="AE357" s="146"/>
      <c r="AF357" s="146"/>
      <c r="AG357" s="146"/>
    </row>
    <row r="358" spans="1:33" ht="12.75">
      <c r="A358" s="148"/>
      <c r="B358" s="146"/>
      <c r="C358" s="146"/>
      <c r="D358" s="146"/>
      <c r="E358" s="146"/>
      <c r="F358" s="146"/>
      <c r="G358" s="146"/>
      <c r="H358" s="146"/>
      <c r="I358" s="146"/>
      <c r="J358" s="146"/>
      <c r="K358" s="146"/>
      <c r="L358" s="146"/>
      <c r="M358" s="146"/>
      <c r="N358" s="146"/>
      <c r="O358" s="146"/>
      <c r="P358" s="146"/>
      <c r="Q358" s="146"/>
      <c r="R358" s="146"/>
      <c r="S358" s="146"/>
      <c r="T358" s="146"/>
      <c r="U358" s="146"/>
      <c r="V358" s="146"/>
      <c r="W358" s="146"/>
      <c r="X358" s="146"/>
      <c r="Y358" s="146"/>
      <c r="Z358" s="146"/>
      <c r="AA358" s="146"/>
      <c r="AB358" s="146"/>
      <c r="AC358" s="146"/>
      <c r="AD358" s="146"/>
      <c r="AE358" s="146"/>
      <c r="AF358" s="146"/>
      <c r="AG358" s="146"/>
    </row>
    <row r="359" spans="1:33" ht="12.75">
      <c r="A359" s="148"/>
      <c r="B359" s="146"/>
      <c r="C359" s="146"/>
      <c r="D359" s="146"/>
      <c r="E359" s="146"/>
      <c r="F359" s="146"/>
      <c r="G359" s="146"/>
      <c r="H359" s="146"/>
      <c r="I359" s="146"/>
      <c r="J359" s="146"/>
      <c r="K359" s="146"/>
      <c r="L359" s="146"/>
      <c r="M359" s="146"/>
      <c r="N359" s="146"/>
      <c r="O359" s="146"/>
      <c r="P359" s="146"/>
      <c r="Q359" s="146"/>
      <c r="R359" s="146"/>
      <c r="S359" s="146"/>
      <c r="T359" s="146"/>
      <c r="U359" s="146"/>
      <c r="V359" s="146"/>
      <c r="W359" s="146"/>
      <c r="X359" s="146"/>
      <c r="Y359" s="146"/>
      <c r="Z359" s="146"/>
      <c r="AA359" s="146"/>
      <c r="AB359" s="146"/>
      <c r="AC359" s="146"/>
      <c r="AD359" s="146"/>
      <c r="AE359" s="146"/>
      <c r="AF359" s="146"/>
      <c r="AG359" s="146"/>
    </row>
    <row r="360" spans="1:33" ht="12.75">
      <c r="A360" s="148"/>
      <c r="B360" s="146"/>
      <c r="C360" s="146"/>
      <c r="D360" s="146"/>
      <c r="E360" s="146"/>
      <c r="F360" s="146"/>
      <c r="G360" s="146"/>
      <c r="H360" s="146"/>
      <c r="I360" s="146"/>
      <c r="J360" s="146"/>
      <c r="K360" s="146"/>
      <c r="L360" s="146"/>
      <c r="M360" s="146"/>
      <c r="N360" s="146"/>
      <c r="O360" s="146"/>
      <c r="P360" s="146"/>
      <c r="Q360" s="146"/>
      <c r="R360" s="146"/>
      <c r="S360" s="146"/>
      <c r="T360" s="146"/>
      <c r="U360" s="146"/>
      <c r="V360" s="146"/>
      <c r="W360" s="146"/>
      <c r="X360" s="146"/>
      <c r="Y360" s="146"/>
      <c r="Z360" s="146"/>
      <c r="AA360" s="146"/>
      <c r="AB360" s="146"/>
      <c r="AC360" s="146"/>
      <c r="AD360" s="146"/>
      <c r="AE360" s="146"/>
      <c r="AF360" s="146"/>
      <c r="AG360" s="146"/>
    </row>
    <row r="361" spans="1:33" ht="12.75">
      <c r="A361" s="148"/>
      <c r="B361" s="146"/>
      <c r="C361" s="146"/>
      <c r="D361" s="146"/>
      <c r="E361" s="146"/>
      <c r="F361" s="146"/>
      <c r="G361" s="146"/>
      <c r="H361" s="146"/>
      <c r="I361" s="146"/>
      <c r="J361" s="146"/>
      <c r="K361" s="146"/>
      <c r="L361" s="146"/>
      <c r="M361" s="146"/>
      <c r="N361" s="146"/>
      <c r="O361" s="146"/>
      <c r="P361" s="146"/>
      <c r="Q361" s="146"/>
      <c r="R361" s="146"/>
      <c r="S361" s="146"/>
      <c r="T361" s="146"/>
      <c r="U361" s="146"/>
      <c r="V361" s="146"/>
      <c r="W361" s="146"/>
      <c r="X361" s="146"/>
      <c r="Y361" s="146"/>
      <c r="Z361" s="146"/>
      <c r="AA361" s="146"/>
      <c r="AB361" s="146"/>
      <c r="AC361" s="146"/>
      <c r="AD361" s="146"/>
      <c r="AE361" s="146"/>
      <c r="AF361" s="146"/>
      <c r="AG361" s="146"/>
    </row>
    <row r="362" spans="1:33" ht="12.75">
      <c r="A362" s="148"/>
      <c r="B362" s="146"/>
      <c r="C362" s="146"/>
      <c r="D362" s="146"/>
      <c r="E362" s="146"/>
      <c r="F362" s="146"/>
      <c r="G362" s="146"/>
      <c r="H362" s="146"/>
      <c r="I362" s="146"/>
      <c r="J362" s="146"/>
      <c r="K362" s="146"/>
      <c r="L362" s="146"/>
      <c r="M362" s="146"/>
      <c r="N362" s="146"/>
      <c r="O362" s="146"/>
      <c r="P362" s="146"/>
      <c r="Q362" s="146"/>
      <c r="R362" s="146"/>
      <c r="S362" s="146"/>
      <c r="T362" s="146"/>
      <c r="U362" s="146"/>
      <c r="V362" s="146"/>
      <c r="W362" s="146"/>
      <c r="X362" s="146"/>
      <c r="Y362" s="146"/>
      <c r="Z362" s="146"/>
      <c r="AA362" s="146"/>
      <c r="AB362" s="146"/>
      <c r="AC362" s="146"/>
      <c r="AD362" s="146"/>
      <c r="AE362" s="146"/>
      <c r="AF362" s="146"/>
      <c r="AG362" s="146"/>
    </row>
    <row r="363" spans="1:33" ht="12.75">
      <c r="A363" s="148"/>
      <c r="B363" s="146"/>
      <c r="C363" s="146"/>
      <c r="D363" s="146"/>
      <c r="E363" s="146"/>
      <c r="F363" s="146"/>
      <c r="G363" s="146"/>
      <c r="H363" s="146"/>
      <c r="I363" s="146"/>
      <c r="J363" s="146"/>
      <c r="K363" s="146"/>
      <c r="L363" s="146"/>
      <c r="M363" s="146"/>
      <c r="N363" s="146"/>
      <c r="O363" s="146"/>
      <c r="P363" s="146"/>
      <c r="Q363" s="146"/>
      <c r="R363" s="146"/>
      <c r="S363" s="146"/>
      <c r="T363" s="146"/>
      <c r="U363" s="146"/>
      <c r="V363" s="146"/>
      <c r="W363" s="146"/>
      <c r="X363" s="146"/>
      <c r="Y363" s="146"/>
      <c r="Z363" s="146"/>
      <c r="AA363" s="146"/>
      <c r="AB363" s="146"/>
      <c r="AC363" s="146"/>
      <c r="AD363" s="146"/>
      <c r="AE363" s="146"/>
      <c r="AF363" s="146"/>
      <c r="AG363" s="146"/>
    </row>
    <row r="364" spans="1:33" ht="12.75">
      <c r="A364" s="148"/>
      <c r="B364" s="146"/>
      <c r="C364" s="146"/>
      <c r="D364" s="146"/>
      <c r="E364" s="146"/>
      <c r="F364" s="146"/>
      <c r="G364" s="146"/>
      <c r="H364" s="146"/>
      <c r="I364" s="146"/>
      <c r="J364" s="146"/>
      <c r="K364" s="146"/>
      <c r="L364" s="146"/>
      <c r="M364" s="146"/>
      <c r="N364" s="146"/>
      <c r="O364" s="146"/>
      <c r="P364" s="146"/>
      <c r="Q364" s="146"/>
      <c r="R364" s="146"/>
      <c r="S364" s="146"/>
      <c r="T364" s="146"/>
      <c r="U364" s="146"/>
      <c r="V364" s="146"/>
      <c r="W364" s="146"/>
      <c r="X364" s="146"/>
      <c r="Y364" s="146"/>
      <c r="Z364" s="146"/>
      <c r="AA364" s="146"/>
      <c r="AB364" s="146"/>
      <c r="AC364" s="146"/>
      <c r="AD364" s="146"/>
      <c r="AE364" s="146"/>
      <c r="AF364" s="146"/>
      <c r="AG364" s="146"/>
    </row>
    <row r="365" spans="1:33" ht="12.75">
      <c r="A365" s="148"/>
      <c r="B365" s="146"/>
      <c r="C365" s="146"/>
      <c r="D365" s="146"/>
      <c r="E365" s="146"/>
      <c r="F365" s="146"/>
      <c r="G365" s="146"/>
      <c r="H365" s="146"/>
      <c r="I365" s="146"/>
      <c r="J365" s="146"/>
      <c r="K365" s="146"/>
      <c r="L365" s="146"/>
      <c r="M365" s="146"/>
      <c r="N365" s="146"/>
      <c r="O365" s="146"/>
      <c r="P365" s="146"/>
      <c r="Q365" s="146"/>
      <c r="R365" s="146"/>
      <c r="S365" s="146"/>
      <c r="T365" s="146"/>
      <c r="U365" s="146"/>
      <c r="V365" s="146"/>
      <c r="W365" s="146"/>
      <c r="X365" s="146"/>
      <c r="Y365" s="146"/>
      <c r="Z365" s="146"/>
      <c r="AA365" s="146"/>
      <c r="AB365" s="146"/>
      <c r="AC365" s="146"/>
      <c r="AD365" s="146"/>
      <c r="AE365" s="146"/>
      <c r="AF365" s="146"/>
      <c r="AG365" s="146"/>
    </row>
    <row r="366" spans="1:33" ht="12.75">
      <c r="A366" s="148"/>
      <c r="B366" s="146"/>
      <c r="C366" s="146"/>
      <c r="D366" s="146"/>
      <c r="E366" s="146"/>
      <c r="F366" s="146"/>
      <c r="G366" s="146"/>
      <c r="H366" s="146"/>
      <c r="I366" s="146"/>
      <c r="J366" s="146"/>
      <c r="K366" s="146"/>
      <c r="L366" s="146"/>
      <c r="M366" s="146"/>
      <c r="N366" s="146"/>
      <c r="O366" s="146"/>
      <c r="P366" s="146"/>
      <c r="Q366" s="146"/>
      <c r="R366" s="146"/>
      <c r="S366" s="146"/>
      <c r="T366" s="146"/>
      <c r="U366" s="146"/>
      <c r="V366" s="146"/>
      <c r="W366" s="146"/>
      <c r="X366" s="146"/>
      <c r="Y366" s="146"/>
      <c r="Z366" s="146"/>
      <c r="AA366" s="146"/>
      <c r="AB366" s="146"/>
      <c r="AC366" s="146"/>
      <c r="AD366" s="146"/>
      <c r="AE366" s="146"/>
      <c r="AF366" s="146"/>
      <c r="AG366" s="146"/>
    </row>
    <row r="367" spans="1:33" ht="12.75">
      <c r="A367" s="148"/>
      <c r="B367" s="146"/>
      <c r="C367" s="146"/>
      <c r="D367" s="146"/>
      <c r="E367" s="146"/>
      <c r="F367" s="146"/>
      <c r="G367" s="146"/>
      <c r="H367" s="146"/>
      <c r="I367" s="146"/>
      <c r="J367" s="146"/>
      <c r="K367" s="146"/>
      <c r="L367" s="146"/>
      <c r="M367" s="146"/>
      <c r="N367" s="146"/>
      <c r="O367" s="146"/>
      <c r="P367" s="146"/>
      <c r="Q367" s="146"/>
      <c r="R367" s="146"/>
      <c r="S367" s="146"/>
      <c r="T367" s="146"/>
      <c r="U367" s="146"/>
      <c r="V367" s="146"/>
      <c r="W367" s="146"/>
      <c r="X367" s="146"/>
      <c r="Y367" s="146"/>
      <c r="Z367" s="146"/>
      <c r="AA367" s="146"/>
      <c r="AB367" s="146"/>
      <c r="AC367" s="146"/>
      <c r="AD367" s="146"/>
      <c r="AE367" s="146"/>
      <c r="AF367" s="146"/>
      <c r="AG367" s="146"/>
    </row>
    <row r="368" spans="1:33" ht="12.75">
      <c r="A368" s="148"/>
      <c r="B368" s="146"/>
      <c r="C368" s="146"/>
      <c r="D368" s="146"/>
      <c r="E368" s="146"/>
      <c r="F368" s="146"/>
      <c r="G368" s="146"/>
      <c r="H368" s="146"/>
      <c r="I368" s="146"/>
      <c r="J368" s="146"/>
      <c r="K368" s="146"/>
      <c r="L368" s="146"/>
      <c r="M368" s="146"/>
      <c r="N368" s="146"/>
      <c r="O368" s="146"/>
      <c r="P368" s="146"/>
      <c r="Q368" s="146"/>
      <c r="R368" s="146"/>
      <c r="S368" s="146"/>
      <c r="T368" s="146"/>
      <c r="U368" s="146"/>
      <c r="V368" s="146"/>
      <c r="W368" s="146"/>
      <c r="X368" s="146"/>
      <c r="Y368" s="146"/>
      <c r="Z368" s="146"/>
      <c r="AA368" s="146"/>
      <c r="AB368" s="146"/>
      <c r="AC368" s="146"/>
      <c r="AD368" s="146"/>
      <c r="AE368" s="146"/>
      <c r="AF368" s="146"/>
      <c r="AG368" s="146"/>
    </row>
    <row r="369" spans="1:33" ht="12.75">
      <c r="A369" s="148"/>
      <c r="B369" s="146"/>
      <c r="C369" s="146"/>
      <c r="D369" s="146"/>
      <c r="E369" s="146"/>
      <c r="F369" s="146"/>
      <c r="G369" s="146"/>
      <c r="H369" s="146"/>
      <c r="I369" s="146"/>
      <c r="J369" s="146"/>
      <c r="K369" s="146"/>
      <c r="L369" s="146"/>
      <c r="M369" s="146"/>
      <c r="N369" s="146"/>
      <c r="O369" s="146"/>
      <c r="P369" s="146"/>
      <c r="Q369" s="146"/>
      <c r="R369" s="146"/>
      <c r="S369" s="146"/>
      <c r="T369" s="146"/>
      <c r="U369" s="146"/>
      <c r="V369" s="146"/>
      <c r="W369" s="146"/>
      <c r="X369" s="146"/>
      <c r="Y369" s="146"/>
      <c r="Z369" s="146"/>
      <c r="AA369" s="146"/>
      <c r="AB369" s="146"/>
      <c r="AC369" s="146"/>
      <c r="AD369" s="146"/>
      <c r="AE369" s="146"/>
      <c r="AF369" s="146"/>
      <c r="AG369" s="146"/>
    </row>
    <row r="370" spans="1:33" ht="12.75">
      <c r="A370" s="148"/>
      <c r="B370" s="146"/>
      <c r="C370" s="146"/>
      <c r="D370" s="146"/>
      <c r="E370" s="146"/>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c r="AB370" s="146"/>
      <c r="AC370" s="146"/>
      <c r="AD370" s="146"/>
      <c r="AE370" s="146"/>
      <c r="AF370" s="146"/>
      <c r="AG370" s="146"/>
    </row>
    <row r="371" spans="1:33" ht="12.75">
      <c r="A371" s="148"/>
      <c r="B371" s="146"/>
      <c r="C371" s="146"/>
      <c r="D371" s="146"/>
      <c r="E371" s="146"/>
      <c r="F371" s="146"/>
      <c r="G371" s="146"/>
      <c r="H371" s="146"/>
      <c r="I371" s="146"/>
      <c r="J371" s="146"/>
      <c r="K371" s="146"/>
      <c r="L371" s="146"/>
      <c r="M371" s="146"/>
      <c r="N371" s="146"/>
      <c r="O371" s="146"/>
      <c r="P371" s="146"/>
      <c r="Q371" s="146"/>
      <c r="R371" s="146"/>
      <c r="S371" s="146"/>
      <c r="T371" s="146"/>
      <c r="U371" s="146"/>
      <c r="V371" s="146"/>
      <c r="W371" s="146"/>
      <c r="X371" s="146"/>
      <c r="Y371" s="146"/>
      <c r="Z371" s="146"/>
      <c r="AA371" s="146"/>
      <c r="AB371" s="146"/>
      <c r="AC371" s="146"/>
      <c r="AD371" s="146"/>
      <c r="AE371" s="146"/>
      <c r="AF371" s="146"/>
      <c r="AG371" s="146"/>
    </row>
    <row r="372" spans="1:33" ht="12.75">
      <c r="A372" s="148"/>
      <c r="B372" s="146"/>
      <c r="C372" s="146"/>
      <c r="D372" s="146"/>
      <c r="E372" s="146"/>
      <c r="F372" s="146"/>
      <c r="G372" s="146"/>
      <c r="H372" s="146"/>
      <c r="I372" s="146"/>
      <c r="J372" s="146"/>
      <c r="K372" s="146"/>
      <c r="L372" s="146"/>
      <c r="M372" s="146"/>
      <c r="N372" s="146"/>
      <c r="O372" s="146"/>
      <c r="P372" s="146"/>
      <c r="Q372" s="146"/>
      <c r="R372" s="146"/>
      <c r="S372" s="146"/>
      <c r="T372" s="146"/>
      <c r="U372" s="146"/>
      <c r="V372" s="146"/>
      <c r="W372" s="146"/>
      <c r="X372" s="146"/>
      <c r="Y372" s="146"/>
      <c r="Z372" s="146"/>
      <c r="AA372" s="146"/>
      <c r="AB372" s="146"/>
      <c r="AC372" s="146"/>
      <c r="AD372" s="146"/>
      <c r="AE372" s="146"/>
      <c r="AF372" s="146"/>
      <c r="AG372" s="146"/>
    </row>
    <row r="373" spans="1:33" ht="12.75">
      <c r="A373" s="148"/>
      <c r="B373" s="146"/>
      <c r="C373" s="146"/>
      <c r="D373" s="146"/>
      <c r="E373" s="146"/>
      <c r="F373" s="146"/>
      <c r="G373" s="146"/>
      <c r="H373" s="146"/>
      <c r="I373" s="146"/>
      <c r="J373" s="146"/>
      <c r="K373" s="146"/>
      <c r="L373" s="146"/>
      <c r="M373" s="146"/>
      <c r="N373" s="146"/>
      <c r="O373" s="146"/>
      <c r="P373" s="146"/>
      <c r="Q373" s="146"/>
      <c r="R373" s="146"/>
      <c r="S373" s="146"/>
      <c r="T373" s="146"/>
      <c r="U373" s="146"/>
      <c r="V373" s="146"/>
      <c r="W373" s="146"/>
      <c r="X373" s="146"/>
      <c r="Y373" s="146"/>
      <c r="Z373" s="146"/>
      <c r="AA373" s="146"/>
      <c r="AB373" s="146"/>
      <c r="AC373" s="146"/>
      <c r="AD373" s="146"/>
      <c r="AE373" s="146"/>
      <c r="AF373" s="146"/>
      <c r="AG373" s="146"/>
    </row>
    <row r="374" spans="1:33" ht="12.75">
      <c r="A374" s="148"/>
      <c r="B374" s="146"/>
      <c r="C374" s="146"/>
      <c r="D374" s="146"/>
      <c r="E374" s="146"/>
      <c r="F374" s="146"/>
      <c r="G374" s="146"/>
      <c r="H374" s="146"/>
      <c r="I374" s="146"/>
      <c r="J374" s="146"/>
      <c r="K374" s="146"/>
      <c r="L374" s="146"/>
      <c r="M374" s="146"/>
      <c r="N374" s="146"/>
      <c r="O374" s="146"/>
      <c r="P374" s="146"/>
      <c r="Q374" s="146"/>
      <c r="R374" s="146"/>
      <c r="S374" s="146"/>
      <c r="T374" s="146"/>
      <c r="U374" s="146"/>
      <c r="V374" s="146"/>
      <c r="W374" s="146"/>
      <c r="X374" s="146"/>
      <c r="Y374" s="146"/>
      <c r="Z374" s="146"/>
      <c r="AA374" s="146"/>
      <c r="AB374" s="146"/>
      <c r="AC374" s="146"/>
      <c r="AD374" s="146"/>
      <c r="AE374" s="146"/>
      <c r="AF374" s="146"/>
      <c r="AG374" s="146"/>
    </row>
    <row r="375" spans="1:33" ht="12.75">
      <c r="A375" s="148"/>
      <c r="B375" s="146"/>
      <c r="C375" s="146"/>
      <c r="D375" s="146"/>
      <c r="E375" s="146"/>
      <c r="F375" s="146"/>
      <c r="G375" s="146"/>
      <c r="H375" s="146"/>
      <c r="I375" s="146"/>
      <c r="J375" s="146"/>
      <c r="K375" s="146"/>
      <c r="L375" s="146"/>
      <c r="M375" s="146"/>
      <c r="N375" s="146"/>
      <c r="O375" s="146"/>
      <c r="P375" s="146"/>
      <c r="Q375" s="146"/>
      <c r="R375" s="146"/>
      <c r="S375" s="146"/>
      <c r="T375" s="146"/>
      <c r="U375" s="146"/>
      <c r="V375" s="146"/>
      <c r="W375" s="146"/>
      <c r="X375" s="146"/>
      <c r="Y375" s="146"/>
      <c r="Z375" s="146"/>
      <c r="AA375" s="146"/>
      <c r="AB375" s="146"/>
      <c r="AC375" s="146"/>
      <c r="AD375" s="146"/>
      <c r="AE375" s="146"/>
      <c r="AF375" s="146"/>
      <c r="AG375" s="146"/>
    </row>
    <row r="376" spans="1:33" ht="12.75">
      <c r="A376" s="148"/>
      <c r="B376" s="146"/>
      <c r="C376" s="146"/>
      <c r="D376" s="146"/>
      <c r="E376" s="146"/>
      <c r="F376" s="146"/>
      <c r="G376" s="146"/>
      <c r="H376" s="146"/>
      <c r="I376" s="146"/>
      <c r="J376" s="146"/>
      <c r="K376" s="146"/>
      <c r="L376" s="146"/>
      <c r="M376" s="146"/>
      <c r="N376" s="146"/>
      <c r="O376" s="146"/>
      <c r="P376" s="146"/>
      <c r="Q376" s="146"/>
      <c r="R376" s="146"/>
      <c r="S376" s="146"/>
      <c r="T376" s="146"/>
      <c r="U376" s="146"/>
      <c r="V376" s="146"/>
      <c r="W376" s="146"/>
      <c r="X376" s="146"/>
      <c r="Y376" s="146"/>
      <c r="Z376" s="146"/>
      <c r="AA376" s="146"/>
      <c r="AB376" s="146"/>
      <c r="AC376" s="146"/>
      <c r="AD376" s="146"/>
      <c r="AE376" s="146"/>
      <c r="AF376" s="146"/>
      <c r="AG376" s="146"/>
    </row>
    <row r="377" spans="1:33" ht="12.75">
      <c r="A377" s="148"/>
      <c r="B377" s="146"/>
      <c r="C377" s="146"/>
      <c r="D377" s="146"/>
      <c r="E377" s="146"/>
      <c r="F377" s="146"/>
      <c r="G377" s="146"/>
      <c r="H377" s="146"/>
      <c r="I377" s="146"/>
      <c r="J377" s="146"/>
      <c r="K377" s="146"/>
      <c r="L377" s="146"/>
      <c r="M377" s="146"/>
      <c r="N377" s="146"/>
      <c r="O377" s="146"/>
      <c r="P377" s="146"/>
      <c r="Q377" s="146"/>
      <c r="R377" s="146"/>
      <c r="S377" s="146"/>
      <c r="T377" s="146"/>
      <c r="U377" s="146"/>
      <c r="V377" s="146"/>
      <c r="W377" s="146"/>
      <c r="X377" s="146"/>
      <c r="Y377" s="146"/>
      <c r="Z377" s="146"/>
      <c r="AA377" s="146"/>
      <c r="AB377" s="146"/>
      <c r="AC377" s="146"/>
      <c r="AD377" s="146"/>
      <c r="AE377" s="146"/>
      <c r="AF377" s="146"/>
      <c r="AG377" s="146"/>
    </row>
    <row r="378" spans="1:33" ht="12.75">
      <c r="A378" s="148"/>
      <c r="B378" s="146"/>
      <c r="C378" s="146"/>
      <c r="D378" s="146"/>
      <c r="E378" s="146"/>
      <c r="F378" s="146"/>
      <c r="G378" s="146"/>
      <c r="H378" s="146"/>
      <c r="I378" s="146"/>
      <c r="J378" s="146"/>
      <c r="K378" s="146"/>
      <c r="L378" s="146"/>
      <c r="M378" s="146"/>
      <c r="N378" s="146"/>
      <c r="O378" s="146"/>
      <c r="P378" s="146"/>
      <c r="Q378" s="146"/>
      <c r="R378" s="146"/>
      <c r="S378" s="146"/>
      <c r="T378" s="146"/>
      <c r="U378" s="146"/>
      <c r="V378" s="146"/>
      <c r="W378" s="146"/>
      <c r="X378" s="146"/>
      <c r="Y378" s="146"/>
      <c r="Z378" s="146"/>
      <c r="AA378" s="146"/>
      <c r="AB378" s="146"/>
      <c r="AC378" s="146"/>
      <c r="AD378" s="146"/>
      <c r="AE378" s="146"/>
      <c r="AF378" s="146"/>
      <c r="AG378" s="146"/>
    </row>
    <row r="379" spans="1:33" ht="12.75">
      <c r="A379" s="148"/>
      <c r="B379" s="146"/>
      <c r="C379" s="146"/>
      <c r="D379" s="146"/>
      <c r="E379" s="146"/>
      <c r="F379" s="146"/>
      <c r="G379" s="146"/>
      <c r="H379" s="146"/>
      <c r="I379" s="146"/>
      <c r="J379" s="146"/>
      <c r="K379" s="146"/>
      <c r="L379" s="146"/>
      <c r="M379" s="146"/>
      <c r="N379" s="146"/>
      <c r="O379" s="146"/>
      <c r="P379" s="146"/>
      <c r="Q379" s="146"/>
      <c r="R379" s="146"/>
      <c r="S379" s="146"/>
      <c r="T379" s="146"/>
      <c r="U379" s="146"/>
      <c r="V379" s="146"/>
      <c r="W379" s="146"/>
      <c r="X379" s="146"/>
      <c r="Y379" s="146"/>
      <c r="Z379" s="146"/>
      <c r="AA379" s="146"/>
      <c r="AB379" s="146"/>
      <c r="AC379" s="146"/>
      <c r="AD379" s="146"/>
      <c r="AE379" s="146"/>
      <c r="AF379" s="146"/>
      <c r="AG379" s="146"/>
    </row>
    <row r="380" spans="1:33" ht="12.75">
      <c r="A380" s="148"/>
      <c r="B380" s="146"/>
      <c r="C380" s="146"/>
      <c r="D380" s="146"/>
      <c r="E380" s="146"/>
      <c r="F380" s="146"/>
      <c r="G380" s="146"/>
      <c r="H380" s="146"/>
      <c r="I380" s="146"/>
      <c r="J380" s="146"/>
      <c r="K380" s="146"/>
      <c r="L380" s="146"/>
      <c r="M380" s="146"/>
      <c r="N380" s="146"/>
      <c r="O380" s="146"/>
      <c r="P380" s="146"/>
      <c r="Q380" s="146"/>
      <c r="R380" s="146"/>
      <c r="S380" s="146"/>
      <c r="T380" s="146"/>
      <c r="U380" s="146"/>
      <c r="V380" s="146"/>
      <c r="W380" s="146"/>
      <c r="X380" s="146"/>
      <c r="Y380" s="146"/>
      <c r="Z380" s="146"/>
      <c r="AA380" s="146"/>
      <c r="AB380" s="146"/>
      <c r="AC380" s="146"/>
      <c r="AD380" s="146"/>
      <c r="AE380" s="146"/>
      <c r="AF380" s="146"/>
      <c r="AG380" s="146"/>
    </row>
    <row r="381" spans="1:33" ht="12.75">
      <c r="A381" s="148"/>
      <c r="B381" s="146"/>
      <c r="C381" s="146"/>
      <c r="D381" s="146"/>
      <c r="E381" s="146"/>
      <c r="F381" s="146"/>
      <c r="G381" s="146"/>
      <c r="H381" s="146"/>
      <c r="I381" s="146"/>
      <c r="J381" s="146"/>
      <c r="K381" s="146"/>
      <c r="L381" s="146"/>
      <c r="M381" s="146"/>
      <c r="N381" s="146"/>
      <c r="O381" s="146"/>
      <c r="P381" s="146"/>
      <c r="Q381" s="146"/>
      <c r="R381" s="146"/>
      <c r="S381" s="146"/>
      <c r="T381" s="146"/>
      <c r="U381" s="146"/>
      <c r="V381" s="146"/>
      <c r="W381" s="146"/>
      <c r="X381" s="146"/>
      <c r="Y381" s="146"/>
      <c r="Z381" s="146"/>
      <c r="AA381" s="146"/>
      <c r="AB381" s="146"/>
      <c r="AC381" s="146"/>
      <c r="AD381" s="146"/>
      <c r="AE381" s="146"/>
      <c r="AF381" s="146"/>
      <c r="AG381" s="146"/>
    </row>
    <row r="382" spans="1:33" ht="12.75">
      <c r="A382" s="148"/>
      <c r="B382" s="146"/>
      <c r="C382" s="146"/>
      <c r="D382" s="146"/>
      <c r="E382" s="146"/>
      <c r="F382" s="146"/>
      <c r="G382" s="146"/>
      <c r="H382" s="146"/>
      <c r="I382" s="146"/>
      <c r="J382" s="146"/>
      <c r="K382" s="146"/>
      <c r="L382" s="146"/>
      <c r="M382" s="146"/>
      <c r="N382" s="146"/>
      <c r="O382" s="146"/>
      <c r="P382" s="146"/>
      <c r="Q382" s="146"/>
      <c r="R382" s="146"/>
      <c r="S382" s="146"/>
      <c r="T382" s="146"/>
      <c r="U382" s="146"/>
      <c r="V382" s="146"/>
      <c r="W382" s="146"/>
      <c r="X382" s="146"/>
      <c r="Y382" s="146"/>
      <c r="Z382" s="146"/>
      <c r="AA382" s="146"/>
      <c r="AB382" s="146"/>
      <c r="AC382" s="146"/>
      <c r="AD382" s="146"/>
      <c r="AE382" s="146"/>
      <c r="AF382" s="146"/>
      <c r="AG382" s="146"/>
    </row>
    <row r="383" spans="1:33" ht="12.75">
      <c r="A383" s="148"/>
      <c r="B383" s="146"/>
      <c r="C383" s="146"/>
      <c r="D383" s="146"/>
      <c r="E383" s="146"/>
      <c r="F383" s="146"/>
      <c r="G383" s="146"/>
      <c r="H383" s="146"/>
      <c r="I383" s="146"/>
      <c r="J383" s="146"/>
      <c r="K383" s="146"/>
      <c r="L383" s="146"/>
      <c r="M383" s="146"/>
      <c r="N383" s="146"/>
      <c r="O383" s="146"/>
      <c r="P383" s="146"/>
      <c r="Q383" s="146"/>
      <c r="R383" s="146"/>
      <c r="S383" s="146"/>
      <c r="T383" s="146"/>
      <c r="U383" s="146"/>
      <c r="V383" s="146"/>
      <c r="W383" s="146"/>
      <c r="X383" s="146"/>
      <c r="Y383" s="146"/>
      <c r="Z383" s="146"/>
      <c r="AA383" s="146"/>
      <c r="AB383" s="146"/>
      <c r="AC383" s="146"/>
      <c r="AD383" s="146"/>
      <c r="AE383" s="146"/>
      <c r="AF383" s="146"/>
      <c r="AG383" s="146"/>
    </row>
    <row r="384" spans="1:33" ht="12.75">
      <c r="A384" s="148"/>
      <c r="B384" s="146"/>
      <c r="C384" s="146"/>
      <c r="D384" s="146"/>
      <c r="E384" s="146"/>
      <c r="F384" s="146"/>
      <c r="G384" s="146"/>
      <c r="H384" s="146"/>
      <c r="I384" s="146"/>
      <c r="J384" s="146"/>
      <c r="K384" s="146"/>
      <c r="L384" s="146"/>
      <c r="M384" s="146"/>
      <c r="N384" s="146"/>
      <c r="O384" s="146"/>
      <c r="P384" s="146"/>
      <c r="Q384" s="146"/>
      <c r="R384" s="146"/>
      <c r="S384" s="146"/>
      <c r="T384" s="146"/>
      <c r="U384" s="146"/>
      <c r="V384" s="146"/>
      <c r="W384" s="146"/>
      <c r="X384" s="146"/>
      <c r="Y384" s="146"/>
      <c r="Z384" s="146"/>
      <c r="AA384" s="146"/>
      <c r="AB384" s="146"/>
      <c r="AC384" s="146"/>
      <c r="AD384" s="146"/>
      <c r="AE384" s="146"/>
      <c r="AF384" s="146"/>
      <c r="AG384" s="146"/>
    </row>
    <row r="385" spans="1:33" ht="12.75">
      <c r="A385" s="148"/>
      <c r="B385" s="146"/>
      <c r="C385" s="146"/>
      <c r="D385" s="146"/>
      <c r="E385" s="146"/>
      <c r="F385" s="146"/>
      <c r="G385" s="146"/>
      <c r="H385" s="146"/>
      <c r="I385" s="146"/>
      <c r="J385" s="146"/>
      <c r="K385" s="146"/>
      <c r="L385" s="146"/>
      <c r="M385" s="146"/>
      <c r="N385" s="146"/>
      <c r="O385" s="146"/>
      <c r="P385" s="146"/>
      <c r="Q385" s="146"/>
      <c r="R385" s="146"/>
      <c r="S385" s="146"/>
      <c r="T385" s="146"/>
      <c r="U385" s="146"/>
      <c r="V385" s="146"/>
      <c r="W385" s="146"/>
      <c r="X385" s="146"/>
      <c r="Y385" s="146"/>
      <c r="Z385" s="146"/>
      <c r="AA385" s="146"/>
      <c r="AB385" s="146"/>
      <c r="AC385" s="146"/>
      <c r="AD385" s="146"/>
      <c r="AE385" s="146"/>
      <c r="AF385" s="146"/>
      <c r="AG385" s="146"/>
    </row>
    <row r="386" spans="1:33" ht="12.75">
      <c r="A386" s="148"/>
      <c r="B386" s="146"/>
      <c r="C386" s="146"/>
      <c r="D386" s="146"/>
      <c r="E386" s="146"/>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c r="AB386" s="146"/>
      <c r="AC386" s="146"/>
      <c r="AD386" s="146"/>
      <c r="AE386" s="146"/>
      <c r="AF386" s="146"/>
      <c r="AG386" s="146"/>
    </row>
    <row r="387" spans="1:33" ht="12.75">
      <c r="A387" s="148"/>
      <c r="B387" s="146"/>
      <c r="C387" s="146"/>
      <c r="D387" s="146"/>
      <c r="E387" s="146"/>
      <c r="F387" s="146"/>
      <c r="G387" s="146"/>
      <c r="H387" s="146"/>
      <c r="I387" s="146"/>
      <c r="J387" s="146"/>
      <c r="K387" s="146"/>
      <c r="L387" s="146"/>
      <c r="M387" s="146"/>
      <c r="N387" s="146"/>
      <c r="O387" s="146"/>
      <c r="P387" s="146"/>
      <c r="Q387" s="146"/>
      <c r="R387" s="146"/>
      <c r="S387" s="146"/>
      <c r="T387" s="146"/>
      <c r="U387" s="146"/>
      <c r="V387" s="146"/>
      <c r="W387" s="146"/>
      <c r="X387" s="146"/>
      <c r="Y387" s="146"/>
      <c r="Z387" s="146"/>
      <c r="AA387" s="146"/>
      <c r="AB387" s="146"/>
      <c r="AC387" s="146"/>
      <c r="AD387" s="146"/>
      <c r="AE387" s="146"/>
      <c r="AF387" s="146"/>
      <c r="AG387" s="146"/>
    </row>
    <row r="388" spans="1:33" ht="12.75">
      <c r="A388" s="148"/>
      <c r="B388" s="146"/>
      <c r="C388" s="146"/>
      <c r="D388" s="146"/>
      <c r="E388" s="146"/>
      <c r="F388" s="146"/>
      <c r="G388" s="146"/>
      <c r="H388" s="146"/>
      <c r="I388" s="146"/>
      <c r="J388" s="146"/>
      <c r="K388" s="146"/>
      <c r="L388" s="146"/>
      <c r="M388" s="146"/>
      <c r="N388" s="146"/>
      <c r="O388" s="146"/>
      <c r="P388" s="146"/>
      <c r="Q388" s="146"/>
      <c r="R388" s="146"/>
      <c r="S388" s="146"/>
      <c r="T388" s="146"/>
      <c r="U388" s="146"/>
      <c r="V388" s="146"/>
      <c r="W388" s="146"/>
      <c r="X388" s="146"/>
      <c r="Y388" s="146"/>
      <c r="Z388" s="146"/>
      <c r="AA388" s="146"/>
      <c r="AB388" s="146"/>
      <c r="AC388" s="146"/>
      <c r="AD388" s="146"/>
      <c r="AE388" s="146"/>
      <c r="AF388" s="146"/>
      <c r="AG388" s="146"/>
    </row>
    <row r="389" spans="1:33" ht="12.75">
      <c r="A389" s="148"/>
      <c r="B389" s="146"/>
      <c r="C389" s="146"/>
      <c r="D389" s="146"/>
      <c r="E389" s="146"/>
      <c r="F389" s="146"/>
      <c r="G389" s="146"/>
      <c r="H389" s="146"/>
      <c r="I389" s="146"/>
      <c r="J389" s="146"/>
      <c r="K389" s="146"/>
      <c r="L389" s="146"/>
      <c r="M389" s="146"/>
      <c r="N389" s="146"/>
      <c r="O389" s="146"/>
      <c r="P389" s="146"/>
      <c r="Q389" s="146"/>
      <c r="R389" s="146"/>
      <c r="S389" s="146"/>
      <c r="T389" s="146"/>
      <c r="U389" s="146"/>
      <c r="V389" s="146"/>
      <c r="W389" s="146"/>
      <c r="X389" s="146"/>
      <c r="Y389" s="146"/>
      <c r="Z389" s="146"/>
      <c r="AA389" s="146"/>
      <c r="AB389" s="146"/>
      <c r="AC389" s="146"/>
      <c r="AD389" s="146"/>
      <c r="AE389" s="146"/>
      <c r="AF389" s="146"/>
      <c r="AG389" s="146"/>
    </row>
    <row r="390" spans="1:33" ht="12.75">
      <c r="A390" s="148"/>
      <c r="B390" s="146"/>
      <c r="C390" s="146"/>
      <c r="D390" s="146"/>
      <c r="E390" s="146"/>
      <c r="F390" s="146"/>
      <c r="G390" s="146"/>
      <c r="H390" s="146"/>
      <c r="I390" s="146"/>
      <c r="J390" s="146"/>
      <c r="K390" s="146"/>
      <c r="L390" s="146"/>
      <c r="M390" s="146"/>
      <c r="N390" s="146"/>
      <c r="O390" s="146"/>
      <c r="P390" s="146"/>
      <c r="Q390" s="146"/>
      <c r="R390" s="146"/>
      <c r="S390" s="146"/>
      <c r="T390" s="146"/>
      <c r="U390" s="146"/>
      <c r="V390" s="146"/>
      <c r="W390" s="146"/>
      <c r="X390" s="146"/>
      <c r="Y390" s="146"/>
      <c r="Z390" s="146"/>
      <c r="AA390" s="146"/>
      <c r="AB390" s="146"/>
      <c r="AC390" s="146"/>
      <c r="AD390" s="146"/>
      <c r="AE390" s="146"/>
      <c r="AF390" s="146"/>
      <c r="AG390" s="146"/>
    </row>
    <row r="391" spans="1:33" ht="12.75">
      <c r="A391" s="148"/>
      <c r="B391" s="146"/>
      <c r="C391" s="146"/>
      <c r="D391" s="146"/>
      <c r="E391" s="146"/>
      <c r="F391" s="146"/>
      <c r="G391" s="146"/>
      <c r="H391" s="146"/>
      <c r="I391" s="146"/>
      <c r="J391" s="146"/>
      <c r="K391" s="146"/>
      <c r="L391" s="146"/>
      <c r="M391" s="146"/>
      <c r="N391" s="146"/>
      <c r="O391" s="146"/>
      <c r="P391" s="146"/>
      <c r="Q391" s="146"/>
      <c r="R391" s="146"/>
      <c r="S391" s="146"/>
      <c r="T391" s="146"/>
      <c r="U391" s="146"/>
      <c r="V391" s="146"/>
      <c r="W391" s="146"/>
      <c r="X391" s="146"/>
      <c r="Y391" s="146"/>
      <c r="Z391" s="146"/>
      <c r="AA391" s="146"/>
      <c r="AB391" s="146"/>
      <c r="AC391" s="146"/>
      <c r="AD391" s="146"/>
      <c r="AE391" s="146"/>
      <c r="AF391" s="146"/>
      <c r="AG391" s="146"/>
    </row>
    <row r="392" spans="1:33" ht="12.75">
      <c r="A392" s="148"/>
      <c r="B392" s="146"/>
      <c r="C392" s="146"/>
      <c r="D392" s="146"/>
      <c r="E392" s="146"/>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row>
    <row r="393" spans="1:33" ht="12.75">
      <c r="A393" s="148"/>
      <c r="B393" s="146"/>
      <c r="C393" s="146"/>
      <c r="D393" s="146"/>
      <c r="E393" s="146"/>
      <c r="F393" s="146"/>
      <c r="G393" s="146"/>
      <c r="H393" s="146"/>
      <c r="I393" s="146"/>
      <c r="J393" s="146"/>
      <c r="K393" s="146"/>
      <c r="L393" s="146"/>
      <c r="M393" s="146"/>
      <c r="N393" s="146"/>
      <c r="O393" s="146"/>
      <c r="P393" s="146"/>
      <c r="Q393" s="146"/>
      <c r="R393" s="146"/>
      <c r="S393" s="146"/>
      <c r="T393" s="146"/>
      <c r="U393" s="146"/>
      <c r="V393" s="146"/>
      <c r="W393" s="146"/>
      <c r="X393" s="146"/>
      <c r="Y393" s="146"/>
      <c r="Z393" s="146"/>
      <c r="AA393" s="146"/>
      <c r="AB393" s="146"/>
      <c r="AC393" s="146"/>
      <c r="AD393" s="146"/>
      <c r="AE393" s="146"/>
      <c r="AF393" s="146"/>
      <c r="AG393" s="146"/>
    </row>
    <row r="394" spans="1:33" ht="12.75">
      <c r="A394" s="148"/>
      <c r="B394" s="146"/>
      <c r="C394" s="146"/>
      <c r="D394" s="146"/>
      <c r="E394" s="146"/>
      <c r="F394" s="146"/>
      <c r="G394" s="146"/>
      <c r="H394" s="146"/>
      <c r="I394" s="146"/>
      <c r="J394" s="146"/>
      <c r="K394" s="146"/>
      <c r="L394" s="146"/>
      <c r="M394" s="146"/>
      <c r="N394" s="146"/>
      <c r="O394" s="146"/>
      <c r="P394" s="146"/>
      <c r="Q394" s="146"/>
      <c r="R394" s="146"/>
      <c r="S394" s="146"/>
      <c r="T394" s="146"/>
      <c r="U394" s="146"/>
      <c r="V394" s="146"/>
      <c r="W394" s="146"/>
      <c r="X394" s="146"/>
      <c r="Y394" s="146"/>
      <c r="Z394" s="146"/>
      <c r="AA394" s="146"/>
      <c r="AB394" s="146"/>
      <c r="AC394" s="146"/>
      <c r="AD394" s="146"/>
      <c r="AE394" s="146"/>
      <c r="AF394" s="146"/>
      <c r="AG394" s="146"/>
    </row>
    <row r="395" spans="1:33" ht="12.75">
      <c r="A395" s="148"/>
      <c r="B395" s="146"/>
      <c r="C395" s="146"/>
      <c r="D395" s="146"/>
      <c r="E395" s="146"/>
      <c r="F395" s="146"/>
      <c r="G395" s="146"/>
      <c r="H395" s="146"/>
      <c r="I395" s="146"/>
      <c r="J395" s="146"/>
      <c r="K395" s="146"/>
      <c r="L395" s="146"/>
      <c r="M395" s="146"/>
      <c r="N395" s="146"/>
      <c r="O395" s="146"/>
      <c r="P395" s="146"/>
      <c r="Q395" s="146"/>
      <c r="R395" s="146"/>
      <c r="S395" s="146"/>
      <c r="T395" s="146"/>
      <c r="U395" s="146"/>
      <c r="V395" s="146"/>
      <c r="W395" s="146"/>
      <c r="X395" s="146"/>
      <c r="Y395" s="146"/>
      <c r="Z395" s="146"/>
      <c r="AA395" s="146"/>
      <c r="AB395" s="146"/>
      <c r="AC395" s="146"/>
      <c r="AD395" s="146"/>
      <c r="AE395" s="146"/>
      <c r="AF395" s="146"/>
      <c r="AG395" s="146"/>
    </row>
    <row r="396" spans="1:33" ht="12.75">
      <c r="A396" s="148"/>
      <c r="B396" s="146"/>
      <c r="C396" s="146"/>
      <c r="D396" s="146"/>
      <c r="E396" s="146"/>
      <c r="F396" s="146"/>
      <c r="G396" s="146"/>
      <c r="H396" s="146"/>
      <c r="I396" s="146"/>
      <c r="J396" s="146"/>
      <c r="K396" s="146"/>
      <c r="L396" s="146"/>
      <c r="M396" s="146"/>
      <c r="N396" s="146"/>
      <c r="O396" s="146"/>
      <c r="P396" s="146"/>
      <c r="Q396" s="146"/>
      <c r="R396" s="146"/>
      <c r="S396" s="146"/>
      <c r="T396" s="146"/>
      <c r="U396" s="146"/>
      <c r="V396" s="146"/>
      <c r="W396" s="146"/>
      <c r="X396" s="146"/>
      <c r="Y396" s="146"/>
      <c r="Z396" s="146"/>
      <c r="AA396" s="146"/>
      <c r="AB396" s="146"/>
      <c r="AC396" s="146"/>
      <c r="AD396" s="146"/>
      <c r="AE396" s="146"/>
      <c r="AF396" s="146"/>
      <c r="AG396" s="146"/>
    </row>
    <row r="397" spans="1:33" ht="12.75">
      <c r="A397" s="148"/>
      <c r="B397" s="146"/>
      <c r="C397" s="146"/>
      <c r="D397" s="146"/>
      <c r="E397" s="146"/>
      <c r="F397" s="146"/>
      <c r="G397" s="146"/>
      <c r="H397" s="146"/>
      <c r="I397" s="146"/>
      <c r="J397" s="146"/>
      <c r="K397" s="146"/>
      <c r="L397" s="146"/>
      <c r="M397" s="146"/>
      <c r="N397" s="146"/>
      <c r="O397" s="146"/>
      <c r="P397" s="146"/>
      <c r="Q397" s="146"/>
      <c r="R397" s="146"/>
      <c r="S397" s="146"/>
      <c r="T397" s="146"/>
      <c r="U397" s="146"/>
      <c r="V397" s="146"/>
      <c r="W397" s="146"/>
      <c r="X397" s="146"/>
      <c r="Y397" s="146"/>
      <c r="Z397" s="146"/>
      <c r="AA397" s="146"/>
      <c r="AB397" s="146"/>
      <c r="AC397" s="146"/>
      <c r="AD397" s="146"/>
      <c r="AE397" s="146"/>
      <c r="AF397" s="146"/>
      <c r="AG397" s="146"/>
    </row>
    <row r="398" spans="1:33" ht="12.75">
      <c r="A398" s="148"/>
      <c r="B398" s="146"/>
      <c r="C398" s="146"/>
      <c r="D398" s="146"/>
      <c r="E398" s="146"/>
      <c r="F398" s="146"/>
      <c r="G398" s="146"/>
      <c r="H398" s="146"/>
      <c r="I398" s="146"/>
      <c r="J398" s="146"/>
      <c r="K398" s="146"/>
      <c r="L398" s="146"/>
      <c r="M398" s="146"/>
      <c r="N398" s="146"/>
      <c r="O398" s="146"/>
      <c r="P398" s="146"/>
      <c r="Q398" s="146"/>
      <c r="R398" s="146"/>
      <c r="S398" s="146"/>
      <c r="T398" s="146"/>
      <c r="U398" s="146"/>
      <c r="V398" s="146"/>
      <c r="W398" s="146"/>
      <c r="X398" s="146"/>
      <c r="Y398" s="146"/>
      <c r="Z398" s="146"/>
      <c r="AA398" s="146"/>
      <c r="AB398" s="146"/>
      <c r="AC398" s="146"/>
      <c r="AD398" s="146"/>
      <c r="AE398" s="146"/>
      <c r="AF398" s="146"/>
      <c r="AG398" s="146"/>
    </row>
    <row r="399" spans="1:33" ht="12.75">
      <c r="A399" s="148"/>
      <c r="B399" s="146"/>
      <c r="C399" s="146"/>
      <c r="D399" s="146"/>
      <c r="E399" s="146"/>
      <c r="F399" s="146"/>
      <c r="G399" s="146"/>
      <c r="H399" s="146"/>
      <c r="I399" s="146"/>
      <c r="J399" s="146"/>
      <c r="K399" s="146"/>
      <c r="L399" s="146"/>
      <c r="M399" s="146"/>
      <c r="N399" s="146"/>
      <c r="O399" s="146"/>
      <c r="P399" s="146"/>
      <c r="Q399" s="146"/>
      <c r="R399" s="146"/>
      <c r="S399" s="146"/>
      <c r="T399" s="146"/>
      <c r="U399" s="146"/>
      <c r="V399" s="146"/>
      <c r="W399" s="146"/>
      <c r="X399" s="146"/>
      <c r="Y399" s="146"/>
      <c r="Z399" s="146"/>
      <c r="AA399" s="146"/>
      <c r="AB399" s="146"/>
      <c r="AC399" s="146"/>
      <c r="AD399" s="146"/>
      <c r="AE399" s="146"/>
      <c r="AF399" s="146"/>
      <c r="AG399" s="146"/>
    </row>
    <row r="400" spans="1:33" ht="12.75">
      <c r="A400" s="148"/>
      <c r="B400" s="146"/>
      <c r="C400" s="146"/>
      <c r="D400" s="146"/>
      <c r="E400" s="146"/>
      <c r="F400" s="146"/>
      <c r="G400" s="146"/>
      <c r="H400" s="146"/>
      <c r="I400" s="146"/>
      <c r="J400" s="146"/>
      <c r="K400" s="146"/>
      <c r="L400" s="146"/>
      <c r="M400" s="146"/>
      <c r="N400" s="146"/>
      <c r="O400" s="146"/>
      <c r="P400" s="146"/>
      <c r="Q400" s="146"/>
      <c r="R400" s="146"/>
      <c r="S400" s="146"/>
      <c r="T400" s="146"/>
      <c r="U400" s="146"/>
      <c r="V400" s="146"/>
      <c r="W400" s="146"/>
      <c r="X400" s="146"/>
      <c r="Y400" s="146"/>
      <c r="Z400" s="146"/>
      <c r="AA400" s="146"/>
      <c r="AB400" s="146"/>
      <c r="AC400" s="146"/>
      <c r="AD400" s="146"/>
      <c r="AE400" s="146"/>
      <c r="AF400" s="146"/>
      <c r="AG400" s="146"/>
    </row>
    <row r="401" spans="1:33" ht="12.75">
      <c r="A401" s="148"/>
      <c r="B401" s="146"/>
      <c r="C401" s="146"/>
      <c r="D401" s="146"/>
      <c r="E401" s="146"/>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c r="AB401" s="146"/>
      <c r="AC401" s="146"/>
      <c r="AD401" s="146"/>
      <c r="AE401" s="146"/>
      <c r="AF401" s="146"/>
      <c r="AG401" s="146"/>
    </row>
    <row r="402" spans="1:33" ht="12.75">
      <c r="A402" s="148"/>
      <c r="B402" s="146"/>
      <c r="C402" s="146"/>
      <c r="D402" s="146"/>
      <c r="E402" s="146"/>
      <c r="F402" s="146"/>
      <c r="G402" s="146"/>
      <c r="H402" s="146"/>
      <c r="I402" s="146"/>
      <c r="J402" s="146"/>
      <c r="K402" s="146"/>
      <c r="L402" s="146"/>
      <c r="M402" s="146"/>
      <c r="N402" s="146"/>
      <c r="O402" s="146"/>
      <c r="P402" s="146"/>
      <c r="Q402" s="146"/>
      <c r="R402" s="146"/>
      <c r="S402" s="146"/>
      <c r="T402" s="146"/>
      <c r="U402" s="146"/>
      <c r="V402" s="146"/>
      <c r="W402" s="146"/>
      <c r="X402" s="146"/>
      <c r="Y402" s="146"/>
      <c r="Z402" s="146"/>
      <c r="AA402" s="146"/>
      <c r="AB402" s="146"/>
      <c r="AC402" s="146"/>
      <c r="AD402" s="146"/>
      <c r="AE402" s="146"/>
      <c r="AF402" s="146"/>
      <c r="AG402" s="146"/>
    </row>
    <row r="403" spans="1:33" ht="12.75">
      <c r="A403" s="148"/>
      <c r="B403" s="146"/>
      <c r="C403" s="146"/>
      <c r="D403" s="146"/>
      <c r="E403" s="146"/>
      <c r="F403" s="146"/>
      <c r="G403" s="146"/>
      <c r="H403" s="146"/>
      <c r="I403" s="146"/>
      <c r="J403" s="146"/>
      <c r="K403" s="146"/>
      <c r="L403" s="146"/>
      <c r="M403" s="146"/>
      <c r="N403" s="146"/>
      <c r="O403" s="146"/>
      <c r="P403" s="146"/>
      <c r="Q403" s="146"/>
      <c r="R403" s="146"/>
      <c r="S403" s="146"/>
      <c r="T403" s="146"/>
      <c r="U403" s="146"/>
      <c r="V403" s="146"/>
      <c r="W403" s="146"/>
      <c r="X403" s="146"/>
      <c r="Y403" s="146"/>
      <c r="Z403" s="146"/>
      <c r="AA403" s="146"/>
      <c r="AB403" s="146"/>
      <c r="AC403" s="146"/>
      <c r="AD403" s="146"/>
      <c r="AE403" s="146"/>
      <c r="AF403" s="146"/>
      <c r="AG403" s="146"/>
    </row>
    <row r="404" spans="1:33" ht="12.75">
      <c r="A404" s="148"/>
      <c r="B404" s="146"/>
      <c r="C404" s="146"/>
      <c r="D404" s="146"/>
      <c r="E404" s="146"/>
      <c r="F404" s="146"/>
      <c r="G404" s="146"/>
      <c r="H404" s="146"/>
      <c r="I404" s="146"/>
      <c r="J404" s="146"/>
      <c r="K404" s="146"/>
      <c r="L404" s="146"/>
      <c r="M404" s="146"/>
      <c r="N404" s="146"/>
      <c r="O404" s="146"/>
      <c r="P404" s="146"/>
      <c r="Q404" s="146"/>
      <c r="R404" s="146"/>
      <c r="S404" s="146"/>
      <c r="T404" s="146"/>
      <c r="U404" s="146"/>
      <c r="V404" s="146"/>
      <c r="W404" s="146"/>
      <c r="X404" s="146"/>
      <c r="Y404" s="146"/>
      <c r="Z404" s="146"/>
      <c r="AA404" s="146"/>
      <c r="AB404" s="146"/>
      <c r="AC404" s="146"/>
      <c r="AD404" s="146"/>
      <c r="AE404" s="146"/>
      <c r="AF404" s="146"/>
      <c r="AG404" s="146"/>
    </row>
    <row r="405" spans="1:33" ht="12.75">
      <c r="A405" s="148"/>
      <c r="B405" s="146"/>
      <c r="C405" s="146"/>
      <c r="D405" s="146"/>
      <c r="E405" s="146"/>
      <c r="F405" s="146"/>
      <c r="G405" s="146"/>
      <c r="H405" s="146"/>
      <c r="I405" s="146"/>
      <c r="J405" s="146"/>
      <c r="K405" s="146"/>
      <c r="L405" s="146"/>
      <c r="M405" s="146"/>
      <c r="N405" s="146"/>
      <c r="O405" s="146"/>
      <c r="P405" s="146"/>
      <c r="Q405" s="146"/>
      <c r="R405" s="146"/>
      <c r="S405" s="146"/>
      <c r="T405" s="146"/>
      <c r="U405" s="146"/>
      <c r="V405" s="146"/>
      <c r="W405" s="146"/>
      <c r="X405" s="146"/>
      <c r="Y405" s="146"/>
      <c r="Z405" s="146"/>
      <c r="AA405" s="146"/>
      <c r="AB405" s="146"/>
      <c r="AC405" s="146"/>
      <c r="AD405" s="146"/>
      <c r="AE405" s="146"/>
      <c r="AF405" s="146"/>
      <c r="AG405" s="146"/>
    </row>
    <row r="406" spans="1:33" ht="12.75">
      <c r="A406" s="148"/>
      <c r="B406" s="146"/>
      <c r="C406" s="146"/>
      <c r="D406" s="146"/>
      <c r="E406" s="146"/>
      <c r="F406" s="146"/>
      <c r="G406" s="146"/>
      <c r="H406" s="146"/>
      <c r="I406" s="146"/>
      <c r="J406" s="146"/>
      <c r="K406" s="146"/>
      <c r="L406" s="146"/>
      <c r="M406" s="146"/>
      <c r="N406" s="146"/>
      <c r="O406" s="146"/>
      <c r="P406" s="146"/>
      <c r="Q406" s="146"/>
      <c r="R406" s="146"/>
      <c r="S406" s="146"/>
      <c r="T406" s="146"/>
      <c r="U406" s="146"/>
      <c r="V406" s="146"/>
      <c r="W406" s="146"/>
      <c r="X406" s="146"/>
      <c r="Y406" s="146"/>
      <c r="Z406" s="146"/>
      <c r="AA406" s="146"/>
      <c r="AB406" s="146"/>
      <c r="AC406" s="146"/>
      <c r="AD406" s="146"/>
      <c r="AE406" s="146"/>
      <c r="AF406" s="146"/>
      <c r="AG406" s="146"/>
    </row>
    <row r="407" spans="1:33" ht="12.75">
      <c r="A407" s="148"/>
      <c r="B407" s="146"/>
      <c r="C407" s="146"/>
      <c r="D407" s="146"/>
      <c r="E407" s="146"/>
      <c r="F407" s="146"/>
      <c r="G407" s="146"/>
      <c r="H407" s="146"/>
      <c r="I407" s="146"/>
      <c r="J407" s="146"/>
      <c r="K407" s="146"/>
      <c r="L407" s="146"/>
      <c r="M407" s="146"/>
      <c r="N407" s="146"/>
      <c r="O407" s="146"/>
      <c r="P407" s="146"/>
      <c r="Q407" s="146"/>
      <c r="R407" s="146"/>
      <c r="S407" s="146"/>
      <c r="T407" s="146"/>
      <c r="U407" s="146"/>
      <c r="V407" s="146"/>
      <c r="W407" s="146"/>
      <c r="X407" s="146"/>
      <c r="Y407" s="146"/>
      <c r="Z407" s="146"/>
      <c r="AA407" s="146"/>
      <c r="AB407" s="146"/>
      <c r="AC407" s="146"/>
      <c r="AD407" s="146"/>
      <c r="AE407" s="146"/>
      <c r="AF407" s="146"/>
      <c r="AG407" s="146"/>
    </row>
    <row r="408" spans="1:33" ht="12.75">
      <c r="A408" s="148"/>
      <c r="B408" s="146"/>
      <c r="C408" s="146"/>
      <c r="D408" s="146"/>
      <c r="E408" s="146"/>
      <c r="F408" s="146"/>
      <c r="G408" s="146"/>
      <c r="H408" s="146"/>
      <c r="I408" s="146"/>
      <c r="J408" s="146"/>
      <c r="K408" s="146"/>
      <c r="L408" s="146"/>
      <c r="M408" s="146"/>
      <c r="N408" s="146"/>
      <c r="O408" s="146"/>
      <c r="P408" s="146"/>
      <c r="Q408" s="146"/>
      <c r="R408" s="146"/>
      <c r="S408" s="146"/>
      <c r="T408" s="146"/>
      <c r="U408" s="146"/>
      <c r="V408" s="146"/>
      <c r="W408" s="146"/>
      <c r="X408" s="146"/>
      <c r="Y408" s="146"/>
      <c r="Z408" s="146"/>
      <c r="AA408" s="146"/>
      <c r="AB408" s="146"/>
      <c r="AC408" s="146"/>
      <c r="AD408" s="146"/>
      <c r="AE408" s="146"/>
      <c r="AF408" s="146"/>
      <c r="AG408" s="146"/>
    </row>
    <row r="409" spans="1:33" ht="12.75">
      <c r="A409" s="148"/>
      <c r="B409" s="146"/>
      <c r="C409" s="146"/>
      <c r="D409" s="146"/>
      <c r="E409" s="146"/>
      <c r="F409" s="146"/>
      <c r="G409" s="146"/>
      <c r="H409" s="146"/>
      <c r="I409" s="146"/>
      <c r="J409" s="146"/>
      <c r="K409" s="146"/>
      <c r="L409" s="146"/>
      <c r="M409" s="146"/>
      <c r="N409" s="146"/>
      <c r="O409" s="146"/>
      <c r="P409" s="146"/>
      <c r="Q409" s="146"/>
      <c r="R409" s="146"/>
      <c r="S409" s="146"/>
      <c r="T409" s="146"/>
      <c r="U409" s="146"/>
      <c r="V409" s="146"/>
      <c r="W409" s="146"/>
      <c r="X409" s="146"/>
      <c r="Y409" s="146"/>
      <c r="Z409" s="146"/>
      <c r="AA409" s="146"/>
      <c r="AB409" s="146"/>
      <c r="AC409" s="146"/>
      <c r="AD409" s="146"/>
      <c r="AE409" s="146"/>
      <c r="AF409" s="146"/>
      <c r="AG409" s="146"/>
    </row>
    <row r="410" spans="1:33" ht="12.75">
      <c r="A410" s="148"/>
      <c r="B410" s="146"/>
      <c r="C410" s="146"/>
      <c r="D410" s="146"/>
      <c r="E410" s="146"/>
      <c r="F410" s="146"/>
      <c r="G410" s="146"/>
      <c r="H410" s="146"/>
      <c r="I410" s="146"/>
      <c r="J410" s="146"/>
      <c r="K410" s="146"/>
      <c r="L410" s="146"/>
      <c r="M410" s="146"/>
      <c r="N410" s="146"/>
      <c r="O410" s="146"/>
      <c r="P410" s="146"/>
      <c r="Q410" s="146"/>
      <c r="R410" s="146"/>
      <c r="S410" s="146"/>
      <c r="T410" s="146"/>
      <c r="U410" s="146"/>
      <c r="V410" s="146"/>
      <c r="W410" s="146"/>
      <c r="X410" s="146"/>
      <c r="Y410" s="146"/>
      <c r="Z410" s="146"/>
      <c r="AA410" s="146"/>
      <c r="AB410" s="146"/>
      <c r="AC410" s="146"/>
      <c r="AD410" s="146"/>
      <c r="AE410" s="146"/>
      <c r="AF410" s="146"/>
      <c r="AG410" s="146"/>
    </row>
    <row r="411" spans="1:33" ht="12.75">
      <c r="A411" s="148"/>
      <c r="B411" s="146"/>
      <c r="C411" s="146"/>
      <c r="D411" s="146"/>
      <c r="E411" s="146"/>
      <c r="F411" s="146"/>
      <c r="G411" s="146"/>
      <c r="H411" s="146"/>
      <c r="I411" s="146"/>
      <c r="J411" s="146"/>
      <c r="K411" s="146"/>
      <c r="L411" s="146"/>
      <c r="M411" s="146"/>
      <c r="N411" s="146"/>
      <c r="O411" s="146"/>
      <c r="P411" s="146"/>
      <c r="Q411" s="146"/>
      <c r="R411" s="146"/>
      <c r="S411" s="146"/>
      <c r="T411" s="146"/>
      <c r="U411" s="146"/>
      <c r="V411" s="146"/>
      <c r="W411" s="146"/>
      <c r="X411" s="146"/>
      <c r="Y411" s="146"/>
      <c r="Z411" s="146"/>
      <c r="AA411" s="146"/>
      <c r="AB411" s="146"/>
      <c r="AC411" s="146"/>
      <c r="AD411" s="146"/>
      <c r="AE411" s="146"/>
      <c r="AF411" s="146"/>
      <c r="AG411" s="146"/>
    </row>
    <row r="412" spans="1:33" ht="12.75">
      <c r="A412" s="148"/>
      <c r="B412" s="146"/>
      <c r="C412" s="146"/>
      <c r="D412" s="146"/>
      <c r="E412" s="146"/>
      <c r="F412" s="146"/>
      <c r="G412" s="146"/>
      <c r="H412" s="146"/>
      <c r="I412" s="146"/>
      <c r="J412" s="146"/>
      <c r="K412" s="146"/>
      <c r="L412" s="146"/>
      <c r="M412" s="146"/>
      <c r="N412" s="146"/>
      <c r="O412" s="146"/>
      <c r="P412" s="146"/>
      <c r="Q412" s="146"/>
      <c r="R412" s="146"/>
      <c r="S412" s="146"/>
      <c r="T412" s="146"/>
      <c r="U412" s="146"/>
      <c r="V412" s="146"/>
      <c r="W412" s="146"/>
      <c r="X412" s="146"/>
      <c r="Y412" s="146"/>
      <c r="Z412" s="146"/>
      <c r="AA412" s="146"/>
      <c r="AB412" s="146"/>
      <c r="AC412" s="146"/>
      <c r="AD412" s="146"/>
      <c r="AE412" s="146"/>
      <c r="AF412" s="146"/>
      <c r="AG412" s="146"/>
    </row>
    <row r="413" spans="1:33" ht="12.75">
      <c r="A413" s="148"/>
      <c r="B413" s="146"/>
      <c r="C413" s="146"/>
      <c r="D413" s="146"/>
      <c r="E413" s="146"/>
      <c r="F413" s="146"/>
      <c r="G413" s="146"/>
      <c r="H413" s="146"/>
      <c r="I413" s="146"/>
      <c r="J413" s="146"/>
      <c r="K413" s="146"/>
      <c r="L413" s="146"/>
      <c r="M413" s="146"/>
      <c r="N413" s="146"/>
      <c r="O413" s="146"/>
      <c r="P413" s="146"/>
      <c r="Q413" s="146"/>
      <c r="R413" s="146"/>
      <c r="S413" s="146"/>
      <c r="T413" s="146"/>
      <c r="U413" s="146"/>
      <c r="V413" s="146"/>
      <c r="W413" s="146"/>
      <c r="X413" s="146"/>
      <c r="Y413" s="146"/>
      <c r="Z413" s="146"/>
      <c r="AA413" s="146"/>
      <c r="AB413" s="146"/>
      <c r="AC413" s="146"/>
      <c r="AD413" s="146"/>
      <c r="AE413" s="146"/>
      <c r="AF413" s="146"/>
      <c r="AG413" s="146"/>
    </row>
    <row r="414" spans="1:33" ht="12.75">
      <c r="A414" s="148"/>
      <c r="B414" s="146"/>
      <c r="C414" s="146"/>
      <c r="D414" s="146"/>
      <c r="E414" s="146"/>
      <c r="F414" s="146"/>
      <c r="G414" s="146"/>
      <c r="H414" s="146"/>
      <c r="I414" s="146"/>
      <c r="J414" s="146"/>
      <c r="K414" s="146"/>
      <c r="L414" s="146"/>
      <c r="M414" s="146"/>
      <c r="N414" s="146"/>
      <c r="O414" s="146"/>
      <c r="P414" s="146"/>
      <c r="Q414" s="146"/>
      <c r="R414" s="146"/>
      <c r="S414" s="146"/>
      <c r="T414" s="146"/>
      <c r="U414" s="146"/>
      <c r="V414" s="146"/>
      <c r="W414" s="146"/>
      <c r="X414" s="146"/>
      <c r="Y414" s="146"/>
      <c r="Z414" s="146"/>
      <c r="AA414" s="146"/>
      <c r="AB414" s="146"/>
      <c r="AC414" s="146"/>
      <c r="AD414" s="146"/>
      <c r="AE414" s="146"/>
      <c r="AF414" s="146"/>
      <c r="AG414" s="146"/>
    </row>
    <row r="415" spans="1:33" ht="12.75">
      <c r="A415" s="148"/>
      <c r="B415" s="146"/>
      <c r="C415" s="146"/>
      <c r="D415" s="146"/>
      <c r="E415" s="146"/>
      <c r="F415" s="146"/>
      <c r="G415" s="146"/>
      <c r="H415" s="146"/>
      <c r="I415" s="146"/>
      <c r="J415" s="146"/>
      <c r="K415" s="146"/>
      <c r="L415" s="146"/>
      <c r="M415" s="146"/>
      <c r="N415" s="146"/>
      <c r="O415" s="146"/>
      <c r="P415" s="146"/>
      <c r="Q415" s="146"/>
      <c r="R415" s="146"/>
      <c r="S415" s="146"/>
      <c r="T415" s="146"/>
      <c r="U415" s="146"/>
      <c r="V415" s="146"/>
      <c r="W415" s="146"/>
      <c r="X415" s="146"/>
      <c r="Y415" s="146"/>
      <c r="Z415" s="146"/>
      <c r="AA415" s="146"/>
      <c r="AB415" s="146"/>
      <c r="AC415" s="146"/>
      <c r="AD415" s="146"/>
      <c r="AE415" s="146"/>
      <c r="AF415" s="146"/>
      <c r="AG415" s="146"/>
    </row>
    <row r="416" spans="1:33" ht="12.75">
      <c r="A416" s="148"/>
      <c r="B416" s="146"/>
      <c r="C416" s="146"/>
      <c r="D416" s="146"/>
      <c r="E416" s="146"/>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c r="AB416" s="146"/>
      <c r="AC416" s="146"/>
      <c r="AD416" s="146"/>
      <c r="AE416" s="146"/>
      <c r="AF416" s="146"/>
      <c r="AG416" s="146"/>
    </row>
    <row r="417" spans="1:33" ht="12.75">
      <c r="A417" s="148"/>
      <c r="B417" s="146"/>
      <c r="C417" s="146"/>
      <c r="D417" s="146"/>
      <c r="E417" s="146"/>
      <c r="F417" s="146"/>
      <c r="G417" s="146"/>
      <c r="H417" s="146"/>
      <c r="I417" s="146"/>
      <c r="J417" s="146"/>
      <c r="K417" s="146"/>
      <c r="L417" s="146"/>
      <c r="M417" s="146"/>
      <c r="N417" s="146"/>
      <c r="O417" s="146"/>
      <c r="P417" s="146"/>
      <c r="Q417" s="146"/>
      <c r="R417" s="146"/>
      <c r="S417" s="146"/>
      <c r="T417" s="146"/>
      <c r="U417" s="146"/>
      <c r="V417" s="146"/>
      <c r="W417" s="146"/>
      <c r="X417" s="146"/>
      <c r="Y417" s="146"/>
      <c r="Z417" s="146"/>
      <c r="AA417" s="146"/>
      <c r="AB417" s="146"/>
      <c r="AC417" s="146"/>
      <c r="AD417" s="146"/>
      <c r="AE417" s="146"/>
      <c r="AF417" s="146"/>
      <c r="AG417" s="146"/>
    </row>
    <row r="418" spans="1:33" ht="12.75">
      <c r="A418" s="148"/>
      <c r="B418" s="146"/>
      <c r="C418" s="146"/>
      <c r="D418" s="146"/>
      <c r="E418" s="146"/>
      <c r="F418" s="146"/>
      <c r="G418" s="146"/>
      <c r="H418" s="146"/>
      <c r="I418" s="146"/>
      <c r="J418" s="146"/>
      <c r="K418" s="146"/>
      <c r="L418" s="146"/>
      <c r="M418" s="146"/>
      <c r="N418" s="146"/>
      <c r="O418" s="146"/>
      <c r="P418" s="146"/>
      <c r="Q418" s="146"/>
      <c r="R418" s="146"/>
      <c r="S418" s="146"/>
      <c r="T418" s="146"/>
      <c r="U418" s="146"/>
      <c r="V418" s="146"/>
      <c r="W418" s="146"/>
      <c r="X418" s="146"/>
      <c r="Y418" s="146"/>
      <c r="Z418" s="146"/>
      <c r="AA418" s="146"/>
      <c r="AB418" s="146"/>
      <c r="AC418" s="146"/>
      <c r="AD418" s="146"/>
      <c r="AE418" s="146"/>
      <c r="AF418" s="146"/>
      <c r="AG418" s="146"/>
    </row>
    <row r="419" spans="1:33" ht="12.75">
      <c r="A419" s="148"/>
      <c r="B419" s="146"/>
      <c r="C419" s="146"/>
      <c r="D419" s="146"/>
      <c r="E419" s="146"/>
      <c r="F419" s="146"/>
      <c r="G419" s="146"/>
      <c r="H419" s="146"/>
      <c r="I419" s="146"/>
      <c r="J419" s="146"/>
      <c r="K419" s="146"/>
      <c r="L419" s="146"/>
      <c r="M419" s="146"/>
      <c r="N419" s="146"/>
      <c r="O419" s="146"/>
      <c r="P419" s="146"/>
      <c r="Q419" s="146"/>
      <c r="R419" s="146"/>
      <c r="S419" s="146"/>
      <c r="T419" s="146"/>
      <c r="U419" s="146"/>
      <c r="V419" s="146"/>
      <c r="W419" s="146"/>
      <c r="X419" s="146"/>
      <c r="Y419" s="146"/>
      <c r="Z419" s="146"/>
      <c r="AA419" s="146"/>
      <c r="AB419" s="146"/>
      <c r="AC419" s="146"/>
      <c r="AD419" s="146"/>
      <c r="AE419" s="146"/>
      <c r="AF419" s="146"/>
      <c r="AG419" s="146"/>
    </row>
    <row r="420" spans="1:33" ht="12.75">
      <c r="A420" s="148"/>
      <c r="B420" s="146"/>
      <c r="C420" s="146"/>
      <c r="D420" s="146"/>
      <c r="E420" s="146"/>
      <c r="F420" s="146"/>
      <c r="G420" s="146"/>
      <c r="H420" s="146"/>
      <c r="I420" s="146"/>
      <c r="J420" s="146"/>
      <c r="K420" s="146"/>
      <c r="L420" s="146"/>
      <c r="M420" s="146"/>
      <c r="N420" s="146"/>
      <c r="O420" s="146"/>
      <c r="P420" s="146"/>
      <c r="Q420" s="146"/>
      <c r="R420" s="146"/>
      <c r="S420" s="146"/>
      <c r="T420" s="146"/>
      <c r="U420" s="146"/>
      <c r="V420" s="146"/>
      <c r="W420" s="146"/>
      <c r="X420" s="146"/>
      <c r="Y420" s="146"/>
      <c r="Z420" s="146"/>
      <c r="AA420" s="146"/>
      <c r="AB420" s="146"/>
      <c r="AC420" s="146"/>
      <c r="AD420" s="146"/>
      <c r="AE420" s="146"/>
      <c r="AF420" s="146"/>
      <c r="AG420" s="146"/>
    </row>
    <row r="421" spans="1:33" ht="12.75">
      <c r="A421" s="148"/>
      <c r="B421" s="146"/>
      <c r="C421" s="146"/>
      <c r="D421" s="146"/>
      <c r="E421" s="146"/>
      <c r="F421" s="146"/>
      <c r="G421" s="146"/>
      <c r="H421" s="146"/>
      <c r="I421" s="146"/>
      <c r="J421" s="146"/>
      <c r="K421" s="146"/>
      <c r="L421" s="146"/>
      <c r="M421" s="146"/>
      <c r="N421" s="146"/>
      <c r="O421" s="146"/>
      <c r="P421" s="146"/>
      <c r="Q421" s="146"/>
      <c r="R421" s="146"/>
      <c r="S421" s="146"/>
      <c r="T421" s="146"/>
      <c r="U421" s="146"/>
      <c r="V421" s="146"/>
      <c r="W421" s="146"/>
      <c r="X421" s="146"/>
      <c r="Y421" s="146"/>
      <c r="Z421" s="146"/>
      <c r="AA421" s="146"/>
      <c r="AB421" s="146"/>
      <c r="AC421" s="146"/>
      <c r="AD421" s="146"/>
      <c r="AE421" s="146"/>
      <c r="AF421" s="146"/>
      <c r="AG421" s="146"/>
    </row>
    <row r="422" spans="1:33" ht="12.75">
      <c r="A422" s="148"/>
      <c r="B422" s="146"/>
      <c r="C422" s="146"/>
      <c r="D422" s="146"/>
      <c r="E422" s="146"/>
      <c r="F422" s="146"/>
      <c r="G422" s="146"/>
      <c r="H422" s="146"/>
      <c r="I422" s="146"/>
      <c r="J422" s="146"/>
      <c r="K422" s="146"/>
      <c r="L422" s="146"/>
      <c r="M422" s="146"/>
      <c r="N422" s="146"/>
      <c r="O422" s="146"/>
      <c r="P422" s="146"/>
      <c r="Q422" s="146"/>
      <c r="R422" s="146"/>
      <c r="S422" s="146"/>
      <c r="T422" s="146"/>
      <c r="U422" s="146"/>
      <c r="V422" s="146"/>
      <c r="W422" s="146"/>
      <c r="X422" s="146"/>
      <c r="Y422" s="146"/>
      <c r="Z422" s="146"/>
      <c r="AA422" s="146"/>
      <c r="AB422" s="146"/>
      <c r="AC422" s="146"/>
      <c r="AD422" s="146"/>
      <c r="AE422" s="146"/>
      <c r="AF422" s="146"/>
      <c r="AG422" s="146"/>
    </row>
    <row r="423" spans="1:33" ht="12.75">
      <c r="A423" s="148"/>
      <c r="B423" s="146"/>
      <c r="C423" s="146"/>
      <c r="D423" s="146"/>
      <c r="E423" s="146"/>
      <c r="F423" s="146"/>
      <c r="G423" s="146"/>
      <c r="H423" s="146"/>
      <c r="I423" s="146"/>
      <c r="J423" s="146"/>
      <c r="K423" s="146"/>
      <c r="L423" s="146"/>
      <c r="M423" s="146"/>
      <c r="N423" s="146"/>
      <c r="O423" s="146"/>
      <c r="P423" s="146"/>
      <c r="Q423" s="146"/>
      <c r="R423" s="146"/>
      <c r="S423" s="146"/>
      <c r="T423" s="146"/>
      <c r="U423" s="146"/>
      <c r="V423" s="146"/>
      <c r="W423" s="146"/>
      <c r="X423" s="146"/>
      <c r="Y423" s="146"/>
      <c r="Z423" s="146"/>
      <c r="AA423" s="146"/>
      <c r="AB423" s="146"/>
      <c r="AC423" s="146"/>
      <c r="AD423" s="146"/>
      <c r="AE423" s="146"/>
      <c r="AF423" s="146"/>
      <c r="AG423" s="146"/>
    </row>
    <row r="424" spans="1:33" ht="12.75">
      <c r="A424" s="148"/>
      <c r="B424" s="146"/>
      <c r="C424" s="146"/>
      <c r="D424" s="146"/>
      <c r="E424" s="146"/>
      <c r="F424" s="146"/>
      <c r="G424" s="146"/>
      <c r="H424" s="146"/>
      <c r="I424" s="146"/>
      <c r="J424" s="146"/>
      <c r="K424" s="146"/>
      <c r="L424" s="146"/>
      <c r="M424" s="146"/>
      <c r="N424" s="146"/>
      <c r="O424" s="146"/>
      <c r="P424" s="146"/>
      <c r="Q424" s="146"/>
      <c r="R424" s="146"/>
      <c r="S424" s="146"/>
      <c r="T424" s="146"/>
      <c r="U424" s="146"/>
      <c r="V424" s="146"/>
      <c r="W424" s="146"/>
      <c r="X424" s="146"/>
      <c r="Y424" s="146"/>
      <c r="Z424" s="146"/>
      <c r="AA424" s="146"/>
      <c r="AB424" s="146"/>
      <c r="AC424" s="146"/>
      <c r="AD424" s="146"/>
      <c r="AE424" s="146"/>
      <c r="AF424" s="146"/>
      <c r="AG424" s="146"/>
    </row>
    <row r="425" spans="1:33" ht="12.75">
      <c r="A425" s="148"/>
      <c r="B425" s="146"/>
      <c r="C425" s="146"/>
      <c r="D425" s="146"/>
      <c r="E425" s="146"/>
      <c r="F425" s="146"/>
      <c r="G425" s="146"/>
      <c r="H425" s="146"/>
      <c r="I425" s="146"/>
      <c r="J425" s="146"/>
      <c r="K425" s="146"/>
      <c r="L425" s="146"/>
      <c r="M425" s="146"/>
      <c r="N425" s="146"/>
      <c r="O425" s="146"/>
      <c r="P425" s="146"/>
      <c r="Q425" s="146"/>
      <c r="R425" s="146"/>
      <c r="S425" s="146"/>
      <c r="T425" s="146"/>
      <c r="U425" s="146"/>
      <c r="V425" s="146"/>
      <c r="W425" s="146"/>
      <c r="X425" s="146"/>
      <c r="Y425" s="146"/>
      <c r="Z425" s="146"/>
      <c r="AA425" s="146"/>
      <c r="AB425" s="146"/>
      <c r="AC425" s="146"/>
      <c r="AD425" s="146"/>
      <c r="AE425" s="146"/>
      <c r="AF425" s="146"/>
      <c r="AG425" s="146"/>
    </row>
    <row r="426" spans="1:33" ht="12.75">
      <c r="A426" s="148"/>
      <c r="B426" s="146"/>
      <c r="C426" s="146"/>
      <c r="D426" s="146"/>
      <c r="E426" s="146"/>
      <c r="F426" s="146"/>
      <c r="G426" s="146"/>
      <c r="H426" s="146"/>
      <c r="I426" s="146"/>
      <c r="J426" s="146"/>
      <c r="K426" s="146"/>
      <c r="L426" s="146"/>
      <c r="M426" s="146"/>
      <c r="N426" s="146"/>
      <c r="O426" s="146"/>
      <c r="P426" s="146"/>
      <c r="Q426" s="146"/>
      <c r="R426" s="146"/>
      <c r="S426" s="146"/>
      <c r="T426" s="146"/>
      <c r="U426" s="146"/>
      <c r="V426" s="146"/>
      <c r="W426" s="146"/>
      <c r="X426" s="146"/>
      <c r="Y426" s="146"/>
      <c r="Z426" s="146"/>
      <c r="AA426" s="146"/>
      <c r="AB426" s="146"/>
      <c r="AC426" s="146"/>
      <c r="AD426" s="146"/>
      <c r="AE426" s="146"/>
      <c r="AF426" s="146"/>
      <c r="AG426" s="146"/>
    </row>
    <row r="427" spans="1:33" ht="12.75">
      <c r="A427" s="148"/>
      <c r="B427" s="146"/>
      <c r="C427" s="146"/>
      <c r="D427" s="146"/>
      <c r="E427" s="146"/>
      <c r="F427" s="146"/>
      <c r="G427" s="146"/>
      <c r="H427" s="146"/>
      <c r="I427" s="146"/>
      <c r="J427" s="146"/>
      <c r="K427" s="146"/>
      <c r="L427" s="146"/>
      <c r="M427" s="146"/>
      <c r="N427" s="146"/>
      <c r="O427" s="146"/>
      <c r="P427" s="146"/>
      <c r="Q427" s="146"/>
      <c r="R427" s="146"/>
      <c r="S427" s="146"/>
      <c r="T427" s="146"/>
      <c r="U427" s="146"/>
      <c r="V427" s="146"/>
      <c r="W427" s="146"/>
      <c r="X427" s="146"/>
      <c r="Y427" s="146"/>
      <c r="Z427" s="146"/>
      <c r="AA427" s="146"/>
      <c r="AB427" s="146"/>
      <c r="AC427" s="146"/>
      <c r="AD427" s="146"/>
      <c r="AE427" s="146"/>
      <c r="AF427" s="146"/>
      <c r="AG427" s="146"/>
    </row>
    <row r="428" spans="1:33" ht="12.75">
      <c r="A428" s="148"/>
      <c r="B428" s="146"/>
      <c r="C428" s="146"/>
      <c r="D428" s="146"/>
      <c r="E428" s="146"/>
      <c r="F428" s="146"/>
      <c r="G428" s="146"/>
      <c r="H428" s="146"/>
      <c r="I428" s="146"/>
      <c r="J428" s="146"/>
      <c r="K428" s="146"/>
      <c r="L428" s="146"/>
      <c r="M428" s="146"/>
      <c r="N428" s="146"/>
      <c r="O428" s="146"/>
      <c r="P428" s="146"/>
      <c r="Q428" s="146"/>
      <c r="R428" s="146"/>
      <c r="S428" s="146"/>
      <c r="T428" s="146"/>
      <c r="U428" s="146"/>
      <c r="V428" s="146"/>
      <c r="W428" s="146"/>
      <c r="X428" s="146"/>
      <c r="Y428" s="146"/>
      <c r="Z428" s="146"/>
      <c r="AA428" s="146"/>
      <c r="AB428" s="146"/>
      <c r="AC428" s="146"/>
      <c r="AD428" s="146"/>
      <c r="AE428" s="146"/>
      <c r="AF428" s="146"/>
      <c r="AG428" s="146"/>
    </row>
    <row r="429" spans="1:33" ht="12.75">
      <c r="A429" s="148"/>
      <c r="B429" s="146"/>
      <c r="C429" s="146"/>
      <c r="D429" s="146"/>
      <c r="E429" s="146"/>
      <c r="F429" s="146"/>
      <c r="G429" s="146"/>
      <c r="H429" s="146"/>
      <c r="I429" s="146"/>
      <c r="J429" s="146"/>
      <c r="K429" s="146"/>
      <c r="L429" s="146"/>
      <c r="M429" s="146"/>
      <c r="N429" s="146"/>
      <c r="O429" s="146"/>
      <c r="P429" s="146"/>
      <c r="Q429" s="146"/>
      <c r="R429" s="146"/>
      <c r="S429" s="146"/>
      <c r="T429" s="146"/>
      <c r="U429" s="146"/>
      <c r="V429" s="146"/>
      <c r="W429" s="146"/>
      <c r="X429" s="146"/>
      <c r="Y429" s="146"/>
      <c r="Z429" s="146"/>
      <c r="AA429" s="146"/>
      <c r="AB429" s="146"/>
      <c r="AC429" s="146"/>
      <c r="AD429" s="146"/>
      <c r="AE429" s="146"/>
      <c r="AF429" s="146"/>
      <c r="AG429" s="146"/>
    </row>
    <row r="430" spans="1:33" ht="12.75">
      <c r="A430" s="148"/>
      <c r="B430" s="146"/>
      <c r="C430" s="146"/>
      <c r="D430" s="146"/>
      <c r="E430" s="146"/>
      <c r="F430" s="146"/>
      <c r="G430" s="146"/>
      <c r="H430" s="146"/>
      <c r="I430" s="146"/>
      <c r="J430" s="146"/>
      <c r="K430" s="146"/>
      <c r="L430" s="146"/>
      <c r="M430" s="146"/>
      <c r="N430" s="146"/>
      <c r="O430" s="146"/>
      <c r="P430" s="146"/>
      <c r="Q430" s="146"/>
      <c r="R430" s="146"/>
      <c r="S430" s="146"/>
      <c r="T430" s="146"/>
      <c r="U430" s="146"/>
      <c r="V430" s="146"/>
      <c r="W430" s="146"/>
      <c r="X430" s="146"/>
      <c r="Y430" s="146"/>
      <c r="Z430" s="146"/>
      <c r="AA430" s="146"/>
      <c r="AB430" s="146"/>
      <c r="AC430" s="146"/>
      <c r="AD430" s="146"/>
      <c r="AE430" s="146"/>
      <c r="AF430" s="146"/>
      <c r="AG430" s="146"/>
    </row>
    <row r="431" spans="1:33" ht="12.75">
      <c r="A431" s="148"/>
      <c r="B431" s="146"/>
      <c r="C431" s="146"/>
      <c r="D431" s="146"/>
      <c r="E431" s="146"/>
      <c r="F431" s="146"/>
      <c r="G431" s="146"/>
      <c r="H431" s="146"/>
      <c r="I431" s="146"/>
      <c r="J431" s="146"/>
      <c r="K431" s="146"/>
      <c r="L431" s="146"/>
      <c r="M431" s="146"/>
      <c r="N431" s="146"/>
      <c r="O431" s="146"/>
      <c r="P431" s="146"/>
      <c r="Q431" s="146"/>
      <c r="R431" s="146"/>
      <c r="S431" s="146"/>
      <c r="T431" s="146"/>
      <c r="U431" s="146"/>
      <c r="V431" s="146"/>
      <c r="W431" s="146"/>
      <c r="X431" s="146"/>
      <c r="Y431" s="146"/>
      <c r="Z431" s="146"/>
      <c r="AA431" s="146"/>
      <c r="AB431" s="146"/>
      <c r="AC431" s="146"/>
      <c r="AD431" s="146"/>
      <c r="AE431" s="146"/>
      <c r="AF431" s="146"/>
      <c r="AG431" s="146"/>
    </row>
    <row r="432" spans="1:33" ht="12.75">
      <c r="A432" s="148"/>
      <c r="B432" s="146"/>
      <c r="C432" s="146"/>
      <c r="D432" s="146"/>
      <c r="E432" s="146"/>
      <c r="F432" s="146"/>
      <c r="G432" s="146"/>
      <c r="H432" s="146"/>
      <c r="I432" s="146"/>
      <c r="J432" s="146"/>
      <c r="K432" s="146"/>
      <c r="L432" s="146"/>
      <c r="M432" s="146"/>
      <c r="N432" s="146"/>
      <c r="O432" s="146"/>
      <c r="P432" s="146"/>
      <c r="Q432" s="146"/>
      <c r="R432" s="146"/>
      <c r="S432" s="146"/>
      <c r="T432" s="146"/>
      <c r="U432" s="146"/>
      <c r="V432" s="146"/>
      <c r="W432" s="146"/>
      <c r="X432" s="146"/>
      <c r="Y432" s="146"/>
      <c r="Z432" s="146"/>
      <c r="AA432" s="146"/>
      <c r="AB432" s="146"/>
      <c r="AC432" s="146"/>
      <c r="AD432" s="146"/>
      <c r="AE432" s="146"/>
      <c r="AF432" s="146"/>
      <c r="AG432" s="146"/>
    </row>
    <row r="433" spans="1:33" ht="12.75">
      <c r="A433" s="148"/>
      <c r="B433" s="146"/>
      <c r="C433" s="146"/>
      <c r="D433" s="146"/>
      <c r="E433" s="146"/>
      <c r="F433" s="146"/>
      <c r="G433" s="146"/>
      <c r="H433" s="146"/>
      <c r="I433" s="146"/>
      <c r="J433" s="146"/>
      <c r="K433" s="146"/>
      <c r="L433" s="146"/>
      <c r="M433" s="146"/>
      <c r="N433" s="146"/>
      <c r="O433" s="146"/>
      <c r="P433" s="146"/>
      <c r="Q433" s="146"/>
      <c r="R433" s="146"/>
      <c r="S433" s="146"/>
      <c r="T433" s="146"/>
      <c r="U433" s="146"/>
      <c r="V433" s="146"/>
      <c r="W433" s="146"/>
      <c r="X433" s="146"/>
      <c r="Y433" s="146"/>
      <c r="Z433" s="146"/>
      <c r="AA433" s="146"/>
      <c r="AB433" s="146"/>
      <c r="AC433" s="146"/>
      <c r="AD433" s="146"/>
      <c r="AE433" s="146"/>
      <c r="AF433" s="146"/>
      <c r="AG433" s="146"/>
    </row>
    <row r="434" spans="1:33" ht="12.75">
      <c r="A434" s="148"/>
      <c r="B434" s="146"/>
      <c r="C434" s="146"/>
      <c r="D434" s="146"/>
      <c r="E434" s="146"/>
      <c r="F434" s="146"/>
      <c r="G434" s="146"/>
      <c r="H434" s="146"/>
      <c r="I434" s="146"/>
      <c r="J434" s="146"/>
      <c r="K434" s="146"/>
      <c r="L434" s="146"/>
      <c r="M434" s="146"/>
      <c r="N434" s="146"/>
      <c r="O434" s="146"/>
      <c r="P434" s="146"/>
      <c r="Q434" s="146"/>
      <c r="R434" s="146"/>
      <c r="S434" s="146"/>
      <c r="T434" s="146"/>
      <c r="U434" s="146"/>
      <c r="V434" s="146"/>
      <c r="W434" s="146"/>
      <c r="X434" s="146"/>
      <c r="Y434" s="146"/>
      <c r="Z434" s="146"/>
      <c r="AA434" s="146"/>
      <c r="AB434" s="146"/>
      <c r="AC434" s="146"/>
      <c r="AD434" s="146"/>
      <c r="AE434" s="146"/>
      <c r="AF434" s="146"/>
      <c r="AG434" s="146"/>
    </row>
    <row r="435" spans="1:33" ht="12.75">
      <c r="A435" s="148"/>
      <c r="B435" s="146"/>
      <c r="C435" s="146"/>
      <c r="D435" s="146"/>
      <c r="E435" s="146"/>
      <c r="F435" s="146"/>
      <c r="G435" s="146"/>
      <c r="H435" s="146"/>
      <c r="I435" s="146"/>
      <c r="J435" s="146"/>
      <c r="K435" s="146"/>
      <c r="L435" s="146"/>
      <c r="M435" s="146"/>
      <c r="N435" s="146"/>
      <c r="O435" s="146"/>
      <c r="P435" s="146"/>
      <c r="Q435" s="146"/>
      <c r="R435" s="146"/>
      <c r="S435" s="146"/>
      <c r="T435" s="146"/>
      <c r="U435" s="146"/>
      <c r="V435" s="146"/>
      <c r="W435" s="146"/>
      <c r="X435" s="146"/>
      <c r="Y435" s="146"/>
      <c r="Z435" s="146"/>
      <c r="AA435" s="146"/>
      <c r="AB435" s="146"/>
      <c r="AC435" s="146"/>
      <c r="AD435" s="146"/>
      <c r="AE435" s="146"/>
      <c r="AF435" s="146"/>
      <c r="AG435" s="146"/>
    </row>
    <row r="436" spans="1:33" ht="12.75">
      <c r="A436" s="148"/>
      <c r="B436" s="146"/>
      <c r="C436" s="146"/>
      <c r="D436" s="146"/>
      <c r="E436" s="146"/>
      <c r="F436" s="146"/>
      <c r="G436" s="146"/>
      <c r="H436" s="146"/>
      <c r="I436" s="146"/>
      <c r="J436" s="146"/>
      <c r="K436" s="146"/>
      <c r="L436" s="146"/>
      <c r="M436" s="146"/>
      <c r="N436" s="146"/>
      <c r="O436" s="146"/>
      <c r="P436" s="146"/>
      <c r="Q436" s="146"/>
      <c r="R436" s="146"/>
      <c r="S436" s="146"/>
      <c r="T436" s="146"/>
      <c r="U436" s="146"/>
      <c r="V436" s="146"/>
      <c r="W436" s="146"/>
      <c r="X436" s="146"/>
      <c r="Y436" s="146"/>
      <c r="Z436" s="146"/>
      <c r="AA436" s="146"/>
      <c r="AB436" s="146"/>
      <c r="AC436" s="146"/>
      <c r="AD436" s="146"/>
      <c r="AE436" s="146"/>
      <c r="AF436" s="146"/>
      <c r="AG436" s="146"/>
    </row>
    <row r="437" spans="1:33" ht="12.75">
      <c r="A437" s="148"/>
      <c r="B437" s="146"/>
      <c r="C437" s="146"/>
      <c r="D437" s="146"/>
      <c r="E437" s="146"/>
      <c r="F437" s="146"/>
      <c r="G437" s="146"/>
      <c r="H437" s="146"/>
      <c r="I437" s="146"/>
      <c r="J437" s="146"/>
      <c r="K437" s="146"/>
      <c r="L437" s="146"/>
      <c r="M437" s="146"/>
      <c r="N437" s="146"/>
      <c r="O437" s="146"/>
      <c r="P437" s="146"/>
      <c r="Q437" s="146"/>
      <c r="R437" s="146"/>
      <c r="S437" s="146"/>
      <c r="T437" s="146"/>
      <c r="U437" s="146"/>
      <c r="V437" s="146"/>
      <c r="W437" s="146"/>
      <c r="X437" s="146"/>
      <c r="Y437" s="146"/>
      <c r="Z437" s="146"/>
      <c r="AA437" s="146"/>
      <c r="AB437" s="146"/>
      <c r="AC437" s="146"/>
      <c r="AD437" s="146"/>
      <c r="AE437" s="146"/>
      <c r="AF437" s="146"/>
      <c r="AG437" s="146"/>
    </row>
    <row r="438" spans="1:33" ht="12.75">
      <c r="A438" s="148"/>
      <c r="B438" s="146"/>
      <c r="C438" s="146"/>
      <c r="D438" s="146"/>
      <c r="E438" s="146"/>
      <c r="F438" s="146"/>
      <c r="G438" s="146"/>
      <c r="H438" s="146"/>
      <c r="I438" s="146"/>
      <c r="J438" s="146"/>
      <c r="K438" s="146"/>
      <c r="L438" s="146"/>
      <c r="M438" s="146"/>
      <c r="N438" s="146"/>
      <c r="O438" s="146"/>
      <c r="P438" s="146"/>
      <c r="Q438" s="146"/>
      <c r="R438" s="146"/>
      <c r="S438" s="146"/>
      <c r="T438" s="146"/>
      <c r="U438" s="146"/>
      <c r="V438" s="146"/>
      <c r="W438" s="146"/>
      <c r="X438" s="146"/>
      <c r="Y438" s="146"/>
      <c r="Z438" s="146"/>
      <c r="AA438" s="146"/>
      <c r="AB438" s="146"/>
      <c r="AC438" s="146"/>
      <c r="AD438" s="146"/>
      <c r="AE438" s="146"/>
      <c r="AF438" s="146"/>
      <c r="AG438" s="146"/>
    </row>
    <row r="439" spans="1:33" ht="12.75">
      <c r="A439" s="148"/>
      <c r="B439" s="146"/>
      <c r="C439" s="146"/>
      <c r="D439" s="146"/>
      <c r="E439" s="146"/>
      <c r="F439" s="146"/>
      <c r="G439" s="146"/>
      <c r="H439" s="146"/>
      <c r="I439" s="146"/>
      <c r="J439" s="146"/>
      <c r="K439" s="146"/>
      <c r="L439" s="146"/>
      <c r="M439" s="146"/>
      <c r="N439" s="146"/>
      <c r="O439" s="146"/>
      <c r="P439" s="146"/>
      <c r="Q439" s="146"/>
      <c r="R439" s="146"/>
      <c r="S439" s="146"/>
      <c r="T439" s="146"/>
      <c r="U439" s="146"/>
      <c r="V439" s="146"/>
      <c r="W439" s="146"/>
      <c r="X439" s="146"/>
      <c r="Y439" s="146"/>
      <c r="Z439" s="146"/>
      <c r="AA439" s="146"/>
      <c r="AB439" s="146"/>
      <c r="AC439" s="146"/>
      <c r="AD439" s="146"/>
      <c r="AE439" s="146"/>
      <c r="AF439" s="146"/>
      <c r="AG439" s="146"/>
    </row>
    <row r="440" spans="1:33" ht="12.75">
      <c r="A440" s="148"/>
      <c r="B440" s="146"/>
      <c r="C440" s="146"/>
      <c r="D440" s="146"/>
      <c r="E440" s="146"/>
      <c r="F440" s="146"/>
      <c r="G440" s="146"/>
      <c r="H440" s="146"/>
      <c r="I440" s="146"/>
      <c r="J440" s="146"/>
      <c r="K440" s="146"/>
      <c r="L440" s="146"/>
      <c r="M440" s="146"/>
      <c r="N440" s="146"/>
      <c r="O440" s="146"/>
      <c r="P440" s="146"/>
      <c r="Q440" s="146"/>
      <c r="R440" s="146"/>
      <c r="S440" s="146"/>
      <c r="T440" s="146"/>
      <c r="U440" s="146"/>
      <c r="V440" s="146"/>
      <c r="W440" s="146"/>
      <c r="X440" s="146"/>
      <c r="Y440" s="146"/>
      <c r="Z440" s="146"/>
      <c r="AA440" s="146"/>
      <c r="AB440" s="146"/>
      <c r="AC440" s="146"/>
      <c r="AD440" s="146"/>
      <c r="AE440" s="146"/>
      <c r="AF440" s="146"/>
      <c r="AG440" s="146"/>
    </row>
    <row r="441" spans="1:33" ht="12.75">
      <c r="A441" s="148"/>
      <c r="B441" s="146"/>
      <c r="C441" s="146"/>
      <c r="D441" s="146"/>
      <c r="E441" s="146"/>
      <c r="F441" s="146"/>
      <c r="G441" s="146"/>
      <c r="H441" s="146"/>
      <c r="I441" s="146"/>
      <c r="J441" s="146"/>
      <c r="K441" s="146"/>
      <c r="L441" s="146"/>
      <c r="M441" s="146"/>
      <c r="N441" s="146"/>
      <c r="O441" s="146"/>
      <c r="P441" s="146"/>
      <c r="Q441" s="146"/>
      <c r="R441" s="146"/>
      <c r="S441" s="146"/>
      <c r="T441" s="146"/>
      <c r="U441" s="146"/>
      <c r="V441" s="146"/>
      <c r="W441" s="146"/>
      <c r="X441" s="146"/>
      <c r="Y441" s="146"/>
      <c r="Z441" s="146"/>
      <c r="AA441" s="146"/>
      <c r="AB441" s="146"/>
      <c r="AC441" s="146"/>
      <c r="AD441" s="146"/>
      <c r="AE441" s="146"/>
      <c r="AF441" s="146"/>
      <c r="AG441" s="146"/>
    </row>
    <row r="442" spans="1:33" ht="12.75">
      <c r="A442" s="148"/>
      <c r="B442" s="146"/>
      <c r="C442" s="146"/>
      <c r="D442" s="146"/>
      <c r="E442" s="146"/>
      <c r="F442" s="146"/>
      <c r="G442" s="146"/>
      <c r="H442" s="146"/>
      <c r="I442" s="146"/>
      <c r="J442" s="146"/>
      <c r="K442" s="146"/>
      <c r="L442" s="146"/>
      <c r="M442" s="146"/>
      <c r="N442" s="146"/>
      <c r="O442" s="146"/>
      <c r="P442" s="146"/>
      <c r="Q442" s="146"/>
      <c r="R442" s="146"/>
      <c r="S442" s="146"/>
      <c r="T442" s="146"/>
      <c r="U442" s="146"/>
      <c r="V442" s="146"/>
      <c r="W442" s="146"/>
      <c r="X442" s="146"/>
      <c r="Y442" s="146"/>
      <c r="Z442" s="146"/>
      <c r="AA442" s="146"/>
      <c r="AB442" s="146"/>
      <c r="AC442" s="146"/>
      <c r="AD442" s="146"/>
      <c r="AE442" s="146"/>
      <c r="AF442" s="146"/>
      <c r="AG442" s="146"/>
    </row>
    <row r="443" spans="1:33" ht="12.75">
      <c r="A443" s="148"/>
      <c r="B443" s="146"/>
      <c r="C443" s="146"/>
      <c r="D443" s="146"/>
      <c r="E443" s="146"/>
      <c r="F443" s="146"/>
      <c r="G443" s="146"/>
      <c r="H443" s="146"/>
      <c r="I443" s="146"/>
      <c r="J443" s="146"/>
      <c r="K443" s="146"/>
      <c r="L443" s="146"/>
      <c r="M443" s="146"/>
      <c r="N443" s="146"/>
      <c r="O443" s="146"/>
      <c r="P443" s="146"/>
      <c r="Q443" s="146"/>
      <c r="R443" s="146"/>
      <c r="S443" s="146"/>
      <c r="T443" s="146"/>
      <c r="U443" s="146"/>
      <c r="V443" s="146"/>
      <c r="W443" s="146"/>
      <c r="X443" s="146"/>
      <c r="Y443" s="146"/>
      <c r="Z443" s="146"/>
      <c r="AA443" s="146"/>
      <c r="AB443" s="146"/>
      <c r="AC443" s="146"/>
      <c r="AD443" s="146"/>
      <c r="AE443" s="146"/>
      <c r="AF443" s="146"/>
      <c r="AG443" s="146"/>
    </row>
    <row r="444" spans="1:33" ht="12.75">
      <c r="A444" s="148"/>
      <c r="B444" s="146"/>
      <c r="C444" s="146"/>
      <c r="D444" s="146"/>
      <c r="E444" s="146"/>
      <c r="F444" s="146"/>
      <c r="G444" s="146"/>
      <c r="H444" s="146"/>
      <c r="I444" s="146"/>
      <c r="J444" s="146"/>
      <c r="K444" s="146"/>
      <c r="L444" s="146"/>
      <c r="M444" s="146"/>
      <c r="N444" s="146"/>
      <c r="O444" s="146"/>
      <c r="P444" s="146"/>
      <c r="Q444" s="146"/>
      <c r="R444" s="146"/>
      <c r="S444" s="146"/>
      <c r="T444" s="146"/>
      <c r="U444" s="146"/>
      <c r="V444" s="146"/>
      <c r="W444" s="146"/>
      <c r="X444" s="146"/>
      <c r="Y444" s="146"/>
      <c r="Z444" s="146"/>
      <c r="AA444" s="146"/>
      <c r="AB444" s="146"/>
      <c r="AC444" s="146"/>
      <c r="AD444" s="146"/>
      <c r="AE444" s="146"/>
      <c r="AF444" s="146"/>
      <c r="AG444" s="146"/>
    </row>
    <row r="445" spans="1:33" ht="12.75">
      <c r="A445" s="148"/>
      <c r="B445" s="146"/>
      <c r="C445" s="146"/>
      <c r="D445" s="146"/>
      <c r="E445" s="146"/>
      <c r="F445" s="146"/>
      <c r="G445" s="146"/>
      <c r="H445" s="146"/>
      <c r="I445" s="146"/>
      <c r="J445" s="146"/>
      <c r="K445" s="146"/>
      <c r="L445" s="146"/>
      <c r="M445" s="146"/>
      <c r="N445" s="146"/>
      <c r="O445" s="146"/>
      <c r="P445" s="146"/>
      <c r="Q445" s="146"/>
      <c r="R445" s="146"/>
      <c r="S445" s="146"/>
      <c r="T445" s="146"/>
      <c r="U445" s="146"/>
      <c r="V445" s="146"/>
      <c r="W445" s="146"/>
      <c r="X445" s="146"/>
      <c r="Y445" s="146"/>
      <c r="Z445" s="146"/>
      <c r="AA445" s="146"/>
      <c r="AB445" s="146"/>
      <c r="AC445" s="146"/>
      <c r="AD445" s="146"/>
      <c r="AE445" s="146"/>
      <c r="AF445" s="146"/>
      <c r="AG445" s="146"/>
    </row>
    <row r="446" spans="1:33" ht="12.75">
      <c r="A446" s="148"/>
      <c r="B446" s="146"/>
      <c r="C446" s="146"/>
      <c r="D446" s="146"/>
      <c r="E446" s="146"/>
      <c r="F446" s="146"/>
      <c r="G446" s="146"/>
      <c r="H446" s="146"/>
      <c r="I446" s="146"/>
      <c r="J446" s="146"/>
      <c r="K446" s="146"/>
      <c r="L446" s="146"/>
      <c r="M446" s="146"/>
      <c r="N446" s="146"/>
      <c r="O446" s="146"/>
      <c r="P446" s="146"/>
      <c r="Q446" s="146"/>
      <c r="R446" s="146"/>
      <c r="S446" s="146"/>
      <c r="T446" s="146"/>
      <c r="U446" s="146"/>
      <c r="V446" s="146"/>
      <c r="W446" s="146"/>
      <c r="X446" s="146"/>
      <c r="Y446" s="146"/>
      <c r="Z446" s="146"/>
      <c r="AA446" s="146"/>
      <c r="AB446" s="146"/>
      <c r="AC446" s="146"/>
      <c r="AD446" s="146"/>
      <c r="AE446" s="146"/>
      <c r="AF446" s="146"/>
      <c r="AG446" s="146"/>
    </row>
    <row r="447" spans="1:33" ht="12.75">
      <c r="A447" s="148"/>
      <c r="B447" s="146"/>
      <c r="C447" s="146"/>
      <c r="D447" s="146"/>
      <c r="E447" s="146"/>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c r="AB447" s="146"/>
      <c r="AC447" s="146"/>
      <c r="AD447" s="146"/>
      <c r="AE447" s="146"/>
      <c r="AF447" s="146"/>
      <c r="AG447" s="146"/>
    </row>
    <row r="448" spans="1:33" ht="12.75">
      <c r="A448" s="148"/>
      <c r="B448" s="146"/>
      <c r="C448" s="146"/>
      <c r="D448" s="146"/>
      <c r="E448" s="146"/>
      <c r="F448" s="146"/>
      <c r="G448" s="146"/>
      <c r="H448" s="146"/>
      <c r="I448" s="146"/>
      <c r="J448" s="146"/>
      <c r="K448" s="146"/>
      <c r="L448" s="146"/>
      <c r="M448" s="146"/>
      <c r="N448" s="146"/>
      <c r="O448" s="146"/>
      <c r="P448" s="146"/>
      <c r="Q448" s="146"/>
      <c r="R448" s="146"/>
      <c r="S448" s="146"/>
      <c r="T448" s="146"/>
      <c r="U448" s="146"/>
      <c r="V448" s="146"/>
      <c r="W448" s="146"/>
      <c r="X448" s="146"/>
      <c r="Y448" s="146"/>
      <c r="Z448" s="146"/>
      <c r="AA448" s="146"/>
      <c r="AB448" s="146"/>
      <c r="AC448" s="146"/>
      <c r="AD448" s="146"/>
      <c r="AE448" s="146"/>
      <c r="AF448" s="146"/>
      <c r="AG448" s="146"/>
    </row>
    <row r="449" spans="1:33" ht="12.75">
      <c r="A449" s="148"/>
      <c r="B449" s="146"/>
      <c r="C449" s="146"/>
      <c r="D449" s="146"/>
      <c r="E449" s="146"/>
      <c r="F449" s="146"/>
      <c r="G449" s="146"/>
      <c r="H449" s="146"/>
      <c r="I449" s="146"/>
      <c r="J449" s="146"/>
      <c r="K449" s="146"/>
      <c r="L449" s="146"/>
      <c r="M449" s="146"/>
      <c r="N449" s="146"/>
      <c r="O449" s="146"/>
      <c r="P449" s="146"/>
      <c r="Q449" s="146"/>
      <c r="R449" s="146"/>
      <c r="S449" s="146"/>
      <c r="T449" s="146"/>
      <c r="U449" s="146"/>
      <c r="V449" s="146"/>
      <c r="W449" s="146"/>
      <c r="X449" s="146"/>
      <c r="Y449" s="146"/>
      <c r="Z449" s="146"/>
      <c r="AA449" s="146"/>
      <c r="AB449" s="146"/>
      <c r="AC449" s="146"/>
      <c r="AD449" s="146"/>
      <c r="AE449" s="146"/>
      <c r="AF449" s="146"/>
      <c r="AG449" s="146"/>
    </row>
    <row r="450" spans="1:33" ht="12.75">
      <c r="A450" s="148"/>
      <c r="B450" s="146"/>
      <c r="C450" s="146"/>
      <c r="D450" s="146"/>
      <c r="E450" s="146"/>
      <c r="F450" s="146"/>
      <c r="G450" s="146"/>
      <c r="H450" s="146"/>
      <c r="I450" s="146"/>
      <c r="J450" s="146"/>
      <c r="K450" s="146"/>
      <c r="L450" s="146"/>
      <c r="M450" s="146"/>
      <c r="N450" s="146"/>
      <c r="O450" s="146"/>
      <c r="P450" s="146"/>
      <c r="Q450" s="146"/>
      <c r="R450" s="146"/>
      <c r="S450" s="146"/>
      <c r="T450" s="146"/>
      <c r="U450" s="146"/>
      <c r="V450" s="146"/>
      <c r="W450" s="146"/>
      <c r="X450" s="146"/>
      <c r="Y450" s="146"/>
      <c r="Z450" s="146"/>
      <c r="AA450" s="146"/>
      <c r="AB450" s="146"/>
      <c r="AC450" s="146"/>
      <c r="AD450" s="146"/>
      <c r="AE450" s="146"/>
      <c r="AF450" s="146"/>
      <c r="AG450" s="146"/>
    </row>
    <row r="451" spans="1:33" ht="12.75">
      <c r="A451" s="148"/>
      <c r="B451" s="146"/>
      <c r="C451" s="146"/>
      <c r="D451" s="146"/>
      <c r="E451" s="146"/>
      <c r="F451" s="146"/>
      <c r="G451" s="146"/>
      <c r="H451" s="146"/>
      <c r="I451" s="146"/>
      <c r="J451" s="146"/>
      <c r="K451" s="146"/>
      <c r="L451" s="146"/>
      <c r="M451" s="146"/>
      <c r="N451" s="146"/>
      <c r="O451" s="146"/>
      <c r="P451" s="146"/>
      <c r="Q451" s="146"/>
      <c r="R451" s="146"/>
      <c r="S451" s="146"/>
      <c r="T451" s="146"/>
      <c r="U451" s="146"/>
      <c r="V451" s="146"/>
      <c r="W451" s="146"/>
      <c r="X451" s="146"/>
      <c r="Y451" s="146"/>
      <c r="Z451" s="146"/>
      <c r="AA451" s="146"/>
      <c r="AB451" s="146"/>
      <c r="AC451" s="146"/>
      <c r="AD451" s="146"/>
      <c r="AE451" s="146"/>
      <c r="AF451" s="146"/>
      <c r="AG451" s="146"/>
    </row>
    <row r="452" spans="1:33" ht="12.75">
      <c r="A452" s="148"/>
      <c r="B452" s="146"/>
      <c r="C452" s="146"/>
      <c r="D452" s="146"/>
      <c r="E452" s="146"/>
      <c r="F452" s="146"/>
      <c r="G452" s="146"/>
      <c r="H452" s="146"/>
      <c r="I452" s="146"/>
      <c r="J452" s="146"/>
      <c r="K452" s="146"/>
      <c r="L452" s="146"/>
      <c r="M452" s="146"/>
      <c r="N452" s="146"/>
      <c r="O452" s="146"/>
      <c r="P452" s="146"/>
      <c r="Q452" s="146"/>
      <c r="R452" s="146"/>
      <c r="S452" s="146"/>
      <c r="T452" s="146"/>
      <c r="U452" s="146"/>
      <c r="V452" s="146"/>
      <c r="W452" s="146"/>
      <c r="X452" s="146"/>
      <c r="Y452" s="146"/>
      <c r="Z452" s="146"/>
      <c r="AA452" s="146"/>
      <c r="AB452" s="146"/>
      <c r="AC452" s="146"/>
      <c r="AD452" s="146"/>
      <c r="AE452" s="146"/>
      <c r="AF452" s="146"/>
      <c r="AG452" s="146"/>
    </row>
    <row r="453" spans="1:33" ht="12.75">
      <c r="A453" s="148"/>
      <c r="B453" s="146"/>
      <c r="C453" s="146"/>
      <c r="D453" s="146"/>
      <c r="E453" s="146"/>
      <c r="F453" s="146"/>
      <c r="G453" s="146"/>
      <c r="H453" s="146"/>
      <c r="I453" s="146"/>
      <c r="J453" s="146"/>
      <c r="K453" s="146"/>
      <c r="L453" s="146"/>
      <c r="M453" s="146"/>
      <c r="N453" s="146"/>
      <c r="O453" s="146"/>
      <c r="P453" s="146"/>
      <c r="Q453" s="146"/>
      <c r="R453" s="146"/>
      <c r="S453" s="146"/>
      <c r="T453" s="146"/>
      <c r="U453" s="146"/>
      <c r="V453" s="146"/>
      <c r="W453" s="146"/>
      <c r="X453" s="146"/>
      <c r="Y453" s="146"/>
      <c r="Z453" s="146"/>
      <c r="AA453" s="146"/>
      <c r="AB453" s="146"/>
      <c r="AC453" s="146"/>
      <c r="AD453" s="146"/>
      <c r="AE453" s="146"/>
      <c r="AF453" s="146"/>
      <c r="AG453" s="146"/>
    </row>
    <row r="454" spans="1:33" ht="12.75">
      <c r="A454" s="148"/>
      <c r="B454" s="146"/>
      <c r="C454" s="146"/>
      <c r="D454" s="146"/>
      <c r="E454" s="146"/>
      <c r="F454" s="146"/>
      <c r="G454" s="146"/>
      <c r="H454" s="146"/>
      <c r="I454" s="146"/>
      <c r="J454" s="146"/>
      <c r="K454" s="146"/>
      <c r="L454" s="146"/>
      <c r="M454" s="146"/>
      <c r="N454" s="146"/>
      <c r="O454" s="146"/>
      <c r="P454" s="146"/>
      <c r="Q454" s="146"/>
      <c r="R454" s="146"/>
      <c r="S454" s="146"/>
      <c r="T454" s="146"/>
      <c r="U454" s="146"/>
      <c r="V454" s="146"/>
      <c r="W454" s="146"/>
      <c r="X454" s="146"/>
      <c r="Y454" s="146"/>
      <c r="Z454" s="146"/>
      <c r="AA454" s="146"/>
      <c r="AB454" s="146"/>
      <c r="AC454" s="146"/>
      <c r="AD454" s="146"/>
      <c r="AE454" s="146"/>
      <c r="AF454" s="146"/>
      <c r="AG454" s="146"/>
    </row>
    <row r="455" spans="1:33" ht="12.75">
      <c r="A455" s="148"/>
      <c r="B455" s="146"/>
      <c r="C455" s="146"/>
      <c r="D455" s="146"/>
      <c r="E455" s="146"/>
      <c r="F455" s="146"/>
      <c r="G455" s="146"/>
      <c r="H455" s="146"/>
      <c r="I455" s="146"/>
      <c r="J455" s="146"/>
      <c r="K455" s="146"/>
      <c r="L455" s="146"/>
      <c r="M455" s="146"/>
      <c r="N455" s="146"/>
      <c r="O455" s="146"/>
      <c r="P455" s="146"/>
      <c r="Q455" s="146"/>
      <c r="R455" s="146"/>
      <c r="S455" s="146"/>
      <c r="T455" s="146"/>
      <c r="U455" s="146"/>
      <c r="V455" s="146"/>
      <c r="W455" s="146"/>
      <c r="X455" s="146"/>
      <c r="Y455" s="146"/>
      <c r="Z455" s="146"/>
      <c r="AA455" s="146"/>
      <c r="AB455" s="146"/>
      <c r="AC455" s="146"/>
      <c r="AD455" s="146"/>
      <c r="AE455" s="146"/>
      <c r="AF455" s="146"/>
      <c r="AG455" s="146"/>
    </row>
    <row r="456" spans="1:33" ht="12.75">
      <c r="A456" s="148"/>
      <c r="B456" s="146"/>
      <c r="C456" s="146"/>
      <c r="D456" s="146"/>
      <c r="E456" s="146"/>
      <c r="F456" s="146"/>
      <c r="G456" s="146"/>
      <c r="H456" s="146"/>
      <c r="I456" s="146"/>
      <c r="J456" s="146"/>
      <c r="K456" s="146"/>
      <c r="L456" s="146"/>
      <c r="M456" s="146"/>
      <c r="N456" s="146"/>
      <c r="O456" s="146"/>
      <c r="P456" s="146"/>
      <c r="Q456" s="146"/>
      <c r="R456" s="146"/>
      <c r="S456" s="146"/>
      <c r="T456" s="146"/>
      <c r="U456" s="146"/>
      <c r="V456" s="146"/>
      <c r="W456" s="146"/>
      <c r="X456" s="146"/>
      <c r="Y456" s="146"/>
      <c r="Z456" s="146"/>
      <c r="AA456" s="146"/>
      <c r="AB456" s="146"/>
      <c r="AC456" s="146"/>
      <c r="AD456" s="146"/>
      <c r="AE456" s="146"/>
      <c r="AF456" s="146"/>
      <c r="AG456" s="146"/>
    </row>
    <row r="457" spans="1:33" ht="12.75">
      <c r="A457" s="148"/>
      <c r="B457" s="146"/>
      <c r="C457" s="146"/>
      <c r="D457" s="146"/>
      <c r="E457" s="146"/>
      <c r="F457" s="146"/>
      <c r="G457" s="146"/>
      <c r="H457" s="146"/>
      <c r="I457" s="146"/>
      <c r="J457" s="146"/>
      <c r="K457" s="146"/>
      <c r="L457" s="146"/>
      <c r="M457" s="146"/>
      <c r="N457" s="146"/>
      <c r="O457" s="146"/>
      <c r="P457" s="146"/>
      <c r="Q457" s="146"/>
      <c r="R457" s="146"/>
      <c r="S457" s="146"/>
      <c r="T457" s="146"/>
      <c r="U457" s="146"/>
      <c r="V457" s="146"/>
      <c r="W457" s="146"/>
      <c r="X457" s="146"/>
      <c r="Y457" s="146"/>
      <c r="Z457" s="146"/>
      <c r="AA457" s="146"/>
      <c r="AB457" s="146"/>
      <c r="AC457" s="146"/>
      <c r="AD457" s="146"/>
      <c r="AE457" s="146"/>
      <c r="AF457" s="146"/>
      <c r="AG457" s="146"/>
    </row>
    <row r="458" spans="1:33" ht="12.75">
      <c r="A458" s="148"/>
      <c r="B458" s="146"/>
      <c r="C458" s="146"/>
      <c r="D458" s="146"/>
      <c r="E458" s="146"/>
      <c r="F458" s="146"/>
      <c r="G458" s="146"/>
      <c r="H458" s="146"/>
      <c r="I458" s="146"/>
      <c r="J458" s="146"/>
      <c r="K458" s="146"/>
      <c r="L458" s="146"/>
      <c r="M458" s="146"/>
      <c r="N458" s="146"/>
      <c r="O458" s="146"/>
      <c r="P458" s="146"/>
      <c r="Q458" s="146"/>
      <c r="R458" s="146"/>
      <c r="S458" s="146"/>
      <c r="T458" s="146"/>
      <c r="U458" s="146"/>
      <c r="V458" s="146"/>
      <c r="W458" s="146"/>
      <c r="X458" s="146"/>
      <c r="Y458" s="146"/>
      <c r="Z458" s="146"/>
      <c r="AA458" s="146"/>
      <c r="AB458" s="146"/>
      <c r="AC458" s="146"/>
      <c r="AD458" s="146"/>
      <c r="AE458" s="146"/>
      <c r="AF458" s="146"/>
      <c r="AG458" s="146"/>
    </row>
    <row r="459" spans="1:33" ht="12.75">
      <c r="A459" s="148"/>
      <c r="B459" s="146"/>
      <c r="C459" s="146"/>
      <c r="D459" s="146"/>
      <c r="E459" s="146"/>
      <c r="F459" s="146"/>
      <c r="G459" s="146"/>
      <c r="H459" s="146"/>
      <c r="I459" s="146"/>
      <c r="J459" s="146"/>
      <c r="K459" s="146"/>
      <c r="L459" s="146"/>
      <c r="M459" s="146"/>
      <c r="N459" s="146"/>
      <c r="O459" s="146"/>
      <c r="P459" s="146"/>
      <c r="Q459" s="146"/>
      <c r="R459" s="146"/>
      <c r="S459" s="146"/>
      <c r="T459" s="146"/>
      <c r="U459" s="146"/>
      <c r="V459" s="146"/>
      <c r="W459" s="146"/>
      <c r="X459" s="146"/>
      <c r="Y459" s="146"/>
      <c r="Z459" s="146"/>
      <c r="AA459" s="146"/>
      <c r="AB459" s="146"/>
      <c r="AC459" s="146"/>
      <c r="AD459" s="146"/>
      <c r="AE459" s="146"/>
      <c r="AF459" s="146"/>
      <c r="AG459" s="146"/>
    </row>
    <row r="460" spans="1:33" ht="12.75">
      <c r="A460" s="148"/>
      <c r="B460" s="146"/>
      <c r="C460" s="146"/>
      <c r="D460" s="146"/>
      <c r="E460" s="146"/>
      <c r="F460" s="146"/>
      <c r="G460" s="146"/>
      <c r="H460" s="146"/>
      <c r="I460" s="146"/>
      <c r="J460" s="146"/>
      <c r="K460" s="146"/>
      <c r="L460" s="146"/>
      <c r="M460" s="146"/>
      <c r="N460" s="146"/>
      <c r="O460" s="146"/>
      <c r="P460" s="146"/>
      <c r="Q460" s="146"/>
      <c r="R460" s="146"/>
      <c r="S460" s="146"/>
      <c r="T460" s="146"/>
      <c r="U460" s="146"/>
      <c r="V460" s="146"/>
      <c r="W460" s="146"/>
      <c r="X460" s="146"/>
      <c r="Y460" s="146"/>
      <c r="Z460" s="146"/>
      <c r="AA460" s="146"/>
      <c r="AB460" s="146"/>
      <c r="AC460" s="146"/>
      <c r="AD460" s="146"/>
      <c r="AE460" s="146"/>
      <c r="AF460" s="146"/>
      <c r="AG460" s="146"/>
    </row>
    <row r="461" spans="1:33" ht="12.75">
      <c r="A461" s="148"/>
      <c r="B461" s="146"/>
      <c r="C461" s="146"/>
      <c r="D461" s="146"/>
      <c r="E461" s="146"/>
      <c r="F461" s="146"/>
      <c r="G461" s="146"/>
      <c r="H461" s="146"/>
      <c r="I461" s="146"/>
      <c r="J461" s="146"/>
      <c r="K461" s="146"/>
      <c r="L461" s="146"/>
      <c r="M461" s="146"/>
      <c r="N461" s="146"/>
      <c r="O461" s="146"/>
      <c r="P461" s="146"/>
      <c r="Q461" s="146"/>
      <c r="R461" s="146"/>
      <c r="S461" s="146"/>
      <c r="T461" s="146"/>
      <c r="U461" s="146"/>
      <c r="V461" s="146"/>
      <c r="W461" s="146"/>
      <c r="X461" s="146"/>
      <c r="Y461" s="146"/>
      <c r="Z461" s="146"/>
      <c r="AA461" s="146"/>
      <c r="AB461" s="146"/>
      <c r="AC461" s="146"/>
      <c r="AD461" s="146"/>
      <c r="AE461" s="146"/>
      <c r="AF461" s="146"/>
      <c r="AG461" s="146"/>
    </row>
    <row r="462" spans="1:33" ht="12.75">
      <c r="A462" s="148"/>
      <c r="B462" s="146"/>
      <c r="C462" s="146"/>
      <c r="D462" s="146"/>
      <c r="E462" s="146"/>
      <c r="F462" s="146"/>
      <c r="G462" s="146"/>
      <c r="H462" s="146"/>
      <c r="I462" s="146"/>
      <c r="J462" s="146"/>
      <c r="K462" s="146"/>
      <c r="L462" s="146"/>
      <c r="M462" s="146"/>
      <c r="N462" s="146"/>
      <c r="O462" s="146"/>
      <c r="P462" s="146"/>
      <c r="Q462" s="146"/>
      <c r="R462" s="146"/>
      <c r="S462" s="146"/>
      <c r="T462" s="146"/>
      <c r="U462" s="146"/>
      <c r="V462" s="146"/>
      <c r="W462" s="146"/>
      <c r="X462" s="146"/>
      <c r="Y462" s="146"/>
      <c r="Z462" s="146"/>
      <c r="AA462" s="146"/>
      <c r="AB462" s="146"/>
      <c r="AC462" s="146"/>
      <c r="AD462" s="146"/>
      <c r="AE462" s="146"/>
      <c r="AF462" s="146"/>
      <c r="AG462" s="146"/>
    </row>
    <row r="463" spans="1:33" ht="12.75">
      <c r="A463" s="148"/>
      <c r="B463" s="146"/>
      <c r="C463" s="146"/>
      <c r="D463" s="146"/>
      <c r="E463" s="146"/>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c r="AB463" s="146"/>
      <c r="AC463" s="146"/>
      <c r="AD463" s="146"/>
      <c r="AE463" s="146"/>
      <c r="AF463" s="146"/>
      <c r="AG463" s="146"/>
    </row>
    <row r="464" spans="1:33" ht="12.75">
      <c r="A464" s="148"/>
      <c r="B464" s="146"/>
      <c r="C464" s="146"/>
      <c r="D464" s="146"/>
      <c r="E464" s="146"/>
      <c r="F464" s="146"/>
      <c r="G464" s="146"/>
      <c r="H464" s="146"/>
      <c r="I464" s="146"/>
      <c r="J464" s="146"/>
      <c r="K464" s="146"/>
      <c r="L464" s="146"/>
      <c r="M464" s="146"/>
      <c r="N464" s="146"/>
      <c r="O464" s="146"/>
      <c r="P464" s="146"/>
      <c r="Q464" s="146"/>
      <c r="R464" s="146"/>
      <c r="S464" s="146"/>
      <c r="T464" s="146"/>
      <c r="U464" s="146"/>
      <c r="V464" s="146"/>
      <c r="W464" s="146"/>
      <c r="X464" s="146"/>
      <c r="Y464" s="146"/>
      <c r="Z464" s="146"/>
      <c r="AA464" s="146"/>
      <c r="AB464" s="146"/>
      <c r="AC464" s="146"/>
      <c r="AD464" s="146"/>
      <c r="AE464" s="146"/>
      <c r="AF464" s="146"/>
      <c r="AG464" s="146"/>
    </row>
    <row r="465" spans="1:33" ht="12.75">
      <c r="A465" s="148"/>
      <c r="B465" s="146"/>
      <c r="C465" s="146"/>
      <c r="D465" s="146"/>
      <c r="E465" s="146"/>
      <c r="F465" s="146"/>
      <c r="G465" s="146"/>
      <c r="H465" s="146"/>
      <c r="I465" s="146"/>
      <c r="J465" s="146"/>
      <c r="K465" s="146"/>
      <c r="L465" s="146"/>
      <c r="M465" s="146"/>
      <c r="N465" s="146"/>
      <c r="O465" s="146"/>
      <c r="P465" s="146"/>
      <c r="Q465" s="146"/>
      <c r="R465" s="146"/>
      <c r="S465" s="146"/>
      <c r="T465" s="146"/>
      <c r="U465" s="146"/>
      <c r="V465" s="146"/>
      <c r="W465" s="146"/>
      <c r="X465" s="146"/>
      <c r="Y465" s="146"/>
      <c r="Z465" s="146"/>
      <c r="AA465" s="146"/>
      <c r="AB465" s="146"/>
      <c r="AC465" s="146"/>
      <c r="AD465" s="146"/>
      <c r="AE465" s="146"/>
      <c r="AF465" s="146"/>
      <c r="AG465" s="146"/>
    </row>
    <row r="466" spans="1:33" ht="12.75">
      <c r="A466" s="148"/>
      <c r="B466" s="146"/>
      <c r="C466" s="146"/>
      <c r="D466" s="146"/>
      <c r="E466" s="146"/>
      <c r="F466" s="146"/>
      <c r="G466" s="146"/>
      <c r="H466" s="146"/>
      <c r="I466" s="146"/>
      <c r="J466" s="146"/>
      <c r="K466" s="146"/>
      <c r="L466" s="146"/>
      <c r="M466" s="146"/>
      <c r="N466" s="146"/>
      <c r="O466" s="146"/>
      <c r="P466" s="146"/>
      <c r="Q466" s="146"/>
      <c r="R466" s="146"/>
      <c r="S466" s="146"/>
      <c r="T466" s="146"/>
      <c r="U466" s="146"/>
      <c r="V466" s="146"/>
      <c r="W466" s="146"/>
      <c r="X466" s="146"/>
      <c r="Y466" s="146"/>
      <c r="Z466" s="146"/>
      <c r="AA466" s="146"/>
      <c r="AB466" s="146"/>
      <c r="AC466" s="146"/>
      <c r="AD466" s="146"/>
      <c r="AE466" s="146"/>
      <c r="AF466" s="146"/>
      <c r="AG466" s="146"/>
    </row>
    <row r="467" spans="1:33" ht="12.75">
      <c r="A467" s="148"/>
      <c r="B467" s="146"/>
      <c r="C467" s="146"/>
      <c r="D467" s="146"/>
      <c r="E467" s="146"/>
      <c r="F467" s="146"/>
      <c r="G467" s="146"/>
      <c r="H467" s="146"/>
      <c r="I467" s="146"/>
      <c r="J467" s="146"/>
      <c r="K467" s="146"/>
      <c r="L467" s="146"/>
      <c r="M467" s="146"/>
      <c r="N467" s="146"/>
      <c r="O467" s="146"/>
      <c r="P467" s="146"/>
      <c r="Q467" s="146"/>
      <c r="R467" s="146"/>
      <c r="S467" s="146"/>
      <c r="T467" s="146"/>
      <c r="U467" s="146"/>
      <c r="V467" s="146"/>
      <c r="W467" s="146"/>
      <c r="X467" s="146"/>
      <c r="Y467" s="146"/>
      <c r="Z467" s="146"/>
      <c r="AA467" s="146"/>
      <c r="AB467" s="146"/>
      <c r="AC467" s="146"/>
      <c r="AD467" s="146"/>
      <c r="AE467" s="146"/>
      <c r="AF467" s="146"/>
      <c r="AG467" s="146"/>
    </row>
    <row r="468" spans="1:33" ht="12.75">
      <c r="A468" s="148"/>
      <c r="B468" s="146"/>
      <c r="C468" s="146"/>
      <c r="D468" s="146"/>
      <c r="E468" s="146"/>
      <c r="F468" s="146"/>
      <c r="G468" s="146"/>
      <c r="H468" s="146"/>
      <c r="I468" s="146"/>
      <c r="J468" s="146"/>
      <c r="K468" s="146"/>
      <c r="L468" s="146"/>
      <c r="M468" s="146"/>
      <c r="N468" s="146"/>
      <c r="O468" s="146"/>
      <c r="P468" s="146"/>
      <c r="Q468" s="146"/>
      <c r="R468" s="146"/>
      <c r="S468" s="146"/>
      <c r="T468" s="146"/>
      <c r="U468" s="146"/>
      <c r="V468" s="146"/>
      <c r="W468" s="146"/>
      <c r="X468" s="146"/>
      <c r="Y468" s="146"/>
      <c r="Z468" s="146"/>
      <c r="AA468" s="146"/>
      <c r="AB468" s="146"/>
      <c r="AC468" s="146"/>
      <c r="AD468" s="146"/>
      <c r="AE468" s="146"/>
      <c r="AF468" s="146"/>
      <c r="AG468" s="146"/>
    </row>
    <row r="469" spans="1:33" ht="12.75">
      <c r="A469" s="148"/>
      <c r="B469" s="146"/>
      <c r="C469" s="146"/>
      <c r="D469" s="146"/>
      <c r="E469" s="146"/>
      <c r="F469" s="146"/>
      <c r="G469" s="146"/>
      <c r="H469" s="146"/>
      <c r="I469" s="146"/>
      <c r="J469" s="146"/>
      <c r="K469" s="146"/>
      <c r="L469" s="146"/>
      <c r="M469" s="146"/>
      <c r="N469" s="146"/>
      <c r="O469" s="146"/>
      <c r="P469" s="146"/>
      <c r="Q469" s="146"/>
      <c r="R469" s="146"/>
      <c r="S469" s="146"/>
      <c r="T469" s="146"/>
      <c r="U469" s="146"/>
      <c r="V469" s="146"/>
      <c r="W469" s="146"/>
      <c r="X469" s="146"/>
      <c r="Y469" s="146"/>
      <c r="Z469" s="146"/>
      <c r="AA469" s="146"/>
      <c r="AB469" s="146"/>
      <c r="AC469" s="146"/>
      <c r="AD469" s="146"/>
      <c r="AE469" s="146"/>
      <c r="AF469" s="146"/>
      <c r="AG469" s="146"/>
    </row>
    <row r="470" spans="1:33" ht="12.75">
      <c r="A470" s="148"/>
      <c r="B470" s="146"/>
      <c r="C470" s="146"/>
      <c r="D470" s="146"/>
      <c r="E470" s="146"/>
      <c r="F470" s="146"/>
      <c r="G470" s="146"/>
      <c r="H470" s="146"/>
      <c r="I470" s="146"/>
      <c r="J470" s="146"/>
      <c r="K470" s="146"/>
      <c r="L470" s="146"/>
      <c r="M470" s="146"/>
      <c r="N470" s="146"/>
      <c r="O470" s="146"/>
      <c r="P470" s="146"/>
      <c r="Q470" s="146"/>
      <c r="R470" s="146"/>
      <c r="S470" s="146"/>
      <c r="T470" s="146"/>
      <c r="U470" s="146"/>
      <c r="V470" s="146"/>
      <c r="W470" s="146"/>
      <c r="X470" s="146"/>
      <c r="Y470" s="146"/>
      <c r="Z470" s="146"/>
      <c r="AA470" s="146"/>
      <c r="AB470" s="146"/>
      <c r="AC470" s="146"/>
      <c r="AD470" s="146"/>
      <c r="AE470" s="146"/>
      <c r="AF470" s="146"/>
      <c r="AG470" s="146"/>
    </row>
    <row r="471" spans="1:33" ht="12.75">
      <c r="A471" s="148"/>
      <c r="B471" s="146"/>
      <c r="C471" s="146"/>
      <c r="D471" s="146"/>
      <c r="E471" s="146"/>
      <c r="F471" s="146"/>
      <c r="G471" s="146"/>
      <c r="H471" s="146"/>
      <c r="I471" s="146"/>
      <c r="J471" s="146"/>
      <c r="K471" s="146"/>
      <c r="L471" s="146"/>
      <c r="M471" s="146"/>
      <c r="N471" s="146"/>
      <c r="O471" s="146"/>
      <c r="P471" s="146"/>
      <c r="Q471" s="146"/>
      <c r="R471" s="146"/>
      <c r="S471" s="146"/>
      <c r="T471" s="146"/>
      <c r="U471" s="146"/>
      <c r="V471" s="146"/>
      <c r="W471" s="146"/>
      <c r="X471" s="146"/>
      <c r="Y471" s="146"/>
      <c r="Z471" s="146"/>
      <c r="AA471" s="146"/>
      <c r="AB471" s="146"/>
      <c r="AC471" s="146"/>
      <c r="AD471" s="146"/>
      <c r="AE471" s="146"/>
      <c r="AF471" s="146"/>
      <c r="AG471" s="146"/>
    </row>
    <row r="472" spans="1:33" ht="12.75">
      <c r="A472" s="148"/>
      <c r="B472" s="146"/>
      <c r="C472" s="146"/>
      <c r="D472" s="146"/>
      <c r="E472" s="146"/>
      <c r="F472" s="146"/>
      <c r="G472" s="146"/>
      <c r="H472" s="146"/>
      <c r="I472" s="146"/>
      <c r="J472" s="146"/>
      <c r="K472" s="146"/>
      <c r="L472" s="146"/>
      <c r="M472" s="146"/>
      <c r="N472" s="146"/>
      <c r="O472" s="146"/>
      <c r="P472" s="146"/>
      <c r="Q472" s="146"/>
      <c r="R472" s="146"/>
      <c r="S472" s="146"/>
      <c r="T472" s="146"/>
      <c r="U472" s="146"/>
      <c r="V472" s="146"/>
      <c r="W472" s="146"/>
      <c r="X472" s="146"/>
      <c r="Y472" s="146"/>
      <c r="Z472" s="146"/>
      <c r="AA472" s="146"/>
      <c r="AB472" s="146"/>
      <c r="AC472" s="146"/>
      <c r="AD472" s="146"/>
      <c r="AE472" s="146"/>
      <c r="AF472" s="146"/>
      <c r="AG472" s="146"/>
    </row>
    <row r="473" spans="1:33" ht="12.75">
      <c r="A473" s="148"/>
      <c r="B473" s="146"/>
      <c r="C473" s="146"/>
      <c r="D473" s="146"/>
      <c r="E473" s="146"/>
      <c r="F473" s="146"/>
      <c r="G473" s="146"/>
      <c r="H473" s="146"/>
      <c r="I473" s="146"/>
      <c r="J473" s="146"/>
      <c r="K473" s="146"/>
      <c r="L473" s="146"/>
      <c r="M473" s="146"/>
      <c r="N473" s="146"/>
      <c r="O473" s="146"/>
      <c r="P473" s="146"/>
      <c r="Q473" s="146"/>
      <c r="R473" s="146"/>
      <c r="S473" s="146"/>
      <c r="T473" s="146"/>
      <c r="U473" s="146"/>
      <c r="V473" s="146"/>
      <c r="W473" s="146"/>
      <c r="X473" s="146"/>
      <c r="Y473" s="146"/>
      <c r="Z473" s="146"/>
      <c r="AA473" s="146"/>
      <c r="AB473" s="146"/>
      <c r="AC473" s="146"/>
      <c r="AD473" s="146"/>
      <c r="AE473" s="146"/>
      <c r="AF473" s="146"/>
      <c r="AG473" s="146"/>
    </row>
    <row r="474" spans="1:33" ht="12.75">
      <c r="A474" s="148"/>
      <c r="B474" s="146"/>
      <c r="C474" s="146"/>
      <c r="D474" s="146"/>
      <c r="E474" s="146"/>
      <c r="F474" s="146"/>
      <c r="G474" s="146"/>
      <c r="H474" s="146"/>
      <c r="I474" s="146"/>
      <c r="J474" s="146"/>
      <c r="K474" s="146"/>
      <c r="L474" s="146"/>
      <c r="M474" s="146"/>
      <c r="N474" s="146"/>
      <c r="O474" s="146"/>
      <c r="P474" s="146"/>
      <c r="Q474" s="146"/>
      <c r="R474" s="146"/>
      <c r="S474" s="146"/>
      <c r="T474" s="146"/>
      <c r="U474" s="146"/>
      <c r="V474" s="146"/>
      <c r="W474" s="146"/>
      <c r="X474" s="146"/>
      <c r="Y474" s="146"/>
      <c r="Z474" s="146"/>
      <c r="AA474" s="146"/>
      <c r="AB474" s="146"/>
      <c r="AC474" s="146"/>
      <c r="AD474" s="146"/>
      <c r="AE474" s="146"/>
      <c r="AF474" s="146"/>
      <c r="AG474" s="146"/>
    </row>
    <row r="475" spans="1:33" ht="12.75">
      <c r="A475" s="148"/>
      <c r="B475" s="146"/>
      <c r="C475" s="146"/>
      <c r="D475" s="146"/>
      <c r="E475" s="146"/>
      <c r="F475" s="146"/>
      <c r="G475" s="146"/>
      <c r="H475" s="146"/>
      <c r="I475" s="146"/>
      <c r="J475" s="146"/>
      <c r="K475" s="146"/>
      <c r="L475" s="146"/>
      <c r="M475" s="146"/>
      <c r="N475" s="146"/>
      <c r="O475" s="146"/>
      <c r="P475" s="146"/>
      <c r="Q475" s="146"/>
      <c r="R475" s="146"/>
      <c r="S475" s="146"/>
      <c r="T475" s="146"/>
      <c r="U475" s="146"/>
      <c r="V475" s="146"/>
      <c r="W475" s="146"/>
      <c r="X475" s="146"/>
      <c r="Y475" s="146"/>
      <c r="Z475" s="146"/>
      <c r="AA475" s="146"/>
      <c r="AB475" s="146"/>
      <c r="AC475" s="146"/>
      <c r="AD475" s="146"/>
      <c r="AE475" s="146"/>
      <c r="AF475" s="146"/>
      <c r="AG475" s="146"/>
    </row>
    <row r="476" spans="1:33" ht="12.75">
      <c r="A476" s="148"/>
      <c r="B476" s="146"/>
      <c r="C476" s="146"/>
      <c r="D476" s="146"/>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46"/>
      <c r="AF476" s="146"/>
      <c r="AG476" s="146"/>
    </row>
    <row r="477" spans="1:33" ht="12.75">
      <c r="A477" s="148"/>
      <c r="B477" s="146"/>
      <c r="C477" s="146"/>
      <c r="D477" s="146"/>
      <c r="E477" s="146"/>
      <c r="F477" s="146"/>
      <c r="G477" s="146"/>
      <c r="H477" s="146"/>
      <c r="I477" s="146"/>
      <c r="J477" s="146"/>
      <c r="K477" s="146"/>
      <c r="L477" s="146"/>
      <c r="M477" s="146"/>
      <c r="N477" s="146"/>
      <c r="O477" s="146"/>
      <c r="P477" s="146"/>
      <c r="Q477" s="146"/>
      <c r="R477" s="146"/>
      <c r="S477" s="146"/>
      <c r="T477" s="146"/>
      <c r="U477" s="146"/>
      <c r="V477" s="146"/>
      <c r="W477" s="146"/>
      <c r="X477" s="146"/>
      <c r="Y477" s="146"/>
      <c r="Z477" s="146"/>
      <c r="AA477" s="146"/>
      <c r="AB477" s="146"/>
      <c r="AC477" s="146"/>
      <c r="AD477" s="146"/>
      <c r="AE477" s="146"/>
      <c r="AF477" s="146"/>
      <c r="AG477" s="146"/>
    </row>
    <row r="478" spans="1:33" ht="12.75">
      <c r="A478" s="148"/>
      <c r="B478" s="146"/>
      <c r="C478" s="146"/>
      <c r="D478" s="146"/>
      <c r="E478" s="146"/>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c r="AB478" s="146"/>
      <c r="AC478" s="146"/>
      <c r="AD478" s="146"/>
      <c r="AE478" s="146"/>
      <c r="AF478" s="146"/>
      <c r="AG478" s="146"/>
    </row>
    <row r="479" spans="1:33" ht="12.75">
      <c r="A479" s="148"/>
      <c r="B479" s="146"/>
      <c r="C479" s="146"/>
      <c r="D479" s="146"/>
      <c r="E479" s="146"/>
      <c r="F479" s="146"/>
      <c r="G479" s="146"/>
      <c r="H479" s="146"/>
      <c r="I479" s="146"/>
      <c r="J479" s="146"/>
      <c r="K479" s="146"/>
      <c r="L479" s="146"/>
      <c r="M479" s="146"/>
      <c r="N479" s="146"/>
      <c r="O479" s="146"/>
      <c r="P479" s="146"/>
      <c r="Q479" s="146"/>
      <c r="R479" s="146"/>
      <c r="S479" s="146"/>
      <c r="T479" s="146"/>
      <c r="U479" s="146"/>
      <c r="V479" s="146"/>
      <c r="W479" s="146"/>
      <c r="X479" s="146"/>
      <c r="Y479" s="146"/>
      <c r="Z479" s="146"/>
      <c r="AA479" s="146"/>
      <c r="AB479" s="146"/>
      <c r="AC479" s="146"/>
      <c r="AD479" s="146"/>
      <c r="AE479" s="146"/>
      <c r="AF479" s="146"/>
      <c r="AG479" s="146"/>
    </row>
    <row r="480" spans="1:33" ht="12.75">
      <c r="A480" s="148"/>
      <c r="B480" s="146"/>
      <c r="C480" s="146"/>
      <c r="D480" s="146"/>
      <c r="E480" s="146"/>
      <c r="F480" s="146"/>
      <c r="G480" s="146"/>
      <c r="H480" s="146"/>
      <c r="I480" s="146"/>
      <c r="J480" s="146"/>
      <c r="K480" s="146"/>
      <c r="L480" s="146"/>
      <c r="M480" s="146"/>
      <c r="N480" s="146"/>
      <c r="O480" s="146"/>
      <c r="P480" s="146"/>
      <c r="Q480" s="146"/>
      <c r="R480" s="146"/>
      <c r="S480" s="146"/>
      <c r="T480" s="146"/>
      <c r="U480" s="146"/>
      <c r="V480" s="146"/>
      <c r="W480" s="146"/>
      <c r="X480" s="146"/>
      <c r="Y480" s="146"/>
      <c r="Z480" s="146"/>
      <c r="AA480" s="146"/>
      <c r="AB480" s="146"/>
      <c r="AC480" s="146"/>
      <c r="AD480" s="146"/>
      <c r="AE480" s="146"/>
      <c r="AF480" s="146"/>
      <c r="AG480" s="146"/>
    </row>
    <row r="481" spans="1:33" ht="12.75">
      <c r="A481" s="148"/>
      <c r="B481" s="146"/>
      <c r="C481" s="146"/>
      <c r="D481" s="146"/>
      <c r="E481" s="146"/>
      <c r="F481" s="146"/>
      <c r="G481" s="146"/>
      <c r="H481" s="146"/>
      <c r="I481" s="146"/>
      <c r="J481" s="146"/>
      <c r="K481" s="146"/>
      <c r="L481" s="146"/>
      <c r="M481" s="146"/>
      <c r="N481" s="146"/>
      <c r="O481" s="146"/>
      <c r="P481" s="146"/>
      <c r="Q481" s="146"/>
      <c r="R481" s="146"/>
      <c r="S481" s="146"/>
      <c r="T481" s="146"/>
      <c r="U481" s="146"/>
      <c r="V481" s="146"/>
      <c r="W481" s="146"/>
      <c r="X481" s="146"/>
      <c r="Y481" s="146"/>
      <c r="Z481" s="146"/>
      <c r="AA481" s="146"/>
      <c r="AB481" s="146"/>
      <c r="AC481" s="146"/>
      <c r="AD481" s="146"/>
      <c r="AE481" s="146"/>
      <c r="AF481" s="146"/>
      <c r="AG481" s="146"/>
    </row>
    <row r="482" spans="1:33" ht="12.75">
      <c r="A482" s="148"/>
      <c r="B482" s="146"/>
      <c r="C482" s="146"/>
      <c r="D482" s="146"/>
      <c r="E482" s="146"/>
      <c r="F482" s="146"/>
      <c r="G482" s="146"/>
      <c r="H482" s="146"/>
      <c r="I482" s="146"/>
      <c r="J482" s="146"/>
      <c r="K482" s="146"/>
      <c r="L482" s="146"/>
      <c r="M482" s="146"/>
      <c r="N482" s="146"/>
      <c r="O482" s="146"/>
      <c r="P482" s="146"/>
      <c r="Q482" s="146"/>
      <c r="R482" s="146"/>
      <c r="S482" s="146"/>
      <c r="T482" s="146"/>
      <c r="U482" s="146"/>
      <c r="V482" s="146"/>
      <c r="W482" s="146"/>
      <c r="X482" s="146"/>
      <c r="Y482" s="146"/>
      <c r="Z482" s="146"/>
      <c r="AA482" s="146"/>
      <c r="AB482" s="146"/>
      <c r="AC482" s="146"/>
      <c r="AD482" s="146"/>
      <c r="AE482" s="146"/>
      <c r="AF482" s="146"/>
      <c r="AG482" s="146"/>
    </row>
    <row r="483" spans="1:33" ht="12.75">
      <c r="A483" s="148"/>
      <c r="B483" s="146"/>
      <c r="C483" s="146"/>
      <c r="D483" s="146"/>
      <c r="E483" s="146"/>
      <c r="F483" s="146"/>
      <c r="G483" s="146"/>
      <c r="H483" s="146"/>
      <c r="I483" s="146"/>
      <c r="J483" s="146"/>
      <c r="K483" s="146"/>
      <c r="L483" s="146"/>
      <c r="M483" s="146"/>
      <c r="N483" s="146"/>
      <c r="O483" s="146"/>
      <c r="P483" s="146"/>
      <c r="Q483" s="146"/>
      <c r="R483" s="146"/>
      <c r="S483" s="146"/>
      <c r="T483" s="146"/>
      <c r="U483" s="146"/>
      <c r="V483" s="146"/>
      <c r="W483" s="146"/>
      <c r="X483" s="146"/>
      <c r="Y483" s="146"/>
      <c r="Z483" s="146"/>
      <c r="AA483" s="146"/>
      <c r="AB483" s="146"/>
      <c r="AC483" s="146"/>
      <c r="AD483" s="146"/>
      <c r="AE483" s="146"/>
      <c r="AF483" s="146"/>
      <c r="AG483" s="146"/>
    </row>
    <row r="484" spans="1:33" ht="12.75">
      <c r="A484" s="148"/>
      <c r="B484" s="146"/>
      <c r="C484" s="146"/>
      <c r="D484" s="146"/>
      <c r="E484" s="146"/>
      <c r="F484" s="146"/>
      <c r="G484" s="146"/>
      <c r="H484" s="146"/>
      <c r="I484" s="146"/>
      <c r="J484" s="146"/>
      <c r="K484" s="146"/>
      <c r="L484" s="146"/>
      <c r="M484" s="146"/>
      <c r="N484" s="146"/>
      <c r="O484" s="146"/>
      <c r="P484" s="146"/>
      <c r="Q484" s="146"/>
      <c r="R484" s="146"/>
      <c r="S484" s="146"/>
      <c r="T484" s="146"/>
      <c r="U484" s="146"/>
      <c r="V484" s="146"/>
      <c r="W484" s="146"/>
      <c r="X484" s="146"/>
      <c r="Y484" s="146"/>
      <c r="Z484" s="146"/>
      <c r="AA484" s="146"/>
      <c r="AB484" s="146"/>
      <c r="AC484" s="146"/>
      <c r="AD484" s="146"/>
      <c r="AE484" s="146"/>
      <c r="AF484" s="146"/>
      <c r="AG484" s="146"/>
    </row>
    <row r="485" spans="1:33" ht="12.75">
      <c r="A485" s="148"/>
      <c r="B485" s="146"/>
      <c r="C485" s="146"/>
      <c r="D485" s="146"/>
      <c r="E485" s="146"/>
      <c r="F485" s="146"/>
      <c r="G485" s="146"/>
      <c r="H485" s="146"/>
      <c r="I485" s="146"/>
      <c r="J485" s="146"/>
      <c r="K485" s="146"/>
      <c r="L485" s="146"/>
      <c r="M485" s="146"/>
      <c r="N485" s="146"/>
      <c r="O485" s="146"/>
      <c r="P485" s="146"/>
      <c r="Q485" s="146"/>
      <c r="R485" s="146"/>
      <c r="S485" s="146"/>
      <c r="T485" s="146"/>
      <c r="U485" s="146"/>
      <c r="V485" s="146"/>
      <c r="W485" s="146"/>
      <c r="X485" s="146"/>
      <c r="Y485" s="146"/>
      <c r="Z485" s="146"/>
      <c r="AA485" s="146"/>
      <c r="AB485" s="146"/>
      <c r="AC485" s="146"/>
      <c r="AD485" s="146"/>
      <c r="AE485" s="146"/>
      <c r="AF485" s="146"/>
      <c r="AG485" s="146"/>
    </row>
    <row r="486" spans="1:33" ht="12.75">
      <c r="A486" s="148"/>
      <c r="B486" s="146"/>
      <c r="C486" s="146"/>
      <c r="D486" s="146"/>
      <c r="E486" s="146"/>
      <c r="F486" s="146"/>
      <c r="G486" s="146"/>
      <c r="H486" s="146"/>
      <c r="I486" s="146"/>
      <c r="J486" s="146"/>
      <c r="K486" s="146"/>
      <c r="L486" s="146"/>
      <c r="M486" s="146"/>
      <c r="N486" s="146"/>
      <c r="O486" s="146"/>
      <c r="P486" s="146"/>
      <c r="Q486" s="146"/>
      <c r="R486" s="146"/>
      <c r="S486" s="146"/>
      <c r="T486" s="146"/>
      <c r="U486" s="146"/>
      <c r="V486" s="146"/>
      <c r="W486" s="146"/>
      <c r="X486" s="146"/>
      <c r="Y486" s="146"/>
      <c r="Z486" s="146"/>
      <c r="AA486" s="146"/>
      <c r="AB486" s="146"/>
      <c r="AC486" s="146"/>
      <c r="AD486" s="146"/>
      <c r="AE486" s="146"/>
      <c r="AF486" s="146"/>
      <c r="AG486" s="146"/>
    </row>
    <row r="487" spans="1:33" ht="12.75">
      <c r="A487" s="148"/>
      <c r="B487" s="146"/>
      <c r="C487" s="146"/>
      <c r="D487" s="146"/>
      <c r="E487" s="146"/>
      <c r="F487" s="146"/>
      <c r="G487" s="146"/>
      <c r="H487" s="146"/>
      <c r="I487" s="146"/>
      <c r="J487" s="146"/>
      <c r="K487" s="146"/>
      <c r="L487" s="146"/>
      <c r="M487" s="146"/>
      <c r="N487" s="146"/>
      <c r="O487" s="146"/>
      <c r="P487" s="146"/>
      <c r="Q487" s="146"/>
      <c r="R487" s="146"/>
      <c r="S487" s="146"/>
      <c r="T487" s="146"/>
      <c r="U487" s="146"/>
      <c r="V487" s="146"/>
      <c r="W487" s="146"/>
      <c r="X487" s="146"/>
      <c r="Y487" s="146"/>
      <c r="Z487" s="146"/>
      <c r="AA487" s="146"/>
      <c r="AB487" s="146"/>
      <c r="AC487" s="146"/>
      <c r="AD487" s="146"/>
      <c r="AE487" s="146"/>
      <c r="AF487" s="146"/>
      <c r="AG487" s="146"/>
    </row>
    <row r="488" spans="1:33" ht="12.75">
      <c r="A488" s="148"/>
      <c r="B488" s="146"/>
      <c r="C488" s="146"/>
      <c r="D488" s="146"/>
      <c r="E488" s="146"/>
      <c r="F488" s="146"/>
      <c r="G488" s="146"/>
      <c r="H488" s="146"/>
      <c r="I488" s="146"/>
      <c r="J488" s="146"/>
      <c r="K488" s="146"/>
      <c r="L488" s="146"/>
      <c r="M488" s="146"/>
      <c r="N488" s="146"/>
      <c r="O488" s="146"/>
      <c r="P488" s="146"/>
      <c r="Q488" s="146"/>
      <c r="R488" s="146"/>
      <c r="S488" s="146"/>
      <c r="T488" s="146"/>
      <c r="U488" s="146"/>
      <c r="V488" s="146"/>
      <c r="W488" s="146"/>
      <c r="X488" s="146"/>
      <c r="Y488" s="146"/>
      <c r="Z488" s="146"/>
      <c r="AA488" s="146"/>
      <c r="AB488" s="146"/>
      <c r="AC488" s="146"/>
      <c r="AD488" s="146"/>
      <c r="AE488" s="146"/>
      <c r="AF488" s="146"/>
      <c r="AG488" s="146"/>
    </row>
    <row r="489" spans="1:33" ht="12.75">
      <c r="A489" s="148"/>
      <c r="B489" s="146"/>
      <c r="C489" s="146"/>
      <c r="D489" s="146"/>
      <c r="E489" s="146"/>
      <c r="F489" s="146"/>
      <c r="G489" s="146"/>
      <c r="H489" s="146"/>
      <c r="I489" s="146"/>
      <c r="J489" s="146"/>
      <c r="K489" s="146"/>
      <c r="L489" s="146"/>
      <c r="M489" s="146"/>
      <c r="N489" s="146"/>
      <c r="O489" s="146"/>
      <c r="P489" s="146"/>
      <c r="Q489" s="146"/>
      <c r="R489" s="146"/>
      <c r="S489" s="146"/>
      <c r="T489" s="146"/>
      <c r="U489" s="146"/>
      <c r="V489" s="146"/>
      <c r="W489" s="146"/>
      <c r="X489" s="146"/>
      <c r="Y489" s="146"/>
      <c r="Z489" s="146"/>
      <c r="AA489" s="146"/>
      <c r="AB489" s="146"/>
      <c r="AC489" s="146"/>
      <c r="AD489" s="146"/>
      <c r="AE489" s="146"/>
      <c r="AF489" s="146"/>
      <c r="AG489" s="146"/>
    </row>
    <row r="490" spans="1:33" ht="12.75">
      <c r="A490" s="148"/>
      <c r="B490" s="146"/>
      <c r="C490" s="146"/>
      <c r="D490" s="146"/>
      <c r="E490" s="146"/>
      <c r="F490" s="146"/>
      <c r="G490" s="146"/>
      <c r="H490" s="146"/>
      <c r="I490" s="146"/>
      <c r="J490" s="146"/>
      <c r="K490" s="146"/>
      <c r="L490" s="146"/>
      <c r="M490" s="146"/>
      <c r="N490" s="146"/>
      <c r="O490" s="146"/>
      <c r="P490" s="146"/>
      <c r="Q490" s="146"/>
      <c r="R490" s="146"/>
      <c r="S490" s="146"/>
      <c r="T490" s="146"/>
      <c r="U490" s="146"/>
      <c r="V490" s="146"/>
      <c r="W490" s="146"/>
      <c r="X490" s="146"/>
      <c r="Y490" s="146"/>
      <c r="Z490" s="146"/>
      <c r="AA490" s="146"/>
      <c r="AB490" s="146"/>
      <c r="AC490" s="146"/>
      <c r="AD490" s="146"/>
      <c r="AE490" s="146"/>
      <c r="AF490" s="146"/>
      <c r="AG490" s="146"/>
    </row>
    <row r="491" spans="1:33" ht="12.75">
      <c r="A491" s="148"/>
      <c r="B491" s="146"/>
      <c r="C491" s="146"/>
      <c r="D491" s="146"/>
      <c r="E491" s="146"/>
      <c r="F491" s="146"/>
      <c r="G491" s="146"/>
      <c r="H491" s="146"/>
      <c r="I491" s="146"/>
      <c r="J491" s="146"/>
      <c r="K491" s="146"/>
      <c r="L491" s="146"/>
      <c r="M491" s="146"/>
      <c r="N491" s="146"/>
      <c r="O491" s="146"/>
      <c r="P491" s="146"/>
      <c r="Q491" s="146"/>
      <c r="R491" s="146"/>
      <c r="S491" s="146"/>
      <c r="T491" s="146"/>
      <c r="U491" s="146"/>
      <c r="V491" s="146"/>
      <c r="W491" s="146"/>
      <c r="X491" s="146"/>
      <c r="Y491" s="146"/>
      <c r="Z491" s="146"/>
      <c r="AA491" s="146"/>
      <c r="AB491" s="146"/>
      <c r="AC491" s="146"/>
      <c r="AD491" s="146"/>
      <c r="AE491" s="146"/>
      <c r="AF491" s="146"/>
      <c r="AG491" s="146"/>
    </row>
    <row r="492" spans="1:33" ht="12.75">
      <c r="A492" s="148"/>
      <c r="B492" s="146"/>
      <c r="C492" s="146"/>
      <c r="D492" s="146"/>
      <c r="E492" s="146"/>
      <c r="F492" s="146"/>
      <c r="G492" s="146"/>
      <c r="H492" s="146"/>
      <c r="I492" s="146"/>
      <c r="J492" s="146"/>
      <c r="K492" s="146"/>
      <c r="L492" s="146"/>
      <c r="M492" s="146"/>
      <c r="N492" s="146"/>
      <c r="O492" s="146"/>
      <c r="P492" s="146"/>
      <c r="Q492" s="146"/>
      <c r="R492" s="146"/>
      <c r="S492" s="146"/>
      <c r="T492" s="146"/>
      <c r="U492" s="146"/>
      <c r="V492" s="146"/>
      <c r="W492" s="146"/>
      <c r="X492" s="146"/>
      <c r="Y492" s="146"/>
      <c r="Z492" s="146"/>
      <c r="AA492" s="146"/>
      <c r="AB492" s="146"/>
      <c r="AC492" s="146"/>
      <c r="AD492" s="146"/>
      <c r="AE492" s="146"/>
      <c r="AF492" s="146"/>
      <c r="AG492" s="146"/>
    </row>
    <row r="493" spans="1:33" ht="12.75">
      <c r="A493" s="148"/>
      <c r="B493" s="146"/>
      <c r="C493" s="146"/>
      <c r="D493" s="146"/>
      <c r="E493" s="146"/>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c r="AB493" s="146"/>
      <c r="AC493" s="146"/>
      <c r="AD493" s="146"/>
      <c r="AE493" s="146"/>
      <c r="AF493" s="146"/>
      <c r="AG493" s="146"/>
    </row>
    <row r="494" spans="1:33" ht="12.75">
      <c r="A494" s="148"/>
      <c r="B494" s="146"/>
      <c r="C494" s="146"/>
      <c r="D494" s="146"/>
      <c r="E494" s="146"/>
      <c r="F494" s="146"/>
      <c r="G494" s="146"/>
      <c r="H494" s="146"/>
      <c r="I494" s="146"/>
      <c r="J494" s="146"/>
      <c r="K494" s="146"/>
      <c r="L494" s="146"/>
      <c r="M494" s="146"/>
      <c r="N494" s="146"/>
      <c r="O494" s="146"/>
      <c r="P494" s="146"/>
      <c r="Q494" s="146"/>
      <c r="R494" s="146"/>
      <c r="S494" s="146"/>
      <c r="T494" s="146"/>
      <c r="U494" s="146"/>
      <c r="V494" s="146"/>
      <c r="W494" s="146"/>
      <c r="X494" s="146"/>
      <c r="Y494" s="146"/>
      <c r="Z494" s="146"/>
      <c r="AA494" s="146"/>
      <c r="AB494" s="146"/>
      <c r="AC494" s="146"/>
      <c r="AD494" s="146"/>
      <c r="AE494" s="146"/>
      <c r="AF494" s="146"/>
      <c r="AG494" s="146"/>
    </row>
    <row r="495" spans="1:33" ht="12.75">
      <c r="A495" s="148"/>
      <c r="B495" s="146"/>
      <c r="C495" s="146"/>
      <c r="D495" s="146"/>
      <c r="E495" s="146"/>
      <c r="F495" s="146"/>
      <c r="G495" s="146"/>
      <c r="H495" s="146"/>
      <c r="I495" s="146"/>
      <c r="J495" s="146"/>
      <c r="K495" s="146"/>
      <c r="L495" s="146"/>
      <c r="M495" s="146"/>
      <c r="N495" s="146"/>
      <c r="O495" s="146"/>
      <c r="P495" s="146"/>
      <c r="Q495" s="146"/>
      <c r="R495" s="146"/>
      <c r="S495" s="146"/>
      <c r="T495" s="146"/>
      <c r="U495" s="146"/>
      <c r="V495" s="146"/>
      <c r="W495" s="146"/>
      <c r="X495" s="146"/>
      <c r="Y495" s="146"/>
      <c r="Z495" s="146"/>
      <c r="AA495" s="146"/>
      <c r="AB495" s="146"/>
      <c r="AC495" s="146"/>
      <c r="AD495" s="146"/>
      <c r="AE495" s="146"/>
      <c r="AF495" s="146"/>
      <c r="AG495" s="146"/>
    </row>
    <row r="496" spans="1:33" ht="12.75">
      <c r="A496" s="148"/>
      <c r="B496" s="146"/>
      <c r="C496" s="146"/>
      <c r="D496" s="146"/>
      <c r="E496" s="146"/>
      <c r="F496" s="146"/>
      <c r="G496" s="146"/>
      <c r="H496" s="146"/>
      <c r="I496" s="146"/>
      <c r="J496" s="146"/>
      <c r="K496" s="146"/>
      <c r="L496" s="146"/>
      <c r="M496" s="146"/>
      <c r="N496" s="146"/>
      <c r="O496" s="146"/>
      <c r="P496" s="146"/>
      <c r="Q496" s="146"/>
      <c r="R496" s="146"/>
      <c r="S496" s="146"/>
      <c r="T496" s="146"/>
      <c r="U496" s="146"/>
      <c r="V496" s="146"/>
      <c r="W496" s="146"/>
      <c r="X496" s="146"/>
      <c r="Y496" s="146"/>
      <c r="Z496" s="146"/>
      <c r="AA496" s="146"/>
      <c r="AB496" s="146"/>
      <c r="AC496" s="146"/>
      <c r="AD496" s="146"/>
      <c r="AE496" s="146"/>
      <c r="AF496" s="146"/>
      <c r="AG496" s="146"/>
    </row>
    <row r="497" spans="1:33" ht="12.75">
      <c r="A497" s="148"/>
      <c r="B497" s="146"/>
      <c r="C497" s="146"/>
      <c r="D497" s="146"/>
      <c r="E497" s="146"/>
      <c r="F497" s="146"/>
      <c r="G497" s="146"/>
      <c r="H497" s="146"/>
      <c r="I497" s="146"/>
      <c r="J497" s="146"/>
      <c r="K497" s="146"/>
      <c r="L497" s="146"/>
      <c r="M497" s="146"/>
      <c r="N497" s="146"/>
      <c r="O497" s="146"/>
      <c r="P497" s="146"/>
      <c r="Q497" s="146"/>
      <c r="R497" s="146"/>
      <c r="S497" s="146"/>
      <c r="T497" s="146"/>
      <c r="U497" s="146"/>
      <c r="V497" s="146"/>
      <c r="W497" s="146"/>
      <c r="X497" s="146"/>
      <c r="Y497" s="146"/>
      <c r="Z497" s="146"/>
      <c r="AA497" s="146"/>
      <c r="AB497" s="146"/>
      <c r="AC497" s="146"/>
      <c r="AD497" s="146"/>
      <c r="AE497" s="146"/>
      <c r="AF497" s="146"/>
      <c r="AG497" s="146"/>
    </row>
    <row r="498" spans="1:33" ht="12.75">
      <c r="A498" s="148"/>
      <c r="B498" s="146"/>
      <c r="C498" s="146"/>
      <c r="D498" s="146"/>
      <c r="E498" s="146"/>
      <c r="F498" s="146"/>
      <c r="G498" s="146"/>
      <c r="H498" s="146"/>
      <c r="I498" s="146"/>
      <c r="J498" s="146"/>
      <c r="K498" s="146"/>
      <c r="L498" s="146"/>
      <c r="M498" s="146"/>
      <c r="N498" s="146"/>
      <c r="O498" s="146"/>
      <c r="P498" s="146"/>
      <c r="Q498" s="146"/>
      <c r="R498" s="146"/>
      <c r="S498" s="146"/>
      <c r="T498" s="146"/>
      <c r="U498" s="146"/>
      <c r="V498" s="146"/>
      <c r="W498" s="146"/>
      <c r="X498" s="146"/>
      <c r="Y498" s="146"/>
      <c r="Z498" s="146"/>
      <c r="AA498" s="146"/>
      <c r="AB498" s="146"/>
      <c r="AC498" s="146"/>
      <c r="AD498" s="146"/>
      <c r="AE498" s="146"/>
      <c r="AF498" s="146"/>
      <c r="AG498" s="146"/>
    </row>
    <row r="499" spans="1:33" ht="12.75">
      <c r="A499" s="148"/>
      <c r="B499" s="146"/>
      <c r="C499" s="146"/>
      <c r="D499" s="146"/>
      <c r="E499" s="146"/>
      <c r="F499" s="146"/>
      <c r="G499" s="146"/>
      <c r="H499" s="146"/>
      <c r="I499" s="146"/>
      <c r="J499" s="146"/>
      <c r="K499" s="146"/>
      <c r="L499" s="146"/>
      <c r="M499" s="146"/>
      <c r="N499" s="146"/>
      <c r="O499" s="146"/>
      <c r="P499" s="146"/>
      <c r="Q499" s="146"/>
      <c r="R499" s="146"/>
      <c r="S499" s="146"/>
      <c r="T499" s="146"/>
      <c r="U499" s="146"/>
      <c r="V499" s="146"/>
      <c r="W499" s="146"/>
      <c r="X499" s="146"/>
      <c r="Y499" s="146"/>
      <c r="Z499" s="146"/>
      <c r="AA499" s="146"/>
      <c r="AB499" s="146"/>
      <c r="AC499" s="146"/>
      <c r="AD499" s="146"/>
      <c r="AE499" s="146"/>
      <c r="AF499" s="146"/>
      <c r="AG499" s="146"/>
    </row>
    <row r="500" spans="1:33" ht="12.75">
      <c r="A500" s="148"/>
      <c r="B500" s="146"/>
      <c r="C500" s="146"/>
      <c r="D500" s="146"/>
      <c r="E500" s="146"/>
      <c r="F500" s="146"/>
      <c r="G500" s="146"/>
      <c r="H500" s="146"/>
      <c r="I500" s="146"/>
      <c r="J500" s="146"/>
      <c r="K500" s="146"/>
      <c r="L500" s="146"/>
      <c r="M500" s="146"/>
      <c r="N500" s="146"/>
      <c r="O500" s="146"/>
      <c r="P500" s="146"/>
      <c r="Q500" s="146"/>
      <c r="R500" s="146"/>
      <c r="S500" s="146"/>
      <c r="T500" s="146"/>
      <c r="U500" s="146"/>
      <c r="V500" s="146"/>
      <c r="W500" s="146"/>
      <c r="X500" s="146"/>
      <c r="Y500" s="146"/>
      <c r="Z500" s="146"/>
      <c r="AA500" s="146"/>
      <c r="AB500" s="146"/>
      <c r="AC500" s="146"/>
      <c r="AD500" s="146"/>
      <c r="AE500" s="146"/>
      <c r="AF500" s="146"/>
      <c r="AG500" s="146"/>
    </row>
    <row r="501" spans="1:33" ht="12.75">
      <c r="A501" s="148"/>
      <c r="B501" s="146"/>
      <c r="C501" s="146"/>
      <c r="D501" s="146"/>
      <c r="E501" s="146"/>
      <c r="F501" s="146"/>
      <c r="G501" s="146"/>
      <c r="H501" s="146"/>
      <c r="I501" s="146"/>
      <c r="J501" s="146"/>
      <c r="K501" s="146"/>
      <c r="L501" s="146"/>
      <c r="M501" s="146"/>
      <c r="N501" s="146"/>
      <c r="O501" s="146"/>
      <c r="P501" s="146"/>
      <c r="Q501" s="146"/>
      <c r="R501" s="146"/>
      <c r="S501" s="146"/>
      <c r="T501" s="146"/>
      <c r="U501" s="146"/>
      <c r="V501" s="146"/>
      <c r="W501" s="146"/>
      <c r="X501" s="146"/>
      <c r="Y501" s="146"/>
      <c r="Z501" s="146"/>
      <c r="AA501" s="146"/>
      <c r="AB501" s="146"/>
      <c r="AC501" s="146"/>
      <c r="AD501" s="146"/>
      <c r="AE501" s="146"/>
      <c r="AF501" s="146"/>
      <c r="AG501" s="146"/>
    </row>
    <row r="502" spans="1:33" ht="12.75">
      <c r="A502" s="148"/>
      <c r="B502" s="146"/>
      <c r="C502" s="146"/>
      <c r="D502" s="146"/>
      <c r="E502" s="146"/>
      <c r="F502" s="146"/>
      <c r="G502" s="146"/>
      <c r="H502" s="146"/>
      <c r="I502" s="146"/>
      <c r="J502" s="146"/>
      <c r="K502" s="146"/>
      <c r="L502" s="146"/>
      <c r="M502" s="146"/>
      <c r="N502" s="146"/>
      <c r="O502" s="146"/>
      <c r="P502" s="146"/>
      <c r="Q502" s="146"/>
      <c r="R502" s="146"/>
      <c r="S502" s="146"/>
      <c r="T502" s="146"/>
      <c r="U502" s="146"/>
      <c r="V502" s="146"/>
      <c r="W502" s="146"/>
      <c r="X502" s="146"/>
      <c r="Y502" s="146"/>
      <c r="Z502" s="146"/>
      <c r="AA502" s="146"/>
      <c r="AB502" s="146"/>
      <c r="AC502" s="146"/>
      <c r="AD502" s="146"/>
      <c r="AE502" s="146"/>
      <c r="AF502" s="146"/>
      <c r="AG502" s="146"/>
    </row>
    <row r="503" spans="1:33" ht="12.75">
      <c r="A503" s="148"/>
      <c r="B503" s="146"/>
      <c r="C503" s="146"/>
      <c r="D503" s="146"/>
      <c r="E503" s="146"/>
      <c r="F503" s="146"/>
      <c r="G503" s="146"/>
      <c r="H503" s="146"/>
      <c r="I503" s="146"/>
      <c r="J503" s="146"/>
      <c r="K503" s="146"/>
      <c r="L503" s="146"/>
      <c r="M503" s="146"/>
      <c r="N503" s="146"/>
      <c r="O503" s="146"/>
      <c r="P503" s="146"/>
      <c r="Q503" s="146"/>
      <c r="R503" s="146"/>
      <c r="S503" s="146"/>
      <c r="T503" s="146"/>
      <c r="U503" s="146"/>
      <c r="V503" s="146"/>
      <c r="W503" s="146"/>
      <c r="X503" s="146"/>
      <c r="Y503" s="146"/>
      <c r="Z503" s="146"/>
      <c r="AA503" s="146"/>
      <c r="AB503" s="146"/>
      <c r="AC503" s="146"/>
      <c r="AD503" s="146"/>
      <c r="AE503" s="146"/>
      <c r="AF503" s="146"/>
      <c r="AG503" s="146"/>
    </row>
    <row r="504" spans="1:33" ht="12.75">
      <c r="A504" s="148"/>
      <c r="B504" s="146"/>
      <c r="C504" s="146"/>
      <c r="D504" s="146"/>
      <c r="E504" s="146"/>
      <c r="F504" s="146"/>
      <c r="G504" s="146"/>
      <c r="H504" s="146"/>
      <c r="I504" s="146"/>
      <c r="J504" s="146"/>
      <c r="K504" s="146"/>
      <c r="L504" s="146"/>
      <c r="M504" s="146"/>
      <c r="N504" s="146"/>
      <c r="O504" s="146"/>
      <c r="P504" s="146"/>
      <c r="Q504" s="146"/>
      <c r="R504" s="146"/>
      <c r="S504" s="146"/>
      <c r="T504" s="146"/>
      <c r="U504" s="146"/>
      <c r="V504" s="146"/>
      <c r="W504" s="146"/>
      <c r="X504" s="146"/>
      <c r="Y504" s="146"/>
      <c r="Z504" s="146"/>
      <c r="AA504" s="146"/>
      <c r="AB504" s="146"/>
      <c r="AC504" s="146"/>
      <c r="AD504" s="146"/>
      <c r="AE504" s="146"/>
      <c r="AF504" s="146"/>
      <c r="AG504" s="146"/>
    </row>
    <row r="505" spans="1:33" ht="12.75">
      <c r="A505" s="148"/>
      <c r="B505" s="146"/>
      <c r="C505" s="146"/>
      <c r="D505" s="146"/>
      <c r="E505" s="146"/>
      <c r="F505" s="146"/>
      <c r="G505" s="146"/>
      <c r="H505" s="146"/>
      <c r="I505" s="146"/>
      <c r="J505" s="146"/>
      <c r="K505" s="146"/>
      <c r="L505" s="146"/>
      <c r="M505" s="146"/>
      <c r="N505" s="146"/>
      <c r="O505" s="146"/>
      <c r="P505" s="146"/>
      <c r="Q505" s="146"/>
      <c r="R505" s="146"/>
      <c r="S505" s="146"/>
      <c r="T505" s="146"/>
      <c r="U505" s="146"/>
      <c r="V505" s="146"/>
      <c r="W505" s="146"/>
      <c r="X505" s="146"/>
      <c r="Y505" s="146"/>
      <c r="Z505" s="146"/>
      <c r="AA505" s="146"/>
      <c r="AB505" s="146"/>
      <c r="AC505" s="146"/>
      <c r="AD505" s="146"/>
      <c r="AE505" s="146"/>
      <c r="AF505" s="146"/>
      <c r="AG505" s="146"/>
    </row>
    <row r="506" spans="1:33" ht="12.75">
      <c r="A506" s="148"/>
      <c r="B506" s="146"/>
      <c r="C506" s="146"/>
      <c r="D506" s="146"/>
      <c r="E506" s="146"/>
      <c r="F506" s="146"/>
      <c r="G506" s="146"/>
      <c r="H506" s="146"/>
      <c r="I506" s="146"/>
      <c r="J506" s="146"/>
      <c r="K506" s="146"/>
      <c r="L506" s="146"/>
      <c r="M506" s="146"/>
      <c r="N506" s="146"/>
      <c r="O506" s="146"/>
      <c r="P506" s="146"/>
      <c r="Q506" s="146"/>
      <c r="R506" s="146"/>
      <c r="S506" s="146"/>
      <c r="T506" s="146"/>
      <c r="U506" s="146"/>
      <c r="V506" s="146"/>
      <c r="W506" s="146"/>
      <c r="X506" s="146"/>
      <c r="Y506" s="146"/>
      <c r="Z506" s="146"/>
      <c r="AA506" s="146"/>
      <c r="AB506" s="146"/>
      <c r="AC506" s="146"/>
      <c r="AD506" s="146"/>
      <c r="AE506" s="146"/>
      <c r="AF506" s="146"/>
      <c r="AG506" s="146"/>
    </row>
    <row r="507" spans="1:33" ht="12.75">
      <c r="A507" s="148"/>
      <c r="B507" s="146"/>
      <c r="C507" s="146"/>
      <c r="D507" s="146"/>
      <c r="E507" s="146"/>
      <c r="F507" s="146"/>
      <c r="G507" s="146"/>
      <c r="H507" s="146"/>
      <c r="I507" s="146"/>
      <c r="J507" s="146"/>
      <c r="K507" s="146"/>
      <c r="L507" s="146"/>
      <c r="M507" s="146"/>
      <c r="N507" s="146"/>
      <c r="O507" s="146"/>
      <c r="P507" s="146"/>
      <c r="Q507" s="146"/>
      <c r="R507" s="146"/>
      <c r="S507" s="146"/>
      <c r="T507" s="146"/>
      <c r="U507" s="146"/>
      <c r="V507" s="146"/>
      <c r="W507" s="146"/>
      <c r="X507" s="146"/>
      <c r="Y507" s="146"/>
      <c r="Z507" s="146"/>
      <c r="AA507" s="146"/>
      <c r="AB507" s="146"/>
      <c r="AC507" s="146"/>
      <c r="AD507" s="146"/>
      <c r="AE507" s="146"/>
      <c r="AF507" s="146"/>
      <c r="AG507" s="146"/>
    </row>
    <row r="508" spans="1:33" ht="12.75">
      <c r="A508" s="148"/>
      <c r="B508" s="146"/>
      <c r="C508" s="146"/>
      <c r="D508" s="146"/>
      <c r="E508" s="146"/>
      <c r="F508" s="146"/>
      <c r="G508" s="146"/>
      <c r="H508" s="146"/>
      <c r="I508" s="146"/>
      <c r="J508" s="146"/>
      <c r="K508" s="146"/>
      <c r="L508" s="146"/>
      <c r="M508" s="146"/>
      <c r="N508" s="146"/>
      <c r="O508" s="146"/>
      <c r="P508" s="146"/>
      <c r="Q508" s="146"/>
      <c r="R508" s="146"/>
      <c r="S508" s="146"/>
      <c r="T508" s="146"/>
      <c r="U508" s="146"/>
      <c r="V508" s="146"/>
      <c r="W508" s="146"/>
      <c r="X508" s="146"/>
      <c r="Y508" s="146"/>
      <c r="Z508" s="146"/>
      <c r="AA508" s="146"/>
      <c r="AB508" s="146"/>
      <c r="AC508" s="146"/>
      <c r="AD508" s="146"/>
      <c r="AE508" s="146"/>
      <c r="AF508" s="146"/>
      <c r="AG508" s="146"/>
    </row>
    <row r="509" spans="1:33" ht="12.75">
      <c r="A509" s="148"/>
      <c r="B509" s="146"/>
      <c r="C509" s="146"/>
      <c r="D509" s="146"/>
      <c r="E509" s="146"/>
      <c r="F509" s="146"/>
      <c r="G509" s="146"/>
      <c r="H509" s="146"/>
      <c r="I509" s="146"/>
      <c r="J509" s="146"/>
      <c r="K509" s="146"/>
      <c r="L509" s="146"/>
      <c r="M509" s="146"/>
      <c r="N509" s="146"/>
      <c r="O509" s="146"/>
      <c r="P509" s="146"/>
      <c r="Q509" s="146"/>
      <c r="R509" s="146"/>
      <c r="S509" s="146"/>
      <c r="T509" s="146"/>
      <c r="U509" s="146"/>
      <c r="V509" s="146"/>
      <c r="W509" s="146"/>
      <c r="X509" s="146"/>
      <c r="Y509" s="146"/>
      <c r="Z509" s="146"/>
      <c r="AA509" s="146"/>
      <c r="AB509" s="146"/>
      <c r="AC509" s="146"/>
      <c r="AD509" s="146"/>
      <c r="AE509" s="146"/>
      <c r="AF509" s="146"/>
      <c r="AG509" s="146"/>
    </row>
    <row r="510" spans="1:33" ht="12.75">
      <c r="A510" s="148"/>
      <c r="B510" s="146"/>
      <c r="C510" s="146"/>
      <c r="D510" s="146"/>
      <c r="E510" s="146"/>
      <c r="F510" s="146"/>
      <c r="G510" s="146"/>
      <c r="H510" s="146"/>
      <c r="I510" s="146"/>
      <c r="J510" s="146"/>
      <c r="K510" s="146"/>
      <c r="L510" s="146"/>
      <c r="M510" s="146"/>
      <c r="N510" s="146"/>
      <c r="O510" s="146"/>
      <c r="P510" s="146"/>
      <c r="Q510" s="146"/>
      <c r="R510" s="146"/>
      <c r="S510" s="146"/>
      <c r="T510" s="146"/>
      <c r="U510" s="146"/>
      <c r="V510" s="146"/>
      <c r="W510" s="146"/>
      <c r="X510" s="146"/>
      <c r="Y510" s="146"/>
      <c r="Z510" s="146"/>
      <c r="AA510" s="146"/>
      <c r="AB510" s="146"/>
      <c r="AC510" s="146"/>
      <c r="AD510" s="146"/>
      <c r="AE510" s="146"/>
      <c r="AF510" s="146"/>
      <c r="AG510" s="146"/>
    </row>
    <row r="511" spans="1:33" ht="12.75">
      <c r="A511" s="148"/>
      <c r="B511" s="146"/>
      <c r="C511" s="146"/>
      <c r="D511" s="146"/>
      <c r="E511" s="146"/>
      <c r="F511" s="146"/>
      <c r="G511" s="146"/>
      <c r="H511" s="146"/>
      <c r="I511" s="146"/>
      <c r="J511" s="146"/>
      <c r="K511" s="146"/>
      <c r="L511" s="146"/>
      <c r="M511" s="146"/>
      <c r="N511" s="146"/>
      <c r="O511" s="146"/>
      <c r="P511" s="146"/>
      <c r="Q511" s="146"/>
      <c r="R511" s="146"/>
      <c r="S511" s="146"/>
      <c r="T511" s="146"/>
      <c r="U511" s="146"/>
      <c r="V511" s="146"/>
      <c r="W511" s="146"/>
      <c r="X511" s="146"/>
      <c r="Y511" s="146"/>
      <c r="Z511" s="146"/>
      <c r="AA511" s="146"/>
      <c r="AB511" s="146"/>
      <c r="AC511" s="146"/>
      <c r="AD511" s="146"/>
      <c r="AE511" s="146"/>
      <c r="AF511" s="146"/>
      <c r="AG511" s="146"/>
    </row>
    <row r="512" spans="1:33" ht="12.75">
      <c r="A512" s="148"/>
      <c r="B512" s="146"/>
      <c r="C512" s="146"/>
      <c r="D512" s="146"/>
      <c r="E512" s="146"/>
      <c r="F512" s="146"/>
      <c r="G512" s="146"/>
      <c r="H512" s="146"/>
      <c r="I512" s="146"/>
      <c r="J512" s="146"/>
      <c r="K512" s="146"/>
      <c r="L512" s="146"/>
      <c r="M512" s="146"/>
      <c r="N512" s="146"/>
      <c r="O512" s="146"/>
      <c r="P512" s="146"/>
      <c r="Q512" s="146"/>
      <c r="R512" s="146"/>
      <c r="S512" s="146"/>
      <c r="T512" s="146"/>
      <c r="U512" s="146"/>
      <c r="V512" s="146"/>
      <c r="W512" s="146"/>
      <c r="X512" s="146"/>
      <c r="Y512" s="146"/>
      <c r="Z512" s="146"/>
      <c r="AA512" s="146"/>
      <c r="AB512" s="146"/>
      <c r="AC512" s="146"/>
      <c r="AD512" s="146"/>
      <c r="AE512" s="146"/>
      <c r="AF512" s="146"/>
      <c r="AG512" s="146"/>
    </row>
    <row r="513" spans="1:33" ht="12.75">
      <c r="A513" s="148"/>
      <c r="B513" s="146"/>
      <c r="C513" s="146"/>
      <c r="D513" s="146"/>
      <c r="E513" s="146"/>
      <c r="F513" s="146"/>
      <c r="G513" s="146"/>
      <c r="H513" s="146"/>
      <c r="I513" s="146"/>
      <c r="J513" s="146"/>
      <c r="K513" s="146"/>
      <c r="L513" s="146"/>
      <c r="M513" s="146"/>
      <c r="N513" s="146"/>
      <c r="O513" s="146"/>
      <c r="P513" s="146"/>
      <c r="Q513" s="146"/>
      <c r="R513" s="146"/>
      <c r="S513" s="146"/>
      <c r="T513" s="146"/>
      <c r="U513" s="146"/>
      <c r="V513" s="146"/>
      <c r="W513" s="146"/>
      <c r="X513" s="146"/>
      <c r="Y513" s="146"/>
      <c r="Z513" s="146"/>
      <c r="AA513" s="146"/>
      <c r="AB513" s="146"/>
      <c r="AC513" s="146"/>
      <c r="AD513" s="146"/>
      <c r="AE513" s="146"/>
      <c r="AF513" s="146"/>
      <c r="AG513" s="146"/>
    </row>
    <row r="514" spans="1:33" ht="12.75">
      <c r="A514" s="148"/>
      <c r="B514" s="146"/>
      <c r="C514" s="146"/>
      <c r="D514" s="146"/>
      <c r="E514" s="146"/>
      <c r="F514" s="146"/>
      <c r="G514" s="146"/>
      <c r="H514" s="146"/>
      <c r="I514" s="146"/>
      <c r="J514" s="146"/>
      <c r="K514" s="146"/>
      <c r="L514" s="146"/>
      <c r="M514" s="146"/>
      <c r="N514" s="146"/>
      <c r="O514" s="146"/>
      <c r="P514" s="146"/>
      <c r="Q514" s="146"/>
      <c r="R514" s="146"/>
      <c r="S514" s="146"/>
      <c r="T514" s="146"/>
      <c r="U514" s="146"/>
      <c r="V514" s="146"/>
      <c r="W514" s="146"/>
      <c r="X514" s="146"/>
      <c r="Y514" s="146"/>
      <c r="Z514" s="146"/>
      <c r="AA514" s="146"/>
      <c r="AB514" s="146"/>
      <c r="AC514" s="146"/>
      <c r="AD514" s="146"/>
      <c r="AE514" s="146"/>
      <c r="AF514" s="146"/>
      <c r="AG514" s="146"/>
    </row>
    <row r="515" spans="1:33" ht="12.75">
      <c r="A515" s="148"/>
      <c r="B515" s="146"/>
      <c r="C515" s="146"/>
      <c r="D515" s="146"/>
      <c r="E515" s="146"/>
      <c r="F515" s="146"/>
      <c r="G515" s="146"/>
      <c r="H515" s="146"/>
      <c r="I515" s="146"/>
      <c r="J515" s="146"/>
      <c r="K515" s="146"/>
      <c r="L515" s="146"/>
      <c r="M515" s="146"/>
      <c r="N515" s="146"/>
      <c r="O515" s="146"/>
      <c r="P515" s="146"/>
      <c r="Q515" s="146"/>
      <c r="R515" s="146"/>
      <c r="S515" s="146"/>
      <c r="T515" s="146"/>
      <c r="U515" s="146"/>
      <c r="V515" s="146"/>
      <c r="W515" s="146"/>
      <c r="X515" s="146"/>
      <c r="Y515" s="146"/>
      <c r="Z515" s="146"/>
      <c r="AA515" s="146"/>
      <c r="AB515" s="146"/>
      <c r="AC515" s="146"/>
      <c r="AD515" s="146"/>
      <c r="AE515" s="146"/>
      <c r="AF515" s="146"/>
      <c r="AG515" s="146"/>
    </row>
    <row r="516" spans="1:33" ht="12.75">
      <c r="A516" s="148"/>
      <c r="B516" s="146"/>
      <c r="C516" s="146"/>
      <c r="D516" s="146"/>
      <c r="E516" s="146"/>
      <c r="F516" s="146"/>
      <c r="G516" s="146"/>
      <c r="H516" s="146"/>
      <c r="I516" s="146"/>
      <c r="J516" s="146"/>
      <c r="K516" s="146"/>
      <c r="L516" s="146"/>
      <c r="M516" s="146"/>
      <c r="N516" s="146"/>
      <c r="O516" s="146"/>
      <c r="P516" s="146"/>
      <c r="Q516" s="146"/>
      <c r="R516" s="146"/>
      <c r="S516" s="146"/>
      <c r="T516" s="146"/>
      <c r="U516" s="146"/>
      <c r="V516" s="146"/>
      <c r="W516" s="146"/>
      <c r="X516" s="146"/>
      <c r="Y516" s="146"/>
      <c r="Z516" s="146"/>
      <c r="AA516" s="146"/>
      <c r="AB516" s="146"/>
      <c r="AC516" s="146"/>
      <c r="AD516" s="146"/>
      <c r="AE516" s="146"/>
      <c r="AF516" s="146"/>
      <c r="AG516" s="146"/>
    </row>
    <row r="517" spans="1:33" ht="12.75">
      <c r="A517" s="148"/>
      <c r="B517" s="146"/>
      <c r="C517" s="146"/>
      <c r="D517" s="146"/>
      <c r="E517" s="146"/>
      <c r="F517" s="146"/>
      <c r="G517" s="146"/>
      <c r="H517" s="146"/>
      <c r="I517" s="146"/>
      <c r="J517" s="146"/>
      <c r="K517" s="146"/>
      <c r="L517" s="146"/>
      <c r="M517" s="146"/>
      <c r="N517" s="146"/>
      <c r="O517" s="146"/>
      <c r="P517" s="146"/>
      <c r="Q517" s="146"/>
      <c r="R517" s="146"/>
      <c r="S517" s="146"/>
      <c r="T517" s="146"/>
      <c r="U517" s="146"/>
      <c r="V517" s="146"/>
      <c r="W517" s="146"/>
      <c r="X517" s="146"/>
      <c r="Y517" s="146"/>
      <c r="Z517" s="146"/>
      <c r="AA517" s="146"/>
      <c r="AB517" s="146"/>
      <c r="AC517" s="146"/>
      <c r="AD517" s="146"/>
      <c r="AE517" s="146"/>
      <c r="AF517" s="146"/>
      <c r="AG517" s="146"/>
    </row>
    <row r="518" spans="1:33" ht="12.75">
      <c r="A518" s="148"/>
      <c r="B518" s="146"/>
      <c r="C518" s="146"/>
      <c r="D518" s="146"/>
      <c r="E518" s="146"/>
      <c r="F518" s="146"/>
      <c r="G518" s="146"/>
      <c r="H518" s="146"/>
      <c r="I518" s="146"/>
      <c r="J518" s="146"/>
      <c r="K518" s="146"/>
      <c r="L518" s="146"/>
      <c r="M518" s="146"/>
      <c r="N518" s="146"/>
      <c r="O518" s="146"/>
      <c r="P518" s="146"/>
      <c r="Q518" s="146"/>
      <c r="R518" s="146"/>
      <c r="S518" s="146"/>
      <c r="T518" s="146"/>
      <c r="U518" s="146"/>
      <c r="V518" s="146"/>
      <c r="W518" s="146"/>
      <c r="X518" s="146"/>
      <c r="Y518" s="146"/>
      <c r="Z518" s="146"/>
      <c r="AA518" s="146"/>
      <c r="AB518" s="146"/>
      <c r="AC518" s="146"/>
      <c r="AD518" s="146"/>
      <c r="AE518" s="146"/>
      <c r="AF518" s="146"/>
      <c r="AG518" s="146"/>
    </row>
    <row r="519" spans="1:33" ht="12.75">
      <c r="A519" s="148"/>
      <c r="B519" s="146"/>
      <c r="C519" s="146"/>
      <c r="D519" s="146"/>
      <c r="E519" s="146"/>
      <c r="F519" s="146"/>
      <c r="G519" s="146"/>
      <c r="H519" s="146"/>
      <c r="I519" s="146"/>
      <c r="J519" s="146"/>
      <c r="K519" s="146"/>
      <c r="L519" s="146"/>
      <c r="M519" s="146"/>
      <c r="N519" s="146"/>
      <c r="O519" s="146"/>
      <c r="P519" s="146"/>
      <c r="Q519" s="146"/>
      <c r="R519" s="146"/>
      <c r="S519" s="146"/>
      <c r="T519" s="146"/>
      <c r="U519" s="146"/>
      <c r="V519" s="146"/>
      <c r="W519" s="146"/>
      <c r="X519" s="146"/>
      <c r="Y519" s="146"/>
      <c r="Z519" s="146"/>
      <c r="AA519" s="146"/>
      <c r="AB519" s="146"/>
      <c r="AC519" s="146"/>
      <c r="AD519" s="146"/>
      <c r="AE519" s="146"/>
      <c r="AF519" s="146"/>
      <c r="AG519" s="146"/>
    </row>
    <row r="520" spans="1:33" ht="12.75">
      <c r="A520" s="148"/>
      <c r="B520" s="146"/>
      <c r="C520" s="146"/>
      <c r="D520" s="146"/>
      <c r="E520" s="146"/>
      <c r="F520" s="146"/>
      <c r="G520" s="146"/>
      <c r="H520" s="146"/>
      <c r="I520" s="146"/>
      <c r="J520" s="146"/>
      <c r="K520" s="146"/>
      <c r="L520" s="146"/>
      <c r="M520" s="146"/>
      <c r="N520" s="146"/>
      <c r="O520" s="146"/>
      <c r="P520" s="146"/>
      <c r="Q520" s="146"/>
      <c r="R520" s="146"/>
      <c r="S520" s="146"/>
      <c r="T520" s="146"/>
      <c r="U520" s="146"/>
      <c r="V520" s="146"/>
      <c r="W520" s="146"/>
      <c r="X520" s="146"/>
      <c r="Y520" s="146"/>
      <c r="Z520" s="146"/>
      <c r="AA520" s="146"/>
      <c r="AB520" s="146"/>
      <c r="AC520" s="146"/>
      <c r="AD520" s="146"/>
      <c r="AE520" s="146"/>
      <c r="AF520" s="146"/>
      <c r="AG520" s="146"/>
    </row>
    <row r="521" spans="1:33" ht="12.75">
      <c r="A521" s="148"/>
      <c r="B521" s="146"/>
      <c r="C521" s="146"/>
      <c r="D521" s="146"/>
      <c r="E521" s="146"/>
      <c r="F521" s="146"/>
      <c r="G521" s="146"/>
      <c r="H521" s="146"/>
      <c r="I521" s="146"/>
      <c r="J521" s="146"/>
      <c r="K521" s="146"/>
      <c r="L521" s="146"/>
      <c r="M521" s="146"/>
      <c r="N521" s="146"/>
      <c r="O521" s="146"/>
      <c r="P521" s="146"/>
      <c r="Q521" s="146"/>
      <c r="R521" s="146"/>
      <c r="S521" s="146"/>
      <c r="T521" s="146"/>
      <c r="U521" s="146"/>
      <c r="V521" s="146"/>
      <c r="W521" s="146"/>
      <c r="X521" s="146"/>
      <c r="Y521" s="146"/>
      <c r="Z521" s="146"/>
      <c r="AA521" s="146"/>
      <c r="AB521" s="146"/>
      <c r="AC521" s="146"/>
      <c r="AD521" s="146"/>
      <c r="AE521" s="146"/>
      <c r="AF521" s="146"/>
      <c r="AG521" s="146"/>
    </row>
    <row r="522" spans="1:33" ht="12.75">
      <c r="A522" s="148"/>
      <c r="B522" s="146"/>
      <c r="C522" s="146"/>
      <c r="D522" s="146"/>
      <c r="E522" s="146"/>
      <c r="F522" s="146"/>
      <c r="G522" s="146"/>
      <c r="H522" s="146"/>
      <c r="I522" s="146"/>
      <c r="J522" s="146"/>
      <c r="K522" s="146"/>
      <c r="L522" s="146"/>
      <c r="M522" s="146"/>
      <c r="N522" s="146"/>
      <c r="O522" s="146"/>
      <c r="P522" s="146"/>
      <c r="Q522" s="146"/>
      <c r="R522" s="146"/>
      <c r="S522" s="146"/>
      <c r="T522" s="146"/>
      <c r="U522" s="146"/>
      <c r="V522" s="146"/>
      <c r="W522" s="146"/>
      <c r="X522" s="146"/>
      <c r="Y522" s="146"/>
      <c r="Z522" s="146"/>
      <c r="AA522" s="146"/>
      <c r="AB522" s="146"/>
      <c r="AC522" s="146"/>
      <c r="AD522" s="146"/>
      <c r="AE522" s="146"/>
      <c r="AF522" s="146"/>
      <c r="AG522" s="146"/>
    </row>
    <row r="523" spans="1:33" ht="12.75">
      <c r="A523" s="148"/>
      <c r="B523" s="146"/>
      <c r="C523" s="146"/>
      <c r="D523" s="146"/>
      <c r="E523" s="146"/>
      <c r="F523" s="146"/>
      <c r="G523" s="146"/>
      <c r="H523" s="146"/>
      <c r="I523" s="146"/>
      <c r="J523" s="146"/>
      <c r="K523" s="146"/>
      <c r="L523" s="146"/>
      <c r="M523" s="146"/>
      <c r="N523" s="146"/>
      <c r="O523" s="146"/>
      <c r="P523" s="146"/>
      <c r="Q523" s="146"/>
      <c r="R523" s="146"/>
      <c r="S523" s="146"/>
      <c r="T523" s="146"/>
      <c r="U523" s="146"/>
      <c r="V523" s="146"/>
      <c r="W523" s="146"/>
      <c r="X523" s="146"/>
      <c r="Y523" s="146"/>
      <c r="Z523" s="146"/>
      <c r="AA523" s="146"/>
      <c r="AB523" s="146"/>
      <c r="AC523" s="146"/>
      <c r="AD523" s="146"/>
      <c r="AE523" s="146"/>
      <c r="AF523" s="146"/>
      <c r="AG523" s="146"/>
    </row>
    <row r="524" spans="1:33" ht="12.75">
      <c r="A524" s="148"/>
      <c r="B524" s="146"/>
      <c r="C524" s="146"/>
      <c r="D524" s="146"/>
      <c r="E524" s="146"/>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c r="AB524" s="146"/>
      <c r="AC524" s="146"/>
      <c r="AD524" s="146"/>
      <c r="AE524" s="146"/>
      <c r="AF524" s="146"/>
      <c r="AG524" s="146"/>
    </row>
    <row r="525" spans="1:33" ht="12.75">
      <c r="A525" s="148"/>
      <c r="B525" s="146"/>
      <c r="C525" s="146"/>
      <c r="D525" s="146"/>
      <c r="E525" s="146"/>
      <c r="F525" s="146"/>
      <c r="G525" s="146"/>
      <c r="H525" s="146"/>
      <c r="I525" s="146"/>
      <c r="J525" s="146"/>
      <c r="K525" s="146"/>
      <c r="L525" s="146"/>
      <c r="M525" s="146"/>
      <c r="N525" s="146"/>
      <c r="O525" s="146"/>
      <c r="P525" s="146"/>
      <c r="Q525" s="146"/>
      <c r="R525" s="146"/>
      <c r="S525" s="146"/>
      <c r="T525" s="146"/>
      <c r="U525" s="146"/>
      <c r="V525" s="146"/>
      <c r="W525" s="146"/>
      <c r="X525" s="146"/>
      <c r="Y525" s="146"/>
      <c r="Z525" s="146"/>
      <c r="AA525" s="146"/>
      <c r="AB525" s="146"/>
      <c r="AC525" s="146"/>
      <c r="AD525" s="146"/>
      <c r="AE525" s="146"/>
      <c r="AF525" s="146"/>
      <c r="AG525" s="146"/>
    </row>
    <row r="526" spans="1:33" ht="12.75">
      <c r="A526" s="148"/>
      <c r="B526" s="146"/>
      <c r="C526" s="146"/>
      <c r="D526" s="146"/>
      <c r="E526" s="146"/>
      <c r="F526" s="146"/>
      <c r="G526" s="146"/>
      <c r="H526" s="146"/>
      <c r="I526" s="146"/>
      <c r="J526" s="146"/>
      <c r="K526" s="146"/>
      <c r="L526" s="146"/>
      <c r="M526" s="146"/>
      <c r="N526" s="146"/>
      <c r="O526" s="146"/>
      <c r="P526" s="146"/>
      <c r="Q526" s="146"/>
      <c r="R526" s="146"/>
      <c r="S526" s="146"/>
      <c r="T526" s="146"/>
      <c r="U526" s="146"/>
      <c r="V526" s="146"/>
      <c r="W526" s="146"/>
      <c r="X526" s="146"/>
      <c r="Y526" s="146"/>
      <c r="Z526" s="146"/>
      <c r="AA526" s="146"/>
      <c r="AB526" s="146"/>
      <c r="AC526" s="146"/>
      <c r="AD526" s="146"/>
      <c r="AE526" s="146"/>
      <c r="AF526" s="146"/>
      <c r="AG526" s="146"/>
    </row>
    <row r="527" spans="1:33" ht="12.75">
      <c r="A527" s="148"/>
      <c r="B527" s="146"/>
      <c r="C527" s="146"/>
      <c r="D527" s="146"/>
      <c r="E527" s="146"/>
      <c r="F527" s="146"/>
      <c r="G527" s="146"/>
      <c r="H527" s="146"/>
      <c r="I527" s="146"/>
      <c r="J527" s="146"/>
      <c r="K527" s="146"/>
      <c r="L527" s="146"/>
      <c r="M527" s="146"/>
      <c r="N527" s="146"/>
      <c r="O527" s="146"/>
      <c r="P527" s="146"/>
      <c r="Q527" s="146"/>
      <c r="R527" s="146"/>
      <c r="S527" s="146"/>
      <c r="T527" s="146"/>
      <c r="U527" s="146"/>
      <c r="V527" s="146"/>
      <c r="W527" s="146"/>
      <c r="X527" s="146"/>
      <c r="Y527" s="146"/>
      <c r="Z527" s="146"/>
      <c r="AA527" s="146"/>
      <c r="AB527" s="146"/>
      <c r="AC527" s="146"/>
      <c r="AD527" s="146"/>
      <c r="AE527" s="146"/>
      <c r="AF527" s="146"/>
      <c r="AG527" s="146"/>
    </row>
    <row r="528" spans="1:33" ht="12.75">
      <c r="A528" s="148"/>
      <c r="B528" s="146"/>
      <c r="C528" s="146"/>
      <c r="D528" s="146"/>
      <c r="E528" s="146"/>
      <c r="F528" s="146"/>
      <c r="G528" s="146"/>
      <c r="H528" s="146"/>
      <c r="I528" s="146"/>
      <c r="J528" s="146"/>
      <c r="K528" s="146"/>
      <c r="L528" s="146"/>
      <c r="M528" s="146"/>
      <c r="N528" s="146"/>
      <c r="O528" s="146"/>
      <c r="P528" s="146"/>
      <c r="Q528" s="146"/>
      <c r="R528" s="146"/>
      <c r="S528" s="146"/>
      <c r="T528" s="146"/>
      <c r="U528" s="146"/>
      <c r="V528" s="146"/>
      <c r="W528" s="146"/>
      <c r="X528" s="146"/>
      <c r="Y528" s="146"/>
      <c r="Z528" s="146"/>
      <c r="AA528" s="146"/>
      <c r="AB528" s="146"/>
      <c r="AC528" s="146"/>
      <c r="AD528" s="146"/>
      <c r="AE528" s="146"/>
      <c r="AF528" s="146"/>
      <c r="AG528" s="146"/>
    </row>
    <row r="529" spans="1:33" ht="12.75">
      <c r="A529" s="148"/>
      <c r="B529" s="146"/>
      <c r="C529" s="146"/>
      <c r="D529" s="146"/>
      <c r="E529" s="146"/>
      <c r="F529" s="146"/>
      <c r="G529" s="146"/>
      <c r="H529" s="146"/>
      <c r="I529" s="146"/>
      <c r="J529" s="146"/>
      <c r="K529" s="146"/>
      <c r="L529" s="146"/>
      <c r="M529" s="146"/>
      <c r="N529" s="146"/>
      <c r="O529" s="146"/>
      <c r="P529" s="146"/>
      <c r="Q529" s="146"/>
      <c r="R529" s="146"/>
      <c r="S529" s="146"/>
      <c r="T529" s="146"/>
      <c r="U529" s="146"/>
      <c r="V529" s="146"/>
      <c r="W529" s="146"/>
      <c r="X529" s="146"/>
      <c r="Y529" s="146"/>
      <c r="Z529" s="146"/>
      <c r="AA529" s="146"/>
      <c r="AB529" s="146"/>
      <c r="AC529" s="146"/>
      <c r="AD529" s="146"/>
      <c r="AE529" s="146"/>
      <c r="AF529" s="146"/>
      <c r="AG529" s="146"/>
    </row>
    <row r="530" spans="1:33" ht="12.75">
      <c r="A530" s="148"/>
      <c r="B530" s="146"/>
      <c r="C530" s="146"/>
      <c r="D530" s="146"/>
      <c r="E530" s="146"/>
      <c r="F530" s="146"/>
      <c r="G530" s="146"/>
      <c r="H530" s="146"/>
      <c r="I530" s="146"/>
      <c r="J530" s="146"/>
      <c r="K530" s="146"/>
      <c r="L530" s="146"/>
      <c r="M530" s="146"/>
      <c r="N530" s="146"/>
      <c r="O530" s="146"/>
      <c r="P530" s="146"/>
      <c r="Q530" s="146"/>
      <c r="R530" s="146"/>
      <c r="S530" s="146"/>
      <c r="T530" s="146"/>
      <c r="U530" s="146"/>
      <c r="V530" s="146"/>
      <c r="W530" s="146"/>
      <c r="X530" s="146"/>
      <c r="Y530" s="146"/>
      <c r="Z530" s="146"/>
      <c r="AA530" s="146"/>
      <c r="AB530" s="146"/>
      <c r="AC530" s="146"/>
      <c r="AD530" s="146"/>
      <c r="AE530" s="146"/>
      <c r="AF530" s="146"/>
      <c r="AG530" s="146"/>
    </row>
    <row r="531" spans="1:33" ht="12.75">
      <c r="A531" s="148"/>
      <c r="B531" s="146"/>
      <c r="C531" s="146"/>
      <c r="D531" s="146"/>
      <c r="E531" s="146"/>
      <c r="F531" s="146"/>
      <c r="G531" s="146"/>
      <c r="H531" s="146"/>
      <c r="I531" s="146"/>
      <c r="J531" s="146"/>
      <c r="K531" s="146"/>
      <c r="L531" s="146"/>
      <c r="M531" s="146"/>
      <c r="N531" s="146"/>
      <c r="O531" s="146"/>
      <c r="P531" s="146"/>
      <c r="Q531" s="146"/>
      <c r="R531" s="146"/>
      <c r="S531" s="146"/>
      <c r="T531" s="146"/>
      <c r="U531" s="146"/>
      <c r="V531" s="146"/>
      <c r="W531" s="146"/>
      <c r="X531" s="146"/>
      <c r="Y531" s="146"/>
      <c r="Z531" s="146"/>
      <c r="AA531" s="146"/>
      <c r="AB531" s="146"/>
      <c r="AC531" s="146"/>
      <c r="AD531" s="146"/>
      <c r="AE531" s="146"/>
      <c r="AF531" s="146"/>
      <c r="AG531" s="146"/>
    </row>
    <row r="532" spans="1:33" ht="12.75">
      <c r="A532" s="148"/>
      <c r="B532" s="146"/>
      <c r="C532" s="146"/>
      <c r="D532" s="146"/>
      <c r="E532" s="146"/>
      <c r="F532" s="146"/>
      <c r="G532" s="146"/>
      <c r="H532" s="146"/>
      <c r="I532" s="146"/>
      <c r="J532" s="146"/>
      <c r="K532" s="146"/>
      <c r="L532" s="146"/>
      <c r="M532" s="146"/>
      <c r="N532" s="146"/>
      <c r="O532" s="146"/>
      <c r="P532" s="146"/>
      <c r="Q532" s="146"/>
      <c r="R532" s="146"/>
      <c r="S532" s="146"/>
      <c r="T532" s="146"/>
      <c r="U532" s="146"/>
      <c r="V532" s="146"/>
      <c r="W532" s="146"/>
      <c r="X532" s="146"/>
      <c r="Y532" s="146"/>
      <c r="Z532" s="146"/>
      <c r="AA532" s="146"/>
      <c r="AB532" s="146"/>
      <c r="AC532" s="146"/>
      <c r="AD532" s="146"/>
      <c r="AE532" s="146"/>
      <c r="AF532" s="146"/>
      <c r="AG532" s="146"/>
    </row>
    <row r="533" spans="1:33" ht="12.75">
      <c r="A533" s="148"/>
      <c r="B533" s="146"/>
      <c r="C533" s="146"/>
      <c r="D533" s="146"/>
      <c r="E533" s="146"/>
      <c r="F533" s="146"/>
      <c r="G533" s="146"/>
      <c r="H533" s="146"/>
      <c r="I533" s="146"/>
      <c r="J533" s="146"/>
      <c r="K533" s="146"/>
      <c r="L533" s="146"/>
      <c r="M533" s="146"/>
      <c r="N533" s="146"/>
      <c r="O533" s="146"/>
      <c r="P533" s="146"/>
      <c r="Q533" s="146"/>
      <c r="R533" s="146"/>
      <c r="S533" s="146"/>
      <c r="T533" s="146"/>
      <c r="U533" s="146"/>
      <c r="V533" s="146"/>
      <c r="W533" s="146"/>
      <c r="X533" s="146"/>
      <c r="Y533" s="146"/>
      <c r="Z533" s="146"/>
      <c r="AA533" s="146"/>
      <c r="AB533" s="146"/>
      <c r="AC533" s="146"/>
      <c r="AD533" s="146"/>
      <c r="AE533" s="146"/>
      <c r="AF533" s="146"/>
      <c r="AG533" s="146"/>
    </row>
    <row r="534" spans="1:33" ht="12.75">
      <c r="A534" s="148"/>
      <c r="B534" s="146"/>
      <c r="C534" s="146"/>
      <c r="D534" s="146"/>
      <c r="E534" s="146"/>
      <c r="F534" s="146"/>
      <c r="G534" s="146"/>
      <c r="H534" s="146"/>
      <c r="I534" s="146"/>
      <c r="J534" s="146"/>
      <c r="K534" s="146"/>
      <c r="L534" s="146"/>
      <c r="M534" s="146"/>
      <c r="N534" s="146"/>
      <c r="O534" s="146"/>
      <c r="P534" s="146"/>
      <c r="Q534" s="146"/>
      <c r="R534" s="146"/>
      <c r="S534" s="146"/>
      <c r="T534" s="146"/>
      <c r="U534" s="146"/>
      <c r="V534" s="146"/>
      <c r="W534" s="146"/>
      <c r="X534" s="146"/>
      <c r="Y534" s="146"/>
      <c r="Z534" s="146"/>
      <c r="AA534" s="146"/>
      <c r="AB534" s="146"/>
      <c r="AC534" s="146"/>
      <c r="AD534" s="146"/>
      <c r="AE534" s="146"/>
      <c r="AF534" s="146"/>
      <c r="AG534" s="146"/>
    </row>
    <row r="535" spans="1:33" ht="12.75">
      <c r="A535" s="148"/>
      <c r="B535" s="146"/>
      <c r="C535" s="146"/>
      <c r="D535" s="146"/>
      <c r="E535" s="146"/>
      <c r="F535" s="146"/>
      <c r="G535" s="146"/>
      <c r="H535" s="146"/>
      <c r="I535" s="146"/>
      <c r="J535" s="146"/>
      <c r="K535" s="146"/>
      <c r="L535" s="146"/>
      <c r="M535" s="146"/>
      <c r="N535" s="146"/>
      <c r="O535" s="146"/>
      <c r="P535" s="146"/>
      <c r="Q535" s="146"/>
      <c r="R535" s="146"/>
      <c r="S535" s="146"/>
      <c r="T535" s="146"/>
      <c r="U535" s="146"/>
      <c r="V535" s="146"/>
      <c r="W535" s="146"/>
      <c r="X535" s="146"/>
      <c r="Y535" s="146"/>
      <c r="Z535" s="146"/>
      <c r="AA535" s="146"/>
      <c r="AB535" s="146"/>
      <c r="AC535" s="146"/>
      <c r="AD535" s="146"/>
      <c r="AE535" s="146"/>
      <c r="AF535" s="146"/>
      <c r="AG535" s="146"/>
    </row>
    <row r="536" spans="1:33" ht="12.75">
      <c r="A536" s="148"/>
      <c r="B536" s="146"/>
      <c r="C536" s="146"/>
      <c r="D536" s="146"/>
      <c r="E536" s="146"/>
      <c r="F536" s="146"/>
      <c r="G536" s="146"/>
      <c r="H536" s="146"/>
      <c r="I536" s="146"/>
      <c r="J536" s="146"/>
      <c r="K536" s="146"/>
      <c r="L536" s="146"/>
      <c r="M536" s="146"/>
      <c r="N536" s="146"/>
      <c r="O536" s="146"/>
      <c r="P536" s="146"/>
      <c r="Q536" s="146"/>
      <c r="R536" s="146"/>
      <c r="S536" s="146"/>
      <c r="T536" s="146"/>
      <c r="U536" s="146"/>
      <c r="V536" s="146"/>
      <c r="W536" s="146"/>
      <c r="X536" s="146"/>
      <c r="Y536" s="146"/>
      <c r="Z536" s="146"/>
      <c r="AA536" s="146"/>
      <c r="AB536" s="146"/>
      <c r="AC536" s="146"/>
      <c r="AD536" s="146"/>
      <c r="AE536" s="146"/>
      <c r="AF536" s="146"/>
      <c r="AG536" s="146"/>
    </row>
    <row r="537" spans="1:33" ht="12.75">
      <c r="A537" s="148"/>
      <c r="B537" s="146"/>
      <c r="C537" s="146"/>
      <c r="D537" s="146"/>
      <c r="E537" s="146"/>
      <c r="F537" s="146"/>
      <c r="G537" s="146"/>
      <c r="H537" s="146"/>
      <c r="I537" s="146"/>
      <c r="J537" s="146"/>
      <c r="K537" s="146"/>
      <c r="L537" s="146"/>
      <c r="M537" s="146"/>
      <c r="N537" s="146"/>
      <c r="O537" s="146"/>
      <c r="P537" s="146"/>
      <c r="Q537" s="146"/>
      <c r="R537" s="146"/>
      <c r="S537" s="146"/>
      <c r="T537" s="146"/>
      <c r="U537" s="146"/>
      <c r="V537" s="146"/>
      <c r="W537" s="146"/>
      <c r="X537" s="146"/>
      <c r="Y537" s="146"/>
      <c r="Z537" s="146"/>
      <c r="AA537" s="146"/>
      <c r="AB537" s="146"/>
      <c r="AC537" s="146"/>
      <c r="AD537" s="146"/>
      <c r="AE537" s="146"/>
      <c r="AF537" s="146"/>
      <c r="AG537" s="146"/>
    </row>
    <row r="538" spans="1:33" ht="12.75">
      <c r="A538" s="148"/>
      <c r="B538" s="146"/>
      <c r="C538" s="146"/>
      <c r="D538" s="146"/>
      <c r="E538" s="146"/>
      <c r="F538" s="146"/>
      <c r="G538" s="146"/>
      <c r="H538" s="146"/>
      <c r="I538" s="146"/>
      <c r="J538" s="146"/>
      <c r="K538" s="146"/>
      <c r="L538" s="146"/>
      <c r="M538" s="146"/>
      <c r="N538" s="146"/>
      <c r="O538" s="146"/>
      <c r="P538" s="146"/>
      <c r="Q538" s="146"/>
      <c r="R538" s="146"/>
      <c r="S538" s="146"/>
      <c r="T538" s="146"/>
      <c r="U538" s="146"/>
      <c r="V538" s="146"/>
      <c r="W538" s="146"/>
      <c r="X538" s="146"/>
      <c r="Y538" s="146"/>
      <c r="Z538" s="146"/>
      <c r="AA538" s="146"/>
      <c r="AB538" s="146"/>
      <c r="AC538" s="146"/>
      <c r="AD538" s="146"/>
      <c r="AE538" s="146"/>
      <c r="AF538" s="146"/>
      <c r="AG538" s="146"/>
    </row>
    <row r="539" spans="1:33" ht="12.75">
      <c r="A539" s="148"/>
      <c r="B539" s="146"/>
      <c r="C539" s="146"/>
      <c r="D539" s="146"/>
      <c r="E539" s="146"/>
      <c r="F539" s="146"/>
      <c r="G539" s="146"/>
      <c r="H539" s="146"/>
      <c r="I539" s="146"/>
      <c r="J539" s="146"/>
      <c r="K539" s="146"/>
      <c r="L539" s="146"/>
      <c r="M539" s="146"/>
      <c r="N539" s="146"/>
      <c r="O539" s="146"/>
      <c r="P539" s="146"/>
      <c r="Q539" s="146"/>
      <c r="R539" s="146"/>
      <c r="S539" s="146"/>
      <c r="T539" s="146"/>
      <c r="U539" s="146"/>
      <c r="V539" s="146"/>
      <c r="W539" s="146"/>
      <c r="X539" s="146"/>
      <c r="Y539" s="146"/>
      <c r="Z539" s="146"/>
      <c r="AA539" s="146"/>
      <c r="AB539" s="146"/>
      <c r="AC539" s="146"/>
      <c r="AD539" s="146"/>
      <c r="AE539" s="146"/>
      <c r="AF539" s="146"/>
      <c r="AG539" s="146"/>
    </row>
    <row r="540" spans="1:33" ht="12.75">
      <c r="A540" s="148"/>
      <c r="B540" s="146"/>
      <c r="C540" s="146"/>
      <c r="D540" s="146"/>
      <c r="E540" s="146"/>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c r="AB540" s="146"/>
      <c r="AC540" s="146"/>
      <c r="AD540" s="146"/>
      <c r="AE540" s="146"/>
      <c r="AF540" s="146"/>
      <c r="AG540" s="146"/>
    </row>
    <row r="541" spans="1:33" ht="12.75">
      <c r="A541" s="148"/>
      <c r="B541" s="146"/>
      <c r="C541" s="146"/>
      <c r="D541" s="146"/>
      <c r="E541" s="146"/>
      <c r="F541" s="146"/>
      <c r="G541" s="146"/>
      <c r="H541" s="146"/>
      <c r="I541" s="146"/>
      <c r="J541" s="146"/>
      <c r="K541" s="146"/>
      <c r="L541" s="146"/>
      <c r="M541" s="146"/>
      <c r="N541" s="146"/>
      <c r="O541" s="146"/>
      <c r="P541" s="146"/>
      <c r="Q541" s="146"/>
      <c r="R541" s="146"/>
      <c r="S541" s="146"/>
      <c r="T541" s="146"/>
      <c r="U541" s="146"/>
      <c r="V541" s="146"/>
      <c r="W541" s="146"/>
      <c r="X541" s="146"/>
      <c r="Y541" s="146"/>
      <c r="Z541" s="146"/>
      <c r="AA541" s="146"/>
      <c r="AB541" s="146"/>
      <c r="AC541" s="146"/>
      <c r="AD541" s="146"/>
      <c r="AE541" s="146"/>
      <c r="AF541" s="146"/>
      <c r="AG541" s="146"/>
    </row>
    <row r="542" spans="1:33" ht="12.75">
      <c r="A542" s="148"/>
      <c r="B542" s="146"/>
      <c r="C542" s="146"/>
      <c r="D542" s="146"/>
      <c r="E542" s="146"/>
      <c r="F542" s="146"/>
      <c r="G542" s="146"/>
      <c r="H542" s="146"/>
      <c r="I542" s="146"/>
      <c r="J542" s="146"/>
      <c r="K542" s="146"/>
      <c r="L542" s="146"/>
      <c r="M542" s="146"/>
      <c r="N542" s="146"/>
      <c r="O542" s="146"/>
      <c r="P542" s="146"/>
      <c r="Q542" s="146"/>
      <c r="R542" s="146"/>
      <c r="S542" s="146"/>
      <c r="T542" s="146"/>
      <c r="U542" s="146"/>
      <c r="V542" s="146"/>
      <c r="W542" s="146"/>
      <c r="X542" s="146"/>
      <c r="Y542" s="146"/>
      <c r="Z542" s="146"/>
      <c r="AA542" s="146"/>
      <c r="AB542" s="146"/>
      <c r="AC542" s="146"/>
      <c r="AD542" s="146"/>
      <c r="AE542" s="146"/>
      <c r="AF542" s="146"/>
      <c r="AG542" s="146"/>
    </row>
    <row r="543" spans="1:33" ht="12.75">
      <c r="A543" s="148"/>
      <c r="B543" s="146"/>
      <c r="C543" s="146"/>
      <c r="D543" s="146"/>
      <c r="E543" s="146"/>
      <c r="F543" s="146"/>
      <c r="G543" s="146"/>
      <c r="H543" s="146"/>
      <c r="I543" s="146"/>
      <c r="J543" s="146"/>
      <c r="K543" s="146"/>
      <c r="L543" s="146"/>
      <c r="M543" s="146"/>
      <c r="N543" s="146"/>
      <c r="O543" s="146"/>
      <c r="P543" s="146"/>
      <c r="Q543" s="146"/>
      <c r="R543" s="146"/>
      <c r="S543" s="146"/>
      <c r="T543" s="146"/>
      <c r="U543" s="146"/>
      <c r="V543" s="146"/>
      <c r="W543" s="146"/>
      <c r="X543" s="146"/>
      <c r="Y543" s="146"/>
      <c r="Z543" s="146"/>
      <c r="AA543" s="146"/>
      <c r="AB543" s="146"/>
      <c r="AC543" s="146"/>
      <c r="AD543" s="146"/>
      <c r="AE543" s="146"/>
      <c r="AF543" s="146"/>
      <c r="AG543" s="146"/>
    </row>
    <row r="544" spans="1:33" ht="12.75">
      <c r="A544" s="148"/>
      <c r="B544" s="146"/>
      <c r="C544" s="146"/>
      <c r="D544" s="146"/>
      <c r="E544" s="146"/>
      <c r="F544" s="146"/>
      <c r="G544" s="146"/>
      <c r="H544" s="146"/>
      <c r="I544" s="146"/>
      <c r="J544" s="146"/>
      <c r="K544" s="146"/>
      <c r="L544" s="146"/>
      <c r="M544" s="146"/>
      <c r="N544" s="146"/>
      <c r="O544" s="146"/>
      <c r="P544" s="146"/>
      <c r="Q544" s="146"/>
      <c r="R544" s="146"/>
      <c r="S544" s="146"/>
      <c r="T544" s="146"/>
      <c r="U544" s="146"/>
      <c r="V544" s="146"/>
      <c r="W544" s="146"/>
      <c r="X544" s="146"/>
      <c r="Y544" s="146"/>
      <c r="Z544" s="146"/>
      <c r="AA544" s="146"/>
      <c r="AB544" s="146"/>
      <c r="AC544" s="146"/>
      <c r="AD544" s="146"/>
      <c r="AE544" s="146"/>
      <c r="AF544" s="146"/>
      <c r="AG544" s="146"/>
    </row>
    <row r="545" spans="1:33" ht="12.75">
      <c r="A545" s="148"/>
      <c r="B545" s="146"/>
      <c r="C545" s="146"/>
      <c r="D545" s="146"/>
      <c r="E545" s="146"/>
      <c r="F545" s="146"/>
      <c r="G545" s="146"/>
      <c r="H545" s="146"/>
      <c r="I545" s="146"/>
      <c r="J545" s="146"/>
      <c r="K545" s="146"/>
      <c r="L545" s="146"/>
      <c r="M545" s="146"/>
      <c r="N545" s="146"/>
      <c r="O545" s="146"/>
      <c r="P545" s="146"/>
      <c r="Q545" s="146"/>
      <c r="R545" s="146"/>
      <c r="S545" s="146"/>
      <c r="T545" s="146"/>
      <c r="U545" s="146"/>
      <c r="V545" s="146"/>
      <c r="W545" s="146"/>
      <c r="X545" s="146"/>
      <c r="Y545" s="146"/>
      <c r="Z545" s="146"/>
      <c r="AA545" s="146"/>
      <c r="AB545" s="146"/>
      <c r="AC545" s="146"/>
      <c r="AD545" s="146"/>
      <c r="AE545" s="146"/>
      <c r="AF545" s="146"/>
      <c r="AG545" s="146"/>
    </row>
    <row r="546" spans="1:33" ht="12.75">
      <c r="A546" s="148"/>
      <c r="B546" s="146"/>
      <c r="C546" s="146"/>
      <c r="D546" s="146"/>
      <c r="E546" s="146"/>
      <c r="F546" s="146"/>
      <c r="G546" s="146"/>
      <c r="H546" s="146"/>
      <c r="I546" s="146"/>
      <c r="J546" s="146"/>
      <c r="K546" s="146"/>
      <c r="L546" s="146"/>
      <c r="M546" s="146"/>
      <c r="N546" s="146"/>
      <c r="O546" s="146"/>
      <c r="P546" s="146"/>
      <c r="Q546" s="146"/>
      <c r="R546" s="146"/>
      <c r="S546" s="146"/>
      <c r="T546" s="146"/>
      <c r="U546" s="146"/>
      <c r="V546" s="146"/>
      <c r="W546" s="146"/>
      <c r="X546" s="146"/>
      <c r="Y546" s="146"/>
      <c r="Z546" s="146"/>
      <c r="AA546" s="146"/>
      <c r="AB546" s="146"/>
      <c r="AC546" s="146"/>
      <c r="AD546" s="146"/>
      <c r="AE546" s="146"/>
      <c r="AF546" s="146"/>
      <c r="AG546" s="146"/>
    </row>
    <row r="547" spans="1:33" ht="12.75">
      <c r="A547" s="148"/>
      <c r="B547" s="146"/>
      <c r="C547" s="146"/>
      <c r="D547" s="146"/>
      <c r="E547" s="146"/>
      <c r="F547" s="146"/>
      <c r="G547" s="146"/>
      <c r="H547" s="146"/>
      <c r="I547" s="146"/>
      <c r="J547" s="146"/>
      <c r="K547" s="146"/>
      <c r="L547" s="146"/>
      <c r="M547" s="146"/>
      <c r="N547" s="146"/>
      <c r="O547" s="146"/>
      <c r="P547" s="146"/>
      <c r="Q547" s="146"/>
      <c r="R547" s="146"/>
      <c r="S547" s="146"/>
      <c r="T547" s="146"/>
      <c r="U547" s="146"/>
      <c r="V547" s="146"/>
      <c r="W547" s="146"/>
      <c r="X547" s="146"/>
      <c r="Y547" s="146"/>
      <c r="Z547" s="146"/>
      <c r="AA547" s="146"/>
      <c r="AB547" s="146"/>
      <c r="AC547" s="146"/>
      <c r="AD547" s="146"/>
      <c r="AE547" s="146"/>
      <c r="AF547" s="146"/>
      <c r="AG547" s="146"/>
    </row>
    <row r="548" spans="1:33" ht="12.75">
      <c r="A548" s="148"/>
      <c r="B548" s="146"/>
      <c r="C548" s="146"/>
      <c r="D548" s="146"/>
      <c r="E548" s="146"/>
      <c r="F548" s="146"/>
      <c r="G548" s="146"/>
      <c r="H548" s="146"/>
      <c r="I548" s="146"/>
      <c r="J548" s="146"/>
      <c r="K548" s="146"/>
      <c r="L548" s="146"/>
      <c r="M548" s="146"/>
      <c r="N548" s="146"/>
      <c r="O548" s="146"/>
      <c r="P548" s="146"/>
      <c r="Q548" s="146"/>
      <c r="R548" s="146"/>
      <c r="S548" s="146"/>
      <c r="T548" s="146"/>
      <c r="U548" s="146"/>
      <c r="V548" s="146"/>
      <c r="W548" s="146"/>
      <c r="X548" s="146"/>
      <c r="Y548" s="146"/>
      <c r="Z548" s="146"/>
      <c r="AA548" s="146"/>
      <c r="AB548" s="146"/>
      <c r="AC548" s="146"/>
      <c r="AD548" s="146"/>
      <c r="AE548" s="146"/>
      <c r="AF548" s="146"/>
      <c r="AG548" s="146"/>
    </row>
    <row r="549" spans="1:33" ht="12.75">
      <c r="A549" s="148"/>
      <c r="B549" s="146"/>
      <c r="C549" s="146"/>
      <c r="D549" s="146"/>
      <c r="E549" s="146"/>
      <c r="F549" s="146"/>
      <c r="G549" s="146"/>
      <c r="H549" s="146"/>
      <c r="I549" s="146"/>
      <c r="J549" s="146"/>
      <c r="K549" s="146"/>
      <c r="L549" s="146"/>
      <c r="M549" s="146"/>
      <c r="N549" s="146"/>
      <c r="O549" s="146"/>
      <c r="P549" s="146"/>
      <c r="Q549" s="146"/>
      <c r="R549" s="146"/>
      <c r="S549" s="146"/>
      <c r="T549" s="146"/>
      <c r="U549" s="146"/>
      <c r="V549" s="146"/>
      <c r="W549" s="146"/>
      <c r="X549" s="146"/>
      <c r="Y549" s="146"/>
      <c r="Z549" s="146"/>
      <c r="AA549" s="146"/>
      <c r="AB549" s="146"/>
      <c r="AC549" s="146"/>
      <c r="AD549" s="146"/>
      <c r="AE549" s="146"/>
      <c r="AF549" s="146"/>
      <c r="AG549" s="146"/>
    </row>
    <row r="550" spans="1:33" ht="12.75">
      <c r="A550" s="148"/>
      <c r="B550" s="146"/>
      <c r="C550" s="146"/>
      <c r="D550" s="146"/>
      <c r="E550" s="146"/>
      <c r="F550" s="146"/>
      <c r="G550" s="146"/>
      <c r="H550" s="146"/>
      <c r="I550" s="146"/>
      <c r="J550" s="146"/>
      <c r="K550" s="146"/>
      <c r="L550" s="146"/>
      <c r="M550" s="146"/>
      <c r="N550" s="146"/>
      <c r="O550" s="146"/>
      <c r="P550" s="146"/>
      <c r="Q550" s="146"/>
      <c r="R550" s="146"/>
      <c r="S550" s="146"/>
      <c r="T550" s="146"/>
      <c r="U550" s="146"/>
      <c r="V550" s="146"/>
      <c r="W550" s="146"/>
      <c r="X550" s="146"/>
      <c r="Y550" s="146"/>
      <c r="Z550" s="146"/>
      <c r="AA550" s="146"/>
      <c r="AB550" s="146"/>
      <c r="AC550" s="146"/>
      <c r="AD550" s="146"/>
      <c r="AE550" s="146"/>
      <c r="AF550" s="146"/>
      <c r="AG550" s="146"/>
    </row>
    <row r="551" spans="1:33" ht="12.75">
      <c r="A551" s="148"/>
      <c r="B551" s="146"/>
      <c r="C551" s="146"/>
      <c r="D551" s="146"/>
      <c r="E551" s="146"/>
      <c r="F551" s="146"/>
      <c r="G551" s="146"/>
      <c r="H551" s="146"/>
      <c r="I551" s="146"/>
      <c r="J551" s="146"/>
      <c r="K551" s="146"/>
      <c r="L551" s="146"/>
      <c r="M551" s="146"/>
      <c r="N551" s="146"/>
      <c r="O551" s="146"/>
      <c r="P551" s="146"/>
      <c r="Q551" s="146"/>
      <c r="R551" s="146"/>
      <c r="S551" s="146"/>
      <c r="T551" s="146"/>
      <c r="U551" s="146"/>
      <c r="V551" s="146"/>
      <c r="W551" s="146"/>
      <c r="X551" s="146"/>
      <c r="Y551" s="146"/>
      <c r="Z551" s="146"/>
      <c r="AA551" s="146"/>
      <c r="AB551" s="146"/>
      <c r="AC551" s="146"/>
      <c r="AD551" s="146"/>
      <c r="AE551" s="146"/>
      <c r="AF551" s="146"/>
      <c r="AG551" s="146"/>
    </row>
    <row r="552" spans="1:33" ht="12.75">
      <c r="A552" s="148"/>
      <c r="B552" s="146"/>
      <c r="C552" s="146"/>
      <c r="D552" s="146"/>
      <c r="E552" s="146"/>
      <c r="F552" s="146"/>
      <c r="G552" s="146"/>
      <c r="H552" s="146"/>
      <c r="I552" s="146"/>
      <c r="J552" s="146"/>
      <c r="K552" s="146"/>
      <c r="L552" s="146"/>
      <c r="M552" s="146"/>
      <c r="N552" s="146"/>
      <c r="O552" s="146"/>
      <c r="P552" s="146"/>
      <c r="Q552" s="146"/>
      <c r="R552" s="146"/>
      <c r="S552" s="146"/>
      <c r="T552" s="146"/>
      <c r="U552" s="146"/>
      <c r="V552" s="146"/>
      <c r="W552" s="146"/>
      <c r="X552" s="146"/>
      <c r="Y552" s="146"/>
      <c r="Z552" s="146"/>
      <c r="AA552" s="146"/>
      <c r="AB552" s="146"/>
      <c r="AC552" s="146"/>
      <c r="AD552" s="146"/>
      <c r="AE552" s="146"/>
      <c r="AF552" s="146"/>
      <c r="AG552" s="146"/>
    </row>
    <row r="553" spans="1:33" ht="12.75">
      <c r="A553" s="148"/>
      <c r="B553" s="146"/>
      <c r="C553" s="146"/>
      <c r="D553" s="146"/>
      <c r="E553" s="146"/>
      <c r="F553" s="146"/>
      <c r="G553" s="146"/>
      <c r="H553" s="146"/>
      <c r="I553" s="146"/>
      <c r="J553" s="146"/>
      <c r="K553" s="146"/>
      <c r="L553" s="146"/>
      <c r="M553" s="146"/>
      <c r="N553" s="146"/>
      <c r="O553" s="146"/>
      <c r="P553" s="146"/>
      <c r="Q553" s="146"/>
      <c r="R553" s="146"/>
      <c r="S553" s="146"/>
      <c r="T553" s="146"/>
      <c r="U553" s="146"/>
      <c r="V553" s="146"/>
      <c r="W553" s="146"/>
      <c r="X553" s="146"/>
      <c r="Y553" s="146"/>
      <c r="Z553" s="146"/>
      <c r="AA553" s="146"/>
      <c r="AB553" s="146"/>
      <c r="AC553" s="146"/>
      <c r="AD553" s="146"/>
      <c r="AE553" s="146"/>
      <c r="AF553" s="146"/>
      <c r="AG553" s="146"/>
    </row>
    <row r="554" spans="1:33" ht="12.75">
      <c r="A554" s="148"/>
      <c r="B554" s="146"/>
      <c r="C554" s="146"/>
      <c r="D554" s="146"/>
      <c r="E554" s="146"/>
      <c r="F554" s="146"/>
      <c r="G554" s="146"/>
      <c r="H554" s="146"/>
      <c r="I554" s="146"/>
      <c r="J554" s="146"/>
      <c r="K554" s="146"/>
      <c r="L554" s="146"/>
      <c r="M554" s="146"/>
      <c r="N554" s="146"/>
      <c r="O554" s="146"/>
      <c r="P554" s="146"/>
      <c r="Q554" s="146"/>
      <c r="R554" s="146"/>
      <c r="S554" s="146"/>
      <c r="T554" s="146"/>
      <c r="U554" s="146"/>
      <c r="V554" s="146"/>
      <c r="W554" s="146"/>
      <c r="X554" s="146"/>
      <c r="Y554" s="146"/>
      <c r="Z554" s="146"/>
      <c r="AA554" s="146"/>
      <c r="AB554" s="146"/>
      <c r="AC554" s="146"/>
      <c r="AD554" s="146"/>
      <c r="AE554" s="146"/>
      <c r="AF554" s="146"/>
      <c r="AG554" s="146"/>
    </row>
    <row r="555" spans="1:33" ht="12.75">
      <c r="A555" s="148"/>
      <c r="B555" s="146"/>
      <c r="C555" s="146"/>
      <c r="D555" s="146"/>
      <c r="E555" s="146"/>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c r="AB555" s="146"/>
      <c r="AC555" s="146"/>
      <c r="AD555" s="146"/>
      <c r="AE555" s="146"/>
      <c r="AF555" s="146"/>
      <c r="AG555" s="146"/>
    </row>
    <row r="556" spans="1:33" ht="12.75">
      <c r="A556" s="148"/>
      <c r="B556" s="146"/>
      <c r="C556" s="146"/>
      <c r="D556" s="146"/>
      <c r="E556" s="146"/>
      <c r="F556" s="146"/>
      <c r="G556" s="146"/>
      <c r="H556" s="146"/>
      <c r="I556" s="146"/>
      <c r="J556" s="146"/>
      <c r="K556" s="146"/>
      <c r="L556" s="146"/>
      <c r="M556" s="146"/>
      <c r="N556" s="146"/>
      <c r="O556" s="146"/>
      <c r="P556" s="146"/>
      <c r="Q556" s="146"/>
      <c r="R556" s="146"/>
      <c r="S556" s="146"/>
      <c r="T556" s="146"/>
      <c r="U556" s="146"/>
      <c r="V556" s="146"/>
      <c r="W556" s="146"/>
      <c r="X556" s="146"/>
      <c r="Y556" s="146"/>
      <c r="Z556" s="146"/>
      <c r="AA556" s="146"/>
      <c r="AB556" s="146"/>
      <c r="AC556" s="146"/>
      <c r="AD556" s="146"/>
      <c r="AE556" s="146"/>
      <c r="AF556" s="146"/>
      <c r="AG556" s="146"/>
    </row>
    <row r="557" spans="1:33" ht="12.75">
      <c r="A557" s="148"/>
      <c r="B557" s="146"/>
      <c r="C557" s="146"/>
      <c r="D557" s="146"/>
      <c r="E557" s="146"/>
      <c r="F557" s="146"/>
      <c r="G557" s="146"/>
      <c r="H557" s="146"/>
      <c r="I557" s="146"/>
      <c r="J557" s="146"/>
      <c r="K557" s="146"/>
      <c r="L557" s="146"/>
      <c r="M557" s="146"/>
      <c r="N557" s="146"/>
      <c r="O557" s="146"/>
      <c r="P557" s="146"/>
      <c r="Q557" s="146"/>
      <c r="R557" s="146"/>
      <c r="S557" s="146"/>
      <c r="T557" s="146"/>
      <c r="U557" s="146"/>
      <c r="V557" s="146"/>
      <c r="W557" s="146"/>
      <c r="X557" s="146"/>
      <c r="Y557" s="146"/>
      <c r="Z557" s="146"/>
      <c r="AA557" s="146"/>
      <c r="AB557" s="146"/>
      <c r="AC557" s="146"/>
      <c r="AD557" s="146"/>
      <c r="AE557" s="146"/>
      <c r="AF557" s="146"/>
      <c r="AG557" s="146"/>
    </row>
    <row r="558" spans="1:33" ht="12.75">
      <c r="A558" s="148"/>
      <c r="B558" s="146"/>
      <c r="C558" s="146"/>
      <c r="D558" s="146"/>
      <c r="E558" s="146"/>
      <c r="F558" s="146"/>
      <c r="G558" s="146"/>
      <c r="H558" s="146"/>
      <c r="I558" s="146"/>
      <c r="J558" s="146"/>
      <c r="K558" s="146"/>
      <c r="L558" s="146"/>
      <c r="M558" s="146"/>
      <c r="N558" s="146"/>
      <c r="O558" s="146"/>
      <c r="P558" s="146"/>
      <c r="Q558" s="146"/>
      <c r="R558" s="146"/>
      <c r="S558" s="146"/>
      <c r="T558" s="146"/>
      <c r="U558" s="146"/>
      <c r="V558" s="146"/>
      <c r="W558" s="146"/>
      <c r="X558" s="146"/>
      <c r="Y558" s="146"/>
      <c r="Z558" s="146"/>
      <c r="AA558" s="146"/>
      <c r="AB558" s="146"/>
      <c r="AC558" s="146"/>
      <c r="AD558" s="146"/>
      <c r="AE558" s="146"/>
      <c r="AF558" s="146"/>
      <c r="AG558" s="146"/>
    </row>
    <row r="559" spans="1:33" ht="12.75">
      <c r="A559" s="148"/>
      <c r="B559" s="146"/>
      <c r="C559" s="146"/>
      <c r="D559" s="146"/>
      <c r="E559" s="146"/>
      <c r="F559" s="146"/>
      <c r="G559" s="146"/>
      <c r="H559" s="146"/>
      <c r="I559" s="146"/>
      <c r="J559" s="146"/>
      <c r="K559" s="146"/>
      <c r="L559" s="146"/>
      <c r="M559" s="146"/>
      <c r="N559" s="146"/>
      <c r="O559" s="146"/>
      <c r="P559" s="146"/>
      <c r="Q559" s="146"/>
      <c r="R559" s="146"/>
      <c r="S559" s="146"/>
      <c r="T559" s="146"/>
      <c r="U559" s="146"/>
      <c r="V559" s="146"/>
      <c r="W559" s="146"/>
      <c r="X559" s="146"/>
      <c r="Y559" s="146"/>
      <c r="Z559" s="146"/>
      <c r="AA559" s="146"/>
      <c r="AB559" s="146"/>
      <c r="AC559" s="146"/>
      <c r="AD559" s="146"/>
      <c r="AE559" s="146"/>
      <c r="AF559" s="146"/>
      <c r="AG559" s="146"/>
    </row>
    <row r="560" spans="1:33" ht="12.75">
      <c r="A560" s="148"/>
      <c r="B560" s="146"/>
      <c r="C560" s="146"/>
      <c r="D560" s="146"/>
      <c r="E560" s="146"/>
      <c r="F560" s="146"/>
      <c r="G560" s="146"/>
      <c r="H560" s="146"/>
      <c r="I560" s="146"/>
      <c r="J560" s="146"/>
      <c r="K560" s="146"/>
      <c r="L560" s="146"/>
      <c r="M560" s="146"/>
      <c r="N560" s="146"/>
      <c r="O560" s="146"/>
      <c r="P560" s="146"/>
      <c r="Q560" s="146"/>
      <c r="R560" s="146"/>
      <c r="S560" s="146"/>
      <c r="T560" s="146"/>
      <c r="U560" s="146"/>
      <c r="V560" s="146"/>
      <c r="W560" s="146"/>
      <c r="X560" s="146"/>
      <c r="Y560" s="146"/>
      <c r="Z560" s="146"/>
      <c r="AA560" s="146"/>
      <c r="AB560" s="146"/>
      <c r="AC560" s="146"/>
      <c r="AD560" s="146"/>
      <c r="AE560" s="146"/>
      <c r="AF560" s="146"/>
      <c r="AG560" s="146"/>
    </row>
    <row r="561" spans="1:33" ht="12.75">
      <c r="A561" s="148"/>
      <c r="B561" s="146"/>
      <c r="C561" s="146"/>
      <c r="D561" s="146"/>
      <c r="E561" s="146"/>
      <c r="F561" s="146"/>
      <c r="G561" s="146"/>
      <c r="H561" s="146"/>
      <c r="I561" s="146"/>
      <c r="J561" s="146"/>
      <c r="K561" s="146"/>
      <c r="L561" s="146"/>
      <c r="M561" s="146"/>
      <c r="N561" s="146"/>
      <c r="O561" s="146"/>
      <c r="P561" s="146"/>
      <c r="Q561" s="146"/>
      <c r="R561" s="146"/>
      <c r="S561" s="146"/>
      <c r="T561" s="146"/>
      <c r="U561" s="146"/>
      <c r="V561" s="146"/>
      <c r="W561" s="146"/>
      <c r="X561" s="146"/>
      <c r="Y561" s="146"/>
      <c r="Z561" s="146"/>
      <c r="AA561" s="146"/>
      <c r="AB561" s="146"/>
      <c r="AC561" s="146"/>
      <c r="AD561" s="146"/>
      <c r="AE561" s="146"/>
      <c r="AF561" s="146"/>
      <c r="AG561" s="146"/>
    </row>
    <row r="562" spans="1:33" ht="12.75">
      <c r="A562" s="148"/>
      <c r="B562" s="146"/>
      <c r="C562" s="146"/>
      <c r="D562" s="146"/>
      <c r="E562" s="146"/>
      <c r="F562" s="146"/>
      <c r="G562" s="146"/>
      <c r="H562" s="146"/>
      <c r="I562" s="146"/>
      <c r="J562" s="146"/>
      <c r="K562" s="146"/>
      <c r="L562" s="146"/>
      <c r="M562" s="146"/>
      <c r="N562" s="146"/>
      <c r="O562" s="146"/>
      <c r="P562" s="146"/>
      <c r="Q562" s="146"/>
      <c r="R562" s="146"/>
      <c r="S562" s="146"/>
      <c r="T562" s="146"/>
      <c r="U562" s="146"/>
      <c r="V562" s="146"/>
      <c r="W562" s="146"/>
      <c r="X562" s="146"/>
      <c r="Y562" s="146"/>
      <c r="Z562" s="146"/>
      <c r="AA562" s="146"/>
      <c r="AB562" s="146"/>
      <c r="AC562" s="146"/>
      <c r="AD562" s="146"/>
      <c r="AE562" s="146"/>
      <c r="AF562" s="146"/>
      <c r="AG562" s="146"/>
    </row>
    <row r="563" spans="1:33" ht="12.75">
      <c r="A563" s="148"/>
      <c r="B563" s="146"/>
      <c r="C563" s="146"/>
      <c r="D563" s="146"/>
      <c r="E563" s="146"/>
      <c r="F563" s="146"/>
      <c r="G563" s="146"/>
      <c r="H563" s="146"/>
      <c r="I563" s="146"/>
      <c r="J563" s="146"/>
      <c r="K563" s="146"/>
      <c r="L563" s="146"/>
      <c r="M563" s="146"/>
      <c r="N563" s="146"/>
      <c r="O563" s="146"/>
      <c r="P563" s="146"/>
      <c r="Q563" s="146"/>
      <c r="R563" s="146"/>
      <c r="S563" s="146"/>
      <c r="T563" s="146"/>
      <c r="U563" s="146"/>
      <c r="V563" s="146"/>
      <c r="W563" s="146"/>
      <c r="X563" s="146"/>
      <c r="Y563" s="146"/>
      <c r="Z563" s="146"/>
      <c r="AA563" s="146"/>
      <c r="AB563" s="146"/>
      <c r="AC563" s="146"/>
      <c r="AD563" s="146"/>
      <c r="AE563" s="146"/>
      <c r="AF563" s="146"/>
      <c r="AG563" s="146"/>
    </row>
    <row r="564" spans="1:33" ht="12.75">
      <c r="A564" s="148"/>
      <c r="B564" s="146"/>
      <c r="C564" s="146"/>
      <c r="D564" s="146"/>
      <c r="E564" s="146"/>
      <c r="F564" s="146"/>
      <c r="G564" s="146"/>
      <c r="H564" s="146"/>
      <c r="I564" s="146"/>
      <c r="J564" s="146"/>
      <c r="K564" s="146"/>
      <c r="L564" s="146"/>
      <c r="M564" s="146"/>
      <c r="N564" s="146"/>
      <c r="O564" s="146"/>
      <c r="P564" s="146"/>
      <c r="Q564" s="146"/>
      <c r="R564" s="146"/>
      <c r="S564" s="146"/>
      <c r="T564" s="146"/>
      <c r="U564" s="146"/>
      <c r="V564" s="146"/>
      <c r="W564" s="146"/>
      <c r="X564" s="146"/>
      <c r="Y564" s="146"/>
      <c r="Z564" s="146"/>
      <c r="AA564" s="146"/>
      <c r="AB564" s="146"/>
      <c r="AC564" s="146"/>
      <c r="AD564" s="146"/>
      <c r="AE564" s="146"/>
      <c r="AF564" s="146"/>
      <c r="AG564" s="146"/>
    </row>
    <row r="565" spans="1:33" ht="12.75">
      <c r="A565" s="148"/>
      <c r="B565" s="146"/>
      <c r="C565" s="146"/>
      <c r="D565" s="146"/>
      <c r="E565" s="146"/>
      <c r="F565" s="146"/>
      <c r="G565" s="146"/>
      <c r="H565" s="146"/>
      <c r="I565" s="146"/>
      <c r="J565" s="146"/>
      <c r="K565" s="146"/>
      <c r="L565" s="146"/>
      <c r="M565" s="146"/>
      <c r="N565" s="146"/>
      <c r="O565" s="146"/>
      <c r="P565" s="146"/>
      <c r="Q565" s="146"/>
      <c r="R565" s="146"/>
      <c r="S565" s="146"/>
      <c r="T565" s="146"/>
      <c r="U565" s="146"/>
      <c r="V565" s="146"/>
      <c r="W565" s="146"/>
      <c r="X565" s="146"/>
      <c r="Y565" s="146"/>
      <c r="Z565" s="146"/>
      <c r="AA565" s="146"/>
      <c r="AB565" s="146"/>
      <c r="AC565" s="146"/>
      <c r="AD565" s="146"/>
      <c r="AE565" s="146"/>
      <c r="AF565" s="146"/>
      <c r="AG565" s="146"/>
    </row>
    <row r="566" spans="1:33" ht="12.75">
      <c r="A566" s="148"/>
      <c r="B566" s="146"/>
      <c r="C566" s="146"/>
      <c r="D566" s="146"/>
      <c r="E566" s="146"/>
      <c r="F566" s="146"/>
      <c r="G566" s="146"/>
      <c r="H566" s="146"/>
      <c r="I566" s="146"/>
      <c r="J566" s="146"/>
      <c r="K566" s="146"/>
      <c r="L566" s="146"/>
      <c r="M566" s="146"/>
      <c r="N566" s="146"/>
      <c r="O566" s="146"/>
      <c r="P566" s="146"/>
      <c r="Q566" s="146"/>
      <c r="R566" s="146"/>
      <c r="S566" s="146"/>
      <c r="T566" s="146"/>
      <c r="U566" s="146"/>
      <c r="V566" s="146"/>
      <c r="W566" s="146"/>
      <c r="X566" s="146"/>
      <c r="Y566" s="146"/>
      <c r="Z566" s="146"/>
      <c r="AA566" s="146"/>
      <c r="AB566" s="146"/>
      <c r="AC566" s="146"/>
      <c r="AD566" s="146"/>
      <c r="AE566" s="146"/>
      <c r="AF566" s="146"/>
      <c r="AG566" s="146"/>
    </row>
    <row r="567" spans="1:33" ht="12.75">
      <c r="A567" s="148"/>
      <c r="B567" s="146"/>
      <c r="C567" s="146"/>
      <c r="D567" s="146"/>
      <c r="E567" s="146"/>
      <c r="F567" s="146"/>
      <c r="G567" s="146"/>
      <c r="H567" s="146"/>
      <c r="I567" s="146"/>
      <c r="J567" s="146"/>
      <c r="K567" s="146"/>
      <c r="L567" s="146"/>
      <c r="M567" s="146"/>
      <c r="N567" s="146"/>
      <c r="O567" s="146"/>
      <c r="P567" s="146"/>
      <c r="Q567" s="146"/>
      <c r="R567" s="146"/>
      <c r="S567" s="146"/>
      <c r="T567" s="146"/>
      <c r="U567" s="146"/>
      <c r="V567" s="146"/>
      <c r="W567" s="146"/>
      <c r="X567" s="146"/>
      <c r="Y567" s="146"/>
      <c r="Z567" s="146"/>
      <c r="AA567" s="146"/>
      <c r="AB567" s="146"/>
      <c r="AC567" s="146"/>
      <c r="AD567" s="146"/>
      <c r="AE567" s="146"/>
      <c r="AF567" s="146"/>
      <c r="AG567" s="146"/>
    </row>
    <row r="568" spans="1:33" ht="12.75">
      <c r="A568" s="148"/>
      <c r="B568" s="146"/>
      <c r="C568" s="146"/>
      <c r="D568" s="146"/>
      <c r="E568" s="146"/>
      <c r="F568" s="146"/>
      <c r="G568" s="146"/>
      <c r="H568" s="146"/>
      <c r="I568" s="146"/>
      <c r="J568" s="146"/>
      <c r="K568" s="146"/>
      <c r="L568" s="146"/>
      <c r="M568" s="146"/>
      <c r="N568" s="146"/>
      <c r="O568" s="146"/>
      <c r="P568" s="146"/>
      <c r="Q568" s="146"/>
      <c r="R568" s="146"/>
      <c r="S568" s="146"/>
      <c r="T568" s="146"/>
      <c r="U568" s="146"/>
      <c r="V568" s="146"/>
      <c r="W568" s="146"/>
      <c r="X568" s="146"/>
      <c r="Y568" s="146"/>
      <c r="Z568" s="146"/>
      <c r="AA568" s="146"/>
      <c r="AB568" s="146"/>
      <c r="AC568" s="146"/>
      <c r="AD568" s="146"/>
      <c r="AE568" s="146"/>
      <c r="AF568" s="146"/>
      <c r="AG568" s="146"/>
    </row>
    <row r="569" spans="1:33" ht="12.75">
      <c r="A569" s="148"/>
      <c r="B569" s="146"/>
      <c r="C569" s="146"/>
      <c r="D569" s="146"/>
      <c r="E569" s="146"/>
      <c r="F569" s="146"/>
      <c r="G569" s="146"/>
      <c r="H569" s="146"/>
      <c r="I569" s="146"/>
      <c r="J569" s="146"/>
      <c r="K569" s="146"/>
      <c r="L569" s="146"/>
      <c r="M569" s="146"/>
      <c r="N569" s="146"/>
      <c r="O569" s="146"/>
      <c r="P569" s="146"/>
      <c r="Q569" s="146"/>
      <c r="R569" s="146"/>
      <c r="S569" s="146"/>
      <c r="T569" s="146"/>
      <c r="U569" s="146"/>
      <c r="V569" s="146"/>
      <c r="W569" s="146"/>
      <c r="X569" s="146"/>
      <c r="Y569" s="146"/>
      <c r="Z569" s="146"/>
      <c r="AA569" s="146"/>
      <c r="AB569" s="146"/>
      <c r="AC569" s="146"/>
      <c r="AD569" s="146"/>
      <c r="AE569" s="146"/>
      <c r="AF569" s="146"/>
      <c r="AG569" s="146"/>
    </row>
    <row r="570" spans="1:33" ht="12.75">
      <c r="A570" s="148"/>
      <c r="B570" s="146"/>
      <c r="C570" s="146"/>
      <c r="D570" s="146"/>
      <c r="E570" s="146"/>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c r="AB570" s="146"/>
      <c r="AC570" s="146"/>
      <c r="AD570" s="146"/>
      <c r="AE570" s="146"/>
      <c r="AF570" s="146"/>
      <c r="AG570" s="146"/>
    </row>
    <row r="571" spans="1:33" ht="12.75">
      <c r="A571" s="148"/>
      <c r="B571" s="146"/>
      <c r="C571" s="146"/>
      <c r="D571" s="146"/>
      <c r="E571" s="146"/>
      <c r="F571" s="146"/>
      <c r="G571" s="146"/>
      <c r="H571" s="146"/>
      <c r="I571" s="146"/>
      <c r="J571" s="146"/>
      <c r="K571" s="146"/>
      <c r="L571" s="146"/>
      <c r="M571" s="146"/>
      <c r="N571" s="146"/>
      <c r="O571" s="146"/>
      <c r="P571" s="146"/>
      <c r="Q571" s="146"/>
      <c r="R571" s="146"/>
      <c r="S571" s="146"/>
      <c r="T571" s="146"/>
      <c r="U571" s="146"/>
      <c r="V571" s="146"/>
      <c r="W571" s="146"/>
      <c r="X571" s="146"/>
      <c r="Y571" s="146"/>
      <c r="Z571" s="146"/>
      <c r="AA571" s="146"/>
      <c r="AB571" s="146"/>
      <c r="AC571" s="146"/>
      <c r="AD571" s="146"/>
      <c r="AE571" s="146"/>
      <c r="AF571" s="146"/>
      <c r="AG571" s="146"/>
    </row>
    <row r="572" spans="1:33" ht="12.75">
      <c r="A572" s="148"/>
      <c r="B572" s="146"/>
      <c r="C572" s="146"/>
      <c r="D572" s="146"/>
      <c r="E572" s="146"/>
      <c r="F572" s="146"/>
      <c r="G572" s="146"/>
      <c r="H572" s="146"/>
      <c r="I572" s="146"/>
      <c r="J572" s="146"/>
      <c r="K572" s="146"/>
      <c r="L572" s="146"/>
      <c r="M572" s="146"/>
      <c r="N572" s="146"/>
      <c r="O572" s="146"/>
      <c r="P572" s="146"/>
      <c r="Q572" s="146"/>
      <c r="R572" s="146"/>
      <c r="S572" s="146"/>
      <c r="T572" s="146"/>
      <c r="U572" s="146"/>
      <c r="V572" s="146"/>
      <c r="W572" s="146"/>
      <c r="X572" s="146"/>
      <c r="Y572" s="146"/>
      <c r="Z572" s="146"/>
      <c r="AA572" s="146"/>
      <c r="AB572" s="146"/>
      <c r="AC572" s="146"/>
      <c r="AD572" s="146"/>
      <c r="AE572" s="146"/>
      <c r="AF572" s="146"/>
      <c r="AG572" s="146"/>
    </row>
    <row r="573" spans="1:33" ht="12.75">
      <c r="A573" s="148"/>
      <c r="B573" s="146"/>
      <c r="C573" s="146"/>
      <c r="D573" s="146"/>
      <c r="E573" s="146"/>
      <c r="F573" s="146"/>
      <c r="G573" s="146"/>
      <c r="H573" s="146"/>
      <c r="I573" s="146"/>
      <c r="J573" s="146"/>
      <c r="K573" s="146"/>
      <c r="L573" s="146"/>
      <c r="M573" s="146"/>
      <c r="N573" s="146"/>
      <c r="O573" s="146"/>
      <c r="P573" s="146"/>
      <c r="Q573" s="146"/>
      <c r="R573" s="146"/>
      <c r="S573" s="146"/>
      <c r="T573" s="146"/>
      <c r="U573" s="146"/>
      <c r="V573" s="146"/>
      <c r="W573" s="146"/>
      <c r="X573" s="146"/>
      <c r="Y573" s="146"/>
      <c r="Z573" s="146"/>
      <c r="AA573" s="146"/>
      <c r="AB573" s="146"/>
      <c r="AC573" s="146"/>
      <c r="AD573" s="146"/>
      <c r="AE573" s="146"/>
      <c r="AF573" s="146"/>
      <c r="AG573" s="146"/>
    </row>
    <row r="574" spans="1:33" ht="12.75">
      <c r="A574" s="148"/>
      <c r="B574" s="146"/>
      <c r="C574" s="146"/>
      <c r="D574" s="146"/>
      <c r="E574" s="146"/>
      <c r="F574" s="146"/>
      <c r="G574" s="146"/>
      <c r="H574" s="146"/>
      <c r="I574" s="146"/>
      <c r="J574" s="146"/>
      <c r="K574" s="146"/>
      <c r="L574" s="146"/>
      <c r="M574" s="146"/>
      <c r="N574" s="146"/>
      <c r="O574" s="146"/>
      <c r="P574" s="146"/>
      <c r="Q574" s="146"/>
      <c r="R574" s="146"/>
      <c r="S574" s="146"/>
      <c r="T574" s="146"/>
      <c r="U574" s="146"/>
      <c r="V574" s="146"/>
      <c r="W574" s="146"/>
      <c r="X574" s="146"/>
      <c r="Y574" s="146"/>
      <c r="Z574" s="146"/>
      <c r="AA574" s="146"/>
      <c r="AB574" s="146"/>
      <c r="AC574" s="146"/>
      <c r="AD574" s="146"/>
      <c r="AE574" s="146"/>
      <c r="AF574" s="146"/>
      <c r="AG574" s="146"/>
    </row>
    <row r="575" spans="1:33" ht="12.75">
      <c r="A575" s="148"/>
      <c r="B575" s="146"/>
      <c r="C575" s="146"/>
      <c r="D575" s="146"/>
      <c r="E575" s="146"/>
      <c r="F575" s="146"/>
      <c r="G575" s="146"/>
      <c r="H575" s="146"/>
      <c r="I575" s="146"/>
      <c r="J575" s="146"/>
      <c r="K575" s="146"/>
      <c r="L575" s="146"/>
      <c r="M575" s="146"/>
      <c r="N575" s="146"/>
      <c r="O575" s="146"/>
      <c r="P575" s="146"/>
      <c r="Q575" s="146"/>
      <c r="R575" s="146"/>
      <c r="S575" s="146"/>
      <c r="T575" s="146"/>
      <c r="U575" s="146"/>
      <c r="V575" s="146"/>
      <c r="W575" s="146"/>
      <c r="X575" s="146"/>
      <c r="Y575" s="146"/>
      <c r="Z575" s="146"/>
      <c r="AA575" s="146"/>
      <c r="AB575" s="146"/>
      <c r="AC575" s="146"/>
      <c r="AD575" s="146"/>
      <c r="AE575" s="146"/>
      <c r="AF575" s="146"/>
      <c r="AG575" s="146"/>
    </row>
    <row r="576" spans="1:33" ht="12.75">
      <c r="A576" s="148"/>
      <c r="B576" s="146"/>
      <c r="C576" s="146"/>
      <c r="D576" s="146"/>
      <c r="E576" s="146"/>
      <c r="F576" s="146"/>
      <c r="G576" s="146"/>
      <c r="H576" s="146"/>
      <c r="I576" s="146"/>
      <c r="J576" s="146"/>
      <c r="K576" s="146"/>
      <c r="L576" s="146"/>
      <c r="M576" s="146"/>
      <c r="N576" s="146"/>
      <c r="O576" s="146"/>
      <c r="P576" s="146"/>
      <c r="Q576" s="146"/>
      <c r="R576" s="146"/>
      <c r="S576" s="146"/>
      <c r="T576" s="146"/>
      <c r="U576" s="146"/>
      <c r="V576" s="146"/>
      <c r="W576" s="146"/>
      <c r="X576" s="146"/>
      <c r="Y576" s="146"/>
      <c r="Z576" s="146"/>
      <c r="AA576" s="146"/>
      <c r="AB576" s="146"/>
      <c r="AC576" s="146"/>
      <c r="AD576" s="146"/>
      <c r="AE576" s="146"/>
      <c r="AF576" s="146"/>
      <c r="AG576" s="146"/>
    </row>
    <row r="577" spans="1:33" ht="12.75">
      <c r="A577" s="148"/>
      <c r="B577" s="146"/>
      <c r="C577" s="146"/>
      <c r="D577" s="146"/>
      <c r="E577" s="146"/>
      <c r="F577" s="146"/>
      <c r="G577" s="146"/>
      <c r="H577" s="146"/>
      <c r="I577" s="146"/>
      <c r="J577" s="146"/>
      <c r="K577" s="146"/>
      <c r="L577" s="146"/>
      <c r="M577" s="146"/>
      <c r="N577" s="146"/>
      <c r="O577" s="146"/>
      <c r="P577" s="146"/>
      <c r="Q577" s="146"/>
      <c r="R577" s="146"/>
      <c r="S577" s="146"/>
      <c r="T577" s="146"/>
      <c r="U577" s="146"/>
      <c r="V577" s="146"/>
      <c r="W577" s="146"/>
      <c r="X577" s="146"/>
      <c r="Y577" s="146"/>
      <c r="Z577" s="146"/>
      <c r="AA577" s="146"/>
      <c r="AB577" s="146"/>
      <c r="AC577" s="146"/>
      <c r="AD577" s="146"/>
      <c r="AE577" s="146"/>
      <c r="AF577" s="146"/>
      <c r="AG577" s="146"/>
    </row>
    <row r="578" spans="1:33" ht="12.75">
      <c r="A578" s="148"/>
      <c r="B578" s="146"/>
      <c r="C578" s="146"/>
      <c r="D578" s="146"/>
      <c r="E578" s="146"/>
      <c r="F578" s="146"/>
      <c r="G578" s="146"/>
      <c r="H578" s="146"/>
      <c r="I578" s="146"/>
      <c r="J578" s="146"/>
      <c r="K578" s="146"/>
      <c r="L578" s="146"/>
      <c r="M578" s="146"/>
      <c r="N578" s="146"/>
      <c r="O578" s="146"/>
      <c r="P578" s="146"/>
      <c r="Q578" s="146"/>
      <c r="R578" s="146"/>
      <c r="S578" s="146"/>
      <c r="T578" s="146"/>
      <c r="U578" s="146"/>
      <c r="V578" s="146"/>
      <c r="W578" s="146"/>
      <c r="X578" s="146"/>
      <c r="Y578" s="146"/>
      <c r="Z578" s="146"/>
      <c r="AA578" s="146"/>
      <c r="AB578" s="146"/>
      <c r="AC578" s="146"/>
      <c r="AD578" s="146"/>
      <c r="AE578" s="146"/>
      <c r="AF578" s="146"/>
      <c r="AG578" s="146"/>
    </row>
    <row r="579" spans="1:33" ht="12.75">
      <c r="A579" s="148"/>
      <c r="B579" s="146"/>
      <c r="C579" s="146"/>
      <c r="D579" s="146"/>
      <c r="E579" s="146"/>
      <c r="F579" s="146"/>
      <c r="G579" s="146"/>
      <c r="H579" s="146"/>
      <c r="I579" s="146"/>
      <c r="J579" s="146"/>
      <c r="K579" s="146"/>
      <c r="L579" s="146"/>
      <c r="M579" s="146"/>
      <c r="N579" s="146"/>
      <c r="O579" s="146"/>
      <c r="P579" s="146"/>
      <c r="Q579" s="146"/>
      <c r="R579" s="146"/>
      <c r="S579" s="146"/>
      <c r="T579" s="146"/>
      <c r="U579" s="146"/>
      <c r="V579" s="146"/>
      <c r="W579" s="146"/>
      <c r="X579" s="146"/>
      <c r="Y579" s="146"/>
      <c r="Z579" s="146"/>
      <c r="AA579" s="146"/>
      <c r="AB579" s="146"/>
      <c r="AC579" s="146"/>
      <c r="AD579" s="146"/>
      <c r="AE579" s="146"/>
      <c r="AF579" s="146"/>
      <c r="AG579" s="146"/>
    </row>
    <row r="580" spans="1:33" ht="12.75">
      <c r="A580" s="148"/>
      <c r="B580" s="146"/>
      <c r="C580" s="146"/>
      <c r="D580" s="146"/>
      <c r="E580" s="146"/>
      <c r="F580" s="146"/>
      <c r="G580" s="146"/>
      <c r="H580" s="146"/>
      <c r="I580" s="146"/>
      <c r="J580" s="146"/>
      <c r="K580" s="146"/>
      <c r="L580" s="146"/>
      <c r="M580" s="146"/>
      <c r="N580" s="146"/>
      <c r="O580" s="146"/>
      <c r="P580" s="146"/>
      <c r="Q580" s="146"/>
      <c r="R580" s="146"/>
      <c r="S580" s="146"/>
      <c r="T580" s="146"/>
      <c r="U580" s="146"/>
      <c r="V580" s="146"/>
      <c r="W580" s="146"/>
      <c r="X580" s="146"/>
      <c r="Y580" s="146"/>
      <c r="Z580" s="146"/>
      <c r="AA580" s="146"/>
      <c r="AB580" s="146"/>
      <c r="AC580" s="146"/>
      <c r="AD580" s="146"/>
      <c r="AE580" s="146"/>
      <c r="AF580" s="146"/>
      <c r="AG580" s="146"/>
    </row>
    <row r="581" spans="1:33" ht="12.75">
      <c r="A581" s="148"/>
      <c r="B581" s="146"/>
      <c r="C581" s="146"/>
      <c r="D581" s="146"/>
      <c r="E581" s="146"/>
      <c r="F581" s="146"/>
      <c r="G581" s="146"/>
      <c r="H581" s="146"/>
      <c r="I581" s="146"/>
      <c r="J581" s="146"/>
      <c r="K581" s="146"/>
      <c r="L581" s="146"/>
      <c r="M581" s="146"/>
      <c r="N581" s="146"/>
      <c r="O581" s="146"/>
      <c r="P581" s="146"/>
      <c r="Q581" s="146"/>
      <c r="R581" s="146"/>
      <c r="S581" s="146"/>
      <c r="T581" s="146"/>
      <c r="U581" s="146"/>
      <c r="V581" s="146"/>
      <c r="W581" s="146"/>
      <c r="X581" s="146"/>
      <c r="Y581" s="146"/>
      <c r="Z581" s="146"/>
      <c r="AA581" s="146"/>
      <c r="AB581" s="146"/>
      <c r="AC581" s="146"/>
      <c r="AD581" s="146"/>
      <c r="AE581" s="146"/>
      <c r="AF581" s="146"/>
      <c r="AG581" s="146"/>
    </row>
    <row r="582" spans="1:33" ht="12.75">
      <c r="A582" s="148"/>
      <c r="B582" s="146"/>
      <c r="C582" s="146"/>
      <c r="D582" s="146"/>
      <c r="E582" s="146"/>
      <c r="F582" s="146"/>
      <c r="G582" s="146"/>
      <c r="H582" s="146"/>
      <c r="I582" s="146"/>
      <c r="J582" s="146"/>
      <c r="K582" s="146"/>
      <c r="L582" s="146"/>
      <c r="M582" s="146"/>
      <c r="N582" s="146"/>
      <c r="O582" s="146"/>
      <c r="P582" s="146"/>
      <c r="Q582" s="146"/>
      <c r="R582" s="146"/>
      <c r="S582" s="146"/>
      <c r="T582" s="146"/>
      <c r="U582" s="146"/>
      <c r="V582" s="146"/>
      <c r="W582" s="146"/>
      <c r="X582" s="146"/>
      <c r="Y582" s="146"/>
      <c r="Z582" s="146"/>
      <c r="AA582" s="146"/>
      <c r="AB582" s="146"/>
      <c r="AC582" s="146"/>
      <c r="AD582" s="146"/>
      <c r="AE582" s="146"/>
      <c r="AF582" s="146"/>
      <c r="AG582" s="146"/>
    </row>
    <row r="583" spans="1:33" ht="12.75">
      <c r="A583" s="148"/>
      <c r="B583" s="146"/>
      <c r="C583" s="146"/>
      <c r="D583" s="146"/>
      <c r="E583" s="146"/>
      <c r="F583" s="146"/>
      <c r="G583" s="146"/>
      <c r="H583" s="146"/>
      <c r="I583" s="146"/>
      <c r="J583" s="146"/>
      <c r="K583" s="146"/>
      <c r="L583" s="146"/>
      <c r="M583" s="146"/>
      <c r="N583" s="146"/>
      <c r="O583" s="146"/>
      <c r="P583" s="146"/>
      <c r="Q583" s="146"/>
      <c r="R583" s="146"/>
      <c r="S583" s="146"/>
      <c r="T583" s="146"/>
      <c r="U583" s="146"/>
      <c r="V583" s="146"/>
      <c r="W583" s="146"/>
      <c r="X583" s="146"/>
      <c r="Y583" s="146"/>
      <c r="Z583" s="146"/>
      <c r="AA583" s="146"/>
      <c r="AB583" s="146"/>
      <c r="AC583" s="146"/>
      <c r="AD583" s="146"/>
      <c r="AE583" s="146"/>
      <c r="AF583" s="146"/>
      <c r="AG583" s="146"/>
    </row>
    <row r="584" spans="1:33" ht="12.75">
      <c r="A584" s="148"/>
      <c r="B584" s="146"/>
      <c r="C584" s="146"/>
      <c r="D584" s="146"/>
      <c r="E584" s="146"/>
      <c r="F584" s="146"/>
      <c r="G584" s="146"/>
      <c r="H584" s="146"/>
      <c r="I584" s="146"/>
      <c r="J584" s="146"/>
      <c r="K584" s="146"/>
      <c r="L584" s="146"/>
      <c r="M584" s="146"/>
      <c r="N584" s="146"/>
      <c r="O584" s="146"/>
      <c r="P584" s="146"/>
      <c r="Q584" s="146"/>
      <c r="R584" s="146"/>
      <c r="S584" s="146"/>
      <c r="T584" s="146"/>
      <c r="U584" s="146"/>
      <c r="V584" s="146"/>
      <c r="W584" s="146"/>
      <c r="X584" s="146"/>
      <c r="Y584" s="146"/>
      <c r="Z584" s="146"/>
      <c r="AA584" s="146"/>
      <c r="AB584" s="146"/>
      <c r="AC584" s="146"/>
      <c r="AD584" s="146"/>
      <c r="AE584" s="146"/>
      <c r="AF584" s="146"/>
      <c r="AG584" s="146"/>
    </row>
    <row r="585" spans="1:33" ht="12.75">
      <c r="A585" s="148"/>
      <c r="B585" s="146"/>
      <c r="C585" s="146"/>
      <c r="D585" s="146"/>
      <c r="E585" s="146"/>
      <c r="F585" s="146"/>
      <c r="G585" s="146"/>
      <c r="H585" s="146"/>
      <c r="I585" s="146"/>
      <c r="J585" s="146"/>
      <c r="K585" s="146"/>
      <c r="L585" s="146"/>
      <c r="M585" s="146"/>
      <c r="N585" s="146"/>
      <c r="O585" s="146"/>
      <c r="P585" s="146"/>
      <c r="Q585" s="146"/>
      <c r="R585" s="146"/>
      <c r="S585" s="146"/>
      <c r="T585" s="146"/>
      <c r="U585" s="146"/>
      <c r="V585" s="146"/>
      <c r="W585" s="146"/>
      <c r="X585" s="146"/>
      <c r="Y585" s="146"/>
      <c r="Z585" s="146"/>
      <c r="AA585" s="146"/>
      <c r="AB585" s="146"/>
      <c r="AC585" s="146"/>
      <c r="AD585" s="146"/>
      <c r="AE585" s="146"/>
      <c r="AF585" s="146"/>
      <c r="AG585" s="146"/>
    </row>
    <row r="586" spans="1:33" ht="12.75">
      <c r="A586" s="148"/>
      <c r="B586" s="146"/>
      <c r="C586" s="146"/>
      <c r="D586" s="146"/>
      <c r="E586" s="146"/>
      <c r="F586" s="146"/>
      <c r="G586" s="146"/>
      <c r="H586" s="146"/>
      <c r="I586" s="146"/>
      <c r="J586" s="146"/>
      <c r="K586" s="146"/>
      <c r="L586" s="146"/>
      <c r="M586" s="146"/>
      <c r="N586" s="146"/>
      <c r="O586" s="146"/>
      <c r="P586" s="146"/>
      <c r="Q586" s="146"/>
      <c r="R586" s="146"/>
      <c r="S586" s="146"/>
      <c r="T586" s="146"/>
      <c r="U586" s="146"/>
      <c r="V586" s="146"/>
      <c r="W586" s="146"/>
      <c r="X586" s="146"/>
      <c r="Y586" s="146"/>
      <c r="Z586" s="146"/>
      <c r="AA586" s="146"/>
      <c r="AB586" s="146"/>
      <c r="AC586" s="146"/>
      <c r="AD586" s="146"/>
      <c r="AE586" s="146"/>
      <c r="AF586" s="146"/>
      <c r="AG586" s="146"/>
    </row>
    <row r="587" spans="1:33" ht="12.75">
      <c r="A587" s="148"/>
      <c r="B587" s="146"/>
      <c r="C587" s="146"/>
      <c r="D587" s="146"/>
      <c r="E587" s="146"/>
      <c r="F587" s="146"/>
      <c r="G587" s="146"/>
      <c r="H587" s="146"/>
      <c r="I587" s="146"/>
      <c r="J587" s="146"/>
      <c r="K587" s="146"/>
      <c r="L587" s="146"/>
      <c r="M587" s="146"/>
      <c r="N587" s="146"/>
      <c r="O587" s="146"/>
      <c r="P587" s="146"/>
      <c r="Q587" s="146"/>
      <c r="R587" s="146"/>
      <c r="S587" s="146"/>
      <c r="T587" s="146"/>
      <c r="U587" s="146"/>
      <c r="V587" s="146"/>
      <c r="W587" s="146"/>
      <c r="X587" s="146"/>
      <c r="Y587" s="146"/>
      <c r="Z587" s="146"/>
      <c r="AA587" s="146"/>
      <c r="AB587" s="146"/>
      <c r="AC587" s="146"/>
      <c r="AD587" s="146"/>
      <c r="AE587" s="146"/>
      <c r="AF587" s="146"/>
      <c r="AG587" s="146"/>
    </row>
    <row r="588" spans="1:33" ht="12.75">
      <c r="A588" s="148"/>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6"/>
      <c r="Z588" s="146"/>
      <c r="AA588" s="146"/>
      <c r="AB588" s="146"/>
      <c r="AC588" s="146"/>
      <c r="AD588" s="146"/>
      <c r="AE588" s="146"/>
      <c r="AF588" s="146"/>
      <c r="AG588" s="146"/>
    </row>
    <row r="589" spans="1:33" ht="12.75">
      <c r="A589" s="148"/>
      <c r="B589" s="146"/>
      <c r="C589" s="146"/>
      <c r="D589" s="146"/>
      <c r="E589" s="146"/>
      <c r="F589" s="146"/>
      <c r="G589" s="146"/>
      <c r="H589" s="146"/>
      <c r="I589" s="146"/>
      <c r="J589" s="146"/>
      <c r="K589" s="146"/>
      <c r="L589" s="146"/>
      <c r="M589" s="146"/>
      <c r="N589" s="146"/>
      <c r="O589" s="146"/>
      <c r="P589" s="146"/>
      <c r="Q589" s="146"/>
      <c r="R589" s="146"/>
      <c r="S589" s="146"/>
      <c r="T589" s="146"/>
      <c r="U589" s="146"/>
      <c r="V589" s="146"/>
      <c r="W589" s="146"/>
      <c r="X589" s="146"/>
      <c r="Y589" s="146"/>
      <c r="Z589" s="146"/>
      <c r="AA589" s="146"/>
      <c r="AB589" s="146"/>
      <c r="AC589" s="146"/>
      <c r="AD589" s="146"/>
      <c r="AE589" s="146"/>
      <c r="AF589" s="146"/>
      <c r="AG589" s="146"/>
    </row>
    <row r="590" spans="1:33" ht="12.75">
      <c r="A590" s="148"/>
      <c r="B590" s="146"/>
      <c r="C590" s="146"/>
      <c r="D590" s="146"/>
      <c r="E590" s="146"/>
      <c r="F590" s="146"/>
      <c r="G590" s="146"/>
      <c r="H590" s="146"/>
      <c r="I590" s="146"/>
      <c r="J590" s="146"/>
      <c r="K590" s="146"/>
      <c r="L590" s="146"/>
      <c r="M590" s="146"/>
      <c r="N590" s="146"/>
      <c r="O590" s="146"/>
      <c r="P590" s="146"/>
      <c r="Q590" s="146"/>
      <c r="R590" s="146"/>
      <c r="S590" s="146"/>
      <c r="T590" s="146"/>
      <c r="U590" s="146"/>
      <c r="V590" s="146"/>
      <c r="W590" s="146"/>
      <c r="X590" s="146"/>
      <c r="Y590" s="146"/>
      <c r="Z590" s="146"/>
      <c r="AA590" s="146"/>
      <c r="AB590" s="146"/>
      <c r="AC590" s="146"/>
      <c r="AD590" s="146"/>
      <c r="AE590" s="146"/>
      <c r="AF590" s="146"/>
      <c r="AG590" s="146"/>
    </row>
    <row r="591" spans="1:33" ht="12.75">
      <c r="A591" s="148"/>
      <c r="B591" s="146"/>
      <c r="C591" s="146"/>
      <c r="D591" s="146"/>
      <c r="E591" s="146"/>
      <c r="F591" s="146"/>
      <c r="G591" s="146"/>
      <c r="H591" s="146"/>
      <c r="I591" s="146"/>
      <c r="J591" s="146"/>
      <c r="K591" s="146"/>
      <c r="L591" s="146"/>
      <c r="M591" s="146"/>
      <c r="N591" s="146"/>
      <c r="O591" s="146"/>
      <c r="P591" s="146"/>
      <c r="Q591" s="146"/>
      <c r="R591" s="146"/>
      <c r="S591" s="146"/>
      <c r="T591" s="146"/>
      <c r="U591" s="146"/>
      <c r="V591" s="146"/>
      <c r="W591" s="146"/>
      <c r="X591" s="146"/>
      <c r="Y591" s="146"/>
      <c r="Z591" s="146"/>
      <c r="AA591" s="146"/>
      <c r="AB591" s="146"/>
      <c r="AC591" s="146"/>
      <c r="AD591" s="146"/>
      <c r="AE591" s="146"/>
      <c r="AF591" s="146"/>
      <c r="AG591" s="146"/>
    </row>
    <row r="592" spans="1:33" ht="12.75">
      <c r="A592" s="148"/>
      <c r="B592" s="146"/>
      <c r="C592" s="146"/>
      <c r="D592" s="146"/>
      <c r="E592" s="146"/>
      <c r="F592" s="146"/>
      <c r="G592" s="146"/>
      <c r="H592" s="146"/>
      <c r="I592" s="146"/>
      <c r="J592" s="146"/>
      <c r="K592" s="146"/>
      <c r="L592" s="146"/>
      <c r="M592" s="146"/>
      <c r="N592" s="146"/>
      <c r="O592" s="146"/>
      <c r="P592" s="146"/>
      <c r="Q592" s="146"/>
      <c r="R592" s="146"/>
      <c r="S592" s="146"/>
      <c r="T592" s="146"/>
      <c r="U592" s="146"/>
      <c r="V592" s="146"/>
      <c r="W592" s="146"/>
      <c r="X592" s="146"/>
      <c r="Y592" s="146"/>
      <c r="Z592" s="146"/>
      <c r="AA592" s="146"/>
      <c r="AB592" s="146"/>
      <c r="AC592" s="146"/>
      <c r="AD592" s="146"/>
      <c r="AE592" s="146"/>
      <c r="AF592" s="146"/>
      <c r="AG592" s="146"/>
    </row>
    <row r="593" spans="1:33" ht="12.75">
      <c r="A593" s="148"/>
      <c r="B593" s="146"/>
      <c r="C593" s="146"/>
      <c r="D593" s="146"/>
      <c r="E593" s="146"/>
      <c r="F593" s="146"/>
      <c r="G593" s="146"/>
      <c r="H593" s="146"/>
      <c r="I593" s="146"/>
      <c r="J593" s="146"/>
      <c r="K593" s="146"/>
      <c r="L593" s="146"/>
      <c r="M593" s="146"/>
      <c r="N593" s="146"/>
      <c r="O593" s="146"/>
      <c r="P593" s="146"/>
      <c r="Q593" s="146"/>
      <c r="R593" s="146"/>
      <c r="S593" s="146"/>
      <c r="T593" s="146"/>
      <c r="U593" s="146"/>
      <c r="V593" s="146"/>
      <c r="W593" s="146"/>
      <c r="X593" s="146"/>
      <c r="Y593" s="146"/>
      <c r="Z593" s="146"/>
      <c r="AA593" s="146"/>
      <c r="AB593" s="146"/>
      <c r="AC593" s="146"/>
      <c r="AD593" s="146"/>
      <c r="AE593" s="146"/>
      <c r="AF593" s="146"/>
      <c r="AG593" s="146"/>
    </row>
    <row r="594" spans="1:33" ht="12.75">
      <c r="A594" s="148"/>
      <c r="B594" s="146"/>
      <c r="C594" s="146"/>
      <c r="D594" s="146"/>
      <c r="E594" s="146"/>
      <c r="F594" s="146"/>
      <c r="G594" s="146"/>
      <c r="H594" s="146"/>
      <c r="I594" s="146"/>
      <c r="J594" s="146"/>
      <c r="K594" s="146"/>
      <c r="L594" s="146"/>
      <c r="M594" s="146"/>
      <c r="N594" s="146"/>
      <c r="O594" s="146"/>
      <c r="P594" s="146"/>
      <c r="Q594" s="146"/>
      <c r="R594" s="146"/>
      <c r="S594" s="146"/>
      <c r="T594" s="146"/>
      <c r="U594" s="146"/>
      <c r="V594" s="146"/>
      <c r="W594" s="146"/>
      <c r="X594" s="146"/>
      <c r="Y594" s="146"/>
      <c r="Z594" s="146"/>
      <c r="AA594" s="146"/>
      <c r="AB594" s="146"/>
      <c r="AC594" s="146"/>
      <c r="AD594" s="146"/>
      <c r="AE594" s="146"/>
      <c r="AF594" s="146"/>
      <c r="AG594" s="146"/>
    </row>
    <row r="595" spans="1:33" ht="12.75">
      <c r="A595" s="148"/>
      <c r="B595" s="146"/>
      <c r="C595" s="146"/>
      <c r="D595" s="146"/>
      <c r="E595" s="146"/>
      <c r="F595" s="146"/>
      <c r="G595" s="146"/>
      <c r="H595" s="146"/>
      <c r="I595" s="146"/>
      <c r="J595" s="146"/>
      <c r="K595" s="146"/>
      <c r="L595" s="146"/>
      <c r="M595" s="146"/>
      <c r="N595" s="146"/>
      <c r="O595" s="146"/>
      <c r="P595" s="146"/>
      <c r="Q595" s="146"/>
      <c r="R595" s="146"/>
      <c r="S595" s="146"/>
      <c r="T595" s="146"/>
      <c r="U595" s="146"/>
      <c r="V595" s="146"/>
      <c r="W595" s="146"/>
      <c r="X595" s="146"/>
      <c r="Y595" s="146"/>
      <c r="Z595" s="146"/>
      <c r="AA595" s="146"/>
      <c r="AB595" s="146"/>
      <c r="AC595" s="146"/>
      <c r="AD595" s="146"/>
      <c r="AE595" s="146"/>
      <c r="AF595" s="146"/>
      <c r="AG595" s="146"/>
    </row>
    <row r="596" spans="1:33" ht="12.75">
      <c r="A596" s="148"/>
      <c r="B596" s="146"/>
      <c r="C596" s="146"/>
      <c r="D596" s="146"/>
      <c r="E596" s="146"/>
      <c r="F596" s="146"/>
      <c r="G596" s="146"/>
      <c r="H596" s="146"/>
      <c r="I596" s="146"/>
      <c r="J596" s="146"/>
      <c r="K596" s="146"/>
      <c r="L596" s="146"/>
      <c r="M596" s="146"/>
      <c r="N596" s="146"/>
      <c r="O596" s="146"/>
      <c r="P596" s="146"/>
      <c r="Q596" s="146"/>
      <c r="R596" s="146"/>
      <c r="S596" s="146"/>
      <c r="T596" s="146"/>
      <c r="U596" s="146"/>
      <c r="V596" s="146"/>
      <c r="W596" s="146"/>
      <c r="X596" s="146"/>
      <c r="Y596" s="146"/>
      <c r="Z596" s="146"/>
      <c r="AA596" s="146"/>
      <c r="AB596" s="146"/>
      <c r="AC596" s="146"/>
      <c r="AD596" s="146"/>
      <c r="AE596" s="146"/>
      <c r="AF596" s="146"/>
      <c r="AG596" s="146"/>
    </row>
    <row r="597" spans="1:33" ht="12.75">
      <c r="A597" s="148"/>
      <c r="B597" s="146"/>
      <c r="C597" s="146"/>
      <c r="D597" s="146"/>
      <c r="E597" s="146"/>
      <c r="F597" s="146"/>
      <c r="G597" s="146"/>
      <c r="H597" s="146"/>
      <c r="I597" s="146"/>
      <c r="J597" s="146"/>
      <c r="K597" s="146"/>
      <c r="L597" s="146"/>
      <c r="M597" s="146"/>
      <c r="N597" s="146"/>
      <c r="O597" s="146"/>
      <c r="P597" s="146"/>
      <c r="Q597" s="146"/>
      <c r="R597" s="146"/>
      <c r="S597" s="146"/>
      <c r="T597" s="146"/>
      <c r="U597" s="146"/>
      <c r="V597" s="146"/>
      <c r="W597" s="146"/>
      <c r="X597" s="146"/>
      <c r="Y597" s="146"/>
      <c r="Z597" s="146"/>
      <c r="AA597" s="146"/>
      <c r="AB597" s="146"/>
      <c r="AC597" s="146"/>
      <c r="AD597" s="146"/>
      <c r="AE597" s="146"/>
      <c r="AF597" s="146"/>
      <c r="AG597" s="146"/>
    </row>
    <row r="598" spans="1:33" ht="12.75">
      <c r="A598" s="148"/>
      <c r="B598" s="146"/>
      <c r="C598" s="146"/>
      <c r="D598" s="146"/>
      <c r="E598" s="146"/>
      <c r="F598" s="146"/>
      <c r="G598" s="146"/>
      <c r="H598" s="146"/>
      <c r="I598" s="146"/>
      <c r="J598" s="146"/>
      <c r="K598" s="146"/>
      <c r="L598" s="146"/>
      <c r="M598" s="146"/>
      <c r="N598" s="146"/>
      <c r="O598" s="146"/>
      <c r="P598" s="146"/>
      <c r="Q598" s="146"/>
      <c r="R598" s="146"/>
      <c r="S598" s="146"/>
      <c r="T598" s="146"/>
      <c r="U598" s="146"/>
      <c r="V598" s="146"/>
      <c r="W598" s="146"/>
      <c r="X598" s="146"/>
      <c r="Y598" s="146"/>
      <c r="Z598" s="146"/>
      <c r="AA598" s="146"/>
      <c r="AB598" s="146"/>
      <c r="AC598" s="146"/>
      <c r="AD598" s="146"/>
      <c r="AE598" s="146"/>
      <c r="AF598" s="146"/>
      <c r="AG598" s="146"/>
    </row>
    <row r="599" spans="1:33" ht="12.75">
      <c r="A599" s="148"/>
      <c r="B599" s="146"/>
      <c r="C599" s="146"/>
      <c r="D599" s="146"/>
      <c r="E599" s="146"/>
      <c r="F599" s="146"/>
      <c r="G599" s="146"/>
      <c r="H599" s="146"/>
      <c r="I599" s="146"/>
      <c r="J599" s="146"/>
      <c r="K599" s="146"/>
      <c r="L599" s="146"/>
      <c r="M599" s="146"/>
      <c r="N599" s="146"/>
      <c r="O599" s="146"/>
      <c r="P599" s="146"/>
      <c r="Q599" s="146"/>
      <c r="R599" s="146"/>
      <c r="S599" s="146"/>
      <c r="T599" s="146"/>
      <c r="U599" s="146"/>
      <c r="V599" s="146"/>
      <c r="W599" s="146"/>
      <c r="X599" s="146"/>
      <c r="Y599" s="146"/>
      <c r="Z599" s="146"/>
      <c r="AA599" s="146"/>
      <c r="AB599" s="146"/>
      <c r="AC599" s="146"/>
      <c r="AD599" s="146"/>
      <c r="AE599" s="146"/>
      <c r="AF599" s="146"/>
      <c r="AG599" s="146"/>
    </row>
    <row r="600" spans="1:33" ht="12.75">
      <c r="A600" s="148"/>
      <c r="B600" s="146"/>
      <c r="C600" s="146"/>
      <c r="D600" s="146"/>
      <c r="E600" s="146"/>
      <c r="F600" s="146"/>
      <c r="G600" s="146"/>
      <c r="H600" s="146"/>
      <c r="I600" s="146"/>
      <c r="J600" s="146"/>
      <c r="K600" s="146"/>
      <c r="L600" s="146"/>
      <c r="M600" s="146"/>
      <c r="N600" s="146"/>
      <c r="O600" s="146"/>
      <c r="P600" s="146"/>
      <c r="Q600" s="146"/>
      <c r="R600" s="146"/>
      <c r="S600" s="146"/>
      <c r="T600" s="146"/>
      <c r="U600" s="146"/>
      <c r="V600" s="146"/>
      <c r="W600" s="146"/>
      <c r="X600" s="146"/>
      <c r="Y600" s="146"/>
      <c r="Z600" s="146"/>
      <c r="AA600" s="146"/>
      <c r="AB600" s="146"/>
      <c r="AC600" s="146"/>
      <c r="AD600" s="146"/>
      <c r="AE600" s="146"/>
      <c r="AF600" s="146"/>
      <c r="AG600" s="146"/>
    </row>
    <row r="601" spans="1:33" ht="12.75">
      <c r="A601" s="148"/>
      <c r="B601" s="146"/>
      <c r="C601" s="146"/>
      <c r="D601" s="146"/>
      <c r="E601" s="146"/>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c r="AB601" s="146"/>
      <c r="AC601" s="146"/>
      <c r="AD601" s="146"/>
      <c r="AE601" s="146"/>
      <c r="AF601" s="146"/>
      <c r="AG601" s="146"/>
    </row>
    <row r="602" spans="1:33" ht="12.75">
      <c r="A602" s="148"/>
      <c r="B602" s="146"/>
      <c r="C602" s="146"/>
      <c r="D602" s="146"/>
      <c r="E602" s="146"/>
      <c r="F602" s="146"/>
      <c r="G602" s="146"/>
      <c r="H602" s="146"/>
      <c r="I602" s="146"/>
      <c r="J602" s="146"/>
      <c r="K602" s="146"/>
      <c r="L602" s="146"/>
      <c r="M602" s="146"/>
      <c r="N602" s="146"/>
      <c r="O602" s="146"/>
      <c r="P602" s="146"/>
      <c r="Q602" s="146"/>
      <c r="R602" s="146"/>
      <c r="S602" s="146"/>
      <c r="T602" s="146"/>
      <c r="U602" s="146"/>
      <c r="V602" s="146"/>
      <c r="W602" s="146"/>
      <c r="X602" s="146"/>
      <c r="Y602" s="146"/>
      <c r="Z602" s="146"/>
      <c r="AA602" s="146"/>
      <c r="AB602" s="146"/>
      <c r="AC602" s="146"/>
      <c r="AD602" s="146"/>
      <c r="AE602" s="146"/>
      <c r="AF602" s="146"/>
      <c r="AG602" s="146"/>
    </row>
    <row r="603" spans="1:33" ht="12.75">
      <c r="A603" s="148"/>
      <c r="B603" s="146"/>
      <c r="C603" s="146"/>
      <c r="D603" s="146"/>
      <c r="E603" s="146"/>
      <c r="F603" s="146"/>
      <c r="G603" s="146"/>
      <c r="H603" s="146"/>
      <c r="I603" s="146"/>
      <c r="J603" s="146"/>
      <c r="K603" s="146"/>
      <c r="L603" s="146"/>
      <c r="M603" s="146"/>
      <c r="N603" s="146"/>
      <c r="O603" s="146"/>
      <c r="P603" s="146"/>
      <c r="Q603" s="146"/>
      <c r="R603" s="146"/>
      <c r="S603" s="146"/>
      <c r="T603" s="146"/>
      <c r="U603" s="146"/>
      <c r="V603" s="146"/>
      <c r="W603" s="146"/>
      <c r="X603" s="146"/>
      <c r="Y603" s="146"/>
      <c r="Z603" s="146"/>
      <c r="AA603" s="146"/>
      <c r="AB603" s="146"/>
      <c r="AC603" s="146"/>
      <c r="AD603" s="146"/>
      <c r="AE603" s="146"/>
      <c r="AF603" s="146"/>
      <c r="AG603" s="146"/>
    </row>
    <row r="604" spans="1:33" ht="12.75">
      <c r="A604" s="148"/>
      <c r="B604" s="146"/>
      <c r="C604" s="146"/>
      <c r="D604" s="146"/>
      <c r="E604" s="146"/>
      <c r="F604" s="146"/>
      <c r="G604" s="146"/>
      <c r="H604" s="146"/>
      <c r="I604" s="146"/>
      <c r="J604" s="146"/>
      <c r="K604" s="146"/>
      <c r="L604" s="146"/>
      <c r="M604" s="146"/>
      <c r="N604" s="146"/>
      <c r="O604" s="146"/>
      <c r="P604" s="146"/>
      <c r="Q604" s="146"/>
      <c r="R604" s="146"/>
      <c r="S604" s="146"/>
      <c r="T604" s="146"/>
      <c r="U604" s="146"/>
      <c r="V604" s="146"/>
      <c r="W604" s="146"/>
      <c r="X604" s="146"/>
      <c r="Y604" s="146"/>
      <c r="Z604" s="146"/>
      <c r="AA604" s="146"/>
      <c r="AB604" s="146"/>
      <c r="AC604" s="146"/>
      <c r="AD604" s="146"/>
      <c r="AE604" s="146"/>
      <c r="AF604" s="146"/>
      <c r="AG604" s="146"/>
    </row>
    <row r="605" spans="1:33" ht="12.75">
      <c r="A605" s="148"/>
      <c r="B605" s="146"/>
      <c r="C605" s="146"/>
      <c r="D605" s="146"/>
      <c r="E605" s="146"/>
      <c r="F605" s="146"/>
      <c r="G605" s="146"/>
      <c r="H605" s="146"/>
      <c r="I605" s="146"/>
      <c r="J605" s="146"/>
      <c r="K605" s="146"/>
      <c r="L605" s="146"/>
      <c r="M605" s="146"/>
      <c r="N605" s="146"/>
      <c r="O605" s="146"/>
      <c r="P605" s="146"/>
      <c r="Q605" s="146"/>
      <c r="R605" s="146"/>
      <c r="S605" s="146"/>
      <c r="T605" s="146"/>
      <c r="U605" s="146"/>
      <c r="V605" s="146"/>
      <c r="W605" s="146"/>
      <c r="X605" s="146"/>
      <c r="Y605" s="146"/>
      <c r="Z605" s="146"/>
      <c r="AA605" s="146"/>
      <c r="AB605" s="146"/>
      <c r="AC605" s="146"/>
      <c r="AD605" s="146"/>
      <c r="AE605" s="146"/>
      <c r="AF605" s="146"/>
      <c r="AG605" s="146"/>
    </row>
    <row r="606" spans="1:33" ht="12.75">
      <c r="A606" s="148"/>
      <c r="B606" s="146"/>
      <c r="C606" s="146"/>
      <c r="D606" s="146"/>
      <c r="E606" s="146"/>
      <c r="F606" s="146"/>
      <c r="G606" s="146"/>
      <c r="H606" s="146"/>
      <c r="I606" s="146"/>
      <c r="J606" s="146"/>
      <c r="K606" s="146"/>
      <c r="L606" s="146"/>
      <c r="M606" s="146"/>
      <c r="N606" s="146"/>
      <c r="O606" s="146"/>
      <c r="P606" s="146"/>
      <c r="Q606" s="146"/>
      <c r="R606" s="146"/>
      <c r="S606" s="146"/>
      <c r="T606" s="146"/>
      <c r="U606" s="146"/>
      <c r="V606" s="146"/>
      <c r="W606" s="146"/>
      <c r="X606" s="146"/>
      <c r="Y606" s="146"/>
      <c r="Z606" s="146"/>
      <c r="AA606" s="146"/>
      <c r="AB606" s="146"/>
      <c r="AC606" s="146"/>
      <c r="AD606" s="146"/>
      <c r="AE606" s="146"/>
      <c r="AF606" s="146"/>
      <c r="AG606" s="146"/>
    </row>
    <row r="607" spans="1:33" ht="12.75">
      <c r="A607" s="148"/>
      <c r="B607" s="146"/>
      <c r="C607" s="146"/>
      <c r="D607" s="146"/>
      <c r="E607" s="146"/>
      <c r="F607" s="146"/>
      <c r="G607" s="146"/>
      <c r="H607" s="146"/>
      <c r="I607" s="146"/>
      <c r="J607" s="146"/>
      <c r="K607" s="146"/>
      <c r="L607" s="146"/>
      <c r="M607" s="146"/>
      <c r="N607" s="146"/>
      <c r="O607" s="146"/>
      <c r="P607" s="146"/>
      <c r="Q607" s="146"/>
      <c r="R607" s="146"/>
      <c r="S607" s="146"/>
      <c r="T607" s="146"/>
      <c r="U607" s="146"/>
      <c r="V607" s="146"/>
      <c r="W607" s="146"/>
      <c r="X607" s="146"/>
      <c r="Y607" s="146"/>
      <c r="Z607" s="146"/>
      <c r="AA607" s="146"/>
      <c r="AB607" s="146"/>
      <c r="AC607" s="146"/>
      <c r="AD607" s="146"/>
      <c r="AE607" s="146"/>
      <c r="AF607" s="146"/>
      <c r="AG607" s="146"/>
    </row>
    <row r="608" spans="1:33" ht="12.75">
      <c r="A608" s="148"/>
      <c r="B608" s="146"/>
      <c r="C608" s="146"/>
      <c r="D608" s="146"/>
      <c r="E608" s="146"/>
      <c r="F608" s="146"/>
      <c r="G608" s="146"/>
      <c r="H608" s="146"/>
      <c r="I608" s="146"/>
      <c r="J608" s="146"/>
      <c r="K608" s="146"/>
      <c r="L608" s="146"/>
      <c r="M608" s="146"/>
      <c r="N608" s="146"/>
      <c r="O608" s="146"/>
      <c r="P608" s="146"/>
      <c r="Q608" s="146"/>
      <c r="R608" s="146"/>
      <c r="S608" s="146"/>
      <c r="T608" s="146"/>
      <c r="U608" s="146"/>
      <c r="V608" s="146"/>
      <c r="W608" s="146"/>
      <c r="X608" s="146"/>
      <c r="Y608" s="146"/>
      <c r="Z608" s="146"/>
      <c r="AA608" s="146"/>
      <c r="AB608" s="146"/>
      <c r="AC608" s="146"/>
      <c r="AD608" s="146"/>
      <c r="AE608" s="146"/>
      <c r="AF608" s="146"/>
      <c r="AG608" s="146"/>
    </row>
    <row r="609" spans="1:33" ht="12.75">
      <c r="A609" s="148"/>
      <c r="B609" s="146"/>
      <c r="C609" s="146"/>
      <c r="D609" s="146"/>
      <c r="E609" s="146"/>
      <c r="F609" s="146"/>
      <c r="G609" s="146"/>
      <c r="H609" s="146"/>
      <c r="I609" s="146"/>
      <c r="J609" s="146"/>
      <c r="K609" s="146"/>
      <c r="L609" s="146"/>
      <c r="M609" s="146"/>
      <c r="N609" s="146"/>
      <c r="O609" s="146"/>
      <c r="P609" s="146"/>
      <c r="Q609" s="146"/>
      <c r="R609" s="146"/>
      <c r="S609" s="146"/>
      <c r="T609" s="146"/>
      <c r="U609" s="146"/>
      <c r="V609" s="146"/>
      <c r="W609" s="146"/>
      <c r="X609" s="146"/>
      <c r="Y609" s="146"/>
      <c r="Z609" s="146"/>
      <c r="AA609" s="146"/>
      <c r="AB609" s="146"/>
      <c r="AC609" s="146"/>
      <c r="AD609" s="146"/>
      <c r="AE609" s="146"/>
      <c r="AF609" s="146"/>
      <c r="AG609" s="146"/>
    </row>
    <row r="610" spans="1:33" ht="12.75">
      <c r="A610" s="148"/>
      <c r="B610" s="146"/>
      <c r="C610" s="146"/>
      <c r="D610" s="146"/>
      <c r="E610" s="146"/>
      <c r="F610" s="146"/>
      <c r="G610" s="146"/>
      <c r="H610" s="146"/>
      <c r="I610" s="146"/>
      <c r="J610" s="146"/>
      <c r="K610" s="146"/>
      <c r="L610" s="146"/>
      <c r="M610" s="146"/>
      <c r="N610" s="146"/>
      <c r="O610" s="146"/>
      <c r="P610" s="146"/>
      <c r="Q610" s="146"/>
      <c r="R610" s="146"/>
      <c r="S610" s="146"/>
      <c r="T610" s="146"/>
      <c r="U610" s="146"/>
      <c r="V610" s="146"/>
      <c r="W610" s="146"/>
      <c r="X610" s="146"/>
      <c r="Y610" s="146"/>
      <c r="Z610" s="146"/>
      <c r="AA610" s="146"/>
      <c r="AB610" s="146"/>
      <c r="AC610" s="146"/>
      <c r="AD610" s="146"/>
      <c r="AE610" s="146"/>
      <c r="AF610" s="146"/>
      <c r="AG610" s="146"/>
    </row>
    <row r="611" spans="1:33" ht="12.75">
      <c r="A611" s="148"/>
      <c r="B611" s="146"/>
      <c r="C611" s="146"/>
      <c r="D611" s="146"/>
      <c r="E611" s="146"/>
      <c r="F611" s="146"/>
      <c r="G611" s="146"/>
      <c r="H611" s="146"/>
      <c r="I611" s="146"/>
      <c r="J611" s="146"/>
      <c r="K611" s="146"/>
      <c r="L611" s="146"/>
      <c r="M611" s="146"/>
      <c r="N611" s="146"/>
      <c r="O611" s="146"/>
      <c r="P611" s="146"/>
      <c r="Q611" s="146"/>
      <c r="R611" s="146"/>
      <c r="S611" s="146"/>
      <c r="T611" s="146"/>
      <c r="U611" s="146"/>
      <c r="V611" s="146"/>
      <c r="W611" s="146"/>
      <c r="X611" s="146"/>
      <c r="Y611" s="146"/>
      <c r="Z611" s="146"/>
      <c r="AA611" s="146"/>
      <c r="AB611" s="146"/>
      <c r="AC611" s="146"/>
      <c r="AD611" s="146"/>
      <c r="AE611" s="146"/>
      <c r="AF611" s="146"/>
      <c r="AG611" s="146"/>
    </row>
    <row r="612" spans="1:33" ht="12.75">
      <c r="A612" s="148"/>
      <c r="B612" s="146"/>
      <c r="C612" s="146"/>
      <c r="D612" s="146"/>
      <c r="E612" s="146"/>
      <c r="F612" s="146"/>
      <c r="G612" s="146"/>
      <c r="H612" s="146"/>
      <c r="I612" s="146"/>
      <c r="J612" s="146"/>
      <c r="K612" s="146"/>
      <c r="L612" s="146"/>
      <c r="M612" s="146"/>
      <c r="N612" s="146"/>
      <c r="O612" s="146"/>
      <c r="P612" s="146"/>
      <c r="Q612" s="146"/>
      <c r="R612" s="146"/>
      <c r="S612" s="146"/>
      <c r="T612" s="146"/>
      <c r="U612" s="146"/>
      <c r="V612" s="146"/>
      <c r="W612" s="146"/>
      <c r="X612" s="146"/>
      <c r="Y612" s="146"/>
      <c r="Z612" s="146"/>
      <c r="AA612" s="146"/>
      <c r="AB612" s="146"/>
      <c r="AC612" s="146"/>
      <c r="AD612" s="146"/>
      <c r="AE612" s="146"/>
      <c r="AF612" s="146"/>
      <c r="AG612" s="146"/>
    </row>
    <row r="613" spans="1:33" ht="12.75">
      <c r="A613" s="148"/>
      <c r="B613" s="146"/>
      <c r="C613" s="146"/>
      <c r="D613" s="146"/>
      <c r="E613" s="146"/>
      <c r="F613" s="146"/>
      <c r="G613" s="146"/>
      <c r="H613" s="146"/>
      <c r="I613" s="146"/>
      <c r="J613" s="146"/>
      <c r="K613" s="146"/>
      <c r="L613" s="146"/>
      <c r="M613" s="146"/>
      <c r="N613" s="146"/>
      <c r="O613" s="146"/>
      <c r="P613" s="146"/>
      <c r="Q613" s="146"/>
      <c r="R613" s="146"/>
      <c r="S613" s="146"/>
      <c r="T613" s="146"/>
      <c r="U613" s="146"/>
      <c r="V613" s="146"/>
      <c r="W613" s="146"/>
      <c r="X613" s="146"/>
      <c r="Y613" s="146"/>
      <c r="Z613" s="146"/>
      <c r="AA613" s="146"/>
      <c r="AB613" s="146"/>
      <c r="AC613" s="146"/>
      <c r="AD613" s="146"/>
      <c r="AE613" s="146"/>
      <c r="AF613" s="146"/>
      <c r="AG613" s="146"/>
    </row>
    <row r="614" spans="1:33" ht="12.75">
      <c r="A614" s="148"/>
      <c r="B614" s="146"/>
      <c r="C614" s="146"/>
      <c r="D614" s="146"/>
      <c r="E614" s="146"/>
      <c r="F614" s="146"/>
      <c r="G614" s="146"/>
      <c r="H614" s="146"/>
      <c r="I614" s="146"/>
      <c r="J614" s="146"/>
      <c r="K614" s="146"/>
      <c r="L614" s="146"/>
      <c r="M614" s="146"/>
      <c r="N614" s="146"/>
      <c r="O614" s="146"/>
      <c r="P614" s="146"/>
      <c r="Q614" s="146"/>
      <c r="R614" s="146"/>
      <c r="S614" s="146"/>
      <c r="T614" s="146"/>
      <c r="U614" s="146"/>
      <c r="V614" s="146"/>
      <c r="W614" s="146"/>
      <c r="X614" s="146"/>
      <c r="Y614" s="146"/>
      <c r="Z614" s="146"/>
      <c r="AA614" s="146"/>
      <c r="AB614" s="146"/>
      <c r="AC614" s="146"/>
      <c r="AD614" s="146"/>
      <c r="AE614" s="146"/>
      <c r="AF614" s="146"/>
      <c r="AG614" s="146"/>
    </row>
    <row r="615" spans="1:33" ht="12.75">
      <c r="A615" s="148"/>
      <c r="B615" s="146"/>
      <c r="C615" s="146"/>
      <c r="D615" s="146"/>
      <c r="E615" s="146"/>
      <c r="F615" s="146"/>
      <c r="G615" s="146"/>
      <c r="H615" s="146"/>
      <c r="I615" s="146"/>
      <c r="J615" s="146"/>
      <c r="K615" s="146"/>
      <c r="L615" s="146"/>
      <c r="M615" s="146"/>
      <c r="N615" s="146"/>
      <c r="O615" s="146"/>
      <c r="P615" s="146"/>
      <c r="Q615" s="146"/>
      <c r="R615" s="146"/>
      <c r="S615" s="146"/>
      <c r="T615" s="146"/>
      <c r="U615" s="146"/>
      <c r="V615" s="146"/>
      <c r="W615" s="146"/>
      <c r="X615" s="146"/>
      <c r="Y615" s="146"/>
      <c r="Z615" s="146"/>
      <c r="AA615" s="146"/>
      <c r="AB615" s="146"/>
      <c r="AC615" s="146"/>
      <c r="AD615" s="146"/>
      <c r="AE615" s="146"/>
      <c r="AF615" s="146"/>
      <c r="AG615" s="146"/>
    </row>
    <row r="616" spans="1:33" ht="12.75">
      <c r="A616" s="148"/>
      <c r="B616" s="146"/>
      <c r="C616" s="146"/>
      <c r="D616" s="146"/>
      <c r="E616" s="146"/>
      <c r="F616" s="146"/>
      <c r="G616" s="146"/>
      <c r="H616" s="146"/>
      <c r="I616" s="146"/>
      <c r="J616" s="146"/>
      <c r="K616" s="146"/>
      <c r="L616" s="146"/>
      <c r="M616" s="146"/>
      <c r="N616" s="146"/>
      <c r="O616" s="146"/>
      <c r="P616" s="146"/>
      <c r="Q616" s="146"/>
      <c r="R616" s="146"/>
      <c r="S616" s="146"/>
      <c r="T616" s="146"/>
      <c r="U616" s="146"/>
      <c r="V616" s="146"/>
      <c r="W616" s="146"/>
      <c r="X616" s="146"/>
      <c r="Y616" s="146"/>
      <c r="Z616" s="146"/>
      <c r="AA616" s="146"/>
      <c r="AB616" s="146"/>
      <c r="AC616" s="146"/>
      <c r="AD616" s="146"/>
      <c r="AE616" s="146"/>
      <c r="AF616" s="146"/>
      <c r="AG616" s="146"/>
    </row>
    <row r="617" spans="1:33" ht="12.75">
      <c r="A617" s="148"/>
      <c r="B617" s="146"/>
      <c r="C617" s="146"/>
      <c r="D617" s="146"/>
      <c r="E617" s="146"/>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c r="AB617" s="146"/>
      <c r="AC617" s="146"/>
      <c r="AD617" s="146"/>
      <c r="AE617" s="146"/>
      <c r="AF617" s="146"/>
      <c r="AG617" s="146"/>
    </row>
    <row r="618" spans="1:33" ht="12.75">
      <c r="A618" s="148"/>
      <c r="B618" s="146"/>
      <c r="C618" s="146"/>
      <c r="D618" s="146"/>
      <c r="E618" s="146"/>
      <c r="F618" s="146"/>
      <c r="G618" s="146"/>
      <c r="H618" s="146"/>
      <c r="I618" s="146"/>
      <c r="J618" s="146"/>
      <c r="K618" s="146"/>
      <c r="L618" s="146"/>
      <c r="M618" s="146"/>
      <c r="N618" s="146"/>
      <c r="O618" s="146"/>
      <c r="P618" s="146"/>
      <c r="Q618" s="146"/>
      <c r="R618" s="146"/>
      <c r="S618" s="146"/>
      <c r="T618" s="146"/>
      <c r="U618" s="146"/>
      <c r="V618" s="146"/>
      <c r="W618" s="146"/>
      <c r="X618" s="146"/>
      <c r="Y618" s="146"/>
      <c r="Z618" s="146"/>
      <c r="AA618" s="146"/>
      <c r="AB618" s="146"/>
      <c r="AC618" s="146"/>
      <c r="AD618" s="146"/>
      <c r="AE618" s="146"/>
      <c r="AF618" s="146"/>
      <c r="AG618" s="146"/>
    </row>
    <row r="619" spans="1:33" ht="12.75">
      <c r="A619" s="148"/>
      <c r="B619" s="146"/>
      <c r="C619" s="146"/>
      <c r="D619" s="146"/>
      <c r="E619" s="146"/>
      <c r="F619" s="146"/>
      <c r="G619" s="146"/>
      <c r="H619" s="146"/>
      <c r="I619" s="146"/>
      <c r="J619" s="146"/>
      <c r="K619" s="146"/>
      <c r="L619" s="146"/>
      <c r="M619" s="146"/>
      <c r="N619" s="146"/>
      <c r="O619" s="146"/>
      <c r="P619" s="146"/>
      <c r="Q619" s="146"/>
      <c r="R619" s="146"/>
      <c r="S619" s="146"/>
      <c r="T619" s="146"/>
      <c r="U619" s="146"/>
      <c r="V619" s="146"/>
      <c r="W619" s="146"/>
      <c r="X619" s="146"/>
      <c r="Y619" s="146"/>
      <c r="Z619" s="146"/>
      <c r="AA619" s="146"/>
      <c r="AB619" s="146"/>
      <c r="AC619" s="146"/>
      <c r="AD619" s="146"/>
      <c r="AE619" s="146"/>
      <c r="AF619" s="146"/>
      <c r="AG619" s="146"/>
    </row>
    <row r="620" spans="1:33" ht="12.75">
      <c r="A620" s="148"/>
      <c r="B620" s="146"/>
      <c r="C620" s="146"/>
      <c r="D620" s="146"/>
      <c r="E620" s="146"/>
      <c r="F620" s="146"/>
      <c r="G620" s="146"/>
      <c r="H620" s="146"/>
      <c r="I620" s="146"/>
      <c r="J620" s="146"/>
      <c r="K620" s="146"/>
      <c r="L620" s="146"/>
      <c r="M620" s="146"/>
      <c r="N620" s="146"/>
      <c r="O620" s="146"/>
      <c r="P620" s="146"/>
      <c r="Q620" s="146"/>
      <c r="R620" s="146"/>
      <c r="S620" s="146"/>
      <c r="T620" s="146"/>
      <c r="U620" s="146"/>
      <c r="V620" s="146"/>
      <c r="W620" s="146"/>
      <c r="X620" s="146"/>
      <c r="Y620" s="146"/>
      <c r="Z620" s="146"/>
      <c r="AA620" s="146"/>
      <c r="AB620" s="146"/>
      <c r="AC620" s="146"/>
      <c r="AD620" s="146"/>
      <c r="AE620" s="146"/>
      <c r="AF620" s="146"/>
      <c r="AG620" s="146"/>
    </row>
    <row r="621" spans="1:33" ht="12.75">
      <c r="A621" s="148"/>
      <c r="B621" s="146"/>
      <c r="C621" s="146"/>
      <c r="D621" s="146"/>
      <c r="E621" s="146"/>
      <c r="F621" s="146"/>
      <c r="G621" s="146"/>
      <c r="H621" s="146"/>
      <c r="I621" s="146"/>
      <c r="J621" s="146"/>
      <c r="K621" s="146"/>
      <c r="L621" s="146"/>
      <c r="M621" s="146"/>
      <c r="N621" s="146"/>
      <c r="O621" s="146"/>
      <c r="P621" s="146"/>
      <c r="Q621" s="146"/>
      <c r="R621" s="146"/>
      <c r="S621" s="146"/>
      <c r="T621" s="146"/>
      <c r="U621" s="146"/>
      <c r="V621" s="146"/>
      <c r="W621" s="146"/>
      <c r="X621" s="146"/>
      <c r="Y621" s="146"/>
      <c r="Z621" s="146"/>
      <c r="AA621" s="146"/>
      <c r="AB621" s="146"/>
      <c r="AC621" s="146"/>
      <c r="AD621" s="146"/>
      <c r="AE621" s="146"/>
      <c r="AF621" s="146"/>
      <c r="AG621" s="146"/>
    </row>
    <row r="622" spans="1:33" ht="12.75">
      <c r="A622" s="148"/>
      <c r="B622" s="146"/>
      <c r="C622" s="146"/>
      <c r="D622" s="146"/>
      <c r="E622" s="146"/>
      <c r="F622" s="146"/>
      <c r="G622" s="146"/>
      <c r="H622" s="146"/>
      <c r="I622" s="146"/>
      <c r="J622" s="146"/>
      <c r="K622" s="146"/>
      <c r="L622" s="146"/>
      <c r="M622" s="146"/>
      <c r="N622" s="146"/>
      <c r="O622" s="146"/>
      <c r="P622" s="146"/>
      <c r="Q622" s="146"/>
      <c r="R622" s="146"/>
      <c r="S622" s="146"/>
      <c r="T622" s="146"/>
      <c r="U622" s="146"/>
      <c r="V622" s="146"/>
      <c r="W622" s="146"/>
      <c r="X622" s="146"/>
      <c r="Y622" s="146"/>
      <c r="Z622" s="146"/>
      <c r="AA622" s="146"/>
      <c r="AB622" s="146"/>
      <c r="AC622" s="146"/>
      <c r="AD622" s="146"/>
      <c r="AE622" s="146"/>
      <c r="AF622" s="146"/>
      <c r="AG622" s="146"/>
    </row>
    <row r="623" spans="1:33" ht="12.75">
      <c r="A623" s="148"/>
      <c r="B623" s="146"/>
      <c r="C623" s="146"/>
      <c r="D623" s="146"/>
      <c r="E623" s="146"/>
      <c r="F623" s="146"/>
      <c r="G623" s="146"/>
      <c r="H623" s="146"/>
      <c r="I623" s="146"/>
      <c r="J623" s="146"/>
      <c r="K623" s="146"/>
      <c r="L623" s="146"/>
      <c r="M623" s="146"/>
      <c r="N623" s="146"/>
      <c r="O623" s="146"/>
      <c r="P623" s="146"/>
      <c r="Q623" s="146"/>
      <c r="R623" s="146"/>
      <c r="S623" s="146"/>
      <c r="T623" s="146"/>
      <c r="U623" s="146"/>
      <c r="V623" s="146"/>
      <c r="W623" s="146"/>
      <c r="X623" s="146"/>
      <c r="Y623" s="146"/>
      <c r="Z623" s="146"/>
      <c r="AA623" s="146"/>
      <c r="AB623" s="146"/>
      <c r="AC623" s="146"/>
      <c r="AD623" s="146"/>
      <c r="AE623" s="146"/>
      <c r="AF623" s="146"/>
      <c r="AG623" s="146"/>
    </row>
    <row r="624" spans="1:33" ht="12.75">
      <c r="A624" s="148"/>
      <c r="B624" s="146"/>
      <c r="C624" s="146"/>
      <c r="D624" s="146"/>
      <c r="E624" s="146"/>
      <c r="F624" s="146"/>
      <c r="G624" s="146"/>
      <c r="H624" s="146"/>
      <c r="I624" s="146"/>
      <c r="J624" s="146"/>
      <c r="K624" s="146"/>
      <c r="L624" s="146"/>
      <c r="M624" s="146"/>
      <c r="N624" s="146"/>
      <c r="O624" s="146"/>
      <c r="P624" s="146"/>
      <c r="Q624" s="146"/>
      <c r="R624" s="146"/>
      <c r="S624" s="146"/>
      <c r="T624" s="146"/>
      <c r="U624" s="146"/>
      <c r="V624" s="146"/>
      <c r="W624" s="146"/>
      <c r="X624" s="146"/>
      <c r="Y624" s="146"/>
      <c r="Z624" s="146"/>
      <c r="AA624" s="146"/>
      <c r="AB624" s="146"/>
      <c r="AC624" s="146"/>
      <c r="AD624" s="146"/>
      <c r="AE624" s="146"/>
      <c r="AF624" s="146"/>
      <c r="AG624" s="146"/>
    </row>
    <row r="625" spans="1:33" ht="12.75">
      <c r="A625" s="148"/>
      <c r="B625" s="146"/>
      <c r="C625" s="146"/>
      <c r="D625" s="146"/>
      <c r="E625" s="146"/>
      <c r="F625" s="146"/>
      <c r="G625" s="146"/>
      <c r="H625" s="146"/>
      <c r="I625" s="146"/>
      <c r="J625" s="146"/>
      <c r="K625" s="146"/>
      <c r="L625" s="146"/>
      <c r="M625" s="146"/>
      <c r="N625" s="146"/>
      <c r="O625" s="146"/>
      <c r="P625" s="146"/>
      <c r="Q625" s="146"/>
      <c r="R625" s="146"/>
      <c r="S625" s="146"/>
      <c r="T625" s="146"/>
      <c r="U625" s="146"/>
      <c r="V625" s="146"/>
      <c r="W625" s="146"/>
      <c r="X625" s="146"/>
      <c r="Y625" s="146"/>
      <c r="Z625" s="146"/>
      <c r="AA625" s="146"/>
      <c r="AB625" s="146"/>
      <c r="AC625" s="146"/>
      <c r="AD625" s="146"/>
      <c r="AE625" s="146"/>
      <c r="AF625" s="146"/>
      <c r="AG625" s="146"/>
    </row>
    <row r="626" spans="1:33" ht="12.75">
      <c r="A626" s="148"/>
      <c r="B626" s="146"/>
      <c r="C626" s="146"/>
      <c r="D626" s="146"/>
      <c r="E626" s="146"/>
      <c r="F626" s="146"/>
      <c r="G626" s="146"/>
      <c r="H626" s="146"/>
      <c r="I626" s="146"/>
      <c r="J626" s="146"/>
      <c r="K626" s="146"/>
      <c r="L626" s="146"/>
      <c r="M626" s="146"/>
      <c r="N626" s="146"/>
      <c r="O626" s="146"/>
      <c r="P626" s="146"/>
      <c r="Q626" s="146"/>
      <c r="R626" s="146"/>
      <c r="S626" s="146"/>
      <c r="T626" s="146"/>
      <c r="U626" s="146"/>
      <c r="V626" s="146"/>
      <c r="W626" s="146"/>
      <c r="X626" s="146"/>
      <c r="Y626" s="146"/>
      <c r="Z626" s="146"/>
      <c r="AA626" s="146"/>
      <c r="AB626" s="146"/>
      <c r="AC626" s="146"/>
      <c r="AD626" s="146"/>
      <c r="AE626" s="146"/>
      <c r="AF626" s="146"/>
      <c r="AG626" s="146"/>
    </row>
    <row r="627" spans="1:33" ht="12.75">
      <c r="A627" s="148"/>
      <c r="B627" s="146"/>
      <c r="C627" s="146"/>
      <c r="D627" s="146"/>
      <c r="E627" s="146"/>
      <c r="F627" s="146"/>
      <c r="G627" s="146"/>
      <c r="H627" s="146"/>
      <c r="I627" s="146"/>
      <c r="J627" s="146"/>
      <c r="K627" s="146"/>
      <c r="L627" s="146"/>
      <c r="M627" s="146"/>
      <c r="N627" s="146"/>
      <c r="O627" s="146"/>
      <c r="P627" s="146"/>
      <c r="Q627" s="146"/>
      <c r="R627" s="146"/>
      <c r="S627" s="146"/>
      <c r="T627" s="146"/>
      <c r="U627" s="146"/>
      <c r="V627" s="146"/>
      <c r="W627" s="146"/>
      <c r="X627" s="146"/>
      <c r="Y627" s="146"/>
      <c r="Z627" s="146"/>
      <c r="AA627" s="146"/>
      <c r="AB627" s="146"/>
      <c r="AC627" s="146"/>
      <c r="AD627" s="146"/>
      <c r="AE627" s="146"/>
      <c r="AF627" s="146"/>
      <c r="AG627" s="146"/>
    </row>
    <row r="628" spans="1:33" ht="12.75">
      <c r="A628" s="148"/>
      <c r="B628" s="146"/>
      <c r="C628" s="146"/>
      <c r="D628" s="146"/>
      <c r="E628" s="146"/>
      <c r="F628" s="146"/>
      <c r="G628" s="146"/>
      <c r="H628" s="146"/>
      <c r="I628" s="146"/>
      <c r="J628" s="146"/>
      <c r="K628" s="146"/>
      <c r="L628" s="146"/>
      <c r="M628" s="146"/>
      <c r="N628" s="146"/>
      <c r="O628" s="146"/>
      <c r="P628" s="146"/>
      <c r="Q628" s="146"/>
      <c r="R628" s="146"/>
      <c r="S628" s="146"/>
      <c r="T628" s="146"/>
      <c r="U628" s="146"/>
      <c r="V628" s="146"/>
      <c r="W628" s="146"/>
      <c r="X628" s="146"/>
      <c r="Y628" s="146"/>
      <c r="Z628" s="146"/>
      <c r="AA628" s="146"/>
      <c r="AB628" s="146"/>
      <c r="AC628" s="146"/>
      <c r="AD628" s="146"/>
      <c r="AE628" s="146"/>
      <c r="AF628" s="146"/>
      <c r="AG628" s="146"/>
    </row>
    <row r="629" spans="1:33" ht="12.75">
      <c r="A629" s="148"/>
      <c r="B629" s="146"/>
      <c r="C629" s="146"/>
      <c r="D629" s="146"/>
      <c r="E629" s="146"/>
      <c r="F629" s="146"/>
      <c r="G629" s="146"/>
      <c r="H629" s="146"/>
      <c r="I629" s="146"/>
      <c r="J629" s="146"/>
      <c r="K629" s="146"/>
      <c r="L629" s="146"/>
      <c r="M629" s="146"/>
      <c r="N629" s="146"/>
      <c r="O629" s="146"/>
      <c r="P629" s="146"/>
      <c r="Q629" s="146"/>
      <c r="R629" s="146"/>
      <c r="S629" s="146"/>
      <c r="T629" s="146"/>
      <c r="U629" s="146"/>
      <c r="V629" s="146"/>
      <c r="W629" s="146"/>
      <c r="X629" s="146"/>
      <c r="Y629" s="146"/>
      <c r="Z629" s="146"/>
      <c r="AA629" s="146"/>
      <c r="AB629" s="146"/>
      <c r="AC629" s="146"/>
      <c r="AD629" s="146"/>
      <c r="AE629" s="146"/>
      <c r="AF629" s="146"/>
      <c r="AG629" s="146"/>
    </row>
    <row r="630" spans="1:33" ht="12.75">
      <c r="A630" s="148"/>
      <c r="B630" s="146"/>
      <c r="C630" s="146"/>
      <c r="D630" s="146"/>
      <c r="E630" s="146"/>
      <c r="F630" s="146"/>
      <c r="G630" s="146"/>
      <c r="H630" s="146"/>
      <c r="I630" s="146"/>
      <c r="J630" s="146"/>
      <c r="K630" s="146"/>
      <c r="L630" s="146"/>
      <c r="M630" s="146"/>
      <c r="N630" s="146"/>
      <c r="O630" s="146"/>
      <c r="P630" s="146"/>
      <c r="Q630" s="146"/>
      <c r="R630" s="146"/>
      <c r="S630" s="146"/>
      <c r="T630" s="146"/>
      <c r="U630" s="146"/>
      <c r="V630" s="146"/>
      <c r="W630" s="146"/>
      <c r="X630" s="146"/>
      <c r="Y630" s="146"/>
      <c r="Z630" s="146"/>
      <c r="AA630" s="146"/>
      <c r="AB630" s="146"/>
      <c r="AC630" s="146"/>
      <c r="AD630" s="146"/>
      <c r="AE630" s="146"/>
      <c r="AF630" s="146"/>
      <c r="AG630" s="146"/>
    </row>
    <row r="631" spans="1:33" ht="12.75">
      <c r="A631" s="148"/>
      <c r="B631" s="146"/>
      <c r="C631" s="146"/>
      <c r="D631" s="146"/>
      <c r="E631" s="146"/>
      <c r="F631" s="146"/>
      <c r="G631" s="146"/>
      <c r="H631" s="146"/>
      <c r="I631" s="146"/>
      <c r="J631" s="146"/>
      <c r="K631" s="146"/>
      <c r="L631" s="146"/>
      <c r="M631" s="146"/>
      <c r="N631" s="146"/>
      <c r="O631" s="146"/>
      <c r="P631" s="146"/>
      <c r="Q631" s="146"/>
      <c r="R631" s="146"/>
      <c r="S631" s="146"/>
      <c r="T631" s="146"/>
      <c r="U631" s="146"/>
      <c r="V631" s="146"/>
      <c r="W631" s="146"/>
      <c r="X631" s="146"/>
      <c r="Y631" s="146"/>
      <c r="Z631" s="146"/>
      <c r="AA631" s="146"/>
      <c r="AB631" s="146"/>
      <c r="AC631" s="146"/>
      <c r="AD631" s="146"/>
      <c r="AE631" s="146"/>
      <c r="AF631" s="146"/>
      <c r="AG631" s="146"/>
    </row>
    <row r="632" spans="1:33" ht="12.75">
      <c r="A632" s="148"/>
      <c r="B632" s="146"/>
      <c r="C632" s="146"/>
      <c r="D632" s="146"/>
      <c r="E632" s="146"/>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146"/>
      <c r="AG632" s="146"/>
    </row>
    <row r="633" spans="1:33" ht="12.75">
      <c r="A633" s="148"/>
      <c r="B633" s="146"/>
      <c r="C633" s="146"/>
      <c r="D633" s="146"/>
      <c r="E633" s="146"/>
      <c r="F633" s="146"/>
      <c r="G633" s="146"/>
      <c r="H633" s="146"/>
      <c r="I633" s="146"/>
      <c r="J633" s="146"/>
      <c r="K633" s="146"/>
      <c r="L633" s="146"/>
      <c r="M633" s="146"/>
      <c r="N633" s="146"/>
      <c r="O633" s="146"/>
      <c r="P633" s="146"/>
      <c r="Q633" s="146"/>
      <c r="R633" s="146"/>
      <c r="S633" s="146"/>
      <c r="T633" s="146"/>
      <c r="U633" s="146"/>
      <c r="V633" s="146"/>
      <c r="W633" s="146"/>
      <c r="X633" s="146"/>
      <c r="Y633" s="146"/>
      <c r="Z633" s="146"/>
      <c r="AA633" s="146"/>
      <c r="AB633" s="146"/>
      <c r="AC633" s="146"/>
      <c r="AD633" s="146"/>
      <c r="AE633" s="146"/>
      <c r="AF633" s="146"/>
      <c r="AG633" s="146"/>
    </row>
    <row r="634" spans="1:33" ht="12.75">
      <c r="A634" s="148"/>
      <c r="B634" s="146"/>
      <c r="C634" s="146"/>
      <c r="D634" s="146"/>
      <c r="E634" s="146"/>
      <c r="F634" s="146"/>
      <c r="G634" s="146"/>
      <c r="H634" s="146"/>
      <c r="I634" s="146"/>
      <c r="J634" s="146"/>
      <c r="K634" s="146"/>
      <c r="L634" s="146"/>
      <c r="M634" s="146"/>
      <c r="N634" s="146"/>
      <c r="O634" s="146"/>
      <c r="P634" s="146"/>
      <c r="Q634" s="146"/>
      <c r="R634" s="146"/>
      <c r="S634" s="146"/>
      <c r="T634" s="146"/>
      <c r="U634" s="146"/>
      <c r="V634" s="146"/>
      <c r="W634" s="146"/>
      <c r="X634" s="146"/>
      <c r="Y634" s="146"/>
      <c r="Z634" s="146"/>
      <c r="AA634" s="146"/>
      <c r="AB634" s="146"/>
      <c r="AC634" s="146"/>
      <c r="AD634" s="146"/>
      <c r="AE634" s="146"/>
      <c r="AF634" s="146"/>
      <c r="AG634" s="146"/>
    </row>
    <row r="635" spans="1:33" ht="12.75">
      <c r="A635" s="148"/>
      <c r="B635" s="146"/>
      <c r="C635" s="146"/>
      <c r="D635" s="146"/>
      <c r="E635" s="146"/>
      <c r="F635" s="146"/>
      <c r="G635" s="146"/>
      <c r="H635" s="146"/>
      <c r="I635" s="146"/>
      <c r="J635" s="146"/>
      <c r="K635" s="146"/>
      <c r="L635" s="146"/>
      <c r="M635" s="146"/>
      <c r="N635" s="146"/>
      <c r="O635" s="146"/>
      <c r="P635" s="146"/>
      <c r="Q635" s="146"/>
      <c r="R635" s="146"/>
      <c r="S635" s="146"/>
      <c r="T635" s="146"/>
      <c r="U635" s="146"/>
      <c r="V635" s="146"/>
      <c r="W635" s="146"/>
      <c r="X635" s="146"/>
      <c r="Y635" s="146"/>
      <c r="Z635" s="146"/>
      <c r="AA635" s="146"/>
      <c r="AB635" s="146"/>
      <c r="AC635" s="146"/>
      <c r="AD635" s="146"/>
      <c r="AE635" s="146"/>
      <c r="AF635" s="146"/>
      <c r="AG635" s="146"/>
    </row>
    <row r="636" spans="1:33" ht="12.75">
      <c r="A636" s="148"/>
      <c r="B636" s="146"/>
      <c r="C636" s="146"/>
      <c r="D636" s="146"/>
      <c r="E636" s="146"/>
      <c r="F636" s="146"/>
      <c r="G636" s="146"/>
      <c r="H636" s="146"/>
      <c r="I636" s="146"/>
      <c r="J636" s="146"/>
      <c r="K636" s="146"/>
      <c r="L636" s="146"/>
      <c r="M636" s="146"/>
      <c r="N636" s="146"/>
      <c r="O636" s="146"/>
      <c r="P636" s="146"/>
      <c r="Q636" s="146"/>
      <c r="R636" s="146"/>
      <c r="S636" s="146"/>
      <c r="T636" s="146"/>
      <c r="U636" s="146"/>
      <c r="V636" s="146"/>
      <c r="W636" s="146"/>
      <c r="X636" s="146"/>
      <c r="Y636" s="146"/>
      <c r="Z636" s="146"/>
      <c r="AA636" s="146"/>
      <c r="AB636" s="146"/>
      <c r="AC636" s="146"/>
      <c r="AD636" s="146"/>
      <c r="AE636" s="146"/>
      <c r="AF636" s="146"/>
      <c r="AG636" s="146"/>
    </row>
    <row r="637" spans="1:33" ht="12.75">
      <c r="A637" s="148"/>
      <c r="B637" s="146"/>
      <c r="C637" s="146"/>
      <c r="D637" s="146"/>
      <c r="E637" s="146"/>
      <c r="F637" s="146"/>
      <c r="G637" s="146"/>
      <c r="H637" s="146"/>
      <c r="I637" s="146"/>
      <c r="J637" s="146"/>
      <c r="K637" s="146"/>
      <c r="L637" s="146"/>
      <c r="M637" s="146"/>
      <c r="N637" s="146"/>
      <c r="O637" s="146"/>
      <c r="P637" s="146"/>
      <c r="Q637" s="146"/>
      <c r="R637" s="146"/>
      <c r="S637" s="146"/>
      <c r="T637" s="146"/>
      <c r="U637" s="146"/>
      <c r="V637" s="146"/>
      <c r="W637" s="146"/>
      <c r="X637" s="146"/>
      <c r="Y637" s="146"/>
      <c r="Z637" s="146"/>
      <c r="AA637" s="146"/>
      <c r="AB637" s="146"/>
      <c r="AC637" s="146"/>
      <c r="AD637" s="146"/>
      <c r="AE637" s="146"/>
      <c r="AF637" s="146"/>
      <c r="AG637" s="146"/>
    </row>
    <row r="638" spans="1:33" ht="12.75">
      <c r="A638" s="148"/>
      <c r="B638" s="146"/>
      <c r="C638" s="146"/>
      <c r="D638" s="146"/>
      <c r="E638" s="146"/>
      <c r="F638" s="146"/>
      <c r="G638" s="146"/>
      <c r="H638" s="146"/>
      <c r="I638" s="146"/>
      <c r="J638" s="146"/>
      <c r="K638" s="146"/>
      <c r="L638" s="146"/>
      <c r="M638" s="146"/>
      <c r="N638" s="146"/>
      <c r="O638" s="146"/>
      <c r="P638" s="146"/>
      <c r="Q638" s="146"/>
      <c r="R638" s="146"/>
      <c r="S638" s="146"/>
      <c r="T638" s="146"/>
      <c r="U638" s="146"/>
      <c r="V638" s="146"/>
      <c r="W638" s="146"/>
      <c r="X638" s="146"/>
      <c r="Y638" s="146"/>
      <c r="Z638" s="146"/>
      <c r="AA638" s="146"/>
      <c r="AB638" s="146"/>
      <c r="AC638" s="146"/>
      <c r="AD638" s="146"/>
      <c r="AE638" s="146"/>
      <c r="AF638" s="146"/>
      <c r="AG638" s="146"/>
    </row>
    <row r="639" spans="1:33" ht="12.75">
      <c r="A639" s="148"/>
      <c r="B639" s="146"/>
      <c r="C639" s="146"/>
      <c r="D639" s="146"/>
      <c r="E639" s="146"/>
      <c r="F639" s="146"/>
      <c r="G639" s="146"/>
      <c r="H639" s="146"/>
      <c r="I639" s="146"/>
      <c r="J639" s="146"/>
      <c r="K639" s="146"/>
      <c r="L639" s="146"/>
      <c r="M639" s="146"/>
      <c r="N639" s="146"/>
      <c r="O639" s="146"/>
      <c r="P639" s="146"/>
      <c r="Q639" s="146"/>
      <c r="R639" s="146"/>
      <c r="S639" s="146"/>
      <c r="T639" s="146"/>
      <c r="U639" s="146"/>
      <c r="V639" s="146"/>
      <c r="W639" s="146"/>
      <c r="X639" s="146"/>
      <c r="Y639" s="146"/>
      <c r="Z639" s="146"/>
      <c r="AA639" s="146"/>
      <c r="AB639" s="146"/>
      <c r="AC639" s="146"/>
      <c r="AD639" s="146"/>
      <c r="AE639" s="146"/>
      <c r="AF639" s="146"/>
      <c r="AG639" s="146"/>
    </row>
    <row r="640" spans="1:33" ht="12.75">
      <c r="A640" s="148"/>
      <c r="B640" s="146"/>
      <c r="C640" s="146"/>
      <c r="D640" s="146"/>
      <c r="E640" s="146"/>
      <c r="F640" s="146"/>
      <c r="G640" s="146"/>
      <c r="H640" s="146"/>
      <c r="I640" s="146"/>
      <c r="J640" s="146"/>
      <c r="K640" s="146"/>
      <c r="L640" s="146"/>
      <c r="M640" s="146"/>
      <c r="N640" s="146"/>
      <c r="O640" s="146"/>
      <c r="P640" s="146"/>
      <c r="Q640" s="146"/>
      <c r="R640" s="146"/>
      <c r="S640" s="146"/>
      <c r="T640" s="146"/>
      <c r="U640" s="146"/>
      <c r="V640" s="146"/>
      <c r="W640" s="146"/>
      <c r="X640" s="146"/>
      <c r="Y640" s="146"/>
      <c r="Z640" s="146"/>
      <c r="AA640" s="146"/>
      <c r="AB640" s="146"/>
      <c r="AC640" s="146"/>
      <c r="AD640" s="146"/>
      <c r="AE640" s="146"/>
      <c r="AF640" s="146"/>
      <c r="AG640" s="146"/>
    </row>
    <row r="641" spans="1:33" ht="12.75">
      <c r="A641" s="148"/>
      <c r="B641" s="146"/>
      <c r="C641" s="146"/>
      <c r="D641" s="146"/>
      <c r="E641" s="146"/>
      <c r="F641" s="146"/>
      <c r="G641" s="146"/>
      <c r="H641" s="146"/>
      <c r="I641" s="146"/>
      <c r="J641" s="146"/>
      <c r="K641" s="146"/>
      <c r="L641" s="146"/>
      <c r="M641" s="146"/>
      <c r="N641" s="146"/>
      <c r="O641" s="146"/>
      <c r="P641" s="146"/>
      <c r="Q641" s="146"/>
      <c r="R641" s="146"/>
      <c r="S641" s="146"/>
      <c r="T641" s="146"/>
      <c r="U641" s="146"/>
      <c r="V641" s="146"/>
      <c r="W641" s="146"/>
      <c r="X641" s="146"/>
      <c r="Y641" s="146"/>
      <c r="Z641" s="146"/>
      <c r="AA641" s="146"/>
      <c r="AB641" s="146"/>
      <c r="AC641" s="146"/>
      <c r="AD641" s="146"/>
      <c r="AE641" s="146"/>
      <c r="AF641" s="146"/>
      <c r="AG641" s="146"/>
    </row>
    <row r="642" spans="1:33" ht="12.75">
      <c r="A642" s="148"/>
      <c r="B642" s="146"/>
      <c r="C642" s="146"/>
      <c r="D642" s="146"/>
      <c r="E642" s="146"/>
      <c r="F642" s="146"/>
      <c r="G642" s="146"/>
      <c r="H642" s="146"/>
      <c r="I642" s="146"/>
      <c r="J642" s="146"/>
      <c r="K642" s="146"/>
      <c r="L642" s="146"/>
      <c r="M642" s="146"/>
      <c r="N642" s="146"/>
      <c r="O642" s="146"/>
      <c r="P642" s="146"/>
      <c r="Q642" s="146"/>
      <c r="R642" s="146"/>
      <c r="S642" s="146"/>
      <c r="T642" s="146"/>
      <c r="U642" s="146"/>
      <c r="V642" s="146"/>
      <c r="W642" s="146"/>
      <c r="X642" s="146"/>
      <c r="Y642" s="146"/>
      <c r="Z642" s="146"/>
      <c r="AA642" s="146"/>
      <c r="AB642" s="146"/>
      <c r="AC642" s="146"/>
      <c r="AD642" s="146"/>
      <c r="AE642" s="146"/>
      <c r="AF642" s="146"/>
      <c r="AG642" s="146"/>
    </row>
    <row r="643" spans="1:33" ht="12.75">
      <c r="A643" s="148"/>
      <c r="B643" s="146"/>
      <c r="C643" s="146"/>
      <c r="D643" s="146"/>
      <c r="E643" s="146"/>
      <c r="F643" s="146"/>
      <c r="G643" s="146"/>
      <c r="H643" s="146"/>
      <c r="I643" s="146"/>
      <c r="J643" s="146"/>
      <c r="K643" s="146"/>
      <c r="L643" s="146"/>
      <c r="M643" s="146"/>
      <c r="N643" s="146"/>
      <c r="O643" s="146"/>
      <c r="P643" s="146"/>
      <c r="Q643" s="146"/>
      <c r="R643" s="146"/>
      <c r="S643" s="146"/>
      <c r="T643" s="146"/>
      <c r="U643" s="146"/>
      <c r="V643" s="146"/>
      <c r="W643" s="146"/>
      <c r="X643" s="146"/>
      <c r="Y643" s="146"/>
      <c r="Z643" s="146"/>
      <c r="AA643" s="146"/>
      <c r="AB643" s="146"/>
      <c r="AC643" s="146"/>
      <c r="AD643" s="146"/>
      <c r="AE643" s="146"/>
      <c r="AF643" s="146"/>
      <c r="AG643" s="146"/>
    </row>
    <row r="644" spans="1:33" ht="12.75">
      <c r="A644" s="148"/>
      <c r="B644" s="146"/>
      <c r="C644" s="146"/>
      <c r="D644" s="146"/>
      <c r="E644" s="146"/>
      <c r="F644" s="146"/>
      <c r="G644" s="146"/>
      <c r="H644" s="146"/>
      <c r="I644" s="146"/>
      <c r="J644" s="146"/>
      <c r="K644" s="146"/>
      <c r="L644" s="146"/>
      <c r="M644" s="146"/>
      <c r="N644" s="146"/>
      <c r="O644" s="146"/>
      <c r="P644" s="146"/>
      <c r="Q644" s="146"/>
      <c r="R644" s="146"/>
      <c r="S644" s="146"/>
      <c r="T644" s="146"/>
      <c r="U644" s="146"/>
      <c r="V644" s="146"/>
      <c r="W644" s="146"/>
      <c r="X644" s="146"/>
      <c r="Y644" s="146"/>
      <c r="Z644" s="146"/>
      <c r="AA644" s="146"/>
      <c r="AB644" s="146"/>
      <c r="AC644" s="146"/>
      <c r="AD644" s="146"/>
      <c r="AE644" s="146"/>
      <c r="AF644" s="146"/>
      <c r="AG644" s="146"/>
    </row>
    <row r="645" spans="1:33" ht="12.75">
      <c r="A645" s="148"/>
      <c r="B645" s="146"/>
      <c r="C645" s="146"/>
      <c r="D645" s="146"/>
      <c r="E645" s="146"/>
      <c r="F645" s="146"/>
      <c r="G645" s="146"/>
      <c r="H645" s="146"/>
      <c r="I645" s="146"/>
      <c r="J645" s="146"/>
      <c r="K645" s="146"/>
      <c r="L645" s="146"/>
      <c r="M645" s="146"/>
      <c r="N645" s="146"/>
      <c r="O645" s="146"/>
      <c r="P645" s="146"/>
      <c r="Q645" s="146"/>
      <c r="R645" s="146"/>
      <c r="S645" s="146"/>
      <c r="T645" s="146"/>
      <c r="U645" s="146"/>
      <c r="V645" s="146"/>
      <c r="W645" s="146"/>
      <c r="X645" s="146"/>
      <c r="Y645" s="146"/>
      <c r="Z645" s="146"/>
      <c r="AA645" s="146"/>
      <c r="AB645" s="146"/>
      <c r="AC645" s="146"/>
      <c r="AD645" s="146"/>
      <c r="AE645" s="146"/>
      <c r="AF645" s="146"/>
      <c r="AG645" s="146"/>
    </row>
    <row r="646" spans="1:33" ht="12.75">
      <c r="A646" s="148"/>
      <c r="B646" s="146"/>
      <c r="C646" s="146"/>
      <c r="D646" s="146"/>
      <c r="E646" s="146"/>
      <c r="F646" s="146"/>
      <c r="G646" s="146"/>
      <c r="H646" s="146"/>
      <c r="I646" s="146"/>
      <c r="J646" s="146"/>
      <c r="K646" s="146"/>
      <c r="L646" s="146"/>
      <c r="M646" s="146"/>
      <c r="N646" s="146"/>
      <c r="O646" s="146"/>
      <c r="P646" s="146"/>
      <c r="Q646" s="146"/>
      <c r="R646" s="146"/>
      <c r="S646" s="146"/>
      <c r="T646" s="146"/>
      <c r="U646" s="146"/>
      <c r="V646" s="146"/>
      <c r="W646" s="146"/>
      <c r="X646" s="146"/>
      <c r="Y646" s="146"/>
      <c r="Z646" s="146"/>
      <c r="AA646" s="146"/>
      <c r="AB646" s="146"/>
      <c r="AC646" s="146"/>
      <c r="AD646" s="146"/>
      <c r="AE646" s="146"/>
      <c r="AF646" s="146"/>
      <c r="AG646" s="146"/>
    </row>
    <row r="647" spans="1:33" ht="12.75">
      <c r="A647" s="148"/>
      <c r="B647" s="146"/>
      <c r="C647" s="146"/>
      <c r="D647" s="146"/>
      <c r="E647" s="146"/>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c r="AB647" s="146"/>
      <c r="AC647" s="146"/>
      <c r="AD647" s="146"/>
      <c r="AE647" s="146"/>
      <c r="AF647" s="146"/>
      <c r="AG647" s="146"/>
    </row>
    <row r="648" spans="1:33" ht="12.75">
      <c r="A648" s="148"/>
      <c r="B648" s="146"/>
      <c r="C648" s="146"/>
      <c r="D648" s="146"/>
      <c r="E648" s="146"/>
      <c r="F648" s="146"/>
      <c r="G648" s="146"/>
      <c r="H648" s="146"/>
      <c r="I648" s="146"/>
      <c r="J648" s="146"/>
      <c r="K648" s="146"/>
      <c r="L648" s="146"/>
      <c r="M648" s="146"/>
      <c r="N648" s="146"/>
      <c r="O648" s="146"/>
      <c r="P648" s="146"/>
      <c r="Q648" s="146"/>
      <c r="R648" s="146"/>
      <c r="S648" s="146"/>
      <c r="T648" s="146"/>
      <c r="U648" s="146"/>
      <c r="V648" s="146"/>
      <c r="W648" s="146"/>
      <c r="X648" s="146"/>
      <c r="Y648" s="146"/>
      <c r="Z648" s="146"/>
      <c r="AA648" s="146"/>
      <c r="AB648" s="146"/>
      <c r="AC648" s="146"/>
      <c r="AD648" s="146"/>
      <c r="AE648" s="146"/>
      <c r="AF648" s="146"/>
      <c r="AG648" s="146"/>
    </row>
    <row r="649" spans="1:33" ht="12.75">
      <c r="A649" s="148"/>
      <c r="B649" s="146"/>
      <c r="C649" s="146"/>
      <c r="D649" s="146"/>
      <c r="E649" s="146"/>
      <c r="F649" s="146"/>
      <c r="G649" s="146"/>
      <c r="H649" s="146"/>
      <c r="I649" s="146"/>
      <c r="J649" s="146"/>
      <c r="K649" s="146"/>
      <c r="L649" s="146"/>
      <c r="M649" s="146"/>
      <c r="N649" s="146"/>
      <c r="O649" s="146"/>
      <c r="P649" s="146"/>
      <c r="Q649" s="146"/>
      <c r="R649" s="146"/>
      <c r="S649" s="146"/>
      <c r="T649" s="146"/>
      <c r="U649" s="146"/>
      <c r="V649" s="146"/>
      <c r="W649" s="146"/>
      <c r="X649" s="146"/>
      <c r="Y649" s="146"/>
      <c r="Z649" s="146"/>
      <c r="AA649" s="146"/>
      <c r="AB649" s="146"/>
      <c r="AC649" s="146"/>
      <c r="AD649" s="146"/>
      <c r="AE649" s="146"/>
      <c r="AF649" s="146"/>
      <c r="AG649" s="146"/>
    </row>
    <row r="650" spans="1:33" ht="12.75">
      <c r="A650" s="148"/>
      <c r="B650" s="146"/>
      <c r="C650" s="146"/>
      <c r="D650" s="146"/>
      <c r="E650" s="146"/>
      <c r="F650" s="146"/>
      <c r="G650" s="146"/>
      <c r="H650" s="146"/>
      <c r="I650" s="146"/>
      <c r="J650" s="146"/>
      <c r="K650" s="146"/>
      <c r="L650" s="146"/>
      <c r="M650" s="146"/>
      <c r="N650" s="146"/>
      <c r="O650" s="146"/>
      <c r="P650" s="146"/>
      <c r="Q650" s="146"/>
      <c r="R650" s="146"/>
      <c r="S650" s="146"/>
      <c r="T650" s="146"/>
      <c r="U650" s="146"/>
      <c r="V650" s="146"/>
      <c r="W650" s="146"/>
      <c r="X650" s="146"/>
      <c r="Y650" s="146"/>
      <c r="Z650" s="146"/>
      <c r="AA650" s="146"/>
      <c r="AB650" s="146"/>
      <c r="AC650" s="146"/>
      <c r="AD650" s="146"/>
      <c r="AE650" s="146"/>
      <c r="AF650" s="146"/>
      <c r="AG650" s="146"/>
    </row>
    <row r="651" spans="1:33" ht="12.75">
      <c r="A651" s="148"/>
      <c r="B651" s="146"/>
      <c r="C651" s="146"/>
      <c r="D651" s="146"/>
      <c r="E651" s="146"/>
      <c r="F651" s="146"/>
      <c r="G651" s="146"/>
      <c r="H651" s="146"/>
      <c r="I651" s="146"/>
      <c r="J651" s="146"/>
      <c r="K651" s="146"/>
      <c r="L651" s="146"/>
      <c r="M651" s="146"/>
      <c r="N651" s="146"/>
      <c r="O651" s="146"/>
      <c r="P651" s="146"/>
      <c r="Q651" s="146"/>
      <c r="R651" s="146"/>
      <c r="S651" s="146"/>
      <c r="T651" s="146"/>
      <c r="U651" s="146"/>
      <c r="V651" s="146"/>
      <c r="W651" s="146"/>
      <c r="X651" s="146"/>
      <c r="Y651" s="146"/>
      <c r="Z651" s="146"/>
      <c r="AA651" s="146"/>
      <c r="AB651" s="146"/>
      <c r="AC651" s="146"/>
      <c r="AD651" s="146"/>
      <c r="AE651" s="146"/>
      <c r="AF651" s="146"/>
      <c r="AG651" s="146"/>
    </row>
    <row r="652" spans="1:33" ht="12.75">
      <c r="A652" s="148"/>
      <c r="B652" s="146"/>
      <c r="C652" s="146"/>
      <c r="D652" s="146"/>
      <c r="E652" s="146"/>
      <c r="F652" s="146"/>
      <c r="G652" s="146"/>
      <c r="H652" s="146"/>
      <c r="I652" s="146"/>
      <c r="J652" s="146"/>
      <c r="K652" s="146"/>
      <c r="L652" s="146"/>
      <c r="M652" s="146"/>
      <c r="N652" s="146"/>
      <c r="O652" s="146"/>
      <c r="P652" s="146"/>
      <c r="Q652" s="146"/>
      <c r="R652" s="146"/>
      <c r="S652" s="146"/>
      <c r="T652" s="146"/>
      <c r="U652" s="146"/>
      <c r="V652" s="146"/>
      <c r="W652" s="146"/>
      <c r="X652" s="146"/>
      <c r="Y652" s="146"/>
      <c r="Z652" s="146"/>
      <c r="AA652" s="146"/>
      <c r="AB652" s="146"/>
      <c r="AC652" s="146"/>
      <c r="AD652" s="146"/>
      <c r="AE652" s="146"/>
      <c r="AF652" s="146"/>
      <c r="AG652" s="146"/>
    </row>
    <row r="653" spans="1:33" ht="12.75">
      <c r="A653" s="148"/>
      <c r="B653" s="146"/>
      <c r="C653" s="146"/>
      <c r="D653" s="146"/>
      <c r="E653" s="146"/>
      <c r="F653" s="146"/>
      <c r="G653" s="146"/>
      <c r="H653" s="146"/>
      <c r="I653" s="146"/>
      <c r="J653" s="146"/>
      <c r="K653" s="146"/>
      <c r="L653" s="146"/>
      <c r="M653" s="146"/>
      <c r="N653" s="146"/>
      <c r="O653" s="146"/>
      <c r="P653" s="146"/>
      <c r="Q653" s="146"/>
      <c r="R653" s="146"/>
      <c r="S653" s="146"/>
      <c r="T653" s="146"/>
      <c r="U653" s="146"/>
      <c r="V653" s="146"/>
      <c r="W653" s="146"/>
      <c r="X653" s="146"/>
      <c r="Y653" s="146"/>
      <c r="Z653" s="146"/>
      <c r="AA653" s="146"/>
      <c r="AB653" s="146"/>
      <c r="AC653" s="146"/>
      <c r="AD653" s="146"/>
      <c r="AE653" s="146"/>
      <c r="AF653" s="146"/>
      <c r="AG653" s="146"/>
    </row>
    <row r="654" spans="1:33" ht="12.75">
      <c r="A654" s="148"/>
      <c r="B654" s="146"/>
      <c r="C654" s="146"/>
      <c r="D654" s="146"/>
      <c r="E654" s="146"/>
      <c r="F654" s="146"/>
      <c r="G654" s="146"/>
      <c r="H654" s="146"/>
      <c r="I654" s="146"/>
      <c r="J654" s="146"/>
      <c r="K654" s="146"/>
      <c r="L654" s="146"/>
      <c r="M654" s="146"/>
      <c r="N654" s="146"/>
      <c r="O654" s="146"/>
      <c r="P654" s="146"/>
      <c r="Q654" s="146"/>
      <c r="R654" s="146"/>
      <c r="S654" s="146"/>
      <c r="T654" s="146"/>
      <c r="U654" s="146"/>
      <c r="V654" s="146"/>
      <c r="W654" s="146"/>
      <c r="X654" s="146"/>
      <c r="Y654" s="146"/>
      <c r="Z654" s="146"/>
      <c r="AA654" s="146"/>
      <c r="AB654" s="146"/>
      <c r="AC654" s="146"/>
      <c r="AD654" s="146"/>
      <c r="AE654" s="146"/>
      <c r="AF654" s="146"/>
      <c r="AG654" s="146"/>
    </row>
    <row r="655" spans="1:33" ht="12.75">
      <c r="A655" s="148"/>
      <c r="B655" s="146"/>
      <c r="C655" s="146"/>
      <c r="D655" s="146"/>
      <c r="E655" s="146"/>
      <c r="F655" s="146"/>
      <c r="G655" s="146"/>
      <c r="H655" s="146"/>
      <c r="I655" s="146"/>
      <c r="J655" s="146"/>
      <c r="K655" s="146"/>
      <c r="L655" s="146"/>
      <c r="M655" s="146"/>
      <c r="N655" s="146"/>
      <c r="O655" s="146"/>
      <c r="P655" s="146"/>
      <c r="Q655" s="146"/>
      <c r="R655" s="146"/>
      <c r="S655" s="146"/>
      <c r="T655" s="146"/>
      <c r="U655" s="146"/>
      <c r="V655" s="146"/>
      <c r="W655" s="146"/>
      <c r="X655" s="146"/>
      <c r="Y655" s="146"/>
      <c r="Z655" s="146"/>
      <c r="AA655" s="146"/>
      <c r="AB655" s="146"/>
      <c r="AC655" s="146"/>
      <c r="AD655" s="146"/>
      <c r="AE655" s="146"/>
      <c r="AF655" s="146"/>
      <c r="AG655" s="146"/>
    </row>
    <row r="656" spans="1:33" ht="12.75">
      <c r="A656" s="148"/>
      <c r="B656" s="146"/>
      <c r="C656" s="146"/>
      <c r="D656" s="146"/>
      <c r="E656" s="146"/>
      <c r="F656" s="146"/>
      <c r="G656" s="146"/>
      <c r="H656" s="146"/>
      <c r="I656" s="146"/>
      <c r="J656" s="146"/>
      <c r="K656" s="146"/>
      <c r="L656" s="146"/>
      <c r="M656" s="146"/>
      <c r="N656" s="146"/>
      <c r="O656" s="146"/>
      <c r="P656" s="146"/>
      <c r="Q656" s="146"/>
      <c r="R656" s="146"/>
      <c r="S656" s="146"/>
      <c r="T656" s="146"/>
      <c r="U656" s="146"/>
      <c r="V656" s="146"/>
      <c r="W656" s="146"/>
      <c r="X656" s="146"/>
      <c r="Y656" s="146"/>
      <c r="Z656" s="146"/>
      <c r="AA656" s="146"/>
      <c r="AB656" s="146"/>
      <c r="AC656" s="146"/>
      <c r="AD656" s="146"/>
      <c r="AE656" s="146"/>
      <c r="AF656" s="146"/>
      <c r="AG656" s="146"/>
    </row>
    <row r="657" spans="1:33" ht="12.75">
      <c r="A657" s="148"/>
      <c r="B657" s="146"/>
      <c r="C657" s="146"/>
      <c r="D657" s="146"/>
      <c r="E657" s="146"/>
      <c r="F657" s="146"/>
      <c r="G657" s="146"/>
      <c r="H657" s="146"/>
      <c r="I657" s="146"/>
      <c r="J657" s="146"/>
      <c r="K657" s="146"/>
      <c r="L657" s="146"/>
      <c r="M657" s="146"/>
      <c r="N657" s="146"/>
      <c r="O657" s="146"/>
      <c r="P657" s="146"/>
      <c r="Q657" s="146"/>
      <c r="R657" s="146"/>
      <c r="S657" s="146"/>
      <c r="T657" s="146"/>
      <c r="U657" s="146"/>
      <c r="V657" s="146"/>
      <c r="W657" s="146"/>
      <c r="X657" s="146"/>
      <c r="Y657" s="146"/>
      <c r="Z657" s="146"/>
      <c r="AA657" s="146"/>
      <c r="AB657" s="146"/>
      <c r="AC657" s="146"/>
      <c r="AD657" s="146"/>
      <c r="AE657" s="146"/>
      <c r="AF657" s="146"/>
      <c r="AG657" s="146"/>
    </row>
    <row r="658" spans="1:33" ht="12.75">
      <c r="A658" s="148"/>
      <c r="B658" s="146"/>
      <c r="C658" s="146"/>
      <c r="D658" s="146"/>
      <c r="E658" s="146"/>
      <c r="F658" s="146"/>
      <c r="G658" s="146"/>
      <c r="H658" s="146"/>
      <c r="I658" s="146"/>
      <c r="J658" s="146"/>
      <c r="K658" s="146"/>
      <c r="L658" s="146"/>
      <c r="M658" s="146"/>
      <c r="N658" s="146"/>
      <c r="O658" s="146"/>
      <c r="P658" s="146"/>
      <c r="Q658" s="146"/>
      <c r="R658" s="146"/>
      <c r="S658" s="146"/>
      <c r="T658" s="146"/>
      <c r="U658" s="146"/>
      <c r="V658" s="146"/>
      <c r="W658" s="146"/>
      <c r="X658" s="146"/>
      <c r="Y658" s="146"/>
      <c r="Z658" s="146"/>
      <c r="AA658" s="146"/>
      <c r="AB658" s="146"/>
      <c r="AC658" s="146"/>
      <c r="AD658" s="146"/>
      <c r="AE658" s="146"/>
      <c r="AF658" s="146"/>
      <c r="AG658" s="146"/>
    </row>
    <row r="659" spans="1:33" ht="12.75">
      <c r="A659" s="148"/>
      <c r="B659" s="146"/>
      <c r="C659" s="146"/>
      <c r="D659" s="146"/>
      <c r="E659" s="146"/>
      <c r="F659" s="146"/>
      <c r="G659" s="146"/>
      <c r="H659" s="146"/>
      <c r="I659" s="146"/>
      <c r="J659" s="146"/>
      <c r="K659" s="146"/>
      <c r="L659" s="146"/>
      <c r="M659" s="146"/>
      <c r="N659" s="146"/>
      <c r="O659" s="146"/>
      <c r="P659" s="146"/>
      <c r="Q659" s="146"/>
      <c r="R659" s="146"/>
      <c r="S659" s="146"/>
      <c r="T659" s="146"/>
      <c r="U659" s="146"/>
      <c r="V659" s="146"/>
      <c r="W659" s="146"/>
      <c r="X659" s="146"/>
      <c r="Y659" s="146"/>
      <c r="Z659" s="146"/>
      <c r="AA659" s="146"/>
      <c r="AB659" s="146"/>
      <c r="AC659" s="146"/>
      <c r="AD659" s="146"/>
      <c r="AE659" s="146"/>
      <c r="AF659" s="146"/>
      <c r="AG659" s="146"/>
    </row>
    <row r="660" spans="1:33" ht="12.75">
      <c r="A660" s="148"/>
      <c r="B660" s="146"/>
      <c r="C660" s="146"/>
      <c r="D660" s="146"/>
      <c r="E660" s="146"/>
      <c r="F660" s="146"/>
      <c r="G660" s="146"/>
      <c r="H660" s="146"/>
      <c r="I660" s="146"/>
      <c r="J660" s="146"/>
      <c r="K660" s="146"/>
      <c r="L660" s="146"/>
      <c r="M660" s="146"/>
      <c r="N660" s="146"/>
      <c r="O660" s="146"/>
      <c r="P660" s="146"/>
      <c r="Q660" s="146"/>
      <c r="R660" s="146"/>
      <c r="S660" s="146"/>
      <c r="T660" s="146"/>
      <c r="U660" s="146"/>
      <c r="V660" s="146"/>
      <c r="W660" s="146"/>
      <c r="X660" s="146"/>
      <c r="Y660" s="146"/>
      <c r="Z660" s="146"/>
      <c r="AA660" s="146"/>
      <c r="AB660" s="146"/>
      <c r="AC660" s="146"/>
      <c r="AD660" s="146"/>
      <c r="AE660" s="146"/>
      <c r="AF660" s="146"/>
      <c r="AG660" s="146"/>
    </row>
    <row r="661" spans="1:33" ht="12.75">
      <c r="A661" s="148"/>
      <c r="B661" s="146"/>
      <c r="C661" s="146"/>
      <c r="D661" s="146"/>
      <c r="E661" s="146"/>
      <c r="F661" s="146"/>
      <c r="G661" s="146"/>
      <c r="H661" s="146"/>
      <c r="I661" s="146"/>
      <c r="J661" s="146"/>
      <c r="K661" s="146"/>
      <c r="L661" s="146"/>
      <c r="M661" s="146"/>
      <c r="N661" s="146"/>
      <c r="O661" s="146"/>
      <c r="P661" s="146"/>
      <c r="Q661" s="146"/>
      <c r="R661" s="146"/>
      <c r="S661" s="146"/>
      <c r="T661" s="146"/>
      <c r="U661" s="146"/>
      <c r="V661" s="146"/>
      <c r="W661" s="146"/>
      <c r="X661" s="146"/>
      <c r="Y661" s="146"/>
      <c r="Z661" s="146"/>
      <c r="AA661" s="146"/>
      <c r="AB661" s="146"/>
      <c r="AC661" s="146"/>
      <c r="AD661" s="146"/>
      <c r="AE661" s="146"/>
      <c r="AF661" s="146"/>
      <c r="AG661" s="146"/>
    </row>
    <row r="662" spans="1:33" ht="12.75">
      <c r="A662" s="148"/>
      <c r="B662" s="146"/>
      <c r="C662" s="146"/>
      <c r="D662" s="146"/>
      <c r="E662" s="146"/>
      <c r="F662" s="146"/>
      <c r="G662" s="146"/>
      <c r="H662" s="146"/>
      <c r="I662" s="146"/>
      <c r="J662" s="146"/>
      <c r="K662" s="146"/>
      <c r="L662" s="146"/>
      <c r="M662" s="146"/>
      <c r="N662" s="146"/>
      <c r="O662" s="146"/>
      <c r="P662" s="146"/>
      <c r="Q662" s="146"/>
      <c r="R662" s="146"/>
      <c r="S662" s="146"/>
      <c r="T662" s="146"/>
      <c r="U662" s="146"/>
      <c r="V662" s="146"/>
      <c r="W662" s="146"/>
      <c r="X662" s="146"/>
      <c r="Y662" s="146"/>
      <c r="Z662" s="146"/>
      <c r="AA662" s="146"/>
      <c r="AB662" s="146"/>
      <c r="AC662" s="146"/>
      <c r="AD662" s="146"/>
      <c r="AE662" s="146"/>
      <c r="AF662" s="146"/>
      <c r="AG662" s="146"/>
    </row>
    <row r="663" spans="1:33" ht="12.75">
      <c r="A663" s="148"/>
      <c r="B663" s="146"/>
      <c r="C663" s="146"/>
      <c r="D663" s="146"/>
      <c r="E663" s="146"/>
      <c r="F663" s="146"/>
      <c r="G663" s="146"/>
      <c r="H663" s="146"/>
      <c r="I663" s="146"/>
      <c r="J663" s="146"/>
      <c r="K663" s="146"/>
      <c r="L663" s="146"/>
      <c r="M663" s="146"/>
      <c r="N663" s="146"/>
      <c r="O663" s="146"/>
      <c r="P663" s="146"/>
      <c r="Q663" s="146"/>
      <c r="R663" s="146"/>
      <c r="S663" s="146"/>
      <c r="T663" s="146"/>
      <c r="U663" s="146"/>
      <c r="V663" s="146"/>
      <c r="W663" s="146"/>
      <c r="X663" s="146"/>
      <c r="Y663" s="146"/>
      <c r="Z663" s="146"/>
      <c r="AA663" s="146"/>
      <c r="AB663" s="146"/>
      <c r="AC663" s="146"/>
      <c r="AD663" s="146"/>
      <c r="AE663" s="146"/>
      <c r="AF663" s="146"/>
      <c r="AG663" s="146"/>
    </row>
    <row r="664" spans="1:33" ht="12.75">
      <c r="A664" s="148"/>
      <c r="B664" s="146"/>
      <c r="C664" s="146"/>
      <c r="D664" s="146"/>
      <c r="E664" s="146"/>
      <c r="F664" s="146"/>
      <c r="G664" s="146"/>
      <c r="H664" s="146"/>
      <c r="I664" s="146"/>
      <c r="J664" s="146"/>
      <c r="K664" s="146"/>
      <c r="L664" s="146"/>
      <c r="M664" s="146"/>
      <c r="N664" s="146"/>
      <c r="O664" s="146"/>
      <c r="P664" s="146"/>
      <c r="Q664" s="146"/>
      <c r="R664" s="146"/>
      <c r="S664" s="146"/>
      <c r="T664" s="146"/>
      <c r="U664" s="146"/>
      <c r="V664" s="146"/>
      <c r="W664" s="146"/>
      <c r="X664" s="146"/>
      <c r="Y664" s="146"/>
      <c r="Z664" s="146"/>
      <c r="AA664" s="146"/>
      <c r="AB664" s="146"/>
      <c r="AC664" s="146"/>
      <c r="AD664" s="146"/>
      <c r="AE664" s="146"/>
      <c r="AF664" s="146"/>
      <c r="AG664" s="146"/>
    </row>
    <row r="665" spans="1:33" ht="12.75">
      <c r="A665" s="148"/>
      <c r="B665" s="146"/>
      <c r="C665" s="146"/>
      <c r="D665" s="146"/>
      <c r="E665" s="146"/>
      <c r="F665" s="146"/>
      <c r="G665" s="146"/>
      <c r="H665" s="146"/>
      <c r="I665" s="146"/>
      <c r="J665" s="146"/>
      <c r="K665" s="146"/>
      <c r="L665" s="146"/>
      <c r="M665" s="146"/>
      <c r="N665" s="146"/>
      <c r="O665" s="146"/>
      <c r="P665" s="146"/>
      <c r="Q665" s="146"/>
      <c r="R665" s="146"/>
      <c r="S665" s="146"/>
      <c r="T665" s="146"/>
      <c r="U665" s="146"/>
      <c r="V665" s="146"/>
      <c r="W665" s="146"/>
      <c r="X665" s="146"/>
      <c r="Y665" s="146"/>
      <c r="Z665" s="146"/>
      <c r="AA665" s="146"/>
      <c r="AB665" s="146"/>
      <c r="AC665" s="146"/>
      <c r="AD665" s="146"/>
      <c r="AE665" s="146"/>
      <c r="AF665" s="146"/>
      <c r="AG665" s="146"/>
    </row>
    <row r="666" spans="1:33" ht="12.75">
      <c r="A666" s="148"/>
      <c r="B666" s="146"/>
      <c r="C666" s="146"/>
      <c r="D666" s="146"/>
      <c r="E666" s="146"/>
      <c r="F666" s="146"/>
      <c r="G666" s="146"/>
      <c r="H666" s="146"/>
      <c r="I666" s="146"/>
      <c r="J666" s="146"/>
      <c r="K666" s="146"/>
      <c r="L666" s="146"/>
      <c r="M666" s="146"/>
      <c r="N666" s="146"/>
      <c r="O666" s="146"/>
      <c r="P666" s="146"/>
      <c r="Q666" s="146"/>
      <c r="R666" s="146"/>
      <c r="S666" s="146"/>
      <c r="T666" s="146"/>
      <c r="U666" s="146"/>
      <c r="V666" s="146"/>
      <c r="W666" s="146"/>
      <c r="X666" s="146"/>
      <c r="Y666" s="146"/>
      <c r="Z666" s="146"/>
      <c r="AA666" s="146"/>
      <c r="AB666" s="146"/>
      <c r="AC666" s="146"/>
      <c r="AD666" s="146"/>
      <c r="AE666" s="146"/>
      <c r="AF666" s="146"/>
      <c r="AG666" s="146"/>
    </row>
    <row r="667" spans="1:33" ht="12.75">
      <c r="A667" s="148"/>
      <c r="B667" s="146"/>
      <c r="C667" s="146"/>
      <c r="D667" s="146"/>
      <c r="E667" s="146"/>
      <c r="F667" s="146"/>
      <c r="G667" s="146"/>
      <c r="H667" s="146"/>
      <c r="I667" s="146"/>
      <c r="J667" s="146"/>
      <c r="K667" s="146"/>
      <c r="L667" s="146"/>
      <c r="M667" s="146"/>
      <c r="N667" s="146"/>
      <c r="O667" s="146"/>
      <c r="P667" s="146"/>
      <c r="Q667" s="146"/>
      <c r="R667" s="146"/>
      <c r="S667" s="146"/>
      <c r="T667" s="146"/>
      <c r="U667" s="146"/>
      <c r="V667" s="146"/>
      <c r="W667" s="146"/>
      <c r="X667" s="146"/>
      <c r="Y667" s="146"/>
      <c r="Z667" s="146"/>
      <c r="AA667" s="146"/>
      <c r="AB667" s="146"/>
      <c r="AC667" s="146"/>
      <c r="AD667" s="146"/>
      <c r="AE667" s="146"/>
      <c r="AF667" s="146"/>
      <c r="AG667" s="146"/>
    </row>
    <row r="668" spans="1:33" ht="12.75">
      <c r="A668" s="148"/>
      <c r="B668" s="146"/>
      <c r="C668" s="146"/>
      <c r="D668" s="146"/>
      <c r="E668" s="146"/>
      <c r="F668" s="146"/>
      <c r="G668" s="146"/>
      <c r="H668" s="146"/>
      <c r="I668" s="146"/>
      <c r="J668" s="146"/>
      <c r="K668" s="146"/>
      <c r="L668" s="146"/>
      <c r="M668" s="146"/>
      <c r="N668" s="146"/>
      <c r="O668" s="146"/>
      <c r="P668" s="146"/>
      <c r="Q668" s="146"/>
      <c r="R668" s="146"/>
      <c r="S668" s="146"/>
      <c r="T668" s="146"/>
      <c r="U668" s="146"/>
      <c r="V668" s="146"/>
      <c r="W668" s="146"/>
      <c r="X668" s="146"/>
      <c r="Y668" s="146"/>
      <c r="Z668" s="146"/>
      <c r="AA668" s="146"/>
      <c r="AB668" s="146"/>
      <c r="AC668" s="146"/>
      <c r="AD668" s="146"/>
      <c r="AE668" s="146"/>
      <c r="AF668" s="146"/>
      <c r="AG668" s="146"/>
    </row>
    <row r="669" spans="1:33" ht="12.75">
      <c r="A669" s="148"/>
      <c r="B669" s="146"/>
      <c r="C669" s="146"/>
      <c r="D669" s="146"/>
      <c r="E669" s="146"/>
      <c r="F669" s="146"/>
      <c r="G669" s="146"/>
      <c r="H669" s="146"/>
      <c r="I669" s="146"/>
      <c r="J669" s="146"/>
      <c r="K669" s="146"/>
      <c r="L669" s="146"/>
      <c r="M669" s="146"/>
      <c r="N669" s="146"/>
      <c r="O669" s="146"/>
      <c r="P669" s="146"/>
      <c r="Q669" s="146"/>
      <c r="R669" s="146"/>
      <c r="S669" s="146"/>
      <c r="T669" s="146"/>
      <c r="U669" s="146"/>
      <c r="V669" s="146"/>
      <c r="W669" s="146"/>
      <c r="X669" s="146"/>
      <c r="Y669" s="146"/>
      <c r="Z669" s="146"/>
      <c r="AA669" s="146"/>
      <c r="AB669" s="146"/>
      <c r="AC669" s="146"/>
      <c r="AD669" s="146"/>
      <c r="AE669" s="146"/>
      <c r="AF669" s="146"/>
      <c r="AG669" s="146"/>
    </row>
    <row r="670" spans="1:33" ht="12.75">
      <c r="A670" s="148"/>
      <c r="B670" s="146"/>
      <c r="C670" s="146"/>
      <c r="D670" s="146"/>
      <c r="E670" s="146"/>
      <c r="F670" s="146"/>
      <c r="G670" s="146"/>
      <c r="H670" s="146"/>
      <c r="I670" s="146"/>
      <c r="J670" s="146"/>
      <c r="K670" s="146"/>
      <c r="L670" s="146"/>
      <c r="M670" s="146"/>
      <c r="N670" s="146"/>
      <c r="O670" s="146"/>
      <c r="P670" s="146"/>
      <c r="Q670" s="146"/>
      <c r="R670" s="146"/>
      <c r="S670" s="146"/>
      <c r="T670" s="146"/>
      <c r="U670" s="146"/>
      <c r="V670" s="146"/>
      <c r="W670" s="146"/>
      <c r="X670" s="146"/>
      <c r="Y670" s="146"/>
      <c r="Z670" s="146"/>
      <c r="AA670" s="146"/>
      <c r="AB670" s="146"/>
      <c r="AC670" s="146"/>
      <c r="AD670" s="146"/>
      <c r="AE670" s="146"/>
      <c r="AF670" s="146"/>
      <c r="AG670" s="146"/>
    </row>
    <row r="671" spans="1:33" ht="12.75">
      <c r="A671" s="148"/>
      <c r="B671" s="146"/>
      <c r="C671" s="146"/>
      <c r="D671" s="146"/>
      <c r="E671" s="146"/>
      <c r="F671" s="146"/>
      <c r="G671" s="146"/>
      <c r="H671" s="146"/>
      <c r="I671" s="146"/>
      <c r="J671" s="146"/>
      <c r="K671" s="146"/>
      <c r="L671" s="146"/>
      <c r="M671" s="146"/>
      <c r="N671" s="146"/>
      <c r="O671" s="146"/>
      <c r="P671" s="146"/>
      <c r="Q671" s="146"/>
      <c r="R671" s="146"/>
      <c r="S671" s="146"/>
      <c r="T671" s="146"/>
      <c r="U671" s="146"/>
      <c r="V671" s="146"/>
      <c r="W671" s="146"/>
      <c r="X671" s="146"/>
      <c r="Y671" s="146"/>
      <c r="Z671" s="146"/>
      <c r="AA671" s="146"/>
      <c r="AB671" s="146"/>
      <c r="AC671" s="146"/>
      <c r="AD671" s="146"/>
      <c r="AE671" s="146"/>
      <c r="AF671" s="146"/>
      <c r="AG671" s="146"/>
    </row>
    <row r="672" spans="1:33" ht="12.75">
      <c r="A672" s="148"/>
      <c r="B672" s="146"/>
      <c r="C672" s="146"/>
      <c r="D672" s="146"/>
      <c r="E672" s="146"/>
      <c r="F672" s="146"/>
      <c r="G672" s="146"/>
      <c r="H672" s="146"/>
      <c r="I672" s="146"/>
      <c r="J672" s="146"/>
      <c r="K672" s="146"/>
      <c r="L672" s="146"/>
      <c r="M672" s="146"/>
      <c r="N672" s="146"/>
      <c r="O672" s="146"/>
      <c r="P672" s="146"/>
      <c r="Q672" s="146"/>
      <c r="R672" s="146"/>
      <c r="S672" s="146"/>
      <c r="T672" s="146"/>
      <c r="U672" s="146"/>
      <c r="V672" s="146"/>
      <c r="W672" s="146"/>
      <c r="X672" s="146"/>
      <c r="Y672" s="146"/>
      <c r="Z672" s="146"/>
      <c r="AA672" s="146"/>
      <c r="AB672" s="146"/>
      <c r="AC672" s="146"/>
      <c r="AD672" s="146"/>
      <c r="AE672" s="146"/>
      <c r="AF672" s="146"/>
      <c r="AG672" s="146"/>
    </row>
    <row r="673" spans="1:33" ht="12.75">
      <c r="A673" s="148"/>
      <c r="B673" s="146"/>
      <c r="C673" s="146"/>
      <c r="D673" s="146"/>
      <c r="E673" s="146"/>
      <c r="F673" s="146"/>
      <c r="G673" s="146"/>
      <c r="H673" s="146"/>
      <c r="I673" s="146"/>
      <c r="J673" s="146"/>
      <c r="K673" s="146"/>
      <c r="L673" s="146"/>
      <c r="M673" s="146"/>
      <c r="N673" s="146"/>
      <c r="O673" s="146"/>
      <c r="P673" s="146"/>
      <c r="Q673" s="146"/>
      <c r="R673" s="146"/>
      <c r="S673" s="146"/>
      <c r="T673" s="146"/>
      <c r="U673" s="146"/>
      <c r="V673" s="146"/>
      <c r="W673" s="146"/>
      <c r="X673" s="146"/>
      <c r="Y673" s="146"/>
      <c r="Z673" s="146"/>
      <c r="AA673" s="146"/>
      <c r="AB673" s="146"/>
      <c r="AC673" s="146"/>
      <c r="AD673" s="146"/>
      <c r="AE673" s="146"/>
      <c r="AF673" s="146"/>
      <c r="AG673" s="146"/>
    </row>
    <row r="674" spans="1:33" ht="12.75">
      <c r="A674" s="148"/>
      <c r="B674" s="146"/>
      <c r="C674" s="146"/>
      <c r="D674" s="146"/>
      <c r="E674" s="146"/>
      <c r="F674" s="146"/>
      <c r="G674" s="146"/>
      <c r="H674" s="146"/>
      <c r="I674" s="146"/>
      <c r="J674" s="146"/>
      <c r="K674" s="146"/>
      <c r="L674" s="146"/>
      <c r="M674" s="146"/>
      <c r="N674" s="146"/>
      <c r="O674" s="146"/>
      <c r="P674" s="146"/>
      <c r="Q674" s="146"/>
      <c r="R674" s="146"/>
      <c r="S674" s="146"/>
      <c r="T674" s="146"/>
      <c r="U674" s="146"/>
      <c r="V674" s="146"/>
      <c r="W674" s="146"/>
      <c r="X674" s="146"/>
      <c r="Y674" s="146"/>
      <c r="Z674" s="146"/>
      <c r="AA674" s="146"/>
      <c r="AB674" s="146"/>
      <c r="AC674" s="146"/>
      <c r="AD674" s="146"/>
      <c r="AE674" s="146"/>
      <c r="AF674" s="146"/>
      <c r="AG674" s="146"/>
    </row>
    <row r="675" spans="1:33" ht="12.75">
      <c r="A675" s="148"/>
      <c r="B675" s="146"/>
      <c r="C675" s="146"/>
      <c r="D675" s="146"/>
      <c r="E675" s="146"/>
      <c r="F675" s="146"/>
      <c r="G675" s="146"/>
      <c r="H675" s="146"/>
      <c r="I675" s="146"/>
      <c r="J675" s="146"/>
      <c r="K675" s="146"/>
      <c r="L675" s="146"/>
      <c r="M675" s="146"/>
      <c r="N675" s="146"/>
      <c r="O675" s="146"/>
      <c r="P675" s="146"/>
      <c r="Q675" s="146"/>
      <c r="R675" s="146"/>
      <c r="S675" s="146"/>
      <c r="T675" s="146"/>
      <c r="U675" s="146"/>
      <c r="V675" s="146"/>
      <c r="W675" s="146"/>
      <c r="X675" s="146"/>
      <c r="Y675" s="146"/>
      <c r="Z675" s="146"/>
      <c r="AA675" s="146"/>
      <c r="AB675" s="146"/>
      <c r="AC675" s="146"/>
      <c r="AD675" s="146"/>
      <c r="AE675" s="146"/>
      <c r="AF675" s="146"/>
      <c r="AG675" s="146"/>
    </row>
    <row r="676" spans="1:33" ht="12.75">
      <c r="A676" s="148"/>
      <c r="B676" s="146"/>
      <c r="C676" s="146"/>
      <c r="D676" s="146"/>
      <c r="E676" s="146"/>
      <c r="F676" s="146"/>
      <c r="G676" s="146"/>
      <c r="H676" s="146"/>
      <c r="I676" s="146"/>
      <c r="J676" s="146"/>
      <c r="K676" s="146"/>
      <c r="L676" s="146"/>
      <c r="M676" s="146"/>
      <c r="N676" s="146"/>
      <c r="O676" s="146"/>
      <c r="P676" s="146"/>
      <c r="Q676" s="146"/>
      <c r="R676" s="146"/>
      <c r="S676" s="146"/>
      <c r="T676" s="146"/>
      <c r="U676" s="146"/>
      <c r="V676" s="146"/>
      <c r="W676" s="146"/>
      <c r="X676" s="146"/>
      <c r="Y676" s="146"/>
      <c r="Z676" s="146"/>
      <c r="AA676" s="146"/>
      <c r="AB676" s="146"/>
      <c r="AC676" s="146"/>
      <c r="AD676" s="146"/>
      <c r="AE676" s="146"/>
      <c r="AF676" s="146"/>
      <c r="AG676" s="146"/>
    </row>
    <row r="677" spans="1:33" ht="12.75">
      <c r="A677" s="148"/>
      <c r="B677" s="146"/>
      <c r="C677" s="146"/>
      <c r="D677" s="146"/>
      <c r="E677" s="146"/>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c r="AD677" s="146"/>
      <c r="AE677" s="146"/>
      <c r="AF677" s="146"/>
      <c r="AG677" s="146"/>
    </row>
    <row r="678" spans="1:33" ht="12.75">
      <c r="A678" s="148"/>
      <c r="B678" s="146"/>
      <c r="C678" s="146"/>
      <c r="D678" s="146"/>
      <c r="E678" s="146"/>
      <c r="F678" s="146"/>
      <c r="G678" s="146"/>
      <c r="H678" s="146"/>
      <c r="I678" s="146"/>
      <c r="J678" s="146"/>
      <c r="K678" s="146"/>
      <c r="L678" s="146"/>
      <c r="M678" s="146"/>
      <c r="N678" s="146"/>
      <c r="O678" s="146"/>
      <c r="P678" s="146"/>
      <c r="Q678" s="146"/>
      <c r="R678" s="146"/>
      <c r="S678" s="146"/>
      <c r="T678" s="146"/>
      <c r="U678" s="146"/>
      <c r="V678" s="146"/>
      <c r="W678" s="146"/>
      <c r="X678" s="146"/>
      <c r="Y678" s="146"/>
      <c r="Z678" s="146"/>
      <c r="AA678" s="146"/>
      <c r="AB678" s="146"/>
      <c r="AC678" s="146"/>
      <c r="AD678" s="146"/>
      <c r="AE678" s="146"/>
      <c r="AF678" s="146"/>
      <c r="AG678" s="146"/>
    </row>
    <row r="679" spans="1:33" ht="12.75">
      <c r="A679" s="148"/>
      <c r="B679" s="146"/>
      <c r="C679" s="146"/>
      <c r="D679" s="146"/>
      <c r="E679" s="146"/>
      <c r="F679" s="146"/>
      <c r="G679" s="146"/>
      <c r="H679" s="146"/>
      <c r="I679" s="146"/>
      <c r="J679" s="146"/>
      <c r="K679" s="146"/>
      <c r="L679" s="146"/>
      <c r="M679" s="146"/>
      <c r="N679" s="146"/>
      <c r="O679" s="146"/>
      <c r="P679" s="146"/>
      <c r="Q679" s="146"/>
      <c r="R679" s="146"/>
      <c r="S679" s="146"/>
      <c r="T679" s="146"/>
      <c r="U679" s="146"/>
      <c r="V679" s="146"/>
      <c r="W679" s="146"/>
      <c r="X679" s="146"/>
      <c r="Y679" s="146"/>
      <c r="Z679" s="146"/>
      <c r="AA679" s="146"/>
      <c r="AB679" s="146"/>
      <c r="AC679" s="146"/>
      <c r="AD679" s="146"/>
      <c r="AE679" s="146"/>
      <c r="AF679" s="146"/>
      <c r="AG679" s="146"/>
    </row>
    <row r="680" spans="1:33" ht="12.75">
      <c r="A680" s="148"/>
      <c r="B680" s="146"/>
      <c r="C680" s="146"/>
      <c r="D680" s="146"/>
      <c r="E680" s="146"/>
      <c r="F680" s="146"/>
      <c r="G680" s="146"/>
      <c r="H680" s="146"/>
      <c r="I680" s="146"/>
      <c r="J680" s="146"/>
      <c r="K680" s="146"/>
      <c r="L680" s="146"/>
      <c r="M680" s="146"/>
      <c r="N680" s="146"/>
      <c r="O680" s="146"/>
      <c r="P680" s="146"/>
      <c r="Q680" s="146"/>
      <c r="R680" s="146"/>
      <c r="S680" s="146"/>
      <c r="T680" s="146"/>
      <c r="U680" s="146"/>
      <c r="V680" s="146"/>
      <c r="W680" s="146"/>
      <c r="X680" s="146"/>
      <c r="Y680" s="146"/>
      <c r="Z680" s="146"/>
      <c r="AA680" s="146"/>
      <c r="AB680" s="146"/>
      <c r="AC680" s="146"/>
      <c r="AD680" s="146"/>
      <c r="AE680" s="146"/>
      <c r="AF680" s="146"/>
      <c r="AG680" s="146"/>
    </row>
    <row r="681" spans="1:33" ht="12.75">
      <c r="A681" s="148"/>
      <c r="B681" s="146"/>
      <c r="C681" s="146"/>
      <c r="D681" s="146"/>
      <c r="E681" s="146"/>
      <c r="F681" s="146"/>
      <c r="G681" s="146"/>
      <c r="H681" s="146"/>
      <c r="I681" s="146"/>
      <c r="J681" s="146"/>
      <c r="K681" s="146"/>
      <c r="L681" s="146"/>
      <c r="M681" s="146"/>
      <c r="N681" s="146"/>
      <c r="O681" s="146"/>
      <c r="P681" s="146"/>
      <c r="Q681" s="146"/>
      <c r="R681" s="146"/>
      <c r="S681" s="146"/>
      <c r="T681" s="146"/>
      <c r="U681" s="146"/>
      <c r="V681" s="146"/>
      <c r="W681" s="146"/>
      <c r="X681" s="146"/>
      <c r="Y681" s="146"/>
      <c r="Z681" s="146"/>
      <c r="AA681" s="146"/>
      <c r="AB681" s="146"/>
      <c r="AC681" s="146"/>
      <c r="AD681" s="146"/>
      <c r="AE681" s="146"/>
      <c r="AF681" s="146"/>
      <c r="AG681" s="146"/>
    </row>
    <row r="682" spans="1:33" ht="12.75">
      <c r="A682" s="148"/>
      <c r="B682" s="146"/>
      <c r="C682" s="146"/>
      <c r="D682" s="146"/>
      <c r="E682" s="146"/>
      <c r="F682" s="146"/>
      <c r="G682" s="146"/>
      <c r="H682" s="146"/>
      <c r="I682" s="146"/>
      <c r="J682" s="146"/>
      <c r="K682" s="146"/>
      <c r="L682" s="146"/>
      <c r="M682" s="146"/>
      <c r="N682" s="146"/>
      <c r="O682" s="146"/>
      <c r="P682" s="146"/>
      <c r="Q682" s="146"/>
      <c r="R682" s="146"/>
      <c r="S682" s="146"/>
      <c r="T682" s="146"/>
      <c r="U682" s="146"/>
      <c r="V682" s="146"/>
      <c r="W682" s="146"/>
      <c r="X682" s="146"/>
      <c r="Y682" s="146"/>
      <c r="Z682" s="146"/>
      <c r="AA682" s="146"/>
      <c r="AB682" s="146"/>
      <c r="AC682" s="146"/>
      <c r="AD682" s="146"/>
      <c r="AE682" s="146"/>
      <c r="AF682" s="146"/>
      <c r="AG682" s="146"/>
    </row>
    <row r="683" spans="1:33" ht="12.75">
      <c r="A683" s="148"/>
      <c r="B683" s="146"/>
      <c r="C683" s="146"/>
      <c r="D683" s="146"/>
      <c r="E683" s="146"/>
      <c r="F683" s="146"/>
      <c r="G683" s="146"/>
      <c r="H683" s="146"/>
      <c r="I683" s="146"/>
      <c r="J683" s="146"/>
      <c r="K683" s="146"/>
      <c r="L683" s="146"/>
      <c r="M683" s="146"/>
      <c r="N683" s="146"/>
      <c r="O683" s="146"/>
      <c r="P683" s="146"/>
      <c r="Q683" s="146"/>
      <c r="R683" s="146"/>
      <c r="S683" s="146"/>
      <c r="T683" s="146"/>
      <c r="U683" s="146"/>
      <c r="V683" s="146"/>
      <c r="W683" s="146"/>
      <c r="X683" s="146"/>
      <c r="Y683" s="146"/>
      <c r="Z683" s="146"/>
      <c r="AA683" s="146"/>
      <c r="AB683" s="146"/>
      <c r="AC683" s="146"/>
      <c r="AD683" s="146"/>
      <c r="AE683" s="146"/>
      <c r="AF683" s="146"/>
      <c r="AG683" s="146"/>
    </row>
    <row r="684" spans="1:33" ht="12.75">
      <c r="A684" s="148"/>
      <c r="B684" s="146"/>
      <c r="C684" s="146"/>
      <c r="D684" s="146"/>
      <c r="E684" s="146"/>
      <c r="F684" s="146"/>
      <c r="G684" s="146"/>
      <c r="H684" s="146"/>
      <c r="I684" s="146"/>
      <c r="J684" s="146"/>
      <c r="K684" s="146"/>
      <c r="L684" s="146"/>
      <c r="M684" s="146"/>
      <c r="N684" s="146"/>
      <c r="O684" s="146"/>
      <c r="P684" s="146"/>
      <c r="Q684" s="146"/>
      <c r="R684" s="146"/>
      <c r="S684" s="146"/>
      <c r="T684" s="146"/>
      <c r="U684" s="146"/>
      <c r="V684" s="146"/>
      <c r="W684" s="146"/>
      <c r="X684" s="146"/>
      <c r="Y684" s="146"/>
      <c r="Z684" s="146"/>
      <c r="AA684" s="146"/>
      <c r="AB684" s="146"/>
      <c r="AC684" s="146"/>
      <c r="AD684" s="146"/>
      <c r="AE684" s="146"/>
      <c r="AF684" s="146"/>
      <c r="AG684" s="146"/>
    </row>
    <row r="685" spans="1:33" ht="12.75">
      <c r="A685" s="148"/>
      <c r="B685" s="146"/>
      <c r="C685" s="146"/>
      <c r="D685" s="146"/>
      <c r="E685" s="146"/>
      <c r="F685" s="146"/>
      <c r="G685" s="146"/>
      <c r="H685" s="146"/>
      <c r="I685" s="146"/>
      <c r="J685" s="146"/>
      <c r="K685" s="146"/>
      <c r="L685" s="146"/>
      <c r="M685" s="146"/>
      <c r="N685" s="146"/>
      <c r="O685" s="146"/>
      <c r="P685" s="146"/>
      <c r="Q685" s="146"/>
      <c r="R685" s="146"/>
      <c r="S685" s="146"/>
      <c r="T685" s="146"/>
      <c r="U685" s="146"/>
      <c r="V685" s="146"/>
      <c r="W685" s="146"/>
      <c r="X685" s="146"/>
      <c r="Y685" s="146"/>
      <c r="Z685" s="146"/>
      <c r="AA685" s="146"/>
      <c r="AB685" s="146"/>
      <c r="AC685" s="146"/>
      <c r="AD685" s="146"/>
      <c r="AE685" s="146"/>
      <c r="AF685" s="146"/>
      <c r="AG685" s="146"/>
    </row>
    <row r="686" spans="1:33" ht="12.75">
      <c r="A686" s="148"/>
      <c r="B686" s="146"/>
      <c r="C686" s="146"/>
      <c r="D686" s="146"/>
      <c r="E686" s="146"/>
      <c r="F686" s="146"/>
      <c r="G686" s="146"/>
      <c r="H686" s="146"/>
      <c r="I686" s="146"/>
      <c r="J686" s="146"/>
      <c r="K686" s="146"/>
      <c r="L686" s="146"/>
      <c r="M686" s="146"/>
      <c r="N686" s="146"/>
      <c r="O686" s="146"/>
      <c r="P686" s="146"/>
      <c r="Q686" s="146"/>
      <c r="R686" s="146"/>
      <c r="S686" s="146"/>
      <c r="T686" s="146"/>
      <c r="U686" s="146"/>
      <c r="V686" s="146"/>
      <c r="W686" s="146"/>
      <c r="X686" s="146"/>
      <c r="Y686" s="146"/>
      <c r="Z686" s="146"/>
      <c r="AA686" s="146"/>
      <c r="AB686" s="146"/>
      <c r="AC686" s="146"/>
      <c r="AD686" s="146"/>
      <c r="AE686" s="146"/>
      <c r="AF686" s="146"/>
      <c r="AG686" s="146"/>
    </row>
    <row r="687" spans="1:33" ht="12.75">
      <c r="A687" s="148"/>
      <c r="B687" s="146"/>
      <c r="C687" s="146"/>
      <c r="D687" s="146"/>
      <c r="E687" s="146"/>
      <c r="F687" s="146"/>
      <c r="G687" s="146"/>
      <c r="H687" s="146"/>
      <c r="I687" s="146"/>
      <c r="J687" s="146"/>
      <c r="K687" s="146"/>
      <c r="L687" s="146"/>
      <c r="M687" s="146"/>
      <c r="N687" s="146"/>
      <c r="O687" s="146"/>
      <c r="P687" s="146"/>
      <c r="Q687" s="146"/>
      <c r="R687" s="146"/>
      <c r="S687" s="146"/>
      <c r="T687" s="146"/>
      <c r="U687" s="146"/>
      <c r="V687" s="146"/>
      <c r="W687" s="146"/>
      <c r="X687" s="146"/>
      <c r="Y687" s="146"/>
      <c r="Z687" s="146"/>
      <c r="AA687" s="146"/>
      <c r="AB687" s="146"/>
      <c r="AC687" s="146"/>
      <c r="AD687" s="146"/>
      <c r="AE687" s="146"/>
      <c r="AF687" s="146"/>
      <c r="AG687" s="146"/>
    </row>
    <row r="688" spans="1:33" ht="12.75">
      <c r="A688" s="148"/>
      <c r="B688" s="146"/>
      <c r="C688" s="146"/>
      <c r="D688" s="146"/>
      <c r="E688" s="146"/>
      <c r="F688" s="146"/>
      <c r="G688" s="146"/>
      <c r="H688" s="146"/>
      <c r="I688" s="146"/>
      <c r="J688" s="146"/>
      <c r="K688" s="146"/>
      <c r="L688" s="146"/>
      <c r="M688" s="146"/>
      <c r="N688" s="146"/>
      <c r="O688" s="146"/>
      <c r="P688" s="146"/>
      <c r="Q688" s="146"/>
      <c r="R688" s="146"/>
      <c r="S688" s="146"/>
      <c r="T688" s="146"/>
      <c r="U688" s="146"/>
      <c r="V688" s="146"/>
      <c r="W688" s="146"/>
      <c r="X688" s="146"/>
      <c r="Y688" s="146"/>
      <c r="Z688" s="146"/>
      <c r="AA688" s="146"/>
      <c r="AB688" s="146"/>
      <c r="AC688" s="146"/>
      <c r="AD688" s="146"/>
      <c r="AE688" s="146"/>
      <c r="AF688" s="146"/>
      <c r="AG688" s="146"/>
    </row>
    <row r="689" spans="1:33" ht="12.75">
      <c r="A689" s="148"/>
      <c r="B689" s="146"/>
      <c r="C689" s="146"/>
      <c r="D689" s="146"/>
      <c r="E689" s="146"/>
      <c r="F689" s="146"/>
      <c r="G689" s="146"/>
      <c r="H689" s="146"/>
      <c r="I689" s="146"/>
      <c r="J689" s="146"/>
      <c r="K689" s="146"/>
      <c r="L689" s="146"/>
      <c r="M689" s="146"/>
      <c r="N689" s="146"/>
      <c r="O689" s="146"/>
      <c r="P689" s="146"/>
      <c r="Q689" s="146"/>
      <c r="R689" s="146"/>
      <c r="S689" s="146"/>
      <c r="T689" s="146"/>
      <c r="U689" s="146"/>
      <c r="V689" s="146"/>
      <c r="W689" s="146"/>
      <c r="X689" s="146"/>
      <c r="Y689" s="146"/>
      <c r="Z689" s="146"/>
      <c r="AA689" s="146"/>
      <c r="AB689" s="146"/>
      <c r="AC689" s="146"/>
      <c r="AD689" s="146"/>
      <c r="AE689" s="146"/>
      <c r="AF689" s="146"/>
      <c r="AG689" s="146"/>
    </row>
    <row r="690" spans="1:33" ht="12.75">
      <c r="A690" s="148"/>
      <c r="B690" s="146"/>
      <c r="C690" s="146"/>
      <c r="D690" s="146"/>
      <c r="E690" s="146"/>
      <c r="F690" s="146"/>
      <c r="G690" s="146"/>
      <c r="H690" s="146"/>
      <c r="I690" s="146"/>
      <c r="J690" s="146"/>
      <c r="K690" s="146"/>
      <c r="L690" s="146"/>
      <c r="M690" s="146"/>
      <c r="N690" s="146"/>
      <c r="O690" s="146"/>
      <c r="P690" s="146"/>
      <c r="Q690" s="146"/>
      <c r="R690" s="146"/>
      <c r="S690" s="146"/>
      <c r="T690" s="146"/>
      <c r="U690" s="146"/>
      <c r="V690" s="146"/>
      <c r="W690" s="146"/>
      <c r="X690" s="146"/>
      <c r="Y690" s="146"/>
      <c r="Z690" s="146"/>
      <c r="AA690" s="146"/>
      <c r="AB690" s="146"/>
      <c r="AC690" s="146"/>
      <c r="AD690" s="146"/>
      <c r="AE690" s="146"/>
      <c r="AF690" s="146"/>
      <c r="AG690" s="146"/>
    </row>
    <row r="691" spans="1:33" ht="12.75">
      <c r="A691" s="148"/>
      <c r="B691" s="146"/>
      <c r="C691" s="146"/>
      <c r="D691" s="146"/>
      <c r="E691" s="146"/>
      <c r="F691" s="146"/>
      <c r="G691" s="146"/>
      <c r="H691" s="146"/>
      <c r="I691" s="146"/>
      <c r="J691" s="146"/>
      <c r="K691" s="146"/>
      <c r="L691" s="146"/>
      <c r="M691" s="146"/>
      <c r="N691" s="146"/>
      <c r="O691" s="146"/>
      <c r="P691" s="146"/>
      <c r="Q691" s="146"/>
      <c r="R691" s="146"/>
      <c r="S691" s="146"/>
      <c r="T691" s="146"/>
      <c r="U691" s="146"/>
      <c r="V691" s="146"/>
      <c r="W691" s="146"/>
      <c r="X691" s="146"/>
      <c r="Y691" s="146"/>
      <c r="Z691" s="146"/>
      <c r="AA691" s="146"/>
      <c r="AB691" s="146"/>
      <c r="AC691" s="146"/>
      <c r="AD691" s="146"/>
      <c r="AE691" s="146"/>
      <c r="AF691" s="146"/>
      <c r="AG691" s="146"/>
    </row>
    <row r="692" spans="1:33" ht="12.75">
      <c r="A692" s="148"/>
      <c r="B692" s="146"/>
      <c r="C692" s="146"/>
      <c r="D692" s="146"/>
      <c r="E692" s="146"/>
      <c r="F692" s="146"/>
      <c r="G692" s="146"/>
      <c r="H692" s="146"/>
      <c r="I692" s="146"/>
      <c r="J692" s="146"/>
      <c r="K692" s="146"/>
      <c r="L692" s="146"/>
      <c r="M692" s="146"/>
      <c r="N692" s="146"/>
      <c r="O692" s="146"/>
      <c r="P692" s="146"/>
      <c r="Q692" s="146"/>
      <c r="R692" s="146"/>
      <c r="S692" s="146"/>
      <c r="T692" s="146"/>
      <c r="U692" s="146"/>
      <c r="V692" s="146"/>
      <c r="W692" s="146"/>
      <c r="X692" s="146"/>
      <c r="Y692" s="146"/>
      <c r="Z692" s="146"/>
      <c r="AA692" s="146"/>
      <c r="AB692" s="146"/>
      <c r="AC692" s="146"/>
      <c r="AD692" s="146"/>
      <c r="AE692" s="146"/>
      <c r="AF692" s="146"/>
      <c r="AG692" s="146"/>
    </row>
    <row r="693" spans="1:33" ht="12.75">
      <c r="A693" s="148"/>
      <c r="B693" s="146"/>
      <c r="C693" s="146"/>
      <c r="D693" s="146"/>
      <c r="E693" s="146"/>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c r="AB693" s="146"/>
      <c r="AC693" s="146"/>
      <c r="AD693" s="146"/>
      <c r="AE693" s="146"/>
      <c r="AF693" s="146"/>
      <c r="AG693" s="146"/>
    </row>
    <row r="694" spans="1:33" ht="12.75">
      <c r="A694" s="148"/>
      <c r="B694" s="146"/>
      <c r="C694" s="146"/>
      <c r="D694" s="146"/>
      <c r="E694" s="146"/>
      <c r="F694" s="146"/>
      <c r="G694" s="146"/>
      <c r="H694" s="146"/>
      <c r="I694" s="146"/>
      <c r="J694" s="146"/>
      <c r="K694" s="146"/>
      <c r="L694" s="146"/>
      <c r="M694" s="146"/>
      <c r="N694" s="146"/>
      <c r="O694" s="146"/>
      <c r="P694" s="146"/>
      <c r="Q694" s="146"/>
      <c r="R694" s="146"/>
      <c r="S694" s="146"/>
      <c r="T694" s="146"/>
      <c r="U694" s="146"/>
      <c r="V694" s="146"/>
      <c r="W694" s="146"/>
      <c r="X694" s="146"/>
      <c r="Y694" s="146"/>
      <c r="Z694" s="146"/>
      <c r="AA694" s="146"/>
      <c r="AB694" s="146"/>
      <c r="AC694" s="146"/>
      <c r="AD694" s="146"/>
      <c r="AE694" s="146"/>
      <c r="AF694" s="146"/>
      <c r="AG694" s="146"/>
    </row>
    <row r="695" spans="1:33" ht="12.75">
      <c r="A695" s="148"/>
      <c r="B695" s="146"/>
      <c r="C695" s="146"/>
      <c r="D695" s="146"/>
      <c r="E695" s="146"/>
      <c r="F695" s="146"/>
      <c r="G695" s="146"/>
      <c r="H695" s="146"/>
      <c r="I695" s="146"/>
      <c r="J695" s="146"/>
      <c r="K695" s="146"/>
      <c r="L695" s="146"/>
      <c r="M695" s="146"/>
      <c r="N695" s="146"/>
      <c r="O695" s="146"/>
      <c r="P695" s="146"/>
      <c r="Q695" s="146"/>
      <c r="R695" s="146"/>
      <c r="S695" s="146"/>
      <c r="T695" s="146"/>
      <c r="U695" s="146"/>
      <c r="V695" s="146"/>
      <c r="W695" s="146"/>
      <c r="X695" s="146"/>
      <c r="Y695" s="146"/>
      <c r="Z695" s="146"/>
      <c r="AA695" s="146"/>
      <c r="AB695" s="146"/>
      <c r="AC695" s="146"/>
      <c r="AD695" s="146"/>
      <c r="AE695" s="146"/>
      <c r="AF695" s="146"/>
      <c r="AG695" s="146"/>
    </row>
    <row r="696" spans="1:33" ht="12.75">
      <c r="A696" s="148"/>
      <c r="B696" s="146"/>
      <c r="C696" s="146"/>
      <c r="D696" s="146"/>
      <c r="E696" s="146"/>
      <c r="F696" s="146"/>
      <c r="G696" s="146"/>
      <c r="H696" s="146"/>
      <c r="I696" s="146"/>
      <c r="J696" s="146"/>
      <c r="K696" s="146"/>
      <c r="L696" s="146"/>
      <c r="M696" s="146"/>
      <c r="N696" s="146"/>
      <c r="O696" s="146"/>
      <c r="P696" s="146"/>
      <c r="Q696" s="146"/>
      <c r="R696" s="146"/>
      <c r="S696" s="146"/>
      <c r="T696" s="146"/>
      <c r="U696" s="146"/>
      <c r="V696" s="146"/>
      <c r="W696" s="146"/>
      <c r="X696" s="146"/>
      <c r="Y696" s="146"/>
      <c r="Z696" s="146"/>
      <c r="AA696" s="146"/>
      <c r="AB696" s="146"/>
      <c r="AC696" s="146"/>
      <c r="AD696" s="146"/>
      <c r="AE696" s="146"/>
      <c r="AF696" s="146"/>
      <c r="AG696" s="146"/>
    </row>
    <row r="697" spans="1:33" ht="12.75">
      <c r="A697" s="148"/>
      <c r="B697" s="146"/>
      <c r="C697" s="146"/>
      <c r="D697" s="146"/>
      <c r="E697" s="146"/>
      <c r="F697" s="146"/>
      <c r="G697" s="146"/>
      <c r="H697" s="146"/>
      <c r="I697" s="146"/>
      <c r="J697" s="146"/>
      <c r="K697" s="146"/>
      <c r="L697" s="146"/>
      <c r="M697" s="146"/>
      <c r="N697" s="146"/>
      <c r="O697" s="146"/>
      <c r="P697" s="146"/>
      <c r="Q697" s="146"/>
      <c r="R697" s="146"/>
      <c r="S697" s="146"/>
      <c r="T697" s="146"/>
      <c r="U697" s="146"/>
      <c r="V697" s="146"/>
      <c r="W697" s="146"/>
      <c r="X697" s="146"/>
      <c r="Y697" s="146"/>
      <c r="Z697" s="146"/>
      <c r="AA697" s="146"/>
      <c r="AB697" s="146"/>
      <c r="AC697" s="146"/>
      <c r="AD697" s="146"/>
      <c r="AE697" s="146"/>
      <c r="AF697" s="146"/>
      <c r="AG697" s="146"/>
    </row>
    <row r="698" spans="1:33" ht="12.75">
      <c r="A698" s="148"/>
      <c r="B698" s="146"/>
      <c r="C698" s="146"/>
      <c r="D698" s="146"/>
      <c r="E698" s="146"/>
      <c r="F698" s="146"/>
      <c r="G698" s="146"/>
      <c r="H698" s="146"/>
      <c r="I698" s="146"/>
      <c r="J698" s="146"/>
      <c r="K698" s="146"/>
      <c r="L698" s="146"/>
      <c r="M698" s="146"/>
      <c r="N698" s="146"/>
      <c r="O698" s="146"/>
      <c r="P698" s="146"/>
      <c r="Q698" s="146"/>
      <c r="R698" s="146"/>
      <c r="S698" s="146"/>
      <c r="T698" s="146"/>
      <c r="U698" s="146"/>
      <c r="V698" s="146"/>
      <c r="W698" s="146"/>
      <c r="X698" s="146"/>
      <c r="Y698" s="146"/>
      <c r="Z698" s="146"/>
      <c r="AA698" s="146"/>
      <c r="AB698" s="146"/>
      <c r="AC698" s="146"/>
      <c r="AD698" s="146"/>
      <c r="AE698" s="146"/>
      <c r="AF698" s="146"/>
      <c r="AG698" s="146"/>
    </row>
    <row r="699" spans="1:33" ht="12.75">
      <c r="A699" s="148"/>
      <c r="B699" s="146"/>
      <c r="C699" s="146"/>
      <c r="D699" s="146"/>
      <c r="E699" s="146"/>
      <c r="F699" s="146"/>
      <c r="G699" s="146"/>
      <c r="H699" s="146"/>
      <c r="I699" s="146"/>
      <c r="J699" s="146"/>
      <c r="K699" s="146"/>
      <c r="L699" s="146"/>
      <c r="M699" s="146"/>
      <c r="N699" s="146"/>
      <c r="O699" s="146"/>
      <c r="P699" s="146"/>
      <c r="Q699" s="146"/>
      <c r="R699" s="146"/>
      <c r="S699" s="146"/>
      <c r="T699" s="146"/>
      <c r="U699" s="146"/>
      <c r="V699" s="146"/>
      <c r="W699" s="146"/>
      <c r="X699" s="146"/>
      <c r="Y699" s="146"/>
      <c r="Z699" s="146"/>
      <c r="AA699" s="146"/>
      <c r="AB699" s="146"/>
      <c r="AC699" s="146"/>
      <c r="AD699" s="146"/>
      <c r="AE699" s="146"/>
      <c r="AF699" s="146"/>
      <c r="AG699" s="146"/>
    </row>
    <row r="700" spans="1:33" ht="12.75">
      <c r="A700" s="148"/>
      <c r="B700" s="146"/>
      <c r="C700" s="146"/>
      <c r="D700" s="146"/>
      <c r="E700" s="146"/>
      <c r="F700" s="146"/>
      <c r="G700" s="146"/>
      <c r="H700" s="146"/>
      <c r="I700" s="146"/>
      <c r="J700" s="146"/>
      <c r="K700" s="146"/>
      <c r="L700" s="146"/>
      <c r="M700" s="146"/>
      <c r="N700" s="146"/>
      <c r="O700" s="146"/>
      <c r="P700" s="146"/>
      <c r="Q700" s="146"/>
      <c r="R700" s="146"/>
      <c r="S700" s="146"/>
      <c r="T700" s="146"/>
      <c r="U700" s="146"/>
      <c r="V700" s="146"/>
      <c r="W700" s="146"/>
      <c r="X700" s="146"/>
      <c r="Y700" s="146"/>
      <c r="Z700" s="146"/>
      <c r="AA700" s="146"/>
      <c r="AB700" s="146"/>
      <c r="AC700" s="146"/>
      <c r="AD700" s="146"/>
      <c r="AE700" s="146"/>
      <c r="AF700" s="146"/>
      <c r="AG700" s="146"/>
    </row>
    <row r="701" spans="1:33" ht="12.75">
      <c r="A701" s="148"/>
      <c r="B701" s="146"/>
      <c r="C701" s="146"/>
      <c r="D701" s="146"/>
      <c r="E701" s="146"/>
      <c r="F701" s="146"/>
      <c r="G701" s="146"/>
      <c r="H701" s="146"/>
      <c r="I701" s="146"/>
      <c r="J701" s="146"/>
      <c r="K701" s="146"/>
      <c r="L701" s="146"/>
      <c r="M701" s="146"/>
      <c r="N701" s="146"/>
      <c r="O701" s="146"/>
      <c r="P701" s="146"/>
      <c r="Q701" s="146"/>
      <c r="R701" s="146"/>
      <c r="S701" s="146"/>
      <c r="T701" s="146"/>
      <c r="U701" s="146"/>
      <c r="V701" s="146"/>
      <c r="W701" s="146"/>
      <c r="X701" s="146"/>
      <c r="Y701" s="146"/>
      <c r="Z701" s="146"/>
      <c r="AA701" s="146"/>
      <c r="AB701" s="146"/>
      <c r="AC701" s="146"/>
      <c r="AD701" s="146"/>
      <c r="AE701" s="146"/>
      <c r="AF701" s="146"/>
      <c r="AG701" s="146"/>
    </row>
    <row r="702" spans="1:33" ht="12.75">
      <c r="A702" s="148"/>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c r="Z702" s="146"/>
      <c r="AA702" s="146"/>
      <c r="AB702" s="146"/>
      <c r="AC702" s="146"/>
      <c r="AD702" s="146"/>
      <c r="AE702" s="146"/>
      <c r="AF702" s="146"/>
      <c r="AG702" s="146"/>
    </row>
    <row r="703" spans="1:33" ht="12.75">
      <c r="A703" s="148"/>
      <c r="B703" s="146"/>
      <c r="C703" s="146"/>
      <c r="D703" s="146"/>
      <c r="E703" s="146"/>
      <c r="F703" s="146"/>
      <c r="G703" s="146"/>
      <c r="H703" s="146"/>
      <c r="I703" s="146"/>
      <c r="J703" s="146"/>
      <c r="K703" s="146"/>
      <c r="L703" s="146"/>
      <c r="M703" s="146"/>
      <c r="N703" s="146"/>
      <c r="O703" s="146"/>
      <c r="P703" s="146"/>
      <c r="Q703" s="146"/>
      <c r="R703" s="146"/>
      <c r="S703" s="146"/>
      <c r="T703" s="146"/>
      <c r="U703" s="146"/>
      <c r="V703" s="146"/>
      <c r="W703" s="146"/>
      <c r="X703" s="146"/>
      <c r="Y703" s="146"/>
      <c r="Z703" s="146"/>
      <c r="AA703" s="146"/>
      <c r="AB703" s="146"/>
      <c r="AC703" s="146"/>
      <c r="AD703" s="146"/>
      <c r="AE703" s="146"/>
      <c r="AF703" s="146"/>
      <c r="AG703" s="146"/>
    </row>
    <row r="704" spans="1:33" ht="12.75">
      <c r="A704" s="148"/>
      <c r="B704" s="146"/>
      <c r="C704" s="146"/>
      <c r="D704" s="146"/>
      <c r="E704" s="146"/>
      <c r="F704" s="146"/>
      <c r="G704" s="146"/>
      <c r="H704" s="146"/>
      <c r="I704" s="146"/>
      <c r="J704" s="146"/>
      <c r="K704" s="146"/>
      <c r="L704" s="146"/>
      <c r="M704" s="146"/>
      <c r="N704" s="146"/>
      <c r="O704" s="146"/>
      <c r="P704" s="146"/>
      <c r="Q704" s="146"/>
      <c r="R704" s="146"/>
      <c r="S704" s="146"/>
      <c r="T704" s="146"/>
      <c r="U704" s="146"/>
      <c r="V704" s="146"/>
      <c r="W704" s="146"/>
      <c r="X704" s="146"/>
      <c r="Y704" s="146"/>
      <c r="Z704" s="146"/>
      <c r="AA704" s="146"/>
      <c r="AB704" s="146"/>
      <c r="AC704" s="146"/>
      <c r="AD704" s="146"/>
      <c r="AE704" s="146"/>
      <c r="AF704" s="146"/>
      <c r="AG704" s="146"/>
    </row>
    <row r="705" spans="1:33" ht="12.75">
      <c r="A705" s="148"/>
      <c r="B705" s="146"/>
      <c r="C705" s="146"/>
      <c r="D705" s="146"/>
      <c r="E705" s="146"/>
      <c r="F705" s="146"/>
      <c r="G705" s="146"/>
      <c r="H705" s="146"/>
      <c r="I705" s="146"/>
      <c r="J705" s="146"/>
      <c r="K705" s="146"/>
      <c r="L705" s="146"/>
      <c r="M705" s="146"/>
      <c r="N705" s="146"/>
      <c r="O705" s="146"/>
      <c r="P705" s="146"/>
      <c r="Q705" s="146"/>
      <c r="R705" s="146"/>
      <c r="S705" s="146"/>
      <c r="T705" s="146"/>
      <c r="U705" s="146"/>
      <c r="V705" s="146"/>
      <c r="W705" s="146"/>
      <c r="X705" s="146"/>
      <c r="Y705" s="146"/>
      <c r="Z705" s="146"/>
      <c r="AA705" s="146"/>
      <c r="AB705" s="146"/>
      <c r="AC705" s="146"/>
      <c r="AD705" s="146"/>
      <c r="AE705" s="146"/>
      <c r="AF705" s="146"/>
      <c r="AG705" s="146"/>
    </row>
    <row r="706" spans="1:33" ht="12.75">
      <c r="A706" s="148"/>
      <c r="B706" s="146"/>
      <c r="C706" s="146"/>
      <c r="D706" s="146"/>
      <c r="E706" s="146"/>
      <c r="F706" s="146"/>
      <c r="G706" s="146"/>
      <c r="H706" s="146"/>
      <c r="I706" s="146"/>
      <c r="J706" s="146"/>
      <c r="K706" s="146"/>
      <c r="L706" s="146"/>
      <c r="M706" s="146"/>
      <c r="N706" s="146"/>
      <c r="O706" s="146"/>
      <c r="P706" s="146"/>
      <c r="Q706" s="146"/>
      <c r="R706" s="146"/>
      <c r="S706" s="146"/>
      <c r="T706" s="146"/>
      <c r="U706" s="146"/>
      <c r="V706" s="146"/>
      <c r="W706" s="146"/>
      <c r="X706" s="146"/>
      <c r="Y706" s="146"/>
      <c r="Z706" s="146"/>
      <c r="AA706" s="146"/>
      <c r="AB706" s="146"/>
      <c r="AC706" s="146"/>
      <c r="AD706" s="146"/>
      <c r="AE706" s="146"/>
      <c r="AF706" s="146"/>
      <c r="AG706" s="146"/>
    </row>
    <row r="707" spans="1:33" ht="12.75">
      <c r="A707" s="148"/>
      <c r="B707" s="146"/>
      <c r="C707" s="146"/>
      <c r="D707" s="146"/>
      <c r="E707" s="146"/>
      <c r="F707" s="146"/>
      <c r="G707" s="146"/>
      <c r="H707" s="146"/>
      <c r="I707" s="146"/>
      <c r="J707" s="146"/>
      <c r="K707" s="146"/>
      <c r="L707" s="146"/>
      <c r="M707" s="146"/>
      <c r="N707" s="146"/>
      <c r="O707" s="146"/>
      <c r="P707" s="146"/>
      <c r="Q707" s="146"/>
      <c r="R707" s="146"/>
      <c r="S707" s="146"/>
      <c r="T707" s="146"/>
      <c r="U707" s="146"/>
      <c r="V707" s="146"/>
      <c r="W707" s="146"/>
      <c r="X707" s="146"/>
      <c r="Y707" s="146"/>
      <c r="Z707" s="146"/>
      <c r="AA707" s="146"/>
      <c r="AB707" s="146"/>
      <c r="AC707" s="146"/>
      <c r="AD707" s="146"/>
      <c r="AE707" s="146"/>
      <c r="AF707" s="146"/>
      <c r="AG707" s="146"/>
    </row>
    <row r="708" spans="1:33" ht="12.75">
      <c r="A708" s="148"/>
      <c r="B708" s="146"/>
      <c r="C708" s="146"/>
      <c r="D708" s="146"/>
      <c r="E708" s="146"/>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c r="AB708" s="146"/>
      <c r="AC708" s="146"/>
      <c r="AD708" s="146"/>
      <c r="AE708" s="146"/>
      <c r="AF708" s="146"/>
      <c r="AG708" s="146"/>
    </row>
    <row r="709" spans="1:33" ht="12.75">
      <c r="A709" s="148"/>
      <c r="B709" s="146"/>
      <c r="C709" s="146"/>
      <c r="D709" s="146"/>
      <c r="E709" s="146"/>
      <c r="F709" s="146"/>
      <c r="G709" s="146"/>
      <c r="H709" s="146"/>
      <c r="I709" s="146"/>
      <c r="J709" s="146"/>
      <c r="K709" s="146"/>
      <c r="L709" s="146"/>
      <c r="M709" s="146"/>
      <c r="N709" s="146"/>
      <c r="O709" s="146"/>
      <c r="P709" s="146"/>
      <c r="Q709" s="146"/>
      <c r="R709" s="146"/>
      <c r="S709" s="146"/>
      <c r="T709" s="146"/>
      <c r="U709" s="146"/>
      <c r="V709" s="146"/>
      <c r="W709" s="146"/>
      <c r="X709" s="146"/>
      <c r="Y709" s="146"/>
      <c r="Z709" s="146"/>
      <c r="AA709" s="146"/>
      <c r="AB709" s="146"/>
      <c r="AC709" s="146"/>
      <c r="AD709" s="146"/>
      <c r="AE709" s="146"/>
      <c r="AF709" s="146"/>
      <c r="AG709" s="146"/>
    </row>
    <row r="710" spans="1:33" ht="12.75">
      <c r="A710" s="148"/>
      <c r="B710" s="146"/>
      <c r="C710" s="146"/>
      <c r="D710" s="146"/>
      <c r="E710" s="146"/>
      <c r="F710" s="146"/>
      <c r="G710" s="146"/>
      <c r="H710" s="146"/>
      <c r="I710" s="146"/>
      <c r="J710" s="146"/>
      <c r="K710" s="146"/>
      <c r="L710" s="146"/>
      <c r="M710" s="146"/>
      <c r="N710" s="146"/>
      <c r="O710" s="146"/>
      <c r="P710" s="146"/>
      <c r="Q710" s="146"/>
      <c r="R710" s="146"/>
      <c r="S710" s="146"/>
      <c r="T710" s="146"/>
      <c r="U710" s="146"/>
      <c r="V710" s="146"/>
      <c r="W710" s="146"/>
      <c r="X710" s="146"/>
      <c r="Y710" s="146"/>
      <c r="Z710" s="146"/>
      <c r="AA710" s="146"/>
      <c r="AB710" s="146"/>
      <c r="AC710" s="146"/>
      <c r="AD710" s="146"/>
      <c r="AE710" s="146"/>
      <c r="AF710" s="146"/>
      <c r="AG710" s="146"/>
    </row>
    <row r="711" spans="1:33" ht="12.75">
      <c r="A711" s="148"/>
      <c r="B711" s="146"/>
      <c r="C711" s="146"/>
      <c r="D711" s="146"/>
      <c r="E711" s="146"/>
      <c r="F711" s="146"/>
      <c r="G711" s="146"/>
      <c r="H711" s="146"/>
      <c r="I711" s="146"/>
      <c r="J711" s="146"/>
      <c r="K711" s="146"/>
      <c r="L711" s="146"/>
      <c r="M711" s="146"/>
      <c r="N711" s="146"/>
      <c r="O711" s="146"/>
      <c r="P711" s="146"/>
      <c r="Q711" s="146"/>
      <c r="R711" s="146"/>
      <c r="S711" s="146"/>
      <c r="T711" s="146"/>
      <c r="U711" s="146"/>
      <c r="V711" s="146"/>
      <c r="W711" s="146"/>
      <c r="X711" s="146"/>
      <c r="Y711" s="146"/>
      <c r="Z711" s="146"/>
      <c r="AA711" s="146"/>
      <c r="AB711" s="146"/>
      <c r="AC711" s="146"/>
      <c r="AD711" s="146"/>
      <c r="AE711" s="146"/>
      <c r="AF711" s="146"/>
      <c r="AG711" s="146"/>
    </row>
    <row r="712" spans="1:33" ht="12.75">
      <c r="A712" s="148"/>
      <c r="B712" s="146"/>
      <c r="C712" s="146"/>
      <c r="D712" s="146"/>
      <c r="E712" s="146"/>
      <c r="F712" s="146"/>
      <c r="G712" s="146"/>
      <c r="H712" s="146"/>
      <c r="I712" s="146"/>
      <c r="J712" s="146"/>
      <c r="K712" s="146"/>
      <c r="L712" s="146"/>
      <c r="M712" s="146"/>
      <c r="N712" s="146"/>
      <c r="O712" s="146"/>
      <c r="P712" s="146"/>
      <c r="Q712" s="146"/>
      <c r="R712" s="146"/>
      <c r="S712" s="146"/>
      <c r="T712" s="146"/>
      <c r="U712" s="146"/>
      <c r="V712" s="146"/>
      <c r="W712" s="146"/>
      <c r="X712" s="146"/>
      <c r="Y712" s="146"/>
      <c r="Z712" s="146"/>
      <c r="AA712" s="146"/>
      <c r="AB712" s="146"/>
      <c r="AC712" s="146"/>
      <c r="AD712" s="146"/>
      <c r="AE712" s="146"/>
      <c r="AF712" s="146"/>
      <c r="AG712" s="146"/>
    </row>
    <row r="713" spans="1:33" ht="12.75">
      <c r="A713" s="148"/>
      <c r="B713" s="146"/>
      <c r="C713" s="146"/>
      <c r="D713" s="146"/>
      <c r="E713" s="146"/>
      <c r="F713" s="146"/>
      <c r="G713" s="146"/>
      <c r="H713" s="146"/>
      <c r="I713" s="146"/>
      <c r="J713" s="146"/>
      <c r="K713" s="146"/>
      <c r="L713" s="146"/>
      <c r="M713" s="146"/>
      <c r="N713" s="146"/>
      <c r="O713" s="146"/>
      <c r="P713" s="146"/>
      <c r="Q713" s="146"/>
      <c r="R713" s="146"/>
      <c r="S713" s="146"/>
      <c r="T713" s="146"/>
      <c r="U713" s="146"/>
      <c r="V713" s="146"/>
      <c r="W713" s="146"/>
      <c r="X713" s="146"/>
      <c r="Y713" s="146"/>
      <c r="Z713" s="146"/>
      <c r="AA713" s="146"/>
      <c r="AB713" s="146"/>
      <c r="AC713" s="146"/>
      <c r="AD713" s="146"/>
      <c r="AE713" s="146"/>
      <c r="AF713" s="146"/>
      <c r="AG713" s="146"/>
    </row>
    <row r="714" spans="1:33" ht="12.75">
      <c r="A714" s="148"/>
      <c r="B714" s="146"/>
      <c r="C714" s="146"/>
      <c r="D714" s="146"/>
      <c r="E714" s="146"/>
      <c r="F714" s="146"/>
      <c r="G714" s="146"/>
      <c r="H714" s="146"/>
      <c r="I714" s="146"/>
      <c r="J714" s="146"/>
      <c r="K714" s="146"/>
      <c r="L714" s="146"/>
      <c r="M714" s="146"/>
      <c r="N714" s="146"/>
      <c r="O714" s="146"/>
      <c r="P714" s="146"/>
      <c r="Q714" s="146"/>
      <c r="R714" s="146"/>
      <c r="S714" s="146"/>
      <c r="T714" s="146"/>
      <c r="U714" s="146"/>
      <c r="V714" s="146"/>
      <c r="W714" s="146"/>
      <c r="X714" s="146"/>
      <c r="Y714" s="146"/>
      <c r="Z714" s="146"/>
      <c r="AA714" s="146"/>
      <c r="AB714" s="146"/>
      <c r="AC714" s="146"/>
      <c r="AD714" s="146"/>
      <c r="AE714" s="146"/>
      <c r="AF714" s="146"/>
      <c r="AG714" s="146"/>
    </row>
    <row r="715" spans="1:33" ht="12.75">
      <c r="A715" s="148"/>
      <c r="B715" s="146"/>
      <c r="C715" s="146"/>
      <c r="D715" s="146"/>
      <c r="E715" s="146"/>
      <c r="F715" s="146"/>
      <c r="G715" s="146"/>
      <c r="H715" s="146"/>
      <c r="I715" s="146"/>
      <c r="J715" s="146"/>
      <c r="K715" s="146"/>
      <c r="L715" s="146"/>
      <c r="M715" s="146"/>
      <c r="N715" s="146"/>
      <c r="O715" s="146"/>
      <c r="P715" s="146"/>
      <c r="Q715" s="146"/>
      <c r="R715" s="146"/>
      <c r="S715" s="146"/>
      <c r="T715" s="146"/>
      <c r="U715" s="146"/>
      <c r="V715" s="146"/>
      <c r="W715" s="146"/>
      <c r="X715" s="146"/>
      <c r="Y715" s="146"/>
      <c r="Z715" s="146"/>
      <c r="AA715" s="146"/>
      <c r="AB715" s="146"/>
      <c r="AC715" s="146"/>
      <c r="AD715" s="146"/>
      <c r="AE715" s="146"/>
      <c r="AF715" s="146"/>
      <c r="AG715" s="146"/>
    </row>
    <row r="716" spans="1:33" ht="12.75">
      <c r="A716" s="148"/>
      <c r="B716" s="146"/>
      <c r="C716" s="146"/>
      <c r="D716" s="146"/>
      <c r="E716" s="146"/>
      <c r="F716" s="146"/>
      <c r="G716" s="146"/>
      <c r="H716" s="146"/>
      <c r="I716" s="146"/>
      <c r="J716" s="146"/>
      <c r="K716" s="146"/>
      <c r="L716" s="146"/>
      <c r="M716" s="146"/>
      <c r="N716" s="146"/>
      <c r="O716" s="146"/>
      <c r="P716" s="146"/>
      <c r="Q716" s="146"/>
      <c r="R716" s="146"/>
      <c r="S716" s="146"/>
      <c r="T716" s="146"/>
      <c r="U716" s="146"/>
      <c r="V716" s="146"/>
      <c r="W716" s="146"/>
      <c r="X716" s="146"/>
      <c r="Y716" s="146"/>
      <c r="Z716" s="146"/>
      <c r="AA716" s="146"/>
      <c r="AB716" s="146"/>
      <c r="AC716" s="146"/>
      <c r="AD716" s="146"/>
      <c r="AE716" s="146"/>
      <c r="AF716" s="146"/>
      <c r="AG716" s="146"/>
    </row>
    <row r="717" spans="1:33" ht="12.75">
      <c r="A717" s="148"/>
      <c r="B717" s="146"/>
      <c r="C717" s="146"/>
      <c r="D717" s="146"/>
      <c r="E717" s="146"/>
      <c r="F717" s="146"/>
      <c r="G717" s="146"/>
      <c r="H717" s="146"/>
      <c r="I717" s="146"/>
      <c r="J717" s="146"/>
      <c r="K717" s="146"/>
      <c r="L717" s="146"/>
      <c r="M717" s="146"/>
      <c r="N717" s="146"/>
      <c r="O717" s="146"/>
      <c r="P717" s="146"/>
      <c r="Q717" s="146"/>
      <c r="R717" s="146"/>
      <c r="S717" s="146"/>
      <c r="T717" s="146"/>
      <c r="U717" s="146"/>
      <c r="V717" s="146"/>
      <c r="W717" s="146"/>
      <c r="X717" s="146"/>
      <c r="Y717" s="146"/>
      <c r="Z717" s="146"/>
      <c r="AA717" s="146"/>
      <c r="AB717" s="146"/>
      <c r="AC717" s="146"/>
      <c r="AD717" s="146"/>
      <c r="AE717" s="146"/>
      <c r="AF717" s="146"/>
      <c r="AG717" s="146"/>
    </row>
    <row r="718" spans="1:33" ht="12.75">
      <c r="A718" s="148"/>
      <c r="B718" s="146"/>
      <c r="C718" s="146"/>
      <c r="D718" s="146"/>
      <c r="E718" s="146"/>
      <c r="F718" s="146"/>
      <c r="G718" s="146"/>
      <c r="H718" s="146"/>
      <c r="I718" s="146"/>
      <c r="J718" s="146"/>
      <c r="K718" s="146"/>
      <c r="L718" s="146"/>
      <c r="M718" s="146"/>
      <c r="N718" s="146"/>
      <c r="O718" s="146"/>
      <c r="P718" s="146"/>
      <c r="Q718" s="146"/>
      <c r="R718" s="146"/>
      <c r="S718" s="146"/>
      <c r="T718" s="146"/>
      <c r="U718" s="146"/>
      <c r="V718" s="146"/>
      <c r="W718" s="146"/>
      <c r="X718" s="146"/>
      <c r="Y718" s="146"/>
      <c r="Z718" s="146"/>
      <c r="AA718" s="146"/>
      <c r="AB718" s="146"/>
      <c r="AC718" s="146"/>
      <c r="AD718" s="146"/>
      <c r="AE718" s="146"/>
      <c r="AF718" s="146"/>
      <c r="AG718" s="146"/>
    </row>
    <row r="719" spans="1:33" ht="12.75">
      <c r="A719" s="148"/>
      <c r="B719" s="146"/>
      <c r="C719" s="146"/>
      <c r="D719" s="146"/>
      <c r="E719" s="146"/>
      <c r="F719" s="146"/>
      <c r="G719" s="146"/>
      <c r="H719" s="146"/>
      <c r="I719" s="146"/>
      <c r="J719" s="146"/>
      <c r="K719" s="146"/>
      <c r="L719" s="146"/>
      <c r="M719" s="146"/>
      <c r="N719" s="146"/>
      <c r="O719" s="146"/>
      <c r="P719" s="146"/>
      <c r="Q719" s="146"/>
      <c r="R719" s="146"/>
      <c r="S719" s="146"/>
      <c r="T719" s="146"/>
      <c r="U719" s="146"/>
      <c r="V719" s="146"/>
      <c r="W719" s="146"/>
      <c r="X719" s="146"/>
      <c r="Y719" s="146"/>
      <c r="Z719" s="146"/>
      <c r="AA719" s="146"/>
      <c r="AB719" s="146"/>
      <c r="AC719" s="146"/>
      <c r="AD719" s="146"/>
      <c r="AE719" s="146"/>
      <c r="AF719" s="146"/>
      <c r="AG719" s="146"/>
    </row>
    <row r="720" spans="1:33" ht="12.75">
      <c r="A720" s="148"/>
      <c r="B720" s="146"/>
      <c r="C720" s="146"/>
      <c r="D720" s="146"/>
      <c r="E720" s="146"/>
      <c r="F720" s="146"/>
      <c r="G720" s="146"/>
      <c r="H720" s="146"/>
      <c r="I720" s="146"/>
      <c r="J720" s="146"/>
      <c r="K720" s="146"/>
      <c r="L720" s="146"/>
      <c r="M720" s="146"/>
      <c r="N720" s="146"/>
      <c r="O720" s="146"/>
      <c r="P720" s="146"/>
      <c r="Q720" s="146"/>
      <c r="R720" s="146"/>
      <c r="S720" s="146"/>
      <c r="T720" s="146"/>
      <c r="U720" s="146"/>
      <c r="V720" s="146"/>
      <c r="W720" s="146"/>
      <c r="X720" s="146"/>
      <c r="Y720" s="146"/>
      <c r="Z720" s="146"/>
      <c r="AA720" s="146"/>
      <c r="AB720" s="146"/>
      <c r="AC720" s="146"/>
      <c r="AD720" s="146"/>
      <c r="AE720" s="146"/>
      <c r="AF720" s="146"/>
      <c r="AG720" s="146"/>
    </row>
    <row r="721" spans="1:33" ht="12.75">
      <c r="A721" s="148"/>
      <c r="B721" s="146"/>
      <c r="C721" s="146"/>
      <c r="D721" s="146"/>
      <c r="E721" s="146"/>
      <c r="F721" s="146"/>
      <c r="G721" s="146"/>
      <c r="H721" s="146"/>
      <c r="I721" s="146"/>
      <c r="J721" s="146"/>
      <c r="K721" s="146"/>
      <c r="L721" s="146"/>
      <c r="M721" s="146"/>
      <c r="N721" s="146"/>
      <c r="O721" s="146"/>
      <c r="P721" s="146"/>
      <c r="Q721" s="146"/>
      <c r="R721" s="146"/>
      <c r="S721" s="146"/>
      <c r="T721" s="146"/>
      <c r="U721" s="146"/>
      <c r="V721" s="146"/>
      <c r="W721" s="146"/>
      <c r="X721" s="146"/>
      <c r="Y721" s="146"/>
      <c r="Z721" s="146"/>
      <c r="AA721" s="146"/>
      <c r="AB721" s="146"/>
      <c r="AC721" s="146"/>
      <c r="AD721" s="146"/>
      <c r="AE721" s="146"/>
      <c r="AF721" s="146"/>
      <c r="AG721" s="146"/>
    </row>
    <row r="722" spans="1:33" ht="12.75">
      <c r="A722" s="148"/>
      <c r="B722" s="146"/>
      <c r="C722" s="146"/>
      <c r="D722" s="146"/>
      <c r="E722" s="146"/>
      <c r="F722" s="146"/>
      <c r="G722" s="146"/>
      <c r="H722" s="146"/>
      <c r="I722" s="146"/>
      <c r="J722" s="146"/>
      <c r="K722" s="146"/>
      <c r="L722" s="146"/>
      <c r="M722" s="146"/>
      <c r="N722" s="146"/>
      <c r="O722" s="146"/>
      <c r="P722" s="146"/>
      <c r="Q722" s="146"/>
      <c r="R722" s="146"/>
      <c r="S722" s="146"/>
      <c r="T722" s="146"/>
      <c r="U722" s="146"/>
      <c r="V722" s="146"/>
      <c r="W722" s="146"/>
      <c r="X722" s="146"/>
      <c r="Y722" s="146"/>
      <c r="Z722" s="146"/>
      <c r="AA722" s="146"/>
      <c r="AB722" s="146"/>
      <c r="AC722" s="146"/>
      <c r="AD722" s="146"/>
      <c r="AE722" s="146"/>
      <c r="AF722" s="146"/>
      <c r="AG722" s="146"/>
    </row>
    <row r="723" spans="1:33" ht="12.75">
      <c r="A723" s="148"/>
      <c r="B723" s="146"/>
      <c r="C723" s="146"/>
      <c r="D723" s="146"/>
      <c r="E723" s="146"/>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146"/>
      <c r="AG723" s="146"/>
    </row>
    <row r="724" spans="1:33" ht="12.75">
      <c r="A724" s="148"/>
      <c r="B724" s="146"/>
      <c r="C724" s="146"/>
      <c r="D724" s="146"/>
      <c r="E724" s="146"/>
      <c r="F724" s="146"/>
      <c r="G724" s="146"/>
      <c r="H724" s="146"/>
      <c r="I724" s="146"/>
      <c r="J724" s="146"/>
      <c r="K724" s="146"/>
      <c r="L724" s="146"/>
      <c r="M724" s="146"/>
      <c r="N724" s="146"/>
      <c r="O724" s="146"/>
      <c r="P724" s="146"/>
      <c r="Q724" s="146"/>
      <c r="R724" s="146"/>
      <c r="S724" s="146"/>
      <c r="T724" s="146"/>
      <c r="U724" s="146"/>
      <c r="V724" s="146"/>
      <c r="W724" s="146"/>
      <c r="X724" s="146"/>
      <c r="Y724" s="146"/>
      <c r="Z724" s="146"/>
      <c r="AA724" s="146"/>
      <c r="AB724" s="146"/>
      <c r="AC724" s="146"/>
      <c r="AD724" s="146"/>
      <c r="AE724" s="146"/>
      <c r="AF724" s="146"/>
      <c r="AG724" s="146"/>
    </row>
    <row r="725" spans="1:33" ht="12.75">
      <c r="A725" s="148"/>
      <c r="B725" s="146"/>
      <c r="C725" s="146"/>
      <c r="D725" s="146"/>
      <c r="E725" s="146"/>
      <c r="F725" s="146"/>
      <c r="G725" s="146"/>
      <c r="H725" s="146"/>
      <c r="I725" s="146"/>
      <c r="J725" s="146"/>
      <c r="K725" s="146"/>
      <c r="L725" s="146"/>
      <c r="M725" s="146"/>
      <c r="N725" s="146"/>
      <c r="O725" s="146"/>
      <c r="P725" s="146"/>
      <c r="Q725" s="146"/>
      <c r="R725" s="146"/>
      <c r="S725" s="146"/>
      <c r="T725" s="146"/>
      <c r="U725" s="146"/>
      <c r="V725" s="146"/>
      <c r="W725" s="146"/>
      <c r="X725" s="146"/>
      <c r="Y725" s="146"/>
      <c r="Z725" s="146"/>
      <c r="AA725" s="146"/>
      <c r="AB725" s="146"/>
      <c r="AC725" s="146"/>
      <c r="AD725" s="146"/>
      <c r="AE725" s="146"/>
      <c r="AF725" s="146"/>
      <c r="AG725" s="146"/>
    </row>
    <row r="726" spans="1:33" ht="12.75">
      <c r="A726" s="148"/>
      <c r="B726" s="146"/>
      <c r="C726" s="146"/>
      <c r="D726" s="146"/>
      <c r="E726" s="146"/>
      <c r="F726" s="146"/>
      <c r="G726" s="146"/>
      <c r="H726" s="146"/>
      <c r="I726" s="146"/>
      <c r="J726" s="146"/>
      <c r="K726" s="146"/>
      <c r="L726" s="146"/>
      <c r="M726" s="146"/>
      <c r="N726" s="146"/>
      <c r="O726" s="146"/>
      <c r="P726" s="146"/>
      <c r="Q726" s="146"/>
      <c r="R726" s="146"/>
      <c r="S726" s="146"/>
      <c r="T726" s="146"/>
      <c r="U726" s="146"/>
      <c r="V726" s="146"/>
      <c r="W726" s="146"/>
      <c r="X726" s="146"/>
      <c r="Y726" s="146"/>
      <c r="Z726" s="146"/>
      <c r="AA726" s="146"/>
      <c r="AB726" s="146"/>
      <c r="AC726" s="146"/>
      <c r="AD726" s="146"/>
      <c r="AE726" s="146"/>
      <c r="AF726" s="146"/>
      <c r="AG726" s="146"/>
    </row>
    <row r="727" spans="1:33" ht="12.75">
      <c r="A727" s="148"/>
      <c r="B727" s="146"/>
      <c r="C727" s="146"/>
      <c r="D727" s="146"/>
      <c r="E727" s="146"/>
      <c r="F727" s="146"/>
      <c r="G727" s="146"/>
      <c r="H727" s="146"/>
      <c r="I727" s="146"/>
      <c r="J727" s="146"/>
      <c r="K727" s="146"/>
      <c r="L727" s="146"/>
      <c r="M727" s="146"/>
      <c r="N727" s="146"/>
      <c r="O727" s="146"/>
      <c r="P727" s="146"/>
      <c r="Q727" s="146"/>
      <c r="R727" s="146"/>
      <c r="S727" s="146"/>
      <c r="T727" s="146"/>
      <c r="U727" s="146"/>
      <c r="V727" s="146"/>
      <c r="W727" s="146"/>
      <c r="X727" s="146"/>
      <c r="Y727" s="146"/>
      <c r="Z727" s="146"/>
      <c r="AA727" s="146"/>
      <c r="AB727" s="146"/>
      <c r="AC727" s="146"/>
      <c r="AD727" s="146"/>
      <c r="AE727" s="146"/>
      <c r="AF727" s="146"/>
      <c r="AG727" s="146"/>
    </row>
    <row r="728" spans="1:33" ht="12.75">
      <c r="A728" s="148"/>
      <c r="B728" s="146"/>
      <c r="C728" s="146"/>
      <c r="D728" s="146"/>
      <c r="E728" s="146"/>
      <c r="F728" s="146"/>
      <c r="G728" s="146"/>
      <c r="H728" s="146"/>
      <c r="I728" s="146"/>
      <c r="J728" s="146"/>
      <c r="K728" s="146"/>
      <c r="L728" s="146"/>
      <c r="M728" s="146"/>
      <c r="N728" s="146"/>
      <c r="O728" s="146"/>
      <c r="P728" s="146"/>
      <c r="Q728" s="146"/>
      <c r="R728" s="146"/>
      <c r="S728" s="146"/>
      <c r="T728" s="146"/>
      <c r="U728" s="146"/>
      <c r="V728" s="146"/>
      <c r="W728" s="146"/>
      <c r="X728" s="146"/>
      <c r="Y728" s="146"/>
      <c r="Z728" s="146"/>
      <c r="AA728" s="146"/>
      <c r="AB728" s="146"/>
      <c r="AC728" s="146"/>
      <c r="AD728" s="146"/>
      <c r="AE728" s="146"/>
      <c r="AF728" s="146"/>
      <c r="AG728" s="146"/>
    </row>
    <row r="729" spans="1:33" ht="12.75">
      <c r="A729" s="148"/>
      <c r="B729" s="146"/>
      <c r="C729" s="146"/>
      <c r="D729" s="146"/>
      <c r="E729" s="146"/>
      <c r="F729" s="146"/>
      <c r="G729" s="146"/>
      <c r="H729" s="146"/>
      <c r="I729" s="146"/>
      <c r="J729" s="146"/>
      <c r="K729" s="146"/>
      <c r="L729" s="146"/>
      <c r="M729" s="146"/>
      <c r="N729" s="146"/>
      <c r="O729" s="146"/>
      <c r="P729" s="146"/>
      <c r="Q729" s="146"/>
      <c r="R729" s="146"/>
      <c r="S729" s="146"/>
      <c r="T729" s="146"/>
      <c r="U729" s="146"/>
      <c r="V729" s="146"/>
      <c r="W729" s="146"/>
      <c r="X729" s="146"/>
      <c r="Y729" s="146"/>
      <c r="Z729" s="146"/>
      <c r="AA729" s="146"/>
      <c r="AB729" s="146"/>
      <c r="AC729" s="146"/>
      <c r="AD729" s="146"/>
      <c r="AE729" s="146"/>
      <c r="AF729" s="146"/>
      <c r="AG729" s="146"/>
    </row>
    <row r="730" spans="1:33" ht="12.75">
      <c r="A730" s="148"/>
      <c r="B730" s="146"/>
      <c r="C730" s="146"/>
      <c r="D730" s="146"/>
      <c r="E730" s="146"/>
      <c r="F730" s="146"/>
      <c r="G730" s="146"/>
      <c r="H730" s="146"/>
      <c r="I730" s="146"/>
      <c r="J730" s="146"/>
      <c r="K730" s="146"/>
      <c r="L730" s="146"/>
      <c r="M730" s="146"/>
      <c r="N730" s="146"/>
      <c r="O730" s="146"/>
      <c r="P730" s="146"/>
      <c r="Q730" s="146"/>
      <c r="R730" s="146"/>
      <c r="S730" s="146"/>
      <c r="T730" s="146"/>
      <c r="U730" s="146"/>
      <c r="V730" s="146"/>
      <c r="W730" s="146"/>
      <c r="X730" s="146"/>
      <c r="Y730" s="146"/>
      <c r="Z730" s="146"/>
      <c r="AA730" s="146"/>
      <c r="AB730" s="146"/>
      <c r="AC730" s="146"/>
      <c r="AD730" s="146"/>
      <c r="AE730" s="146"/>
      <c r="AF730" s="146"/>
      <c r="AG730" s="146"/>
    </row>
    <row r="731" spans="1:33" ht="12.75">
      <c r="A731" s="148"/>
      <c r="B731" s="146"/>
      <c r="C731" s="146"/>
      <c r="D731" s="146"/>
      <c r="E731" s="146"/>
      <c r="F731" s="146"/>
      <c r="G731" s="146"/>
      <c r="H731" s="146"/>
      <c r="I731" s="146"/>
      <c r="J731" s="146"/>
      <c r="K731" s="146"/>
      <c r="L731" s="146"/>
      <c r="M731" s="146"/>
      <c r="N731" s="146"/>
      <c r="O731" s="146"/>
      <c r="P731" s="146"/>
      <c r="Q731" s="146"/>
      <c r="R731" s="146"/>
      <c r="S731" s="146"/>
      <c r="T731" s="146"/>
      <c r="U731" s="146"/>
      <c r="V731" s="146"/>
      <c r="W731" s="146"/>
      <c r="X731" s="146"/>
      <c r="Y731" s="146"/>
      <c r="Z731" s="146"/>
      <c r="AA731" s="146"/>
      <c r="AB731" s="146"/>
      <c r="AC731" s="146"/>
      <c r="AD731" s="146"/>
      <c r="AE731" s="146"/>
      <c r="AF731" s="146"/>
      <c r="AG731" s="146"/>
    </row>
    <row r="732" spans="1:33" ht="12.75">
      <c r="A732" s="148"/>
      <c r="B732" s="146"/>
      <c r="C732" s="146"/>
      <c r="D732" s="146"/>
      <c r="E732" s="146"/>
      <c r="F732" s="146"/>
      <c r="G732" s="146"/>
      <c r="H732" s="146"/>
      <c r="I732" s="146"/>
      <c r="J732" s="146"/>
      <c r="K732" s="146"/>
      <c r="L732" s="146"/>
      <c r="M732" s="146"/>
      <c r="N732" s="146"/>
      <c r="O732" s="146"/>
      <c r="P732" s="146"/>
      <c r="Q732" s="146"/>
      <c r="R732" s="146"/>
      <c r="S732" s="146"/>
      <c r="T732" s="146"/>
      <c r="U732" s="146"/>
      <c r="V732" s="146"/>
      <c r="W732" s="146"/>
      <c r="X732" s="146"/>
      <c r="Y732" s="146"/>
      <c r="Z732" s="146"/>
      <c r="AA732" s="146"/>
      <c r="AB732" s="146"/>
      <c r="AC732" s="146"/>
      <c r="AD732" s="146"/>
      <c r="AE732" s="146"/>
      <c r="AF732" s="146"/>
      <c r="AG732" s="146"/>
    </row>
    <row r="733" spans="1:33" ht="12.75">
      <c r="A733" s="148"/>
      <c r="B733" s="146"/>
      <c r="C733" s="146"/>
      <c r="D733" s="146"/>
      <c r="E733" s="146"/>
      <c r="F733" s="146"/>
      <c r="G733" s="146"/>
      <c r="H733" s="146"/>
      <c r="I733" s="146"/>
      <c r="J733" s="146"/>
      <c r="K733" s="146"/>
      <c r="L733" s="146"/>
      <c r="M733" s="146"/>
      <c r="N733" s="146"/>
      <c r="O733" s="146"/>
      <c r="P733" s="146"/>
      <c r="Q733" s="146"/>
      <c r="R733" s="146"/>
      <c r="S733" s="146"/>
      <c r="T733" s="146"/>
      <c r="U733" s="146"/>
      <c r="V733" s="146"/>
      <c r="W733" s="146"/>
      <c r="X733" s="146"/>
      <c r="Y733" s="146"/>
      <c r="Z733" s="146"/>
      <c r="AA733" s="146"/>
      <c r="AB733" s="146"/>
      <c r="AC733" s="146"/>
      <c r="AD733" s="146"/>
      <c r="AE733" s="146"/>
      <c r="AF733" s="146"/>
      <c r="AG733" s="146"/>
    </row>
    <row r="734" spans="1:33" ht="12.75">
      <c r="A734" s="148"/>
      <c r="B734" s="146"/>
      <c r="C734" s="146"/>
      <c r="D734" s="146"/>
      <c r="E734" s="146"/>
      <c r="F734" s="146"/>
      <c r="G734" s="146"/>
      <c r="H734" s="146"/>
      <c r="I734" s="146"/>
      <c r="J734" s="146"/>
      <c r="K734" s="146"/>
      <c r="L734" s="146"/>
      <c r="M734" s="146"/>
      <c r="N734" s="146"/>
      <c r="O734" s="146"/>
      <c r="P734" s="146"/>
      <c r="Q734" s="146"/>
      <c r="R734" s="146"/>
      <c r="S734" s="146"/>
      <c r="T734" s="146"/>
      <c r="U734" s="146"/>
      <c r="V734" s="146"/>
      <c r="W734" s="146"/>
      <c r="X734" s="146"/>
      <c r="Y734" s="146"/>
      <c r="Z734" s="146"/>
      <c r="AA734" s="146"/>
      <c r="AB734" s="146"/>
      <c r="AC734" s="146"/>
      <c r="AD734" s="146"/>
      <c r="AE734" s="146"/>
      <c r="AF734" s="146"/>
      <c r="AG734" s="146"/>
    </row>
    <row r="735" spans="1:33" ht="12.75">
      <c r="A735" s="148"/>
      <c r="B735" s="146"/>
      <c r="C735" s="146"/>
      <c r="D735" s="146"/>
      <c r="E735" s="146"/>
      <c r="F735" s="146"/>
      <c r="G735" s="146"/>
      <c r="H735" s="146"/>
      <c r="I735" s="146"/>
      <c r="J735" s="146"/>
      <c r="K735" s="146"/>
      <c r="L735" s="146"/>
      <c r="M735" s="146"/>
      <c r="N735" s="146"/>
      <c r="O735" s="146"/>
      <c r="P735" s="146"/>
      <c r="Q735" s="146"/>
      <c r="R735" s="146"/>
      <c r="S735" s="146"/>
      <c r="T735" s="146"/>
      <c r="U735" s="146"/>
      <c r="V735" s="146"/>
      <c r="W735" s="146"/>
      <c r="X735" s="146"/>
      <c r="Y735" s="146"/>
      <c r="Z735" s="146"/>
      <c r="AA735" s="146"/>
      <c r="AB735" s="146"/>
      <c r="AC735" s="146"/>
      <c r="AD735" s="146"/>
      <c r="AE735" s="146"/>
      <c r="AF735" s="146"/>
      <c r="AG735" s="146"/>
    </row>
    <row r="736" spans="1:33" ht="12.75">
      <c r="A736" s="148"/>
      <c r="B736" s="146"/>
      <c r="C736" s="146"/>
      <c r="D736" s="146"/>
      <c r="E736" s="146"/>
      <c r="F736" s="146"/>
      <c r="G736" s="146"/>
      <c r="H736" s="146"/>
      <c r="I736" s="146"/>
      <c r="J736" s="146"/>
      <c r="K736" s="146"/>
      <c r="L736" s="146"/>
      <c r="M736" s="146"/>
      <c r="N736" s="146"/>
      <c r="O736" s="146"/>
      <c r="P736" s="146"/>
      <c r="Q736" s="146"/>
      <c r="R736" s="146"/>
      <c r="S736" s="146"/>
      <c r="T736" s="146"/>
      <c r="U736" s="146"/>
      <c r="V736" s="146"/>
      <c r="W736" s="146"/>
      <c r="X736" s="146"/>
      <c r="Y736" s="146"/>
      <c r="Z736" s="146"/>
      <c r="AA736" s="146"/>
      <c r="AB736" s="146"/>
      <c r="AC736" s="146"/>
      <c r="AD736" s="146"/>
      <c r="AE736" s="146"/>
      <c r="AF736" s="146"/>
      <c r="AG736" s="146"/>
    </row>
    <row r="737" spans="1:33" ht="12.75">
      <c r="A737" s="148"/>
      <c r="B737" s="146"/>
      <c r="C737" s="146"/>
      <c r="D737" s="146"/>
      <c r="E737" s="146"/>
      <c r="F737" s="146"/>
      <c r="G737" s="146"/>
      <c r="H737" s="146"/>
      <c r="I737" s="146"/>
      <c r="J737" s="146"/>
      <c r="K737" s="146"/>
      <c r="L737" s="146"/>
      <c r="M737" s="146"/>
      <c r="N737" s="146"/>
      <c r="O737" s="146"/>
      <c r="P737" s="146"/>
      <c r="Q737" s="146"/>
      <c r="R737" s="146"/>
      <c r="S737" s="146"/>
      <c r="T737" s="146"/>
      <c r="U737" s="146"/>
      <c r="V737" s="146"/>
      <c r="W737" s="146"/>
      <c r="X737" s="146"/>
      <c r="Y737" s="146"/>
      <c r="Z737" s="146"/>
      <c r="AA737" s="146"/>
      <c r="AB737" s="146"/>
      <c r="AC737" s="146"/>
      <c r="AD737" s="146"/>
      <c r="AE737" s="146"/>
      <c r="AF737" s="146"/>
      <c r="AG737" s="146"/>
    </row>
    <row r="738" spans="1:33" ht="12.75">
      <c r="A738" s="148"/>
      <c r="B738" s="146"/>
      <c r="C738" s="146"/>
      <c r="D738" s="146"/>
      <c r="E738" s="146"/>
      <c r="F738" s="146"/>
      <c r="G738" s="146"/>
      <c r="H738" s="146"/>
      <c r="I738" s="146"/>
      <c r="J738" s="146"/>
      <c r="K738" s="146"/>
      <c r="L738" s="146"/>
      <c r="M738" s="146"/>
      <c r="N738" s="146"/>
      <c r="O738" s="146"/>
      <c r="P738" s="146"/>
      <c r="Q738" s="146"/>
      <c r="R738" s="146"/>
      <c r="S738" s="146"/>
      <c r="T738" s="146"/>
      <c r="U738" s="146"/>
      <c r="V738" s="146"/>
      <c r="W738" s="146"/>
      <c r="X738" s="146"/>
      <c r="Y738" s="146"/>
      <c r="Z738" s="146"/>
      <c r="AA738" s="146"/>
      <c r="AB738" s="146"/>
      <c r="AC738" s="146"/>
      <c r="AD738" s="146"/>
      <c r="AE738" s="146"/>
      <c r="AF738" s="146"/>
      <c r="AG738" s="146"/>
    </row>
    <row r="739" spans="1:33" ht="12.75">
      <c r="A739" s="148"/>
      <c r="B739" s="146"/>
      <c r="C739" s="146"/>
      <c r="D739" s="146"/>
      <c r="E739" s="146"/>
      <c r="F739" s="146"/>
      <c r="G739" s="146"/>
      <c r="H739" s="146"/>
      <c r="I739" s="146"/>
      <c r="J739" s="146"/>
      <c r="K739" s="146"/>
      <c r="L739" s="146"/>
      <c r="M739" s="146"/>
      <c r="N739" s="146"/>
      <c r="O739" s="146"/>
      <c r="P739" s="146"/>
      <c r="Q739" s="146"/>
      <c r="R739" s="146"/>
      <c r="S739" s="146"/>
      <c r="T739" s="146"/>
      <c r="U739" s="146"/>
      <c r="V739" s="146"/>
      <c r="W739" s="146"/>
      <c r="X739" s="146"/>
      <c r="Y739" s="146"/>
      <c r="Z739" s="146"/>
      <c r="AA739" s="146"/>
      <c r="AB739" s="146"/>
      <c r="AC739" s="146"/>
      <c r="AD739" s="146"/>
      <c r="AE739" s="146"/>
      <c r="AF739" s="146"/>
      <c r="AG739" s="146"/>
    </row>
    <row r="740" spans="1:33" ht="12.75">
      <c r="A740" s="148"/>
      <c r="B740" s="146"/>
      <c r="C740" s="146"/>
      <c r="D740" s="146"/>
      <c r="E740" s="146"/>
      <c r="F740" s="146"/>
      <c r="G740" s="146"/>
      <c r="H740" s="146"/>
      <c r="I740" s="146"/>
      <c r="J740" s="146"/>
      <c r="K740" s="146"/>
      <c r="L740" s="146"/>
      <c r="M740" s="146"/>
      <c r="N740" s="146"/>
      <c r="O740" s="146"/>
      <c r="P740" s="146"/>
      <c r="Q740" s="146"/>
      <c r="R740" s="146"/>
      <c r="S740" s="146"/>
      <c r="T740" s="146"/>
      <c r="U740" s="146"/>
      <c r="V740" s="146"/>
      <c r="W740" s="146"/>
      <c r="X740" s="146"/>
      <c r="Y740" s="146"/>
      <c r="Z740" s="146"/>
      <c r="AA740" s="146"/>
      <c r="AB740" s="146"/>
      <c r="AC740" s="146"/>
      <c r="AD740" s="146"/>
      <c r="AE740" s="146"/>
      <c r="AF740" s="146"/>
      <c r="AG740" s="146"/>
    </row>
    <row r="741" spans="1:33" ht="12.75">
      <c r="A741" s="148"/>
      <c r="B741" s="146"/>
      <c r="C741" s="146"/>
      <c r="D741" s="146"/>
      <c r="E741" s="146"/>
      <c r="F741" s="146"/>
      <c r="G741" s="146"/>
      <c r="H741" s="146"/>
      <c r="I741" s="146"/>
      <c r="J741" s="146"/>
      <c r="K741" s="146"/>
      <c r="L741" s="146"/>
      <c r="M741" s="146"/>
      <c r="N741" s="146"/>
      <c r="O741" s="146"/>
      <c r="P741" s="146"/>
      <c r="Q741" s="146"/>
      <c r="R741" s="146"/>
      <c r="S741" s="146"/>
      <c r="T741" s="146"/>
      <c r="U741" s="146"/>
      <c r="V741" s="146"/>
      <c r="W741" s="146"/>
      <c r="X741" s="146"/>
      <c r="Y741" s="146"/>
      <c r="Z741" s="146"/>
      <c r="AA741" s="146"/>
      <c r="AB741" s="146"/>
      <c r="AC741" s="146"/>
      <c r="AD741" s="146"/>
      <c r="AE741" s="146"/>
      <c r="AF741" s="146"/>
      <c r="AG741" s="146"/>
    </row>
    <row r="742" spans="1:33" ht="12.75">
      <c r="A742" s="148"/>
      <c r="B742" s="146"/>
      <c r="C742" s="146"/>
      <c r="D742" s="146"/>
      <c r="E742" s="146"/>
      <c r="F742" s="146"/>
      <c r="G742" s="146"/>
      <c r="H742" s="146"/>
      <c r="I742" s="146"/>
      <c r="J742" s="146"/>
      <c r="K742" s="146"/>
      <c r="L742" s="146"/>
      <c r="M742" s="146"/>
      <c r="N742" s="146"/>
      <c r="O742" s="146"/>
      <c r="P742" s="146"/>
      <c r="Q742" s="146"/>
      <c r="R742" s="146"/>
      <c r="S742" s="146"/>
      <c r="T742" s="146"/>
      <c r="U742" s="146"/>
      <c r="V742" s="146"/>
      <c r="W742" s="146"/>
      <c r="X742" s="146"/>
      <c r="Y742" s="146"/>
      <c r="Z742" s="146"/>
      <c r="AA742" s="146"/>
      <c r="AB742" s="146"/>
      <c r="AC742" s="146"/>
      <c r="AD742" s="146"/>
      <c r="AE742" s="146"/>
      <c r="AF742" s="146"/>
      <c r="AG742" s="146"/>
    </row>
    <row r="743" spans="1:33" ht="12.75">
      <c r="A743" s="148"/>
      <c r="B743" s="146"/>
      <c r="C743" s="146"/>
      <c r="D743" s="146"/>
      <c r="E743" s="146"/>
      <c r="F743" s="146"/>
      <c r="G743" s="146"/>
      <c r="H743" s="146"/>
      <c r="I743" s="146"/>
      <c r="J743" s="146"/>
      <c r="K743" s="146"/>
      <c r="L743" s="146"/>
      <c r="M743" s="146"/>
      <c r="N743" s="146"/>
      <c r="O743" s="146"/>
      <c r="P743" s="146"/>
      <c r="Q743" s="146"/>
      <c r="R743" s="146"/>
      <c r="S743" s="146"/>
      <c r="T743" s="146"/>
      <c r="U743" s="146"/>
      <c r="V743" s="146"/>
      <c r="W743" s="146"/>
      <c r="X743" s="146"/>
      <c r="Y743" s="146"/>
      <c r="Z743" s="146"/>
      <c r="AA743" s="146"/>
      <c r="AB743" s="146"/>
      <c r="AC743" s="146"/>
      <c r="AD743" s="146"/>
      <c r="AE743" s="146"/>
      <c r="AF743" s="146"/>
      <c r="AG743" s="146"/>
    </row>
    <row r="744" spans="1:33" ht="12.75">
      <c r="A744" s="148"/>
      <c r="B744" s="146"/>
      <c r="C744" s="146"/>
      <c r="D744" s="146"/>
      <c r="E744" s="146"/>
      <c r="F744" s="146"/>
      <c r="G744" s="146"/>
      <c r="H744" s="146"/>
      <c r="I744" s="146"/>
      <c r="J744" s="146"/>
      <c r="K744" s="146"/>
      <c r="L744" s="146"/>
      <c r="M744" s="146"/>
      <c r="N744" s="146"/>
      <c r="O744" s="146"/>
      <c r="P744" s="146"/>
      <c r="Q744" s="146"/>
      <c r="R744" s="146"/>
      <c r="S744" s="146"/>
      <c r="T744" s="146"/>
      <c r="U744" s="146"/>
      <c r="V744" s="146"/>
      <c r="W744" s="146"/>
      <c r="X744" s="146"/>
      <c r="Y744" s="146"/>
      <c r="Z744" s="146"/>
      <c r="AA744" s="146"/>
      <c r="AB744" s="146"/>
      <c r="AC744" s="146"/>
      <c r="AD744" s="146"/>
      <c r="AE744" s="146"/>
      <c r="AF744" s="146"/>
      <c r="AG744" s="146"/>
    </row>
    <row r="745" spans="1:33" ht="12.75">
      <c r="A745" s="148"/>
      <c r="B745" s="146"/>
      <c r="C745" s="146"/>
      <c r="D745" s="146"/>
      <c r="E745" s="146"/>
      <c r="F745" s="146"/>
      <c r="G745" s="146"/>
      <c r="H745" s="146"/>
      <c r="I745" s="146"/>
      <c r="J745" s="146"/>
      <c r="K745" s="146"/>
      <c r="L745" s="146"/>
      <c r="M745" s="146"/>
      <c r="N745" s="146"/>
      <c r="O745" s="146"/>
      <c r="P745" s="146"/>
      <c r="Q745" s="146"/>
      <c r="R745" s="146"/>
      <c r="S745" s="146"/>
      <c r="T745" s="146"/>
      <c r="U745" s="146"/>
      <c r="V745" s="146"/>
      <c r="W745" s="146"/>
      <c r="X745" s="146"/>
      <c r="Y745" s="146"/>
      <c r="Z745" s="146"/>
      <c r="AA745" s="146"/>
      <c r="AB745" s="146"/>
      <c r="AC745" s="146"/>
      <c r="AD745" s="146"/>
      <c r="AE745" s="146"/>
      <c r="AF745" s="146"/>
      <c r="AG745" s="146"/>
    </row>
    <row r="746" spans="1:33" ht="12.75">
      <c r="A746" s="148"/>
      <c r="B746" s="146"/>
      <c r="C746" s="146"/>
      <c r="D746" s="146"/>
      <c r="E746" s="146"/>
      <c r="F746" s="146"/>
      <c r="G746" s="146"/>
      <c r="H746" s="146"/>
      <c r="I746" s="146"/>
      <c r="J746" s="146"/>
      <c r="K746" s="146"/>
      <c r="L746" s="146"/>
      <c r="M746" s="146"/>
      <c r="N746" s="146"/>
      <c r="O746" s="146"/>
      <c r="P746" s="146"/>
      <c r="Q746" s="146"/>
      <c r="R746" s="146"/>
      <c r="S746" s="146"/>
      <c r="T746" s="146"/>
      <c r="U746" s="146"/>
      <c r="V746" s="146"/>
      <c r="W746" s="146"/>
      <c r="X746" s="146"/>
      <c r="Y746" s="146"/>
      <c r="Z746" s="146"/>
      <c r="AA746" s="146"/>
      <c r="AB746" s="146"/>
      <c r="AC746" s="146"/>
      <c r="AD746" s="146"/>
      <c r="AE746" s="146"/>
      <c r="AF746" s="146"/>
      <c r="AG746" s="146"/>
    </row>
    <row r="747" spans="1:33" ht="12.75">
      <c r="A747" s="148"/>
      <c r="B747" s="146"/>
      <c r="C747" s="146"/>
      <c r="D747" s="146"/>
      <c r="E747" s="146"/>
      <c r="F747" s="146"/>
      <c r="G747" s="146"/>
      <c r="H747" s="146"/>
      <c r="I747" s="146"/>
      <c r="J747" s="146"/>
      <c r="K747" s="146"/>
      <c r="L747" s="146"/>
      <c r="M747" s="146"/>
      <c r="N747" s="146"/>
      <c r="O747" s="146"/>
      <c r="P747" s="146"/>
      <c r="Q747" s="146"/>
      <c r="R747" s="146"/>
      <c r="S747" s="146"/>
      <c r="T747" s="146"/>
      <c r="U747" s="146"/>
      <c r="V747" s="146"/>
      <c r="W747" s="146"/>
      <c r="X747" s="146"/>
      <c r="Y747" s="146"/>
      <c r="Z747" s="146"/>
      <c r="AA747" s="146"/>
      <c r="AB747" s="146"/>
      <c r="AC747" s="146"/>
      <c r="AD747" s="146"/>
      <c r="AE747" s="146"/>
      <c r="AF747" s="146"/>
      <c r="AG747" s="146"/>
    </row>
    <row r="748" spans="1:33" ht="12.75">
      <c r="A748" s="148"/>
      <c r="B748" s="146"/>
      <c r="C748" s="146"/>
      <c r="D748" s="146"/>
      <c r="E748" s="146"/>
      <c r="F748" s="146"/>
      <c r="G748" s="146"/>
      <c r="H748" s="146"/>
      <c r="I748" s="146"/>
      <c r="J748" s="146"/>
      <c r="K748" s="146"/>
      <c r="L748" s="146"/>
      <c r="M748" s="146"/>
      <c r="N748" s="146"/>
      <c r="O748" s="146"/>
      <c r="P748" s="146"/>
      <c r="Q748" s="146"/>
      <c r="R748" s="146"/>
      <c r="S748" s="146"/>
      <c r="T748" s="146"/>
      <c r="U748" s="146"/>
      <c r="V748" s="146"/>
      <c r="W748" s="146"/>
      <c r="X748" s="146"/>
      <c r="Y748" s="146"/>
      <c r="Z748" s="146"/>
      <c r="AA748" s="146"/>
      <c r="AB748" s="146"/>
      <c r="AC748" s="146"/>
      <c r="AD748" s="146"/>
      <c r="AE748" s="146"/>
      <c r="AF748" s="146"/>
      <c r="AG748" s="146"/>
    </row>
    <row r="749" spans="1:33" ht="12.75">
      <c r="A749" s="148"/>
      <c r="B749" s="146"/>
      <c r="C749" s="146"/>
      <c r="D749" s="146"/>
      <c r="E749" s="146"/>
      <c r="F749" s="146"/>
      <c r="G749" s="146"/>
      <c r="H749" s="146"/>
      <c r="I749" s="146"/>
      <c r="J749" s="146"/>
      <c r="K749" s="146"/>
      <c r="L749" s="146"/>
      <c r="M749" s="146"/>
      <c r="N749" s="146"/>
      <c r="O749" s="146"/>
      <c r="P749" s="146"/>
      <c r="Q749" s="146"/>
      <c r="R749" s="146"/>
      <c r="S749" s="146"/>
      <c r="T749" s="146"/>
      <c r="U749" s="146"/>
      <c r="V749" s="146"/>
      <c r="W749" s="146"/>
      <c r="X749" s="146"/>
      <c r="Y749" s="146"/>
      <c r="Z749" s="146"/>
      <c r="AA749" s="146"/>
      <c r="AB749" s="146"/>
      <c r="AC749" s="146"/>
      <c r="AD749" s="146"/>
      <c r="AE749" s="146"/>
      <c r="AF749" s="146"/>
      <c r="AG749" s="146"/>
    </row>
    <row r="750" spans="1:33" ht="12.75">
      <c r="A750" s="148"/>
      <c r="B750" s="146"/>
      <c r="C750" s="146"/>
      <c r="D750" s="146"/>
      <c r="E750" s="146"/>
      <c r="F750" s="146"/>
      <c r="G750" s="146"/>
      <c r="H750" s="146"/>
      <c r="I750" s="146"/>
      <c r="J750" s="146"/>
      <c r="K750" s="146"/>
      <c r="L750" s="146"/>
      <c r="M750" s="146"/>
      <c r="N750" s="146"/>
      <c r="O750" s="146"/>
      <c r="P750" s="146"/>
      <c r="Q750" s="146"/>
      <c r="R750" s="146"/>
      <c r="S750" s="146"/>
      <c r="T750" s="146"/>
      <c r="U750" s="146"/>
      <c r="V750" s="146"/>
      <c r="W750" s="146"/>
      <c r="X750" s="146"/>
      <c r="Y750" s="146"/>
      <c r="Z750" s="146"/>
      <c r="AA750" s="146"/>
      <c r="AB750" s="146"/>
      <c r="AC750" s="146"/>
      <c r="AD750" s="146"/>
      <c r="AE750" s="146"/>
      <c r="AF750" s="146"/>
      <c r="AG750" s="146"/>
    </row>
    <row r="751" spans="1:33" ht="12.75">
      <c r="A751" s="148"/>
      <c r="B751" s="146"/>
      <c r="C751" s="146"/>
      <c r="D751" s="146"/>
      <c r="E751" s="146"/>
      <c r="F751" s="146"/>
      <c r="G751" s="146"/>
      <c r="H751" s="146"/>
      <c r="I751" s="146"/>
      <c r="J751" s="146"/>
      <c r="K751" s="146"/>
      <c r="L751" s="146"/>
      <c r="M751" s="146"/>
      <c r="N751" s="146"/>
      <c r="O751" s="146"/>
      <c r="P751" s="146"/>
      <c r="Q751" s="146"/>
      <c r="R751" s="146"/>
      <c r="S751" s="146"/>
      <c r="T751" s="146"/>
      <c r="U751" s="146"/>
      <c r="V751" s="146"/>
      <c r="W751" s="146"/>
      <c r="X751" s="146"/>
      <c r="Y751" s="146"/>
      <c r="Z751" s="146"/>
      <c r="AA751" s="146"/>
      <c r="AB751" s="146"/>
      <c r="AC751" s="146"/>
      <c r="AD751" s="146"/>
      <c r="AE751" s="146"/>
      <c r="AF751" s="146"/>
      <c r="AG751" s="146"/>
    </row>
    <row r="752" spans="1:33" ht="12.75">
      <c r="A752" s="148"/>
      <c r="B752" s="146"/>
      <c r="C752" s="146"/>
      <c r="D752" s="146"/>
      <c r="E752" s="146"/>
      <c r="F752" s="146"/>
      <c r="G752" s="146"/>
      <c r="H752" s="146"/>
      <c r="I752" s="146"/>
      <c r="J752" s="146"/>
      <c r="K752" s="146"/>
      <c r="L752" s="146"/>
      <c r="M752" s="146"/>
      <c r="N752" s="146"/>
      <c r="O752" s="146"/>
      <c r="P752" s="146"/>
      <c r="Q752" s="146"/>
      <c r="R752" s="146"/>
      <c r="S752" s="146"/>
      <c r="T752" s="146"/>
      <c r="U752" s="146"/>
      <c r="V752" s="146"/>
      <c r="W752" s="146"/>
      <c r="X752" s="146"/>
      <c r="Y752" s="146"/>
      <c r="Z752" s="146"/>
      <c r="AA752" s="146"/>
      <c r="AB752" s="146"/>
      <c r="AC752" s="146"/>
      <c r="AD752" s="146"/>
      <c r="AE752" s="146"/>
      <c r="AF752" s="146"/>
      <c r="AG752" s="146"/>
    </row>
    <row r="753" spans="1:33" ht="12.75">
      <c r="A753" s="148"/>
      <c r="B753" s="146"/>
      <c r="C753" s="146"/>
      <c r="D753" s="146"/>
      <c r="E753" s="146"/>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c r="AB753" s="146"/>
      <c r="AC753" s="146"/>
      <c r="AD753" s="146"/>
      <c r="AE753" s="146"/>
      <c r="AF753" s="146"/>
      <c r="AG753" s="146"/>
    </row>
    <row r="754" spans="1:33" ht="12.75">
      <c r="A754" s="148"/>
      <c r="B754" s="146"/>
      <c r="C754" s="146"/>
      <c r="D754" s="146"/>
      <c r="E754" s="146"/>
      <c r="F754" s="146"/>
      <c r="G754" s="146"/>
      <c r="H754" s="146"/>
      <c r="I754" s="146"/>
      <c r="J754" s="146"/>
      <c r="K754" s="146"/>
      <c r="L754" s="146"/>
      <c r="M754" s="146"/>
      <c r="N754" s="146"/>
      <c r="O754" s="146"/>
      <c r="P754" s="146"/>
      <c r="Q754" s="146"/>
      <c r="R754" s="146"/>
      <c r="S754" s="146"/>
      <c r="T754" s="146"/>
      <c r="U754" s="146"/>
      <c r="V754" s="146"/>
      <c r="W754" s="146"/>
      <c r="X754" s="146"/>
      <c r="Y754" s="146"/>
      <c r="Z754" s="146"/>
      <c r="AA754" s="146"/>
      <c r="AB754" s="146"/>
      <c r="AC754" s="146"/>
      <c r="AD754" s="146"/>
      <c r="AE754" s="146"/>
      <c r="AF754" s="146"/>
      <c r="AG754" s="146"/>
    </row>
    <row r="755" spans="1:33" ht="12.75">
      <c r="A755" s="148"/>
      <c r="B755" s="146"/>
      <c r="C755" s="146"/>
      <c r="D755" s="146"/>
      <c r="E755" s="146"/>
      <c r="F755" s="146"/>
      <c r="G755" s="146"/>
      <c r="H755" s="146"/>
      <c r="I755" s="146"/>
      <c r="J755" s="146"/>
      <c r="K755" s="146"/>
      <c r="L755" s="146"/>
      <c r="M755" s="146"/>
      <c r="N755" s="146"/>
      <c r="O755" s="146"/>
      <c r="P755" s="146"/>
      <c r="Q755" s="146"/>
      <c r="R755" s="146"/>
      <c r="S755" s="146"/>
      <c r="T755" s="146"/>
      <c r="U755" s="146"/>
      <c r="V755" s="146"/>
      <c r="W755" s="146"/>
      <c r="X755" s="146"/>
      <c r="Y755" s="146"/>
      <c r="Z755" s="146"/>
      <c r="AA755" s="146"/>
      <c r="AB755" s="146"/>
      <c r="AC755" s="146"/>
      <c r="AD755" s="146"/>
      <c r="AE755" s="146"/>
      <c r="AF755" s="146"/>
      <c r="AG755" s="146"/>
    </row>
    <row r="756" spans="1:33" ht="12.75">
      <c r="A756" s="148"/>
      <c r="B756" s="146"/>
      <c r="C756" s="146"/>
      <c r="D756" s="146"/>
      <c r="E756" s="146"/>
      <c r="F756" s="146"/>
      <c r="G756" s="146"/>
      <c r="H756" s="146"/>
      <c r="I756" s="146"/>
      <c r="J756" s="146"/>
      <c r="K756" s="146"/>
      <c r="L756" s="146"/>
      <c r="M756" s="146"/>
      <c r="N756" s="146"/>
      <c r="O756" s="146"/>
      <c r="P756" s="146"/>
      <c r="Q756" s="146"/>
      <c r="R756" s="146"/>
      <c r="S756" s="146"/>
      <c r="T756" s="146"/>
      <c r="U756" s="146"/>
      <c r="V756" s="146"/>
      <c r="W756" s="146"/>
      <c r="X756" s="146"/>
      <c r="Y756" s="146"/>
      <c r="Z756" s="146"/>
      <c r="AA756" s="146"/>
      <c r="AB756" s="146"/>
      <c r="AC756" s="146"/>
      <c r="AD756" s="146"/>
      <c r="AE756" s="146"/>
      <c r="AF756" s="146"/>
      <c r="AG756" s="146"/>
    </row>
    <row r="757" spans="1:33" ht="12.75">
      <c r="A757" s="148"/>
      <c r="B757" s="146"/>
      <c r="C757" s="146"/>
      <c r="D757" s="146"/>
      <c r="E757" s="146"/>
      <c r="F757" s="146"/>
      <c r="G757" s="146"/>
      <c r="H757" s="146"/>
      <c r="I757" s="146"/>
      <c r="J757" s="146"/>
      <c r="K757" s="146"/>
      <c r="L757" s="146"/>
      <c r="M757" s="146"/>
      <c r="N757" s="146"/>
      <c r="O757" s="146"/>
      <c r="P757" s="146"/>
      <c r="Q757" s="146"/>
      <c r="R757" s="146"/>
      <c r="S757" s="146"/>
      <c r="T757" s="146"/>
      <c r="U757" s="146"/>
      <c r="V757" s="146"/>
      <c r="W757" s="146"/>
      <c r="X757" s="146"/>
      <c r="Y757" s="146"/>
      <c r="Z757" s="146"/>
      <c r="AA757" s="146"/>
      <c r="AB757" s="146"/>
      <c r="AC757" s="146"/>
      <c r="AD757" s="146"/>
      <c r="AE757" s="146"/>
      <c r="AF757" s="146"/>
      <c r="AG757" s="146"/>
    </row>
    <row r="758" spans="1:33" ht="12.75">
      <c r="A758" s="148"/>
      <c r="B758" s="146"/>
      <c r="C758" s="146"/>
      <c r="D758" s="146"/>
      <c r="E758" s="146"/>
      <c r="F758" s="146"/>
      <c r="G758" s="146"/>
      <c r="H758" s="146"/>
      <c r="I758" s="146"/>
      <c r="J758" s="146"/>
      <c r="K758" s="146"/>
      <c r="L758" s="146"/>
      <c r="M758" s="146"/>
      <c r="N758" s="146"/>
      <c r="O758" s="146"/>
      <c r="P758" s="146"/>
      <c r="Q758" s="146"/>
      <c r="R758" s="146"/>
      <c r="S758" s="146"/>
      <c r="T758" s="146"/>
      <c r="U758" s="146"/>
      <c r="V758" s="146"/>
      <c r="W758" s="146"/>
      <c r="X758" s="146"/>
      <c r="Y758" s="146"/>
      <c r="Z758" s="146"/>
      <c r="AA758" s="146"/>
      <c r="AB758" s="146"/>
      <c r="AC758" s="146"/>
      <c r="AD758" s="146"/>
      <c r="AE758" s="146"/>
      <c r="AF758" s="146"/>
      <c r="AG758" s="146"/>
    </row>
    <row r="759" spans="1:33" ht="12.75">
      <c r="A759" s="148"/>
      <c r="B759" s="146"/>
      <c r="C759" s="146"/>
      <c r="D759" s="146"/>
      <c r="E759" s="146"/>
      <c r="F759" s="146"/>
      <c r="G759" s="146"/>
      <c r="H759" s="146"/>
      <c r="I759" s="146"/>
      <c r="J759" s="146"/>
      <c r="K759" s="146"/>
      <c r="L759" s="146"/>
      <c r="M759" s="146"/>
      <c r="N759" s="146"/>
      <c r="O759" s="146"/>
      <c r="P759" s="146"/>
      <c r="Q759" s="146"/>
      <c r="R759" s="146"/>
      <c r="S759" s="146"/>
      <c r="T759" s="146"/>
      <c r="U759" s="146"/>
      <c r="V759" s="146"/>
      <c r="W759" s="146"/>
      <c r="X759" s="146"/>
      <c r="Y759" s="146"/>
      <c r="Z759" s="146"/>
      <c r="AA759" s="146"/>
      <c r="AB759" s="146"/>
      <c r="AC759" s="146"/>
      <c r="AD759" s="146"/>
      <c r="AE759" s="146"/>
      <c r="AF759" s="146"/>
      <c r="AG759" s="146"/>
    </row>
    <row r="760" spans="1:33" ht="12.75">
      <c r="A760" s="148"/>
      <c r="B760" s="146"/>
      <c r="C760" s="146"/>
      <c r="D760" s="146"/>
      <c r="E760" s="146"/>
      <c r="F760" s="146"/>
      <c r="G760" s="146"/>
      <c r="H760" s="146"/>
      <c r="I760" s="146"/>
      <c r="J760" s="146"/>
      <c r="K760" s="146"/>
      <c r="L760" s="146"/>
      <c r="M760" s="146"/>
      <c r="N760" s="146"/>
      <c r="O760" s="146"/>
      <c r="P760" s="146"/>
      <c r="Q760" s="146"/>
      <c r="R760" s="146"/>
      <c r="S760" s="146"/>
      <c r="T760" s="146"/>
      <c r="U760" s="146"/>
      <c r="V760" s="146"/>
      <c r="W760" s="146"/>
      <c r="X760" s="146"/>
      <c r="Y760" s="146"/>
      <c r="Z760" s="146"/>
      <c r="AA760" s="146"/>
      <c r="AB760" s="146"/>
      <c r="AC760" s="146"/>
      <c r="AD760" s="146"/>
      <c r="AE760" s="146"/>
      <c r="AF760" s="146"/>
      <c r="AG760" s="146"/>
    </row>
    <row r="761" spans="1:33" ht="12.75">
      <c r="A761" s="148"/>
      <c r="B761" s="146"/>
      <c r="C761" s="146"/>
      <c r="D761" s="146"/>
      <c r="E761" s="146"/>
      <c r="F761" s="146"/>
      <c r="G761" s="146"/>
      <c r="H761" s="146"/>
      <c r="I761" s="146"/>
      <c r="J761" s="146"/>
      <c r="K761" s="146"/>
      <c r="L761" s="146"/>
      <c r="M761" s="146"/>
      <c r="N761" s="146"/>
      <c r="O761" s="146"/>
      <c r="P761" s="146"/>
      <c r="Q761" s="146"/>
      <c r="R761" s="146"/>
      <c r="S761" s="146"/>
      <c r="T761" s="146"/>
      <c r="U761" s="146"/>
      <c r="V761" s="146"/>
      <c r="W761" s="146"/>
      <c r="X761" s="146"/>
      <c r="Y761" s="146"/>
      <c r="Z761" s="146"/>
      <c r="AA761" s="146"/>
      <c r="AB761" s="146"/>
      <c r="AC761" s="146"/>
      <c r="AD761" s="146"/>
      <c r="AE761" s="146"/>
      <c r="AF761" s="146"/>
      <c r="AG761" s="146"/>
    </row>
    <row r="762" spans="1:33" ht="12.75">
      <c r="A762" s="148"/>
      <c r="B762" s="146"/>
      <c r="C762" s="146"/>
      <c r="D762" s="146"/>
      <c r="E762" s="146"/>
      <c r="F762" s="146"/>
      <c r="G762" s="146"/>
      <c r="H762" s="146"/>
      <c r="I762" s="146"/>
      <c r="J762" s="146"/>
      <c r="K762" s="146"/>
      <c r="L762" s="146"/>
      <c r="M762" s="146"/>
      <c r="N762" s="146"/>
      <c r="O762" s="146"/>
      <c r="P762" s="146"/>
      <c r="Q762" s="146"/>
      <c r="R762" s="146"/>
      <c r="S762" s="146"/>
      <c r="T762" s="146"/>
      <c r="U762" s="146"/>
      <c r="V762" s="146"/>
      <c r="W762" s="146"/>
      <c r="X762" s="146"/>
      <c r="Y762" s="146"/>
      <c r="Z762" s="146"/>
      <c r="AA762" s="146"/>
      <c r="AB762" s="146"/>
      <c r="AC762" s="146"/>
      <c r="AD762" s="146"/>
      <c r="AE762" s="146"/>
      <c r="AF762" s="146"/>
      <c r="AG762" s="146"/>
    </row>
    <row r="763" spans="1:33" ht="12.75">
      <c r="A763" s="148"/>
      <c r="B763" s="146"/>
      <c r="C763" s="146"/>
      <c r="D763" s="146"/>
      <c r="E763" s="146"/>
      <c r="F763" s="146"/>
      <c r="G763" s="146"/>
      <c r="H763" s="146"/>
      <c r="I763" s="146"/>
      <c r="J763" s="146"/>
      <c r="K763" s="146"/>
      <c r="L763" s="146"/>
      <c r="M763" s="146"/>
      <c r="N763" s="146"/>
      <c r="O763" s="146"/>
      <c r="P763" s="146"/>
      <c r="Q763" s="146"/>
      <c r="R763" s="146"/>
      <c r="S763" s="146"/>
      <c r="T763" s="146"/>
      <c r="U763" s="146"/>
      <c r="V763" s="146"/>
      <c r="W763" s="146"/>
      <c r="X763" s="146"/>
      <c r="Y763" s="146"/>
      <c r="Z763" s="146"/>
      <c r="AA763" s="146"/>
      <c r="AB763" s="146"/>
      <c r="AC763" s="146"/>
      <c r="AD763" s="146"/>
      <c r="AE763" s="146"/>
      <c r="AF763" s="146"/>
      <c r="AG763" s="146"/>
    </row>
    <row r="764" spans="1:33" ht="12.75">
      <c r="A764" s="148"/>
      <c r="B764" s="146"/>
      <c r="C764" s="146"/>
      <c r="D764" s="146"/>
      <c r="E764" s="146"/>
      <c r="F764" s="146"/>
      <c r="G764" s="146"/>
      <c r="H764" s="146"/>
      <c r="I764" s="146"/>
      <c r="J764" s="146"/>
      <c r="K764" s="146"/>
      <c r="L764" s="146"/>
      <c r="M764" s="146"/>
      <c r="N764" s="146"/>
      <c r="O764" s="146"/>
      <c r="P764" s="146"/>
      <c r="Q764" s="146"/>
      <c r="R764" s="146"/>
      <c r="S764" s="146"/>
      <c r="T764" s="146"/>
      <c r="U764" s="146"/>
      <c r="V764" s="146"/>
      <c r="W764" s="146"/>
      <c r="X764" s="146"/>
      <c r="Y764" s="146"/>
      <c r="Z764" s="146"/>
      <c r="AA764" s="146"/>
      <c r="AB764" s="146"/>
      <c r="AC764" s="146"/>
      <c r="AD764" s="146"/>
      <c r="AE764" s="146"/>
      <c r="AF764" s="146"/>
      <c r="AG764" s="146"/>
    </row>
    <row r="765" spans="1:33" ht="12.75">
      <c r="A765" s="148"/>
      <c r="B765" s="146"/>
      <c r="C765" s="146"/>
      <c r="D765" s="146"/>
      <c r="E765" s="146"/>
      <c r="F765" s="146"/>
      <c r="G765" s="146"/>
      <c r="H765" s="146"/>
      <c r="I765" s="146"/>
      <c r="J765" s="146"/>
      <c r="K765" s="146"/>
      <c r="L765" s="146"/>
      <c r="M765" s="146"/>
      <c r="N765" s="146"/>
      <c r="O765" s="146"/>
      <c r="P765" s="146"/>
      <c r="Q765" s="146"/>
      <c r="R765" s="146"/>
      <c r="S765" s="146"/>
      <c r="T765" s="146"/>
      <c r="U765" s="146"/>
      <c r="V765" s="146"/>
      <c r="W765" s="146"/>
      <c r="X765" s="146"/>
      <c r="Y765" s="146"/>
      <c r="Z765" s="146"/>
      <c r="AA765" s="146"/>
      <c r="AB765" s="146"/>
      <c r="AC765" s="146"/>
      <c r="AD765" s="146"/>
      <c r="AE765" s="146"/>
      <c r="AF765" s="146"/>
      <c r="AG765" s="146"/>
    </row>
    <row r="766" spans="1:33" ht="12.75">
      <c r="A766" s="148"/>
      <c r="B766" s="146"/>
      <c r="C766" s="146"/>
      <c r="D766" s="146"/>
      <c r="E766" s="146"/>
      <c r="F766" s="146"/>
      <c r="G766" s="146"/>
      <c r="H766" s="146"/>
      <c r="I766" s="146"/>
      <c r="J766" s="146"/>
      <c r="K766" s="146"/>
      <c r="L766" s="146"/>
      <c r="M766" s="146"/>
      <c r="N766" s="146"/>
      <c r="O766" s="146"/>
      <c r="P766" s="146"/>
      <c r="Q766" s="146"/>
      <c r="R766" s="146"/>
      <c r="S766" s="146"/>
      <c r="T766" s="146"/>
      <c r="U766" s="146"/>
      <c r="V766" s="146"/>
      <c r="W766" s="146"/>
      <c r="X766" s="146"/>
      <c r="Y766" s="146"/>
      <c r="Z766" s="146"/>
      <c r="AA766" s="146"/>
      <c r="AB766" s="146"/>
      <c r="AC766" s="146"/>
      <c r="AD766" s="146"/>
      <c r="AE766" s="146"/>
      <c r="AF766" s="146"/>
      <c r="AG766" s="146"/>
    </row>
    <row r="767" spans="1:33" ht="12.75">
      <c r="A767" s="148"/>
      <c r="B767" s="146"/>
      <c r="C767" s="146"/>
      <c r="D767" s="146"/>
      <c r="E767" s="146"/>
      <c r="F767" s="146"/>
      <c r="G767" s="146"/>
      <c r="H767" s="146"/>
      <c r="I767" s="146"/>
      <c r="J767" s="146"/>
      <c r="K767" s="146"/>
      <c r="L767" s="146"/>
      <c r="M767" s="146"/>
      <c r="N767" s="146"/>
      <c r="O767" s="146"/>
      <c r="P767" s="146"/>
      <c r="Q767" s="146"/>
      <c r="R767" s="146"/>
      <c r="S767" s="146"/>
      <c r="T767" s="146"/>
      <c r="U767" s="146"/>
      <c r="V767" s="146"/>
      <c r="W767" s="146"/>
      <c r="X767" s="146"/>
      <c r="Y767" s="146"/>
      <c r="Z767" s="146"/>
      <c r="AA767" s="146"/>
      <c r="AB767" s="146"/>
      <c r="AC767" s="146"/>
      <c r="AD767" s="146"/>
      <c r="AE767" s="146"/>
      <c r="AF767" s="146"/>
      <c r="AG767" s="146"/>
    </row>
    <row r="768" spans="1:33" ht="12.75">
      <c r="A768" s="148"/>
      <c r="B768" s="146"/>
      <c r="C768" s="146"/>
      <c r="D768" s="146"/>
      <c r="E768" s="146"/>
      <c r="F768" s="146"/>
      <c r="G768" s="146"/>
      <c r="H768" s="146"/>
      <c r="I768" s="146"/>
      <c r="J768" s="146"/>
      <c r="K768" s="146"/>
      <c r="L768" s="146"/>
      <c r="M768" s="146"/>
      <c r="N768" s="146"/>
      <c r="O768" s="146"/>
      <c r="P768" s="146"/>
      <c r="Q768" s="146"/>
      <c r="R768" s="146"/>
      <c r="S768" s="146"/>
      <c r="T768" s="146"/>
      <c r="U768" s="146"/>
      <c r="V768" s="146"/>
      <c r="W768" s="146"/>
      <c r="X768" s="146"/>
      <c r="Y768" s="146"/>
      <c r="Z768" s="146"/>
      <c r="AA768" s="146"/>
      <c r="AB768" s="146"/>
      <c r="AC768" s="146"/>
      <c r="AD768" s="146"/>
      <c r="AE768" s="146"/>
      <c r="AF768" s="146"/>
      <c r="AG768" s="146"/>
    </row>
    <row r="769" spans="1:33" ht="12.75">
      <c r="A769" s="148"/>
      <c r="B769" s="146"/>
      <c r="C769" s="146"/>
      <c r="D769" s="146"/>
      <c r="E769" s="146"/>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c r="AB769" s="146"/>
      <c r="AC769" s="146"/>
      <c r="AD769" s="146"/>
      <c r="AE769" s="146"/>
      <c r="AF769" s="146"/>
      <c r="AG769" s="146"/>
    </row>
    <row r="770" spans="1:33" ht="12.75">
      <c r="A770" s="148"/>
      <c r="B770" s="146"/>
      <c r="C770" s="146"/>
      <c r="D770" s="146"/>
      <c r="E770" s="146"/>
      <c r="F770" s="146"/>
      <c r="G770" s="146"/>
      <c r="H770" s="146"/>
      <c r="I770" s="146"/>
      <c r="J770" s="146"/>
      <c r="K770" s="146"/>
      <c r="L770" s="146"/>
      <c r="M770" s="146"/>
      <c r="N770" s="146"/>
      <c r="O770" s="146"/>
      <c r="P770" s="146"/>
      <c r="Q770" s="146"/>
      <c r="R770" s="146"/>
      <c r="S770" s="146"/>
      <c r="T770" s="146"/>
      <c r="U770" s="146"/>
      <c r="V770" s="146"/>
      <c r="W770" s="146"/>
      <c r="X770" s="146"/>
      <c r="Y770" s="146"/>
      <c r="Z770" s="146"/>
      <c r="AA770" s="146"/>
      <c r="AB770" s="146"/>
      <c r="AC770" s="146"/>
      <c r="AD770" s="146"/>
      <c r="AE770" s="146"/>
      <c r="AF770" s="146"/>
      <c r="AG770" s="146"/>
    </row>
    <row r="771" spans="1:33" ht="12.75">
      <c r="A771" s="148"/>
      <c r="B771" s="146"/>
      <c r="C771" s="146"/>
      <c r="D771" s="146"/>
      <c r="E771" s="146"/>
      <c r="F771" s="146"/>
      <c r="G771" s="146"/>
      <c r="H771" s="146"/>
      <c r="I771" s="146"/>
      <c r="J771" s="146"/>
      <c r="K771" s="146"/>
      <c r="L771" s="146"/>
      <c r="M771" s="146"/>
      <c r="N771" s="146"/>
      <c r="O771" s="146"/>
      <c r="P771" s="146"/>
      <c r="Q771" s="146"/>
      <c r="R771" s="146"/>
      <c r="S771" s="146"/>
      <c r="T771" s="146"/>
      <c r="U771" s="146"/>
      <c r="V771" s="146"/>
      <c r="W771" s="146"/>
      <c r="X771" s="146"/>
      <c r="Y771" s="146"/>
      <c r="Z771" s="146"/>
      <c r="AA771" s="146"/>
      <c r="AB771" s="146"/>
      <c r="AC771" s="146"/>
      <c r="AD771" s="146"/>
      <c r="AE771" s="146"/>
      <c r="AF771" s="146"/>
      <c r="AG771" s="146"/>
    </row>
    <row r="772" spans="1:33" ht="12.75">
      <c r="A772" s="148"/>
      <c r="B772" s="146"/>
      <c r="C772" s="146"/>
      <c r="D772" s="146"/>
      <c r="E772" s="146"/>
      <c r="F772" s="146"/>
      <c r="G772" s="146"/>
      <c r="H772" s="146"/>
      <c r="I772" s="146"/>
      <c r="J772" s="146"/>
      <c r="K772" s="146"/>
      <c r="L772" s="146"/>
      <c r="M772" s="146"/>
      <c r="N772" s="146"/>
      <c r="O772" s="146"/>
      <c r="P772" s="146"/>
      <c r="Q772" s="146"/>
      <c r="R772" s="146"/>
      <c r="S772" s="146"/>
      <c r="T772" s="146"/>
      <c r="U772" s="146"/>
      <c r="V772" s="146"/>
      <c r="W772" s="146"/>
      <c r="X772" s="146"/>
      <c r="Y772" s="146"/>
      <c r="Z772" s="146"/>
      <c r="AA772" s="146"/>
      <c r="AB772" s="146"/>
      <c r="AC772" s="146"/>
      <c r="AD772" s="146"/>
      <c r="AE772" s="146"/>
      <c r="AF772" s="146"/>
      <c r="AG772" s="146"/>
    </row>
    <row r="773" spans="1:33" ht="12.75">
      <c r="A773" s="148"/>
      <c r="B773" s="146"/>
      <c r="C773" s="146"/>
      <c r="D773" s="146"/>
      <c r="E773" s="146"/>
      <c r="F773" s="146"/>
      <c r="G773" s="146"/>
      <c r="H773" s="146"/>
      <c r="I773" s="146"/>
      <c r="J773" s="146"/>
      <c r="K773" s="146"/>
      <c r="L773" s="146"/>
      <c r="M773" s="146"/>
      <c r="N773" s="146"/>
      <c r="O773" s="146"/>
      <c r="P773" s="146"/>
      <c r="Q773" s="146"/>
      <c r="R773" s="146"/>
      <c r="S773" s="146"/>
      <c r="T773" s="146"/>
      <c r="U773" s="146"/>
      <c r="V773" s="146"/>
      <c r="W773" s="146"/>
      <c r="X773" s="146"/>
      <c r="Y773" s="146"/>
      <c r="Z773" s="146"/>
      <c r="AA773" s="146"/>
      <c r="AB773" s="146"/>
      <c r="AC773" s="146"/>
      <c r="AD773" s="146"/>
      <c r="AE773" s="146"/>
      <c r="AF773" s="146"/>
      <c r="AG773" s="146"/>
    </row>
    <row r="774" spans="1:33" ht="12.75">
      <c r="A774" s="148"/>
      <c r="B774" s="146"/>
      <c r="C774" s="146"/>
      <c r="D774" s="146"/>
      <c r="E774" s="146"/>
      <c r="F774" s="146"/>
      <c r="G774" s="146"/>
      <c r="H774" s="146"/>
      <c r="I774" s="146"/>
      <c r="J774" s="146"/>
      <c r="K774" s="146"/>
      <c r="L774" s="146"/>
      <c r="M774" s="146"/>
      <c r="N774" s="146"/>
      <c r="O774" s="146"/>
      <c r="P774" s="146"/>
      <c r="Q774" s="146"/>
      <c r="R774" s="146"/>
      <c r="S774" s="146"/>
      <c r="T774" s="146"/>
      <c r="U774" s="146"/>
      <c r="V774" s="146"/>
      <c r="W774" s="146"/>
      <c r="X774" s="146"/>
      <c r="Y774" s="146"/>
      <c r="Z774" s="146"/>
      <c r="AA774" s="146"/>
      <c r="AB774" s="146"/>
      <c r="AC774" s="146"/>
      <c r="AD774" s="146"/>
      <c r="AE774" s="146"/>
      <c r="AF774" s="146"/>
      <c r="AG774" s="146"/>
    </row>
    <row r="775" spans="1:33" ht="12.75">
      <c r="A775" s="148"/>
      <c r="B775" s="146"/>
      <c r="C775" s="146"/>
      <c r="D775" s="146"/>
      <c r="E775" s="146"/>
      <c r="F775" s="146"/>
      <c r="G775" s="146"/>
      <c r="H775" s="146"/>
      <c r="I775" s="146"/>
      <c r="J775" s="146"/>
      <c r="K775" s="146"/>
      <c r="L775" s="146"/>
      <c r="M775" s="146"/>
      <c r="N775" s="146"/>
      <c r="O775" s="146"/>
      <c r="P775" s="146"/>
      <c r="Q775" s="146"/>
      <c r="R775" s="146"/>
      <c r="S775" s="146"/>
      <c r="T775" s="146"/>
      <c r="U775" s="146"/>
      <c r="V775" s="146"/>
      <c r="W775" s="146"/>
      <c r="X775" s="146"/>
      <c r="Y775" s="146"/>
      <c r="Z775" s="146"/>
      <c r="AA775" s="146"/>
      <c r="AB775" s="146"/>
      <c r="AC775" s="146"/>
      <c r="AD775" s="146"/>
      <c r="AE775" s="146"/>
      <c r="AF775" s="146"/>
      <c r="AG775" s="146"/>
    </row>
    <row r="776" spans="1:33" ht="12.75">
      <c r="A776" s="148"/>
      <c r="B776" s="146"/>
      <c r="C776" s="146"/>
      <c r="D776" s="146"/>
      <c r="E776" s="146"/>
      <c r="F776" s="146"/>
      <c r="G776" s="146"/>
      <c r="H776" s="146"/>
      <c r="I776" s="146"/>
      <c r="J776" s="146"/>
      <c r="K776" s="146"/>
      <c r="L776" s="146"/>
      <c r="M776" s="146"/>
      <c r="N776" s="146"/>
      <c r="O776" s="146"/>
      <c r="P776" s="146"/>
      <c r="Q776" s="146"/>
      <c r="R776" s="146"/>
      <c r="S776" s="146"/>
      <c r="T776" s="146"/>
      <c r="U776" s="146"/>
      <c r="V776" s="146"/>
      <c r="W776" s="146"/>
      <c r="X776" s="146"/>
      <c r="Y776" s="146"/>
      <c r="Z776" s="146"/>
      <c r="AA776" s="146"/>
      <c r="AB776" s="146"/>
      <c r="AC776" s="146"/>
      <c r="AD776" s="146"/>
      <c r="AE776" s="146"/>
      <c r="AF776" s="146"/>
      <c r="AG776" s="146"/>
    </row>
    <row r="777" spans="1:33" ht="12.75">
      <c r="A777" s="148"/>
      <c r="B777" s="146"/>
      <c r="C777" s="146"/>
      <c r="D777" s="146"/>
      <c r="E777" s="146"/>
      <c r="F777" s="146"/>
      <c r="G777" s="146"/>
      <c r="H777" s="146"/>
      <c r="I777" s="146"/>
      <c r="J777" s="146"/>
      <c r="K777" s="146"/>
      <c r="L777" s="146"/>
      <c r="M777" s="146"/>
      <c r="N777" s="146"/>
      <c r="O777" s="146"/>
      <c r="P777" s="146"/>
      <c r="Q777" s="146"/>
      <c r="R777" s="146"/>
      <c r="S777" s="146"/>
      <c r="T777" s="146"/>
      <c r="U777" s="146"/>
      <c r="V777" s="146"/>
      <c r="W777" s="146"/>
      <c r="X777" s="146"/>
      <c r="Y777" s="146"/>
      <c r="Z777" s="146"/>
      <c r="AA777" s="146"/>
      <c r="AB777" s="146"/>
      <c r="AC777" s="146"/>
      <c r="AD777" s="146"/>
      <c r="AE777" s="146"/>
      <c r="AF777" s="146"/>
      <c r="AG777" s="146"/>
    </row>
    <row r="778" spans="1:33" ht="12.75">
      <c r="A778" s="148"/>
      <c r="B778" s="146"/>
      <c r="C778" s="146"/>
      <c r="D778" s="146"/>
      <c r="E778" s="146"/>
      <c r="F778" s="146"/>
      <c r="G778" s="146"/>
      <c r="H778" s="146"/>
      <c r="I778" s="146"/>
      <c r="J778" s="146"/>
      <c r="K778" s="146"/>
      <c r="L778" s="146"/>
      <c r="M778" s="146"/>
      <c r="N778" s="146"/>
      <c r="O778" s="146"/>
      <c r="P778" s="146"/>
      <c r="Q778" s="146"/>
      <c r="R778" s="146"/>
      <c r="S778" s="146"/>
      <c r="T778" s="146"/>
      <c r="U778" s="146"/>
      <c r="V778" s="146"/>
      <c r="W778" s="146"/>
      <c r="X778" s="146"/>
      <c r="Y778" s="146"/>
      <c r="Z778" s="146"/>
      <c r="AA778" s="146"/>
      <c r="AB778" s="146"/>
      <c r="AC778" s="146"/>
      <c r="AD778" s="146"/>
      <c r="AE778" s="146"/>
      <c r="AF778" s="146"/>
      <c r="AG778" s="146"/>
    </row>
    <row r="779" spans="1:33" ht="12.75">
      <c r="A779" s="148"/>
      <c r="B779" s="146"/>
      <c r="C779" s="146"/>
      <c r="D779" s="146"/>
      <c r="E779" s="146"/>
      <c r="F779" s="146"/>
      <c r="G779" s="146"/>
      <c r="H779" s="146"/>
      <c r="I779" s="146"/>
      <c r="J779" s="146"/>
      <c r="K779" s="146"/>
      <c r="L779" s="146"/>
      <c r="M779" s="146"/>
      <c r="N779" s="146"/>
      <c r="O779" s="146"/>
      <c r="P779" s="146"/>
      <c r="Q779" s="146"/>
      <c r="R779" s="146"/>
      <c r="S779" s="146"/>
      <c r="T779" s="146"/>
      <c r="U779" s="146"/>
      <c r="V779" s="146"/>
      <c r="W779" s="146"/>
      <c r="X779" s="146"/>
      <c r="Y779" s="146"/>
      <c r="Z779" s="146"/>
      <c r="AA779" s="146"/>
      <c r="AB779" s="146"/>
      <c r="AC779" s="146"/>
      <c r="AD779" s="146"/>
      <c r="AE779" s="146"/>
      <c r="AF779" s="146"/>
      <c r="AG779" s="146"/>
    </row>
    <row r="780" spans="1:33" ht="12.75">
      <c r="A780" s="148"/>
      <c r="B780" s="146"/>
      <c r="C780" s="146"/>
      <c r="D780" s="146"/>
      <c r="E780" s="146"/>
      <c r="F780" s="146"/>
      <c r="G780" s="146"/>
      <c r="H780" s="146"/>
      <c r="I780" s="146"/>
      <c r="J780" s="146"/>
      <c r="K780" s="146"/>
      <c r="L780" s="146"/>
      <c r="M780" s="146"/>
      <c r="N780" s="146"/>
      <c r="O780" s="146"/>
      <c r="P780" s="146"/>
      <c r="Q780" s="146"/>
      <c r="R780" s="146"/>
      <c r="S780" s="146"/>
      <c r="T780" s="146"/>
      <c r="U780" s="146"/>
      <c r="V780" s="146"/>
      <c r="W780" s="146"/>
      <c r="X780" s="146"/>
      <c r="Y780" s="146"/>
      <c r="Z780" s="146"/>
      <c r="AA780" s="146"/>
      <c r="AB780" s="146"/>
      <c r="AC780" s="146"/>
      <c r="AD780" s="146"/>
      <c r="AE780" s="146"/>
      <c r="AF780" s="146"/>
      <c r="AG780" s="146"/>
    </row>
    <row r="781" spans="1:33" ht="12.75">
      <c r="A781" s="148"/>
      <c r="B781" s="146"/>
      <c r="C781" s="146"/>
      <c r="D781" s="146"/>
      <c r="E781" s="146"/>
      <c r="F781" s="146"/>
      <c r="G781" s="146"/>
      <c r="H781" s="146"/>
      <c r="I781" s="146"/>
      <c r="J781" s="146"/>
      <c r="K781" s="146"/>
      <c r="L781" s="146"/>
      <c r="M781" s="146"/>
      <c r="N781" s="146"/>
      <c r="O781" s="146"/>
      <c r="P781" s="146"/>
      <c r="Q781" s="146"/>
      <c r="R781" s="146"/>
      <c r="S781" s="146"/>
      <c r="T781" s="146"/>
      <c r="U781" s="146"/>
      <c r="V781" s="146"/>
      <c r="W781" s="146"/>
      <c r="X781" s="146"/>
      <c r="Y781" s="146"/>
      <c r="Z781" s="146"/>
      <c r="AA781" s="146"/>
      <c r="AB781" s="146"/>
      <c r="AC781" s="146"/>
      <c r="AD781" s="146"/>
      <c r="AE781" s="146"/>
      <c r="AF781" s="146"/>
      <c r="AG781" s="146"/>
    </row>
    <row r="782" spans="1:33" ht="12.75">
      <c r="A782" s="148"/>
      <c r="B782" s="146"/>
      <c r="C782" s="146"/>
      <c r="D782" s="146"/>
      <c r="E782" s="146"/>
      <c r="F782" s="146"/>
      <c r="G782" s="146"/>
      <c r="H782" s="146"/>
      <c r="I782" s="146"/>
      <c r="J782" s="146"/>
      <c r="K782" s="146"/>
      <c r="L782" s="146"/>
      <c r="M782" s="146"/>
      <c r="N782" s="146"/>
      <c r="O782" s="146"/>
      <c r="P782" s="146"/>
      <c r="Q782" s="146"/>
      <c r="R782" s="146"/>
      <c r="S782" s="146"/>
      <c r="T782" s="146"/>
      <c r="U782" s="146"/>
      <c r="V782" s="146"/>
      <c r="W782" s="146"/>
      <c r="X782" s="146"/>
      <c r="Y782" s="146"/>
      <c r="Z782" s="146"/>
      <c r="AA782" s="146"/>
      <c r="AB782" s="146"/>
      <c r="AC782" s="146"/>
      <c r="AD782" s="146"/>
      <c r="AE782" s="146"/>
      <c r="AF782" s="146"/>
      <c r="AG782" s="146"/>
    </row>
    <row r="783" spans="1:33" ht="12.75">
      <c r="A783" s="148"/>
      <c r="B783" s="146"/>
      <c r="C783" s="146"/>
      <c r="D783" s="146"/>
      <c r="E783" s="146"/>
      <c r="F783" s="146"/>
      <c r="G783" s="146"/>
      <c r="H783" s="146"/>
      <c r="I783" s="146"/>
      <c r="J783" s="146"/>
      <c r="K783" s="146"/>
      <c r="L783" s="146"/>
      <c r="M783" s="146"/>
      <c r="N783" s="146"/>
      <c r="O783" s="146"/>
      <c r="P783" s="146"/>
      <c r="Q783" s="146"/>
      <c r="R783" s="146"/>
      <c r="S783" s="146"/>
      <c r="T783" s="146"/>
      <c r="U783" s="146"/>
      <c r="V783" s="146"/>
      <c r="W783" s="146"/>
      <c r="X783" s="146"/>
      <c r="Y783" s="146"/>
      <c r="Z783" s="146"/>
      <c r="AA783" s="146"/>
      <c r="AB783" s="146"/>
      <c r="AC783" s="146"/>
      <c r="AD783" s="146"/>
      <c r="AE783" s="146"/>
      <c r="AF783" s="146"/>
      <c r="AG783" s="146"/>
    </row>
    <row r="784" spans="1:33" ht="12.75">
      <c r="A784" s="148"/>
      <c r="B784" s="146"/>
      <c r="C784" s="146"/>
      <c r="D784" s="146"/>
      <c r="E784" s="146"/>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c r="AB784" s="146"/>
      <c r="AC784" s="146"/>
      <c r="AD784" s="146"/>
      <c r="AE784" s="146"/>
      <c r="AF784" s="146"/>
      <c r="AG784" s="146"/>
    </row>
    <row r="785" spans="1:33" ht="12.75">
      <c r="A785" s="148"/>
      <c r="B785" s="146"/>
      <c r="C785" s="146"/>
      <c r="D785" s="146"/>
      <c r="E785" s="146"/>
      <c r="F785" s="146"/>
      <c r="G785" s="146"/>
      <c r="H785" s="146"/>
      <c r="I785" s="146"/>
      <c r="J785" s="146"/>
      <c r="K785" s="146"/>
      <c r="L785" s="146"/>
      <c r="M785" s="146"/>
      <c r="N785" s="146"/>
      <c r="O785" s="146"/>
      <c r="P785" s="146"/>
      <c r="Q785" s="146"/>
      <c r="R785" s="146"/>
      <c r="S785" s="146"/>
      <c r="T785" s="146"/>
      <c r="U785" s="146"/>
      <c r="V785" s="146"/>
      <c r="W785" s="146"/>
      <c r="X785" s="146"/>
      <c r="Y785" s="146"/>
      <c r="Z785" s="146"/>
      <c r="AA785" s="146"/>
      <c r="AB785" s="146"/>
      <c r="AC785" s="146"/>
      <c r="AD785" s="146"/>
      <c r="AE785" s="146"/>
      <c r="AF785" s="146"/>
      <c r="AG785" s="146"/>
    </row>
    <row r="786" spans="1:33" ht="12.75">
      <c r="A786" s="148"/>
      <c r="B786" s="146"/>
      <c r="C786" s="146"/>
      <c r="D786" s="146"/>
      <c r="E786" s="146"/>
      <c r="F786" s="146"/>
      <c r="G786" s="146"/>
      <c r="H786" s="146"/>
      <c r="I786" s="146"/>
      <c r="J786" s="146"/>
      <c r="K786" s="146"/>
      <c r="L786" s="146"/>
      <c r="M786" s="146"/>
      <c r="N786" s="146"/>
      <c r="O786" s="146"/>
      <c r="P786" s="146"/>
      <c r="Q786" s="146"/>
      <c r="R786" s="146"/>
      <c r="S786" s="146"/>
      <c r="T786" s="146"/>
      <c r="U786" s="146"/>
      <c r="V786" s="146"/>
      <c r="W786" s="146"/>
      <c r="X786" s="146"/>
      <c r="Y786" s="146"/>
      <c r="Z786" s="146"/>
      <c r="AA786" s="146"/>
      <c r="AB786" s="146"/>
      <c r="AC786" s="146"/>
      <c r="AD786" s="146"/>
      <c r="AE786" s="146"/>
      <c r="AF786" s="146"/>
      <c r="AG786" s="146"/>
    </row>
    <row r="787" spans="1:33" ht="12.75">
      <c r="A787" s="148"/>
      <c r="B787" s="146"/>
      <c r="C787" s="146"/>
      <c r="D787" s="146"/>
      <c r="E787" s="146"/>
      <c r="F787" s="146"/>
      <c r="G787" s="146"/>
      <c r="H787" s="146"/>
      <c r="I787" s="146"/>
      <c r="J787" s="146"/>
      <c r="K787" s="146"/>
      <c r="L787" s="146"/>
      <c r="M787" s="146"/>
      <c r="N787" s="146"/>
      <c r="O787" s="146"/>
      <c r="P787" s="146"/>
      <c r="Q787" s="146"/>
      <c r="R787" s="146"/>
      <c r="S787" s="146"/>
      <c r="T787" s="146"/>
      <c r="U787" s="146"/>
      <c r="V787" s="146"/>
      <c r="W787" s="146"/>
      <c r="X787" s="146"/>
      <c r="Y787" s="146"/>
      <c r="Z787" s="146"/>
      <c r="AA787" s="146"/>
      <c r="AB787" s="146"/>
      <c r="AC787" s="146"/>
      <c r="AD787" s="146"/>
      <c r="AE787" s="146"/>
      <c r="AF787" s="146"/>
      <c r="AG787" s="146"/>
    </row>
    <row r="788" spans="1:33" ht="12.75">
      <c r="A788" s="148"/>
      <c r="B788" s="146"/>
      <c r="C788" s="146"/>
      <c r="D788" s="146"/>
      <c r="E788" s="146"/>
      <c r="F788" s="146"/>
      <c r="G788" s="146"/>
      <c r="H788" s="146"/>
      <c r="I788" s="146"/>
      <c r="J788" s="146"/>
      <c r="K788" s="146"/>
      <c r="L788" s="146"/>
      <c r="M788" s="146"/>
      <c r="N788" s="146"/>
      <c r="O788" s="146"/>
      <c r="P788" s="146"/>
      <c r="Q788" s="146"/>
      <c r="R788" s="146"/>
      <c r="S788" s="146"/>
      <c r="T788" s="146"/>
      <c r="U788" s="146"/>
      <c r="V788" s="146"/>
      <c r="W788" s="146"/>
      <c r="X788" s="146"/>
      <c r="Y788" s="146"/>
      <c r="Z788" s="146"/>
      <c r="AA788" s="146"/>
      <c r="AB788" s="146"/>
      <c r="AC788" s="146"/>
      <c r="AD788" s="146"/>
      <c r="AE788" s="146"/>
      <c r="AF788" s="146"/>
      <c r="AG788" s="146"/>
    </row>
    <row r="789" spans="1:33" ht="12.75">
      <c r="A789" s="148"/>
      <c r="B789" s="146"/>
      <c r="C789" s="146"/>
      <c r="D789" s="146"/>
      <c r="E789" s="146"/>
      <c r="F789" s="146"/>
      <c r="G789" s="146"/>
      <c r="H789" s="146"/>
      <c r="I789" s="146"/>
      <c r="J789" s="146"/>
      <c r="K789" s="146"/>
      <c r="L789" s="146"/>
      <c r="M789" s="146"/>
      <c r="N789" s="146"/>
      <c r="O789" s="146"/>
      <c r="P789" s="146"/>
      <c r="Q789" s="146"/>
      <c r="R789" s="146"/>
      <c r="S789" s="146"/>
      <c r="T789" s="146"/>
      <c r="U789" s="146"/>
      <c r="V789" s="146"/>
      <c r="W789" s="146"/>
      <c r="X789" s="146"/>
      <c r="Y789" s="146"/>
      <c r="Z789" s="146"/>
      <c r="AA789" s="146"/>
      <c r="AB789" s="146"/>
      <c r="AC789" s="146"/>
      <c r="AD789" s="146"/>
      <c r="AE789" s="146"/>
      <c r="AF789" s="146"/>
      <c r="AG789" s="146"/>
    </row>
    <row r="790" spans="1:33" ht="12.75">
      <c r="A790" s="148"/>
      <c r="B790" s="146"/>
      <c r="C790" s="146"/>
      <c r="D790" s="146"/>
      <c r="E790" s="146"/>
      <c r="F790" s="146"/>
      <c r="G790" s="146"/>
      <c r="H790" s="146"/>
      <c r="I790" s="146"/>
      <c r="J790" s="146"/>
      <c r="K790" s="146"/>
      <c r="L790" s="146"/>
      <c r="M790" s="146"/>
      <c r="N790" s="146"/>
      <c r="O790" s="146"/>
      <c r="P790" s="146"/>
      <c r="Q790" s="146"/>
      <c r="R790" s="146"/>
      <c r="S790" s="146"/>
      <c r="T790" s="146"/>
      <c r="U790" s="146"/>
      <c r="V790" s="146"/>
      <c r="W790" s="146"/>
      <c r="X790" s="146"/>
      <c r="Y790" s="146"/>
      <c r="Z790" s="146"/>
      <c r="AA790" s="146"/>
      <c r="AB790" s="146"/>
      <c r="AC790" s="146"/>
      <c r="AD790" s="146"/>
      <c r="AE790" s="146"/>
      <c r="AF790" s="146"/>
      <c r="AG790" s="146"/>
    </row>
    <row r="791" spans="1:33" ht="12.75">
      <c r="A791" s="148"/>
      <c r="B791" s="146"/>
      <c r="C791" s="146"/>
      <c r="D791" s="146"/>
      <c r="E791" s="146"/>
      <c r="F791" s="146"/>
      <c r="G791" s="146"/>
      <c r="H791" s="146"/>
      <c r="I791" s="146"/>
      <c r="J791" s="146"/>
      <c r="K791" s="146"/>
      <c r="L791" s="146"/>
      <c r="M791" s="146"/>
      <c r="N791" s="146"/>
      <c r="O791" s="146"/>
      <c r="P791" s="146"/>
      <c r="Q791" s="146"/>
      <c r="R791" s="146"/>
      <c r="S791" s="146"/>
      <c r="T791" s="146"/>
      <c r="U791" s="146"/>
      <c r="V791" s="146"/>
      <c r="W791" s="146"/>
      <c r="X791" s="146"/>
      <c r="Y791" s="146"/>
      <c r="Z791" s="146"/>
      <c r="AA791" s="146"/>
      <c r="AB791" s="146"/>
      <c r="AC791" s="146"/>
      <c r="AD791" s="146"/>
      <c r="AE791" s="146"/>
      <c r="AF791" s="146"/>
      <c r="AG791" s="146"/>
    </row>
    <row r="792" spans="1:33" ht="12.75">
      <c r="A792" s="148"/>
      <c r="B792" s="146"/>
      <c r="C792" s="146"/>
      <c r="D792" s="146"/>
      <c r="E792" s="146"/>
      <c r="F792" s="146"/>
      <c r="G792" s="146"/>
      <c r="H792" s="146"/>
      <c r="I792" s="146"/>
      <c r="J792" s="146"/>
      <c r="K792" s="146"/>
      <c r="L792" s="146"/>
      <c r="M792" s="146"/>
      <c r="N792" s="146"/>
      <c r="O792" s="146"/>
      <c r="P792" s="146"/>
      <c r="Q792" s="146"/>
      <c r="R792" s="146"/>
      <c r="S792" s="146"/>
      <c r="T792" s="146"/>
      <c r="U792" s="146"/>
      <c r="V792" s="146"/>
      <c r="W792" s="146"/>
      <c r="X792" s="146"/>
      <c r="Y792" s="146"/>
      <c r="Z792" s="146"/>
      <c r="AA792" s="146"/>
      <c r="AB792" s="146"/>
      <c r="AC792" s="146"/>
      <c r="AD792" s="146"/>
      <c r="AE792" s="146"/>
      <c r="AF792" s="146"/>
      <c r="AG792" s="146"/>
    </row>
    <row r="793" spans="1:33" ht="12.75">
      <c r="A793" s="148"/>
      <c r="B793" s="146"/>
      <c r="C793" s="146"/>
      <c r="D793" s="146"/>
      <c r="E793" s="146"/>
      <c r="F793" s="146"/>
      <c r="G793" s="146"/>
      <c r="H793" s="146"/>
      <c r="I793" s="146"/>
      <c r="J793" s="146"/>
      <c r="K793" s="146"/>
      <c r="L793" s="146"/>
      <c r="M793" s="146"/>
      <c r="N793" s="146"/>
      <c r="O793" s="146"/>
      <c r="P793" s="146"/>
      <c r="Q793" s="146"/>
      <c r="R793" s="146"/>
      <c r="S793" s="146"/>
      <c r="T793" s="146"/>
      <c r="U793" s="146"/>
      <c r="V793" s="146"/>
      <c r="W793" s="146"/>
      <c r="X793" s="146"/>
      <c r="Y793" s="146"/>
      <c r="Z793" s="146"/>
      <c r="AA793" s="146"/>
      <c r="AB793" s="146"/>
      <c r="AC793" s="146"/>
      <c r="AD793" s="146"/>
      <c r="AE793" s="146"/>
      <c r="AF793" s="146"/>
      <c r="AG793" s="146"/>
    </row>
    <row r="794" spans="1:33" ht="12.75">
      <c r="A794" s="148"/>
      <c r="B794" s="146"/>
      <c r="C794" s="146"/>
      <c r="D794" s="146"/>
      <c r="E794" s="146"/>
      <c r="F794" s="146"/>
      <c r="G794" s="146"/>
      <c r="H794" s="146"/>
      <c r="I794" s="146"/>
      <c r="J794" s="146"/>
      <c r="K794" s="146"/>
      <c r="L794" s="146"/>
      <c r="M794" s="146"/>
      <c r="N794" s="146"/>
      <c r="O794" s="146"/>
      <c r="P794" s="146"/>
      <c r="Q794" s="146"/>
      <c r="R794" s="146"/>
      <c r="S794" s="146"/>
      <c r="T794" s="146"/>
      <c r="U794" s="146"/>
      <c r="V794" s="146"/>
      <c r="W794" s="146"/>
      <c r="X794" s="146"/>
      <c r="Y794" s="146"/>
      <c r="Z794" s="146"/>
      <c r="AA794" s="146"/>
      <c r="AB794" s="146"/>
      <c r="AC794" s="146"/>
      <c r="AD794" s="146"/>
      <c r="AE794" s="146"/>
      <c r="AF794" s="146"/>
      <c r="AG794" s="146"/>
    </row>
    <row r="795" spans="1:33" ht="12.75">
      <c r="A795" s="148"/>
      <c r="B795" s="146"/>
      <c r="C795" s="146"/>
      <c r="D795" s="146"/>
      <c r="E795" s="146"/>
      <c r="F795" s="146"/>
      <c r="G795" s="146"/>
      <c r="H795" s="146"/>
      <c r="I795" s="146"/>
      <c r="J795" s="146"/>
      <c r="K795" s="146"/>
      <c r="L795" s="146"/>
      <c r="M795" s="146"/>
      <c r="N795" s="146"/>
      <c r="O795" s="146"/>
      <c r="P795" s="146"/>
      <c r="Q795" s="146"/>
      <c r="R795" s="146"/>
      <c r="S795" s="146"/>
      <c r="T795" s="146"/>
      <c r="U795" s="146"/>
      <c r="V795" s="146"/>
      <c r="W795" s="146"/>
      <c r="X795" s="146"/>
      <c r="Y795" s="146"/>
      <c r="Z795" s="146"/>
      <c r="AA795" s="146"/>
      <c r="AB795" s="146"/>
      <c r="AC795" s="146"/>
      <c r="AD795" s="146"/>
      <c r="AE795" s="146"/>
      <c r="AF795" s="146"/>
      <c r="AG795" s="146"/>
    </row>
    <row r="796" spans="1:33" ht="12.75">
      <c r="A796" s="148"/>
      <c r="B796" s="146"/>
      <c r="C796" s="146"/>
      <c r="D796" s="146"/>
      <c r="E796" s="146"/>
      <c r="F796" s="146"/>
      <c r="G796" s="146"/>
      <c r="H796" s="146"/>
      <c r="I796" s="146"/>
      <c r="J796" s="146"/>
      <c r="K796" s="146"/>
      <c r="L796" s="146"/>
      <c r="M796" s="146"/>
      <c r="N796" s="146"/>
      <c r="O796" s="146"/>
      <c r="P796" s="146"/>
      <c r="Q796" s="146"/>
      <c r="R796" s="146"/>
      <c r="S796" s="146"/>
      <c r="T796" s="146"/>
      <c r="U796" s="146"/>
      <c r="V796" s="146"/>
      <c r="W796" s="146"/>
      <c r="X796" s="146"/>
      <c r="Y796" s="146"/>
      <c r="Z796" s="146"/>
      <c r="AA796" s="146"/>
      <c r="AB796" s="146"/>
      <c r="AC796" s="146"/>
      <c r="AD796" s="146"/>
      <c r="AE796" s="146"/>
      <c r="AF796" s="146"/>
      <c r="AG796" s="146"/>
    </row>
    <row r="797" spans="1:33" ht="12.75">
      <c r="A797" s="148"/>
      <c r="B797" s="146"/>
      <c r="C797" s="146"/>
      <c r="D797" s="146"/>
      <c r="E797" s="146"/>
      <c r="F797" s="146"/>
      <c r="G797" s="146"/>
      <c r="H797" s="146"/>
      <c r="I797" s="146"/>
      <c r="J797" s="146"/>
      <c r="K797" s="146"/>
      <c r="L797" s="146"/>
      <c r="M797" s="146"/>
      <c r="N797" s="146"/>
      <c r="O797" s="146"/>
      <c r="P797" s="146"/>
      <c r="Q797" s="146"/>
      <c r="R797" s="146"/>
      <c r="S797" s="146"/>
      <c r="T797" s="146"/>
      <c r="U797" s="146"/>
      <c r="V797" s="146"/>
      <c r="W797" s="146"/>
      <c r="X797" s="146"/>
      <c r="Y797" s="146"/>
      <c r="Z797" s="146"/>
      <c r="AA797" s="146"/>
      <c r="AB797" s="146"/>
      <c r="AC797" s="146"/>
      <c r="AD797" s="146"/>
      <c r="AE797" s="146"/>
      <c r="AF797" s="146"/>
      <c r="AG797" s="146"/>
    </row>
    <row r="798" spans="1:33" ht="12.75">
      <c r="A798" s="148"/>
      <c r="B798" s="146"/>
      <c r="C798" s="146"/>
      <c r="D798" s="146"/>
      <c r="E798" s="146"/>
      <c r="F798" s="146"/>
      <c r="G798" s="146"/>
      <c r="H798" s="146"/>
      <c r="I798" s="146"/>
      <c r="J798" s="146"/>
      <c r="K798" s="146"/>
      <c r="L798" s="146"/>
      <c r="M798" s="146"/>
      <c r="N798" s="146"/>
      <c r="O798" s="146"/>
      <c r="P798" s="146"/>
      <c r="Q798" s="146"/>
      <c r="R798" s="146"/>
      <c r="S798" s="146"/>
      <c r="T798" s="146"/>
      <c r="U798" s="146"/>
      <c r="V798" s="146"/>
      <c r="W798" s="146"/>
      <c r="X798" s="146"/>
      <c r="Y798" s="146"/>
      <c r="Z798" s="146"/>
      <c r="AA798" s="146"/>
      <c r="AB798" s="146"/>
      <c r="AC798" s="146"/>
      <c r="AD798" s="146"/>
      <c r="AE798" s="146"/>
      <c r="AF798" s="146"/>
      <c r="AG798" s="146"/>
    </row>
    <row r="799" spans="1:33" ht="12.75">
      <c r="A799" s="148"/>
      <c r="B799" s="146"/>
      <c r="C799" s="146"/>
      <c r="D799" s="146"/>
      <c r="E799" s="146"/>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c r="AB799" s="146"/>
      <c r="AC799" s="146"/>
      <c r="AD799" s="146"/>
      <c r="AE799" s="146"/>
      <c r="AF799" s="146"/>
      <c r="AG799" s="146"/>
    </row>
    <row r="800" spans="1:33" ht="12.75">
      <c r="A800" s="148"/>
      <c r="B800" s="146"/>
      <c r="C800" s="146"/>
      <c r="D800" s="146"/>
      <c r="E800" s="146"/>
      <c r="F800" s="146"/>
      <c r="G800" s="146"/>
      <c r="H800" s="146"/>
      <c r="I800" s="146"/>
      <c r="J800" s="146"/>
      <c r="K800" s="146"/>
      <c r="L800" s="146"/>
      <c r="M800" s="146"/>
      <c r="N800" s="146"/>
      <c r="O800" s="146"/>
      <c r="P800" s="146"/>
      <c r="Q800" s="146"/>
      <c r="R800" s="146"/>
      <c r="S800" s="146"/>
      <c r="T800" s="146"/>
      <c r="U800" s="146"/>
      <c r="V800" s="146"/>
      <c r="W800" s="146"/>
      <c r="X800" s="146"/>
      <c r="Y800" s="146"/>
      <c r="Z800" s="146"/>
      <c r="AA800" s="146"/>
      <c r="AB800" s="146"/>
      <c r="AC800" s="146"/>
      <c r="AD800" s="146"/>
      <c r="AE800" s="146"/>
      <c r="AF800" s="146"/>
      <c r="AG800" s="146"/>
    </row>
    <row r="801" spans="1:33" ht="12.75">
      <c r="A801" s="148"/>
      <c r="B801" s="146"/>
      <c r="C801" s="146"/>
      <c r="D801" s="146"/>
      <c r="E801" s="146"/>
      <c r="F801" s="146"/>
      <c r="G801" s="146"/>
      <c r="H801" s="146"/>
      <c r="I801" s="146"/>
      <c r="J801" s="146"/>
      <c r="K801" s="146"/>
      <c r="L801" s="146"/>
      <c r="M801" s="146"/>
      <c r="N801" s="146"/>
      <c r="O801" s="146"/>
      <c r="P801" s="146"/>
      <c r="Q801" s="146"/>
      <c r="R801" s="146"/>
      <c r="S801" s="146"/>
      <c r="T801" s="146"/>
      <c r="U801" s="146"/>
      <c r="V801" s="146"/>
      <c r="W801" s="146"/>
      <c r="X801" s="146"/>
      <c r="Y801" s="146"/>
      <c r="Z801" s="146"/>
      <c r="AA801" s="146"/>
      <c r="AB801" s="146"/>
      <c r="AC801" s="146"/>
      <c r="AD801" s="146"/>
      <c r="AE801" s="146"/>
      <c r="AF801" s="146"/>
      <c r="AG801" s="146"/>
    </row>
    <row r="802" spans="1:33" ht="12.75">
      <c r="A802" s="148"/>
      <c r="B802" s="146"/>
      <c r="C802" s="146"/>
      <c r="D802" s="146"/>
      <c r="E802" s="146"/>
      <c r="F802" s="146"/>
      <c r="G802" s="146"/>
      <c r="H802" s="146"/>
      <c r="I802" s="146"/>
      <c r="J802" s="146"/>
      <c r="K802" s="146"/>
      <c r="L802" s="146"/>
      <c r="M802" s="146"/>
      <c r="N802" s="146"/>
      <c r="O802" s="146"/>
      <c r="P802" s="146"/>
      <c r="Q802" s="146"/>
      <c r="R802" s="146"/>
      <c r="S802" s="146"/>
      <c r="T802" s="146"/>
      <c r="U802" s="146"/>
      <c r="V802" s="146"/>
      <c r="W802" s="146"/>
      <c r="X802" s="146"/>
      <c r="Y802" s="146"/>
      <c r="Z802" s="146"/>
      <c r="AA802" s="146"/>
      <c r="AB802" s="146"/>
      <c r="AC802" s="146"/>
      <c r="AD802" s="146"/>
      <c r="AE802" s="146"/>
      <c r="AF802" s="146"/>
      <c r="AG802" s="146"/>
    </row>
    <row r="803" spans="1:33" ht="12.75">
      <c r="A803" s="148"/>
      <c r="B803" s="146"/>
      <c r="C803" s="146"/>
      <c r="D803" s="146"/>
      <c r="E803" s="146"/>
      <c r="F803" s="146"/>
      <c r="G803" s="146"/>
      <c r="H803" s="146"/>
      <c r="I803" s="146"/>
      <c r="J803" s="146"/>
      <c r="K803" s="146"/>
      <c r="L803" s="146"/>
      <c r="M803" s="146"/>
      <c r="N803" s="146"/>
      <c r="O803" s="146"/>
      <c r="P803" s="146"/>
      <c r="Q803" s="146"/>
      <c r="R803" s="146"/>
      <c r="S803" s="146"/>
      <c r="T803" s="146"/>
      <c r="U803" s="146"/>
      <c r="V803" s="146"/>
      <c r="W803" s="146"/>
      <c r="X803" s="146"/>
      <c r="Y803" s="146"/>
      <c r="Z803" s="146"/>
      <c r="AA803" s="146"/>
      <c r="AB803" s="146"/>
      <c r="AC803" s="146"/>
      <c r="AD803" s="146"/>
      <c r="AE803" s="146"/>
      <c r="AF803" s="146"/>
      <c r="AG803" s="146"/>
    </row>
    <row r="804" spans="1:33" ht="12.75">
      <c r="A804" s="148"/>
      <c r="B804" s="146"/>
      <c r="C804" s="146"/>
      <c r="D804" s="146"/>
      <c r="E804" s="146"/>
      <c r="F804" s="146"/>
      <c r="G804" s="146"/>
      <c r="H804" s="146"/>
      <c r="I804" s="146"/>
      <c r="J804" s="146"/>
      <c r="K804" s="146"/>
      <c r="L804" s="146"/>
      <c r="M804" s="146"/>
      <c r="N804" s="146"/>
      <c r="O804" s="146"/>
      <c r="P804" s="146"/>
      <c r="Q804" s="146"/>
      <c r="R804" s="146"/>
      <c r="S804" s="146"/>
      <c r="T804" s="146"/>
      <c r="U804" s="146"/>
      <c r="V804" s="146"/>
      <c r="W804" s="146"/>
      <c r="X804" s="146"/>
      <c r="Y804" s="146"/>
      <c r="Z804" s="146"/>
      <c r="AA804" s="146"/>
      <c r="AB804" s="146"/>
      <c r="AC804" s="146"/>
      <c r="AD804" s="146"/>
      <c r="AE804" s="146"/>
      <c r="AF804" s="146"/>
      <c r="AG804" s="146"/>
    </row>
    <row r="805" spans="1:33" ht="12.75">
      <c r="A805" s="148"/>
      <c r="B805" s="146"/>
      <c r="C805" s="146"/>
      <c r="D805" s="146"/>
      <c r="E805" s="146"/>
      <c r="F805" s="146"/>
      <c r="G805" s="146"/>
      <c r="H805" s="146"/>
      <c r="I805" s="146"/>
      <c r="J805" s="146"/>
      <c r="K805" s="146"/>
      <c r="L805" s="146"/>
      <c r="M805" s="146"/>
      <c r="N805" s="146"/>
      <c r="O805" s="146"/>
      <c r="P805" s="146"/>
      <c r="Q805" s="146"/>
      <c r="R805" s="146"/>
      <c r="S805" s="146"/>
      <c r="T805" s="146"/>
      <c r="U805" s="146"/>
      <c r="V805" s="146"/>
      <c r="W805" s="146"/>
      <c r="X805" s="146"/>
      <c r="Y805" s="146"/>
      <c r="Z805" s="146"/>
      <c r="AA805" s="146"/>
      <c r="AB805" s="146"/>
      <c r="AC805" s="146"/>
      <c r="AD805" s="146"/>
      <c r="AE805" s="146"/>
      <c r="AF805" s="146"/>
      <c r="AG805" s="146"/>
    </row>
    <row r="806" spans="1:33" ht="12.75">
      <c r="A806" s="148"/>
      <c r="B806" s="146"/>
      <c r="C806" s="146"/>
      <c r="D806" s="146"/>
      <c r="E806" s="146"/>
      <c r="F806" s="146"/>
      <c r="G806" s="146"/>
      <c r="H806" s="146"/>
      <c r="I806" s="146"/>
      <c r="J806" s="146"/>
      <c r="K806" s="146"/>
      <c r="L806" s="146"/>
      <c r="M806" s="146"/>
      <c r="N806" s="146"/>
      <c r="O806" s="146"/>
      <c r="P806" s="146"/>
      <c r="Q806" s="146"/>
      <c r="R806" s="146"/>
      <c r="S806" s="146"/>
      <c r="T806" s="146"/>
      <c r="U806" s="146"/>
      <c r="V806" s="146"/>
      <c r="W806" s="146"/>
      <c r="X806" s="146"/>
      <c r="Y806" s="146"/>
      <c r="Z806" s="146"/>
      <c r="AA806" s="146"/>
      <c r="AB806" s="146"/>
      <c r="AC806" s="146"/>
      <c r="AD806" s="146"/>
      <c r="AE806" s="146"/>
      <c r="AF806" s="146"/>
      <c r="AG806" s="146"/>
    </row>
    <row r="807" spans="1:33" ht="12.75">
      <c r="A807" s="148"/>
      <c r="B807" s="146"/>
      <c r="C807" s="146"/>
      <c r="D807" s="146"/>
      <c r="E807" s="146"/>
      <c r="F807" s="146"/>
      <c r="G807" s="146"/>
      <c r="H807" s="146"/>
      <c r="I807" s="146"/>
      <c r="J807" s="146"/>
      <c r="K807" s="146"/>
      <c r="L807" s="146"/>
      <c r="M807" s="146"/>
      <c r="N807" s="146"/>
      <c r="O807" s="146"/>
      <c r="P807" s="146"/>
      <c r="Q807" s="146"/>
      <c r="R807" s="146"/>
      <c r="S807" s="146"/>
      <c r="T807" s="146"/>
      <c r="U807" s="146"/>
      <c r="V807" s="146"/>
      <c r="W807" s="146"/>
      <c r="X807" s="146"/>
      <c r="Y807" s="146"/>
      <c r="Z807" s="146"/>
      <c r="AA807" s="146"/>
      <c r="AB807" s="146"/>
      <c r="AC807" s="146"/>
      <c r="AD807" s="146"/>
      <c r="AE807" s="146"/>
      <c r="AF807" s="146"/>
      <c r="AG807" s="146"/>
    </row>
    <row r="808" spans="1:33" ht="12.75">
      <c r="A808" s="148"/>
      <c r="B808" s="146"/>
      <c r="C808" s="146"/>
      <c r="D808" s="146"/>
      <c r="E808" s="146"/>
      <c r="F808" s="146"/>
      <c r="G808" s="146"/>
      <c r="H808" s="146"/>
      <c r="I808" s="146"/>
      <c r="J808" s="146"/>
      <c r="K808" s="146"/>
      <c r="L808" s="146"/>
      <c r="M808" s="146"/>
      <c r="N808" s="146"/>
      <c r="O808" s="146"/>
      <c r="P808" s="146"/>
      <c r="Q808" s="146"/>
      <c r="R808" s="146"/>
      <c r="S808" s="146"/>
      <c r="T808" s="146"/>
      <c r="U808" s="146"/>
      <c r="V808" s="146"/>
      <c r="W808" s="146"/>
      <c r="X808" s="146"/>
      <c r="Y808" s="146"/>
      <c r="Z808" s="146"/>
      <c r="AA808" s="146"/>
      <c r="AB808" s="146"/>
      <c r="AC808" s="146"/>
      <c r="AD808" s="146"/>
      <c r="AE808" s="146"/>
      <c r="AF808" s="146"/>
      <c r="AG808" s="146"/>
    </row>
    <row r="809" spans="1:33" ht="12.75">
      <c r="A809" s="148"/>
      <c r="B809" s="146"/>
      <c r="C809" s="146"/>
      <c r="D809" s="146"/>
      <c r="E809" s="146"/>
      <c r="F809" s="146"/>
      <c r="G809" s="146"/>
      <c r="H809" s="146"/>
      <c r="I809" s="146"/>
      <c r="J809" s="146"/>
      <c r="K809" s="146"/>
      <c r="L809" s="146"/>
      <c r="M809" s="146"/>
      <c r="N809" s="146"/>
      <c r="O809" s="146"/>
      <c r="P809" s="146"/>
      <c r="Q809" s="146"/>
      <c r="R809" s="146"/>
      <c r="S809" s="146"/>
      <c r="T809" s="146"/>
      <c r="U809" s="146"/>
      <c r="V809" s="146"/>
      <c r="W809" s="146"/>
      <c r="X809" s="146"/>
      <c r="Y809" s="146"/>
      <c r="Z809" s="146"/>
      <c r="AA809" s="146"/>
      <c r="AB809" s="146"/>
      <c r="AC809" s="146"/>
      <c r="AD809" s="146"/>
      <c r="AE809" s="146"/>
      <c r="AF809" s="146"/>
      <c r="AG809" s="146"/>
    </row>
    <row r="810" spans="1:33" ht="12.75">
      <c r="A810" s="148"/>
      <c r="B810" s="146"/>
      <c r="C810" s="146"/>
      <c r="D810" s="146"/>
      <c r="E810" s="146"/>
      <c r="F810" s="146"/>
      <c r="G810" s="146"/>
      <c r="H810" s="146"/>
      <c r="I810" s="146"/>
      <c r="J810" s="146"/>
      <c r="K810" s="146"/>
      <c r="L810" s="146"/>
      <c r="M810" s="146"/>
      <c r="N810" s="146"/>
      <c r="O810" s="146"/>
      <c r="P810" s="146"/>
      <c r="Q810" s="146"/>
      <c r="R810" s="146"/>
      <c r="S810" s="146"/>
      <c r="T810" s="146"/>
      <c r="U810" s="146"/>
      <c r="V810" s="146"/>
      <c r="W810" s="146"/>
      <c r="X810" s="146"/>
      <c r="Y810" s="146"/>
      <c r="Z810" s="146"/>
      <c r="AA810" s="146"/>
      <c r="AB810" s="146"/>
      <c r="AC810" s="146"/>
      <c r="AD810" s="146"/>
      <c r="AE810" s="146"/>
      <c r="AF810" s="146"/>
      <c r="AG810" s="146"/>
    </row>
    <row r="811" spans="1:33" ht="12.75">
      <c r="A811" s="148"/>
      <c r="B811" s="146"/>
      <c r="C811" s="146"/>
      <c r="D811" s="146"/>
      <c r="E811" s="146"/>
      <c r="F811" s="146"/>
      <c r="G811" s="146"/>
      <c r="H811" s="146"/>
      <c r="I811" s="146"/>
      <c r="J811" s="146"/>
      <c r="K811" s="146"/>
      <c r="L811" s="146"/>
      <c r="M811" s="146"/>
      <c r="N811" s="146"/>
      <c r="O811" s="146"/>
      <c r="P811" s="146"/>
      <c r="Q811" s="146"/>
      <c r="R811" s="146"/>
      <c r="S811" s="146"/>
      <c r="T811" s="146"/>
      <c r="U811" s="146"/>
      <c r="V811" s="146"/>
      <c r="W811" s="146"/>
      <c r="X811" s="146"/>
      <c r="Y811" s="146"/>
      <c r="Z811" s="146"/>
      <c r="AA811" s="146"/>
      <c r="AB811" s="146"/>
      <c r="AC811" s="146"/>
      <c r="AD811" s="146"/>
      <c r="AE811" s="146"/>
      <c r="AF811" s="146"/>
      <c r="AG811" s="146"/>
    </row>
    <row r="812" spans="1:33" ht="12.75">
      <c r="A812" s="148"/>
      <c r="B812" s="146"/>
      <c r="C812" s="146"/>
      <c r="D812" s="146"/>
      <c r="E812" s="146"/>
      <c r="F812" s="146"/>
      <c r="G812" s="146"/>
      <c r="H812" s="146"/>
      <c r="I812" s="146"/>
      <c r="J812" s="146"/>
      <c r="K812" s="146"/>
      <c r="L812" s="146"/>
      <c r="M812" s="146"/>
      <c r="N812" s="146"/>
      <c r="O812" s="146"/>
      <c r="P812" s="146"/>
      <c r="Q812" s="146"/>
      <c r="R812" s="146"/>
      <c r="S812" s="146"/>
      <c r="T812" s="146"/>
      <c r="U812" s="146"/>
      <c r="V812" s="146"/>
      <c r="W812" s="146"/>
      <c r="X812" s="146"/>
      <c r="Y812" s="146"/>
      <c r="Z812" s="146"/>
      <c r="AA812" s="146"/>
      <c r="AB812" s="146"/>
      <c r="AC812" s="146"/>
      <c r="AD812" s="146"/>
      <c r="AE812" s="146"/>
      <c r="AF812" s="146"/>
      <c r="AG812" s="146"/>
    </row>
    <row r="813" spans="1:33" ht="12.75">
      <c r="A813" s="148"/>
      <c r="B813" s="146"/>
      <c r="C813" s="146"/>
      <c r="D813" s="146"/>
      <c r="E813" s="146"/>
      <c r="F813" s="146"/>
      <c r="G813" s="146"/>
      <c r="H813" s="146"/>
      <c r="I813" s="146"/>
      <c r="J813" s="146"/>
      <c r="K813" s="146"/>
      <c r="L813" s="146"/>
      <c r="M813" s="146"/>
      <c r="N813" s="146"/>
      <c r="O813" s="146"/>
      <c r="P813" s="146"/>
      <c r="Q813" s="146"/>
      <c r="R813" s="146"/>
      <c r="S813" s="146"/>
      <c r="T813" s="146"/>
      <c r="U813" s="146"/>
      <c r="V813" s="146"/>
      <c r="W813" s="146"/>
      <c r="X813" s="146"/>
      <c r="Y813" s="146"/>
      <c r="Z813" s="146"/>
      <c r="AA813" s="146"/>
      <c r="AB813" s="146"/>
      <c r="AC813" s="146"/>
      <c r="AD813" s="146"/>
      <c r="AE813" s="146"/>
      <c r="AF813" s="146"/>
      <c r="AG813" s="146"/>
    </row>
    <row r="814" spans="1:33" ht="12.75">
      <c r="A814" s="148"/>
      <c r="B814" s="146"/>
      <c r="C814" s="146"/>
      <c r="D814" s="146"/>
      <c r="E814" s="146"/>
      <c r="F814" s="146"/>
      <c r="G814" s="146"/>
      <c r="H814" s="146"/>
      <c r="I814" s="146"/>
      <c r="J814" s="146"/>
      <c r="K814" s="146"/>
      <c r="L814" s="146"/>
      <c r="M814" s="146"/>
      <c r="N814" s="146"/>
      <c r="O814" s="146"/>
      <c r="P814" s="146"/>
      <c r="Q814" s="146"/>
      <c r="R814" s="146"/>
      <c r="S814" s="146"/>
      <c r="T814" s="146"/>
      <c r="U814" s="146"/>
      <c r="V814" s="146"/>
      <c r="W814" s="146"/>
      <c r="X814" s="146"/>
      <c r="Y814" s="146"/>
      <c r="Z814" s="146"/>
      <c r="AA814" s="146"/>
      <c r="AB814" s="146"/>
      <c r="AC814" s="146"/>
      <c r="AD814" s="146"/>
      <c r="AE814" s="146"/>
      <c r="AF814" s="146"/>
      <c r="AG814" s="146"/>
    </row>
    <row r="815" spans="1:33" ht="12.75">
      <c r="A815" s="148"/>
      <c r="B815" s="146"/>
      <c r="C815" s="146"/>
      <c r="D815" s="146"/>
      <c r="E815" s="146"/>
      <c r="F815" s="146"/>
      <c r="G815" s="146"/>
      <c r="H815" s="146"/>
      <c r="I815" s="146"/>
      <c r="J815" s="146"/>
      <c r="K815" s="146"/>
      <c r="L815" s="146"/>
      <c r="M815" s="146"/>
      <c r="N815" s="146"/>
      <c r="O815" s="146"/>
      <c r="P815" s="146"/>
      <c r="Q815" s="146"/>
      <c r="R815" s="146"/>
      <c r="S815" s="146"/>
      <c r="T815" s="146"/>
      <c r="U815" s="146"/>
      <c r="V815" s="146"/>
      <c r="W815" s="146"/>
      <c r="X815" s="146"/>
      <c r="Y815" s="146"/>
      <c r="Z815" s="146"/>
      <c r="AA815" s="146"/>
      <c r="AB815" s="146"/>
      <c r="AC815" s="146"/>
      <c r="AD815" s="146"/>
      <c r="AE815" s="146"/>
      <c r="AF815" s="146"/>
      <c r="AG815" s="146"/>
    </row>
    <row r="816" spans="1:33" ht="12.75">
      <c r="A816" s="148"/>
      <c r="B816" s="146"/>
      <c r="C816" s="146"/>
      <c r="D816" s="146"/>
      <c r="E816" s="146"/>
      <c r="F816" s="146"/>
      <c r="G816" s="146"/>
      <c r="H816" s="146"/>
      <c r="I816" s="146"/>
      <c r="J816" s="146"/>
      <c r="K816" s="146"/>
      <c r="L816" s="146"/>
      <c r="M816" s="146"/>
      <c r="N816" s="146"/>
      <c r="O816" s="146"/>
      <c r="P816" s="146"/>
      <c r="Q816" s="146"/>
      <c r="R816" s="146"/>
      <c r="S816" s="146"/>
      <c r="T816" s="146"/>
      <c r="U816" s="146"/>
      <c r="V816" s="146"/>
      <c r="W816" s="146"/>
      <c r="X816" s="146"/>
      <c r="Y816" s="146"/>
      <c r="Z816" s="146"/>
      <c r="AA816" s="146"/>
      <c r="AB816" s="146"/>
      <c r="AC816" s="146"/>
      <c r="AD816" s="146"/>
      <c r="AE816" s="146"/>
      <c r="AF816" s="146"/>
      <c r="AG816" s="146"/>
    </row>
    <row r="817" spans="1:33" ht="12.75">
      <c r="A817" s="148"/>
      <c r="B817" s="146"/>
      <c r="C817" s="146"/>
      <c r="D817" s="146"/>
      <c r="E817" s="146"/>
      <c r="F817" s="146"/>
      <c r="G817" s="146"/>
      <c r="H817" s="146"/>
      <c r="I817" s="146"/>
      <c r="J817" s="146"/>
      <c r="K817" s="146"/>
      <c r="L817" s="146"/>
      <c r="M817" s="146"/>
      <c r="N817" s="146"/>
      <c r="O817" s="146"/>
      <c r="P817" s="146"/>
      <c r="Q817" s="146"/>
      <c r="R817" s="146"/>
      <c r="S817" s="146"/>
      <c r="T817" s="146"/>
      <c r="U817" s="146"/>
      <c r="V817" s="146"/>
      <c r="W817" s="146"/>
      <c r="X817" s="146"/>
      <c r="Y817" s="146"/>
      <c r="Z817" s="146"/>
      <c r="AA817" s="146"/>
      <c r="AB817" s="146"/>
      <c r="AC817" s="146"/>
      <c r="AD817" s="146"/>
      <c r="AE817" s="146"/>
      <c r="AF817" s="146"/>
      <c r="AG817" s="146"/>
    </row>
    <row r="818" spans="1:33" ht="12.75">
      <c r="A818" s="148"/>
      <c r="B818" s="146"/>
      <c r="C818" s="146"/>
      <c r="D818" s="146"/>
      <c r="E818" s="146"/>
      <c r="F818" s="146"/>
      <c r="G818" s="146"/>
      <c r="H818" s="146"/>
      <c r="I818" s="146"/>
      <c r="J818" s="146"/>
      <c r="K818" s="146"/>
      <c r="L818" s="146"/>
      <c r="M818" s="146"/>
      <c r="N818" s="146"/>
      <c r="O818" s="146"/>
      <c r="P818" s="146"/>
      <c r="Q818" s="146"/>
      <c r="R818" s="146"/>
      <c r="S818" s="146"/>
      <c r="T818" s="146"/>
      <c r="U818" s="146"/>
      <c r="V818" s="146"/>
      <c r="W818" s="146"/>
      <c r="X818" s="146"/>
      <c r="Y818" s="146"/>
      <c r="Z818" s="146"/>
      <c r="AA818" s="146"/>
      <c r="AB818" s="146"/>
      <c r="AC818" s="146"/>
      <c r="AD818" s="146"/>
      <c r="AE818" s="146"/>
      <c r="AF818" s="146"/>
      <c r="AG818" s="146"/>
    </row>
    <row r="819" spans="1:33" ht="12.75">
      <c r="A819" s="148"/>
      <c r="B819" s="146"/>
      <c r="C819" s="146"/>
      <c r="D819" s="146"/>
      <c r="E819" s="146"/>
      <c r="F819" s="146"/>
      <c r="G819" s="146"/>
      <c r="H819" s="146"/>
      <c r="I819" s="146"/>
      <c r="J819" s="146"/>
      <c r="K819" s="146"/>
      <c r="L819" s="146"/>
      <c r="M819" s="146"/>
      <c r="N819" s="146"/>
      <c r="O819" s="146"/>
      <c r="P819" s="146"/>
      <c r="Q819" s="146"/>
      <c r="R819" s="146"/>
      <c r="S819" s="146"/>
      <c r="T819" s="146"/>
      <c r="U819" s="146"/>
      <c r="V819" s="146"/>
      <c r="W819" s="146"/>
      <c r="X819" s="146"/>
      <c r="Y819" s="146"/>
      <c r="Z819" s="146"/>
      <c r="AA819" s="146"/>
      <c r="AB819" s="146"/>
      <c r="AC819" s="146"/>
      <c r="AD819" s="146"/>
      <c r="AE819" s="146"/>
      <c r="AF819" s="146"/>
      <c r="AG819" s="146"/>
    </row>
    <row r="820" spans="1:33" ht="12.75">
      <c r="A820" s="148"/>
      <c r="B820" s="146"/>
      <c r="C820" s="146"/>
      <c r="D820" s="146"/>
      <c r="E820" s="146"/>
      <c r="F820" s="146"/>
      <c r="G820" s="146"/>
      <c r="H820" s="146"/>
      <c r="I820" s="146"/>
      <c r="J820" s="146"/>
      <c r="K820" s="146"/>
      <c r="L820" s="146"/>
      <c r="M820" s="146"/>
      <c r="N820" s="146"/>
      <c r="O820" s="146"/>
      <c r="P820" s="146"/>
      <c r="Q820" s="146"/>
      <c r="R820" s="146"/>
      <c r="S820" s="146"/>
      <c r="T820" s="146"/>
      <c r="U820" s="146"/>
      <c r="V820" s="146"/>
      <c r="W820" s="146"/>
      <c r="X820" s="146"/>
      <c r="Y820" s="146"/>
      <c r="Z820" s="146"/>
      <c r="AA820" s="146"/>
      <c r="AB820" s="146"/>
      <c r="AC820" s="146"/>
      <c r="AD820" s="146"/>
      <c r="AE820" s="146"/>
      <c r="AF820" s="146"/>
      <c r="AG820" s="146"/>
    </row>
    <row r="821" spans="1:33" ht="12.75">
      <c r="A821" s="148"/>
      <c r="B821" s="146"/>
      <c r="C821" s="146"/>
      <c r="D821" s="146"/>
      <c r="E821" s="146"/>
      <c r="F821" s="146"/>
      <c r="G821" s="146"/>
      <c r="H821" s="146"/>
      <c r="I821" s="146"/>
      <c r="J821" s="146"/>
      <c r="K821" s="146"/>
      <c r="L821" s="146"/>
      <c r="M821" s="146"/>
      <c r="N821" s="146"/>
      <c r="O821" s="146"/>
      <c r="P821" s="146"/>
      <c r="Q821" s="146"/>
      <c r="R821" s="146"/>
      <c r="S821" s="146"/>
      <c r="T821" s="146"/>
      <c r="U821" s="146"/>
      <c r="V821" s="146"/>
      <c r="W821" s="146"/>
      <c r="X821" s="146"/>
      <c r="Y821" s="146"/>
      <c r="Z821" s="146"/>
      <c r="AA821" s="146"/>
      <c r="AB821" s="146"/>
      <c r="AC821" s="146"/>
      <c r="AD821" s="146"/>
      <c r="AE821" s="146"/>
      <c r="AF821" s="146"/>
      <c r="AG821" s="146"/>
    </row>
    <row r="822" spans="1:33" ht="12.75">
      <c r="A822" s="148"/>
      <c r="B822" s="146"/>
      <c r="C822" s="146"/>
      <c r="D822" s="146"/>
      <c r="E822" s="146"/>
      <c r="F822" s="146"/>
      <c r="G822" s="146"/>
      <c r="H822" s="146"/>
      <c r="I822" s="146"/>
      <c r="J822" s="146"/>
      <c r="K822" s="146"/>
      <c r="L822" s="146"/>
      <c r="M822" s="146"/>
      <c r="N822" s="146"/>
      <c r="O822" s="146"/>
      <c r="P822" s="146"/>
      <c r="Q822" s="146"/>
      <c r="R822" s="146"/>
      <c r="S822" s="146"/>
      <c r="T822" s="146"/>
      <c r="U822" s="146"/>
      <c r="V822" s="146"/>
      <c r="W822" s="146"/>
      <c r="X822" s="146"/>
      <c r="Y822" s="146"/>
      <c r="Z822" s="146"/>
      <c r="AA822" s="146"/>
      <c r="AB822" s="146"/>
      <c r="AC822" s="146"/>
      <c r="AD822" s="146"/>
      <c r="AE822" s="146"/>
      <c r="AF822" s="146"/>
      <c r="AG822" s="146"/>
    </row>
    <row r="823" spans="1:33" ht="12.75">
      <c r="A823" s="148"/>
      <c r="B823" s="146"/>
      <c r="C823" s="146"/>
      <c r="D823" s="146"/>
      <c r="E823" s="146"/>
      <c r="F823" s="146"/>
      <c r="G823" s="146"/>
      <c r="H823" s="146"/>
      <c r="I823" s="146"/>
      <c r="J823" s="146"/>
      <c r="K823" s="146"/>
      <c r="L823" s="146"/>
      <c r="M823" s="146"/>
      <c r="N823" s="146"/>
      <c r="O823" s="146"/>
      <c r="P823" s="146"/>
      <c r="Q823" s="146"/>
      <c r="R823" s="146"/>
      <c r="S823" s="146"/>
      <c r="T823" s="146"/>
      <c r="U823" s="146"/>
      <c r="V823" s="146"/>
      <c r="W823" s="146"/>
      <c r="X823" s="146"/>
      <c r="Y823" s="146"/>
      <c r="Z823" s="146"/>
      <c r="AA823" s="146"/>
      <c r="AB823" s="146"/>
      <c r="AC823" s="146"/>
      <c r="AD823" s="146"/>
      <c r="AE823" s="146"/>
      <c r="AF823" s="146"/>
      <c r="AG823" s="146"/>
    </row>
    <row r="824" spans="1:33" ht="12.75">
      <c r="A824" s="148"/>
      <c r="B824" s="146"/>
      <c r="C824" s="146"/>
      <c r="D824" s="146"/>
      <c r="E824" s="146"/>
      <c r="F824" s="146"/>
      <c r="G824" s="146"/>
      <c r="H824" s="146"/>
      <c r="I824" s="146"/>
      <c r="J824" s="146"/>
      <c r="K824" s="146"/>
      <c r="L824" s="146"/>
      <c r="M824" s="146"/>
      <c r="N824" s="146"/>
      <c r="O824" s="146"/>
      <c r="P824" s="146"/>
      <c r="Q824" s="146"/>
      <c r="R824" s="146"/>
      <c r="S824" s="146"/>
      <c r="T824" s="146"/>
      <c r="U824" s="146"/>
      <c r="V824" s="146"/>
      <c r="W824" s="146"/>
      <c r="X824" s="146"/>
      <c r="Y824" s="146"/>
      <c r="Z824" s="146"/>
      <c r="AA824" s="146"/>
      <c r="AB824" s="146"/>
      <c r="AC824" s="146"/>
      <c r="AD824" s="146"/>
      <c r="AE824" s="146"/>
      <c r="AF824" s="146"/>
      <c r="AG824" s="146"/>
    </row>
    <row r="825" spans="1:33" ht="12.75">
      <c r="A825" s="148"/>
      <c r="B825" s="146"/>
      <c r="C825" s="146"/>
      <c r="D825" s="146"/>
      <c r="E825" s="146"/>
      <c r="F825" s="146"/>
      <c r="G825" s="146"/>
      <c r="H825" s="146"/>
      <c r="I825" s="146"/>
      <c r="J825" s="146"/>
      <c r="K825" s="146"/>
      <c r="L825" s="146"/>
      <c r="M825" s="146"/>
      <c r="N825" s="146"/>
      <c r="O825" s="146"/>
      <c r="P825" s="146"/>
      <c r="Q825" s="146"/>
      <c r="R825" s="146"/>
      <c r="S825" s="146"/>
      <c r="T825" s="146"/>
      <c r="U825" s="146"/>
      <c r="V825" s="146"/>
      <c r="W825" s="146"/>
      <c r="X825" s="146"/>
      <c r="Y825" s="146"/>
      <c r="Z825" s="146"/>
      <c r="AA825" s="146"/>
      <c r="AB825" s="146"/>
      <c r="AC825" s="146"/>
      <c r="AD825" s="146"/>
      <c r="AE825" s="146"/>
      <c r="AF825" s="146"/>
      <c r="AG825" s="146"/>
    </row>
    <row r="826" spans="1:33" ht="12.75">
      <c r="A826" s="148"/>
      <c r="B826" s="146"/>
      <c r="C826" s="146"/>
      <c r="D826" s="146"/>
      <c r="E826" s="146"/>
      <c r="F826" s="146"/>
      <c r="G826" s="146"/>
      <c r="H826" s="146"/>
      <c r="I826" s="146"/>
      <c r="J826" s="146"/>
      <c r="K826" s="146"/>
      <c r="L826" s="146"/>
      <c r="M826" s="146"/>
      <c r="N826" s="146"/>
      <c r="O826" s="146"/>
      <c r="P826" s="146"/>
      <c r="Q826" s="146"/>
      <c r="R826" s="146"/>
      <c r="S826" s="146"/>
      <c r="T826" s="146"/>
      <c r="U826" s="146"/>
      <c r="V826" s="146"/>
      <c r="W826" s="146"/>
      <c r="X826" s="146"/>
      <c r="Y826" s="146"/>
      <c r="Z826" s="146"/>
      <c r="AA826" s="146"/>
      <c r="AB826" s="146"/>
      <c r="AC826" s="146"/>
      <c r="AD826" s="146"/>
      <c r="AE826" s="146"/>
      <c r="AF826" s="146"/>
      <c r="AG826" s="146"/>
    </row>
    <row r="827" spans="1:33" ht="12.75">
      <c r="A827" s="148"/>
      <c r="B827" s="146"/>
      <c r="C827" s="146"/>
      <c r="D827" s="146"/>
      <c r="E827" s="146"/>
      <c r="F827" s="146"/>
      <c r="G827" s="146"/>
      <c r="H827" s="146"/>
      <c r="I827" s="146"/>
      <c r="J827" s="146"/>
      <c r="K827" s="146"/>
      <c r="L827" s="146"/>
      <c r="M827" s="146"/>
      <c r="N827" s="146"/>
      <c r="O827" s="146"/>
      <c r="P827" s="146"/>
      <c r="Q827" s="146"/>
      <c r="R827" s="146"/>
      <c r="S827" s="146"/>
      <c r="T827" s="146"/>
      <c r="U827" s="146"/>
      <c r="V827" s="146"/>
      <c r="W827" s="146"/>
      <c r="X827" s="146"/>
      <c r="Y827" s="146"/>
      <c r="Z827" s="146"/>
      <c r="AA827" s="146"/>
      <c r="AB827" s="146"/>
      <c r="AC827" s="146"/>
      <c r="AD827" s="146"/>
      <c r="AE827" s="146"/>
      <c r="AF827" s="146"/>
      <c r="AG827" s="146"/>
    </row>
    <row r="828" spans="1:33" ht="12.75">
      <c r="A828" s="148"/>
      <c r="B828" s="146"/>
      <c r="C828" s="146"/>
      <c r="D828" s="146"/>
      <c r="E828" s="146"/>
      <c r="F828" s="146"/>
      <c r="G828" s="146"/>
      <c r="H828" s="146"/>
      <c r="I828" s="146"/>
      <c r="J828" s="146"/>
      <c r="K828" s="146"/>
      <c r="L828" s="146"/>
      <c r="M828" s="146"/>
      <c r="N828" s="146"/>
      <c r="O828" s="146"/>
      <c r="P828" s="146"/>
      <c r="Q828" s="146"/>
      <c r="R828" s="146"/>
      <c r="S828" s="146"/>
      <c r="T828" s="146"/>
      <c r="U828" s="146"/>
      <c r="V828" s="146"/>
      <c r="W828" s="146"/>
      <c r="X828" s="146"/>
      <c r="Y828" s="146"/>
      <c r="Z828" s="146"/>
      <c r="AA828" s="146"/>
      <c r="AB828" s="146"/>
      <c r="AC828" s="146"/>
      <c r="AD828" s="146"/>
      <c r="AE828" s="146"/>
      <c r="AF828" s="146"/>
      <c r="AG828" s="146"/>
    </row>
    <row r="829" spans="1:33" ht="12.75">
      <c r="A829" s="148"/>
      <c r="B829" s="146"/>
      <c r="C829" s="146"/>
      <c r="D829" s="146"/>
      <c r="E829" s="146"/>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c r="AB829" s="146"/>
      <c r="AC829" s="146"/>
      <c r="AD829" s="146"/>
      <c r="AE829" s="146"/>
      <c r="AF829" s="146"/>
      <c r="AG829" s="146"/>
    </row>
    <row r="830" spans="1:33" ht="12.75">
      <c r="A830" s="148"/>
      <c r="B830" s="146"/>
      <c r="C830" s="146"/>
      <c r="D830" s="146"/>
      <c r="E830" s="146"/>
      <c r="F830" s="146"/>
      <c r="G830" s="146"/>
      <c r="H830" s="146"/>
      <c r="I830" s="146"/>
      <c r="J830" s="146"/>
      <c r="K830" s="146"/>
      <c r="L830" s="146"/>
      <c r="M830" s="146"/>
      <c r="N830" s="146"/>
      <c r="O830" s="146"/>
      <c r="P830" s="146"/>
      <c r="Q830" s="146"/>
      <c r="R830" s="146"/>
      <c r="S830" s="146"/>
      <c r="T830" s="146"/>
      <c r="U830" s="146"/>
      <c r="V830" s="146"/>
      <c r="W830" s="146"/>
      <c r="X830" s="146"/>
      <c r="Y830" s="146"/>
      <c r="Z830" s="146"/>
      <c r="AA830" s="146"/>
      <c r="AB830" s="146"/>
      <c r="AC830" s="146"/>
      <c r="AD830" s="146"/>
      <c r="AE830" s="146"/>
      <c r="AF830" s="146"/>
      <c r="AG830" s="146"/>
    </row>
    <row r="831" spans="1:33" ht="12.75">
      <c r="A831" s="148"/>
      <c r="B831" s="146"/>
      <c r="C831" s="146"/>
      <c r="D831" s="146"/>
      <c r="E831" s="146"/>
      <c r="F831" s="146"/>
      <c r="G831" s="146"/>
      <c r="H831" s="146"/>
      <c r="I831" s="146"/>
      <c r="J831" s="146"/>
      <c r="K831" s="146"/>
      <c r="L831" s="146"/>
      <c r="M831" s="146"/>
      <c r="N831" s="146"/>
      <c r="O831" s="146"/>
      <c r="P831" s="146"/>
      <c r="Q831" s="146"/>
      <c r="R831" s="146"/>
      <c r="S831" s="146"/>
      <c r="T831" s="146"/>
      <c r="U831" s="146"/>
      <c r="V831" s="146"/>
      <c r="W831" s="146"/>
      <c r="X831" s="146"/>
      <c r="Y831" s="146"/>
      <c r="Z831" s="146"/>
      <c r="AA831" s="146"/>
      <c r="AB831" s="146"/>
      <c r="AC831" s="146"/>
      <c r="AD831" s="146"/>
      <c r="AE831" s="146"/>
      <c r="AF831" s="146"/>
      <c r="AG831" s="146"/>
    </row>
    <row r="832" spans="1:33" ht="12.75">
      <c r="A832" s="148"/>
      <c r="B832" s="146"/>
      <c r="C832" s="146"/>
      <c r="D832" s="146"/>
      <c r="E832" s="146"/>
      <c r="F832" s="146"/>
      <c r="G832" s="146"/>
      <c r="H832" s="146"/>
      <c r="I832" s="146"/>
      <c r="J832" s="146"/>
      <c r="K832" s="146"/>
      <c r="L832" s="146"/>
      <c r="M832" s="146"/>
      <c r="N832" s="146"/>
      <c r="O832" s="146"/>
      <c r="P832" s="146"/>
      <c r="Q832" s="146"/>
      <c r="R832" s="146"/>
      <c r="S832" s="146"/>
      <c r="T832" s="146"/>
      <c r="U832" s="146"/>
      <c r="V832" s="146"/>
      <c r="W832" s="146"/>
      <c r="X832" s="146"/>
      <c r="Y832" s="146"/>
      <c r="Z832" s="146"/>
      <c r="AA832" s="146"/>
      <c r="AB832" s="146"/>
      <c r="AC832" s="146"/>
      <c r="AD832" s="146"/>
      <c r="AE832" s="146"/>
      <c r="AF832" s="146"/>
      <c r="AG832" s="146"/>
    </row>
    <row r="833" spans="1:33" ht="12.75">
      <c r="A833" s="148"/>
      <c r="B833" s="146"/>
      <c r="C833" s="146"/>
      <c r="D833" s="146"/>
      <c r="E833" s="146"/>
      <c r="F833" s="146"/>
      <c r="G833" s="146"/>
      <c r="H833" s="146"/>
      <c r="I833" s="146"/>
      <c r="J833" s="146"/>
      <c r="K833" s="146"/>
      <c r="L833" s="146"/>
      <c r="M833" s="146"/>
      <c r="N833" s="146"/>
      <c r="O833" s="146"/>
      <c r="P833" s="146"/>
      <c r="Q833" s="146"/>
      <c r="R833" s="146"/>
      <c r="S833" s="146"/>
      <c r="T833" s="146"/>
      <c r="U833" s="146"/>
      <c r="V833" s="146"/>
      <c r="W833" s="146"/>
      <c r="X833" s="146"/>
      <c r="Y833" s="146"/>
      <c r="Z833" s="146"/>
      <c r="AA833" s="146"/>
      <c r="AB833" s="146"/>
      <c r="AC833" s="146"/>
      <c r="AD833" s="146"/>
      <c r="AE833" s="146"/>
      <c r="AF833" s="146"/>
      <c r="AG833" s="146"/>
    </row>
    <row r="834" spans="1:33" ht="12.75">
      <c r="A834" s="148"/>
      <c r="B834" s="146"/>
      <c r="C834" s="146"/>
      <c r="D834" s="146"/>
      <c r="E834" s="146"/>
      <c r="F834" s="146"/>
      <c r="G834" s="146"/>
      <c r="H834" s="146"/>
      <c r="I834" s="146"/>
      <c r="J834" s="146"/>
      <c r="K834" s="146"/>
      <c r="L834" s="146"/>
      <c r="M834" s="146"/>
      <c r="N834" s="146"/>
      <c r="O834" s="146"/>
      <c r="P834" s="146"/>
      <c r="Q834" s="146"/>
      <c r="R834" s="146"/>
      <c r="S834" s="146"/>
      <c r="T834" s="146"/>
      <c r="U834" s="146"/>
      <c r="V834" s="146"/>
      <c r="W834" s="146"/>
      <c r="X834" s="146"/>
      <c r="Y834" s="146"/>
      <c r="Z834" s="146"/>
      <c r="AA834" s="146"/>
      <c r="AB834" s="146"/>
      <c r="AC834" s="146"/>
      <c r="AD834" s="146"/>
      <c r="AE834" s="146"/>
      <c r="AF834" s="146"/>
      <c r="AG834" s="146"/>
    </row>
    <row r="835" spans="1:33" ht="12.75">
      <c r="A835" s="148"/>
      <c r="B835" s="146"/>
      <c r="C835" s="146"/>
      <c r="D835" s="146"/>
      <c r="E835" s="146"/>
      <c r="F835" s="146"/>
      <c r="G835" s="146"/>
      <c r="H835" s="146"/>
      <c r="I835" s="146"/>
      <c r="J835" s="146"/>
      <c r="K835" s="146"/>
      <c r="L835" s="146"/>
      <c r="M835" s="146"/>
      <c r="N835" s="146"/>
      <c r="O835" s="146"/>
      <c r="P835" s="146"/>
      <c r="Q835" s="146"/>
      <c r="R835" s="146"/>
      <c r="S835" s="146"/>
      <c r="T835" s="146"/>
      <c r="U835" s="146"/>
      <c r="V835" s="146"/>
      <c r="W835" s="146"/>
      <c r="X835" s="146"/>
      <c r="Y835" s="146"/>
      <c r="Z835" s="146"/>
      <c r="AA835" s="146"/>
      <c r="AB835" s="146"/>
      <c r="AC835" s="146"/>
      <c r="AD835" s="146"/>
      <c r="AE835" s="146"/>
      <c r="AF835" s="146"/>
      <c r="AG835" s="146"/>
    </row>
    <row r="836" spans="1:33" ht="12.75">
      <c r="A836" s="148"/>
      <c r="B836" s="146"/>
      <c r="C836" s="146"/>
      <c r="D836" s="146"/>
      <c r="E836" s="146"/>
      <c r="F836" s="146"/>
      <c r="G836" s="146"/>
      <c r="H836" s="146"/>
      <c r="I836" s="146"/>
      <c r="J836" s="146"/>
      <c r="K836" s="146"/>
      <c r="L836" s="146"/>
      <c r="M836" s="146"/>
      <c r="N836" s="146"/>
      <c r="O836" s="146"/>
      <c r="P836" s="146"/>
      <c r="Q836" s="146"/>
      <c r="R836" s="146"/>
      <c r="S836" s="146"/>
      <c r="T836" s="146"/>
      <c r="U836" s="146"/>
      <c r="V836" s="146"/>
      <c r="W836" s="146"/>
      <c r="X836" s="146"/>
      <c r="Y836" s="146"/>
      <c r="Z836" s="146"/>
      <c r="AA836" s="146"/>
      <c r="AB836" s="146"/>
      <c r="AC836" s="146"/>
      <c r="AD836" s="146"/>
      <c r="AE836" s="146"/>
      <c r="AF836" s="146"/>
      <c r="AG836" s="146"/>
    </row>
    <row r="837" spans="1:33" ht="12.75">
      <c r="A837" s="148"/>
      <c r="B837" s="146"/>
      <c r="C837" s="146"/>
      <c r="D837" s="146"/>
      <c r="E837" s="146"/>
      <c r="F837" s="146"/>
      <c r="G837" s="146"/>
      <c r="H837" s="146"/>
      <c r="I837" s="146"/>
      <c r="J837" s="146"/>
      <c r="K837" s="146"/>
      <c r="L837" s="146"/>
      <c r="M837" s="146"/>
      <c r="N837" s="146"/>
      <c r="O837" s="146"/>
      <c r="P837" s="146"/>
      <c r="Q837" s="146"/>
      <c r="R837" s="146"/>
      <c r="S837" s="146"/>
      <c r="T837" s="146"/>
      <c r="U837" s="146"/>
      <c r="V837" s="146"/>
      <c r="W837" s="146"/>
      <c r="X837" s="146"/>
      <c r="Y837" s="146"/>
      <c r="Z837" s="146"/>
      <c r="AA837" s="146"/>
      <c r="AB837" s="146"/>
      <c r="AC837" s="146"/>
      <c r="AD837" s="146"/>
      <c r="AE837" s="146"/>
      <c r="AF837" s="146"/>
      <c r="AG837" s="146"/>
    </row>
    <row r="838" spans="1:33" ht="12.75">
      <c r="A838" s="148"/>
      <c r="B838" s="146"/>
      <c r="C838" s="146"/>
      <c r="D838" s="146"/>
      <c r="E838" s="146"/>
      <c r="F838" s="146"/>
      <c r="G838" s="146"/>
      <c r="H838" s="146"/>
      <c r="I838" s="146"/>
      <c r="J838" s="146"/>
      <c r="K838" s="146"/>
      <c r="L838" s="146"/>
      <c r="M838" s="146"/>
      <c r="N838" s="146"/>
      <c r="O838" s="146"/>
      <c r="P838" s="146"/>
      <c r="Q838" s="146"/>
      <c r="R838" s="146"/>
      <c r="S838" s="146"/>
      <c r="T838" s="146"/>
      <c r="U838" s="146"/>
      <c r="V838" s="146"/>
      <c r="W838" s="146"/>
      <c r="X838" s="146"/>
      <c r="Y838" s="146"/>
      <c r="Z838" s="146"/>
      <c r="AA838" s="146"/>
      <c r="AB838" s="146"/>
      <c r="AC838" s="146"/>
      <c r="AD838" s="146"/>
      <c r="AE838" s="146"/>
      <c r="AF838" s="146"/>
      <c r="AG838" s="146"/>
    </row>
    <row r="839" spans="1:33" ht="12.75">
      <c r="A839" s="148"/>
      <c r="B839" s="146"/>
      <c r="C839" s="146"/>
      <c r="D839" s="146"/>
      <c r="E839" s="146"/>
      <c r="F839" s="146"/>
      <c r="G839" s="146"/>
      <c r="H839" s="146"/>
      <c r="I839" s="146"/>
      <c r="J839" s="146"/>
      <c r="K839" s="146"/>
      <c r="L839" s="146"/>
      <c r="M839" s="146"/>
      <c r="N839" s="146"/>
      <c r="O839" s="146"/>
      <c r="P839" s="146"/>
      <c r="Q839" s="146"/>
      <c r="R839" s="146"/>
      <c r="S839" s="146"/>
      <c r="T839" s="146"/>
      <c r="U839" s="146"/>
      <c r="V839" s="146"/>
      <c r="W839" s="146"/>
      <c r="X839" s="146"/>
      <c r="Y839" s="146"/>
      <c r="Z839" s="146"/>
      <c r="AA839" s="146"/>
      <c r="AB839" s="146"/>
      <c r="AC839" s="146"/>
      <c r="AD839" s="146"/>
      <c r="AE839" s="146"/>
      <c r="AF839" s="146"/>
      <c r="AG839" s="146"/>
    </row>
    <row r="840" spans="1:33" ht="12.75">
      <c r="A840" s="148"/>
      <c r="B840" s="146"/>
      <c r="C840" s="146"/>
      <c r="D840" s="146"/>
      <c r="E840" s="146"/>
      <c r="F840" s="146"/>
      <c r="G840" s="146"/>
      <c r="H840" s="146"/>
      <c r="I840" s="146"/>
      <c r="J840" s="146"/>
      <c r="K840" s="146"/>
      <c r="L840" s="146"/>
      <c r="M840" s="146"/>
      <c r="N840" s="146"/>
      <c r="O840" s="146"/>
      <c r="P840" s="146"/>
      <c r="Q840" s="146"/>
      <c r="R840" s="146"/>
      <c r="S840" s="146"/>
      <c r="T840" s="146"/>
      <c r="U840" s="146"/>
      <c r="V840" s="146"/>
      <c r="W840" s="146"/>
      <c r="X840" s="146"/>
      <c r="Y840" s="146"/>
      <c r="Z840" s="146"/>
      <c r="AA840" s="146"/>
      <c r="AB840" s="146"/>
      <c r="AC840" s="146"/>
      <c r="AD840" s="146"/>
      <c r="AE840" s="146"/>
      <c r="AF840" s="146"/>
      <c r="AG840" s="146"/>
    </row>
    <row r="841" spans="1:33" ht="12.75">
      <c r="A841" s="148"/>
      <c r="B841" s="146"/>
      <c r="C841" s="146"/>
      <c r="D841" s="146"/>
      <c r="E841" s="146"/>
      <c r="F841" s="146"/>
      <c r="G841" s="146"/>
      <c r="H841" s="146"/>
      <c r="I841" s="146"/>
      <c r="J841" s="146"/>
      <c r="K841" s="146"/>
      <c r="L841" s="146"/>
      <c r="M841" s="146"/>
      <c r="N841" s="146"/>
      <c r="O841" s="146"/>
      <c r="P841" s="146"/>
      <c r="Q841" s="146"/>
      <c r="R841" s="146"/>
      <c r="S841" s="146"/>
      <c r="T841" s="146"/>
      <c r="U841" s="146"/>
      <c r="V841" s="146"/>
      <c r="W841" s="146"/>
      <c r="X841" s="146"/>
      <c r="Y841" s="146"/>
      <c r="Z841" s="146"/>
      <c r="AA841" s="146"/>
      <c r="AB841" s="146"/>
      <c r="AC841" s="146"/>
      <c r="AD841" s="146"/>
      <c r="AE841" s="146"/>
      <c r="AF841" s="146"/>
      <c r="AG841" s="146"/>
    </row>
    <row r="842" spans="1:33" ht="12.75">
      <c r="A842" s="148"/>
      <c r="B842" s="146"/>
      <c r="C842" s="146"/>
      <c r="D842" s="146"/>
      <c r="E842" s="146"/>
      <c r="F842" s="146"/>
      <c r="G842" s="146"/>
      <c r="H842" s="146"/>
      <c r="I842" s="146"/>
      <c r="J842" s="146"/>
      <c r="K842" s="146"/>
      <c r="L842" s="146"/>
      <c r="M842" s="146"/>
      <c r="N842" s="146"/>
      <c r="O842" s="146"/>
      <c r="P842" s="146"/>
      <c r="Q842" s="146"/>
      <c r="R842" s="146"/>
      <c r="S842" s="146"/>
      <c r="T842" s="146"/>
      <c r="U842" s="146"/>
      <c r="V842" s="146"/>
      <c r="W842" s="146"/>
      <c r="X842" s="146"/>
      <c r="Y842" s="146"/>
      <c r="Z842" s="146"/>
      <c r="AA842" s="146"/>
      <c r="AB842" s="146"/>
      <c r="AC842" s="146"/>
      <c r="AD842" s="146"/>
      <c r="AE842" s="146"/>
      <c r="AF842" s="146"/>
      <c r="AG842" s="146"/>
    </row>
    <row r="843" spans="1:33" ht="12.75">
      <c r="A843" s="148"/>
      <c r="B843" s="146"/>
      <c r="C843" s="146"/>
      <c r="D843" s="146"/>
      <c r="E843" s="146"/>
      <c r="F843" s="146"/>
      <c r="G843" s="146"/>
      <c r="H843" s="146"/>
      <c r="I843" s="146"/>
      <c r="J843" s="146"/>
      <c r="K843" s="146"/>
      <c r="L843" s="146"/>
      <c r="M843" s="146"/>
      <c r="N843" s="146"/>
      <c r="O843" s="146"/>
      <c r="P843" s="146"/>
      <c r="Q843" s="146"/>
      <c r="R843" s="146"/>
      <c r="S843" s="146"/>
      <c r="T843" s="146"/>
      <c r="U843" s="146"/>
      <c r="V843" s="146"/>
      <c r="W843" s="146"/>
      <c r="X843" s="146"/>
      <c r="Y843" s="146"/>
      <c r="Z843" s="146"/>
      <c r="AA843" s="146"/>
      <c r="AB843" s="146"/>
      <c r="AC843" s="146"/>
      <c r="AD843" s="146"/>
      <c r="AE843" s="146"/>
      <c r="AF843" s="146"/>
      <c r="AG843" s="146"/>
    </row>
    <row r="844" spans="1:33" ht="12.75">
      <c r="A844" s="148"/>
      <c r="B844" s="146"/>
      <c r="C844" s="146"/>
      <c r="D844" s="146"/>
      <c r="E844" s="146"/>
      <c r="F844" s="146"/>
      <c r="G844" s="146"/>
      <c r="H844" s="146"/>
      <c r="I844" s="146"/>
      <c r="J844" s="146"/>
      <c r="K844" s="146"/>
      <c r="L844" s="146"/>
      <c r="M844" s="146"/>
      <c r="N844" s="146"/>
      <c r="O844" s="146"/>
      <c r="P844" s="146"/>
      <c r="Q844" s="146"/>
      <c r="R844" s="146"/>
      <c r="S844" s="146"/>
      <c r="T844" s="146"/>
      <c r="U844" s="146"/>
      <c r="V844" s="146"/>
      <c r="W844" s="146"/>
      <c r="X844" s="146"/>
      <c r="Y844" s="146"/>
      <c r="Z844" s="146"/>
      <c r="AA844" s="146"/>
      <c r="AB844" s="146"/>
      <c r="AC844" s="146"/>
      <c r="AD844" s="146"/>
      <c r="AE844" s="146"/>
      <c r="AF844" s="146"/>
      <c r="AG844" s="146"/>
    </row>
    <row r="845" spans="1:33" ht="12.75">
      <c r="A845" s="148"/>
      <c r="B845" s="146"/>
      <c r="C845" s="146"/>
      <c r="D845" s="146"/>
      <c r="E845" s="146"/>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c r="AB845" s="146"/>
      <c r="AC845" s="146"/>
      <c r="AD845" s="146"/>
      <c r="AE845" s="146"/>
      <c r="AF845" s="146"/>
      <c r="AG845" s="146"/>
    </row>
    <row r="846" spans="1:33" ht="12.75">
      <c r="A846" s="148"/>
      <c r="B846" s="146"/>
      <c r="C846" s="146"/>
      <c r="D846" s="146"/>
      <c r="E846" s="146"/>
      <c r="F846" s="146"/>
      <c r="G846" s="146"/>
      <c r="H846" s="146"/>
      <c r="I846" s="146"/>
      <c r="J846" s="146"/>
      <c r="K846" s="146"/>
      <c r="L846" s="146"/>
      <c r="M846" s="146"/>
      <c r="N846" s="146"/>
      <c r="O846" s="146"/>
      <c r="P846" s="146"/>
      <c r="Q846" s="146"/>
      <c r="R846" s="146"/>
      <c r="S846" s="146"/>
      <c r="T846" s="146"/>
      <c r="U846" s="146"/>
      <c r="V846" s="146"/>
      <c r="W846" s="146"/>
      <c r="X846" s="146"/>
      <c r="Y846" s="146"/>
      <c r="Z846" s="146"/>
      <c r="AA846" s="146"/>
      <c r="AB846" s="146"/>
      <c r="AC846" s="146"/>
      <c r="AD846" s="146"/>
      <c r="AE846" s="146"/>
      <c r="AF846" s="146"/>
      <c r="AG846" s="146"/>
    </row>
    <row r="847" spans="1:33" ht="12.75">
      <c r="A847" s="148"/>
      <c r="B847" s="146"/>
      <c r="C847" s="146"/>
      <c r="D847" s="146"/>
      <c r="E847" s="146"/>
      <c r="F847" s="146"/>
      <c r="G847" s="146"/>
      <c r="H847" s="146"/>
      <c r="I847" s="146"/>
      <c r="J847" s="146"/>
      <c r="K847" s="146"/>
      <c r="L847" s="146"/>
      <c r="M847" s="146"/>
      <c r="N847" s="146"/>
      <c r="O847" s="146"/>
      <c r="P847" s="146"/>
      <c r="Q847" s="146"/>
      <c r="R847" s="146"/>
      <c r="S847" s="146"/>
      <c r="T847" s="146"/>
      <c r="U847" s="146"/>
      <c r="V847" s="146"/>
      <c r="W847" s="146"/>
      <c r="X847" s="146"/>
      <c r="Y847" s="146"/>
      <c r="Z847" s="146"/>
      <c r="AA847" s="146"/>
      <c r="AB847" s="146"/>
      <c r="AC847" s="146"/>
      <c r="AD847" s="146"/>
      <c r="AE847" s="146"/>
      <c r="AF847" s="146"/>
      <c r="AG847" s="146"/>
    </row>
    <row r="848" spans="1:33" ht="12.75">
      <c r="A848" s="148"/>
      <c r="B848" s="146"/>
      <c r="C848" s="146"/>
      <c r="D848" s="146"/>
      <c r="E848" s="146"/>
      <c r="F848" s="146"/>
      <c r="G848" s="146"/>
      <c r="H848" s="146"/>
      <c r="I848" s="146"/>
      <c r="J848" s="146"/>
      <c r="K848" s="146"/>
      <c r="L848" s="146"/>
      <c r="M848" s="146"/>
      <c r="N848" s="146"/>
      <c r="O848" s="146"/>
      <c r="P848" s="146"/>
      <c r="Q848" s="146"/>
      <c r="R848" s="146"/>
      <c r="S848" s="146"/>
      <c r="T848" s="146"/>
      <c r="U848" s="146"/>
      <c r="V848" s="146"/>
      <c r="W848" s="146"/>
      <c r="X848" s="146"/>
      <c r="Y848" s="146"/>
      <c r="Z848" s="146"/>
      <c r="AA848" s="146"/>
      <c r="AB848" s="146"/>
      <c r="AC848" s="146"/>
      <c r="AD848" s="146"/>
      <c r="AE848" s="146"/>
      <c r="AF848" s="146"/>
      <c r="AG848" s="146"/>
    </row>
    <row r="849" spans="1:33" ht="12.75">
      <c r="A849" s="148"/>
      <c r="B849" s="146"/>
      <c r="C849" s="146"/>
      <c r="D849" s="146"/>
      <c r="E849" s="146"/>
      <c r="F849" s="146"/>
      <c r="G849" s="146"/>
      <c r="H849" s="146"/>
      <c r="I849" s="146"/>
      <c r="J849" s="146"/>
      <c r="K849" s="146"/>
      <c r="L849" s="146"/>
      <c r="M849" s="146"/>
      <c r="N849" s="146"/>
      <c r="O849" s="146"/>
      <c r="P849" s="146"/>
      <c r="Q849" s="146"/>
      <c r="R849" s="146"/>
      <c r="S849" s="146"/>
      <c r="T849" s="146"/>
      <c r="U849" s="146"/>
      <c r="V849" s="146"/>
      <c r="W849" s="146"/>
      <c r="X849" s="146"/>
      <c r="Y849" s="146"/>
      <c r="Z849" s="146"/>
      <c r="AA849" s="146"/>
      <c r="AB849" s="146"/>
      <c r="AC849" s="146"/>
      <c r="AD849" s="146"/>
      <c r="AE849" s="146"/>
      <c r="AF849" s="146"/>
      <c r="AG849" s="146"/>
    </row>
    <row r="850" spans="1:33" ht="12.75">
      <c r="A850" s="148"/>
      <c r="B850" s="146"/>
      <c r="C850" s="146"/>
      <c r="D850" s="146"/>
      <c r="E850" s="146"/>
      <c r="F850" s="146"/>
      <c r="G850" s="146"/>
      <c r="H850" s="146"/>
      <c r="I850" s="146"/>
      <c r="J850" s="146"/>
      <c r="K850" s="146"/>
      <c r="L850" s="146"/>
      <c r="M850" s="146"/>
      <c r="N850" s="146"/>
      <c r="O850" s="146"/>
      <c r="P850" s="146"/>
      <c r="Q850" s="146"/>
      <c r="R850" s="146"/>
      <c r="S850" s="146"/>
      <c r="T850" s="146"/>
      <c r="U850" s="146"/>
      <c r="V850" s="146"/>
      <c r="W850" s="146"/>
      <c r="X850" s="146"/>
      <c r="Y850" s="146"/>
      <c r="Z850" s="146"/>
      <c r="AA850" s="146"/>
      <c r="AB850" s="146"/>
      <c r="AC850" s="146"/>
      <c r="AD850" s="146"/>
      <c r="AE850" s="146"/>
      <c r="AF850" s="146"/>
      <c r="AG850" s="146"/>
    </row>
    <row r="851" spans="1:33" ht="12.75">
      <c r="A851" s="148"/>
      <c r="B851" s="146"/>
      <c r="C851" s="146"/>
      <c r="D851" s="146"/>
      <c r="E851" s="146"/>
      <c r="F851" s="146"/>
      <c r="G851" s="146"/>
      <c r="H851" s="146"/>
      <c r="I851" s="146"/>
      <c r="J851" s="146"/>
      <c r="K851" s="146"/>
      <c r="L851" s="146"/>
      <c r="M851" s="146"/>
      <c r="N851" s="146"/>
      <c r="O851" s="146"/>
      <c r="P851" s="146"/>
      <c r="Q851" s="146"/>
      <c r="R851" s="146"/>
      <c r="S851" s="146"/>
      <c r="T851" s="146"/>
      <c r="U851" s="146"/>
      <c r="V851" s="146"/>
      <c r="W851" s="146"/>
      <c r="X851" s="146"/>
      <c r="Y851" s="146"/>
      <c r="Z851" s="146"/>
      <c r="AA851" s="146"/>
      <c r="AB851" s="146"/>
      <c r="AC851" s="146"/>
      <c r="AD851" s="146"/>
      <c r="AE851" s="146"/>
      <c r="AF851" s="146"/>
      <c r="AG851" s="146"/>
    </row>
    <row r="852" spans="1:33" ht="12.75">
      <c r="A852" s="148"/>
      <c r="B852" s="146"/>
      <c r="C852" s="146"/>
      <c r="D852" s="146"/>
      <c r="E852" s="146"/>
      <c r="F852" s="146"/>
      <c r="G852" s="146"/>
      <c r="H852" s="146"/>
      <c r="I852" s="146"/>
      <c r="J852" s="146"/>
      <c r="K852" s="146"/>
      <c r="L852" s="146"/>
      <c r="M852" s="146"/>
      <c r="N852" s="146"/>
      <c r="O852" s="146"/>
      <c r="P852" s="146"/>
      <c r="Q852" s="146"/>
      <c r="R852" s="146"/>
      <c r="S852" s="146"/>
      <c r="T852" s="146"/>
      <c r="U852" s="146"/>
      <c r="V852" s="146"/>
      <c r="W852" s="146"/>
      <c r="X852" s="146"/>
      <c r="Y852" s="146"/>
      <c r="Z852" s="146"/>
      <c r="AA852" s="146"/>
      <c r="AB852" s="146"/>
      <c r="AC852" s="146"/>
      <c r="AD852" s="146"/>
      <c r="AE852" s="146"/>
      <c r="AF852" s="146"/>
      <c r="AG852" s="146"/>
    </row>
    <row r="853" spans="1:33" ht="12.75">
      <c r="A853" s="148"/>
      <c r="B853" s="146"/>
      <c r="C853" s="146"/>
      <c r="D853" s="146"/>
      <c r="E853" s="146"/>
      <c r="F853" s="146"/>
      <c r="G853" s="146"/>
      <c r="H853" s="146"/>
      <c r="I853" s="146"/>
      <c r="J853" s="146"/>
      <c r="K853" s="146"/>
      <c r="L853" s="146"/>
      <c r="M853" s="146"/>
      <c r="N853" s="146"/>
      <c r="O853" s="146"/>
      <c r="P853" s="146"/>
      <c r="Q853" s="146"/>
      <c r="R853" s="146"/>
      <c r="S853" s="146"/>
      <c r="T853" s="146"/>
      <c r="U853" s="146"/>
      <c r="V853" s="146"/>
      <c r="W853" s="146"/>
      <c r="X853" s="146"/>
      <c r="Y853" s="146"/>
      <c r="Z853" s="146"/>
      <c r="AA853" s="146"/>
      <c r="AB853" s="146"/>
      <c r="AC853" s="146"/>
      <c r="AD853" s="146"/>
      <c r="AE853" s="146"/>
      <c r="AF853" s="146"/>
      <c r="AG853" s="146"/>
    </row>
    <row r="854" spans="1:33" ht="12.75">
      <c r="A854" s="148"/>
      <c r="B854" s="146"/>
      <c r="C854" s="146"/>
      <c r="D854" s="146"/>
      <c r="E854" s="146"/>
      <c r="F854" s="146"/>
      <c r="G854" s="146"/>
      <c r="H854" s="146"/>
      <c r="I854" s="146"/>
      <c r="J854" s="146"/>
      <c r="K854" s="146"/>
      <c r="L854" s="146"/>
      <c r="M854" s="146"/>
      <c r="N854" s="146"/>
      <c r="O854" s="146"/>
      <c r="P854" s="146"/>
      <c r="Q854" s="146"/>
      <c r="R854" s="146"/>
      <c r="S854" s="146"/>
      <c r="T854" s="146"/>
      <c r="U854" s="146"/>
      <c r="V854" s="146"/>
      <c r="W854" s="146"/>
      <c r="X854" s="146"/>
      <c r="Y854" s="146"/>
      <c r="Z854" s="146"/>
      <c r="AA854" s="146"/>
      <c r="AB854" s="146"/>
      <c r="AC854" s="146"/>
      <c r="AD854" s="146"/>
      <c r="AE854" s="146"/>
      <c r="AF854" s="146"/>
      <c r="AG854" s="146"/>
    </row>
    <row r="855" spans="1:33" ht="12.75">
      <c r="A855" s="148"/>
      <c r="B855" s="146"/>
      <c r="C855" s="146"/>
      <c r="D855" s="146"/>
      <c r="E855" s="146"/>
      <c r="F855" s="146"/>
      <c r="G855" s="146"/>
      <c r="H855" s="146"/>
      <c r="I855" s="146"/>
      <c r="J855" s="146"/>
      <c r="K855" s="146"/>
      <c r="L855" s="146"/>
      <c r="M855" s="146"/>
      <c r="N855" s="146"/>
      <c r="O855" s="146"/>
      <c r="P855" s="146"/>
      <c r="Q855" s="146"/>
      <c r="R855" s="146"/>
      <c r="S855" s="146"/>
      <c r="T855" s="146"/>
      <c r="U855" s="146"/>
      <c r="V855" s="146"/>
      <c r="W855" s="146"/>
      <c r="X855" s="146"/>
      <c r="Y855" s="146"/>
      <c r="Z855" s="146"/>
      <c r="AA855" s="146"/>
      <c r="AB855" s="146"/>
      <c r="AC855" s="146"/>
      <c r="AD855" s="146"/>
      <c r="AE855" s="146"/>
      <c r="AF855" s="146"/>
      <c r="AG855" s="146"/>
    </row>
    <row r="856" spans="1:33" ht="12.75">
      <c r="A856" s="148"/>
      <c r="B856" s="146"/>
      <c r="C856" s="146"/>
      <c r="D856" s="146"/>
      <c r="E856" s="146"/>
      <c r="F856" s="146"/>
      <c r="G856" s="146"/>
      <c r="H856" s="146"/>
      <c r="I856" s="146"/>
      <c r="J856" s="146"/>
      <c r="K856" s="146"/>
      <c r="L856" s="146"/>
      <c r="M856" s="146"/>
      <c r="N856" s="146"/>
      <c r="O856" s="146"/>
      <c r="P856" s="146"/>
      <c r="Q856" s="146"/>
      <c r="R856" s="146"/>
      <c r="S856" s="146"/>
      <c r="T856" s="146"/>
      <c r="U856" s="146"/>
      <c r="V856" s="146"/>
      <c r="W856" s="146"/>
      <c r="X856" s="146"/>
      <c r="Y856" s="146"/>
      <c r="Z856" s="146"/>
      <c r="AA856" s="146"/>
      <c r="AB856" s="146"/>
      <c r="AC856" s="146"/>
      <c r="AD856" s="146"/>
      <c r="AE856" s="146"/>
      <c r="AF856" s="146"/>
      <c r="AG856" s="146"/>
    </row>
    <row r="857" spans="1:33" ht="12.75">
      <c r="A857" s="148"/>
      <c r="B857" s="146"/>
      <c r="C857" s="146"/>
      <c r="D857" s="146"/>
      <c r="E857" s="146"/>
      <c r="F857" s="146"/>
      <c r="G857" s="146"/>
      <c r="H857" s="146"/>
      <c r="I857" s="146"/>
      <c r="J857" s="146"/>
      <c r="K857" s="146"/>
      <c r="L857" s="146"/>
      <c r="M857" s="146"/>
      <c r="N857" s="146"/>
      <c r="O857" s="146"/>
      <c r="P857" s="146"/>
      <c r="Q857" s="146"/>
      <c r="R857" s="146"/>
      <c r="S857" s="146"/>
      <c r="T857" s="146"/>
      <c r="U857" s="146"/>
      <c r="V857" s="146"/>
      <c r="W857" s="146"/>
      <c r="X857" s="146"/>
      <c r="Y857" s="146"/>
      <c r="Z857" s="146"/>
      <c r="AA857" s="146"/>
      <c r="AB857" s="146"/>
      <c r="AC857" s="146"/>
      <c r="AD857" s="146"/>
      <c r="AE857" s="146"/>
      <c r="AF857" s="146"/>
      <c r="AG857" s="146"/>
    </row>
    <row r="858" spans="1:33" ht="12.75">
      <c r="A858" s="148"/>
      <c r="B858" s="146"/>
      <c r="C858" s="146"/>
      <c r="D858" s="146"/>
      <c r="E858" s="146"/>
      <c r="F858" s="146"/>
      <c r="G858" s="146"/>
      <c r="H858" s="146"/>
      <c r="I858" s="146"/>
      <c r="J858" s="146"/>
      <c r="K858" s="146"/>
      <c r="L858" s="146"/>
      <c r="M858" s="146"/>
      <c r="N858" s="146"/>
      <c r="O858" s="146"/>
      <c r="P858" s="146"/>
      <c r="Q858" s="146"/>
      <c r="R858" s="146"/>
      <c r="S858" s="146"/>
      <c r="T858" s="146"/>
      <c r="U858" s="146"/>
      <c r="V858" s="146"/>
      <c r="W858" s="146"/>
      <c r="X858" s="146"/>
      <c r="Y858" s="146"/>
      <c r="Z858" s="146"/>
      <c r="AA858" s="146"/>
      <c r="AB858" s="146"/>
      <c r="AC858" s="146"/>
      <c r="AD858" s="146"/>
      <c r="AE858" s="146"/>
      <c r="AF858" s="146"/>
      <c r="AG858" s="146"/>
    </row>
    <row r="859" spans="1:33" ht="12.75">
      <c r="A859" s="148"/>
      <c r="B859" s="146"/>
      <c r="C859" s="146"/>
      <c r="D859" s="146"/>
      <c r="E859" s="146"/>
      <c r="F859" s="146"/>
      <c r="G859" s="146"/>
      <c r="H859" s="146"/>
      <c r="I859" s="146"/>
      <c r="J859" s="146"/>
      <c r="K859" s="146"/>
      <c r="L859" s="146"/>
      <c r="M859" s="146"/>
      <c r="N859" s="146"/>
      <c r="O859" s="146"/>
      <c r="P859" s="146"/>
      <c r="Q859" s="146"/>
      <c r="R859" s="146"/>
      <c r="S859" s="146"/>
      <c r="T859" s="146"/>
      <c r="U859" s="146"/>
      <c r="V859" s="146"/>
      <c r="W859" s="146"/>
      <c r="X859" s="146"/>
      <c r="Y859" s="146"/>
      <c r="Z859" s="146"/>
      <c r="AA859" s="146"/>
      <c r="AB859" s="146"/>
      <c r="AC859" s="146"/>
      <c r="AD859" s="146"/>
      <c r="AE859" s="146"/>
      <c r="AF859" s="146"/>
      <c r="AG859" s="146"/>
    </row>
    <row r="860" spans="1:33" ht="12.75">
      <c r="A860" s="148"/>
      <c r="B860" s="146"/>
      <c r="C860" s="146"/>
      <c r="D860" s="146"/>
      <c r="E860" s="146"/>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c r="AB860" s="146"/>
      <c r="AC860" s="146"/>
      <c r="AD860" s="146"/>
      <c r="AE860" s="146"/>
      <c r="AF860" s="146"/>
      <c r="AG860" s="146"/>
    </row>
    <row r="861" spans="1:33" ht="12.75">
      <c r="A861" s="148"/>
      <c r="B861" s="146"/>
      <c r="C861" s="146"/>
      <c r="D861" s="146"/>
      <c r="E861" s="146"/>
      <c r="F861" s="146"/>
      <c r="G861" s="146"/>
      <c r="H861" s="146"/>
      <c r="I861" s="146"/>
      <c r="J861" s="146"/>
      <c r="K861" s="146"/>
      <c r="L861" s="146"/>
      <c r="M861" s="146"/>
      <c r="N861" s="146"/>
      <c r="O861" s="146"/>
      <c r="P861" s="146"/>
      <c r="Q861" s="146"/>
      <c r="R861" s="146"/>
      <c r="S861" s="146"/>
      <c r="T861" s="146"/>
      <c r="U861" s="146"/>
      <c r="V861" s="146"/>
      <c r="W861" s="146"/>
      <c r="X861" s="146"/>
      <c r="Y861" s="146"/>
      <c r="Z861" s="146"/>
      <c r="AA861" s="146"/>
      <c r="AB861" s="146"/>
      <c r="AC861" s="146"/>
      <c r="AD861" s="146"/>
      <c r="AE861" s="146"/>
      <c r="AF861" s="146"/>
      <c r="AG861" s="146"/>
    </row>
    <row r="862" spans="1:33" ht="12.75">
      <c r="A862" s="148"/>
      <c r="B862" s="146"/>
      <c r="C862" s="146"/>
      <c r="D862" s="146"/>
      <c r="E862" s="146"/>
      <c r="F862" s="146"/>
      <c r="G862" s="146"/>
      <c r="H862" s="146"/>
      <c r="I862" s="146"/>
      <c r="J862" s="146"/>
      <c r="K862" s="146"/>
      <c r="L862" s="146"/>
      <c r="M862" s="146"/>
      <c r="N862" s="146"/>
      <c r="O862" s="146"/>
      <c r="P862" s="146"/>
      <c r="Q862" s="146"/>
      <c r="R862" s="146"/>
      <c r="S862" s="146"/>
      <c r="T862" s="146"/>
      <c r="U862" s="146"/>
      <c r="V862" s="146"/>
      <c r="W862" s="146"/>
      <c r="X862" s="146"/>
      <c r="Y862" s="146"/>
      <c r="Z862" s="146"/>
      <c r="AA862" s="146"/>
      <c r="AB862" s="146"/>
      <c r="AC862" s="146"/>
      <c r="AD862" s="146"/>
      <c r="AE862" s="146"/>
      <c r="AF862" s="146"/>
      <c r="AG862" s="146"/>
    </row>
    <row r="863" spans="1:33" ht="12.75">
      <c r="A863" s="148"/>
      <c r="B863" s="146"/>
      <c r="C863" s="146"/>
      <c r="D863" s="146"/>
      <c r="E863" s="146"/>
      <c r="F863" s="146"/>
      <c r="G863" s="146"/>
      <c r="H863" s="146"/>
      <c r="I863" s="146"/>
      <c r="J863" s="146"/>
      <c r="K863" s="146"/>
      <c r="L863" s="146"/>
      <c r="M863" s="146"/>
      <c r="N863" s="146"/>
      <c r="O863" s="146"/>
      <c r="P863" s="146"/>
      <c r="Q863" s="146"/>
      <c r="R863" s="146"/>
      <c r="S863" s="146"/>
      <c r="T863" s="146"/>
      <c r="U863" s="146"/>
      <c r="V863" s="146"/>
      <c r="W863" s="146"/>
      <c r="X863" s="146"/>
      <c r="Y863" s="146"/>
      <c r="Z863" s="146"/>
      <c r="AA863" s="146"/>
      <c r="AB863" s="146"/>
      <c r="AC863" s="146"/>
      <c r="AD863" s="146"/>
      <c r="AE863" s="146"/>
      <c r="AF863" s="146"/>
      <c r="AG863" s="146"/>
    </row>
    <row r="864" spans="1:33" ht="12.75">
      <c r="A864" s="148"/>
      <c r="B864" s="146"/>
      <c r="C864" s="146"/>
      <c r="D864" s="146"/>
      <c r="E864" s="146"/>
      <c r="F864" s="146"/>
      <c r="G864" s="146"/>
      <c r="H864" s="146"/>
      <c r="I864" s="146"/>
      <c r="J864" s="146"/>
      <c r="K864" s="146"/>
      <c r="L864" s="146"/>
      <c r="M864" s="146"/>
      <c r="N864" s="146"/>
      <c r="O864" s="146"/>
      <c r="P864" s="146"/>
      <c r="Q864" s="146"/>
      <c r="R864" s="146"/>
      <c r="S864" s="146"/>
      <c r="T864" s="146"/>
      <c r="U864" s="146"/>
      <c r="V864" s="146"/>
      <c r="W864" s="146"/>
      <c r="X864" s="146"/>
      <c r="Y864" s="146"/>
      <c r="Z864" s="146"/>
      <c r="AA864" s="146"/>
      <c r="AB864" s="146"/>
      <c r="AC864" s="146"/>
      <c r="AD864" s="146"/>
      <c r="AE864" s="146"/>
      <c r="AF864" s="146"/>
      <c r="AG864" s="146"/>
    </row>
    <row r="865" spans="1:33" ht="12.75">
      <c r="A865" s="148"/>
      <c r="B865" s="146"/>
      <c r="C865" s="146"/>
      <c r="D865" s="146"/>
      <c r="E865" s="146"/>
      <c r="F865" s="146"/>
      <c r="G865" s="146"/>
      <c r="H865" s="146"/>
      <c r="I865" s="146"/>
      <c r="J865" s="146"/>
      <c r="K865" s="146"/>
      <c r="L865" s="146"/>
      <c r="M865" s="146"/>
      <c r="N865" s="146"/>
      <c r="O865" s="146"/>
      <c r="P865" s="146"/>
      <c r="Q865" s="146"/>
      <c r="R865" s="146"/>
      <c r="S865" s="146"/>
      <c r="T865" s="146"/>
      <c r="U865" s="146"/>
      <c r="V865" s="146"/>
      <c r="W865" s="146"/>
      <c r="X865" s="146"/>
      <c r="Y865" s="146"/>
      <c r="Z865" s="146"/>
      <c r="AA865" s="146"/>
      <c r="AB865" s="146"/>
      <c r="AC865" s="146"/>
      <c r="AD865" s="146"/>
      <c r="AE865" s="146"/>
      <c r="AF865" s="146"/>
      <c r="AG865" s="146"/>
    </row>
    <row r="866" spans="1:33" ht="12.75">
      <c r="A866" s="148"/>
      <c r="B866" s="146"/>
      <c r="C866" s="146"/>
      <c r="D866" s="146"/>
      <c r="E866" s="146"/>
      <c r="F866" s="146"/>
      <c r="G866" s="146"/>
      <c r="H866" s="146"/>
      <c r="I866" s="146"/>
      <c r="J866" s="146"/>
      <c r="K866" s="146"/>
      <c r="L866" s="146"/>
      <c r="M866" s="146"/>
      <c r="N866" s="146"/>
      <c r="O866" s="146"/>
      <c r="P866" s="146"/>
      <c r="Q866" s="146"/>
      <c r="R866" s="146"/>
      <c r="S866" s="146"/>
      <c r="T866" s="146"/>
      <c r="U866" s="146"/>
      <c r="V866" s="146"/>
      <c r="W866" s="146"/>
      <c r="X866" s="146"/>
      <c r="Y866" s="146"/>
      <c r="Z866" s="146"/>
      <c r="AA866" s="146"/>
      <c r="AB866" s="146"/>
      <c r="AC866" s="146"/>
      <c r="AD866" s="146"/>
      <c r="AE866" s="146"/>
      <c r="AF866" s="146"/>
      <c r="AG866" s="146"/>
    </row>
    <row r="867" spans="1:33" ht="12.75">
      <c r="A867" s="148"/>
      <c r="B867" s="146"/>
      <c r="C867" s="146"/>
      <c r="D867" s="146"/>
      <c r="E867" s="146"/>
      <c r="F867" s="146"/>
      <c r="G867" s="146"/>
      <c r="H867" s="146"/>
      <c r="I867" s="146"/>
      <c r="J867" s="146"/>
      <c r="K867" s="146"/>
      <c r="L867" s="146"/>
      <c r="M867" s="146"/>
      <c r="N867" s="146"/>
      <c r="O867" s="146"/>
      <c r="P867" s="146"/>
      <c r="Q867" s="146"/>
      <c r="R867" s="146"/>
      <c r="S867" s="146"/>
      <c r="T867" s="146"/>
      <c r="U867" s="146"/>
      <c r="V867" s="146"/>
      <c r="W867" s="146"/>
      <c r="X867" s="146"/>
      <c r="Y867" s="146"/>
      <c r="Z867" s="146"/>
      <c r="AA867" s="146"/>
      <c r="AB867" s="146"/>
      <c r="AC867" s="146"/>
      <c r="AD867" s="146"/>
      <c r="AE867" s="146"/>
      <c r="AF867" s="146"/>
      <c r="AG867" s="146"/>
    </row>
    <row r="868" spans="1:33" ht="12.75">
      <c r="A868" s="148"/>
      <c r="B868" s="146"/>
      <c r="C868" s="146"/>
      <c r="D868" s="146"/>
      <c r="E868" s="146"/>
      <c r="F868" s="146"/>
      <c r="G868" s="146"/>
      <c r="H868" s="146"/>
      <c r="I868" s="146"/>
      <c r="J868" s="146"/>
      <c r="K868" s="146"/>
      <c r="L868" s="146"/>
      <c r="M868" s="146"/>
      <c r="N868" s="146"/>
      <c r="O868" s="146"/>
      <c r="P868" s="146"/>
      <c r="Q868" s="146"/>
      <c r="R868" s="146"/>
      <c r="S868" s="146"/>
      <c r="T868" s="146"/>
      <c r="U868" s="146"/>
      <c r="V868" s="146"/>
      <c r="W868" s="146"/>
      <c r="X868" s="146"/>
      <c r="Y868" s="146"/>
      <c r="Z868" s="146"/>
      <c r="AA868" s="146"/>
      <c r="AB868" s="146"/>
      <c r="AC868" s="146"/>
      <c r="AD868" s="146"/>
      <c r="AE868" s="146"/>
      <c r="AF868" s="146"/>
      <c r="AG868" s="146"/>
    </row>
    <row r="869" spans="1:33" ht="12.75">
      <c r="A869" s="148"/>
      <c r="B869" s="146"/>
      <c r="C869" s="146"/>
      <c r="D869" s="146"/>
      <c r="E869" s="146"/>
      <c r="F869" s="146"/>
      <c r="G869" s="146"/>
      <c r="H869" s="146"/>
      <c r="I869" s="146"/>
      <c r="J869" s="146"/>
      <c r="K869" s="146"/>
      <c r="L869" s="146"/>
      <c r="M869" s="146"/>
      <c r="N869" s="146"/>
      <c r="O869" s="146"/>
      <c r="P869" s="146"/>
      <c r="Q869" s="146"/>
      <c r="R869" s="146"/>
      <c r="S869" s="146"/>
      <c r="T869" s="146"/>
      <c r="U869" s="146"/>
      <c r="V869" s="146"/>
      <c r="W869" s="146"/>
      <c r="X869" s="146"/>
      <c r="Y869" s="146"/>
      <c r="Z869" s="146"/>
      <c r="AA869" s="146"/>
      <c r="AB869" s="146"/>
      <c r="AC869" s="146"/>
      <c r="AD869" s="146"/>
      <c r="AE869" s="146"/>
      <c r="AF869" s="146"/>
      <c r="AG869" s="146"/>
    </row>
    <row r="870" spans="1:33" ht="12.75">
      <c r="A870" s="148"/>
      <c r="B870" s="146"/>
      <c r="C870" s="146"/>
      <c r="D870" s="146"/>
      <c r="E870" s="146"/>
      <c r="F870" s="146"/>
      <c r="G870" s="146"/>
      <c r="H870" s="146"/>
      <c r="I870" s="146"/>
      <c r="J870" s="146"/>
      <c r="K870" s="146"/>
      <c r="L870" s="146"/>
      <c r="M870" s="146"/>
      <c r="N870" s="146"/>
      <c r="O870" s="146"/>
      <c r="P870" s="146"/>
      <c r="Q870" s="146"/>
      <c r="R870" s="146"/>
      <c r="S870" s="146"/>
      <c r="T870" s="146"/>
      <c r="U870" s="146"/>
      <c r="V870" s="146"/>
      <c r="W870" s="146"/>
      <c r="X870" s="146"/>
      <c r="Y870" s="146"/>
      <c r="Z870" s="146"/>
      <c r="AA870" s="146"/>
      <c r="AB870" s="146"/>
      <c r="AC870" s="146"/>
      <c r="AD870" s="146"/>
      <c r="AE870" s="146"/>
      <c r="AF870" s="146"/>
      <c r="AG870" s="146"/>
    </row>
    <row r="871" spans="1:33" ht="12.75">
      <c r="A871" s="148"/>
      <c r="B871" s="146"/>
      <c r="C871" s="146"/>
      <c r="D871" s="146"/>
      <c r="E871" s="146"/>
      <c r="F871" s="146"/>
      <c r="G871" s="146"/>
      <c r="H871" s="146"/>
      <c r="I871" s="146"/>
      <c r="J871" s="146"/>
      <c r="K871" s="146"/>
      <c r="L871" s="146"/>
      <c r="M871" s="146"/>
      <c r="N871" s="146"/>
      <c r="O871" s="146"/>
      <c r="P871" s="146"/>
      <c r="Q871" s="146"/>
      <c r="R871" s="146"/>
      <c r="S871" s="146"/>
      <c r="T871" s="146"/>
      <c r="U871" s="146"/>
      <c r="V871" s="146"/>
      <c r="W871" s="146"/>
      <c r="X871" s="146"/>
      <c r="Y871" s="146"/>
      <c r="Z871" s="146"/>
      <c r="AA871" s="146"/>
      <c r="AB871" s="146"/>
      <c r="AC871" s="146"/>
      <c r="AD871" s="146"/>
      <c r="AE871" s="146"/>
      <c r="AF871" s="146"/>
      <c r="AG871" s="146"/>
    </row>
    <row r="872" spans="1:33" ht="12.75">
      <c r="A872" s="148"/>
      <c r="B872" s="146"/>
      <c r="C872" s="146"/>
      <c r="D872" s="146"/>
      <c r="E872" s="146"/>
      <c r="F872" s="146"/>
      <c r="G872" s="146"/>
      <c r="H872" s="146"/>
      <c r="I872" s="146"/>
      <c r="J872" s="146"/>
      <c r="K872" s="146"/>
      <c r="L872" s="146"/>
      <c r="M872" s="146"/>
      <c r="N872" s="146"/>
      <c r="O872" s="146"/>
      <c r="P872" s="146"/>
      <c r="Q872" s="146"/>
      <c r="R872" s="146"/>
      <c r="S872" s="146"/>
      <c r="T872" s="146"/>
      <c r="U872" s="146"/>
      <c r="V872" s="146"/>
      <c r="W872" s="146"/>
      <c r="X872" s="146"/>
      <c r="Y872" s="146"/>
      <c r="Z872" s="146"/>
      <c r="AA872" s="146"/>
      <c r="AB872" s="146"/>
      <c r="AC872" s="146"/>
      <c r="AD872" s="146"/>
      <c r="AE872" s="146"/>
      <c r="AF872" s="146"/>
      <c r="AG872" s="146"/>
    </row>
    <row r="873" spans="1:33" ht="12.75">
      <c r="A873" s="148"/>
      <c r="B873" s="146"/>
      <c r="C873" s="146"/>
      <c r="D873" s="146"/>
      <c r="E873" s="146"/>
      <c r="F873" s="146"/>
      <c r="G873" s="146"/>
      <c r="H873" s="146"/>
      <c r="I873" s="146"/>
      <c r="J873" s="146"/>
      <c r="K873" s="146"/>
      <c r="L873" s="146"/>
      <c r="M873" s="146"/>
      <c r="N873" s="146"/>
      <c r="O873" s="146"/>
      <c r="P873" s="146"/>
      <c r="Q873" s="146"/>
      <c r="R873" s="146"/>
      <c r="S873" s="146"/>
      <c r="T873" s="146"/>
      <c r="U873" s="146"/>
      <c r="V873" s="146"/>
      <c r="W873" s="146"/>
      <c r="X873" s="146"/>
      <c r="Y873" s="146"/>
      <c r="Z873" s="146"/>
      <c r="AA873" s="146"/>
      <c r="AB873" s="146"/>
      <c r="AC873" s="146"/>
      <c r="AD873" s="146"/>
      <c r="AE873" s="146"/>
      <c r="AF873" s="146"/>
      <c r="AG873" s="146"/>
    </row>
    <row r="874" spans="1:33" ht="12.75">
      <c r="A874" s="148"/>
      <c r="B874" s="146"/>
      <c r="C874" s="146"/>
      <c r="D874" s="146"/>
      <c r="E874" s="146"/>
      <c r="F874" s="146"/>
      <c r="G874" s="146"/>
      <c r="H874" s="146"/>
      <c r="I874" s="146"/>
      <c r="J874" s="146"/>
      <c r="K874" s="146"/>
      <c r="L874" s="146"/>
      <c r="M874" s="146"/>
      <c r="N874" s="146"/>
      <c r="O874" s="146"/>
      <c r="P874" s="146"/>
      <c r="Q874" s="146"/>
      <c r="R874" s="146"/>
      <c r="S874" s="146"/>
      <c r="T874" s="146"/>
      <c r="U874" s="146"/>
      <c r="V874" s="146"/>
      <c r="W874" s="146"/>
      <c r="X874" s="146"/>
      <c r="Y874" s="146"/>
      <c r="Z874" s="146"/>
      <c r="AA874" s="146"/>
      <c r="AB874" s="146"/>
      <c r="AC874" s="146"/>
      <c r="AD874" s="146"/>
      <c r="AE874" s="146"/>
      <c r="AF874" s="146"/>
      <c r="AG874" s="146"/>
    </row>
    <row r="875" spans="1:33" ht="12.75">
      <c r="A875" s="148"/>
      <c r="B875" s="146"/>
      <c r="C875" s="146"/>
      <c r="D875" s="146"/>
      <c r="E875" s="146"/>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c r="AB875" s="146"/>
      <c r="AC875" s="146"/>
      <c r="AD875" s="146"/>
      <c r="AE875" s="146"/>
      <c r="AF875" s="146"/>
      <c r="AG875" s="146"/>
    </row>
    <row r="876" spans="1:33" ht="12.75">
      <c r="A876" s="148"/>
      <c r="B876" s="146"/>
      <c r="C876" s="146"/>
      <c r="D876" s="146"/>
      <c r="E876" s="146"/>
      <c r="F876" s="146"/>
      <c r="G876" s="146"/>
      <c r="H876" s="146"/>
      <c r="I876" s="146"/>
      <c r="J876" s="146"/>
      <c r="K876" s="146"/>
      <c r="L876" s="146"/>
      <c r="M876" s="146"/>
      <c r="N876" s="146"/>
      <c r="O876" s="146"/>
      <c r="P876" s="146"/>
      <c r="Q876" s="146"/>
      <c r="R876" s="146"/>
      <c r="S876" s="146"/>
      <c r="T876" s="146"/>
      <c r="U876" s="146"/>
      <c r="V876" s="146"/>
      <c r="W876" s="146"/>
      <c r="X876" s="146"/>
      <c r="Y876" s="146"/>
      <c r="Z876" s="146"/>
      <c r="AA876" s="146"/>
      <c r="AB876" s="146"/>
      <c r="AC876" s="146"/>
      <c r="AD876" s="146"/>
      <c r="AE876" s="146"/>
      <c r="AF876" s="146"/>
      <c r="AG876" s="146"/>
    </row>
    <row r="877" spans="1:33" ht="12.75">
      <c r="A877" s="148"/>
      <c r="B877" s="146"/>
      <c r="C877" s="146"/>
      <c r="D877" s="146"/>
      <c r="E877" s="146"/>
      <c r="F877" s="146"/>
      <c r="G877" s="146"/>
      <c r="H877" s="146"/>
      <c r="I877" s="146"/>
      <c r="J877" s="146"/>
      <c r="K877" s="146"/>
      <c r="L877" s="146"/>
      <c r="M877" s="146"/>
      <c r="N877" s="146"/>
      <c r="O877" s="146"/>
      <c r="P877" s="146"/>
      <c r="Q877" s="146"/>
      <c r="R877" s="146"/>
      <c r="S877" s="146"/>
      <c r="T877" s="146"/>
      <c r="U877" s="146"/>
      <c r="V877" s="146"/>
      <c r="W877" s="146"/>
      <c r="X877" s="146"/>
      <c r="Y877" s="146"/>
      <c r="Z877" s="146"/>
      <c r="AA877" s="146"/>
      <c r="AB877" s="146"/>
      <c r="AC877" s="146"/>
      <c r="AD877" s="146"/>
      <c r="AE877" s="146"/>
      <c r="AF877" s="146"/>
      <c r="AG877" s="146"/>
    </row>
    <row r="878" spans="1:33" ht="12.75">
      <c r="A878" s="148"/>
      <c r="B878" s="146"/>
      <c r="C878" s="146"/>
      <c r="D878" s="146"/>
      <c r="E878" s="146"/>
      <c r="F878" s="146"/>
      <c r="G878" s="146"/>
      <c r="H878" s="146"/>
      <c r="I878" s="146"/>
      <c r="J878" s="146"/>
      <c r="K878" s="146"/>
      <c r="L878" s="146"/>
      <c r="M878" s="146"/>
      <c r="N878" s="146"/>
      <c r="O878" s="146"/>
      <c r="P878" s="146"/>
      <c r="Q878" s="146"/>
      <c r="R878" s="146"/>
      <c r="S878" s="146"/>
      <c r="T878" s="146"/>
      <c r="U878" s="146"/>
      <c r="V878" s="146"/>
      <c r="W878" s="146"/>
      <c r="X878" s="146"/>
      <c r="Y878" s="146"/>
      <c r="Z878" s="146"/>
      <c r="AA878" s="146"/>
      <c r="AB878" s="146"/>
      <c r="AC878" s="146"/>
      <c r="AD878" s="146"/>
      <c r="AE878" s="146"/>
      <c r="AF878" s="146"/>
      <c r="AG878" s="146"/>
    </row>
    <row r="879" spans="1:33" ht="12.75">
      <c r="A879" s="148"/>
      <c r="B879" s="146"/>
      <c r="C879" s="146"/>
      <c r="D879" s="146"/>
      <c r="E879" s="146"/>
      <c r="F879" s="146"/>
      <c r="G879" s="146"/>
      <c r="H879" s="146"/>
      <c r="I879" s="146"/>
      <c r="J879" s="146"/>
      <c r="K879" s="146"/>
      <c r="L879" s="146"/>
      <c r="M879" s="146"/>
      <c r="N879" s="146"/>
      <c r="O879" s="146"/>
      <c r="P879" s="146"/>
      <c r="Q879" s="146"/>
      <c r="R879" s="146"/>
      <c r="S879" s="146"/>
      <c r="T879" s="146"/>
      <c r="U879" s="146"/>
      <c r="V879" s="146"/>
      <c r="W879" s="146"/>
      <c r="X879" s="146"/>
      <c r="Y879" s="146"/>
      <c r="Z879" s="146"/>
      <c r="AA879" s="146"/>
      <c r="AB879" s="146"/>
      <c r="AC879" s="146"/>
      <c r="AD879" s="146"/>
      <c r="AE879" s="146"/>
      <c r="AF879" s="146"/>
      <c r="AG879" s="146"/>
    </row>
    <row r="880" spans="1:33" ht="12.75">
      <c r="A880" s="148"/>
      <c r="B880" s="146"/>
      <c r="C880" s="146"/>
      <c r="D880" s="146"/>
      <c r="E880" s="146"/>
      <c r="F880" s="146"/>
      <c r="G880" s="146"/>
      <c r="H880" s="146"/>
      <c r="I880" s="146"/>
      <c r="J880" s="146"/>
      <c r="K880" s="146"/>
      <c r="L880" s="146"/>
      <c r="M880" s="146"/>
      <c r="N880" s="146"/>
      <c r="O880" s="146"/>
      <c r="P880" s="146"/>
      <c r="Q880" s="146"/>
      <c r="R880" s="146"/>
      <c r="S880" s="146"/>
      <c r="T880" s="146"/>
      <c r="U880" s="146"/>
      <c r="V880" s="146"/>
      <c r="W880" s="146"/>
      <c r="X880" s="146"/>
      <c r="Y880" s="146"/>
      <c r="Z880" s="146"/>
      <c r="AA880" s="146"/>
      <c r="AB880" s="146"/>
      <c r="AC880" s="146"/>
      <c r="AD880" s="146"/>
      <c r="AE880" s="146"/>
      <c r="AF880" s="146"/>
      <c r="AG880" s="146"/>
    </row>
    <row r="881" spans="1:33" ht="12.75">
      <c r="A881" s="148"/>
      <c r="B881" s="146"/>
      <c r="C881" s="146"/>
      <c r="D881" s="146"/>
      <c r="E881" s="146"/>
      <c r="F881" s="146"/>
      <c r="G881" s="146"/>
      <c r="H881" s="146"/>
      <c r="I881" s="146"/>
      <c r="J881" s="146"/>
      <c r="K881" s="146"/>
      <c r="L881" s="146"/>
      <c r="M881" s="146"/>
      <c r="N881" s="146"/>
      <c r="O881" s="146"/>
      <c r="P881" s="146"/>
      <c r="Q881" s="146"/>
      <c r="R881" s="146"/>
      <c r="S881" s="146"/>
      <c r="T881" s="146"/>
      <c r="U881" s="146"/>
      <c r="V881" s="146"/>
      <c r="W881" s="146"/>
      <c r="X881" s="146"/>
      <c r="Y881" s="146"/>
      <c r="Z881" s="146"/>
      <c r="AA881" s="146"/>
      <c r="AB881" s="146"/>
      <c r="AC881" s="146"/>
      <c r="AD881" s="146"/>
      <c r="AE881" s="146"/>
      <c r="AF881" s="146"/>
      <c r="AG881" s="146"/>
    </row>
    <row r="882" spans="1:33" ht="12.75">
      <c r="A882" s="148"/>
      <c r="B882" s="146"/>
      <c r="C882" s="146"/>
      <c r="D882" s="146"/>
      <c r="E882" s="146"/>
      <c r="F882" s="146"/>
      <c r="G882" s="146"/>
      <c r="H882" s="146"/>
      <c r="I882" s="146"/>
      <c r="J882" s="146"/>
      <c r="K882" s="146"/>
      <c r="L882" s="146"/>
      <c r="M882" s="146"/>
      <c r="N882" s="146"/>
      <c r="O882" s="146"/>
      <c r="P882" s="146"/>
      <c r="Q882" s="146"/>
      <c r="R882" s="146"/>
      <c r="S882" s="146"/>
      <c r="T882" s="146"/>
      <c r="U882" s="146"/>
      <c r="V882" s="146"/>
      <c r="W882" s="146"/>
      <c r="X882" s="146"/>
      <c r="Y882" s="146"/>
      <c r="Z882" s="146"/>
      <c r="AA882" s="146"/>
      <c r="AB882" s="146"/>
      <c r="AC882" s="146"/>
      <c r="AD882" s="146"/>
      <c r="AE882" s="146"/>
      <c r="AF882" s="146"/>
      <c r="AG882" s="146"/>
    </row>
    <row r="883" spans="1:33" ht="12.75">
      <c r="A883" s="148"/>
      <c r="B883" s="146"/>
      <c r="C883" s="146"/>
      <c r="D883" s="146"/>
      <c r="E883" s="146"/>
      <c r="F883" s="146"/>
      <c r="G883" s="146"/>
      <c r="H883" s="146"/>
      <c r="I883" s="146"/>
      <c r="J883" s="146"/>
      <c r="K883" s="146"/>
      <c r="L883" s="146"/>
      <c r="M883" s="146"/>
      <c r="N883" s="146"/>
      <c r="O883" s="146"/>
      <c r="P883" s="146"/>
      <c r="Q883" s="146"/>
      <c r="R883" s="146"/>
      <c r="S883" s="146"/>
      <c r="T883" s="146"/>
      <c r="U883" s="146"/>
      <c r="V883" s="146"/>
      <c r="W883" s="146"/>
      <c r="X883" s="146"/>
      <c r="Y883" s="146"/>
      <c r="Z883" s="146"/>
      <c r="AA883" s="146"/>
      <c r="AB883" s="146"/>
      <c r="AC883" s="146"/>
      <c r="AD883" s="146"/>
      <c r="AE883" s="146"/>
      <c r="AF883" s="146"/>
      <c r="AG883" s="146"/>
    </row>
    <row r="884" spans="1:33" ht="12.75">
      <c r="A884" s="148"/>
      <c r="B884" s="146"/>
      <c r="C884" s="146"/>
      <c r="D884" s="146"/>
      <c r="E884" s="146"/>
      <c r="F884" s="146"/>
      <c r="G884" s="146"/>
      <c r="H884" s="146"/>
      <c r="I884" s="146"/>
      <c r="J884" s="146"/>
      <c r="K884" s="146"/>
      <c r="L884" s="146"/>
      <c r="M884" s="146"/>
      <c r="N884" s="146"/>
      <c r="O884" s="146"/>
      <c r="P884" s="146"/>
      <c r="Q884" s="146"/>
      <c r="R884" s="146"/>
      <c r="S884" s="146"/>
      <c r="T884" s="146"/>
      <c r="U884" s="146"/>
      <c r="V884" s="146"/>
      <c r="W884" s="146"/>
      <c r="X884" s="146"/>
      <c r="Y884" s="146"/>
      <c r="Z884" s="146"/>
      <c r="AA884" s="146"/>
      <c r="AB884" s="146"/>
      <c r="AC884" s="146"/>
      <c r="AD884" s="146"/>
      <c r="AE884" s="146"/>
      <c r="AF884" s="146"/>
      <c r="AG884" s="146"/>
    </row>
    <row r="885" spans="1:33" ht="12.75">
      <c r="A885" s="148"/>
      <c r="B885" s="146"/>
      <c r="C885" s="146"/>
      <c r="D885" s="146"/>
      <c r="E885" s="146"/>
      <c r="F885" s="146"/>
      <c r="G885" s="146"/>
      <c r="H885" s="146"/>
      <c r="I885" s="146"/>
      <c r="J885" s="146"/>
      <c r="K885" s="146"/>
      <c r="L885" s="146"/>
      <c r="M885" s="146"/>
      <c r="N885" s="146"/>
      <c r="O885" s="146"/>
      <c r="P885" s="146"/>
      <c r="Q885" s="146"/>
      <c r="R885" s="146"/>
      <c r="S885" s="146"/>
      <c r="T885" s="146"/>
      <c r="U885" s="146"/>
      <c r="V885" s="146"/>
      <c r="W885" s="146"/>
      <c r="X885" s="146"/>
      <c r="Y885" s="146"/>
      <c r="Z885" s="146"/>
      <c r="AA885" s="146"/>
      <c r="AB885" s="146"/>
      <c r="AC885" s="146"/>
      <c r="AD885" s="146"/>
      <c r="AE885" s="146"/>
      <c r="AF885" s="146"/>
      <c r="AG885" s="146"/>
    </row>
    <row r="886" spans="1:33" ht="12.75">
      <c r="A886" s="148"/>
      <c r="B886" s="146"/>
      <c r="C886" s="146"/>
      <c r="D886" s="146"/>
      <c r="E886" s="146"/>
      <c r="F886" s="146"/>
      <c r="G886" s="146"/>
      <c r="H886" s="146"/>
      <c r="I886" s="146"/>
      <c r="J886" s="146"/>
      <c r="K886" s="146"/>
      <c r="L886" s="146"/>
      <c r="M886" s="146"/>
      <c r="N886" s="146"/>
      <c r="O886" s="146"/>
      <c r="P886" s="146"/>
      <c r="Q886" s="146"/>
      <c r="R886" s="146"/>
      <c r="S886" s="146"/>
      <c r="T886" s="146"/>
      <c r="U886" s="146"/>
      <c r="V886" s="146"/>
      <c r="W886" s="146"/>
      <c r="X886" s="146"/>
      <c r="Y886" s="146"/>
      <c r="Z886" s="146"/>
      <c r="AA886" s="146"/>
      <c r="AB886" s="146"/>
      <c r="AC886" s="146"/>
      <c r="AD886" s="146"/>
      <c r="AE886" s="146"/>
      <c r="AF886" s="146"/>
      <c r="AG886" s="146"/>
    </row>
    <row r="887" spans="1:33" ht="12.75">
      <c r="A887" s="148"/>
      <c r="B887" s="146"/>
      <c r="C887" s="146"/>
      <c r="D887" s="146"/>
      <c r="E887" s="146"/>
      <c r="F887" s="146"/>
      <c r="G887" s="146"/>
      <c r="H887" s="146"/>
      <c r="I887" s="146"/>
      <c r="J887" s="146"/>
      <c r="K887" s="146"/>
      <c r="L887" s="146"/>
      <c r="M887" s="146"/>
      <c r="N887" s="146"/>
      <c r="O887" s="146"/>
      <c r="P887" s="146"/>
      <c r="Q887" s="146"/>
      <c r="R887" s="146"/>
      <c r="S887" s="146"/>
      <c r="T887" s="146"/>
      <c r="U887" s="146"/>
      <c r="V887" s="146"/>
      <c r="W887" s="146"/>
      <c r="X887" s="146"/>
      <c r="Y887" s="146"/>
      <c r="Z887" s="146"/>
      <c r="AA887" s="146"/>
      <c r="AB887" s="146"/>
      <c r="AC887" s="146"/>
      <c r="AD887" s="146"/>
      <c r="AE887" s="146"/>
      <c r="AF887" s="146"/>
      <c r="AG887" s="146"/>
    </row>
    <row r="888" spans="1:33" ht="12.75">
      <c r="A888" s="148"/>
      <c r="B888" s="146"/>
      <c r="C888" s="146"/>
      <c r="D888" s="146"/>
      <c r="E888" s="146"/>
      <c r="F888" s="146"/>
      <c r="G888" s="146"/>
      <c r="H888" s="146"/>
      <c r="I888" s="146"/>
      <c r="J888" s="146"/>
      <c r="K888" s="146"/>
      <c r="L888" s="146"/>
      <c r="M888" s="146"/>
      <c r="N888" s="146"/>
      <c r="O888" s="146"/>
      <c r="P888" s="146"/>
      <c r="Q888" s="146"/>
      <c r="R888" s="146"/>
      <c r="S888" s="146"/>
      <c r="T888" s="146"/>
      <c r="U888" s="146"/>
      <c r="V888" s="146"/>
      <c r="W888" s="146"/>
      <c r="X888" s="146"/>
      <c r="Y888" s="146"/>
      <c r="Z888" s="146"/>
      <c r="AA888" s="146"/>
      <c r="AB888" s="146"/>
      <c r="AC888" s="146"/>
      <c r="AD888" s="146"/>
      <c r="AE888" s="146"/>
      <c r="AF888" s="146"/>
      <c r="AG888" s="146"/>
    </row>
    <row r="889" spans="1:33" ht="12.75">
      <c r="A889" s="148"/>
      <c r="B889" s="146"/>
      <c r="C889" s="146"/>
      <c r="D889" s="146"/>
      <c r="E889" s="146"/>
      <c r="F889" s="146"/>
      <c r="G889" s="146"/>
      <c r="H889" s="146"/>
      <c r="I889" s="146"/>
      <c r="J889" s="146"/>
      <c r="K889" s="146"/>
      <c r="L889" s="146"/>
      <c r="M889" s="146"/>
      <c r="N889" s="146"/>
      <c r="O889" s="146"/>
      <c r="P889" s="146"/>
      <c r="Q889" s="146"/>
      <c r="R889" s="146"/>
      <c r="S889" s="146"/>
      <c r="T889" s="146"/>
      <c r="U889" s="146"/>
      <c r="V889" s="146"/>
      <c r="W889" s="146"/>
      <c r="X889" s="146"/>
      <c r="Y889" s="146"/>
      <c r="Z889" s="146"/>
      <c r="AA889" s="146"/>
      <c r="AB889" s="146"/>
      <c r="AC889" s="146"/>
      <c r="AD889" s="146"/>
      <c r="AE889" s="146"/>
      <c r="AF889" s="146"/>
      <c r="AG889" s="146"/>
    </row>
    <row r="890" spans="1:33" ht="12.75">
      <c r="A890" s="148"/>
      <c r="B890" s="146"/>
      <c r="C890" s="146"/>
      <c r="D890" s="146"/>
      <c r="E890" s="146"/>
      <c r="F890" s="146"/>
      <c r="G890" s="146"/>
      <c r="H890" s="146"/>
      <c r="I890" s="146"/>
      <c r="J890" s="146"/>
      <c r="K890" s="146"/>
      <c r="L890" s="146"/>
      <c r="M890" s="146"/>
      <c r="N890" s="146"/>
      <c r="O890" s="146"/>
      <c r="P890" s="146"/>
      <c r="Q890" s="146"/>
      <c r="R890" s="146"/>
      <c r="S890" s="146"/>
      <c r="T890" s="146"/>
      <c r="U890" s="146"/>
      <c r="V890" s="146"/>
      <c r="W890" s="146"/>
      <c r="X890" s="146"/>
      <c r="Y890" s="146"/>
      <c r="Z890" s="146"/>
      <c r="AA890" s="146"/>
      <c r="AB890" s="146"/>
      <c r="AC890" s="146"/>
      <c r="AD890" s="146"/>
      <c r="AE890" s="146"/>
      <c r="AF890" s="146"/>
      <c r="AG890" s="146"/>
    </row>
    <row r="891" spans="1:33" ht="12.75">
      <c r="A891" s="148"/>
      <c r="B891" s="146"/>
      <c r="C891" s="146"/>
      <c r="D891" s="146"/>
      <c r="E891" s="146"/>
      <c r="F891" s="146"/>
      <c r="G891" s="146"/>
      <c r="H891" s="146"/>
      <c r="I891" s="146"/>
      <c r="J891" s="146"/>
      <c r="K891" s="146"/>
      <c r="L891" s="146"/>
      <c r="M891" s="146"/>
      <c r="N891" s="146"/>
      <c r="O891" s="146"/>
      <c r="P891" s="146"/>
      <c r="Q891" s="146"/>
      <c r="R891" s="146"/>
      <c r="S891" s="146"/>
      <c r="T891" s="146"/>
      <c r="U891" s="146"/>
      <c r="V891" s="146"/>
      <c r="W891" s="146"/>
      <c r="X891" s="146"/>
      <c r="Y891" s="146"/>
      <c r="Z891" s="146"/>
      <c r="AA891" s="146"/>
      <c r="AB891" s="146"/>
      <c r="AC891" s="146"/>
      <c r="AD891" s="146"/>
      <c r="AE891" s="146"/>
      <c r="AF891" s="146"/>
      <c r="AG891" s="146"/>
    </row>
    <row r="892" spans="1:33" ht="12.75">
      <c r="A892" s="148"/>
      <c r="B892" s="146"/>
      <c r="C892" s="146"/>
      <c r="D892" s="146"/>
      <c r="E892" s="146"/>
      <c r="F892" s="146"/>
      <c r="G892" s="146"/>
      <c r="H892" s="146"/>
      <c r="I892" s="146"/>
      <c r="J892" s="146"/>
      <c r="K892" s="146"/>
      <c r="L892" s="146"/>
      <c r="M892" s="146"/>
      <c r="N892" s="146"/>
      <c r="O892" s="146"/>
      <c r="P892" s="146"/>
      <c r="Q892" s="146"/>
      <c r="R892" s="146"/>
      <c r="S892" s="146"/>
      <c r="T892" s="146"/>
      <c r="U892" s="146"/>
      <c r="V892" s="146"/>
      <c r="W892" s="146"/>
      <c r="X892" s="146"/>
      <c r="Y892" s="146"/>
      <c r="Z892" s="146"/>
      <c r="AA892" s="146"/>
      <c r="AB892" s="146"/>
      <c r="AC892" s="146"/>
      <c r="AD892" s="146"/>
      <c r="AE892" s="146"/>
      <c r="AF892" s="146"/>
      <c r="AG892" s="146"/>
    </row>
    <row r="893" spans="1:33" ht="12.75">
      <c r="A893" s="148"/>
      <c r="B893" s="146"/>
      <c r="C893" s="146"/>
      <c r="D893" s="146"/>
      <c r="E893" s="146"/>
      <c r="F893" s="146"/>
      <c r="G893" s="146"/>
      <c r="H893" s="146"/>
      <c r="I893" s="146"/>
      <c r="J893" s="146"/>
      <c r="K893" s="146"/>
      <c r="L893" s="146"/>
      <c r="M893" s="146"/>
      <c r="N893" s="146"/>
      <c r="O893" s="146"/>
      <c r="P893" s="146"/>
      <c r="Q893" s="146"/>
      <c r="R893" s="146"/>
      <c r="S893" s="146"/>
      <c r="T893" s="146"/>
      <c r="U893" s="146"/>
      <c r="V893" s="146"/>
      <c r="W893" s="146"/>
      <c r="X893" s="146"/>
      <c r="Y893" s="146"/>
      <c r="Z893" s="146"/>
      <c r="AA893" s="146"/>
      <c r="AB893" s="146"/>
      <c r="AC893" s="146"/>
      <c r="AD893" s="146"/>
      <c r="AE893" s="146"/>
      <c r="AF893" s="146"/>
      <c r="AG893" s="146"/>
    </row>
    <row r="894" spans="1:33" ht="12.75">
      <c r="A894" s="148"/>
      <c r="B894" s="146"/>
      <c r="C894" s="146"/>
      <c r="D894" s="146"/>
      <c r="E894" s="146"/>
      <c r="F894" s="146"/>
      <c r="G894" s="146"/>
      <c r="H894" s="146"/>
      <c r="I894" s="146"/>
      <c r="J894" s="146"/>
      <c r="K894" s="146"/>
      <c r="L894" s="146"/>
      <c r="M894" s="146"/>
      <c r="N894" s="146"/>
      <c r="O894" s="146"/>
      <c r="P894" s="146"/>
      <c r="Q894" s="146"/>
      <c r="R894" s="146"/>
      <c r="S894" s="146"/>
      <c r="T894" s="146"/>
      <c r="U894" s="146"/>
      <c r="V894" s="146"/>
      <c r="W894" s="146"/>
      <c r="X894" s="146"/>
      <c r="Y894" s="146"/>
      <c r="Z894" s="146"/>
      <c r="AA894" s="146"/>
      <c r="AB894" s="146"/>
      <c r="AC894" s="146"/>
      <c r="AD894" s="146"/>
      <c r="AE894" s="146"/>
      <c r="AF894" s="146"/>
      <c r="AG894" s="146"/>
    </row>
    <row r="895" spans="1:33" ht="12.75">
      <c r="A895" s="148"/>
      <c r="B895" s="146"/>
      <c r="C895" s="146"/>
      <c r="D895" s="146"/>
      <c r="E895" s="146"/>
      <c r="F895" s="146"/>
      <c r="G895" s="146"/>
      <c r="H895" s="146"/>
      <c r="I895" s="146"/>
      <c r="J895" s="146"/>
      <c r="K895" s="146"/>
      <c r="L895" s="146"/>
      <c r="M895" s="146"/>
      <c r="N895" s="146"/>
      <c r="O895" s="146"/>
      <c r="P895" s="146"/>
      <c r="Q895" s="146"/>
      <c r="R895" s="146"/>
      <c r="S895" s="146"/>
      <c r="T895" s="146"/>
      <c r="U895" s="146"/>
      <c r="V895" s="146"/>
      <c r="W895" s="146"/>
      <c r="X895" s="146"/>
      <c r="Y895" s="146"/>
      <c r="Z895" s="146"/>
      <c r="AA895" s="146"/>
      <c r="AB895" s="146"/>
      <c r="AC895" s="146"/>
      <c r="AD895" s="146"/>
      <c r="AE895" s="146"/>
      <c r="AF895" s="146"/>
      <c r="AG895" s="146"/>
    </row>
    <row r="896" spans="1:33" ht="12.75">
      <c r="A896" s="148"/>
      <c r="B896" s="146"/>
      <c r="C896" s="146"/>
      <c r="D896" s="146"/>
      <c r="E896" s="146"/>
      <c r="F896" s="146"/>
      <c r="G896" s="146"/>
      <c r="H896" s="146"/>
      <c r="I896" s="146"/>
      <c r="J896" s="146"/>
      <c r="K896" s="146"/>
      <c r="L896" s="146"/>
      <c r="M896" s="146"/>
      <c r="N896" s="146"/>
      <c r="O896" s="146"/>
      <c r="P896" s="146"/>
      <c r="Q896" s="146"/>
      <c r="R896" s="146"/>
      <c r="S896" s="146"/>
      <c r="T896" s="146"/>
      <c r="U896" s="146"/>
      <c r="V896" s="146"/>
      <c r="W896" s="146"/>
      <c r="X896" s="146"/>
      <c r="Y896" s="146"/>
      <c r="Z896" s="146"/>
      <c r="AA896" s="146"/>
      <c r="AB896" s="146"/>
      <c r="AC896" s="146"/>
      <c r="AD896" s="146"/>
      <c r="AE896" s="146"/>
      <c r="AF896" s="146"/>
      <c r="AG896" s="146"/>
    </row>
    <row r="897" spans="1:33" ht="12.75">
      <c r="A897" s="148"/>
      <c r="B897" s="146"/>
      <c r="C897" s="146"/>
      <c r="D897" s="146"/>
      <c r="E897" s="146"/>
      <c r="F897" s="146"/>
      <c r="G897" s="146"/>
      <c r="H897" s="146"/>
      <c r="I897" s="146"/>
      <c r="J897" s="146"/>
      <c r="K897" s="146"/>
      <c r="L897" s="146"/>
      <c r="M897" s="146"/>
      <c r="N897" s="146"/>
      <c r="O897" s="146"/>
      <c r="P897" s="146"/>
      <c r="Q897" s="146"/>
      <c r="R897" s="146"/>
      <c r="S897" s="146"/>
      <c r="T897" s="146"/>
      <c r="U897" s="146"/>
      <c r="V897" s="146"/>
      <c r="W897" s="146"/>
      <c r="X897" s="146"/>
      <c r="Y897" s="146"/>
      <c r="Z897" s="146"/>
      <c r="AA897" s="146"/>
      <c r="AB897" s="146"/>
      <c r="AC897" s="146"/>
      <c r="AD897" s="146"/>
      <c r="AE897" s="146"/>
      <c r="AF897" s="146"/>
      <c r="AG897" s="146"/>
    </row>
    <row r="898" spans="1:33" ht="12.75">
      <c r="A898" s="148"/>
      <c r="B898" s="146"/>
      <c r="C898" s="146"/>
      <c r="D898" s="146"/>
      <c r="E898" s="146"/>
      <c r="F898" s="146"/>
      <c r="G898" s="146"/>
      <c r="H898" s="146"/>
      <c r="I898" s="146"/>
      <c r="J898" s="146"/>
      <c r="K898" s="146"/>
      <c r="L898" s="146"/>
      <c r="M898" s="146"/>
      <c r="N898" s="146"/>
      <c r="O898" s="146"/>
      <c r="P898" s="146"/>
      <c r="Q898" s="146"/>
      <c r="R898" s="146"/>
      <c r="S898" s="146"/>
      <c r="T898" s="146"/>
      <c r="U898" s="146"/>
      <c r="V898" s="146"/>
      <c r="W898" s="146"/>
      <c r="X898" s="146"/>
      <c r="Y898" s="146"/>
      <c r="Z898" s="146"/>
      <c r="AA898" s="146"/>
      <c r="AB898" s="146"/>
      <c r="AC898" s="146"/>
      <c r="AD898" s="146"/>
      <c r="AE898" s="146"/>
      <c r="AF898" s="146"/>
      <c r="AG898" s="146"/>
    </row>
    <row r="899" spans="1:33" ht="12.75">
      <c r="A899" s="148"/>
      <c r="B899" s="146"/>
      <c r="C899" s="146"/>
      <c r="D899" s="146"/>
      <c r="E899" s="146"/>
      <c r="F899" s="146"/>
      <c r="G899" s="146"/>
      <c r="H899" s="146"/>
      <c r="I899" s="146"/>
      <c r="J899" s="146"/>
      <c r="K899" s="146"/>
      <c r="L899" s="146"/>
      <c r="M899" s="146"/>
      <c r="N899" s="146"/>
      <c r="O899" s="146"/>
      <c r="P899" s="146"/>
      <c r="Q899" s="146"/>
      <c r="R899" s="146"/>
      <c r="S899" s="146"/>
      <c r="T899" s="146"/>
      <c r="U899" s="146"/>
      <c r="V899" s="146"/>
      <c r="W899" s="146"/>
      <c r="X899" s="146"/>
      <c r="Y899" s="146"/>
      <c r="Z899" s="146"/>
      <c r="AA899" s="146"/>
      <c r="AB899" s="146"/>
      <c r="AC899" s="146"/>
      <c r="AD899" s="146"/>
      <c r="AE899" s="146"/>
      <c r="AF899" s="146"/>
      <c r="AG899" s="146"/>
    </row>
    <row r="900" spans="1:33" ht="12.75">
      <c r="A900" s="148"/>
      <c r="B900" s="146"/>
      <c r="C900" s="146"/>
      <c r="D900" s="146"/>
      <c r="E900" s="146"/>
      <c r="F900" s="146"/>
      <c r="G900" s="146"/>
      <c r="H900" s="146"/>
      <c r="I900" s="146"/>
      <c r="J900" s="146"/>
      <c r="K900" s="146"/>
      <c r="L900" s="146"/>
      <c r="M900" s="146"/>
      <c r="N900" s="146"/>
      <c r="O900" s="146"/>
      <c r="P900" s="146"/>
      <c r="Q900" s="146"/>
      <c r="R900" s="146"/>
      <c r="S900" s="146"/>
      <c r="T900" s="146"/>
      <c r="U900" s="146"/>
      <c r="V900" s="146"/>
      <c r="W900" s="146"/>
      <c r="X900" s="146"/>
      <c r="Y900" s="146"/>
      <c r="Z900" s="146"/>
      <c r="AA900" s="146"/>
      <c r="AB900" s="146"/>
      <c r="AC900" s="146"/>
      <c r="AD900" s="146"/>
      <c r="AE900" s="146"/>
      <c r="AF900" s="146"/>
      <c r="AG900" s="146"/>
    </row>
    <row r="901" spans="1:33" ht="12.75">
      <c r="A901" s="148"/>
      <c r="B901" s="146"/>
      <c r="C901" s="146"/>
      <c r="D901" s="146"/>
      <c r="E901" s="146"/>
      <c r="F901" s="146"/>
      <c r="G901" s="146"/>
      <c r="H901" s="146"/>
      <c r="I901" s="146"/>
      <c r="J901" s="146"/>
      <c r="K901" s="146"/>
      <c r="L901" s="146"/>
      <c r="M901" s="146"/>
      <c r="N901" s="146"/>
      <c r="O901" s="146"/>
      <c r="P901" s="146"/>
      <c r="Q901" s="146"/>
      <c r="R901" s="146"/>
      <c r="S901" s="146"/>
      <c r="T901" s="146"/>
      <c r="U901" s="146"/>
      <c r="V901" s="146"/>
      <c r="W901" s="146"/>
      <c r="X901" s="146"/>
      <c r="Y901" s="146"/>
      <c r="Z901" s="146"/>
      <c r="AA901" s="146"/>
      <c r="AB901" s="146"/>
      <c r="AC901" s="146"/>
      <c r="AD901" s="146"/>
      <c r="AE901" s="146"/>
      <c r="AF901" s="146"/>
      <c r="AG901" s="146"/>
    </row>
    <row r="902" spans="1:33" ht="12.75">
      <c r="A902" s="148"/>
      <c r="B902" s="146"/>
      <c r="C902" s="146"/>
      <c r="D902" s="146"/>
      <c r="E902" s="146"/>
      <c r="F902" s="146"/>
      <c r="G902" s="146"/>
      <c r="H902" s="146"/>
      <c r="I902" s="146"/>
      <c r="J902" s="146"/>
      <c r="K902" s="146"/>
      <c r="L902" s="146"/>
      <c r="M902" s="146"/>
      <c r="N902" s="146"/>
      <c r="O902" s="146"/>
      <c r="P902" s="146"/>
      <c r="Q902" s="146"/>
      <c r="R902" s="146"/>
      <c r="S902" s="146"/>
      <c r="T902" s="146"/>
      <c r="U902" s="146"/>
      <c r="V902" s="146"/>
      <c r="W902" s="146"/>
      <c r="X902" s="146"/>
      <c r="Y902" s="146"/>
      <c r="Z902" s="146"/>
      <c r="AA902" s="146"/>
      <c r="AB902" s="146"/>
      <c r="AC902" s="146"/>
      <c r="AD902" s="146"/>
      <c r="AE902" s="146"/>
      <c r="AF902" s="146"/>
      <c r="AG902" s="146"/>
    </row>
    <row r="903" spans="1:33" ht="12.75">
      <c r="A903" s="148"/>
      <c r="B903" s="146"/>
      <c r="C903" s="146"/>
      <c r="D903" s="146"/>
      <c r="E903" s="146"/>
      <c r="F903" s="146"/>
      <c r="G903" s="146"/>
      <c r="H903" s="146"/>
      <c r="I903" s="146"/>
      <c r="J903" s="146"/>
      <c r="K903" s="146"/>
      <c r="L903" s="146"/>
      <c r="M903" s="146"/>
      <c r="N903" s="146"/>
      <c r="O903" s="146"/>
      <c r="P903" s="146"/>
      <c r="Q903" s="146"/>
      <c r="R903" s="146"/>
      <c r="S903" s="146"/>
      <c r="T903" s="146"/>
      <c r="U903" s="146"/>
      <c r="V903" s="146"/>
      <c r="W903" s="146"/>
      <c r="X903" s="146"/>
      <c r="Y903" s="146"/>
      <c r="Z903" s="146"/>
      <c r="AA903" s="146"/>
      <c r="AB903" s="146"/>
      <c r="AC903" s="146"/>
      <c r="AD903" s="146"/>
      <c r="AE903" s="146"/>
      <c r="AF903" s="146"/>
      <c r="AG903" s="146"/>
    </row>
    <row r="904" spans="1:33" ht="12.75">
      <c r="A904" s="148"/>
      <c r="B904" s="146"/>
      <c r="C904" s="146"/>
      <c r="D904" s="146"/>
      <c r="E904" s="146"/>
      <c r="F904" s="146"/>
      <c r="G904" s="146"/>
      <c r="H904" s="146"/>
      <c r="I904" s="146"/>
      <c r="J904" s="146"/>
      <c r="K904" s="146"/>
      <c r="L904" s="146"/>
      <c r="M904" s="146"/>
      <c r="N904" s="146"/>
      <c r="O904" s="146"/>
      <c r="P904" s="146"/>
      <c r="Q904" s="146"/>
      <c r="R904" s="146"/>
      <c r="S904" s="146"/>
      <c r="T904" s="146"/>
      <c r="U904" s="146"/>
      <c r="V904" s="146"/>
      <c r="W904" s="146"/>
      <c r="X904" s="146"/>
      <c r="Y904" s="146"/>
      <c r="Z904" s="146"/>
      <c r="AA904" s="146"/>
      <c r="AB904" s="146"/>
      <c r="AC904" s="146"/>
      <c r="AD904" s="146"/>
      <c r="AE904" s="146"/>
      <c r="AF904" s="146"/>
      <c r="AG904" s="146"/>
    </row>
    <row r="905" spans="1:33" ht="12.75">
      <c r="A905" s="148"/>
      <c r="B905" s="146"/>
      <c r="C905" s="146"/>
      <c r="D905" s="146"/>
      <c r="E905" s="146"/>
      <c r="F905" s="146"/>
      <c r="G905" s="146"/>
      <c r="H905" s="146"/>
      <c r="I905" s="146"/>
      <c r="J905" s="146"/>
      <c r="K905" s="146"/>
      <c r="L905" s="146"/>
      <c r="M905" s="146"/>
      <c r="N905" s="146"/>
      <c r="O905" s="146"/>
      <c r="P905" s="146"/>
      <c r="Q905" s="146"/>
      <c r="R905" s="146"/>
      <c r="S905" s="146"/>
      <c r="T905" s="146"/>
      <c r="U905" s="146"/>
      <c r="V905" s="146"/>
      <c r="W905" s="146"/>
      <c r="X905" s="146"/>
      <c r="Y905" s="146"/>
      <c r="Z905" s="146"/>
      <c r="AA905" s="146"/>
      <c r="AB905" s="146"/>
      <c r="AC905" s="146"/>
      <c r="AD905" s="146"/>
      <c r="AE905" s="146"/>
      <c r="AF905" s="146"/>
      <c r="AG905" s="146"/>
    </row>
    <row r="906" spans="1:33" ht="12.75">
      <c r="A906" s="148"/>
      <c r="B906" s="146"/>
      <c r="C906" s="146"/>
      <c r="D906" s="146"/>
      <c r="E906" s="146"/>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c r="AB906" s="146"/>
      <c r="AC906" s="146"/>
      <c r="AD906" s="146"/>
      <c r="AE906" s="146"/>
      <c r="AF906" s="146"/>
      <c r="AG906" s="146"/>
    </row>
    <row r="907" spans="1:33" ht="12.75">
      <c r="A907" s="148"/>
      <c r="B907" s="146"/>
      <c r="C907" s="146"/>
      <c r="D907" s="146"/>
      <c r="E907" s="146"/>
      <c r="F907" s="146"/>
      <c r="G907" s="146"/>
      <c r="H907" s="146"/>
      <c r="I907" s="146"/>
      <c r="J907" s="146"/>
      <c r="K907" s="146"/>
      <c r="L907" s="146"/>
      <c r="M907" s="146"/>
      <c r="N907" s="146"/>
      <c r="O907" s="146"/>
      <c r="P907" s="146"/>
      <c r="Q907" s="146"/>
      <c r="R907" s="146"/>
      <c r="S907" s="146"/>
      <c r="T907" s="146"/>
      <c r="U907" s="146"/>
      <c r="V907" s="146"/>
      <c r="W907" s="146"/>
      <c r="X907" s="146"/>
      <c r="Y907" s="146"/>
      <c r="Z907" s="146"/>
      <c r="AA907" s="146"/>
      <c r="AB907" s="146"/>
      <c r="AC907" s="146"/>
      <c r="AD907" s="146"/>
      <c r="AE907" s="146"/>
      <c r="AF907" s="146"/>
      <c r="AG907" s="146"/>
    </row>
    <row r="908" spans="1:33" ht="12.75">
      <c r="A908" s="148"/>
      <c r="B908" s="146"/>
      <c r="C908" s="146"/>
      <c r="D908" s="146"/>
      <c r="E908" s="146"/>
      <c r="F908" s="146"/>
      <c r="G908" s="146"/>
      <c r="H908" s="146"/>
      <c r="I908" s="146"/>
      <c r="J908" s="146"/>
      <c r="K908" s="146"/>
      <c r="L908" s="146"/>
      <c r="M908" s="146"/>
      <c r="N908" s="146"/>
      <c r="O908" s="146"/>
      <c r="P908" s="146"/>
      <c r="Q908" s="146"/>
      <c r="R908" s="146"/>
      <c r="S908" s="146"/>
      <c r="T908" s="146"/>
      <c r="U908" s="146"/>
      <c r="V908" s="146"/>
      <c r="W908" s="146"/>
      <c r="X908" s="146"/>
      <c r="Y908" s="146"/>
      <c r="Z908" s="146"/>
      <c r="AA908" s="146"/>
      <c r="AB908" s="146"/>
      <c r="AC908" s="146"/>
      <c r="AD908" s="146"/>
      <c r="AE908" s="146"/>
      <c r="AF908" s="146"/>
      <c r="AG908" s="146"/>
    </row>
    <row r="909" spans="1:33" ht="12.75">
      <c r="A909" s="148"/>
      <c r="B909" s="146"/>
      <c r="C909" s="146"/>
      <c r="D909" s="146"/>
      <c r="E909" s="146"/>
      <c r="F909" s="146"/>
      <c r="G909" s="146"/>
      <c r="H909" s="146"/>
      <c r="I909" s="146"/>
      <c r="J909" s="146"/>
      <c r="K909" s="146"/>
      <c r="L909" s="146"/>
      <c r="M909" s="146"/>
      <c r="N909" s="146"/>
      <c r="O909" s="146"/>
      <c r="P909" s="146"/>
      <c r="Q909" s="146"/>
      <c r="R909" s="146"/>
      <c r="S909" s="146"/>
      <c r="T909" s="146"/>
      <c r="U909" s="146"/>
      <c r="V909" s="146"/>
      <c r="W909" s="146"/>
      <c r="X909" s="146"/>
      <c r="Y909" s="146"/>
      <c r="Z909" s="146"/>
      <c r="AA909" s="146"/>
      <c r="AB909" s="146"/>
      <c r="AC909" s="146"/>
      <c r="AD909" s="146"/>
      <c r="AE909" s="146"/>
      <c r="AF909" s="146"/>
      <c r="AG909" s="146"/>
    </row>
    <row r="910" spans="1:33" ht="12.75">
      <c r="A910" s="148"/>
      <c r="B910" s="146"/>
      <c r="C910" s="146"/>
      <c r="D910" s="146"/>
      <c r="E910" s="146"/>
      <c r="F910" s="146"/>
      <c r="G910" s="146"/>
      <c r="H910" s="146"/>
      <c r="I910" s="146"/>
      <c r="J910" s="146"/>
      <c r="K910" s="146"/>
      <c r="L910" s="146"/>
      <c r="M910" s="146"/>
      <c r="N910" s="146"/>
      <c r="O910" s="146"/>
      <c r="P910" s="146"/>
      <c r="Q910" s="146"/>
      <c r="R910" s="146"/>
      <c r="S910" s="146"/>
      <c r="T910" s="146"/>
      <c r="U910" s="146"/>
      <c r="V910" s="146"/>
      <c r="W910" s="146"/>
      <c r="X910" s="146"/>
      <c r="Y910" s="146"/>
      <c r="Z910" s="146"/>
      <c r="AA910" s="146"/>
      <c r="AB910" s="146"/>
      <c r="AC910" s="146"/>
      <c r="AD910" s="146"/>
      <c r="AE910" s="146"/>
      <c r="AF910" s="146"/>
      <c r="AG910" s="146"/>
    </row>
    <row r="911" spans="1:33" ht="12.75">
      <c r="A911" s="148"/>
      <c r="B911" s="146"/>
      <c r="C911" s="146"/>
      <c r="D911" s="146"/>
      <c r="E911" s="146"/>
      <c r="F911" s="146"/>
      <c r="G911" s="146"/>
      <c r="H911" s="146"/>
      <c r="I911" s="146"/>
      <c r="J911" s="146"/>
      <c r="K911" s="146"/>
      <c r="L911" s="146"/>
      <c r="M911" s="146"/>
      <c r="N911" s="146"/>
      <c r="O911" s="146"/>
      <c r="P911" s="146"/>
      <c r="Q911" s="146"/>
      <c r="R911" s="146"/>
      <c r="S911" s="146"/>
      <c r="T911" s="146"/>
      <c r="U911" s="146"/>
      <c r="V911" s="146"/>
      <c r="W911" s="146"/>
      <c r="X911" s="146"/>
      <c r="Y911" s="146"/>
      <c r="Z911" s="146"/>
      <c r="AA911" s="146"/>
      <c r="AB911" s="146"/>
      <c r="AC911" s="146"/>
      <c r="AD911" s="146"/>
      <c r="AE911" s="146"/>
      <c r="AF911" s="146"/>
      <c r="AG911" s="146"/>
    </row>
    <row r="912" spans="1:33" ht="12.75">
      <c r="A912" s="148"/>
      <c r="B912" s="146"/>
      <c r="C912" s="146"/>
      <c r="D912" s="146"/>
      <c r="E912" s="146"/>
      <c r="F912" s="146"/>
      <c r="G912" s="146"/>
      <c r="H912" s="146"/>
      <c r="I912" s="146"/>
      <c r="J912" s="146"/>
      <c r="K912" s="146"/>
      <c r="L912" s="146"/>
      <c r="M912" s="146"/>
      <c r="N912" s="146"/>
      <c r="O912" s="146"/>
      <c r="P912" s="146"/>
      <c r="Q912" s="146"/>
      <c r="R912" s="146"/>
      <c r="S912" s="146"/>
      <c r="T912" s="146"/>
      <c r="U912" s="146"/>
      <c r="V912" s="146"/>
      <c r="W912" s="146"/>
      <c r="X912" s="146"/>
      <c r="Y912" s="146"/>
      <c r="Z912" s="146"/>
      <c r="AA912" s="146"/>
      <c r="AB912" s="146"/>
      <c r="AC912" s="146"/>
      <c r="AD912" s="146"/>
      <c r="AE912" s="146"/>
      <c r="AF912" s="146"/>
      <c r="AG912" s="146"/>
    </row>
    <row r="913" spans="1:33" ht="12.75">
      <c r="A913" s="148"/>
      <c r="B913" s="146"/>
      <c r="C913" s="146"/>
      <c r="D913" s="146"/>
      <c r="E913" s="146"/>
      <c r="F913" s="146"/>
      <c r="G913" s="146"/>
      <c r="H913" s="146"/>
      <c r="I913" s="146"/>
      <c r="J913" s="146"/>
      <c r="K913" s="146"/>
      <c r="L913" s="146"/>
      <c r="M913" s="146"/>
      <c r="N913" s="146"/>
      <c r="O913" s="146"/>
      <c r="P913" s="146"/>
      <c r="Q913" s="146"/>
      <c r="R913" s="146"/>
      <c r="S913" s="146"/>
      <c r="T913" s="146"/>
      <c r="U913" s="146"/>
      <c r="V913" s="146"/>
      <c r="W913" s="146"/>
      <c r="X913" s="146"/>
      <c r="Y913" s="146"/>
      <c r="Z913" s="146"/>
      <c r="AA913" s="146"/>
      <c r="AB913" s="146"/>
      <c r="AC913" s="146"/>
      <c r="AD913" s="146"/>
      <c r="AE913" s="146"/>
      <c r="AF913" s="146"/>
      <c r="AG913" s="146"/>
    </row>
    <row r="914" spans="1:33" ht="12.75">
      <c r="A914" s="148"/>
      <c r="B914" s="146"/>
      <c r="C914" s="146"/>
      <c r="D914" s="146"/>
      <c r="E914" s="146"/>
      <c r="F914" s="146"/>
      <c r="G914" s="146"/>
      <c r="H914" s="146"/>
      <c r="I914" s="146"/>
      <c r="J914" s="146"/>
      <c r="K914" s="146"/>
      <c r="L914" s="146"/>
      <c r="M914" s="146"/>
      <c r="N914" s="146"/>
      <c r="O914" s="146"/>
      <c r="P914" s="146"/>
      <c r="Q914" s="146"/>
      <c r="R914" s="146"/>
      <c r="S914" s="146"/>
      <c r="T914" s="146"/>
      <c r="U914" s="146"/>
      <c r="V914" s="146"/>
      <c r="W914" s="146"/>
      <c r="X914" s="146"/>
      <c r="Y914" s="146"/>
      <c r="Z914" s="146"/>
      <c r="AA914" s="146"/>
      <c r="AB914" s="146"/>
      <c r="AC914" s="146"/>
      <c r="AD914" s="146"/>
      <c r="AE914" s="146"/>
      <c r="AF914" s="146"/>
      <c r="AG914" s="146"/>
    </row>
    <row r="915" spans="1:33" ht="12.75">
      <c r="A915" s="148"/>
      <c r="B915" s="146"/>
      <c r="C915" s="146"/>
      <c r="D915" s="146"/>
      <c r="E915" s="146"/>
      <c r="F915" s="146"/>
      <c r="G915" s="146"/>
      <c r="H915" s="146"/>
      <c r="I915" s="146"/>
      <c r="J915" s="146"/>
      <c r="K915" s="146"/>
      <c r="L915" s="146"/>
      <c r="M915" s="146"/>
      <c r="N915" s="146"/>
      <c r="O915" s="146"/>
      <c r="P915" s="146"/>
      <c r="Q915" s="146"/>
      <c r="R915" s="146"/>
      <c r="S915" s="146"/>
      <c r="T915" s="146"/>
      <c r="U915" s="146"/>
      <c r="V915" s="146"/>
      <c r="W915" s="146"/>
      <c r="X915" s="146"/>
      <c r="Y915" s="146"/>
      <c r="Z915" s="146"/>
      <c r="AA915" s="146"/>
      <c r="AB915" s="146"/>
      <c r="AC915" s="146"/>
      <c r="AD915" s="146"/>
      <c r="AE915" s="146"/>
      <c r="AF915" s="146"/>
      <c r="AG915" s="146"/>
    </row>
    <row r="916" spans="1:33" ht="12.75">
      <c r="A916" s="148"/>
      <c r="B916" s="146"/>
      <c r="C916" s="146"/>
      <c r="D916" s="146"/>
      <c r="E916" s="146"/>
      <c r="F916" s="146"/>
      <c r="G916" s="146"/>
      <c r="H916" s="146"/>
      <c r="I916" s="146"/>
      <c r="J916" s="146"/>
      <c r="K916" s="146"/>
      <c r="L916" s="146"/>
      <c r="M916" s="146"/>
      <c r="N916" s="146"/>
      <c r="O916" s="146"/>
      <c r="P916" s="146"/>
      <c r="Q916" s="146"/>
      <c r="R916" s="146"/>
      <c r="S916" s="146"/>
      <c r="T916" s="146"/>
      <c r="U916" s="146"/>
      <c r="V916" s="146"/>
      <c r="W916" s="146"/>
      <c r="X916" s="146"/>
      <c r="Y916" s="146"/>
      <c r="Z916" s="146"/>
      <c r="AA916" s="146"/>
      <c r="AB916" s="146"/>
      <c r="AC916" s="146"/>
      <c r="AD916" s="146"/>
      <c r="AE916" s="146"/>
      <c r="AF916" s="146"/>
      <c r="AG916" s="146"/>
    </row>
    <row r="917" spans="1:33" ht="12.75">
      <c r="A917" s="148"/>
      <c r="B917" s="146"/>
      <c r="C917" s="146"/>
      <c r="D917" s="146"/>
      <c r="E917" s="146"/>
      <c r="F917" s="146"/>
      <c r="G917" s="146"/>
      <c r="H917" s="146"/>
      <c r="I917" s="146"/>
      <c r="J917" s="146"/>
      <c r="K917" s="146"/>
      <c r="L917" s="146"/>
      <c r="M917" s="146"/>
      <c r="N917" s="146"/>
      <c r="O917" s="146"/>
      <c r="P917" s="146"/>
      <c r="Q917" s="146"/>
      <c r="R917" s="146"/>
      <c r="S917" s="146"/>
      <c r="T917" s="146"/>
      <c r="U917" s="146"/>
      <c r="V917" s="146"/>
      <c r="W917" s="146"/>
      <c r="X917" s="146"/>
      <c r="Y917" s="146"/>
      <c r="Z917" s="146"/>
      <c r="AA917" s="146"/>
      <c r="AB917" s="146"/>
      <c r="AC917" s="146"/>
      <c r="AD917" s="146"/>
      <c r="AE917" s="146"/>
      <c r="AF917" s="146"/>
      <c r="AG917" s="146"/>
    </row>
    <row r="918" spans="1:33" ht="12.75">
      <c r="A918" s="148"/>
      <c r="B918" s="146"/>
      <c r="C918" s="146"/>
      <c r="D918" s="146"/>
      <c r="E918" s="146"/>
      <c r="F918" s="146"/>
      <c r="G918" s="146"/>
      <c r="H918" s="146"/>
      <c r="I918" s="146"/>
      <c r="J918" s="146"/>
      <c r="K918" s="146"/>
      <c r="L918" s="146"/>
      <c r="M918" s="146"/>
      <c r="N918" s="146"/>
      <c r="O918" s="146"/>
      <c r="P918" s="146"/>
      <c r="Q918" s="146"/>
      <c r="R918" s="146"/>
      <c r="S918" s="146"/>
      <c r="T918" s="146"/>
      <c r="U918" s="146"/>
      <c r="V918" s="146"/>
      <c r="W918" s="146"/>
      <c r="X918" s="146"/>
      <c r="Y918" s="146"/>
      <c r="Z918" s="146"/>
      <c r="AA918" s="146"/>
      <c r="AB918" s="146"/>
      <c r="AC918" s="146"/>
      <c r="AD918" s="146"/>
      <c r="AE918" s="146"/>
      <c r="AF918" s="146"/>
      <c r="AG918" s="146"/>
    </row>
    <row r="919" spans="1:33" ht="12.75">
      <c r="A919" s="148"/>
      <c r="B919" s="146"/>
      <c r="C919" s="146"/>
      <c r="D919" s="146"/>
      <c r="E919" s="146"/>
      <c r="F919" s="146"/>
      <c r="G919" s="146"/>
      <c r="H919" s="146"/>
      <c r="I919" s="146"/>
      <c r="J919" s="146"/>
      <c r="K919" s="146"/>
      <c r="L919" s="146"/>
      <c r="M919" s="146"/>
      <c r="N919" s="146"/>
      <c r="O919" s="146"/>
      <c r="P919" s="146"/>
      <c r="Q919" s="146"/>
      <c r="R919" s="146"/>
      <c r="S919" s="146"/>
      <c r="T919" s="146"/>
      <c r="U919" s="146"/>
      <c r="V919" s="146"/>
      <c r="W919" s="146"/>
      <c r="X919" s="146"/>
      <c r="Y919" s="146"/>
      <c r="Z919" s="146"/>
      <c r="AA919" s="146"/>
      <c r="AB919" s="146"/>
      <c r="AC919" s="146"/>
      <c r="AD919" s="146"/>
      <c r="AE919" s="146"/>
      <c r="AF919" s="146"/>
      <c r="AG919" s="146"/>
    </row>
    <row r="920" spans="1:33" ht="12.75">
      <c r="A920" s="148"/>
      <c r="B920" s="146"/>
      <c r="C920" s="146"/>
      <c r="D920" s="146"/>
      <c r="E920" s="146"/>
      <c r="F920" s="146"/>
      <c r="G920" s="146"/>
      <c r="H920" s="146"/>
      <c r="I920" s="146"/>
      <c r="J920" s="146"/>
      <c r="K920" s="146"/>
      <c r="L920" s="146"/>
      <c r="M920" s="146"/>
      <c r="N920" s="146"/>
      <c r="O920" s="146"/>
      <c r="P920" s="146"/>
      <c r="Q920" s="146"/>
      <c r="R920" s="146"/>
      <c r="S920" s="146"/>
      <c r="T920" s="146"/>
      <c r="U920" s="146"/>
      <c r="V920" s="146"/>
      <c r="W920" s="146"/>
      <c r="X920" s="146"/>
      <c r="Y920" s="146"/>
      <c r="Z920" s="146"/>
      <c r="AA920" s="146"/>
      <c r="AB920" s="146"/>
      <c r="AC920" s="146"/>
      <c r="AD920" s="146"/>
      <c r="AE920" s="146"/>
      <c r="AF920" s="146"/>
      <c r="AG920" s="146"/>
    </row>
    <row r="921" spans="1:33" ht="12.75">
      <c r="A921" s="148"/>
      <c r="B921" s="146"/>
      <c r="C921" s="146"/>
      <c r="D921" s="146"/>
      <c r="E921" s="146"/>
      <c r="F921" s="146"/>
      <c r="G921" s="146"/>
      <c r="H921" s="146"/>
      <c r="I921" s="146"/>
      <c r="J921" s="146"/>
      <c r="K921" s="146"/>
      <c r="L921" s="146"/>
      <c r="M921" s="146"/>
      <c r="N921" s="146"/>
      <c r="O921" s="146"/>
      <c r="P921" s="146"/>
      <c r="Q921" s="146"/>
      <c r="R921" s="146"/>
      <c r="S921" s="146"/>
      <c r="T921" s="146"/>
      <c r="U921" s="146"/>
      <c r="V921" s="146"/>
      <c r="W921" s="146"/>
      <c r="X921" s="146"/>
      <c r="Y921" s="146"/>
      <c r="Z921" s="146"/>
      <c r="AA921" s="146"/>
      <c r="AB921" s="146"/>
      <c r="AC921" s="146"/>
      <c r="AD921" s="146"/>
      <c r="AE921" s="146"/>
      <c r="AF921" s="146"/>
      <c r="AG921" s="146"/>
    </row>
    <row r="922" spans="1:33" ht="12.75">
      <c r="A922" s="148"/>
      <c r="B922" s="146"/>
      <c r="C922" s="146"/>
      <c r="D922" s="146"/>
      <c r="E922" s="146"/>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c r="AB922" s="146"/>
      <c r="AC922" s="146"/>
      <c r="AD922" s="146"/>
      <c r="AE922" s="146"/>
      <c r="AF922" s="146"/>
      <c r="AG922" s="146"/>
    </row>
    <row r="923" spans="1:33" ht="12.75">
      <c r="A923" s="148"/>
      <c r="B923" s="146"/>
      <c r="C923" s="146"/>
      <c r="D923" s="146"/>
      <c r="E923" s="146"/>
      <c r="F923" s="146"/>
      <c r="G923" s="146"/>
      <c r="H923" s="146"/>
      <c r="I923" s="146"/>
      <c r="J923" s="146"/>
      <c r="K923" s="146"/>
      <c r="L923" s="146"/>
      <c r="M923" s="146"/>
      <c r="N923" s="146"/>
      <c r="O923" s="146"/>
      <c r="P923" s="146"/>
      <c r="Q923" s="146"/>
      <c r="R923" s="146"/>
      <c r="S923" s="146"/>
      <c r="T923" s="146"/>
      <c r="U923" s="146"/>
      <c r="V923" s="146"/>
      <c r="W923" s="146"/>
      <c r="X923" s="146"/>
      <c r="Y923" s="146"/>
      <c r="Z923" s="146"/>
      <c r="AA923" s="146"/>
      <c r="AB923" s="146"/>
      <c r="AC923" s="146"/>
      <c r="AD923" s="146"/>
      <c r="AE923" s="146"/>
      <c r="AF923" s="146"/>
      <c r="AG923" s="146"/>
    </row>
    <row r="924" spans="1:33" ht="12.75">
      <c r="A924" s="148"/>
      <c r="B924" s="146"/>
      <c r="C924" s="146"/>
      <c r="D924" s="146"/>
      <c r="E924" s="146"/>
      <c r="F924" s="146"/>
      <c r="G924" s="146"/>
      <c r="H924" s="146"/>
      <c r="I924" s="146"/>
      <c r="J924" s="146"/>
      <c r="K924" s="146"/>
      <c r="L924" s="146"/>
      <c r="M924" s="146"/>
      <c r="N924" s="146"/>
      <c r="O924" s="146"/>
      <c r="P924" s="146"/>
      <c r="Q924" s="146"/>
      <c r="R924" s="146"/>
      <c r="S924" s="146"/>
      <c r="T924" s="146"/>
      <c r="U924" s="146"/>
      <c r="V924" s="146"/>
      <c r="W924" s="146"/>
      <c r="X924" s="146"/>
      <c r="Y924" s="146"/>
      <c r="Z924" s="146"/>
      <c r="AA924" s="146"/>
      <c r="AB924" s="146"/>
      <c r="AC924" s="146"/>
      <c r="AD924" s="146"/>
      <c r="AE924" s="146"/>
      <c r="AF924" s="146"/>
      <c r="AG924" s="146"/>
    </row>
    <row r="925" spans="1:33" ht="12.75">
      <c r="A925" s="148"/>
      <c r="B925" s="146"/>
      <c r="C925" s="146"/>
      <c r="D925" s="146"/>
      <c r="E925" s="146"/>
      <c r="F925" s="146"/>
      <c r="G925" s="146"/>
      <c r="H925" s="146"/>
      <c r="I925" s="146"/>
      <c r="J925" s="146"/>
      <c r="K925" s="146"/>
      <c r="L925" s="146"/>
      <c r="M925" s="146"/>
      <c r="N925" s="146"/>
      <c r="O925" s="146"/>
      <c r="P925" s="146"/>
      <c r="Q925" s="146"/>
      <c r="R925" s="146"/>
      <c r="S925" s="146"/>
      <c r="T925" s="146"/>
      <c r="U925" s="146"/>
      <c r="V925" s="146"/>
      <c r="W925" s="146"/>
      <c r="X925" s="146"/>
      <c r="Y925" s="146"/>
      <c r="Z925" s="146"/>
      <c r="AA925" s="146"/>
      <c r="AB925" s="146"/>
      <c r="AC925" s="146"/>
      <c r="AD925" s="146"/>
      <c r="AE925" s="146"/>
      <c r="AF925" s="146"/>
      <c r="AG925" s="146"/>
    </row>
    <row r="926" spans="1:33" ht="12.75">
      <c r="A926" s="148"/>
      <c r="B926" s="146"/>
      <c r="C926" s="146"/>
      <c r="D926" s="146"/>
      <c r="E926" s="146"/>
      <c r="F926" s="146"/>
      <c r="G926" s="146"/>
      <c r="H926" s="146"/>
      <c r="I926" s="146"/>
      <c r="J926" s="146"/>
      <c r="K926" s="146"/>
      <c r="L926" s="146"/>
      <c r="M926" s="146"/>
      <c r="N926" s="146"/>
      <c r="O926" s="146"/>
      <c r="P926" s="146"/>
      <c r="Q926" s="146"/>
      <c r="R926" s="146"/>
      <c r="S926" s="146"/>
      <c r="T926" s="146"/>
      <c r="U926" s="146"/>
      <c r="V926" s="146"/>
      <c r="W926" s="146"/>
      <c r="X926" s="146"/>
      <c r="Y926" s="146"/>
      <c r="Z926" s="146"/>
      <c r="AA926" s="146"/>
      <c r="AB926" s="146"/>
      <c r="AC926" s="146"/>
      <c r="AD926" s="146"/>
      <c r="AE926" s="146"/>
      <c r="AF926" s="146"/>
      <c r="AG926" s="146"/>
    </row>
    <row r="927" spans="1:33" ht="12.75">
      <c r="A927" s="148"/>
      <c r="B927" s="146"/>
      <c r="C927" s="146"/>
      <c r="D927" s="146"/>
      <c r="E927" s="146"/>
      <c r="F927" s="146"/>
      <c r="G927" s="146"/>
      <c r="H927" s="146"/>
      <c r="I927" s="146"/>
      <c r="J927" s="146"/>
      <c r="K927" s="146"/>
      <c r="L927" s="146"/>
      <c r="M927" s="146"/>
      <c r="N927" s="146"/>
      <c r="O927" s="146"/>
      <c r="P927" s="146"/>
      <c r="Q927" s="146"/>
      <c r="R927" s="146"/>
      <c r="S927" s="146"/>
      <c r="T927" s="146"/>
      <c r="U927" s="146"/>
      <c r="V927" s="146"/>
      <c r="W927" s="146"/>
      <c r="X927" s="146"/>
      <c r="Y927" s="146"/>
      <c r="Z927" s="146"/>
      <c r="AA927" s="146"/>
      <c r="AB927" s="146"/>
      <c r="AC927" s="146"/>
      <c r="AD927" s="146"/>
      <c r="AE927" s="146"/>
      <c r="AF927" s="146"/>
      <c r="AG927" s="146"/>
    </row>
    <row r="928" spans="1:33" ht="12.75">
      <c r="A928" s="148"/>
      <c r="B928" s="146"/>
      <c r="C928" s="146"/>
      <c r="D928" s="146"/>
      <c r="E928" s="146"/>
      <c r="F928" s="146"/>
      <c r="G928" s="146"/>
      <c r="H928" s="146"/>
      <c r="I928" s="146"/>
      <c r="J928" s="146"/>
      <c r="K928" s="146"/>
      <c r="L928" s="146"/>
      <c r="M928" s="146"/>
      <c r="N928" s="146"/>
      <c r="O928" s="146"/>
      <c r="P928" s="146"/>
      <c r="Q928" s="146"/>
      <c r="R928" s="146"/>
      <c r="S928" s="146"/>
      <c r="T928" s="146"/>
      <c r="U928" s="146"/>
      <c r="V928" s="146"/>
      <c r="W928" s="146"/>
      <c r="X928" s="146"/>
      <c r="Y928" s="146"/>
      <c r="Z928" s="146"/>
      <c r="AA928" s="146"/>
      <c r="AB928" s="146"/>
      <c r="AC928" s="146"/>
      <c r="AD928" s="146"/>
      <c r="AE928" s="146"/>
      <c r="AF928" s="146"/>
      <c r="AG928" s="146"/>
    </row>
    <row r="929" spans="1:33" ht="12.75">
      <c r="A929" s="148"/>
      <c r="B929" s="146"/>
      <c r="C929" s="146"/>
      <c r="D929" s="146"/>
      <c r="E929" s="146"/>
      <c r="F929" s="146"/>
      <c r="G929" s="146"/>
      <c r="H929" s="146"/>
      <c r="I929" s="146"/>
      <c r="J929" s="146"/>
      <c r="K929" s="146"/>
      <c r="L929" s="146"/>
      <c r="M929" s="146"/>
      <c r="N929" s="146"/>
      <c r="O929" s="146"/>
      <c r="P929" s="146"/>
      <c r="Q929" s="146"/>
      <c r="R929" s="146"/>
      <c r="S929" s="146"/>
      <c r="T929" s="146"/>
      <c r="U929" s="146"/>
      <c r="V929" s="146"/>
      <c r="W929" s="146"/>
      <c r="X929" s="146"/>
      <c r="Y929" s="146"/>
      <c r="Z929" s="146"/>
      <c r="AA929" s="146"/>
      <c r="AB929" s="146"/>
      <c r="AC929" s="146"/>
      <c r="AD929" s="146"/>
      <c r="AE929" s="146"/>
      <c r="AF929" s="146"/>
      <c r="AG929" s="146"/>
    </row>
    <row r="930" spans="1:33" ht="12.75">
      <c r="A930" s="148"/>
      <c r="B930" s="146"/>
      <c r="C930" s="146"/>
      <c r="D930" s="146"/>
      <c r="E930" s="146"/>
      <c r="F930" s="146"/>
      <c r="G930" s="146"/>
      <c r="H930" s="146"/>
      <c r="I930" s="146"/>
      <c r="J930" s="146"/>
      <c r="K930" s="146"/>
      <c r="L930" s="146"/>
      <c r="M930" s="146"/>
      <c r="N930" s="146"/>
      <c r="O930" s="146"/>
      <c r="P930" s="146"/>
      <c r="Q930" s="146"/>
      <c r="R930" s="146"/>
      <c r="S930" s="146"/>
      <c r="T930" s="146"/>
      <c r="U930" s="146"/>
      <c r="V930" s="146"/>
      <c r="W930" s="146"/>
      <c r="X930" s="146"/>
      <c r="Y930" s="146"/>
      <c r="Z930" s="146"/>
      <c r="AA930" s="146"/>
      <c r="AB930" s="146"/>
      <c r="AC930" s="146"/>
      <c r="AD930" s="146"/>
      <c r="AE930" s="146"/>
      <c r="AF930" s="146"/>
      <c r="AG930" s="146"/>
    </row>
    <row r="931" spans="1:33" ht="12.75">
      <c r="A931" s="148"/>
      <c r="B931" s="146"/>
      <c r="C931" s="146"/>
      <c r="D931" s="146"/>
      <c r="E931" s="146"/>
      <c r="F931" s="146"/>
      <c r="G931" s="146"/>
      <c r="H931" s="146"/>
      <c r="I931" s="146"/>
      <c r="J931" s="146"/>
      <c r="K931" s="146"/>
      <c r="L931" s="146"/>
      <c r="M931" s="146"/>
      <c r="N931" s="146"/>
      <c r="O931" s="146"/>
      <c r="P931" s="146"/>
      <c r="Q931" s="146"/>
      <c r="R931" s="146"/>
      <c r="S931" s="146"/>
      <c r="T931" s="146"/>
      <c r="U931" s="146"/>
      <c r="V931" s="146"/>
      <c r="W931" s="146"/>
      <c r="X931" s="146"/>
      <c r="Y931" s="146"/>
      <c r="Z931" s="146"/>
      <c r="AA931" s="146"/>
      <c r="AB931" s="146"/>
      <c r="AC931" s="146"/>
      <c r="AD931" s="146"/>
      <c r="AE931" s="146"/>
      <c r="AF931" s="146"/>
      <c r="AG931" s="146"/>
    </row>
    <row r="932" spans="1:33" ht="12.75">
      <c r="A932" s="148"/>
      <c r="B932" s="146"/>
      <c r="C932" s="146"/>
      <c r="D932" s="146"/>
      <c r="E932" s="146"/>
      <c r="F932" s="146"/>
      <c r="G932" s="146"/>
      <c r="H932" s="146"/>
      <c r="I932" s="146"/>
      <c r="J932" s="146"/>
      <c r="K932" s="146"/>
      <c r="L932" s="146"/>
      <c r="M932" s="146"/>
      <c r="N932" s="146"/>
      <c r="O932" s="146"/>
      <c r="P932" s="146"/>
      <c r="Q932" s="146"/>
      <c r="R932" s="146"/>
      <c r="S932" s="146"/>
      <c r="T932" s="146"/>
      <c r="U932" s="146"/>
      <c r="V932" s="146"/>
      <c r="W932" s="146"/>
      <c r="X932" s="146"/>
      <c r="Y932" s="146"/>
      <c r="Z932" s="146"/>
      <c r="AA932" s="146"/>
      <c r="AB932" s="146"/>
      <c r="AC932" s="146"/>
      <c r="AD932" s="146"/>
      <c r="AE932" s="146"/>
      <c r="AF932" s="146"/>
      <c r="AG932" s="146"/>
    </row>
    <row r="933" spans="1:33" ht="12.75">
      <c r="A933" s="148"/>
      <c r="B933" s="146"/>
      <c r="C933" s="146"/>
      <c r="D933" s="146"/>
      <c r="E933" s="146"/>
      <c r="F933" s="146"/>
      <c r="G933" s="146"/>
      <c r="H933" s="146"/>
      <c r="I933" s="146"/>
      <c r="J933" s="146"/>
      <c r="K933" s="146"/>
      <c r="L933" s="146"/>
      <c r="M933" s="146"/>
      <c r="N933" s="146"/>
      <c r="O933" s="146"/>
      <c r="P933" s="146"/>
      <c r="Q933" s="146"/>
      <c r="R933" s="146"/>
      <c r="S933" s="146"/>
      <c r="T933" s="146"/>
      <c r="U933" s="146"/>
      <c r="V933" s="146"/>
      <c r="W933" s="146"/>
      <c r="X933" s="146"/>
      <c r="Y933" s="146"/>
      <c r="Z933" s="146"/>
      <c r="AA933" s="146"/>
      <c r="AB933" s="146"/>
      <c r="AC933" s="146"/>
      <c r="AD933" s="146"/>
      <c r="AE933" s="146"/>
      <c r="AF933" s="146"/>
      <c r="AG933" s="146"/>
    </row>
    <row r="934" spans="1:33" ht="12.75">
      <c r="A934" s="148"/>
      <c r="B934" s="146"/>
      <c r="C934" s="146"/>
      <c r="D934" s="146"/>
      <c r="E934" s="146"/>
      <c r="F934" s="146"/>
      <c r="G934" s="146"/>
      <c r="H934" s="146"/>
      <c r="I934" s="146"/>
      <c r="J934" s="146"/>
      <c r="K934" s="146"/>
      <c r="L934" s="146"/>
      <c r="M934" s="146"/>
      <c r="N934" s="146"/>
      <c r="O934" s="146"/>
      <c r="P934" s="146"/>
      <c r="Q934" s="146"/>
      <c r="R934" s="146"/>
      <c r="S934" s="146"/>
      <c r="T934" s="146"/>
      <c r="U934" s="146"/>
      <c r="V934" s="146"/>
      <c r="W934" s="146"/>
      <c r="X934" s="146"/>
      <c r="Y934" s="146"/>
      <c r="Z934" s="146"/>
      <c r="AA934" s="146"/>
      <c r="AB934" s="146"/>
      <c r="AC934" s="146"/>
      <c r="AD934" s="146"/>
      <c r="AE934" s="146"/>
      <c r="AF934" s="146"/>
      <c r="AG934" s="146"/>
    </row>
    <row r="935" spans="1:33" ht="12.75">
      <c r="A935" s="148"/>
      <c r="B935" s="146"/>
      <c r="C935" s="146"/>
      <c r="D935" s="146"/>
      <c r="E935" s="146"/>
      <c r="F935" s="146"/>
      <c r="G935" s="146"/>
      <c r="H935" s="146"/>
      <c r="I935" s="146"/>
      <c r="J935" s="146"/>
      <c r="K935" s="146"/>
      <c r="L935" s="146"/>
      <c r="M935" s="146"/>
      <c r="N935" s="146"/>
      <c r="O935" s="146"/>
      <c r="P935" s="146"/>
      <c r="Q935" s="146"/>
      <c r="R935" s="146"/>
      <c r="S935" s="146"/>
      <c r="T935" s="146"/>
      <c r="U935" s="146"/>
      <c r="V935" s="146"/>
      <c r="W935" s="146"/>
      <c r="X935" s="146"/>
      <c r="Y935" s="146"/>
      <c r="Z935" s="146"/>
      <c r="AA935" s="146"/>
      <c r="AB935" s="146"/>
      <c r="AC935" s="146"/>
      <c r="AD935" s="146"/>
      <c r="AE935" s="146"/>
      <c r="AF935" s="146"/>
      <c r="AG935" s="146"/>
    </row>
    <row r="936" spans="1:33" ht="12.75">
      <c r="A936" s="148"/>
      <c r="B936" s="146"/>
      <c r="C936" s="146"/>
      <c r="D936" s="146"/>
      <c r="E936" s="146"/>
      <c r="F936" s="146"/>
      <c r="G936" s="146"/>
      <c r="H936" s="146"/>
      <c r="I936" s="146"/>
      <c r="J936" s="146"/>
      <c r="K936" s="146"/>
      <c r="L936" s="146"/>
      <c r="M936" s="146"/>
      <c r="N936" s="146"/>
      <c r="O936" s="146"/>
      <c r="P936" s="146"/>
      <c r="Q936" s="146"/>
      <c r="R936" s="146"/>
      <c r="S936" s="146"/>
      <c r="T936" s="146"/>
      <c r="U936" s="146"/>
      <c r="V936" s="146"/>
      <c r="W936" s="146"/>
      <c r="X936" s="146"/>
      <c r="Y936" s="146"/>
      <c r="Z936" s="146"/>
      <c r="AA936" s="146"/>
      <c r="AB936" s="146"/>
      <c r="AC936" s="146"/>
      <c r="AD936" s="146"/>
      <c r="AE936" s="146"/>
      <c r="AF936" s="146"/>
      <c r="AG936" s="146"/>
    </row>
    <row r="937" spans="1:33" ht="12.75">
      <c r="A937" s="148"/>
      <c r="B937" s="146"/>
      <c r="C937" s="146"/>
      <c r="D937" s="146"/>
      <c r="E937" s="146"/>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c r="AB937" s="146"/>
      <c r="AC937" s="146"/>
      <c r="AD937" s="146"/>
      <c r="AE937" s="146"/>
      <c r="AF937" s="146"/>
      <c r="AG937" s="146"/>
    </row>
    <row r="938" spans="1:33" ht="12.75">
      <c r="A938" s="148"/>
      <c r="B938" s="146"/>
      <c r="C938" s="146"/>
      <c r="D938" s="146"/>
      <c r="E938" s="146"/>
      <c r="F938" s="146"/>
      <c r="G938" s="146"/>
      <c r="H938" s="146"/>
      <c r="I938" s="146"/>
      <c r="J938" s="146"/>
      <c r="K938" s="146"/>
      <c r="L938" s="146"/>
      <c r="M938" s="146"/>
      <c r="N938" s="146"/>
      <c r="O938" s="146"/>
      <c r="P938" s="146"/>
      <c r="Q938" s="146"/>
      <c r="R938" s="146"/>
      <c r="S938" s="146"/>
      <c r="T938" s="146"/>
      <c r="U938" s="146"/>
      <c r="V938" s="146"/>
      <c r="W938" s="146"/>
      <c r="X938" s="146"/>
      <c r="Y938" s="146"/>
      <c r="Z938" s="146"/>
      <c r="AA938" s="146"/>
      <c r="AB938" s="146"/>
      <c r="AC938" s="146"/>
      <c r="AD938" s="146"/>
      <c r="AE938" s="146"/>
      <c r="AF938" s="146"/>
      <c r="AG938" s="146"/>
    </row>
    <row r="939" spans="1:33" ht="12.75">
      <c r="A939" s="148"/>
      <c r="B939" s="146"/>
      <c r="C939" s="146"/>
      <c r="D939" s="146"/>
      <c r="E939" s="146"/>
      <c r="F939" s="146"/>
      <c r="G939" s="146"/>
      <c r="H939" s="146"/>
      <c r="I939" s="146"/>
      <c r="J939" s="146"/>
      <c r="K939" s="146"/>
      <c r="L939" s="146"/>
      <c r="M939" s="146"/>
      <c r="N939" s="146"/>
      <c r="O939" s="146"/>
      <c r="P939" s="146"/>
      <c r="Q939" s="146"/>
      <c r="R939" s="146"/>
      <c r="S939" s="146"/>
      <c r="T939" s="146"/>
      <c r="U939" s="146"/>
      <c r="V939" s="146"/>
      <c r="W939" s="146"/>
      <c r="X939" s="146"/>
      <c r="Y939" s="146"/>
      <c r="Z939" s="146"/>
      <c r="AA939" s="146"/>
      <c r="AB939" s="146"/>
      <c r="AC939" s="146"/>
      <c r="AD939" s="146"/>
      <c r="AE939" s="146"/>
      <c r="AF939" s="146"/>
      <c r="AG939" s="146"/>
    </row>
    <row r="940" spans="1:33" ht="12.75">
      <c r="A940" s="148"/>
      <c r="B940" s="146"/>
      <c r="C940" s="146"/>
      <c r="D940" s="146"/>
      <c r="E940" s="146"/>
      <c r="F940" s="146"/>
      <c r="G940" s="146"/>
      <c r="H940" s="146"/>
      <c r="I940" s="146"/>
      <c r="J940" s="146"/>
      <c r="K940" s="146"/>
      <c r="L940" s="146"/>
      <c r="M940" s="146"/>
      <c r="N940" s="146"/>
      <c r="O940" s="146"/>
      <c r="P940" s="146"/>
      <c r="Q940" s="146"/>
      <c r="R940" s="146"/>
      <c r="S940" s="146"/>
      <c r="T940" s="146"/>
      <c r="U940" s="146"/>
      <c r="V940" s="146"/>
      <c r="W940" s="146"/>
      <c r="X940" s="146"/>
      <c r="Y940" s="146"/>
      <c r="Z940" s="146"/>
      <c r="AA940" s="146"/>
      <c r="AB940" s="146"/>
      <c r="AC940" s="146"/>
      <c r="AD940" s="146"/>
      <c r="AE940" s="146"/>
      <c r="AF940" s="146"/>
      <c r="AG940" s="146"/>
    </row>
    <row r="941" spans="1:33" ht="12.75">
      <c r="A941" s="148"/>
      <c r="B941" s="146"/>
      <c r="C941" s="146"/>
      <c r="D941" s="146"/>
      <c r="E941" s="146"/>
      <c r="F941" s="146"/>
      <c r="G941" s="146"/>
      <c r="H941" s="146"/>
      <c r="I941" s="146"/>
      <c r="J941" s="146"/>
      <c r="K941" s="146"/>
      <c r="L941" s="146"/>
      <c r="M941" s="146"/>
      <c r="N941" s="146"/>
      <c r="O941" s="146"/>
      <c r="P941" s="146"/>
      <c r="Q941" s="146"/>
      <c r="R941" s="146"/>
      <c r="S941" s="146"/>
      <c r="T941" s="146"/>
      <c r="U941" s="146"/>
      <c r="V941" s="146"/>
      <c r="W941" s="146"/>
      <c r="X941" s="146"/>
      <c r="Y941" s="146"/>
      <c r="Z941" s="146"/>
      <c r="AA941" s="146"/>
      <c r="AB941" s="146"/>
      <c r="AC941" s="146"/>
      <c r="AD941" s="146"/>
      <c r="AE941" s="146"/>
      <c r="AF941" s="146"/>
      <c r="AG941" s="146"/>
    </row>
    <row r="942" spans="1:33" ht="12.75">
      <c r="A942" s="148"/>
      <c r="B942" s="146"/>
      <c r="C942" s="146"/>
      <c r="D942" s="146"/>
      <c r="E942" s="146"/>
      <c r="F942" s="146"/>
      <c r="G942" s="146"/>
      <c r="H942" s="146"/>
      <c r="I942" s="146"/>
      <c r="J942" s="146"/>
      <c r="K942" s="146"/>
      <c r="L942" s="146"/>
      <c r="M942" s="146"/>
      <c r="N942" s="146"/>
      <c r="O942" s="146"/>
      <c r="P942" s="146"/>
      <c r="Q942" s="146"/>
      <c r="R942" s="146"/>
      <c r="S942" s="146"/>
      <c r="T942" s="146"/>
      <c r="U942" s="146"/>
      <c r="V942" s="146"/>
      <c r="W942" s="146"/>
      <c r="X942" s="146"/>
      <c r="Y942" s="146"/>
      <c r="Z942" s="146"/>
      <c r="AA942" s="146"/>
      <c r="AB942" s="146"/>
      <c r="AC942" s="146"/>
      <c r="AD942" s="146"/>
      <c r="AE942" s="146"/>
      <c r="AF942" s="146"/>
      <c r="AG942" s="146"/>
    </row>
    <row r="943" spans="1:33" ht="12.75">
      <c r="A943" s="148"/>
      <c r="B943" s="146"/>
      <c r="C943" s="146"/>
      <c r="D943" s="146"/>
      <c r="E943" s="146"/>
      <c r="F943" s="146"/>
      <c r="G943" s="146"/>
      <c r="H943" s="146"/>
      <c r="I943" s="146"/>
      <c r="J943" s="146"/>
      <c r="K943" s="146"/>
      <c r="L943" s="146"/>
      <c r="M943" s="146"/>
      <c r="N943" s="146"/>
      <c r="O943" s="146"/>
      <c r="P943" s="146"/>
      <c r="Q943" s="146"/>
      <c r="R943" s="146"/>
      <c r="S943" s="146"/>
      <c r="T943" s="146"/>
      <c r="U943" s="146"/>
      <c r="V943" s="146"/>
      <c r="W943" s="146"/>
      <c r="X943" s="146"/>
      <c r="Y943" s="146"/>
      <c r="Z943" s="146"/>
      <c r="AA943" s="146"/>
      <c r="AB943" s="146"/>
      <c r="AC943" s="146"/>
      <c r="AD943" s="146"/>
      <c r="AE943" s="146"/>
      <c r="AF943" s="146"/>
      <c r="AG943" s="146"/>
    </row>
    <row r="944" spans="1:33" ht="12.75">
      <c r="A944" s="148"/>
      <c r="B944" s="146"/>
      <c r="C944" s="146"/>
      <c r="D944" s="146"/>
      <c r="E944" s="146"/>
      <c r="F944" s="146"/>
      <c r="G944" s="146"/>
      <c r="H944" s="146"/>
      <c r="I944" s="146"/>
      <c r="J944" s="146"/>
      <c r="K944" s="146"/>
      <c r="L944" s="146"/>
      <c r="M944" s="146"/>
      <c r="N944" s="146"/>
      <c r="O944" s="146"/>
      <c r="P944" s="146"/>
      <c r="Q944" s="146"/>
      <c r="R944" s="146"/>
      <c r="S944" s="146"/>
      <c r="T944" s="146"/>
      <c r="U944" s="146"/>
      <c r="V944" s="146"/>
      <c r="W944" s="146"/>
      <c r="X944" s="146"/>
      <c r="Y944" s="146"/>
      <c r="Z944" s="146"/>
      <c r="AA944" s="146"/>
      <c r="AB944" s="146"/>
      <c r="AC944" s="146"/>
      <c r="AD944" s="146"/>
      <c r="AE944" s="146"/>
      <c r="AF944" s="146"/>
      <c r="AG944" s="146"/>
    </row>
    <row r="945" spans="1:33" ht="12.75">
      <c r="A945" s="148"/>
      <c r="B945" s="146"/>
      <c r="C945" s="146"/>
      <c r="D945" s="146"/>
      <c r="E945" s="146"/>
      <c r="F945" s="146"/>
      <c r="G945" s="146"/>
      <c r="H945" s="146"/>
      <c r="I945" s="146"/>
      <c r="J945" s="146"/>
      <c r="K945" s="146"/>
      <c r="L945" s="146"/>
      <c r="M945" s="146"/>
      <c r="N945" s="146"/>
      <c r="O945" s="146"/>
      <c r="P945" s="146"/>
      <c r="Q945" s="146"/>
      <c r="R945" s="146"/>
      <c r="S945" s="146"/>
      <c r="T945" s="146"/>
      <c r="U945" s="146"/>
      <c r="V945" s="146"/>
      <c r="W945" s="146"/>
      <c r="X945" s="146"/>
      <c r="Y945" s="146"/>
      <c r="Z945" s="146"/>
      <c r="AA945" s="146"/>
      <c r="AB945" s="146"/>
      <c r="AC945" s="146"/>
      <c r="AD945" s="146"/>
      <c r="AE945" s="146"/>
      <c r="AF945" s="146"/>
      <c r="AG945" s="146"/>
    </row>
    <row r="946" spans="1:33" ht="12.75">
      <c r="A946" s="148"/>
      <c r="B946" s="146"/>
      <c r="C946" s="146"/>
      <c r="D946" s="146"/>
      <c r="E946" s="146"/>
      <c r="F946" s="146"/>
      <c r="G946" s="146"/>
      <c r="H946" s="146"/>
      <c r="I946" s="146"/>
      <c r="J946" s="146"/>
      <c r="K946" s="146"/>
      <c r="L946" s="146"/>
      <c r="M946" s="146"/>
      <c r="N946" s="146"/>
      <c r="O946" s="146"/>
      <c r="P946" s="146"/>
      <c r="Q946" s="146"/>
      <c r="R946" s="146"/>
      <c r="S946" s="146"/>
      <c r="T946" s="146"/>
      <c r="U946" s="146"/>
      <c r="V946" s="146"/>
      <c r="W946" s="146"/>
      <c r="X946" s="146"/>
      <c r="Y946" s="146"/>
      <c r="Z946" s="146"/>
      <c r="AA946" s="146"/>
      <c r="AB946" s="146"/>
      <c r="AC946" s="146"/>
      <c r="AD946" s="146"/>
      <c r="AE946" s="146"/>
      <c r="AF946" s="146"/>
      <c r="AG946" s="146"/>
    </row>
    <row r="947" spans="1:33" ht="12.75">
      <c r="A947" s="148"/>
      <c r="B947" s="146"/>
      <c r="C947" s="146"/>
      <c r="D947" s="146"/>
      <c r="E947" s="146"/>
      <c r="F947" s="146"/>
      <c r="G947" s="146"/>
      <c r="H947" s="146"/>
      <c r="I947" s="146"/>
      <c r="J947" s="146"/>
      <c r="K947" s="146"/>
      <c r="L947" s="146"/>
      <c r="M947" s="146"/>
      <c r="N947" s="146"/>
      <c r="O947" s="146"/>
      <c r="P947" s="146"/>
      <c r="Q947" s="146"/>
      <c r="R947" s="146"/>
      <c r="S947" s="146"/>
      <c r="T947" s="146"/>
      <c r="U947" s="146"/>
      <c r="V947" s="146"/>
      <c r="W947" s="146"/>
      <c r="X947" s="146"/>
      <c r="Y947" s="146"/>
      <c r="Z947" s="146"/>
      <c r="AA947" s="146"/>
      <c r="AB947" s="146"/>
      <c r="AC947" s="146"/>
      <c r="AD947" s="146"/>
      <c r="AE947" s="146"/>
      <c r="AF947" s="146"/>
      <c r="AG947" s="146"/>
    </row>
    <row r="948" spans="1:33" ht="12.75">
      <c r="A948" s="148"/>
      <c r="B948" s="146"/>
      <c r="C948" s="146"/>
      <c r="D948" s="146"/>
      <c r="E948" s="146"/>
      <c r="F948" s="146"/>
      <c r="G948" s="146"/>
      <c r="H948" s="146"/>
      <c r="I948" s="146"/>
      <c r="J948" s="146"/>
      <c r="K948" s="146"/>
      <c r="L948" s="146"/>
      <c r="M948" s="146"/>
      <c r="N948" s="146"/>
      <c r="O948" s="146"/>
      <c r="P948" s="146"/>
      <c r="Q948" s="146"/>
      <c r="R948" s="146"/>
      <c r="S948" s="146"/>
      <c r="T948" s="146"/>
      <c r="U948" s="146"/>
      <c r="V948" s="146"/>
      <c r="W948" s="146"/>
      <c r="X948" s="146"/>
      <c r="Y948" s="146"/>
      <c r="Z948" s="146"/>
      <c r="AA948" s="146"/>
      <c r="AB948" s="146"/>
      <c r="AC948" s="146"/>
      <c r="AD948" s="146"/>
      <c r="AE948" s="146"/>
      <c r="AF948" s="146"/>
      <c r="AG948" s="146"/>
    </row>
    <row r="949" spans="1:33" ht="12.75">
      <c r="A949" s="148"/>
      <c r="B949" s="146"/>
      <c r="C949" s="146"/>
      <c r="D949" s="146"/>
      <c r="E949" s="146"/>
      <c r="F949" s="146"/>
      <c r="G949" s="146"/>
      <c r="H949" s="146"/>
      <c r="I949" s="146"/>
      <c r="J949" s="146"/>
      <c r="K949" s="146"/>
      <c r="L949" s="146"/>
      <c r="M949" s="146"/>
      <c r="N949" s="146"/>
      <c r="O949" s="146"/>
      <c r="P949" s="146"/>
      <c r="Q949" s="146"/>
      <c r="R949" s="146"/>
      <c r="S949" s="146"/>
      <c r="T949" s="146"/>
      <c r="U949" s="146"/>
      <c r="V949" s="146"/>
      <c r="W949" s="146"/>
      <c r="X949" s="146"/>
      <c r="Y949" s="146"/>
      <c r="Z949" s="146"/>
      <c r="AA949" s="146"/>
      <c r="AB949" s="146"/>
      <c r="AC949" s="146"/>
      <c r="AD949" s="146"/>
      <c r="AE949" s="146"/>
      <c r="AF949" s="146"/>
      <c r="AG949" s="146"/>
    </row>
    <row r="950" spans="1:33" ht="12.75">
      <c r="A950" s="148"/>
      <c r="B950" s="146"/>
      <c r="C950" s="146"/>
      <c r="D950" s="146"/>
      <c r="E950" s="146"/>
      <c r="F950" s="146"/>
      <c r="G950" s="146"/>
      <c r="H950" s="146"/>
      <c r="I950" s="146"/>
      <c r="J950" s="146"/>
      <c r="K950" s="146"/>
      <c r="L950" s="146"/>
      <c r="M950" s="146"/>
      <c r="N950" s="146"/>
      <c r="O950" s="146"/>
      <c r="P950" s="146"/>
      <c r="Q950" s="146"/>
      <c r="R950" s="146"/>
      <c r="S950" s="146"/>
      <c r="T950" s="146"/>
      <c r="U950" s="146"/>
      <c r="V950" s="146"/>
      <c r="W950" s="146"/>
      <c r="X950" s="146"/>
      <c r="Y950" s="146"/>
      <c r="Z950" s="146"/>
      <c r="AA950" s="146"/>
      <c r="AB950" s="146"/>
      <c r="AC950" s="146"/>
      <c r="AD950" s="146"/>
      <c r="AE950" s="146"/>
      <c r="AF950" s="146"/>
      <c r="AG950" s="146"/>
    </row>
    <row r="951" spans="1:33" ht="12.75">
      <c r="A951" s="148"/>
      <c r="B951" s="146"/>
      <c r="C951" s="146"/>
      <c r="D951" s="146"/>
      <c r="E951" s="146"/>
      <c r="F951" s="146"/>
      <c r="G951" s="146"/>
      <c r="H951" s="146"/>
      <c r="I951" s="146"/>
      <c r="J951" s="146"/>
      <c r="K951" s="146"/>
      <c r="L951" s="146"/>
      <c r="M951" s="146"/>
      <c r="N951" s="146"/>
      <c r="O951" s="146"/>
      <c r="P951" s="146"/>
      <c r="Q951" s="146"/>
      <c r="R951" s="146"/>
      <c r="S951" s="146"/>
      <c r="T951" s="146"/>
      <c r="U951" s="146"/>
      <c r="V951" s="146"/>
      <c r="W951" s="146"/>
      <c r="X951" s="146"/>
      <c r="Y951" s="146"/>
      <c r="Z951" s="146"/>
      <c r="AA951" s="146"/>
      <c r="AB951" s="146"/>
      <c r="AC951" s="146"/>
      <c r="AD951" s="146"/>
      <c r="AE951" s="146"/>
      <c r="AF951" s="146"/>
      <c r="AG951" s="146"/>
    </row>
    <row r="952" spans="1:33" ht="12.75">
      <c r="A952" s="148"/>
      <c r="B952" s="146"/>
      <c r="C952" s="146"/>
      <c r="D952" s="146"/>
      <c r="E952" s="146"/>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c r="AB952" s="146"/>
      <c r="AC952" s="146"/>
      <c r="AD952" s="146"/>
      <c r="AE952" s="146"/>
      <c r="AF952" s="146"/>
      <c r="AG952" s="146"/>
    </row>
    <row r="953" spans="1:33" ht="12.75">
      <c r="A953" s="148"/>
      <c r="B953" s="146"/>
      <c r="C953" s="146"/>
      <c r="D953" s="146"/>
      <c r="E953" s="146"/>
      <c r="F953" s="146"/>
      <c r="G953" s="146"/>
      <c r="H953" s="146"/>
      <c r="I953" s="146"/>
      <c r="J953" s="146"/>
      <c r="K953" s="146"/>
      <c r="L953" s="146"/>
      <c r="M953" s="146"/>
      <c r="N953" s="146"/>
      <c r="O953" s="146"/>
      <c r="P953" s="146"/>
      <c r="Q953" s="146"/>
      <c r="R953" s="146"/>
      <c r="S953" s="146"/>
      <c r="T953" s="146"/>
      <c r="U953" s="146"/>
      <c r="V953" s="146"/>
      <c r="W953" s="146"/>
      <c r="X953" s="146"/>
      <c r="Y953" s="146"/>
      <c r="Z953" s="146"/>
      <c r="AA953" s="146"/>
      <c r="AB953" s="146"/>
      <c r="AC953" s="146"/>
      <c r="AD953" s="146"/>
      <c r="AE953" s="146"/>
      <c r="AF953" s="146"/>
      <c r="AG953" s="146"/>
    </row>
    <row r="954" spans="1:33" ht="12.75">
      <c r="A954" s="148"/>
      <c r="B954" s="146"/>
      <c r="C954" s="146"/>
      <c r="D954" s="146"/>
      <c r="E954" s="146"/>
      <c r="F954" s="146"/>
      <c r="G954" s="146"/>
      <c r="H954" s="146"/>
      <c r="I954" s="146"/>
      <c r="J954" s="146"/>
      <c r="K954" s="146"/>
      <c r="L954" s="146"/>
      <c r="M954" s="146"/>
      <c r="N954" s="146"/>
      <c r="O954" s="146"/>
      <c r="P954" s="146"/>
      <c r="Q954" s="146"/>
      <c r="R954" s="146"/>
      <c r="S954" s="146"/>
      <c r="T954" s="146"/>
      <c r="U954" s="146"/>
      <c r="V954" s="146"/>
      <c r="W954" s="146"/>
      <c r="X954" s="146"/>
      <c r="Y954" s="146"/>
      <c r="Z954" s="146"/>
      <c r="AA954" s="146"/>
      <c r="AB954" s="146"/>
      <c r="AC954" s="146"/>
      <c r="AD954" s="146"/>
      <c r="AE954" s="146"/>
      <c r="AF954" s="146"/>
      <c r="AG954" s="146"/>
    </row>
    <row r="955" spans="1:33" ht="12.75">
      <c r="A955" s="148"/>
      <c r="B955" s="146"/>
      <c r="C955" s="146"/>
      <c r="D955" s="146"/>
      <c r="E955" s="146"/>
      <c r="F955" s="146"/>
      <c r="G955" s="146"/>
      <c r="H955" s="146"/>
      <c r="I955" s="146"/>
      <c r="J955" s="146"/>
      <c r="K955" s="146"/>
      <c r="L955" s="146"/>
      <c r="M955" s="146"/>
      <c r="N955" s="146"/>
      <c r="O955" s="146"/>
      <c r="P955" s="146"/>
      <c r="Q955" s="146"/>
      <c r="R955" s="146"/>
      <c r="S955" s="146"/>
      <c r="T955" s="146"/>
      <c r="U955" s="146"/>
      <c r="V955" s="146"/>
      <c r="W955" s="146"/>
      <c r="X955" s="146"/>
      <c r="Y955" s="146"/>
      <c r="Z955" s="146"/>
      <c r="AA955" s="146"/>
      <c r="AB955" s="146"/>
      <c r="AC955" s="146"/>
      <c r="AD955" s="146"/>
      <c r="AE955" s="146"/>
      <c r="AF955" s="146"/>
      <c r="AG955" s="146"/>
    </row>
    <row r="956" spans="1:33" ht="12.75">
      <c r="A956" s="148"/>
      <c r="B956" s="146"/>
      <c r="C956" s="146"/>
      <c r="D956" s="146"/>
      <c r="E956" s="146"/>
      <c r="F956" s="146"/>
      <c r="G956" s="146"/>
      <c r="H956" s="146"/>
      <c r="I956" s="146"/>
      <c r="J956" s="146"/>
      <c r="K956" s="146"/>
      <c r="L956" s="146"/>
      <c r="M956" s="146"/>
      <c r="N956" s="146"/>
      <c r="O956" s="146"/>
      <c r="P956" s="146"/>
      <c r="Q956" s="146"/>
      <c r="R956" s="146"/>
      <c r="S956" s="146"/>
      <c r="T956" s="146"/>
      <c r="U956" s="146"/>
      <c r="V956" s="146"/>
      <c r="W956" s="146"/>
      <c r="X956" s="146"/>
      <c r="Y956" s="146"/>
      <c r="Z956" s="146"/>
      <c r="AA956" s="146"/>
      <c r="AB956" s="146"/>
      <c r="AC956" s="146"/>
      <c r="AD956" s="146"/>
      <c r="AE956" s="146"/>
      <c r="AF956" s="146"/>
      <c r="AG956" s="146"/>
    </row>
    <row r="957" spans="1:33" ht="12.75">
      <c r="A957" s="148"/>
      <c r="B957" s="146"/>
      <c r="C957" s="146"/>
      <c r="D957" s="146"/>
      <c r="E957" s="146"/>
      <c r="F957" s="146"/>
      <c r="G957" s="146"/>
      <c r="H957" s="146"/>
      <c r="I957" s="146"/>
      <c r="J957" s="146"/>
      <c r="K957" s="146"/>
      <c r="L957" s="146"/>
      <c r="M957" s="146"/>
      <c r="N957" s="146"/>
      <c r="O957" s="146"/>
      <c r="P957" s="146"/>
      <c r="Q957" s="146"/>
      <c r="R957" s="146"/>
      <c r="S957" s="146"/>
      <c r="T957" s="146"/>
      <c r="U957" s="146"/>
      <c r="V957" s="146"/>
      <c r="W957" s="146"/>
      <c r="X957" s="146"/>
      <c r="Y957" s="146"/>
      <c r="Z957" s="146"/>
      <c r="AA957" s="146"/>
      <c r="AB957" s="146"/>
      <c r="AC957" s="146"/>
      <c r="AD957" s="146"/>
      <c r="AE957" s="146"/>
      <c r="AF957" s="146"/>
      <c r="AG957" s="146"/>
    </row>
    <row r="958" spans="1:33" ht="12.75">
      <c r="A958" s="148"/>
      <c r="B958" s="146"/>
      <c r="C958" s="146"/>
      <c r="D958" s="146"/>
      <c r="E958" s="146"/>
      <c r="F958" s="146"/>
      <c r="G958" s="146"/>
      <c r="H958" s="146"/>
      <c r="I958" s="146"/>
      <c r="J958" s="146"/>
      <c r="K958" s="146"/>
      <c r="L958" s="146"/>
      <c r="M958" s="146"/>
      <c r="N958" s="146"/>
      <c r="O958" s="146"/>
      <c r="P958" s="146"/>
      <c r="Q958" s="146"/>
      <c r="R958" s="146"/>
      <c r="S958" s="146"/>
      <c r="T958" s="146"/>
      <c r="U958" s="146"/>
      <c r="V958" s="146"/>
      <c r="W958" s="146"/>
      <c r="X958" s="146"/>
      <c r="Y958" s="146"/>
      <c r="Z958" s="146"/>
      <c r="AA958" s="146"/>
      <c r="AB958" s="146"/>
      <c r="AC958" s="146"/>
      <c r="AD958" s="146"/>
      <c r="AE958" s="146"/>
      <c r="AF958" s="146"/>
      <c r="AG958" s="146"/>
    </row>
    <row r="959" spans="1:33" ht="12.75">
      <c r="A959" s="148"/>
      <c r="B959" s="146"/>
      <c r="C959" s="146"/>
      <c r="D959" s="146"/>
      <c r="E959" s="146"/>
      <c r="F959" s="146"/>
      <c r="G959" s="146"/>
      <c r="H959" s="146"/>
      <c r="I959" s="146"/>
      <c r="J959" s="146"/>
      <c r="K959" s="146"/>
      <c r="L959" s="146"/>
      <c r="M959" s="146"/>
      <c r="N959" s="146"/>
      <c r="O959" s="146"/>
      <c r="P959" s="146"/>
      <c r="Q959" s="146"/>
      <c r="R959" s="146"/>
      <c r="S959" s="146"/>
      <c r="T959" s="146"/>
      <c r="U959" s="146"/>
      <c r="V959" s="146"/>
      <c r="W959" s="146"/>
      <c r="X959" s="146"/>
      <c r="Y959" s="146"/>
      <c r="Z959" s="146"/>
      <c r="AA959" s="146"/>
      <c r="AB959" s="146"/>
      <c r="AC959" s="146"/>
      <c r="AD959" s="146"/>
      <c r="AE959" s="146"/>
      <c r="AF959" s="146"/>
      <c r="AG959" s="146"/>
    </row>
    <row r="960" spans="1:33" ht="12.75">
      <c r="A960" s="148"/>
      <c r="B960" s="146"/>
      <c r="C960" s="146"/>
      <c r="D960" s="146"/>
      <c r="E960" s="146"/>
      <c r="F960" s="146"/>
      <c r="G960" s="146"/>
      <c r="H960" s="146"/>
      <c r="I960" s="146"/>
      <c r="J960" s="146"/>
      <c r="K960" s="146"/>
      <c r="L960" s="146"/>
      <c r="M960" s="146"/>
      <c r="N960" s="146"/>
      <c r="O960" s="146"/>
      <c r="P960" s="146"/>
      <c r="Q960" s="146"/>
      <c r="R960" s="146"/>
      <c r="S960" s="146"/>
      <c r="T960" s="146"/>
      <c r="U960" s="146"/>
      <c r="V960" s="146"/>
      <c r="W960" s="146"/>
      <c r="X960" s="146"/>
      <c r="Y960" s="146"/>
      <c r="Z960" s="146"/>
      <c r="AA960" s="146"/>
      <c r="AB960" s="146"/>
      <c r="AC960" s="146"/>
      <c r="AD960" s="146"/>
      <c r="AE960" s="146"/>
      <c r="AF960" s="146"/>
      <c r="AG960" s="146"/>
    </row>
    <row r="961" spans="1:33" ht="12.75">
      <c r="A961" s="148"/>
      <c r="B961" s="146"/>
      <c r="C961" s="146"/>
      <c r="D961" s="146"/>
      <c r="E961" s="146"/>
      <c r="F961" s="146"/>
      <c r="G961" s="146"/>
      <c r="H961" s="146"/>
      <c r="I961" s="146"/>
      <c r="J961" s="146"/>
      <c r="K961" s="146"/>
      <c r="L961" s="146"/>
      <c r="M961" s="146"/>
      <c r="N961" s="146"/>
      <c r="O961" s="146"/>
      <c r="P961" s="146"/>
      <c r="Q961" s="146"/>
      <c r="R961" s="146"/>
      <c r="S961" s="146"/>
      <c r="T961" s="146"/>
      <c r="U961" s="146"/>
      <c r="V961" s="146"/>
      <c r="W961" s="146"/>
      <c r="X961" s="146"/>
      <c r="Y961" s="146"/>
      <c r="Z961" s="146"/>
      <c r="AA961" s="146"/>
      <c r="AB961" s="146"/>
      <c r="AC961" s="146"/>
      <c r="AD961" s="146"/>
      <c r="AE961" s="146"/>
      <c r="AF961" s="146"/>
      <c r="AG961" s="146"/>
    </row>
    <row r="962" spans="1:33" ht="12.75">
      <c r="A962" s="148"/>
      <c r="B962" s="146"/>
      <c r="C962" s="146"/>
      <c r="D962" s="146"/>
      <c r="E962" s="146"/>
      <c r="F962" s="146"/>
      <c r="G962" s="146"/>
      <c r="H962" s="146"/>
      <c r="I962" s="146"/>
      <c r="J962" s="146"/>
      <c r="K962" s="146"/>
      <c r="L962" s="146"/>
      <c r="M962" s="146"/>
      <c r="N962" s="146"/>
      <c r="O962" s="146"/>
      <c r="P962" s="146"/>
      <c r="Q962" s="146"/>
      <c r="R962" s="146"/>
      <c r="S962" s="146"/>
      <c r="T962" s="146"/>
      <c r="U962" s="146"/>
      <c r="V962" s="146"/>
      <c r="W962" s="146"/>
      <c r="X962" s="146"/>
      <c r="Y962" s="146"/>
      <c r="Z962" s="146"/>
      <c r="AA962" s="146"/>
      <c r="AB962" s="146"/>
      <c r="AC962" s="146"/>
      <c r="AD962" s="146"/>
      <c r="AE962" s="146"/>
      <c r="AF962" s="146"/>
      <c r="AG962" s="146"/>
    </row>
    <row r="963" spans="1:33" ht="12.75">
      <c r="A963" s="148"/>
      <c r="B963" s="146"/>
      <c r="C963" s="146"/>
      <c r="D963" s="146"/>
      <c r="E963" s="146"/>
      <c r="F963" s="146"/>
      <c r="G963" s="146"/>
      <c r="H963" s="146"/>
      <c r="I963" s="146"/>
      <c r="J963" s="146"/>
      <c r="K963" s="146"/>
      <c r="L963" s="146"/>
      <c r="M963" s="146"/>
      <c r="N963" s="146"/>
      <c r="O963" s="146"/>
      <c r="P963" s="146"/>
      <c r="Q963" s="146"/>
      <c r="R963" s="146"/>
      <c r="S963" s="146"/>
      <c r="T963" s="146"/>
      <c r="U963" s="146"/>
      <c r="V963" s="146"/>
      <c r="W963" s="146"/>
      <c r="X963" s="146"/>
      <c r="Y963" s="146"/>
      <c r="Z963" s="146"/>
      <c r="AA963" s="146"/>
      <c r="AB963" s="146"/>
      <c r="AC963" s="146"/>
      <c r="AD963" s="146"/>
      <c r="AE963" s="146"/>
      <c r="AF963" s="146"/>
      <c r="AG963" s="146"/>
    </row>
    <row r="964" spans="1:33" ht="12.75">
      <c r="A964" s="148"/>
      <c r="B964" s="146"/>
      <c r="C964" s="146"/>
      <c r="D964" s="146"/>
      <c r="E964" s="146"/>
      <c r="F964" s="146"/>
      <c r="G964" s="146"/>
      <c r="H964" s="146"/>
      <c r="I964" s="146"/>
      <c r="J964" s="146"/>
      <c r="K964" s="146"/>
      <c r="L964" s="146"/>
      <c r="M964" s="146"/>
      <c r="N964" s="146"/>
      <c r="O964" s="146"/>
      <c r="P964" s="146"/>
      <c r="Q964" s="146"/>
      <c r="R964" s="146"/>
      <c r="S964" s="146"/>
      <c r="T964" s="146"/>
      <c r="U964" s="146"/>
      <c r="V964" s="146"/>
      <c r="W964" s="146"/>
      <c r="X964" s="146"/>
      <c r="Y964" s="146"/>
      <c r="Z964" s="146"/>
      <c r="AA964" s="146"/>
      <c r="AB964" s="146"/>
      <c r="AC964" s="146"/>
      <c r="AD964" s="146"/>
      <c r="AE964" s="146"/>
      <c r="AF964" s="146"/>
      <c r="AG964" s="146"/>
    </row>
    <row r="965" spans="1:33" ht="12.75">
      <c r="A965" s="148"/>
      <c r="B965" s="146"/>
      <c r="C965" s="146"/>
      <c r="D965" s="146"/>
      <c r="E965" s="146"/>
      <c r="F965" s="146"/>
      <c r="G965" s="146"/>
      <c r="H965" s="146"/>
      <c r="I965" s="146"/>
      <c r="J965" s="146"/>
      <c r="K965" s="146"/>
      <c r="L965" s="146"/>
      <c r="M965" s="146"/>
      <c r="N965" s="146"/>
      <c r="O965" s="146"/>
      <c r="P965" s="146"/>
      <c r="Q965" s="146"/>
      <c r="R965" s="146"/>
      <c r="S965" s="146"/>
      <c r="T965" s="146"/>
      <c r="U965" s="146"/>
      <c r="V965" s="146"/>
      <c r="W965" s="146"/>
      <c r="X965" s="146"/>
      <c r="Y965" s="146"/>
      <c r="Z965" s="146"/>
      <c r="AA965" s="146"/>
      <c r="AB965" s="146"/>
      <c r="AC965" s="146"/>
      <c r="AD965" s="146"/>
      <c r="AE965" s="146"/>
      <c r="AF965" s="146"/>
      <c r="AG965" s="146"/>
    </row>
    <row r="966" spans="1:33" ht="12.75">
      <c r="A966" s="148"/>
      <c r="B966" s="146"/>
      <c r="C966" s="146"/>
      <c r="D966" s="146"/>
      <c r="E966" s="146"/>
      <c r="F966" s="146"/>
      <c r="G966" s="146"/>
      <c r="H966" s="146"/>
      <c r="I966" s="146"/>
      <c r="J966" s="146"/>
      <c r="K966" s="146"/>
      <c r="L966" s="146"/>
      <c r="M966" s="146"/>
      <c r="N966" s="146"/>
      <c r="O966" s="146"/>
      <c r="P966" s="146"/>
      <c r="Q966" s="146"/>
      <c r="R966" s="146"/>
      <c r="S966" s="146"/>
      <c r="T966" s="146"/>
      <c r="U966" s="146"/>
      <c r="V966" s="146"/>
      <c r="W966" s="146"/>
      <c r="X966" s="146"/>
      <c r="Y966" s="146"/>
      <c r="Z966" s="146"/>
      <c r="AA966" s="146"/>
      <c r="AB966" s="146"/>
      <c r="AC966" s="146"/>
      <c r="AD966" s="146"/>
      <c r="AE966" s="146"/>
      <c r="AF966" s="146"/>
      <c r="AG966" s="146"/>
    </row>
    <row r="967" spans="1:33" ht="12.75">
      <c r="A967" s="148"/>
      <c r="B967" s="146"/>
      <c r="C967" s="146"/>
      <c r="D967" s="146"/>
      <c r="E967" s="146"/>
      <c r="F967" s="146"/>
      <c r="G967" s="146"/>
      <c r="H967" s="146"/>
      <c r="I967" s="146"/>
      <c r="J967" s="146"/>
      <c r="K967" s="146"/>
      <c r="L967" s="146"/>
      <c r="M967" s="146"/>
      <c r="N967" s="146"/>
      <c r="O967" s="146"/>
      <c r="P967" s="146"/>
      <c r="Q967" s="146"/>
      <c r="R967" s="146"/>
      <c r="S967" s="146"/>
      <c r="T967" s="146"/>
      <c r="U967" s="146"/>
      <c r="V967" s="146"/>
      <c r="W967" s="146"/>
      <c r="X967" s="146"/>
      <c r="Y967" s="146"/>
      <c r="Z967" s="146"/>
      <c r="AA967" s="146"/>
      <c r="AB967" s="146"/>
      <c r="AC967" s="146"/>
      <c r="AD967" s="146"/>
      <c r="AE967" s="146"/>
      <c r="AF967" s="146"/>
      <c r="AG967" s="146"/>
    </row>
    <row r="968" spans="1:33" ht="12.75">
      <c r="A968" s="148"/>
      <c r="B968" s="146"/>
      <c r="C968" s="146"/>
      <c r="D968" s="146"/>
      <c r="E968" s="146"/>
      <c r="F968" s="146"/>
      <c r="G968" s="146"/>
      <c r="H968" s="146"/>
      <c r="I968" s="146"/>
      <c r="J968" s="146"/>
      <c r="K968" s="146"/>
      <c r="L968" s="146"/>
      <c r="M968" s="146"/>
      <c r="N968" s="146"/>
      <c r="O968" s="146"/>
      <c r="P968" s="146"/>
      <c r="Q968" s="146"/>
      <c r="R968" s="146"/>
      <c r="S968" s="146"/>
      <c r="T968" s="146"/>
      <c r="U968" s="146"/>
      <c r="V968" s="146"/>
      <c r="W968" s="146"/>
      <c r="X968" s="146"/>
      <c r="Y968" s="146"/>
      <c r="Z968" s="146"/>
      <c r="AA968" s="146"/>
      <c r="AB968" s="146"/>
      <c r="AC968" s="146"/>
      <c r="AD968" s="146"/>
      <c r="AE968" s="146"/>
      <c r="AF968" s="146"/>
      <c r="AG968" s="146"/>
    </row>
    <row r="969" spans="1:33" ht="12.75">
      <c r="A969" s="148"/>
      <c r="B969" s="146"/>
      <c r="C969" s="146"/>
      <c r="D969" s="146"/>
      <c r="E969" s="146"/>
      <c r="F969" s="146"/>
      <c r="G969" s="146"/>
      <c r="H969" s="146"/>
      <c r="I969" s="146"/>
      <c r="J969" s="146"/>
      <c r="K969" s="146"/>
      <c r="L969" s="146"/>
      <c r="M969" s="146"/>
      <c r="N969" s="146"/>
      <c r="O969" s="146"/>
      <c r="P969" s="146"/>
      <c r="Q969" s="146"/>
      <c r="R969" s="146"/>
      <c r="S969" s="146"/>
      <c r="T969" s="146"/>
      <c r="U969" s="146"/>
      <c r="V969" s="146"/>
      <c r="W969" s="146"/>
      <c r="X969" s="146"/>
      <c r="Y969" s="146"/>
      <c r="Z969" s="146"/>
      <c r="AA969" s="146"/>
      <c r="AB969" s="146"/>
      <c r="AC969" s="146"/>
      <c r="AD969" s="146"/>
      <c r="AE969" s="146"/>
      <c r="AF969" s="146"/>
      <c r="AG969" s="146"/>
    </row>
    <row r="970" spans="1:33" ht="12.75">
      <c r="A970" s="148"/>
      <c r="B970" s="146"/>
      <c r="C970" s="146"/>
      <c r="D970" s="146"/>
      <c r="E970" s="146"/>
      <c r="F970" s="146"/>
      <c r="G970" s="146"/>
      <c r="H970" s="146"/>
      <c r="I970" s="146"/>
      <c r="J970" s="146"/>
      <c r="K970" s="146"/>
      <c r="L970" s="146"/>
      <c r="M970" s="146"/>
      <c r="N970" s="146"/>
      <c r="O970" s="146"/>
      <c r="P970" s="146"/>
      <c r="Q970" s="146"/>
      <c r="R970" s="146"/>
      <c r="S970" s="146"/>
      <c r="T970" s="146"/>
      <c r="U970" s="146"/>
      <c r="V970" s="146"/>
      <c r="W970" s="146"/>
      <c r="X970" s="146"/>
      <c r="Y970" s="146"/>
      <c r="Z970" s="146"/>
      <c r="AA970" s="146"/>
      <c r="AB970" s="146"/>
      <c r="AC970" s="146"/>
      <c r="AD970" s="146"/>
      <c r="AE970" s="146"/>
      <c r="AF970" s="146"/>
      <c r="AG970" s="146"/>
    </row>
    <row r="971" spans="1:33" ht="12.75">
      <c r="A971" s="148"/>
      <c r="B971" s="146"/>
      <c r="C971" s="146"/>
      <c r="D971" s="146"/>
      <c r="E971" s="146"/>
      <c r="F971" s="146"/>
      <c r="G971" s="146"/>
      <c r="H971" s="146"/>
      <c r="I971" s="146"/>
      <c r="J971" s="146"/>
      <c r="K971" s="146"/>
      <c r="L971" s="146"/>
      <c r="M971" s="146"/>
      <c r="N971" s="146"/>
      <c r="O971" s="146"/>
      <c r="P971" s="146"/>
      <c r="Q971" s="146"/>
      <c r="R971" s="146"/>
      <c r="S971" s="146"/>
      <c r="T971" s="146"/>
      <c r="U971" s="146"/>
      <c r="V971" s="146"/>
      <c r="W971" s="146"/>
      <c r="X971" s="146"/>
      <c r="Y971" s="146"/>
      <c r="Z971" s="146"/>
      <c r="AA971" s="146"/>
      <c r="AB971" s="146"/>
      <c r="AC971" s="146"/>
      <c r="AD971" s="146"/>
      <c r="AE971" s="146"/>
      <c r="AF971" s="146"/>
      <c r="AG971" s="146"/>
    </row>
    <row r="972" spans="1:33" ht="12.75">
      <c r="A972" s="148"/>
      <c r="B972" s="146"/>
      <c r="C972" s="146"/>
      <c r="D972" s="146"/>
      <c r="E972" s="146"/>
      <c r="F972" s="146"/>
      <c r="G972" s="146"/>
      <c r="H972" s="146"/>
      <c r="I972" s="146"/>
      <c r="J972" s="146"/>
      <c r="K972" s="146"/>
      <c r="L972" s="146"/>
      <c r="M972" s="146"/>
      <c r="N972" s="146"/>
      <c r="O972" s="146"/>
      <c r="P972" s="146"/>
      <c r="Q972" s="146"/>
      <c r="R972" s="146"/>
      <c r="S972" s="146"/>
      <c r="T972" s="146"/>
      <c r="U972" s="146"/>
      <c r="V972" s="146"/>
      <c r="W972" s="146"/>
      <c r="X972" s="146"/>
      <c r="Y972" s="146"/>
      <c r="Z972" s="146"/>
      <c r="AA972" s="146"/>
      <c r="AB972" s="146"/>
      <c r="AC972" s="146"/>
      <c r="AD972" s="146"/>
      <c r="AE972" s="146"/>
      <c r="AF972" s="146"/>
      <c r="AG972" s="146"/>
    </row>
    <row r="973" spans="1:33" ht="12.75">
      <c r="A973" s="148"/>
      <c r="B973" s="146"/>
      <c r="C973" s="146"/>
      <c r="D973" s="146"/>
      <c r="E973" s="146"/>
      <c r="F973" s="146"/>
      <c r="G973" s="146"/>
      <c r="H973" s="146"/>
      <c r="I973" s="146"/>
      <c r="J973" s="146"/>
      <c r="K973" s="146"/>
      <c r="L973" s="146"/>
      <c r="M973" s="146"/>
      <c r="N973" s="146"/>
      <c r="O973" s="146"/>
      <c r="P973" s="146"/>
      <c r="Q973" s="146"/>
      <c r="R973" s="146"/>
      <c r="S973" s="146"/>
      <c r="T973" s="146"/>
      <c r="U973" s="146"/>
      <c r="V973" s="146"/>
      <c r="W973" s="146"/>
      <c r="X973" s="146"/>
      <c r="Y973" s="146"/>
      <c r="Z973" s="146"/>
      <c r="AA973" s="146"/>
      <c r="AB973" s="146"/>
      <c r="AC973" s="146"/>
      <c r="AD973" s="146"/>
      <c r="AE973" s="146"/>
      <c r="AF973" s="146"/>
      <c r="AG973" s="146"/>
    </row>
    <row r="974" spans="1:33" ht="12.75">
      <c r="A974" s="148"/>
      <c r="B974" s="146"/>
      <c r="C974" s="146"/>
      <c r="D974" s="146"/>
      <c r="E974" s="146"/>
      <c r="F974" s="146"/>
      <c r="G974" s="146"/>
      <c r="H974" s="146"/>
      <c r="I974" s="146"/>
      <c r="J974" s="146"/>
      <c r="K974" s="146"/>
      <c r="L974" s="146"/>
      <c r="M974" s="146"/>
      <c r="N974" s="146"/>
      <c r="O974" s="146"/>
      <c r="P974" s="146"/>
      <c r="Q974" s="146"/>
      <c r="R974" s="146"/>
      <c r="S974" s="146"/>
      <c r="T974" s="146"/>
      <c r="U974" s="146"/>
      <c r="V974" s="146"/>
      <c r="W974" s="146"/>
      <c r="X974" s="146"/>
      <c r="Y974" s="146"/>
      <c r="Z974" s="146"/>
      <c r="AA974" s="146"/>
      <c r="AB974" s="146"/>
      <c r="AC974" s="146"/>
      <c r="AD974" s="146"/>
      <c r="AE974" s="146"/>
      <c r="AF974" s="146"/>
      <c r="AG974" s="146"/>
    </row>
    <row r="975" spans="1:33" ht="12.75">
      <c r="A975" s="148"/>
      <c r="B975" s="146"/>
      <c r="C975" s="146"/>
      <c r="D975" s="146"/>
      <c r="E975" s="146"/>
      <c r="F975" s="146"/>
      <c r="G975" s="146"/>
      <c r="H975" s="146"/>
      <c r="I975" s="146"/>
      <c r="J975" s="146"/>
      <c r="K975" s="146"/>
      <c r="L975" s="146"/>
      <c r="M975" s="146"/>
      <c r="N975" s="146"/>
      <c r="O975" s="146"/>
      <c r="P975" s="146"/>
      <c r="Q975" s="146"/>
      <c r="R975" s="146"/>
      <c r="S975" s="146"/>
      <c r="T975" s="146"/>
      <c r="U975" s="146"/>
      <c r="V975" s="146"/>
      <c r="W975" s="146"/>
      <c r="X975" s="146"/>
      <c r="Y975" s="146"/>
      <c r="Z975" s="146"/>
      <c r="AA975" s="146"/>
      <c r="AB975" s="146"/>
      <c r="AC975" s="146"/>
      <c r="AD975" s="146"/>
      <c r="AE975" s="146"/>
      <c r="AF975" s="146"/>
      <c r="AG975" s="146"/>
    </row>
    <row r="976" spans="1:33" ht="12.75">
      <c r="A976" s="148"/>
      <c r="B976" s="146"/>
      <c r="C976" s="146"/>
      <c r="D976" s="146"/>
      <c r="E976" s="146"/>
      <c r="F976" s="146"/>
      <c r="G976" s="146"/>
      <c r="H976" s="146"/>
      <c r="I976" s="146"/>
      <c r="J976" s="146"/>
      <c r="K976" s="146"/>
      <c r="L976" s="146"/>
      <c r="M976" s="146"/>
      <c r="N976" s="146"/>
      <c r="O976" s="146"/>
      <c r="P976" s="146"/>
      <c r="Q976" s="146"/>
      <c r="R976" s="146"/>
      <c r="S976" s="146"/>
      <c r="T976" s="146"/>
      <c r="U976" s="146"/>
      <c r="V976" s="146"/>
      <c r="W976" s="146"/>
      <c r="X976" s="146"/>
      <c r="Y976" s="146"/>
      <c r="Z976" s="146"/>
      <c r="AA976" s="146"/>
      <c r="AB976" s="146"/>
      <c r="AC976" s="146"/>
      <c r="AD976" s="146"/>
      <c r="AE976" s="146"/>
      <c r="AF976" s="146"/>
      <c r="AG976" s="146"/>
    </row>
    <row r="977" spans="1:33" ht="12.75">
      <c r="A977" s="148"/>
      <c r="B977" s="146"/>
      <c r="C977" s="146"/>
      <c r="D977" s="146"/>
      <c r="E977" s="146"/>
      <c r="F977" s="146"/>
      <c r="G977" s="146"/>
      <c r="H977" s="146"/>
      <c r="I977" s="146"/>
      <c r="J977" s="146"/>
      <c r="K977" s="146"/>
      <c r="L977" s="146"/>
      <c r="M977" s="146"/>
      <c r="N977" s="146"/>
      <c r="O977" s="146"/>
      <c r="P977" s="146"/>
      <c r="Q977" s="146"/>
      <c r="R977" s="146"/>
      <c r="S977" s="146"/>
      <c r="T977" s="146"/>
      <c r="U977" s="146"/>
      <c r="V977" s="146"/>
      <c r="W977" s="146"/>
      <c r="X977" s="146"/>
      <c r="Y977" s="146"/>
      <c r="Z977" s="146"/>
      <c r="AA977" s="146"/>
      <c r="AB977" s="146"/>
      <c r="AC977" s="146"/>
      <c r="AD977" s="146"/>
      <c r="AE977" s="146"/>
      <c r="AF977" s="146"/>
      <c r="AG977" s="146"/>
    </row>
    <row r="978" spans="1:33" ht="12.75">
      <c r="A978" s="148"/>
      <c r="B978" s="146"/>
      <c r="C978" s="146"/>
      <c r="D978" s="146"/>
      <c r="E978" s="146"/>
      <c r="F978" s="146"/>
      <c r="G978" s="146"/>
      <c r="H978" s="146"/>
      <c r="I978" s="146"/>
      <c r="J978" s="146"/>
      <c r="K978" s="146"/>
      <c r="L978" s="146"/>
      <c r="M978" s="146"/>
      <c r="N978" s="146"/>
      <c r="O978" s="146"/>
      <c r="P978" s="146"/>
      <c r="Q978" s="146"/>
      <c r="R978" s="146"/>
      <c r="S978" s="146"/>
      <c r="T978" s="146"/>
      <c r="U978" s="146"/>
      <c r="V978" s="146"/>
      <c r="W978" s="146"/>
      <c r="X978" s="146"/>
      <c r="Y978" s="146"/>
      <c r="Z978" s="146"/>
      <c r="AA978" s="146"/>
      <c r="AB978" s="146"/>
      <c r="AC978" s="146"/>
      <c r="AD978" s="146"/>
      <c r="AE978" s="146"/>
      <c r="AF978" s="146"/>
      <c r="AG978" s="146"/>
    </row>
    <row r="979" spans="1:33" ht="12.75">
      <c r="A979" s="148"/>
      <c r="B979" s="146"/>
      <c r="C979" s="146"/>
      <c r="D979" s="146"/>
      <c r="E979" s="146"/>
      <c r="F979" s="146"/>
      <c r="G979" s="146"/>
      <c r="H979" s="146"/>
      <c r="I979" s="146"/>
      <c r="J979" s="146"/>
      <c r="K979" s="146"/>
      <c r="L979" s="146"/>
      <c r="M979" s="146"/>
      <c r="N979" s="146"/>
      <c r="O979" s="146"/>
      <c r="P979" s="146"/>
      <c r="Q979" s="146"/>
      <c r="R979" s="146"/>
      <c r="S979" s="146"/>
      <c r="T979" s="146"/>
      <c r="U979" s="146"/>
      <c r="V979" s="146"/>
      <c r="W979" s="146"/>
      <c r="X979" s="146"/>
      <c r="Y979" s="146"/>
      <c r="Z979" s="146"/>
      <c r="AA979" s="146"/>
      <c r="AB979" s="146"/>
      <c r="AC979" s="146"/>
      <c r="AD979" s="146"/>
      <c r="AE979" s="146"/>
      <c r="AF979" s="146"/>
      <c r="AG979" s="146"/>
    </row>
    <row r="980" spans="1:33" ht="12.75">
      <c r="A980" s="148"/>
      <c r="B980" s="146"/>
      <c r="C980" s="146"/>
      <c r="D980" s="146"/>
      <c r="E980" s="146"/>
      <c r="F980" s="146"/>
      <c r="G980" s="146"/>
      <c r="H980" s="146"/>
      <c r="I980" s="146"/>
      <c r="J980" s="146"/>
      <c r="K980" s="146"/>
      <c r="L980" s="146"/>
      <c r="M980" s="146"/>
      <c r="N980" s="146"/>
      <c r="O980" s="146"/>
      <c r="P980" s="146"/>
      <c r="Q980" s="146"/>
      <c r="R980" s="146"/>
      <c r="S980" s="146"/>
      <c r="T980" s="146"/>
      <c r="U980" s="146"/>
      <c r="V980" s="146"/>
      <c r="W980" s="146"/>
      <c r="X980" s="146"/>
      <c r="Y980" s="146"/>
      <c r="Z980" s="146"/>
      <c r="AA980" s="146"/>
      <c r="AB980" s="146"/>
      <c r="AC980" s="146"/>
      <c r="AD980" s="146"/>
      <c r="AE980" s="146"/>
      <c r="AF980" s="146"/>
      <c r="AG980" s="146"/>
    </row>
    <row r="981" spans="1:33" ht="12.75">
      <c r="A981" s="148"/>
      <c r="B981" s="146"/>
      <c r="C981" s="146"/>
      <c r="D981" s="146"/>
      <c r="E981" s="146"/>
      <c r="F981" s="146"/>
      <c r="G981" s="146"/>
      <c r="H981" s="146"/>
      <c r="I981" s="146"/>
      <c r="J981" s="146"/>
      <c r="K981" s="146"/>
      <c r="L981" s="146"/>
      <c r="M981" s="146"/>
      <c r="N981" s="146"/>
      <c r="O981" s="146"/>
      <c r="P981" s="146"/>
      <c r="Q981" s="146"/>
      <c r="R981" s="146"/>
      <c r="S981" s="146"/>
      <c r="T981" s="146"/>
      <c r="U981" s="146"/>
      <c r="V981" s="146"/>
      <c r="W981" s="146"/>
      <c r="X981" s="146"/>
      <c r="Y981" s="146"/>
      <c r="Z981" s="146"/>
      <c r="AA981" s="146"/>
      <c r="AB981" s="146"/>
      <c r="AC981" s="146"/>
      <c r="AD981" s="146"/>
      <c r="AE981" s="146"/>
      <c r="AF981" s="146"/>
      <c r="AG981" s="146"/>
    </row>
    <row r="982" spans="1:33" ht="12.75">
      <c r="A982" s="148"/>
      <c r="B982" s="146"/>
      <c r="C982" s="146"/>
      <c r="D982" s="146"/>
      <c r="E982" s="146"/>
      <c r="F982" s="146"/>
      <c r="G982" s="146"/>
      <c r="H982" s="146"/>
      <c r="I982" s="146"/>
      <c r="J982" s="146"/>
      <c r="K982" s="146"/>
      <c r="L982" s="146"/>
      <c r="M982" s="146"/>
      <c r="N982" s="146"/>
      <c r="O982" s="146"/>
      <c r="P982" s="146"/>
      <c r="Q982" s="146"/>
      <c r="R982" s="146"/>
      <c r="S982" s="146"/>
      <c r="T982" s="146"/>
      <c r="U982" s="146"/>
      <c r="V982" s="146"/>
      <c r="W982" s="146"/>
      <c r="X982" s="146"/>
      <c r="Y982" s="146"/>
      <c r="Z982" s="146"/>
      <c r="AA982" s="146"/>
      <c r="AB982" s="146"/>
      <c r="AC982" s="146"/>
      <c r="AD982" s="146"/>
      <c r="AE982" s="146"/>
      <c r="AF982" s="146"/>
      <c r="AG982" s="146"/>
    </row>
    <row r="983" spans="1:33" ht="12.75">
      <c r="A983" s="148"/>
      <c r="B983" s="146"/>
      <c r="C983" s="146"/>
      <c r="D983" s="146"/>
      <c r="E983" s="146"/>
      <c r="F983" s="146"/>
      <c r="G983" s="146"/>
      <c r="H983" s="146"/>
      <c r="I983" s="146"/>
      <c r="J983" s="146"/>
      <c r="K983" s="146"/>
      <c r="L983" s="146"/>
      <c r="M983" s="146"/>
      <c r="N983" s="146"/>
      <c r="O983" s="146"/>
      <c r="P983" s="146"/>
      <c r="Q983" s="146"/>
      <c r="R983" s="146"/>
      <c r="S983" s="146"/>
      <c r="T983" s="146"/>
      <c r="U983" s="146"/>
      <c r="V983" s="146"/>
      <c r="W983" s="146"/>
      <c r="X983" s="146"/>
      <c r="Y983" s="146"/>
      <c r="Z983" s="146"/>
      <c r="AA983" s="146"/>
      <c r="AB983" s="146"/>
      <c r="AC983" s="146"/>
      <c r="AD983" s="146"/>
      <c r="AE983" s="146"/>
      <c r="AF983" s="146"/>
      <c r="AG983" s="146"/>
    </row>
    <row r="984" spans="1:33" ht="12.75">
      <c r="A984" s="148"/>
      <c r="B984" s="146"/>
      <c r="C984" s="146"/>
      <c r="D984" s="146"/>
      <c r="E984" s="146"/>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c r="AB984" s="146"/>
      <c r="AC984" s="146"/>
      <c r="AD984" s="146"/>
      <c r="AE984" s="146"/>
      <c r="AF984" s="146"/>
      <c r="AG984" s="146"/>
    </row>
    <row r="985" spans="1:33" ht="12.75">
      <c r="A985" s="148"/>
      <c r="B985" s="146"/>
      <c r="C985" s="146"/>
      <c r="D985" s="146"/>
      <c r="E985" s="146"/>
      <c r="F985" s="146"/>
      <c r="G985" s="146"/>
      <c r="H985" s="146"/>
      <c r="I985" s="146"/>
      <c r="J985" s="146"/>
      <c r="K985" s="146"/>
      <c r="L985" s="146"/>
      <c r="M985" s="146"/>
      <c r="N985" s="146"/>
      <c r="O985" s="146"/>
      <c r="P985" s="146"/>
      <c r="Q985" s="146"/>
      <c r="R985" s="146"/>
      <c r="S985" s="146"/>
      <c r="T985" s="146"/>
      <c r="U985" s="146"/>
      <c r="V985" s="146"/>
      <c r="W985" s="146"/>
      <c r="X985" s="146"/>
      <c r="Y985" s="146"/>
      <c r="Z985" s="146"/>
      <c r="AA985" s="146"/>
      <c r="AB985" s="146"/>
      <c r="AC985" s="146"/>
      <c r="AD985" s="146"/>
      <c r="AE985" s="146"/>
      <c r="AF985" s="146"/>
      <c r="AG985" s="146"/>
    </row>
    <row r="986" spans="1:33" ht="12.75">
      <c r="A986" s="148"/>
      <c r="B986" s="146"/>
      <c r="C986" s="146"/>
      <c r="D986" s="146"/>
      <c r="E986" s="146"/>
      <c r="F986" s="146"/>
      <c r="G986" s="146"/>
      <c r="H986" s="146"/>
      <c r="I986" s="146"/>
      <c r="J986" s="146"/>
      <c r="K986" s="146"/>
      <c r="L986" s="146"/>
      <c r="M986" s="146"/>
      <c r="N986" s="146"/>
      <c r="O986" s="146"/>
      <c r="P986" s="146"/>
      <c r="Q986" s="146"/>
      <c r="R986" s="146"/>
      <c r="S986" s="146"/>
      <c r="T986" s="146"/>
      <c r="U986" s="146"/>
      <c r="V986" s="146"/>
      <c r="W986" s="146"/>
      <c r="X986" s="146"/>
      <c r="Y986" s="146"/>
      <c r="Z986" s="146"/>
      <c r="AA986" s="146"/>
      <c r="AB986" s="146"/>
      <c r="AC986" s="146"/>
      <c r="AD986" s="146"/>
      <c r="AE986" s="146"/>
      <c r="AF986" s="146"/>
      <c r="AG986" s="146"/>
    </row>
    <row r="987" spans="1:33" ht="12.75">
      <c r="A987" s="148"/>
      <c r="B987" s="146"/>
      <c r="C987" s="146"/>
      <c r="D987" s="146"/>
      <c r="E987" s="146"/>
      <c r="F987" s="146"/>
      <c r="G987" s="146"/>
      <c r="H987" s="146"/>
      <c r="I987" s="146"/>
      <c r="J987" s="146"/>
      <c r="K987" s="146"/>
      <c r="L987" s="146"/>
      <c r="M987" s="146"/>
      <c r="N987" s="146"/>
      <c r="O987" s="146"/>
      <c r="P987" s="146"/>
      <c r="Q987" s="146"/>
      <c r="R987" s="146"/>
      <c r="S987" s="146"/>
      <c r="T987" s="146"/>
      <c r="U987" s="146"/>
      <c r="V987" s="146"/>
      <c r="W987" s="146"/>
      <c r="X987" s="146"/>
      <c r="Y987" s="146"/>
      <c r="Z987" s="146"/>
      <c r="AA987" s="146"/>
      <c r="AB987" s="146"/>
      <c r="AC987" s="146"/>
      <c r="AD987" s="146"/>
      <c r="AE987" s="146"/>
      <c r="AF987" s="146"/>
      <c r="AG987" s="146"/>
    </row>
    <row r="988" spans="1:33" ht="12.75">
      <c r="A988" s="148"/>
      <c r="B988" s="146"/>
      <c r="C988" s="146"/>
      <c r="D988" s="146"/>
      <c r="E988" s="146"/>
      <c r="F988" s="146"/>
      <c r="G988" s="146"/>
      <c r="H988" s="146"/>
      <c r="I988" s="146"/>
      <c r="J988" s="146"/>
      <c r="K988" s="146"/>
      <c r="L988" s="146"/>
      <c r="M988" s="146"/>
      <c r="N988" s="146"/>
      <c r="O988" s="146"/>
      <c r="P988" s="146"/>
      <c r="Q988" s="146"/>
      <c r="R988" s="146"/>
      <c r="S988" s="146"/>
      <c r="T988" s="146"/>
      <c r="U988" s="146"/>
      <c r="V988" s="146"/>
      <c r="W988" s="146"/>
      <c r="X988" s="146"/>
      <c r="Y988" s="146"/>
      <c r="Z988" s="146"/>
      <c r="AA988" s="146"/>
      <c r="AB988" s="146"/>
      <c r="AC988" s="146"/>
      <c r="AD988" s="146"/>
      <c r="AE988" s="146"/>
      <c r="AF988" s="146"/>
      <c r="AG988" s="146"/>
    </row>
    <row r="989" spans="1:33" ht="12.75">
      <c r="A989" s="148"/>
      <c r="B989" s="146"/>
      <c r="C989" s="146"/>
      <c r="D989" s="146"/>
      <c r="E989" s="146"/>
      <c r="F989" s="146"/>
      <c r="G989" s="146"/>
      <c r="H989" s="146"/>
      <c r="I989" s="146"/>
      <c r="J989" s="146"/>
      <c r="K989" s="146"/>
      <c r="L989" s="146"/>
      <c r="M989" s="146"/>
      <c r="N989" s="146"/>
      <c r="O989" s="146"/>
      <c r="P989" s="146"/>
      <c r="Q989" s="146"/>
      <c r="R989" s="146"/>
      <c r="S989" s="146"/>
      <c r="T989" s="146"/>
      <c r="U989" s="146"/>
      <c r="V989" s="146"/>
      <c r="W989" s="146"/>
      <c r="X989" s="146"/>
      <c r="Y989" s="146"/>
      <c r="Z989" s="146"/>
      <c r="AA989" s="146"/>
      <c r="AB989" s="146"/>
      <c r="AC989" s="146"/>
      <c r="AD989" s="146"/>
      <c r="AE989" s="146"/>
      <c r="AF989" s="146"/>
      <c r="AG989" s="146"/>
    </row>
    <row r="990" spans="1:33" ht="12.75">
      <c r="A990" s="148"/>
      <c r="B990" s="146"/>
      <c r="C990" s="146"/>
      <c r="D990" s="146"/>
      <c r="E990" s="146"/>
      <c r="F990" s="146"/>
      <c r="G990" s="146"/>
      <c r="H990" s="146"/>
      <c r="I990" s="146"/>
      <c r="J990" s="146"/>
      <c r="K990" s="146"/>
      <c r="L990" s="146"/>
      <c r="M990" s="146"/>
      <c r="N990" s="146"/>
      <c r="O990" s="146"/>
      <c r="P990" s="146"/>
      <c r="Q990" s="146"/>
      <c r="R990" s="146"/>
      <c r="S990" s="146"/>
      <c r="T990" s="146"/>
      <c r="U990" s="146"/>
      <c r="V990" s="146"/>
      <c r="W990" s="146"/>
      <c r="X990" s="146"/>
      <c r="Y990" s="146"/>
      <c r="Z990" s="146"/>
      <c r="AA990" s="146"/>
      <c r="AB990" s="146"/>
      <c r="AC990" s="146"/>
      <c r="AD990" s="146"/>
      <c r="AE990" s="146"/>
      <c r="AF990" s="146"/>
      <c r="AG990" s="146"/>
    </row>
    <row r="991" spans="1:33" ht="12.75">
      <c r="A991" s="148"/>
      <c r="B991" s="146"/>
      <c r="C991" s="146"/>
      <c r="D991" s="146"/>
      <c r="E991" s="146"/>
      <c r="F991" s="146"/>
      <c r="G991" s="146"/>
      <c r="H991" s="146"/>
      <c r="I991" s="146"/>
      <c r="J991" s="146"/>
      <c r="K991" s="146"/>
      <c r="L991" s="146"/>
      <c r="M991" s="146"/>
      <c r="N991" s="146"/>
      <c r="O991" s="146"/>
      <c r="P991" s="146"/>
      <c r="Q991" s="146"/>
      <c r="R991" s="146"/>
      <c r="S991" s="146"/>
      <c r="T991" s="146"/>
      <c r="U991" s="146"/>
      <c r="V991" s="146"/>
      <c r="W991" s="146"/>
      <c r="X991" s="146"/>
      <c r="Y991" s="146"/>
      <c r="Z991" s="146"/>
      <c r="AA991" s="146"/>
      <c r="AB991" s="146"/>
      <c r="AC991" s="146"/>
      <c r="AD991" s="146"/>
      <c r="AE991" s="146"/>
      <c r="AF991" s="146"/>
      <c r="AG991" s="146"/>
    </row>
    <row r="992" spans="1:33" ht="12.75">
      <c r="A992" s="148"/>
      <c r="B992" s="146"/>
      <c r="C992" s="146"/>
      <c r="D992" s="146"/>
      <c r="E992" s="146"/>
      <c r="F992" s="146"/>
      <c r="G992" s="146"/>
      <c r="H992" s="146"/>
      <c r="I992" s="146"/>
      <c r="J992" s="146"/>
      <c r="K992" s="146"/>
      <c r="L992" s="146"/>
      <c r="M992" s="146"/>
      <c r="N992" s="146"/>
      <c r="O992" s="146"/>
      <c r="P992" s="146"/>
      <c r="Q992" s="146"/>
      <c r="R992" s="146"/>
      <c r="S992" s="146"/>
      <c r="T992" s="146"/>
      <c r="U992" s="146"/>
      <c r="V992" s="146"/>
      <c r="W992" s="146"/>
      <c r="X992" s="146"/>
      <c r="Y992" s="146"/>
      <c r="Z992" s="146"/>
      <c r="AA992" s="146"/>
      <c r="AB992" s="146"/>
      <c r="AC992" s="146"/>
      <c r="AD992" s="146"/>
      <c r="AE992" s="146"/>
      <c r="AF992" s="146"/>
      <c r="AG992" s="146"/>
    </row>
    <row r="993" spans="1:33" ht="12.75">
      <c r="A993" s="148"/>
      <c r="B993" s="146"/>
      <c r="C993" s="146"/>
      <c r="D993" s="146"/>
      <c r="E993" s="146"/>
      <c r="F993" s="146"/>
      <c r="G993" s="146"/>
      <c r="H993" s="146"/>
      <c r="I993" s="146"/>
      <c r="J993" s="146"/>
      <c r="K993" s="146"/>
      <c r="L993" s="146"/>
      <c r="M993" s="146"/>
      <c r="N993" s="146"/>
      <c r="O993" s="146"/>
      <c r="P993" s="146"/>
      <c r="Q993" s="146"/>
      <c r="R993" s="146"/>
      <c r="S993" s="146"/>
      <c r="T993" s="146"/>
      <c r="U993" s="146"/>
      <c r="V993" s="146"/>
      <c r="W993" s="146"/>
      <c r="X993" s="146"/>
      <c r="Y993" s="146"/>
      <c r="Z993" s="146"/>
      <c r="AA993" s="146"/>
      <c r="AB993" s="146"/>
      <c r="AC993" s="146"/>
      <c r="AD993" s="146"/>
      <c r="AE993" s="146"/>
      <c r="AF993" s="146"/>
      <c r="AG993" s="146"/>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P2"/>
  <sheetViews>
    <sheetView workbookViewId="0"/>
  </sheetViews>
  <sheetFormatPr baseColWidth="10" defaultColWidth="14.42578125" defaultRowHeight="15.75" customHeight="1"/>
  <cols>
    <col min="9" max="16" width="21.5703125" customWidth="1"/>
  </cols>
  <sheetData>
    <row r="1" spans="1:16" ht="15.75" customHeight="1">
      <c r="A1" s="2" t="s">
        <v>2026</v>
      </c>
      <c r="B1" s="2" t="s">
        <v>2027</v>
      </c>
      <c r="C1" s="2" t="s">
        <v>2028</v>
      </c>
      <c r="D1" s="2" t="s">
        <v>2029</v>
      </c>
      <c r="E1" s="2" t="s">
        <v>2030</v>
      </c>
      <c r="F1" s="2" t="s">
        <v>2031</v>
      </c>
      <c r="G1" s="2" t="s">
        <v>2032</v>
      </c>
      <c r="H1" s="2" t="s">
        <v>2033</v>
      </c>
      <c r="I1" s="149" t="s">
        <v>2034</v>
      </c>
      <c r="J1" s="149" t="s">
        <v>2035</v>
      </c>
      <c r="K1" s="149" t="s">
        <v>2036</v>
      </c>
      <c r="L1" s="149" t="s">
        <v>2037</v>
      </c>
      <c r="M1" s="149" t="s">
        <v>2038</v>
      </c>
      <c r="N1" s="149" t="s">
        <v>2039</v>
      </c>
      <c r="O1" s="149" t="s">
        <v>2040</v>
      </c>
      <c r="P1" s="149" t="s">
        <v>2041</v>
      </c>
    </row>
    <row r="2" spans="1:16" ht="15.75" customHeight="1">
      <c r="A2" s="16" t="s">
        <v>2042</v>
      </c>
      <c r="B2" s="2" t="s">
        <v>2043</v>
      </c>
      <c r="C2" s="16" t="s">
        <v>2044</v>
      </c>
      <c r="D2" s="16" t="s">
        <v>2045</v>
      </c>
      <c r="E2" s="2" t="s">
        <v>2046</v>
      </c>
      <c r="F2" s="150">
        <v>0.33</v>
      </c>
      <c r="G2" s="150">
        <v>0.33</v>
      </c>
      <c r="H2" s="2" t="s">
        <v>2047</v>
      </c>
      <c r="I2" s="2" t="s">
        <v>2048</v>
      </c>
      <c r="J2" s="16" t="s">
        <v>2049</v>
      </c>
      <c r="K2" s="151" t="str">
        <f>HYPERLINK("https://docs.google.com/document/d/1EQ54HPkATBQqYVdAVw732qocFeDDTRwHccN4HQ0kQwM/edit?usp=drivesdk","Demo merge job run on Nov 9 2019 8:20 PM")</f>
        <v>Demo merge job run on Nov 9 2019 8:20 PM</v>
      </c>
      <c r="L2" s="2" t="s">
        <v>2050</v>
      </c>
      <c r="M2" s="2" t="s">
        <v>2051</v>
      </c>
      <c r="N2" s="16" t="s">
        <v>2052</v>
      </c>
      <c r="O2" s="151" t="str">
        <f>HYPERLINK("https://docs.google.com/document/d/1FGJwTG0jzEWiGyqJecDekj2aX4w2LJifmRRKSaVmdSw/edit?usp=drivesdk","Demo merge job run on Nov 10 2019 9:39 PM")</f>
        <v>Demo merge job run on Nov 10 2019 9:39 PM</v>
      </c>
      <c r="P2" s="2" t="s">
        <v>2053</v>
      </c>
    </row>
  </sheetData>
  <hyperlinks>
    <hyperlink ref="A2" r:id="rId1" xr:uid="{00000000-0004-0000-1600-000000000000}"/>
    <hyperlink ref="C2" r:id="rId2" xr:uid="{00000000-0004-0000-1600-000001000000}"/>
    <hyperlink ref="D2" r:id="rId3" xr:uid="{00000000-0004-0000-1600-000002000000}"/>
    <hyperlink ref="J2" r:id="rId4" xr:uid="{00000000-0004-0000-1600-000003000000}"/>
    <hyperlink ref="N2" r:id="rId5" xr:uid="{00000000-0004-0000-1600-000004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AC2"/>
  <sheetViews>
    <sheetView workbookViewId="0"/>
  </sheetViews>
  <sheetFormatPr baseColWidth="10" defaultColWidth="14.42578125" defaultRowHeight="15.75" customHeight="1"/>
  <sheetData>
    <row r="1" spans="1:29" ht="15.75" customHeight="1">
      <c r="A1" s="2" t="s">
        <v>2054</v>
      </c>
      <c r="B1" s="2" t="s">
        <v>2055</v>
      </c>
      <c r="C1" s="2" t="s">
        <v>2056</v>
      </c>
      <c r="D1" s="2" t="s">
        <v>2057</v>
      </c>
      <c r="E1" s="2" t="s">
        <v>2058</v>
      </c>
      <c r="F1" s="2" t="s">
        <v>2059</v>
      </c>
      <c r="G1" s="2" t="s">
        <v>2060</v>
      </c>
      <c r="H1" s="2" t="s">
        <v>2061</v>
      </c>
      <c r="I1" s="2" t="s">
        <v>2062</v>
      </c>
      <c r="J1" s="2" t="s">
        <v>2063</v>
      </c>
      <c r="K1" s="2" t="s">
        <v>2064</v>
      </c>
      <c r="L1" s="2" t="s">
        <v>2065</v>
      </c>
      <c r="M1" s="2" t="s">
        <v>2066</v>
      </c>
      <c r="N1" s="2" t="s">
        <v>2067</v>
      </c>
      <c r="O1" s="2" t="s">
        <v>2068</v>
      </c>
      <c r="P1" s="2" t="s">
        <v>2069</v>
      </c>
      <c r="Q1" s="2" t="s">
        <v>2070</v>
      </c>
      <c r="R1" s="2" t="s">
        <v>2071</v>
      </c>
      <c r="S1" s="2" t="s">
        <v>2072</v>
      </c>
      <c r="T1" s="2" t="s">
        <v>2073</v>
      </c>
      <c r="U1" s="2" t="s">
        <v>2074</v>
      </c>
      <c r="V1" s="2" t="s">
        <v>2075</v>
      </c>
      <c r="W1" s="2" t="s">
        <v>2076</v>
      </c>
      <c r="X1" s="2" t="s">
        <v>2077</v>
      </c>
      <c r="Y1" s="2" t="s">
        <v>2078</v>
      </c>
      <c r="Z1" s="2" t="s">
        <v>2079</v>
      </c>
      <c r="AA1" s="2" t="s">
        <v>2080</v>
      </c>
      <c r="AB1" s="2" t="s">
        <v>2081</v>
      </c>
      <c r="AC1" s="2" t="s">
        <v>2082</v>
      </c>
    </row>
    <row r="2" spans="1:29" ht="15.75" customHeight="1">
      <c r="A2" s="2" t="s">
        <v>2083</v>
      </c>
      <c r="B2" s="2" t="s">
        <v>2084</v>
      </c>
      <c r="C2" s="2" t="s">
        <v>2085</v>
      </c>
      <c r="D2" s="34">
        <v>2044445820</v>
      </c>
      <c r="E2" s="34">
        <v>1</v>
      </c>
      <c r="F2" s="34">
        <v>2</v>
      </c>
      <c r="G2" s="2" t="s">
        <v>1876</v>
      </c>
      <c r="H2" s="2" t="s">
        <v>2086</v>
      </c>
      <c r="I2" s="2" t="s">
        <v>2086</v>
      </c>
      <c r="J2" s="2" t="s">
        <v>2087</v>
      </c>
      <c r="K2" s="2" t="s">
        <v>2088</v>
      </c>
      <c r="L2" s="2" t="s">
        <v>2089</v>
      </c>
      <c r="M2" s="2" t="s">
        <v>2090</v>
      </c>
      <c r="O2" s="2" t="s">
        <v>2091</v>
      </c>
      <c r="P2" s="2" t="b">
        <v>0</v>
      </c>
      <c r="R2" s="2" t="b">
        <v>0</v>
      </c>
      <c r="S2" s="2" t="b">
        <v>0</v>
      </c>
      <c r="T2" s="1"/>
      <c r="X2" s="2" t="b">
        <v>0</v>
      </c>
      <c r="Y2" s="2" t="s">
        <v>2092</v>
      </c>
      <c r="Z2" s="2" t="s">
        <v>2093</v>
      </c>
      <c r="AA2" s="2" t="b">
        <v>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00FF"/>
    <outlinePr summaryBelow="0" summaryRight="0"/>
  </sheetPr>
  <dimension ref="A1:Z1000"/>
  <sheetViews>
    <sheetView showGridLines="0" workbookViewId="0">
      <pane ySplit="1" topLeftCell="A2" activePane="bottomLeft" state="frozen"/>
      <selection pane="bottomLeft" activeCell="B3" sqref="B3"/>
    </sheetView>
  </sheetViews>
  <sheetFormatPr baseColWidth="10" defaultColWidth="14.42578125" defaultRowHeight="15.75" customHeight="1"/>
  <cols>
    <col min="1" max="1" width="18.5703125" customWidth="1"/>
    <col min="2" max="2" width="38" customWidth="1"/>
    <col min="3" max="3" width="58" customWidth="1"/>
    <col min="4" max="4" width="23" customWidth="1"/>
    <col min="5" max="5" width="16.7109375" customWidth="1"/>
    <col min="6" max="6" width="2.85546875" customWidth="1"/>
  </cols>
  <sheetData>
    <row r="1" spans="1:26" ht="20.25" customHeight="1">
      <c r="A1" s="152" t="s">
        <v>15</v>
      </c>
      <c r="B1" s="152" t="s">
        <v>21</v>
      </c>
      <c r="C1" s="152" t="s">
        <v>22</v>
      </c>
      <c r="D1" s="152" t="s">
        <v>3</v>
      </c>
      <c r="E1" s="153" t="s">
        <v>16</v>
      </c>
      <c r="G1" s="52"/>
      <c r="H1" s="52"/>
      <c r="I1" s="52"/>
      <c r="J1" s="52"/>
      <c r="K1" s="52"/>
      <c r="L1" s="52"/>
      <c r="M1" s="52"/>
      <c r="N1" s="52"/>
      <c r="O1" s="52"/>
      <c r="P1" s="52"/>
      <c r="Q1" s="52"/>
      <c r="R1" s="52"/>
      <c r="S1" s="52"/>
      <c r="T1" s="52"/>
      <c r="U1" s="52"/>
      <c r="V1" s="52"/>
      <c r="W1" s="52"/>
      <c r="X1" s="52"/>
      <c r="Y1" s="52"/>
      <c r="Z1" s="52"/>
    </row>
    <row r="2" spans="1:26" ht="20.25" customHeight="1">
      <c r="A2" s="154" t="s">
        <v>44</v>
      </c>
      <c r="B2" s="154" t="s">
        <v>1609</v>
      </c>
      <c r="C2" s="154" t="s">
        <v>1610</v>
      </c>
      <c r="D2" s="154" t="s">
        <v>1876</v>
      </c>
      <c r="E2" s="155">
        <v>2019</v>
      </c>
      <c r="G2" s="53"/>
      <c r="H2" s="53"/>
      <c r="I2" s="53"/>
      <c r="J2" s="53"/>
      <c r="K2" s="53"/>
      <c r="L2" s="53"/>
      <c r="M2" s="53"/>
      <c r="N2" s="53"/>
      <c r="O2" s="53"/>
      <c r="P2" s="53"/>
      <c r="Q2" s="53"/>
      <c r="R2" s="53"/>
      <c r="S2" s="53"/>
      <c r="T2" s="53"/>
      <c r="U2" s="53"/>
      <c r="V2" s="53"/>
      <c r="W2" s="53"/>
      <c r="X2" s="53"/>
      <c r="Y2" s="53"/>
      <c r="Z2" s="53"/>
    </row>
    <row r="3" spans="1:26" ht="20.25" customHeight="1">
      <c r="A3" s="154" t="s">
        <v>61</v>
      </c>
      <c r="B3" s="154" t="s">
        <v>1539</v>
      </c>
      <c r="C3" s="154" t="s">
        <v>1540</v>
      </c>
      <c r="D3" s="154" t="s">
        <v>1876</v>
      </c>
      <c r="E3" s="155">
        <v>2018</v>
      </c>
      <c r="G3" s="53"/>
      <c r="H3" s="53"/>
      <c r="I3" s="53"/>
      <c r="J3" s="53"/>
      <c r="K3" s="53"/>
      <c r="L3" s="53"/>
      <c r="M3" s="53"/>
      <c r="N3" s="53"/>
      <c r="O3" s="53"/>
      <c r="P3" s="53"/>
      <c r="Q3" s="53"/>
      <c r="R3" s="53"/>
      <c r="S3" s="53"/>
      <c r="T3" s="53"/>
      <c r="U3" s="53"/>
      <c r="V3" s="53"/>
      <c r="W3" s="53"/>
      <c r="X3" s="53"/>
      <c r="Y3" s="53"/>
      <c r="Z3" s="53"/>
    </row>
    <row r="4" spans="1:26" ht="20.25" customHeight="1">
      <c r="A4" s="156"/>
      <c r="B4" s="154" t="s">
        <v>1533</v>
      </c>
      <c r="C4" s="154" t="s">
        <v>1534</v>
      </c>
      <c r="D4" s="154" t="s">
        <v>1876</v>
      </c>
      <c r="E4" s="155">
        <v>2012</v>
      </c>
      <c r="G4" s="53"/>
      <c r="H4" s="53"/>
      <c r="I4" s="53"/>
      <c r="J4" s="53"/>
      <c r="K4" s="53"/>
      <c r="L4" s="53"/>
      <c r="M4" s="53"/>
      <c r="N4" s="53"/>
      <c r="O4" s="53"/>
      <c r="P4" s="53"/>
      <c r="Q4" s="53"/>
      <c r="R4" s="53"/>
      <c r="S4" s="53"/>
      <c r="T4" s="53"/>
      <c r="U4" s="53"/>
      <c r="V4" s="53"/>
      <c r="W4" s="53"/>
      <c r="X4" s="53"/>
      <c r="Y4" s="53"/>
      <c r="Z4" s="53"/>
    </row>
    <row r="5" spans="1:26" ht="20.25" customHeight="1">
      <c r="A5" s="154" t="s">
        <v>64</v>
      </c>
      <c r="B5" s="154" t="s">
        <v>1329</v>
      </c>
      <c r="C5" s="154" t="s">
        <v>1330</v>
      </c>
      <c r="D5" s="154" t="s">
        <v>1876</v>
      </c>
      <c r="E5" s="155">
        <v>2016</v>
      </c>
      <c r="G5" s="53"/>
      <c r="H5" s="53"/>
      <c r="I5" s="53"/>
      <c r="J5" s="53"/>
      <c r="K5" s="53"/>
      <c r="L5" s="53"/>
      <c r="M5" s="53"/>
      <c r="N5" s="53"/>
      <c r="O5" s="53"/>
      <c r="P5" s="53"/>
      <c r="Q5" s="53"/>
      <c r="R5" s="53"/>
      <c r="S5" s="53"/>
      <c r="T5" s="53"/>
      <c r="U5" s="53"/>
      <c r="V5" s="53"/>
      <c r="W5" s="53"/>
      <c r="X5" s="53"/>
      <c r="Y5" s="53"/>
      <c r="Z5" s="53"/>
    </row>
    <row r="6" spans="1:26" ht="20.25" customHeight="1">
      <c r="A6" s="156"/>
      <c r="B6" s="156"/>
      <c r="C6" s="156"/>
      <c r="D6" s="156"/>
      <c r="E6" s="157">
        <v>2017</v>
      </c>
      <c r="G6" s="53"/>
      <c r="H6" s="53"/>
      <c r="I6" s="53"/>
      <c r="J6" s="53"/>
      <c r="K6" s="53"/>
      <c r="L6" s="53"/>
      <c r="M6" s="53"/>
      <c r="N6" s="53"/>
      <c r="O6" s="53"/>
      <c r="P6" s="53"/>
      <c r="Q6" s="53"/>
      <c r="R6" s="53"/>
      <c r="S6" s="53"/>
      <c r="T6" s="53"/>
      <c r="U6" s="53"/>
      <c r="V6" s="53"/>
      <c r="W6" s="53"/>
      <c r="X6" s="53"/>
      <c r="Y6" s="53"/>
      <c r="Z6" s="53"/>
    </row>
    <row r="7" spans="1:26" ht="20.25" customHeight="1">
      <c r="A7" s="154" t="s">
        <v>69</v>
      </c>
      <c r="B7" s="154" t="s">
        <v>69</v>
      </c>
      <c r="C7" s="154" t="s">
        <v>280</v>
      </c>
      <c r="D7" s="154" t="s">
        <v>1876</v>
      </c>
      <c r="E7" s="155">
        <v>2012</v>
      </c>
      <c r="G7" s="53"/>
      <c r="H7" s="53"/>
      <c r="I7" s="53"/>
      <c r="J7" s="53"/>
      <c r="K7" s="53"/>
      <c r="L7" s="53"/>
      <c r="M7" s="53"/>
      <c r="N7" s="53"/>
      <c r="O7" s="53"/>
      <c r="P7" s="53"/>
      <c r="Q7" s="53"/>
      <c r="R7" s="53"/>
      <c r="S7" s="53"/>
      <c r="T7" s="53"/>
      <c r="U7" s="53"/>
      <c r="V7" s="53"/>
      <c r="W7" s="53"/>
      <c r="X7" s="53"/>
      <c r="Y7" s="53"/>
      <c r="Z7" s="53"/>
    </row>
    <row r="8" spans="1:26" ht="20.25" customHeight="1">
      <c r="A8" s="156"/>
      <c r="B8" s="154" t="s">
        <v>238</v>
      </c>
      <c r="C8" s="154" t="s">
        <v>239</v>
      </c>
      <c r="D8" s="154" t="s">
        <v>1876</v>
      </c>
      <c r="E8" s="155">
        <v>2016</v>
      </c>
      <c r="G8" s="53"/>
      <c r="H8" s="53"/>
      <c r="I8" s="53"/>
      <c r="J8" s="53"/>
      <c r="K8" s="53"/>
      <c r="L8" s="53"/>
      <c r="M8" s="53"/>
      <c r="N8" s="53"/>
      <c r="O8" s="53"/>
      <c r="P8" s="53"/>
      <c r="Q8" s="53"/>
      <c r="R8" s="53"/>
      <c r="S8" s="53"/>
      <c r="T8" s="53"/>
      <c r="U8" s="53"/>
      <c r="V8" s="53"/>
      <c r="W8" s="53"/>
      <c r="X8" s="53"/>
      <c r="Y8" s="53"/>
      <c r="Z8" s="53"/>
    </row>
    <row r="9" spans="1:26" ht="20.25" customHeight="1">
      <c r="A9" s="156"/>
      <c r="B9" s="154" t="s">
        <v>275</v>
      </c>
      <c r="C9" s="154" t="s">
        <v>276</v>
      </c>
      <c r="D9" s="154" t="s">
        <v>1876</v>
      </c>
      <c r="E9" s="155">
        <v>2012</v>
      </c>
      <c r="G9" s="53"/>
      <c r="H9" s="53"/>
      <c r="I9" s="53"/>
      <c r="J9" s="53"/>
      <c r="K9" s="53"/>
      <c r="L9" s="53"/>
      <c r="M9" s="53"/>
      <c r="N9" s="53"/>
      <c r="O9" s="53"/>
      <c r="P9" s="53"/>
      <c r="Q9" s="53"/>
      <c r="R9" s="53"/>
      <c r="S9" s="53"/>
      <c r="T9" s="53"/>
      <c r="U9" s="53"/>
      <c r="V9" s="53"/>
      <c r="W9" s="53"/>
      <c r="X9" s="53"/>
      <c r="Y9" s="53"/>
      <c r="Z9" s="53"/>
    </row>
    <row r="10" spans="1:26" ht="20.25" customHeight="1">
      <c r="A10" s="156"/>
      <c r="B10" s="154" t="s">
        <v>270</v>
      </c>
      <c r="C10" s="154" t="s">
        <v>271</v>
      </c>
      <c r="D10" s="154" t="s">
        <v>1876</v>
      </c>
      <c r="E10" s="155">
        <v>2015</v>
      </c>
      <c r="G10" s="53"/>
      <c r="H10" s="53"/>
      <c r="I10" s="53"/>
      <c r="J10" s="53"/>
      <c r="K10" s="53"/>
      <c r="L10" s="53"/>
      <c r="M10" s="53"/>
      <c r="N10" s="53"/>
      <c r="O10" s="53"/>
      <c r="P10" s="53"/>
      <c r="Q10" s="53"/>
      <c r="R10" s="53"/>
      <c r="S10" s="53"/>
      <c r="T10" s="53"/>
      <c r="U10" s="53"/>
      <c r="V10" s="53"/>
      <c r="W10" s="53"/>
      <c r="X10" s="53"/>
      <c r="Y10" s="53"/>
      <c r="Z10" s="53"/>
    </row>
    <row r="11" spans="1:26" ht="20.25" customHeight="1">
      <c r="A11" s="156"/>
      <c r="B11" s="154" t="s">
        <v>239</v>
      </c>
      <c r="C11" s="154" t="s">
        <v>239</v>
      </c>
      <c r="D11" s="154" t="s">
        <v>1876</v>
      </c>
      <c r="E11" s="155">
        <v>2016</v>
      </c>
      <c r="G11" s="53"/>
      <c r="H11" s="53"/>
      <c r="I11" s="53"/>
      <c r="J11" s="53"/>
      <c r="K11" s="53"/>
      <c r="L11" s="53"/>
      <c r="M11" s="53"/>
      <c r="N11" s="53"/>
      <c r="O11" s="53"/>
      <c r="P11" s="53"/>
      <c r="Q11" s="53"/>
      <c r="R11" s="53"/>
      <c r="S11" s="53"/>
      <c r="T11" s="53"/>
      <c r="U11" s="53"/>
      <c r="V11" s="53"/>
      <c r="W11" s="53"/>
      <c r="X11" s="53"/>
      <c r="Y11" s="53"/>
      <c r="Z11" s="53"/>
    </row>
    <row r="12" spans="1:26" ht="20.25" customHeight="1">
      <c r="A12" s="156"/>
      <c r="B12" s="156"/>
      <c r="C12" s="156"/>
      <c r="D12" s="156"/>
      <c r="E12" s="157">
        <v>2019</v>
      </c>
      <c r="G12" s="53"/>
      <c r="H12" s="53"/>
      <c r="I12" s="53"/>
      <c r="J12" s="53"/>
      <c r="K12" s="53"/>
      <c r="L12" s="53"/>
      <c r="M12" s="53"/>
      <c r="N12" s="53"/>
      <c r="O12" s="53"/>
      <c r="P12" s="53"/>
      <c r="Q12" s="53"/>
      <c r="R12" s="53"/>
      <c r="S12" s="53"/>
      <c r="T12" s="53"/>
      <c r="U12" s="53"/>
      <c r="V12" s="53"/>
      <c r="W12" s="53"/>
      <c r="X12" s="53"/>
      <c r="Y12" s="53"/>
      <c r="Z12" s="53"/>
    </row>
    <row r="13" spans="1:26" ht="20.25" customHeight="1">
      <c r="A13" s="154" t="s">
        <v>85</v>
      </c>
      <c r="B13" s="154" t="s">
        <v>659</v>
      </c>
      <c r="C13" s="154" t="s">
        <v>660</v>
      </c>
      <c r="D13" s="154" t="s">
        <v>1876</v>
      </c>
      <c r="E13" s="155">
        <v>2012</v>
      </c>
      <c r="G13" s="53"/>
      <c r="H13" s="53"/>
      <c r="I13" s="53"/>
      <c r="J13" s="53"/>
      <c r="K13" s="53"/>
      <c r="L13" s="53"/>
      <c r="M13" s="53"/>
      <c r="N13" s="53"/>
      <c r="O13" s="53"/>
      <c r="P13" s="53"/>
      <c r="Q13" s="53"/>
      <c r="R13" s="53"/>
      <c r="S13" s="53"/>
      <c r="T13" s="53"/>
      <c r="U13" s="53"/>
      <c r="V13" s="53"/>
      <c r="W13" s="53"/>
      <c r="X13" s="53"/>
      <c r="Y13" s="53"/>
      <c r="Z13" s="53"/>
    </row>
    <row r="14" spans="1:26" ht="20.25" customHeight="1">
      <c r="A14" s="156"/>
      <c r="B14" s="156"/>
      <c r="C14" s="154" t="s">
        <v>877</v>
      </c>
      <c r="D14" s="154" t="s">
        <v>1876</v>
      </c>
      <c r="E14" s="155">
        <v>2019</v>
      </c>
      <c r="G14" s="53"/>
      <c r="H14" s="53"/>
      <c r="I14" s="53"/>
      <c r="J14" s="53"/>
      <c r="K14" s="53"/>
      <c r="L14" s="53"/>
      <c r="M14" s="53"/>
      <c r="N14" s="53"/>
      <c r="O14" s="53"/>
      <c r="P14" s="53"/>
      <c r="Q14" s="53"/>
      <c r="R14" s="53"/>
      <c r="S14" s="53"/>
      <c r="T14" s="53"/>
      <c r="U14" s="53"/>
      <c r="V14" s="53"/>
      <c r="W14" s="53"/>
      <c r="X14" s="53"/>
      <c r="Y14" s="53"/>
      <c r="Z14" s="53"/>
    </row>
    <row r="15" spans="1:26" ht="20.25" customHeight="1">
      <c r="A15" s="156"/>
      <c r="B15" s="154" t="s">
        <v>485</v>
      </c>
      <c r="C15" s="154" t="s">
        <v>486</v>
      </c>
      <c r="D15" s="154" t="s">
        <v>1876</v>
      </c>
      <c r="E15" s="155">
        <v>2012</v>
      </c>
      <c r="G15" s="53"/>
      <c r="H15" s="53"/>
      <c r="I15" s="53"/>
      <c r="J15" s="53"/>
      <c r="K15" s="53"/>
      <c r="L15" s="53"/>
      <c r="M15" s="53"/>
      <c r="N15" s="53"/>
      <c r="O15" s="53"/>
      <c r="P15" s="53"/>
      <c r="Q15" s="53"/>
      <c r="R15" s="53"/>
      <c r="S15" s="53"/>
      <c r="T15" s="53"/>
      <c r="U15" s="53"/>
      <c r="V15" s="53"/>
      <c r="W15" s="53"/>
      <c r="X15" s="53"/>
      <c r="Y15" s="53"/>
      <c r="Z15" s="53"/>
    </row>
    <row r="16" spans="1:26" ht="20.25" customHeight="1">
      <c r="A16" s="156"/>
      <c r="B16" s="154" t="s">
        <v>754</v>
      </c>
      <c r="C16" s="154" t="s">
        <v>1309</v>
      </c>
      <c r="D16" s="154" t="s">
        <v>1876</v>
      </c>
      <c r="E16" s="155">
        <v>2017</v>
      </c>
      <c r="G16" s="53"/>
      <c r="H16" s="53"/>
      <c r="I16" s="53"/>
      <c r="J16" s="53"/>
      <c r="K16" s="53"/>
      <c r="L16" s="53"/>
      <c r="M16" s="53"/>
      <c r="N16" s="53"/>
      <c r="O16" s="53"/>
      <c r="P16" s="53"/>
      <c r="Q16" s="53"/>
      <c r="R16" s="53"/>
      <c r="S16" s="53"/>
      <c r="T16" s="53"/>
      <c r="U16" s="53"/>
      <c r="V16" s="53"/>
      <c r="W16" s="53"/>
      <c r="X16" s="53"/>
      <c r="Y16" s="53"/>
      <c r="Z16" s="53"/>
    </row>
    <row r="17" spans="1:26" ht="20.25" customHeight="1">
      <c r="A17" s="156"/>
      <c r="B17" s="156"/>
      <c r="C17" s="154" t="s">
        <v>1092</v>
      </c>
      <c r="D17" s="154" t="s">
        <v>1876</v>
      </c>
      <c r="E17" s="155">
        <v>2019</v>
      </c>
      <c r="G17" s="53"/>
      <c r="H17" s="53"/>
      <c r="I17" s="53"/>
      <c r="J17" s="53"/>
      <c r="K17" s="53"/>
      <c r="L17" s="53"/>
      <c r="M17" s="53"/>
      <c r="N17" s="53"/>
      <c r="O17" s="53"/>
      <c r="P17" s="53"/>
      <c r="Q17" s="53"/>
      <c r="R17" s="53"/>
      <c r="S17" s="53"/>
      <c r="T17" s="53"/>
      <c r="U17" s="53"/>
      <c r="V17" s="53"/>
      <c r="W17" s="53"/>
      <c r="X17" s="53"/>
      <c r="Y17" s="53"/>
      <c r="Z17" s="53"/>
    </row>
    <row r="18" spans="1:26" ht="20.25" customHeight="1">
      <c r="A18" s="156"/>
      <c r="B18" s="156"/>
      <c r="C18" s="154" t="s">
        <v>814</v>
      </c>
      <c r="D18" s="154" t="s">
        <v>1876</v>
      </c>
      <c r="E18" s="155">
        <v>2018</v>
      </c>
      <c r="G18" s="53"/>
      <c r="H18" s="53"/>
      <c r="I18" s="53"/>
      <c r="J18" s="53"/>
      <c r="K18" s="53"/>
      <c r="L18" s="53"/>
      <c r="M18" s="53"/>
      <c r="N18" s="53"/>
      <c r="O18" s="53"/>
      <c r="P18" s="53"/>
      <c r="Q18" s="53"/>
      <c r="R18" s="53"/>
      <c r="S18" s="53"/>
      <c r="T18" s="53"/>
      <c r="U18" s="53"/>
      <c r="V18" s="53"/>
      <c r="W18" s="53"/>
      <c r="X18" s="53"/>
      <c r="Y18" s="53"/>
      <c r="Z18" s="53"/>
    </row>
    <row r="19" spans="1:26" ht="20.25" customHeight="1">
      <c r="A19" s="156"/>
      <c r="B19" s="156"/>
      <c r="C19" s="156"/>
      <c r="D19" s="156"/>
      <c r="E19" s="157">
        <v>2019</v>
      </c>
      <c r="G19" s="53"/>
      <c r="H19" s="53"/>
      <c r="I19" s="53"/>
      <c r="J19" s="53"/>
      <c r="K19" s="53"/>
      <c r="L19" s="53"/>
      <c r="M19" s="53"/>
      <c r="N19" s="53"/>
      <c r="O19" s="53"/>
      <c r="P19" s="53"/>
      <c r="Q19" s="53"/>
      <c r="R19" s="53"/>
      <c r="S19" s="53"/>
      <c r="T19" s="53"/>
      <c r="U19" s="53"/>
      <c r="V19" s="53"/>
      <c r="W19" s="53"/>
      <c r="X19" s="53"/>
      <c r="Y19" s="53"/>
      <c r="Z19" s="53"/>
    </row>
    <row r="20" spans="1:26" ht="20.25" customHeight="1">
      <c r="A20" s="156"/>
      <c r="B20" s="156"/>
      <c r="C20" s="154" t="s">
        <v>755</v>
      </c>
      <c r="D20" s="154" t="s">
        <v>1876</v>
      </c>
      <c r="E20" s="155">
        <v>2017</v>
      </c>
      <c r="G20" s="53"/>
      <c r="H20" s="53"/>
      <c r="I20" s="53"/>
      <c r="J20" s="53"/>
      <c r="K20" s="53"/>
      <c r="L20" s="53"/>
      <c r="M20" s="53"/>
      <c r="N20" s="53"/>
      <c r="O20" s="53"/>
      <c r="P20" s="53"/>
      <c r="Q20" s="53"/>
      <c r="R20" s="53"/>
      <c r="S20" s="53"/>
      <c r="T20" s="53"/>
      <c r="U20" s="53"/>
      <c r="V20" s="53"/>
      <c r="W20" s="53"/>
      <c r="X20" s="53"/>
      <c r="Y20" s="53"/>
      <c r="Z20" s="53"/>
    </row>
    <row r="21" spans="1:26" ht="20.25" customHeight="1">
      <c r="A21" s="156"/>
      <c r="B21" s="154" t="s">
        <v>935</v>
      </c>
      <c r="C21" s="154" t="s">
        <v>936</v>
      </c>
      <c r="D21" s="154" t="s">
        <v>1876</v>
      </c>
      <c r="E21" s="155">
        <v>2012</v>
      </c>
      <c r="G21" s="53"/>
      <c r="H21" s="53"/>
      <c r="I21" s="53"/>
      <c r="J21" s="53"/>
      <c r="K21" s="53"/>
      <c r="L21" s="53"/>
      <c r="M21" s="53"/>
      <c r="N21" s="53"/>
      <c r="O21" s="53"/>
      <c r="P21" s="53"/>
      <c r="Q21" s="53"/>
      <c r="R21" s="53"/>
      <c r="S21" s="53"/>
      <c r="T21" s="53"/>
      <c r="U21" s="53"/>
      <c r="V21" s="53"/>
      <c r="W21" s="53"/>
      <c r="X21" s="53"/>
      <c r="Y21" s="53"/>
      <c r="Z21" s="53"/>
    </row>
    <row r="22" spans="1:26" ht="20.25" customHeight="1">
      <c r="A22" s="156"/>
      <c r="B22" s="154" t="s">
        <v>1164</v>
      </c>
      <c r="C22" s="154" t="s">
        <v>1165</v>
      </c>
      <c r="D22" s="154" t="s">
        <v>1876</v>
      </c>
      <c r="E22" s="155">
        <v>2012</v>
      </c>
      <c r="G22" s="53"/>
      <c r="H22" s="53"/>
      <c r="I22" s="53"/>
      <c r="J22" s="53"/>
      <c r="K22" s="53"/>
      <c r="L22" s="53"/>
      <c r="M22" s="53"/>
      <c r="N22" s="53"/>
      <c r="O22" s="53"/>
      <c r="P22" s="53"/>
      <c r="Q22" s="53"/>
      <c r="R22" s="53"/>
      <c r="S22" s="53"/>
      <c r="T22" s="53"/>
      <c r="U22" s="53"/>
      <c r="V22" s="53"/>
      <c r="W22" s="53"/>
      <c r="X22" s="53"/>
      <c r="Y22" s="53"/>
      <c r="Z22" s="53"/>
    </row>
    <row r="23" spans="1:26" ht="20.25" customHeight="1">
      <c r="A23" s="156"/>
      <c r="B23" s="154" t="s">
        <v>1232</v>
      </c>
      <c r="C23" s="154" t="s">
        <v>1233</v>
      </c>
      <c r="D23" s="154" t="s">
        <v>1876</v>
      </c>
      <c r="E23" s="155">
        <v>2015</v>
      </c>
      <c r="G23" s="53"/>
      <c r="H23" s="53"/>
      <c r="I23" s="53"/>
      <c r="J23" s="53"/>
      <c r="K23" s="53"/>
      <c r="L23" s="53"/>
      <c r="M23" s="53"/>
      <c r="N23" s="53"/>
      <c r="O23" s="53"/>
      <c r="P23" s="53"/>
      <c r="Q23" s="53"/>
      <c r="R23" s="53"/>
      <c r="S23" s="53"/>
      <c r="T23" s="53"/>
      <c r="U23" s="53"/>
      <c r="V23" s="53"/>
      <c r="W23" s="53"/>
      <c r="X23" s="53"/>
      <c r="Y23" s="53"/>
      <c r="Z23" s="53"/>
    </row>
    <row r="24" spans="1:26" ht="20.25" customHeight="1">
      <c r="A24" s="156"/>
      <c r="B24" s="154" t="s">
        <v>498</v>
      </c>
      <c r="C24" s="154" t="s">
        <v>709</v>
      </c>
      <c r="D24" s="154" t="s">
        <v>1876</v>
      </c>
      <c r="E24" s="155">
        <v>2018</v>
      </c>
      <c r="G24" s="53"/>
      <c r="H24" s="53"/>
      <c r="I24" s="53"/>
      <c r="J24" s="53"/>
      <c r="K24" s="53"/>
      <c r="L24" s="53"/>
      <c r="M24" s="53"/>
      <c r="N24" s="53"/>
      <c r="O24" s="53"/>
      <c r="P24" s="53"/>
      <c r="Q24" s="53"/>
      <c r="R24" s="53"/>
      <c r="S24" s="53"/>
      <c r="T24" s="53"/>
      <c r="U24" s="53"/>
      <c r="V24" s="53"/>
      <c r="W24" s="53"/>
      <c r="X24" s="53"/>
      <c r="Y24" s="53"/>
      <c r="Z24" s="53"/>
    </row>
    <row r="25" spans="1:26" ht="20.25" customHeight="1">
      <c r="A25" s="156"/>
      <c r="B25" s="156"/>
      <c r="C25" s="154" t="s">
        <v>499</v>
      </c>
      <c r="D25" s="154" t="s">
        <v>1876</v>
      </c>
      <c r="E25" s="155">
        <v>2015</v>
      </c>
      <c r="G25" s="53"/>
      <c r="H25" s="53"/>
      <c r="I25" s="53"/>
      <c r="J25" s="53"/>
      <c r="K25" s="53"/>
      <c r="L25" s="53"/>
      <c r="M25" s="53"/>
      <c r="N25" s="53"/>
      <c r="O25" s="53"/>
      <c r="P25" s="53"/>
      <c r="Q25" s="53"/>
      <c r="R25" s="53"/>
      <c r="S25" s="53"/>
      <c r="T25" s="53"/>
      <c r="U25" s="53"/>
      <c r="V25" s="53"/>
      <c r="W25" s="53"/>
      <c r="X25" s="53"/>
      <c r="Y25" s="53"/>
      <c r="Z25" s="53"/>
    </row>
    <row r="26" spans="1:26" ht="20.25" customHeight="1">
      <c r="A26" s="156"/>
      <c r="B26" s="156"/>
      <c r="C26" s="154" t="s">
        <v>687</v>
      </c>
      <c r="D26" s="154" t="s">
        <v>1876</v>
      </c>
      <c r="E26" s="155">
        <v>2016</v>
      </c>
      <c r="G26" s="53"/>
      <c r="H26" s="53"/>
      <c r="I26" s="53"/>
      <c r="J26" s="53"/>
      <c r="K26" s="53"/>
      <c r="L26" s="53"/>
      <c r="M26" s="53"/>
      <c r="N26" s="53"/>
      <c r="O26" s="53"/>
      <c r="P26" s="53"/>
      <c r="Q26" s="53"/>
      <c r="R26" s="53"/>
      <c r="S26" s="53"/>
      <c r="T26" s="53"/>
      <c r="U26" s="53"/>
      <c r="V26" s="53"/>
      <c r="W26" s="53"/>
      <c r="X26" s="53"/>
      <c r="Y26" s="53"/>
      <c r="Z26" s="53"/>
    </row>
    <row r="27" spans="1:26" ht="20.25" customHeight="1">
      <c r="A27" s="156"/>
      <c r="B27" s="156"/>
      <c r="C27" s="154" t="s">
        <v>498</v>
      </c>
      <c r="D27" s="154" t="s">
        <v>1876</v>
      </c>
      <c r="E27" s="155">
        <v>2012</v>
      </c>
      <c r="G27" s="53"/>
      <c r="H27" s="53"/>
      <c r="I27" s="53"/>
      <c r="J27" s="53"/>
      <c r="K27" s="53"/>
      <c r="L27" s="53"/>
      <c r="M27" s="53"/>
      <c r="N27" s="53"/>
      <c r="O27" s="53"/>
      <c r="P27" s="53"/>
      <c r="Q27" s="53"/>
      <c r="R27" s="53"/>
      <c r="S27" s="53"/>
      <c r="T27" s="53"/>
      <c r="U27" s="53"/>
      <c r="V27" s="53"/>
      <c r="W27" s="53"/>
      <c r="X27" s="53"/>
      <c r="Y27" s="53"/>
      <c r="Z27" s="53"/>
    </row>
    <row r="28" spans="1:26" ht="20.25" customHeight="1">
      <c r="A28" s="156"/>
      <c r="B28" s="156"/>
      <c r="C28" s="154" t="s">
        <v>1122</v>
      </c>
      <c r="D28" s="154" t="s">
        <v>1876</v>
      </c>
      <c r="E28" s="155">
        <v>2018</v>
      </c>
      <c r="G28" s="53"/>
      <c r="H28" s="53"/>
      <c r="I28" s="53"/>
      <c r="J28" s="53"/>
      <c r="K28" s="53"/>
      <c r="L28" s="53"/>
      <c r="M28" s="53"/>
      <c r="N28" s="53"/>
      <c r="O28" s="53"/>
      <c r="P28" s="53"/>
      <c r="Q28" s="53"/>
      <c r="R28" s="53"/>
      <c r="S28" s="53"/>
      <c r="T28" s="53"/>
      <c r="U28" s="53"/>
      <c r="V28" s="53"/>
      <c r="W28" s="53"/>
      <c r="X28" s="53"/>
      <c r="Y28" s="53"/>
      <c r="Z28" s="53"/>
    </row>
    <row r="29" spans="1:26" ht="20.25" customHeight="1">
      <c r="A29" s="156"/>
      <c r="B29" s="154" t="s">
        <v>670</v>
      </c>
      <c r="C29" s="154" t="s">
        <v>671</v>
      </c>
      <c r="D29" s="154" t="s">
        <v>1876</v>
      </c>
      <c r="E29" s="155">
        <v>2019</v>
      </c>
      <c r="G29" s="53"/>
      <c r="H29" s="53"/>
      <c r="I29" s="53"/>
      <c r="J29" s="53"/>
      <c r="K29" s="53"/>
      <c r="L29" s="53"/>
      <c r="M29" s="53"/>
      <c r="N29" s="53"/>
      <c r="O29" s="53"/>
      <c r="P29" s="53"/>
      <c r="Q29" s="53"/>
      <c r="R29" s="53"/>
      <c r="S29" s="53"/>
      <c r="T29" s="53"/>
      <c r="U29" s="53"/>
      <c r="V29" s="53"/>
      <c r="W29" s="53"/>
      <c r="X29" s="53"/>
      <c r="Y29" s="53"/>
      <c r="Z29" s="53"/>
    </row>
    <row r="30" spans="1:26" ht="20.25" customHeight="1">
      <c r="A30" s="156"/>
      <c r="B30" s="156"/>
      <c r="C30" s="154" t="s">
        <v>1316</v>
      </c>
      <c r="D30" s="154" t="s">
        <v>1876</v>
      </c>
      <c r="E30" s="155">
        <v>2018</v>
      </c>
      <c r="G30" s="53"/>
      <c r="H30" s="53"/>
      <c r="I30" s="53"/>
      <c r="J30" s="53"/>
      <c r="K30" s="53"/>
      <c r="L30" s="53"/>
      <c r="M30" s="53"/>
      <c r="N30" s="53"/>
      <c r="O30" s="53"/>
      <c r="P30" s="53"/>
      <c r="Q30" s="53"/>
      <c r="R30" s="53"/>
      <c r="S30" s="53"/>
      <c r="T30" s="53"/>
      <c r="U30" s="53"/>
      <c r="V30" s="53"/>
      <c r="W30" s="53"/>
      <c r="X30" s="53"/>
      <c r="Y30" s="53"/>
      <c r="Z30" s="53"/>
    </row>
    <row r="31" spans="1:26" ht="20.25" customHeight="1">
      <c r="A31" s="156"/>
      <c r="B31" s="156"/>
      <c r="C31" s="154" t="s">
        <v>1304</v>
      </c>
      <c r="D31" s="154" t="s">
        <v>1876</v>
      </c>
      <c r="E31" s="155">
        <v>2015</v>
      </c>
      <c r="G31" s="53"/>
      <c r="H31" s="53"/>
      <c r="I31" s="53"/>
      <c r="J31" s="53"/>
      <c r="K31" s="53"/>
      <c r="L31" s="53"/>
      <c r="M31" s="53"/>
      <c r="N31" s="53"/>
      <c r="O31" s="53"/>
      <c r="P31" s="53"/>
      <c r="Q31" s="53"/>
      <c r="R31" s="53"/>
      <c r="S31" s="53"/>
      <c r="T31" s="53"/>
      <c r="U31" s="53"/>
      <c r="V31" s="53"/>
      <c r="W31" s="53"/>
      <c r="X31" s="53"/>
      <c r="Y31" s="53"/>
      <c r="Z31" s="53"/>
    </row>
    <row r="32" spans="1:26" ht="20.25" customHeight="1">
      <c r="A32" s="156"/>
      <c r="B32" s="154" t="s">
        <v>475</v>
      </c>
      <c r="C32" s="154" t="s">
        <v>476</v>
      </c>
      <c r="D32" s="154" t="s">
        <v>1876</v>
      </c>
      <c r="E32" s="155">
        <v>2017</v>
      </c>
      <c r="G32" s="53"/>
      <c r="H32" s="53"/>
      <c r="I32" s="53"/>
      <c r="J32" s="53"/>
      <c r="K32" s="53"/>
      <c r="L32" s="53"/>
      <c r="M32" s="53"/>
      <c r="N32" s="53"/>
      <c r="O32" s="53"/>
      <c r="P32" s="53"/>
      <c r="Q32" s="53"/>
      <c r="R32" s="53"/>
      <c r="S32" s="53"/>
      <c r="T32" s="53"/>
      <c r="U32" s="53"/>
      <c r="V32" s="53"/>
      <c r="W32" s="53"/>
      <c r="X32" s="53"/>
      <c r="Y32" s="53"/>
      <c r="Z32" s="53"/>
    </row>
    <row r="33" spans="1:26" ht="20.25" customHeight="1">
      <c r="A33" s="156"/>
      <c r="B33" s="156"/>
      <c r="C33" s="154" t="s">
        <v>988</v>
      </c>
      <c r="D33" s="154" t="s">
        <v>1876</v>
      </c>
      <c r="E33" s="155">
        <v>2017</v>
      </c>
      <c r="G33" s="53"/>
      <c r="H33" s="53"/>
      <c r="I33" s="53"/>
      <c r="J33" s="53"/>
      <c r="K33" s="53"/>
      <c r="L33" s="53"/>
      <c r="M33" s="53"/>
      <c r="N33" s="53"/>
      <c r="O33" s="53"/>
      <c r="P33" s="53"/>
      <c r="Q33" s="53"/>
      <c r="R33" s="53"/>
      <c r="S33" s="53"/>
      <c r="T33" s="53"/>
      <c r="U33" s="53"/>
      <c r="V33" s="53"/>
      <c r="W33" s="53"/>
      <c r="X33" s="53"/>
      <c r="Y33" s="53"/>
      <c r="Z33" s="53"/>
    </row>
    <row r="34" spans="1:26" ht="20.25" customHeight="1">
      <c r="A34" s="156"/>
      <c r="B34" s="154" t="s">
        <v>599</v>
      </c>
      <c r="C34" s="154" t="s">
        <v>600</v>
      </c>
      <c r="D34" s="154" t="s">
        <v>1876</v>
      </c>
      <c r="E34" s="155">
        <v>2012</v>
      </c>
      <c r="G34" s="53"/>
      <c r="H34" s="53"/>
      <c r="I34" s="53"/>
      <c r="J34" s="53"/>
      <c r="K34" s="53"/>
      <c r="L34" s="53"/>
      <c r="M34" s="53"/>
      <c r="N34" s="53"/>
      <c r="O34" s="53"/>
      <c r="P34" s="53"/>
      <c r="Q34" s="53"/>
      <c r="R34" s="53"/>
      <c r="S34" s="53"/>
      <c r="T34" s="53"/>
      <c r="U34" s="53"/>
      <c r="V34" s="53"/>
      <c r="W34" s="53"/>
      <c r="X34" s="53"/>
      <c r="Y34" s="53"/>
      <c r="Z34" s="53"/>
    </row>
    <row r="35" spans="1:26" ht="20.25" customHeight="1">
      <c r="A35" s="156"/>
      <c r="B35" s="154" t="s">
        <v>1037</v>
      </c>
      <c r="C35" s="154" t="s">
        <v>1038</v>
      </c>
      <c r="D35" s="154" t="s">
        <v>1876</v>
      </c>
      <c r="E35" s="155">
        <v>2018</v>
      </c>
      <c r="G35" s="53"/>
      <c r="H35" s="53"/>
      <c r="I35" s="53"/>
      <c r="J35" s="53"/>
      <c r="K35" s="53"/>
      <c r="L35" s="53"/>
      <c r="M35" s="53"/>
      <c r="N35" s="53"/>
      <c r="O35" s="53"/>
      <c r="P35" s="53"/>
      <c r="Q35" s="53"/>
      <c r="R35" s="53"/>
      <c r="S35" s="53"/>
      <c r="T35" s="53"/>
      <c r="U35" s="53"/>
      <c r="V35" s="53"/>
      <c r="W35" s="53"/>
      <c r="X35" s="53"/>
      <c r="Y35" s="53"/>
      <c r="Z35" s="53"/>
    </row>
    <row r="36" spans="1:26" ht="20.25" customHeight="1">
      <c r="A36" s="156"/>
      <c r="B36" s="154" t="s">
        <v>623</v>
      </c>
      <c r="C36" s="154" t="s">
        <v>624</v>
      </c>
      <c r="D36" s="154" t="s">
        <v>1876</v>
      </c>
      <c r="E36" s="155">
        <v>2017</v>
      </c>
      <c r="G36" s="53"/>
      <c r="H36" s="53"/>
      <c r="I36" s="53"/>
      <c r="J36" s="53"/>
      <c r="K36" s="53"/>
      <c r="L36" s="53"/>
      <c r="M36" s="53"/>
      <c r="N36" s="53"/>
      <c r="O36" s="53"/>
      <c r="P36" s="53"/>
      <c r="Q36" s="53"/>
      <c r="R36" s="53"/>
      <c r="S36" s="53"/>
      <c r="T36" s="53"/>
      <c r="U36" s="53"/>
      <c r="V36" s="53"/>
      <c r="W36" s="53"/>
      <c r="X36" s="53"/>
      <c r="Y36" s="53"/>
      <c r="Z36" s="53"/>
    </row>
    <row r="37" spans="1:26" ht="20.25" customHeight="1">
      <c r="A37" s="156"/>
      <c r="B37" s="154" t="s">
        <v>942</v>
      </c>
      <c r="C37" s="154" t="s">
        <v>1256</v>
      </c>
      <c r="D37" s="154" t="s">
        <v>1876</v>
      </c>
      <c r="E37" s="155">
        <v>2017</v>
      </c>
      <c r="G37" s="53"/>
      <c r="H37" s="53"/>
      <c r="I37" s="53"/>
      <c r="J37" s="53"/>
      <c r="K37" s="53"/>
      <c r="L37" s="53"/>
      <c r="M37" s="53"/>
      <c r="N37" s="53"/>
      <c r="O37" s="53"/>
      <c r="P37" s="53"/>
      <c r="Q37" s="53"/>
      <c r="R37" s="53"/>
      <c r="S37" s="53"/>
      <c r="T37" s="53"/>
      <c r="U37" s="53"/>
      <c r="V37" s="53"/>
      <c r="W37" s="53"/>
      <c r="X37" s="53"/>
      <c r="Y37" s="53"/>
      <c r="Z37" s="53"/>
    </row>
    <row r="38" spans="1:26" ht="20.25" customHeight="1">
      <c r="A38" s="156"/>
      <c r="B38" s="156"/>
      <c r="C38" s="154" t="s">
        <v>943</v>
      </c>
      <c r="D38" s="154" t="s">
        <v>1876</v>
      </c>
      <c r="E38" s="155">
        <v>2017</v>
      </c>
      <c r="G38" s="53"/>
      <c r="H38" s="53"/>
      <c r="I38" s="53"/>
      <c r="J38" s="53"/>
      <c r="K38" s="53"/>
      <c r="L38" s="53"/>
      <c r="M38" s="53"/>
      <c r="N38" s="53"/>
      <c r="O38" s="53"/>
      <c r="P38" s="53"/>
      <c r="Q38" s="53"/>
      <c r="R38" s="53"/>
      <c r="S38" s="53"/>
      <c r="T38" s="53"/>
      <c r="U38" s="53"/>
      <c r="V38" s="53"/>
      <c r="W38" s="53"/>
      <c r="X38" s="53"/>
      <c r="Y38" s="53"/>
      <c r="Z38" s="53"/>
    </row>
    <row r="39" spans="1:26" ht="20.25" customHeight="1">
      <c r="A39" s="156"/>
      <c r="B39" s="154" t="s">
        <v>1154</v>
      </c>
      <c r="C39" s="154" t="s">
        <v>1155</v>
      </c>
      <c r="D39" s="154" t="s">
        <v>1876</v>
      </c>
      <c r="E39" s="155">
        <v>2016</v>
      </c>
      <c r="G39" s="53"/>
      <c r="H39" s="53"/>
      <c r="I39" s="53"/>
      <c r="J39" s="53"/>
      <c r="K39" s="53"/>
      <c r="L39" s="53"/>
      <c r="M39" s="53"/>
      <c r="N39" s="53"/>
      <c r="O39" s="53"/>
      <c r="P39" s="53"/>
      <c r="Q39" s="53"/>
      <c r="R39" s="53"/>
      <c r="S39" s="53"/>
      <c r="T39" s="53"/>
      <c r="U39" s="53"/>
      <c r="V39" s="53"/>
      <c r="W39" s="53"/>
      <c r="X39" s="53"/>
      <c r="Y39" s="53"/>
      <c r="Z39" s="53"/>
    </row>
    <row r="40" spans="1:26" ht="20.25" customHeight="1">
      <c r="A40" s="156"/>
      <c r="B40" s="154" t="s">
        <v>491</v>
      </c>
      <c r="C40" s="154" t="s">
        <v>492</v>
      </c>
      <c r="D40" s="154" t="s">
        <v>1876</v>
      </c>
      <c r="E40" s="155">
        <v>2015</v>
      </c>
      <c r="G40" s="53"/>
      <c r="H40" s="53"/>
      <c r="I40" s="53"/>
      <c r="J40" s="53"/>
      <c r="K40" s="53"/>
      <c r="L40" s="53"/>
      <c r="M40" s="53"/>
      <c r="N40" s="53"/>
      <c r="O40" s="53"/>
      <c r="P40" s="53"/>
      <c r="Q40" s="53"/>
      <c r="R40" s="53"/>
      <c r="S40" s="53"/>
      <c r="T40" s="53"/>
      <c r="U40" s="53"/>
      <c r="V40" s="53"/>
      <c r="W40" s="53"/>
      <c r="X40" s="53"/>
      <c r="Y40" s="53"/>
      <c r="Z40" s="53"/>
    </row>
    <row r="41" spans="1:26" ht="20.25" customHeight="1">
      <c r="A41" s="156"/>
      <c r="B41" s="156"/>
      <c r="C41" s="156"/>
      <c r="D41" s="156"/>
      <c r="E41" s="157">
        <v>2016</v>
      </c>
      <c r="G41" s="53"/>
      <c r="H41" s="53"/>
      <c r="I41" s="53"/>
      <c r="J41" s="53"/>
      <c r="K41" s="53"/>
      <c r="L41" s="53"/>
      <c r="M41" s="53"/>
      <c r="N41" s="53"/>
      <c r="O41" s="53"/>
      <c r="P41" s="53"/>
      <c r="Q41" s="53"/>
      <c r="R41" s="53"/>
      <c r="S41" s="53"/>
      <c r="T41" s="53"/>
      <c r="U41" s="53"/>
      <c r="V41" s="53"/>
      <c r="W41" s="53"/>
      <c r="X41" s="53"/>
      <c r="Y41" s="53"/>
      <c r="Z41" s="53"/>
    </row>
    <row r="42" spans="1:26" ht="20.25" customHeight="1">
      <c r="A42" s="156"/>
      <c r="B42" s="154" t="s">
        <v>509</v>
      </c>
      <c r="C42" s="154" t="s">
        <v>510</v>
      </c>
      <c r="D42" s="154" t="s">
        <v>1876</v>
      </c>
      <c r="E42" s="155">
        <v>2018</v>
      </c>
      <c r="G42" s="53"/>
      <c r="H42" s="53"/>
      <c r="I42" s="53"/>
      <c r="J42" s="53"/>
      <c r="K42" s="53"/>
      <c r="L42" s="53"/>
      <c r="M42" s="53"/>
      <c r="N42" s="53"/>
      <c r="O42" s="53"/>
      <c r="P42" s="53"/>
      <c r="Q42" s="53"/>
      <c r="R42" s="53"/>
      <c r="S42" s="53"/>
      <c r="T42" s="53"/>
      <c r="U42" s="53"/>
      <c r="V42" s="53"/>
      <c r="W42" s="53"/>
      <c r="X42" s="53"/>
      <c r="Y42" s="53"/>
      <c r="Z42" s="53"/>
    </row>
    <row r="43" spans="1:26" ht="20.25" customHeight="1">
      <c r="A43" s="156"/>
      <c r="B43" s="154" t="s">
        <v>1082</v>
      </c>
      <c r="C43" s="154" t="s">
        <v>1083</v>
      </c>
      <c r="D43" s="154" t="s">
        <v>1876</v>
      </c>
      <c r="E43" s="155">
        <v>2017</v>
      </c>
      <c r="G43" s="53"/>
      <c r="H43" s="53"/>
      <c r="I43" s="53"/>
      <c r="J43" s="53"/>
      <c r="K43" s="53"/>
      <c r="L43" s="53"/>
      <c r="M43" s="53"/>
      <c r="N43" s="53"/>
      <c r="O43" s="53"/>
      <c r="P43" s="53"/>
      <c r="Q43" s="53"/>
      <c r="R43" s="53"/>
      <c r="S43" s="53"/>
      <c r="T43" s="53"/>
      <c r="U43" s="53"/>
      <c r="V43" s="53"/>
      <c r="W43" s="53"/>
      <c r="X43" s="53"/>
      <c r="Y43" s="53"/>
      <c r="Z43" s="53"/>
    </row>
    <row r="44" spans="1:26" ht="20.25" customHeight="1">
      <c r="A44" s="156"/>
      <c r="B44" s="154" t="s">
        <v>1050</v>
      </c>
      <c r="C44" s="154" t="s">
        <v>1051</v>
      </c>
      <c r="D44" s="154" t="s">
        <v>1876</v>
      </c>
      <c r="E44" s="155">
        <v>2019</v>
      </c>
      <c r="G44" s="53"/>
      <c r="H44" s="53"/>
      <c r="I44" s="53"/>
      <c r="J44" s="53"/>
      <c r="K44" s="53"/>
      <c r="L44" s="53"/>
      <c r="M44" s="53"/>
      <c r="N44" s="53"/>
      <c r="O44" s="53"/>
      <c r="P44" s="53"/>
      <c r="Q44" s="53"/>
      <c r="R44" s="53"/>
      <c r="S44" s="53"/>
      <c r="T44" s="53"/>
      <c r="U44" s="53"/>
      <c r="V44" s="53"/>
      <c r="W44" s="53"/>
      <c r="X44" s="53"/>
      <c r="Y44" s="53"/>
      <c r="Z44" s="53"/>
    </row>
    <row r="45" spans="1:26" ht="20.25" customHeight="1">
      <c r="A45" s="156"/>
      <c r="B45" s="154" t="s">
        <v>906</v>
      </c>
      <c r="C45" s="154" t="s">
        <v>907</v>
      </c>
      <c r="D45" s="154" t="s">
        <v>1876</v>
      </c>
      <c r="E45" s="155">
        <v>2019</v>
      </c>
      <c r="G45" s="53"/>
      <c r="H45" s="53"/>
      <c r="I45" s="53"/>
      <c r="J45" s="53"/>
      <c r="K45" s="53"/>
      <c r="L45" s="53"/>
      <c r="M45" s="53"/>
      <c r="N45" s="53"/>
      <c r="O45" s="53"/>
      <c r="P45" s="53"/>
      <c r="Q45" s="53"/>
      <c r="R45" s="53"/>
      <c r="S45" s="53"/>
      <c r="T45" s="53"/>
      <c r="U45" s="53"/>
      <c r="V45" s="53"/>
      <c r="W45" s="53"/>
      <c r="X45" s="53"/>
      <c r="Y45" s="53"/>
      <c r="Z45" s="53"/>
    </row>
    <row r="46" spans="1:26" ht="20.25" customHeight="1">
      <c r="A46" s="156"/>
      <c r="B46" s="154" t="s">
        <v>536</v>
      </c>
      <c r="C46" s="154" t="s">
        <v>536</v>
      </c>
      <c r="D46" s="154" t="s">
        <v>1876</v>
      </c>
      <c r="E46" s="155">
        <v>2017</v>
      </c>
      <c r="G46" s="53"/>
      <c r="H46" s="53"/>
      <c r="I46" s="53"/>
      <c r="J46" s="53"/>
      <c r="K46" s="53"/>
      <c r="L46" s="53"/>
      <c r="M46" s="53"/>
      <c r="N46" s="53"/>
      <c r="O46" s="53"/>
      <c r="P46" s="53"/>
      <c r="Q46" s="53"/>
      <c r="R46" s="53"/>
      <c r="S46" s="53"/>
      <c r="T46" s="53"/>
      <c r="U46" s="53"/>
      <c r="V46" s="53"/>
      <c r="W46" s="53"/>
      <c r="X46" s="53"/>
      <c r="Y46" s="53"/>
      <c r="Z46" s="53"/>
    </row>
    <row r="47" spans="1:26" ht="20.25" customHeight="1">
      <c r="A47" s="154" t="s">
        <v>108</v>
      </c>
      <c r="B47" s="154" t="s">
        <v>532</v>
      </c>
      <c r="C47" s="154" t="s">
        <v>533</v>
      </c>
      <c r="D47" s="154" t="s">
        <v>1876</v>
      </c>
      <c r="E47" s="155">
        <v>2015</v>
      </c>
      <c r="G47" s="53"/>
      <c r="H47" s="53"/>
      <c r="I47" s="53"/>
      <c r="J47" s="53"/>
      <c r="K47" s="53"/>
      <c r="L47" s="53"/>
      <c r="M47" s="53"/>
      <c r="N47" s="53"/>
      <c r="O47" s="53"/>
      <c r="P47" s="53"/>
      <c r="Q47" s="53"/>
      <c r="R47" s="53"/>
      <c r="S47" s="53"/>
      <c r="T47" s="53"/>
      <c r="U47" s="53"/>
      <c r="V47" s="53"/>
      <c r="W47" s="53"/>
      <c r="X47" s="53"/>
      <c r="Y47" s="53"/>
      <c r="Z47" s="53"/>
    </row>
    <row r="48" spans="1:26" ht="20.25" customHeight="1">
      <c r="A48" s="156"/>
      <c r="B48" s="154" t="s">
        <v>1067</v>
      </c>
      <c r="C48" s="154" t="s">
        <v>1068</v>
      </c>
      <c r="D48" s="154" t="s">
        <v>1876</v>
      </c>
      <c r="E48" s="155">
        <v>2018</v>
      </c>
      <c r="G48" s="53"/>
      <c r="H48" s="53"/>
      <c r="I48" s="53"/>
      <c r="J48" s="53"/>
      <c r="K48" s="53"/>
      <c r="L48" s="53"/>
      <c r="M48" s="53"/>
      <c r="N48" s="53"/>
      <c r="O48" s="53"/>
      <c r="P48" s="53"/>
      <c r="Q48" s="53"/>
      <c r="R48" s="53"/>
      <c r="S48" s="53"/>
      <c r="T48" s="53"/>
      <c r="U48" s="53"/>
      <c r="V48" s="53"/>
      <c r="W48" s="53"/>
      <c r="X48" s="53"/>
      <c r="Y48" s="53"/>
      <c r="Z48" s="53"/>
    </row>
    <row r="49" spans="1:26" ht="20.25" customHeight="1">
      <c r="A49" s="156"/>
      <c r="B49" s="154" t="s">
        <v>809</v>
      </c>
      <c r="C49" s="154" t="s">
        <v>810</v>
      </c>
      <c r="D49" s="154" t="s">
        <v>1876</v>
      </c>
      <c r="E49" s="155">
        <v>2015</v>
      </c>
      <c r="G49" s="53"/>
      <c r="H49" s="53"/>
      <c r="I49" s="53"/>
      <c r="J49" s="53"/>
      <c r="K49" s="53"/>
      <c r="L49" s="53"/>
      <c r="M49" s="53"/>
      <c r="N49" s="53"/>
      <c r="O49" s="53"/>
      <c r="P49" s="53"/>
      <c r="Q49" s="53"/>
      <c r="R49" s="53"/>
      <c r="S49" s="53"/>
      <c r="T49" s="53"/>
      <c r="U49" s="53"/>
      <c r="V49" s="53"/>
      <c r="W49" s="53"/>
      <c r="X49" s="53"/>
      <c r="Y49" s="53"/>
      <c r="Z49" s="53"/>
    </row>
    <row r="50" spans="1:26" ht="20.25" customHeight="1">
      <c r="A50" s="156"/>
      <c r="B50" s="154" t="s">
        <v>730</v>
      </c>
      <c r="C50" s="154" t="s">
        <v>731</v>
      </c>
      <c r="D50" s="154" t="s">
        <v>1876</v>
      </c>
      <c r="E50" s="155">
        <v>2015</v>
      </c>
      <c r="G50" s="53"/>
      <c r="H50" s="53"/>
      <c r="I50" s="53"/>
      <c r="J50" s="53"/>
      <c r="K50" s="53"/>
      <c r="L50" s="53"/>
      <c r="M50" s="53"/>
      <c r="N50" s="53"/>
      <c r="O50" s="53"/>
      <c r="P50" s="53"/>
      <c r="Q50" s="53"/>
      <c r="R50" s="53"/>
      <c r="S50" s="53"/>
      <c r="T50" s="53"/>
      <c r="U50" s="53"/>
      <c r="V50" s="53"/>
      <c r="W50" s="53"/>
      <c r="X50" s="53"/>
      <c r="Y50" s="53"/>
      <c r="Z50" s="53"/>
    </row>
    <row r="51" spans="1:26" ht="20.25" customHeight="1">
      <c r="A51" s="156"/>
      <c r="B51" s="154" t="s">
        <v>736</v>
      </c>
      <c r="C51" s="154" t="s">
        <v>737</v>
      </c>
      <c r="D51" s="154" t="s">
        <v>1876</v>
      </c>
      <c r="E51" s="155">
        <v>2015</v>
      </c>
      <c r="G51" s="53"/>
      <c r="H51" s="53"/>
      <c r="I51" s="53"/>
      <c r="J51" s="53"/>
      <c r="K51" s="53"/>
      <c r="L51" s="53"/>
      <c r="M51" s="53"/>
      <c r="N51" s="53"/>
      <c r="O51" s="53"/>
      <c r="P51" s="53"/>
      <c r="Q51" s="53"/>
      <c r="R51" s="53"/>
      <c r="S51" s="53"/>
      <c r="T51" s="53"/>
      <c r="U51" s="53"/>
      <c r="V51" s="53"/>
      <c r="W51" s="53"/>
      <c r="X51" s="53"/>
      <c r="Y51" s="53"/>
      <c r="Z51" s="53"/>
    </row>
    <row r="52" spans="1:26" ht="20.25" customHeight="1">
      <c r="A52" s="156"/>
      <c r="B52" s="154" t="s">
        <v>664</v>
      </c>
      <c r="C52" s="154" t="s">
        <v>665</v>
      </c>
      <c r="D52" s="154" t="s">
        <v>1876</v>
      </c>
      <c r="E52" s="155">
        <v>2015</v>
      </c>
      <c r="G52" s="53"/>
      <c r="H52" s="53"/>
      <c r="I52" s="53"/>
      <c r="J52" s="53"/>
      <c r="K52" s="53"/>
      <c r="L52" s="53"/>
      <c r="M52" s="53"/>
      <c r="N52" s="53"/>
      <c r="O52" s="53"/>
      <c r="P52" s="53"/>
      <c r="Q52" s="53"/>
      <c r="R52" s="53"/>
      <c r="S52" s="53"/>
      <c r="T52" s="53"/>
      <c r="U52" s="53"/>
      <c r="V52" s="53"/>
      <c r="W52" s="53"/>
      <c r="X52" s="53"/>
      <c r="Y52" s="53"/>
      <c r="Z52" s="53"/>
    </row>
    <row r="53" spans="1:26" ht="20.25" customHeight="1">
      <c r="A53" s="156"/>
      <c r="B53" s="154" t="s">
        <v>1183</v>
      </c>
      <c r="C53" s="154" t="s">
        <v>1184</v>
      </c>
      <c r="D53" s="154" t="s">
        <v>1876</v>
      </c>
      <c r="E53" s="155">
        <v>2016</v>
      </c>
      <c r="G53" s="53"/>
      <c r="H53" s="53"/>
      <c r="I53" s="53"/>
      <c r="J53" s="53"/>
      <c r="K53" s="53"/>
      <c r="L53" s="53"/>
      <c r="M53" s="53"/>
      <c r="N53" s="53"/>
      <c r="O53" s="53"/>
      <c r="P53" s="53"/>
      <c r="Q53" s="53"/>
      <c r="R53" s="53"/>
      <c r="S53" s="53"/>
      <c r="T53" s="53"/>
      <c r="U53" s="53"/>
      <c r="V53" s="53"/>
      <c r="W53" s="53"/>
      <c r="X53" s="53"/>
      <c r="Y53" s="53"/>
      <c r="Z53" s="53"/>
    </row>
    <row r="54" spans="1:26" ht="20.25" customHeight="1">
      <c r="A54" s="154" t="s">
        <v>129</v>
      </c>
      <c r="B54" s="154" t="s">
        <v>1505</v>
      </c>
      <c r="C54" s="154" t="s">
        <v>1511</v>
      </c>
      <c r="D54" s="154" t="s">
        <v>1876</v>
      </c>
      <c r="E54" s="155">
        <v>2019</v>
      </c>
      <c r="G54" s="53"/>
      <c r="H54" s="53"/>
      <c r="I54" s="53"/>
      <c r="J54" s="53"/>
      <c r="K54" s="53"/>
      <c r="L54" s="53"/>
      <c r="M54" s="53"/>
      <c r="N54" s="53"/>
      <c r="O54" s="53"/>
      <c r="P54" s="53"/>
      <c r="Q54" s="53"/>
      <c r="R54" s="53"/>
      <c r="S54" s="53"/>
      <c r="T54" s="53"/>
      <c r="U54" s="53"/>
      <c r="V54" s="53"/>
      <c r="W54" s="53"/>
      <c r="X54" s="53"/>
      <c r="Y54" s="53"/>
      <c r="Z54" s="53"/>
    </row>
    <row r="55" spans="1:26" ht="20.25" customHeight="1">
      <c r="A55" s="156"/>
      <c r="B55" s="156"/>
      <c r="C55" s="154" t="s">
        <v>1506</v>
      </c>
      <c r="D55" s="154" t="s">
        <v>1876</v>
      </c>
      <c r="E55" s="155">
        <v>2015</v>
      </c>
      <c r="G55" s="53"/>
      <c r="H55" s="53"/>
      <c r="I55" s="53"/>
      <c r="J55" s="53"/>
      <c r="K55" s="53"/>
      <c r="L55" s="53"/>
      <c r="M55" s="53"/>
      <c r="N55" s="53"/>
      <c r="O55" s="53"/>
      <c r="P55" s="53"/>
      <c r="Q55" s="53"/>
      <c r="R55" s="53"/>
      <c r="S55" s="53"/>
      <c r="T55" s="53"/>
      <c r="U55" s="53"/>
      <c r="V55" s="53"/>
      <c r="W55" s="53"/>
      <c r="X55" s="53"/>
      <c r="Y55" s="53"/>
      <c r="Z55" s="53"/>
    </row>
    <row r="56" spans="1:26" ht="20.25" customHeight="1">
      <c r="A56" s="154" t="s">
        <v>144</v>
      </c>
      <c r="B56" s="154" t="s">
        <v>319</v>
      </c>
      <c r="C56" s="154" t="s">
        <v>320</v>
      </c>
      <c r="D56" s="154" t="s">
        <v>1876</v>
      </c>
      <c r="E56" s="155">
        <v>2016</v>
      </c>
      <c r="G56" s="53"/>
      <c r="H56" s="53"/>
      <c r="I56" s="53"/>
      <c r="J56" s="53"/>
      <c r="K56" s="53"/>
      <c r="L56" s="53"/>
      <c r="M56" s="53"/>
      <c r="N56" s="53"/>
      <c r="O56" s="53"/>
      <c r="P56" s="53"/>
      <c r="Q56" s="53"/>
      <c r="R56" s="53"/>
      <c r="S56" s="53"/>
      <c r="T56" s="53"/>
      <c r="U56" s="53"/>
      <c r="V56" s="53"/>
      <c r="W56" s="53"/>
      <c r="X56" s="53"/>
      <c r="Y56" s="53"/>
      <c r="Z56" s="53"/>
    </row>
    <row r="57" spans="1:26" ht="20.25" customHeight="1">
      <c r="A57" s="156"/>
      <c r="B57" s="154" t="s">
        <v>314</v>
      </c>
      <c r="C57" s="154" t="s">
        <v>315</v>
      </c>
      <c r="D57" s="154" t="s">
        <v>1876</v>
      </c>
      <c r="E57" s="155">
        <v>2016</v>
      </c>
      <c r="G57" s="53"/>
      <c r="H57" s="53"/>
      <c r="I57" s="53"/>
      <c r="J57" s="53"/>
      <c r="K57" s="53"/>
      <c r="L57" s="53"/>
      <c r="M57" s="53"/>
      <c r="N57" s="53"/>
      <c r="O57" s="53"/>
      <c r="P57" s="53"/>
      <c r="Q57" s="53"/>
      <c r="R57" s="53"/>
      <c r="S57" s="53"/>
      <c r="T57" s="53"/>
      <c r="U57" s="53"/>
      <c r="V57" s="53"/>
      <c r="W57" s="53"/>
      <c r="X57" s="53"/>
      <c r="Y57" s="53"/>
      <c r="Z57" s="53"/>
    </row>
    <row r="58" spans="1:26" ht="20.25" customHeight="1">
      <c r="A58" s="156"/>
      <c r="B58" s="154" t="s">
        <v>342</v>
      </c>
      <c r="C58" s="154" t="s">
        <v>353</v>
      </c>
      <c r="D58" s="154" t="s">
        <v>1876</v>
      </c>
      <c r="E58" s="155">
        <v>2017</v>
      </c>
      <c r="G58" s="53"/>
      <c r="H58" s="53"/>
      <c r="I58" s="53"/>
      <c r="J58" s="53"/>
      <c r="K58" s="53"/>
      <c r="L58" s="53"/>
      <c r="M58" s="53"/>
      <c r="N58" s="53"/>
      <c r="O58" s="53"/>
      <c r="P58" s="53"/>
      <c r="Q58" s="53"/>
      <c r="R58" s="53"/>
      <c r="S58" s="53"/>
      <c r="T58" s="53"/>
      <c r="U58" s="53"/>
      <c r="V58" s="53"/>
      <c r="W58" s="53"/>
      <c r="X58" s="53"/>
      <c r="Y58" s="53"/>
      <c r="Z58" s="53"/>
    </row>
    <row r="59" spans="1:26" ht="20.25" customHeight="1">
      <c r="A59" s="156"/>
      <c r="B59" s="156"/>
      <c r="C59" s="154" t="s">
        <v>343</v>
      </c>
      <c r="D59" s="154" t="s">
        <v>1876</v>
      </c>
      <c r="E59" s="155">
        <v>2016</v>
      </c>
      <c r="G59" s="53"/>
      <c r="H59" s="53"/>
      <c r="I59" s="53"/>
      <c r="J59" s="53"/>
      <c r="K59" s="53"/>
      <c r="L59" s="53"/>
      <c r="M59" s="53"/>
      <c r="N59" s="53"/>
      <c r="O59" s="53"/>
      <c r="P59" s="53"/>
      <c r="Q59" s="53"/>
      <c r="R59" s="53"/>
      <c r="S59" s="53"/>
      <c r="T59" s="53"/>
      <c r="U59" s="53"/>
      <c r="V59" s="53"/>
      <c r="W59" s="53"/>
      <c r="X59" s="53"/>
      <c r="Y59" s="53"/>
      <c r="Z59" s="53"/>
    </row>
    <row r="60" spans="1:26" ht="20.25" customHeight="1">
      <c r="A60" s="156"/>
      <c r="B60" s="154" t="s">
        <v>362</v>
      </c>
      <c r="C60" s="154" t="s">
        <v>363</v>
      </c>
      <c r="D60" s="154" t="s">
        <v>1876</v>
      </c>
      <c r="E60" s="155">
        <v>2017</v>
      </c>
      <c r="G60" s="53"/>
      <c r="H60" s="53"/>
      <c r="I60" s="53"/>
      <c r="J60" s="53"/>
      <c r="K60" s="53"/>
      <c r="L60" s="53"/>
      <c r="M60" s="53"/>
      <c r="N60" s="53"/>
      <c r="O60" s="53"/>
      <c r="P60" s="53"/>
      <c r="Q60" s="53"/>
      <c r="R60" s="53"/>
      <c r="S60" s="53"/>
      <c r="T60" s="53"/>
      <c r="U60" s="53"/>
      <c r="V60" s="53"/>
      <c r="W60" s="53"/>
      <c r="X60" s="53"/>
      <c r="Y60" s="53"/>
      <c r="Z60" s="53"/>
    </row>
    <row r="61" spans="1:26" ht="20.25" customHeight="1">
      <c r="A61" s="156"/>
      <c r="B61" s="154" t="s">
        <v>421</v>
      </c>
      <c r="C61" s="154" t="s">
        <v>422</v>
      </c>
      <c r="D61" s="154" t="s">
        <v>1876</v>
      </c>
      <c r="E61" s="155">
        <v>2019</v>
      </c>
      <c r="G61" s="53"/>
      <c r="H61" s="53"/>
      <c r="I61" s="53"/>
      <c r="J61" s="53"/>
      <c r="K61" s="53"/>
      <c r="L61" s="53"/>
      <c r="M61" s="53"/>
      <c r="N61" s="53"/>
      <c r="O61" s="53"/>
      <c r="P61" s="53"/>
      <c r="Q61" s="53"/>
      <c r="R61" s="53"/>
      <c r="S61" s="53"/>
      <c r="T61" s="53"/>
      <c r="U61" s="53"/>
      <c r="V61" s="53"/>
      <c r="W61" s="53"/>
      <c r="X61" s="53"/>
      <c r="Y61" s="53"/>
      <c r="Z61" s="53"/>
    </row>
    <row r="62" spans="1:26" ht="20.25" customHeight="1">
      <c r="A62" s="156"/>
      <c r="B62" s="154" t="s">
        <v>437</v>
      </c>
      <c r="C62" s="154" t="s">
        <v>438</v>
      </c>
      <c r="D62" s="154" t="s">
        <v>1876</v>
      </c>
      <c r="E62" s="155">
        <v>2019</v>
      </c>
      <c r="G62" s="53"/>
      <c r="H62" s="53"/>
      <c r="I62" s="53"/>
      <c r="J62" s="53"/>
      <c r="K62" s="53"/>
      <c r="L62" s="53"/>
      <c r="M62" s="53"/>
      <c r="N62" s="53"/>
      <c r="O62" s="53"/>
      <c r="P62" s="53"/>
      <c r="Q62" s="53"/>
      <c r="R62" s="53"/>
      <c r="S62" s="53"/>
      <c r="T62" s="53"/>
      <c r="U62" s="53"/>
      <c r="V62" s="53"/>
      <c r="W62" s="53"/>
      <c r="X62" s="53"/>
      <c r="Y62" s="53"/>
      <c r="Z62" s="53"/>
    </row>
    <row r="63" spans="1:26" ht="20.25" customHeight="1">
      <c r="A63" s="156"/>
      <c r="B63" s="154" t="s">
        <v>451</v>
      </c>
      <c r="C63" s="154" t="s">
        <v>452</v>
      </c>
      <c r="D63" s="154" t="s">
        <v>1876</v>
      </c>
      <c r="E63" s="155">
        <v>2019</v>
      </c>
      <c r="G63" s="53"/>
      <c r="H63" s="53"/>
      <c r="I63" s="53"/>
      <c r="J63" s="53"/>
      <c r="K63" s="53"/>
      <c r="L63" s="53"/>
      <c r="M63" s="53"/>
      <c r="N63" s="53"/>
      <c r="O63" s="53"/>
      <c r="P63" s="53"/>
      <c r="Q63" s="53"/>
      <c r="R63" s="53"/>
      <c r="S63" s="53"/>
      <c r="T63" s="53"/>
      <c r="U63" s="53"/>
      <c r="V63" s="53"/>
      <c r="W63" s="53"/>
      <c r="X63" s="53"/>
      <c r="Y63" s="53"/>
      <c r="Z63" s="53"/>
    </row>
    <row r="64" spans="1:26" ht="20.25" customHeight="1">
      <c r="A64" s="156"/>
      <c r="B64" s="154" t="s">
        <v>377</v>
      </c>
      <c r="C64" s="154" t="s">
        <v>378</v>
      </c>
      <c r="D64" s="154" t="s">
        <v>1876</v>
      </c>
      <c r="E64" s="155">
        <v>2018</v>
      </c>
      <c r="G64" s="53"/>
      <c r="H64" s="53"/>
      <c r="I64" s="53"/>
      <c r="J64" s="53"/>
      <c r="K64" s="53"/>
      <c r="L64" s="53"/>
      <c r="M64" s="53"/>
      <c r="N64" s="53"/>
      <c r="O64" s="53"/>
      <c r="P64" s="53"/>
      <c r="Q64" s="53"/>
      <c r="R64" s="53"/>
      <c r="S64" s="53"/>
      <c r="T64" s="53"/>
      <c r="U64" s="53"/>
      <c r="V64" s="53"/>
      <c r="W64" s="53"/>
      <c r="X64" s="53"/>
      <c r="Y64" s="53"/>
      <c r="Z64" s="53"/>
    </row>
    <row r="65" spans="1:26" ht="20.25" customHeight="1">
      <c r="A65" s="156"/>
      <c r="B65" s="154" t="s">
        <v>300</v>
      </c>
      <c r="C65" s="154" t="s">
        <v>301</v>
      </c>
      <c r="D65" s="154" t="s">
        <v>1876</v>
      </c>
      <c r="E65" s="155">
        <v>2015</v>
      </c>
      <c r="G65" s="53"/>
      <c r="H65" s="53"/>
      <c r="I65" s="53"/>
      <c r="J65" s="53"/>
      <c r="K65" s="53"/>
      <c r="L65" s="53"/>
      <c r="M65" s="53"/>
      <c r="N65" s="53"/>
      <c r="O65" s="53"/>
      <c r="P65" s="53"/>
      <c r="Q65" s="53"/>
      <c r="R65" s="53"/>
      <c r="S65" s="53"/>
      <c r="T65" s="53"/>
      <c r="U65" s="53"/>
      <c r="V65" s="53"/>
      <c r="W65" s="53"/>
      <c r="X65" s="53"/>
      <c r="Y65" s="53"/>
      <c r="Z65" s="53"/>
    </row>
    <row r="66" spans="1:26" ht="20.25" customHeight="1">
      <c r="A66" s="156"/>
      <c r="B66" s="154" t="s">
        <v>307</v>
      </c>
      <c r="C66" s="154" t="s">
        <v>399</v>
      </c>
      <c r="D66" s="154" t="s">
        <v>1876</v>
      </c>
      <c r="E66" s="155">
        <v>2012</v>
      </c>
      <c r="G66" s="53"/>
      <c r="H66" s="53"/>
      <c r="I66" s="53"/>
      <c r="J66" s="53"/>
      <c r="K66" s="53"/>
      <c r="L66" s="53"/>
      <c r="M66" s="53"/>
      <c r="N66" s="53"/>
      <c r="O66" s="53"/>
      <c r="P66" s="53"/>
      <c r="Q66" s="53"/>
      <c r="R66" s="53"/>
      <c r="S66" s="53"/>
      <c r="T66" s="53"/>
      <c r="U66" s="53"/>
      <c r="V66" s="53"/>
      <c r="W66" s="53"/>
      <c r="X66" s="53"/>
      <c r="Y66" s="53"/>
      <c r="Z66" s="53"/>
    </row>
    <row r="67" spans="1:26" ht="20.25" customHeight="1">
      <c r="A67" s="156"/>
      <c r="B67" s="156"/>
      <c r="C67" s="154" t="s">
        <v>307</v>
      </c>
      <c r="D67" s="154" t="s">
        <v>1876</v>
      </c>
      <c r="E67" s="155">
        <v>2015</v>
      </c>
      <c r="G67" s="53"/>
      <c r="H67" s="53"/>
      <c r="I67" s="53"/>
      <c r="J67" s="53"/>
      <c r="K67" s="53"/>
      <c r="L67" s="53"/>
      <c r="M67" s="53"/>
      <c r="N67" s="53"/>
      <c r="O67" s="53"/>
      <c r="P67" s="53"/>
      <c r="Q67" s="53"/>
      <c r="R67" s="53"/>
      <c r="S67" s="53"/>
      <c r="T67" s="53"/>
      <c r="U67" s="53"/>
      <c r="V67" s="53"/>
      <c r="W67" s="53"/>
      <c r="X67" s="53"/>
      <c r="Y67" s="53"/>
      <c r="Z67" s="53"/>
    </row>
    <row r="68" spans="1:26" ht="20.25" customHeight="1">
      <c r="A68" s="156"/>
      <c r="B68" s="154" t="s">
        <v>404</v>
      </c>
      <c r="C68" s="154" t="s">
        <v>405</v>
      </c>
      <c r="D68" s="154" t="s">
        <v>1876</v>
      </c>
      <c r="E68" s="155">
        <v>2019</v>
      </c>
      <c r="G68" s="53"/>
      <c r="H68" s="53"/>
      <c r="I68" s="53"/>
      <c r="J68" s="53"/>
      <c r="K68" s="53"/>
      <c r="L68" s="53"/>
      <c r="M68" s="53"/>
      <c r="N68" s="53"/>
      <c r="O68" s="53"/>
      <c r="P68" s="53"/>
      <c r="Q68" s="53"/>
      <c r="R68" s="53"/>
      <c r="S68" s="53"/>
      <c r="T68" s="53"/>
      <c r="U68" s="53"/>
      <c r="V68" s="53"/>
      <c r="W68" s="53"/>
      <c r="X68" s="53"/>
      <c r="Y68" s="53"/>
      <c r="Z68" s="53"/>
    </row>
    <row r="69" spans="1:26" ht="12.75">
      <c r="A69" s="154" t="s">
        <v>393</v>
      </c>
      <c r="B69" s="154" t="s">
        <v>394</v>
      </c>
      <c r="C69" s="154" t="s">
        <v>395</v>
      </c>
      <c r="D69" s="154" t="s">
        <v>1876</v>
      </c>
      <c r="E69" s="155">
        <v>2016</v>
      </c>
      <c r="G69" s="53"/>
      <c r="H69" s="53"/>
      <c r="I69" s="53"/>
      <c r="J69" s="53"/>
      <c r="K69" s="53"/>
      <c r="L69" s="53"/>
      <c r="M69" s="53"/>
      <c r="N69" s="53"/>
      <c r="O69" s="53"/>
      <c r="P69" s="53"/>
      <c r="Q69" s="53"/>
      <c r="R69" s="53"/>
      <c r="S69" s="53"/>
      <c r="T69" s="53"/>
      <c r="U69" s="53"/>
      <c r="V69" s="53"/>
      <c r="W69" s="53"/>
      <c r="X69" s="53"/>
      <c r="Y69" s="53"/>
      <c r="Z69" s="53"/>
    </row>
    <row r="70" spans="1:26" ht="20.25" customHeight="1">
      <c r="A70" s="154" t="s">
        <v>147</v>
      </c>
      <c r="B70" s="154" t="s">
        <v>1404</v>
      </c>
      <c r="C70" s="154" t="s">
        <v>1405</v>
      </c>
      <c r="D70" s="154" t="s">
        <v>1876</v>
      </c>
      <c r="E70" s="155">
        <v>2015</v>
      </c>
      <c r="G70" s="53"/>
      <c r="H70" s="53"/>
      <c r="I70" s="53"/>
      <c r="J70" s="53"/>
      <c r="K70" s="53"/>
      <c r="L70" s="53"/>
      <c r="M70" s="53"/>
      <c r="N70" s="53"/>
      <c r="O70" s="53"/>
      <c r="P70" s="53"/>
      <c r="Q70" s="53"/>
      <c r="R70" s="53"/>
      <c r="S70" s="53"/>
      <c r="T70" s="53"/>
      <c r="U70" s="53"/>
      <c r="V70" s="53"/>
      <c r="W70" s="53"/>
      <c r="X70" s="53"/>
      <c r="Y70" s="53"/>
      <c r="Z70" s="53"/>
    </row>
    <row r="71" spans="1:26" ht="20.25" customHeight="1">
      <c r="A71" s="156"/>
      <c r="B71" s="154" t="s">
        <v>1390</v>
      </c>
      <c r="C71" s="154" t="s">
        <v>1391</v>
      </c>
      <c r="D71" s="154" t="s">
        <v>1876</v>
      </c>
      <c r="E71" s="155">
        <v>2019</v>
      </c>
      <c r="G71" s="53"/>
      <c r="H71" s="53"/>
      <c r="I71" s="53"/>
      <c r="J71" s="53"/>
      <c r="K71" s="53"/>
      <c r="L71" s="53"/>
      <c r="M71" s="53"/>
      <c r="N71" s="53"/>
      <c r="O71" s="53"/>
      <c r="P71" s="53"/>
      <c r="Q71" s="53"/>
      <c r="R71" s="53"/>
      <c r="S71" s="53"/>
      <c r="T71" s="53"/>
      <c r="U71" s="53"/>
      <c r="V71" s="53"/>
      <c r="W71" s="53"/>
      <c r="X71" s="53"/>
      <c r="Y71" s="53"/>
      <c r="Z71" s="53"/>
    </row>
    <row r="72" spans="1:26" ht="20.25" customHeight="1">
      <c r="A72" s="156"/>
      <c r="B72" s="154" t="s">
        <v>1434</v>
      </c>
      <c r="C72" s="154" t="s">
        <v>1435</v>
      </c>
      <c r="D72" s="154" t="s">
        <v>1876</v>
      </c>
      <c r="E72" s="155">
        <v>2019</v>
      </c>
      <c r="G72" s="53"/>
      <c r="H72" s="53"/>
      <c r="I72" s="53"/>
      <c r="J72" s="53"/>
      <c r="K72" s="53"/>
      <c r="L72" s="53"/>
      <c r="M72" s="53"/>
      <c r="N72" s="53"/>
      <c r="O72" s="53"/>
      <c r="P72" s="53"/>
      <c r="Q72" s="53"/>
      <c r="R72" s="53"/>
      <c r="S72" s="53"/>
      <c r="T72" s="53"/>
      <c r="U72" s="53"/>
      <c r="V72" s="53"/>
      <c r="W72" s="53"/>
      <c r="X72" s="53"/>
      <c r="Y72" s="53"/>
      <c r="Z72" s="53"/>
    </row>
    <row r="73" spans="1:26" ht="20.25" customHeight="1">
      <c r="A73" s="156"/>
      <c r="B73" s="154" t="s">
        <v>1360</v>
      </c>
      <c r="C73" s="154" t="s">
        <v>1361</v>
      </c>
      <c r="D73" s="154" t="s">
        <v>1876</v>
      </c>
      <c r="E73" s="155">
        <v>2019</v>
      </c>
      <c r="G73" s="53"/>
      <c r="H73" s="53"/>
      <c r="I73" s="53"/>
      <c r="J73" s="53"/>
      <c r="K73" s="53"/>
      <c r="L73" s="53"/>
      <c r="M73" s="53"/>
      <c r="N73" s="53"/>
      <c r="O73" s="53"/>
      <c r="P73" s="53"/>
      <c r="Q73" s="53"/>
      <c r="R73" s="53"/>
      <c r="S73" s="53"/>
      <c r="T73" s="53"/>
      <c r="U73" s="53"/>
      <c r="V73" s="53"/>
      <c r="W73" s="53"/>
      <c r="X73" s="53"/>
      <c r="Y73" s="53"/>
      <c r="Z73" s="53"/>
    </row>
    <row r="74" spans="1:26" ht="20.25" customHeight="1">
      <c r="A74" s="156"/>
      <c r="B74" s="154" t="s">
        <v>1485</v>
      </c>
      <c r="C74" s="154" t="s">
        <v>1486</v>
      </c>
      <c r="D74" s="154" t="s">
        <v>1876</v>
      </c>
      <c r="E74" s="155">
        <v>2016</v>
      </c>
      <c r="G74" s="53"/>
      <c r="H74" s="53"/>
      <c r="I74" s="53"/>
      <c r="J74" s="53"/>
      <c r="K74" s="53"/>
      <c r="L74" s="53"/>
      <c r="M74" s="53"/>
      <c r="N74" s="53"/>
      <c r="O74" s="53"/>
      <c r="P74" s="53"/>
      <c r="Q74" s="53"/>
      <c r="R74" s="53"/>
      <c r="S74" s="53"/>
      <c r="T74" s="53"/>
      <c r="U74" s="53"/>
      <c r="V74" s="53"/>
      <c r="W74" s="53"/>
      <c r="X74" s="53"/>
      <c r="Y74" s="53"/>
      <c r="Z74" s="53"/>
    </row>
    <row r="75" spans="1:26" ht="20.25" customHeight="1">
      <c r="A75" s="156"/>
      <c r="B75" s="154" t="s">
        <v>1420</v>
      </c>
      <c r="C75" s="154" t="s">
        <v>1421</v>
      </c>
      <c r="D75" s="154" t="s">
        <v>1876</v>
      </c>
      <c r="E75" s="155">
        <v>2018</v>
      </c>
      <c r="G75" s="53"/>
      <c r="H75" s="53"/>
      <c r="I75" s="53"/>
      <c r="J75" s="53"/>
      <c r="K75" s="53"/>
      <c r="L75" s="53"/>
      <c r="M75" s="53"/>
      <c r="N75" s="53"/>
      <c r="O75" s="53"/>
      <c r="P75" s="53"/>
      <c r="Q75" s="53"/>
      <c r="R75" s="53"/>
      <c r="S75" s="53"/>
      <c r="T75" s="53"/>
      <c r="U75" s="53"/>
      <c r="V75" s="53"/>
      <c r="W75" s="53"/>
      <c r="X75" s="53"/>
      <c r="Y75" s="53"/>
      <c r="Z75" s="53"/>
    </row>
    <row r="76" spans="1:26" ht="20.25" customHeight="1">
      <c r="A76" s="156"/>
      <c r="B76" s="156"/>
      <c r="C76" s="156"/>
      <c r="D76" s="156"/>
      <c r="E76" s="157">
        <v>2019</v>
      </c>
      <c r="G76" s="53"/>
      <c r="H76" s="53"/>
      <c r="I76" s="53"/>
      <c r="J76" s="53"/>
      <c r="K76" s="53"/>
      <c r="L76" s="53"/>
      <c r="M76" s="53"/>
      <c r="N76" s="53"/>
      <c r="O76" s="53"/>
      <c r="P76" s="53"/>
      <c r="Q76" s="53"/>
      <c r="R76" s="53"/>
      <c r="S76" s="53"/>
      <c r="T76" s="53"/>
      <c r="U76" s="53"/>
      <c r="V76" s="53"/>
      <c r="W76" s="53"/>
      <c r="X76" s="53"/>
      <c r="Y76" s="53"/>
      <c r="Z76" s="53"/>
    </row>
    <row r="77" spans="1:26" ht="20.25" customHeight="1">
      <c r="A77" s="154" t="s">
        <v>66</v>
      </c>
      <c r="B77" s="154" t="s">
        <v>70</v>
      </c>
      <c r="C77" s="154" t="s">
        <v>71</v>
      </c>
      <c r="D77" s="154" t="s">
        <v>1876</v>
      </c>
      <c r="E77" s="155">
        <v>2017</v>
      </c>
      <c r="G77" s="53"/>
      <c r="H77" s="53"/>
      <c r="I77" s="53"/>
      <c r="J77" s="53"/>
      <c r="K77" s="53"/>
      <c r="L77" s="53"/>
      <c r="M77" s="53"/>
      <c r="N77" s="53"/>
      <c r="O77" s="53"/>
      <c r="P77" s="53"/>
      <c r="Q77" s="53"/>
      <c r="R77" s="53"/>
      <c r="S77" s="53"/>
      <c r="T77" s="53"/>
      <c r="U77" s="53"/>
      <c r="V77" s="53"/>
      <c r="W77" s="53"/>
      <c r="X77" s="53"/>
      <c r="Y77" s="53"/>
      <c r="Z77" s="53"/>
    </row>
    <row r="78" spans="1:26" ht="20.25" customHeight="1">
      <c r="A78" s="154" t="s">
        <v>160</v>
      </c>
      <c r="B78" s="154" t="s">
        <v>1377</v>
      </c>
      <c r="C78" s="154" t="s">
        <v>1378</v>
      </c>
      <c r="D78" s="154" t="s">
        <v>1876</v>
      </c>
      <c r="E78" s="155">
        <v>2019</v>
      </c>
      <c r="G78" s="53"/>
      <c r="H78" s="53"/>
      <c r="I78" s="53"/>
      <c r="J78" s="53"/>
      <c r="K78" s="53"/>
      <c r="L78" s="53"/>
      <c r="M78" s="53"/>
      <c r="N78" s="53"/>
      <c r="O78" s="53"/>
      <c r="P78" s="53"/>
      <c r="Q78" s="53"/>
      <c r="R78" s="53"/>
      <c r="S78" s="53"/>
      <c r="T78" s="53"/>
      <c r="U78" s="53"/>
      <c r="V78" s="53"/>
      <c r="W78" s="53"/>
      <c r="X78" s="53"/>
      <c r="Y78" s="53"/>
      <c r="Z78" s="53"/>
    </row>
    <row r="79" spans="1:26" ht="20.25" customHeight="1">
      <c r="A79" s="156"/>
      <c r="B79" s="154" t="s">
        <v>1347</v>
      </c>
      <c r="C79" s="154" t="s">
        <v>1348</v>
      </c>
      <c r="D79" s="154" t="s">
        <v>1876</v>
      </c>
      <c r="E79" s="155">
        <v>2018</v>
      </c>
      <c r="G79" s="53"/>
      <c r="H79" s="53"/>
      <c r="I79" s="53"/>
      <c r="J79" s="53"/>
      <c r="K79" s="53"/>
      <c r="L79" s="53"/>
      <c r="M79" s="53"/>
      <c r="N79" s="53"/>
      <c r="O79" s="53"/>
      <c r="P79" s="53"/>
      <c r="Q79" s="53"/>
      <c r="R79" s="53"/>
      <c r="S79" s="53"/>
      <c r="T79" s="53"/>
      <c r="U79" s="53"/>
      <c r="V79" s="53"/>
      <c r="W79" s="53"/>
      <c r="X79" s="53"/>
      <c r="Y79" s="53"/>
      <c r="Z79" s="53"/>
    </row>
    <row r="80" spans="1:26" ht="20.25" customHeight="1">
      <c r="A80" s="156"/>
      <c r="B80" s="154" t="s">
        <v>1462</v>
      </c>
      <c r="C80" s="154" t="s">
        <v>1463</v>
      </c>
      <c r="D80" s="154" t="s">
        <v>1876</v>
      </c>
      <c r="E80" s="155">
        <v>2019</v>
      </c>
      <c r="G80" s="53"/>
      <c r="H80" s="53"/>
      <c r="I80" s="53"/>
      <c r="J80" s="53"/>
      <c r="K80" s="53"/>
      <c r="L80" s="53"/>
      <c r="M80" s="53"/>
      <c r="N80" s="53"/>
      <c r="O80" s="53"/>
      <c r="P80" s="53"/>
      <c r="Q80" s="53"/>
      <c r="R80" s="53"/>
      <c r="S80" s="53"/>
      <c r="T80" s="53"/>
      <c r="U80" s="53"/>
      <c r="V80" s="53"/>
      <c r="W80" s="53"/>
      <c r="X80" s="53"/>
      <c r="Y80" s="53"/>
      <c r="Z80" s="53"/>
    </row>
    <row r="81" spans="1:26" ht="20.25" customHeight="1">
      <c r="A81" s="156"/>
      <c r="B81" s="154" t="s">
        <v>1409</v>
      </c>
      <c r="C81" s="154" t="s">
        <v>1410</v>
      </c>
      <c r="D81" s="154" t="s">
        <v>1876</v>
      </c>
      <c r="E81" s="155">
        <v>2016</v>
      </c>
      <c r="G81" s="53"/>
      <c r="H81" s="53"/>
      <c r="I81" s="53"/>
      <c r="J81" s="53"/>
      <c r="K81" s="53"/>
      <c r="L81" s="53"/>
      <c r="M81" s="53"/>
      <c r="N81" s="53"/>
      <c r="O81" s="53"/>
      <c r="P81" s="53"/>
      <c r="Q81" s="53"/>
      <c r="R81" s="53"/>
      <c r="S81" s="53"/>
      <c r="T81" s="53"/>
      <c r="U81" s="53"/>
      <c r="V81" s="53"/>
      <c r="W81" s="53"/>
      <c r="X81" s="53"/>
      <c r="Y81" s="53"/>
      <c r="Z81" s="53"/>
    </row>
    <row r="82" spans="1:26" ht="20.25" customHeight="1">
      <c r="A82" s="156"/>
      <c r="B82" s="154" t="s">
        <v>1447</v>
      </c>
      <c r="C82" s="154" t="s">
        <v>1448</v>
      </c>
      <c r="D82" s="154" t="s">
        <v>1876</v>
      </c>
      <c r="E82" s="155">
        <v>2018</v>
      </c>
      <c r="G82" s="53"/>
      <c r="H82" s="53"/>
      <c r="I82" s="53"/>
      <c r="J82" s="53"/>
      <c r="K82" s="53"/>
      <c r="L82" s="53"/>
      <c r="M82" s="53"/>
      <c r="N82" s="53"/>
      <c r="O82" s="53"/>
      <c r="P82" s="53"/>
      <c r="Q82" s="53"/>
      <c r="R82" s="53"/>
      <c r="S82" s="53"/>
      <c r="T82" s="53"/>
      <c r="U82" s="53"/>
      <c r="V82" s="53"/>
      <c r="W82" s="53"/>
      <c r="X82" s="53"/>
      <c r="Y82" s="53"/>
      <c r="Z82" s="53"/>
    </row>
    <row r="83" spans="1:26" ht="20.25" customHeight="1">
      <c r="A83" s="154" t="s">
        <v>88</v>
      </c>
      <c r="B83" s="154" t="s">
        <v>170</v>
      </c>
      <c r="C83" s="154" t="s">
        <v>171</v>
      </c>
      <c r="D83" s="154" t="s">
        <v>1876</v>
      </c>
      <c r="E83" s="155">
        <v>2017</v>
      </c>
      <c r="G83" s="53"/>
      <c r="H83" s="53"/>
      <c r="I83" s="53"/>
      <c r="J83" s="53"/>
      <c r="K83" s="53"/>
      <c r="L83" s="53"/>
      <c r="M83" s="53"/>
      <c r="N83" s="53"/>
      <c r="O83" s="53"/>
      <c r="P83" s="53"/>
      <c r="Q83" s="53"/>
      <c r="R83" s="53"/>
      <c r="S83" s="53"/>
      <c r="T83" s="53"/>
      <c r="U83" s="53"/>
      <c r="V83" s="53"/>
      <c r="W83" s="53"/>
      <c r="X83" s="53"/>
      <c r="Y83" s="53"/>
      <c r="Z83" s="53"/>
    </row>
    <row r="84" spans="1:26" ht="20.25" customHeight="1">
      <c r="A84" s="156"/>
      <c r="B84" s="154" t="s">
        <v>204</v>
      </c>
      <c r="C84" s="154" t="s">
        <v>205</v>
      </c>
      <c r="D84" s="154" t="s">
        <v>1876</v>
      </c>
      <c r="E84" s="155">
        <v>2018</v>
      </c>
      <c r="G84" s="53"/>
      <c r="H84" s="53"/>
      <c r="I84" s="53"/>
      <c r="J84" s="53"/>
      <c r="K84" s="53"/>
      <c r="L84" s="53"/>
      <c r="M84" s="53"/>
      <c r="N84" s="53"/>
      <c r="O84" s="53"/>
      <c r="P84" s="53"/>
      <c r="Q84" s="53"/>
      <c r="R84" s="53"/>
      <c r="S84" s="53"/>
      <c r="T84" s="53"/>
      <c r="U84" s="53"/>
      <c r="V84" s="53"/>
      <c r="W84" s="53"/>
      <c r="X84" s="53"/>
      <c r="Y84" s="53"/>
      <c r="Z84" s="53"/>
    </row>
    <row r="85" spans="1:26" ht="20.25" customHeight="1">
      <c r="A85" s="156"/>
      <c r="B85" s="154" t="s">
        <v>158</v>
      </c>
      <c r="C85" s="154" t="s">
        <v>159</v>
      </c>
      <c r="D85" s="154" t="s">
        <v>1876</v>
      </c>
      <c r="E85" s="155">
        <v>2015</v>
      </c>
      <c r="G85" s="53"/>
      <c r="H85" s="53"/>
      <c r="I85" s="53"/>
      <c r="J85" s="53"/>
      <c r="K85" s="53"/>
      <c r="L85" s="53"/>
      <c r="M85" s="53"/>
      <c r="N85" s="53"/>
      <c r="O85" s="53"/>
      <c r="P85" s="53"/>
      <c r="Q85" s="53"/>
      <c r="R85" s="53"/>
      <c r="S85" s="53"/>
      <c r="T85" s="53"/>
      <c r="U85" s="53"/>
      <c r="V85" s="53"/>
      <c r="W85" s="53"/>
      <c r="X85" s="53"/>
      <c r="Y85" s="53"/>
      <c r="Z85" s="53"/>
    </row>
    <row r="86" spans="1:26" ht="20.25" customHeight="1">
      <c r="A86" s="156"/>
      <c r="B86" s="154" t="s">
        <v>151</v>
      </c>
      <c r="C86" s="154" t="s">
        <v>151</v>
      </c>
      <c r="D86" s="154" t="s">
        <v>1876</v>
      </c>
      <c r="E86" s="155">
        <v>2015</v>
      </c>
      <c r="G86" s="53"/>
      <c r="H86" s="53"/>
      <c r="I86" s="53"/>
      <c r="J86" s="53"/>
      <c r="K86" s="53"/>
      <c r="L86" s="53"/>
      <c r="M86" s="53"/>
      <c r="N86" s="53"/>
      <c r="O86" s="53"/>
      <c r="P86" s="53"/>
      <c r="Q86" s="53"/>
      <c r="R86" s="53"/>
      <c r="S86" s="53"/>
      <c r="T86" s="53"/>
      <c r="U86" s="53"/>
      <c r="V86" s="53"/>
      <c r="W86" s="53"/>
      <c r="X86" s="53"/>
      <c r="Y86" s="53"/>
      <c r="Z86" s="53"/>
    </row>
    <row r="87" spans="1:26" ht="20.25" customHeight="1">
      <c r="A87" s="156"/>
      <c r="B87" s="154" t="s">
        <v>220</v>
      </c>
      <c r="C87" s="154" t="s">
        <v>221</v>
      </c>
      <c r="D87" s="154" t="s">
        <v>1876</v>
      </c>
      <c r="E87" s="155">
        <v>2018</v>
      </c>
      <c r="G87" s="53"/>
      <c r="H87" s="53"/>
      <c r="I87" s="53"/>
      <c r="J87" s="53"/>
      <c r="K87" s="53"/>
      <c r="L87" s="53"/>
      <c r="M87" s="53"/>
      <c r="N87" s="53"/>
      <c r="O87" s="53"/>
      <c r="P87" s="53"/>
      <c r="Q87" s="53"/>
      <c r="R87" s="53"/>
      <c r="S87" s="53"/>
      <c r="T87" s="53"/>
      <c r="U87" s="53"/>
      <c r="V87" s="53"/>
      <c r="W87" s="53"/>
      <c r="X87" s="53"/>
      <c r="Y87" s="53"/>
      <c r="Z87" s="53"/>
    </row>
    <row r="88" spans="1:26" ht="20.25" customHeight="1">
      <c r="A88" s="156"/>
      <c r="B88" s="154" t="s">
        <v>134</v>
      </c>
      <c r="C88" s="154" t="s">
        <v>134</v>
      </c>
      <c r="D88" s="154" t="s">
        <v>1876</v>
      </c>
      <c r="E88" s="155">
        <v>2016</v>
      </c>
      <c r="G88" s="53"/>
      <c r="H88" s="53"/>
      <c r="I88" s="53"/>
      <c r="J88" s="53"/>
      <c r="K88" s="53"/>
      <c r="L88" s="53"/>
      <c r="M88" s="53"/>
      <c r="N88" s="53"/>
      <c r="O88" s="53"/>
      <c r="P88" s="53"/>
      <c r="Q88" s="53"/>
      <c r="R88" s="53"/>
      <c r="S88" s="53"/>
      <c r="T88" s="53"/>
      <c r="U88" s="53"/>
      <c r="V88" s="53"/>
      <c r="W88" s="53"/>
      <c r="X88" s="53"/>
      <c r="Y88" s="53"/>
      <c r="Z88" s="53"/>
    </row>
    <row r="89" spans="1:26" ht="20.25" customHeight="1">
      <c r="A89" s="156"/>
      <c r="B89" s="154" t="s">
        <v>91</v>
      </c>
      <c r="C89" s="154" t="s">
        <v>92</v>
      </c>
      <c r="D89" s="154" t="s">
        <v>1876</v>
      </c>
      <c r="E89" s="155">
        <v>2016</v>
      </c>
      <c r="G89" s="53"/>
      <c r="H89" s="53"/>
      <c r="I89" s="53"/>
      <c r="J89" s="53"/>
      <c r="K89" s="53"/>
      <c r="L89" s="53"/>
      <c r="M89" s="53"/>
      <c r="N89" s="53"/>
      <c r="O89" s="53"/>
      <c r="P89" s="53"/>
      <c r="Q89" s="53"/>
      <c r="R89" s="53"/>
      <c r="S89" s="53"/>
      <c r="T89" s="53"/>
      <c r="U89" s="53"/>
      <c r="V89" s="53"/>
      <c r="W89" s="53"/>
      <c r="X89" s="53"/>
      <c r="Y89" s="53"/>
      <c r="Z89" s="53"/>
    </row>
    <row r="90" spans="1:26" ht="20.25" customHeight="1">
      <c r="A90" s="156"/>
      <c r="B90" s="154" t="s">
        <v>188</v>
      </c>
      <c r="C90" s="154" t="s">
        <v>188</v>
      </c>
      <c r="D90" s="154" t="s">
        <v>1876</v>
      </c>
      <c r="E90" s="155">
        <v>2012</v>
      </c>
      <c r="G90" s="53"/>
      <c r="H90" s="53"/>
      <c r="I90" s="53"/>
      <c r="J90" s="53"/>
      <c r="K90" s="53"/>
      <c r="L90" s="53"/>
      <c r="M90" s="53"/>
      <c r="N90" s="53"/>
      <c r="O90" s="53"/>
      <c r="P90" s="53"/>
      <c r="Q90" s="53"/>
      <c r="R90" s="53"/>
      <c r="S90" s="53"/>
      <c r="T90" s="53"/>
      <c r="U90" s="53"/>
      <c r="V90" s="53"/>
      <c r="W90" s="53"/>
      <c r="X90" s="53"/>
      <c r="Y90" s="53"/>
      <c r="Z90" s="53"/>
    </row>
    <row r="91" spans="1:26" ht="20.25" customHeight="1">
      <c r="A91" s="154" t="s">
        <v>45</v>
      </c>
      <c r="B91" s="154" t="s">
        <v>49</v>
      </c>
      <c r="C91" s="154" t="s">
        <v>50</v>
      </c>
      <c r="D91" s="154" t="s">
        <v>1876</v>
      </c>
      <c r="E91" s="155">
        <v>2017</v>
      </c>
      <c r="G91" s="53"/>
      <c r="H91" s="53"/>
      <c r="I91" s="53"/>
      <c r="J91" s="53"/>
      <c r="K91" s="53"/>
      <c r="L91" s="53"/>
      <c r="M91" s="53"/>
      <c r="N91" s="53"/>
      <c r="O91" s="53"/>
      <c r="P91" s="53"/>
      <c r="Q91" s="53"/>
      <c r="R91" s="53"/>
      <c r="S91" s="53"/>
      <c r="T91" s="53"/>
      <c r="U91" s="53"/>
      <c r="V91" s="53"/>
      <c r="W91" s="53"/>
      <c r="X91" s="53"/>
      <c r="Y91" s="53"/>
      <c r="Z91" s="53"/>
    </row>
    <row r="92" spans="1:26" ht="20.25" customHeight="1">
      <c r="A92" s="154" t="s">
        <v>164</v>
      </c>
      <c r="B92" s="154" t="s">
        <v>1624</v>
      </c>
      <c r="C92" s="154" t="s">
        <v>2094</v>
      </c>
      <c r="D92" s="154" t="s">
        <v>1876</v>
      </c>
      <c r="E92" s="155">
        <v>2017</v>
      </c>
      <c r="G92" s="53"/>
      <c r="H92" s="53"/>
      <c r="I92" s="53"/>
      <c r="J92" s="53"/>
      <c r="K92" s="53"/>
      <c r="L92" s="53"/>
      <c r="M92" s="53"/>
      <c r="N92" s="53"/>
      <c r="O92" s="53"/>
      <c r="P92" s="53"/>
      <c r="Q92" s="53"/>
      <c r="R92" s="53"/>
      <c r="S92" s="53"/>
      <c r="T92" s="53"/>
      <c r="U92" s="53"/>
      <c r="V92" s="53"/>
      <c r="W92" s="53"/>
      <c r="X92" s="53"/>
      <c r="Y92" s="53"/>
      <c r="Z92" s="53"/>
    </row>
    <row r="93" spans="1:26" ht="20.25" customHeight="1">
      <c r="A93" s="154" t="s">
        <v>166</v>
      </c>
      <c r="B93" s="154" t="s">
        <v>561</v>
      </c>
      <c r="C93" s="154" t="s">
        <v>561</v>
      </c>
      <c r="D93" s="154" t="s">
        <v>1876</v>
      </c>
      <c r="E93" s="155">
        <v>2015</v>
      </c>
      <c r="G93" s="53"/>
      <c r="H93" s="53"/>
      <c r="I93" s="53"/>
      <c r="J93" s="53"/>
      <c r="K93" s="53"/>
      <c r="L93" s="53"/>
      <c r="M93" s="53"/>
      <c r="N93" s="53"/>
      <c r="O93" s="53"/>
      <c r="P93" s="53"/>
      <c r="Q93" s="53"/>
      <c r="R93" s="53"/>
      <c r="S93" s="53"/>
      <c r="T93" s="53"/>
      <c r="U93" s="53"/>
      <c r="V93" s="53"/>
      <c r="W93" s="53"/>
      <c r="X93" s="53"/>
      <c r="Y93" s="53"/>
      <c r="Z93" s="53"/>
    </row>
    <row r="94" spans="1:26" ht="20.25" customHeight="1">
      <c r="A94" s="156"/>
      <c r="B94" s="156"/>
      <c r="C94" s="154" t="s">
        <v>1019</v>
      </c>
      <c r="D94" s="154" t="s">
        <v>1876</v>
      </c>
      <c r="E94" s="155">
        <v>2012</v>
      </c>
      <c r="G94" s="53"/>
      <c r="H94" s="53"/>
      <c r="I94" s="53"/>
      <c r="J94" s="53"/>
      <c r="K94" s="53"/>
      <c r="L94" s="53"/>
      <c r="M94" s="53"/>
      <c r="N94" s="53"/>
      <c r="O94" s="53"/>
      <c r="P94" s="53"/>
      <c r="Q94" s="53"/>
      <c r="R94" s="53"/>
      <c r="S94" s="53"/>
      <c r="T94" s="53"/>
      <c r="U94" s="53"/>
      <c r="V94" s="53"/>
      <c r="W94" s="53"/>
      <c r="X94" s="53"/>
      <c r="Y94" s="53"/>
      <c r="Z94" s="53"/>
    </row>
    <row r="95" spans="1:26" ht="20.25" customHeight="1">
      <c r="A95" s="156"/>
      <c r="B95" s="154" t="s">
        <v>741</v>
      </c>
      <c r="C95" s="154" t="s">
        <v>742</v>
      </c>
      <c r="D95" s="154" t="s">
        <v>1876</v>
      </c>
      <c r="E95" s="155">
        <v>2016</v>
      </c>
      <c r="G95" s="53"/>
      <c r="H95" s="53"/>
      <c r="I95" s="53"/>
      <c r="J95" s="53"/>
      <c r="K95" s="53"/>
      <c r="L95" s="53"/>
      <c r="M95" s="53"/>
      <c r="N95" s="53"/>
      <c r="O95" s="53"/>
      <c r="P95" s="53"/>
      <c r="Q95" s="53"/>
      <c r="R95" s="53"/>
      <c r="S95" s="53"/>
      <c r="T95" s="53"/>
      <c r="U95" s="53"/>
      <c r="V95" s="53"/>
      <c r="W95" s="53"/>
      <c r="X95" s="53"/>
      <c r="Y95" s="53"/>
      <c r="Z95" s="53"/>
    </row>
    <row r="96" spans="1:26" ht="20.25" customHeight="1">
      <c r="A96" s="156"/>
      <c r="B96" s="154" t="s">
        <v>769</v>
      </c>
      <c r="C96" s="154" t="s">
        <v>770</v>
      </c>
      <c r="D96" s="154" t="s">
        <v>1876</v>
      </c>
      <c r="E96" s="155">
        <v>2018</v>
      </c>
      <c r="G96" s="53"/>
      <c r="H96" s="53"/>
      <c r="I96" s="53"/>
      <c r="J96" s="53"/>
      <c r="K96" s="53"/>
      <c r="L96" s="53"/>
      <c r="M96" s="53"/>
      <c r="N96" s="53"/>
      <c r="O96" s="53"/>
      <c r="P96" s="53"/>
      <c r="Q96" s="53"/>
      <c r="R96" s="53"/>
      <c r="S96" s="53"/>
      <c r="T96" s="53"/>
      <c r="U96" s="53"/>
      <c r="V96" s="53"/>
      <c r="W96" s="53"/>
      <c r="X96" s="53"/>
      <c r="Y96" s="53"/>
      <c r="Z96" s="53"/>
    </row>
    <row r="97" spans="1:26" ht="20.25" customHeight="1">
      <c r="A97" s="156"/>
      <c r="B97" s="154" t="s">
        <v>565</v>
      </c>
      <c r="C97" s="154" t="s">
        <v>566</v>
      </c>
      <c r="D97" s="154" t="s">
        <v>1876</v>
      </c>
      <c r="E97" s="155">
        <v>2018</v>
      </c>
      <c r="G97" s="53"/>
      <c r="H97" s="53"/>
      <c r="I97" s="53"/>
      <c r="J97" s="53"/>
      <c r="K97" s="53"/>
      <c r="L97" s="53"/>
      <c r="M97" s="53"/>
      <c r="N97" s="53"/>
      <c r="O97" s="53"/>
      <c r="P97" s="53"/>
      <c r="Q97" s="53"/>
      <c r="R97" s="53"/>
      <c r="S97" s="53"/>
      <c r="T97" s="53"/>
      <c r="U97" s="53"/>
      <c r="V97" s="53"/>
      <c r="W97" s="53"/>
      <c r="X97" s="53"/>
      <c r="Y97" s="53"/>
      <c r="Z97" s="53"/>
    </row>
    <row r="98" spans="1:26" ht="20.25" customHeight="1">
      <c r="A98" s="156"/>
      <c r="B98" s="154" t="s">
        <v>610</v>
      </c>
      <c r="C98" s="154" t="s">
        <v>611</v>
      </c>
      <c r="D98" s="154" t="s">
        <v>1876</v>
      </c>
      <c r="E98" s="155">
        <v>2016</v>
      </c>
      <c r="G98" s="53"/>
      <c r="H98" s="53"/>
      <c r="I98" s="53"/>
      <c r="J98" s="53"/>
      <c r="K98" s="53"/>
      <c r="L98" s="53"/>
      <c r="M98" s="53"/>
      <c r="N98" s="53"/>
      <c r="O98" s="53"/>
      <c r="P98" s="53"/>
      <c r="Q98" s="53"/>
      <c r="R98" s="53"/>
      <c r="S98" s="53"/>
      <c r="T98" s="53"/>
      <c r="U98" s="53"/>
      <c r="V98" s="53"/>
      <c r="W98" s="53"/>
      <c r="X98" s="53"/>
      <c r="Y98" s="53"/>
      <c r="Z98" s="53"/>
    </row>
    <row r="99" spans="1:26" ht="20.25" customHeight="1">
      <c r="A99" s="156"/>
      <c r="B99" s="154" t="s">
        <v>1142</v>
      </c>
      <c r="C99" s="154" t="s">
        <v>1143</v>
      </c>
      <c r="D99" s="154" t="s">
        <v>1876</v>
      </c>
      <c r="E99" s="155">
        <v>2019</v>
      </c>
      <c r="G99" s="53"/>
      <c r="H99" s="53"/>
      <c r="I99" s="53"/>
      <c r="J99" s="53"/>
      <c r="K99" s="53"/>
      <c r="L99" s="53"/>
      <c r="M99" s="53"/>
      <c r="N99" s="53"/>
      <c r="O99" s="53"/>
      <c r="P99" s="53"/>
      <c r="Q99" s="53"/>
      <c r="R99" s="53"/>
      <c r="S99" s="53"/>
      <c r="T99" s="53"/>
      <c r="U99" s="53"/>
      <c r="V99" s="53"/>
      <c r="W99" s="53"/>
      <c r="X99" s="53"/>
      <c r="Y99" s="53"/>
      <c r="Z99" s="53"/>
    </row>
    <row r="100" spans="1:26" ht="20.25" customHeight="1">
      <c r="A100" s="156"/>
      <c r="B100" s="154" t="s">
        <v>852</v>
      </c>
      <c r="C100" s="154" t="s">
        <v>853</v>
      </c>
      <c r="D100" s="154" t="s">
        <v>1876</v>
      </c>
      <c r="E100" s="155">
        <v>2018</v>
      </c>
      <c r="G100" s="53"/>
      <c r="H100" s="53"/>
      <c r="I100" s="53"/>
      <c r="J100" s="53"/>
      <c r="K100" s="53"/>
      <c r="L100" s="53"/>
      <c r="M100" s="53"/>
      <c r="N100" s="53"/>
      <c r="O100" s="53"/>
      <c r="P100" s="53"/>
      <c r="Q100" s="53"/>
      <c r="R100" s="53"/>
      <c r="S100" s="53"/>
      <c r="T100" s="53"/>
      <c r="U100" s="53"/>
      <c r="V100" s="53"/>
      <c r="W100" s="53"/>
      <c r="X100" s="53"/>
      <c r="Y100" s="53"/>
      <c r="Z100" s="53"/>
    </row>
    <row r="101" spans="1:26" ht="20.25" customHeight="1">
      <c r="A101" s="156"/>
      <c r="B101" s="154" t="s">
        <v>166</v>
      </c>
      <c r="C101" s="154" t="s">
        <v>1243</v>
      </c>
      <c r="D101" s="154" t="s">
        <v>1876</v>
      </c>
      <c r="E101" s="155">
        <v>2019</v>
      </c>
      <c r="G101" s="53"/>
      <c r="H101" s="53"/>
      <c r="I101" s="53"/>
      <c r="J101" s="53"/>
      <c r="K101" s="53"/>
      <c r="L101" s="53"/>
      <c r="M101" s="53"/>
      <c r="N101" s="53"/>
      <c r="O101" s="53"/>
      <c r="P101" s="53"/>
      <c r="Q101" s="53"/>
      <c r="R101" s="53"/>
      <c r="S101" s="53"/>
      <c r="T101" s="53"/>
      <c r="U101" s="53"/>
      <c r="V101" s="53"/>
      <c r="W101" s="53"/>
      <c r="X101" s="53"/>
      <c r="Y101" s="53"/>
      <c r="Z101" s="53"/>
    </row>
    <row r="102" spans="1:26" ht="20.25" customHeight="1">
      <c r="A102" s="156"/>
      <c r="B102" s="154" t="s">
        <v>582</v>
      </c>
      <c r="C102" s="154" t="s">
        <v>583</v>
      </c>
      <c r="D102" s="154" t="s">
        <v>1876</v>
      </c>
      <c r="E102" s="155">
        <v>2019</v>
      </c>
      <c r="G102" s="53"/>
      <c r="H102" s="53"/>
      <c r="I102" s="53"/>
      <c r="J102" s="53"/>
      <c r="K102" s="53"/>
      <c r="L102" s="53"/>
      <c r="M102" s="53"/>
      <c r="N102" s="53"/>
      <c r="O102" s="53"/>
      <c r="P102" s="53"/>
      <c r="Q102" s="53"/>
      <c r="R102" s="53"/>
      <c r="S102" s="53"/>
      <c r="T102" s="53"/>
      <c r="U102" s="53"/>
      <c r="V102" s="53"/>
      <c r="W102" s="53"/>
      <c r="X102" s="53"/>
      <c r="Y102" s="53"/>
      <c r="Z102" s="53"/>
    </row>
    <row r="103" spans="1:26" ht="20.25" customHeight="1">
      <c r="A103" s="156"/>
      <c r="B103" s="154" t="s">
        <v>783</v>
      </c>
      <c r="C103" s="154" t="s">
        <v>784</v>
      </c>
      <c r="D103" s="154" t="s">
        <v>1876</v>
      </c>
      <c r="E103" s="155">
        <v>2019</v>
      </c>
      <c r="G103" s="53"/>
      <c r="H103" s="53"/>
      <c r="I103" s="53"/>
      <c r="J103" s="53"/>
      <c r="K103" s="53"/>
      <c r="L103" s="53"/>
      <c r="M103" s="53"/>
      <c r="N103" s="53"/>
      <c r="O103" s="53"/>
      <c r="P103" s="53"/>
      <c r="Q103" s="53"/>
      <c r="R103" s="53"/>
      <c r="S103" s="53"/>
      <c r="T103" s="53"/>
      <c r="U103" s="53"/>
      <c r="V103" s="53"/>
      <c r="W103" s="53"/>
      <c r="X103" s="53"/>
      <c r="Y103" s="53"/>
      <c r="Z103" s="53"/>
    </row>
    <row r="104" spans="1:26" ht="20.25" customHeight="1">
      <c r="A104" s="156"/>
      <c r="B104" s="154" t="s">
        <v>870</v>
      </c>
      <c r="C104" s="154" t="s">
        <v>565</v>
      </c>
      <c r="D104" s="154" t="s">
        <v>1876</v>
      </c>
      <c r="E104" s="155">
        <v>2015</v>
      </c>
      <c r="G104" s="53"/>
      <c r="H104" s="53"/>
      <c r="I104" s="53"/>
      <c r="J104" s="53"/>
      <c r="K104" s="53"/>
      <c r="L104" s="53"/>
      <c r="M104" s="53"/>
      <c r="N104" s="53"/>
      <c r="O104" s="53"/>
      <c r="P104" s="53"/>
      <c r="Q104" s="53"/>
      <c r="R104" s="53"/>
      <c r="S104" s="53"/>
      <c r="T104" s="53"/>
      <c r="U104" s="53"/>
      <c r="V104" s="53"/>
      <c r="W104" s="53"/>
      <c r="X104" s="53"/>
      <c r="Y104" s="53"/>
      <c r="Z104" s="53"/>
    </row>
    <row r="105" spans="1:26" ht="20.25" customHeight="1">
      <c r="A105" s="156"/>
      <c r="B105" s="154" t="s">
        <v>1013</v>
      </c>
      <c r="C105" s="154" t="s">
        <v>1014</v>
      </c>
      <c r="D105" s="154" t="s">
        <v>1876</v>
      </c>
      <c r="E105" s="155">
        <v>2015</v>
      </c>
      <c r="G105" s="53"/>
      <c r="H105" s="53"/>
      <c r="I105" s="53"/>
      <c r="J105" s="53"/>
      <c r="K105" s="53"/>
      <c r="L105" s="53"/>
      <c r="M105" s="53"/>
      <c r="N105" s="53"/>
      <c r="O105" s="53"/>
      <c r="P105" s="53"/>
      <c r="Q105" s="53"/>
      <c r="R105" s="53"/>
      <c r="S105" s="53"/>
      <c r="T105" s="53"/>
      <c r="U105" s="53"/>
      <c r="V105" s="53"/>
      <c r="W105" s="53"/>
      <c r="X105" s="53"/>
      <c r="Y105" s="53"/>
      <c r="Z105" s="53"/>
    </row>
    <row r="106" spans="1:26" ht="20.25" customHeight="1">
      <c r="A106" s="156"/>
      <c r="B106" s="154" t="s">
        <v>636</v>
      </c>
      <c r="C106" s="154" t="s">
        <v>637</v>
      </c>
      <c r="D106" s="154" t="s">
        <v>1876</v>
      </c>
      <c r="E106" s="155">
        <v>2018</v>
      </c>
      <c r="G106" s="53"/>
      <c r="H106" s="53"/>
      <c r="I106" s="53"/>
      <c r="J106" s="53"/>
      <c r="K106" s="53"/>
      <c r="L106" s="53"/>
      <c r="M106" s="53"/>
      <c r="N106" s="53"/>
      <c r="O106" s="53"/>
      <c r="P106" s="53"/>
      <c r="Q106" s="53"/>
      <c r="R106" s="53"/>
      <c r="S106" s="53"/>
      <c r="T106" s="53"/>
      <c r="U106" s="53"/>
      <c r="V106" s="53"/>
      <c r="W106" s="53"/>
      <c r="X106" s="53"/>
      <c r="Y106" s="53"/>
      <c r="Z106" s="53"/>
    </row>
    <row r="107" spans="1:26" ht="20.25" customHeight="1">
      <c r="A107" s="154" t="s">
        <v>167</v>
      </c>
      <c r="B107" s="154" t="s">
        <v>1492</v>
      </c>
      <c r="C107" s="154" t="s">
        <v>1493</v>
      </c>
      <c r="D107" s="154" t="s">
        <v>1876</v>
      </c>
      <c r="E107" s="155">
        <v>2019</v>
      </c>
      <c r="G107" s="53"/>
      <c r="H107" s="53"/>
      <c r="I107" s="53"/>
      <c r="J107" s="53"/>
      <c r="K107" s="53"/>
      <c r="L107" s="53"/>
      <c r="M107" s="53"/>
      <c r="N107" s="53"/>
      <c r="O107" s="53"/>
      <c r="P107" s="53"/>
      <c r="Q107" s="53"/>
      <c r="R107" s="53"/>
      <c r="S107" s="53"/>
      <c r="T107" s="53"/>
      <c r="U107" s="53"/>
      <c r="V107" s="53"/>
      <c r="W107" s="53"/>
      <c r="X107" s="53"/>
      <c r="Y107" s="53"/>
      <c r="Z107" s="53"/>
    </row>
    <row r="108" spans="1:26" ht="20.25" customHeight="1">
      <c r="A108" s="154" t="s">
        <v>174</v>
      </c>
      <c r="B108" s="154" t="s">
        <v>1631</v>
      </c>
      <c r="C108" s="154" t="s">
        <v>1632</v>
      </c>
      <c r="D108" s="154" t="s">
        <v>1876</v>
      </c>
      <c r="E108" s="155">
        <v>2015</v>
      </c>
      <c r="G108" s="53"/>
      <c r="H108" s="53"/>
      <c r="I108" s="53"/>
      <c r="J108" s="53"/>
      <c r="K108" s="53"/>
      <c r="L108" s="53"/>
      <c r="M108" s="53"/>
      <c r="N108" s="53"/>
      <c r="O108" s="53"/>
      <c r="P108" s="53"/>
      <c r="Q108" s="53"/>
      <c r="R108" s="53"/>
      <c r="S108" s="53"/>
      <c r="T108" s="53"/>
      <c r="U108" s="53"/>
      <c r="V108" s="53"/>
      <c r="W108" s="53"/>
      <c r="X108" s="53"/>
      <c r="Y108" s="53"/>
      <c r="Z108" s="53"/>
    </row>
    <row r="109" spans="1:26" ht="20.25" customHeight="1">
      <c r="A109" s="154" t="s">
        <v>179</v>
      </c>
      <c r="B109" s="154" t="s">
        <v>1596</v>
      </c>
      <c r="C109" s="154" t="s">
        <v>1597</v>
      </c>
      <c r="D109" s="154" t="s">
        <v>1876</v>
      </c>
      <c r="E109" s="155">
        <v>2018</v>
      </c>
      <c r="G109" s="53"/>
      <c r="H109" s="53"/>
      <c r="I109" s="53"/>
      <c r="J109" s="53"/>
      <c r="K109" s="53"/>
      <c r="L109" s="53"/>
      <c r="M109" s="53"/>
      <c r="N109" s="53"/>
      <c r="O109" s="53"/>
      <c r="P109" s="53"/>
      <c r="Q109" s="53"/>
      <c r="R109" s="53"/>
      <c r="S109" s="53"/>
      <c r="T109" s="53"/>
      <c r="U109" s="53"/>
      <c r="V109" s="53"/>
      <c r="W109" s="53"/>
      <c r="X109" s="53"/>
      <c r="Y109" s="53"/>
      <c r="Z109" s="53"/>
    </row>
    <row r="110" spans="1:26" ht="20.25" customHeight="1">
      <c r="A110" s="156"/>
      <c r="B110" s="154" t="s">
        <v>1552</v>
      </c>
      <c r="C110" s="154" t="s">
        <v>1553</v>
      </c>
      <c r="D110" s="154" t="s">
        <v>1876</v>
      </c>
      <c r="E110" s="155">
        <v>2016</v>
      </c>
      <c r="G110" s="53"/>
      <c r="H110" s="53"/>
      <c r="I110" s="53"/>
      <c r="J110" s="53"/>
      <c r="K110" s="53"/>
      <c r="L110" s="53"/>
      <c r="M110" s="53"/>
      <c r="N110" s="53"/>
      <c r="O110" s="53"/>
      <c r="P110" s="53"/>
      <c r="Q110" s="53"/>
      <c r="R110" s="53"/>
      <c r="S110" s="53"/>
      <c r="T110" s="53"/>
      <c r="U110" s="53"/>
      <c r="V110" s="53"/>
      <c r="W110" s="53"/>
      <c r="X110" s="53"/>
      <c r="Y110" s="53"/>
      <c r="Z110" s="53"/>
    </row>
    <row r="111" spans="1:26" ht="20.25" customHeight="1">
      <c r="A111" s="154" t="s">
        <v>180</v>
      </c>
      <c r="B111" s="154" t="s">
        <v>1562</v>
      </c>
      <c r="C111" s="154" t="s">
        <v>2094</v>
      </c>
      <c r="D111" s="154" t="s">
        <v>1876</v>
      </c>
      <c r="E111" s="155">
        <v>2017</v>
      </c>
      <c r="G111" s="53"/>
      <c r="H111" s="53"/>
      <c r="I111" s="53"/>
      <c r="J111" s="53"/>
      <c r="K111" s="53"/>
      <c r="L111" s="53"/>
      <c r="M111" s="53"/>
      <c r="N111" s="53"/>
      <c r="O111" s="53"/>
      <c r="P111" s="53"/>
      <c r="Q111" s="53"/>
      <c r="R111" s="53"/>
      <c r="S111" s="53"/>
      <c r="T111" s="53"/>
      <c r="U111" s="53"/>
      <c r="V111" s="53"/>
      <c r="W111" s="53"/>
      <c r="X111" s="53"/>
      <c r="Y111" s="53"/>
      <c r="Z111" s="53"/>
    </row>
    <row r="112" spans="1:26" ht="20.25" customHeight="1">
      <c r="A112" s="154" t="s">
        <v>181</v>
      </c>
      <c r="B112" s="154" t="s">
        <v>1683</v>
      </c>
      <c r="C112" s="154" t="s">
        <v>1684</v>
      </c>
      <c r="D112" s="154" t="s">
        <v>1876</v>
      </c>
      <c r="E112" s="155">
        <v>2018</v>
      </c>
      <c r="G112" s="53"/>
      <c r="H112" s="53"/>
      <c r="I112" s="53"/>
      <c r="J112" s="53"/>
      <c r="K112" s="53"/>
      <c r="L112" s="53"/>
      <c r="M112" s="53"/>
      <c r="N112" s="53"/>
      <c r="O112" s="53"/>
      <c r="P112" s="53"/>
      <c r="Q112" s="53"/>
      <c r="R112" s="53"/>
      <c r="S112" s="53"/>
      <c r="T112" s="53"/>
      <c r="U112" s="53"/>
      <c r="V112" s="53"/>
      <c r="W112" s="53"/>
      <c r="X112" s="53"/>
      <c r="Y112" s="53"/>
      <c r="Z112" s="53"/>
    </row>
    <row r="113" spans="1:26" ht="20.25" customHeight="1">
      <c r="A113" s="156"/>
      <c r="B113" s="154" t="s">
        <v>1713</v>
      </c>
      <c r="C113" s="154" t="s">
        <v>1714</v>
      </c>
      <c r="D113" s="154" t="s">
        <v>1876</v>
      </c>
      <c r="E113" s="155">
        <v>2019</v>
      </c>
      <c r="G113" s="53"/>
      <c r="H113" s="53"/>
      <c r="I113" s="53"/>
      <c r="J113" s="53"/>
      <c r="K113" s="53"/>
      <c r="L113" s="53"/>
      <c r="M113" s="53"/>
      <c r="N113" s="53"/>
      <c r="O113" s="53"/>
      <c r="P113" s="53"/>
      <c r="Q113" s="53"/>
      <c r="R113" s="53"/>
      <c r="S113" s="53"/>
      <c r="T113" s="53"/>
      <c r="U113" s="53"/>
      <c r="V113" s="53"/>
      <c r="W113" s="53"/>
      <c r="X113" s="53"/>
      <c r="Y113" s="53"/>
      <c r="Z113" s="53"/>
    </row>
    <row r="114" spans="1:26" ht="20.25" customHeight="1">
      <c r="A114" s="156"/>
      <c r="B114" s="154" t="s">
        <v>1639</v>
      </c>
      <c r="C114" s="154" t="s">
        <v>1648</v>
      </c>
      <c r="D114" s="154" t="s">
        <v>1876</v>
      </c>
      <c r="E114" s="155">
        <v>2015</v>
      </c>
      <c r="G114" s="53"/>
      <c r="H114" s="53"/>
      <c r="I114" s="53"/>
      <c r="J114" s="53"/>
      <c r="K114" s="53"/>
      <c r="L114" s="53"/>
      <c r="M114" s="53"/>
      <c r="N114" s="53"/>
      <c r="O114" s="53"/>
      <c r="P114" s="53"/>
      <c r="Q114" s="53"/>
      <c r="R114" s="53"/>
      <c r="S114" s="53"/>
      <c r="T114" s="53"/>
      <c r="U114" s="53"/>
      <c r="V114" s="53"/>
      <c r="W114" s="53"/>
      <c r="X114" s="53"/>
      <c r="Y114" s="53"/>
      <c r="Z114" s="53"/>
    </row>
    <row r="115" spans="1:26" ht="20.25" customHeight="1">
      <c r="A115" s="156"/>
      <c r="B115" s="156"/>
      <c r="C115" s="156"/>
      <c r="D115" s="156"/>
      <c r="E115" s="157">
        <v>2018</v>
      </c>
      <c r="G115" s="53"/>
      <c r="H115" s="53"/>
      <c r="I115" s="53"/>
      <c r="J115" s="53"/>
      <c r="K115" s="53"/>
      <c r="L115" s="53"/>
      <c r="M115" s="53"/>
      <c r="N115" s="53"/>
      <c r="O115" s="53"/>
      <c r="P115" s="53"/>
      <c r="Q115" s="53"/>
      <c r="R115" s="53"/>
      <c r="S115" s="53"/>
      <c r="T115" s="53"/>
      <c r="U115" s="53"/>
      <c r="V115" s="53"/>
      <c r="W115" s="53"/>
      <c r="X115" s="53"/>
      <c r="Y115" s="53"/>
      <c r="Z115" s="53"/>
    </row>
    <row r="116" spans="1:26" ht="20.25" customHeight="1">
      <c r="A116" s="156"/>
      <c r="B116" s="156"/>
      <c r="C116" s="154" t="s">
        <v>1640</v>
      </c>
      <c r="D116" s="154" t="s">
        <v>1876</v>
      </c>
      <c r="E116" s="155">
        <v>2017</v>
      </c>
      <c r="G116" s="53"/>
      <c r="H116" s="53"/>
      <c r="I116" s="53"/>
      <c r="J116" s="53"/>
      <c r="K116" s="53"/>
      <c r="L116" s="53"/>
      <c r="M116" s="53"/>
      <c r="N116" s="53"/>
      <c r="O116" s="53"/>
      <c r="P116" s="53"/>
      <c r="Q116" s="53"/>
      <c r="R116" s="53"/>
      <c r="S116" s="53"/>
      <c r="T116" s="53"/>
      <c r="U116" s="53"/>
      <c r="V116" s="53"/>
      <c r="W116" s="53"/>
      <c r="X116" s="53"/>
      <c r="Y116" s="53"/>
      <c r="Z116" s="53"/>
    </row>
    <row r="117" spans="1:26" ht="20.25" customHeight="1">
      <c r="A117" s="156"/>
      <c r="B117" s="154" t="s">
        <v>1656</v>
      </c>
      <c r="C117" s="154" t="s">
        <v>1706</v>
      </c>
      <c r="D117" s="154" t="s">
        <v>1876</v>
      </c>
      <c r="E117" s="155">
        <v>2019</v>
      </c>
      <c r="G117" s="53"/>
      <c r="H117" s="53"/>
      <c r="I117" s="53"/>
      <c r="J117" s="53"/>
      <c r="K117" s="53"/>
      <c r="L117" s="53"/>
      <c r="M117" s="53"/>
      <c r="N117" s="53"/>
      <c r="O117" s="53"/>
      <c r="P117" s="53"/>
      <c r="Q117" s="53"/>
      <c r="R117" s="53"/>
      <c r="S117" s="53"/>
      <c r="T117" s="53"/>
      <c r="U117" s="53"/>
      <c r="V117" s="53"/>
      <c r="W117" s="53"/>
      <c r="X117" s="53"/>
      <c r="Y117" s="53"/>
      <c r="Z117" s="53"/>
    </row>
    <row r="118" spans="1:26" ht="20.25" customHeight="1">
      <c r="A118" s="156"/>
      <c r="B118" s="156"/>
      <c r="C118" s="154" t="s">
        <v>1657</v>
      </c>
      <c r="D118" s="154" t="s">
        <v>1876</v>
      </c>
      <c r="E118" s="155">
        <v>2018</v>
      </c>
      <c r="G118" s="53"/>
      <c r="H118" s="53"/>
      <c r="I118" s="53"/>
      <c r="J118" s="53"/>
      <c r="K118" s="53"/>
      <c r="L118" s="53"/>
      <c r="M118" s="53"/>
      <c r="N118" s="53"/>
      <c r="O118" s="53"/>
      <c r="P118" s="53"/>
      <c r="Q118" s="53"/>
      <c r="R118" s="53"/>
      <c r="S118" s="53"/>
      <c r="T118" s="53"/>
      <c r="U118" s="53"/>
      <c r="V118" s="53"/>
      <c r="W118" s="53"/>
      <c r="X118" s="53"/>
      <c r="Y118" s="53"/>
      <c r="Z118" s="53"/>
    </row>
    <row r="119" spans="1:26" ht="20.25" customHeight="1">
      <c r="A119" s="156"/>
      <c r="B119" s="154" t="s">
        <v>1667</v>
      </c>
      <c r="C119" s="154" t="s">
        <v>1668</v>
      </c>
      <c r="D119" s="154" t="s">
        <v>1876</v>
      </c>
      <c r="E119" s="155">
        <v>2018</v>
      </c>
      <c r="G119" s="53"/>
      <c r="H119" s="53"/>
      <c r="I119" s="53"/>
      <c r="J119" s="53"/>
      <c r="K119" s="53"/>
      <c r="L119" s="53"/>
      <c r="M119" s="53"/>
      <c r="N119" s="53"/>
      <c r="O119" s="53"/>
      <c r="P119" s="53"/>
      <c r="Q119" s="53"/>
      <c r="R119" s="53"/>
      <c r="S119" s="53"/>
      <c r="T119" s="53"/>
      <c r="U119" s="53"/>
      <c r="V119" s="53"/>
      <c r="W119" s="53"/>
      <c r="X119" s="53"/>
      <c r="Y119" s="53"/>
      <c r="Z119" s="53"/>
    </row>
    <row r="120" spans="1:26" ht="20.25" customHeight="1">
      <c r="A120" s="156"/>
      <c r="B120" s="156"/>
      <c r="C120" s="154" t="s">
        <v>1697</v>
      </c>
      <c r="D120" s="154" t="s">
        <v>1876</v>
      </c>
      <c r="E120" s="155">
        <v>2019</v>
      </c>
      <c r="G120" s="53"/>
      <c r="H120" s="53"/>
      <c r="I120" s="53"/>
      <c r="J120" s="53"/>
      <c r="K120" s="53"/>
      <c r="L120" s="53"/>
      <c r="M120" s="53"/>
      <c r="N120" s="53"/>
      <c r="O120" s="53"/>
      <c r="P120" s="53"/>
      <c r="Q120" s="53"/>
      <c r="R120" s="53"/>
      <c r="S120" s="53"/>
      <c r="T120" s="53"/>
      <c r="U120" s="53"/>
      <c r="V120" s="53"/>
      <c r="W120" s="53"/>
      <c r="X120" s="53"/>
      <c r="Y120" s="53"/>
      <c r="Z120" s="53"/>
    </row>
    <row r="121" spans="1:26" ht="20.25" customHeight="1">
      <c r="A121" s="154" t="s">
        <v>183</v>
      </c>
      <c r="B121" s="154" t="s">
        <v>1592</v>
      </c>
      <c r="C121" s="154" t="s">
        <v>1592</v>
      </c>
      <c r="D121" s="154" t="s">
        <v>1876</v>
      </c>
      <c r="E121" s="155">
        <v>2012</v>
      </c>
      <c r="G121" s="53"/>
      <c r="H121" s="53"/>
      <c r="I121" s="53"/>
      <c r="J121" s="53"/>
      <c r="K121" s="53"/>
      <c r="L121" s="53"/>
      <c r="M121" s="53"/>
      <c r="N121" s="53"/>
      <c r="O121" s="53"/>
      <c r="P121" s="53"/>
      <c r="Q121" s="53"/>
      <c r="R121" s="53"/>
      <c r="S121" s="53"/>
      <c r="T121" s="53"/>
      <c r="U121" s="53"/>
      <c r="V121" s="53"/>
      <c r="W121" s="53"/>
      <c r="X121" s="53"/>
      <c r="Y121" s="53"/>
      <c r="Z121" s="53"/>
    </row>
    <row r="122" spans="1:26" ht="20.25" customHeight="1">
      <c r="A122" s="156"/>
      <c r="B122" s="154" t="s">
        <v>183</v>
      </c>
      <c r="C122" s="154" t="s">
        <v>1586</v>
      </c>
      <c r="D122" s="154" t="s">
        <v>1876</v>
      </c>
      <c r="E122" s="155">
        <v>2016</v>
      </c>
      <c r="G122" s="53"/>
      <c r="H122" s="53"/>
      <c r="I122" s="53"/>
      <c r="J122" s="53"/>
      <c r="K122" s="53"/>
      <c r="L122" s="53"/>
      <c r="M122" s="53"/>
      <c r="N122" s="53"/>
      <c r="O122" s="53"/>
      <c r="P122" s="53"/>
      <c r="Q122" s="53"/>
      <c r="R122" s="53"/>
      <c r="S122" s="53"/>
      <c r="T122" s="53"/>
      <c r="U122" s="53"/>
      <c r="V122" s="53"/>
      <c r="W122" s="53"/>
      <c r="X122" s="53"/>
      <c r="Y122" s="53"/>
      <c r="Z122" s="53"/>
    </row>
    <row r="123" spans="1:26" ht="20.25" customHeight="1">
      <c r="A123" s="156"/>
      <c r="B123" s="156"/>
      <c r="C123" s="154" t="s">
        <v>2094</v>
      </c>
      <c r="D123" s="154" t="s">
        <v>1876</v>
      </c>
      <c r="E123" s="155">
        <v>2016</v>
      </c>
      <c r="G123" s="53"/>
      <c r="H123" s="53"/>
      <c r="I123" s="53"/>
      <c r="J123" s="53"/>
      <c r="K123" s="53"/>
      <c r="L123" s="53"/>
      <c r="M123" s="53"/>
      <c r="N123" s="53"/>
      <c r="O123" s="53"/>
      <c r="P123" s="53"/>
      <c r="Q123" s="53"/>
      <c r="R123" s="53"/>
      <c r="S123" s="53"/>
      <c r="T123" s="53"/>
      <c r="U123" s="53"/>
      <c r="V123" s="53"/>
      <c r="W123" s="53"/>
      <c r="X123" s="53"/>
      <c r="Y123" s="53"/>
      <c r="Z123" s="53"/>
    </row>
    <row r="124" spans="1:26" ht="20.25" customHeight="1">
      <c r="A124" s="156"/>
      <c r="B124" s="154" t="s">
        <v>1568</v>
      </c>
      <c r="C124" s="154" t="s">
        <v>2094</v>
      </c>
      <c r="D124" s="154" t="s">
        <v>1876</v>
      </c>
      <c r="E124" s="155">
        <v>2017</v>
      </c>
      <c r="G124" s="53"/>
      <c r="H124" s="53"/>
      <c r="I124" s="53"/>
      <c r="J124" s="53"/>
      <c r="K124" s="53"/>
      <c r="L124" s="53"/>
      <c r="M124" s="53"/>
      <c r="N124" s="53"/>
      <c r="O124" s="53"/>
      <c r="P124" s="53"/>
      <c r="Q124" s="53"/>
      <c r="R124" s="53"/>
      <c r="S124" s="53"/>
      <c r="T124" s="53"/>
      <c r="U124" s="53"/>
      <c r="V124" s="53"/>
      <c r="W124" s="53"/>
      <c r="X124" s="53"/>
      <c r="Y124" s="53"/>
      <c r="Z124" s="53"/>
    </row>
    <row r="125" spans="1:26" ht="20.25" customHeight="1">
      <c r="A125" s="154" t="s">
        <v>184</v>
      </c>
      <c r="B125" s="154" t="s">
        <v>253</v>
      </c>
      <c r="C125" s="154" t="s">
        <v>254</v>
      </c>
      <c r="D125" s="154" t="s">
        <v>1876</v>
      </c>
      <c r="E125" s="155">
        <v>2016</v>
      </c>
      <c r="G125" s="53"/>
      <c r="H125" s="53"/>
      <c r="I125" s="53"/>
      <c r="J125" s="53"/>
      <c r="K125" s="53"/>
      <c r="L125" s="53"/>
      <c r="M125" s="53"/>
      <c r="N125" s="53"/>
      <c r="O125" s="53"/>
      <c r="P125" s="53"/>
      <c r="Q125" s="53"/>
      <c r="R125" s="53"/>
      <c r="S125" s="53"/>
      <c r="T125" s="53"/>
      <c r="U125" s="53"/>
      <c r="V125" s="53"/>
      <c r="W125" s="53"/>
      <c r="X125" s="53"/>
      <c r="Y125" s="53"/>
      <c r="Z125" s="53"/>
    </row>
    <row r="126" spans="1:26" ht="20.25" customHeight="1">
      <c r="A126" s="154" t="s">
        <v>190</v>
      </c>
      <c r="B126" s="154" t="s">
        <v>998</v>
      </c>
      <c r="C126" s="154" t="s">
        <v>999</v>
      </c>
      <c r="D126" s="154" t="s">
        <v>1876</v>
      </c>
      <c r="E126" s="155">
        <v>2018</v>
      </c>
      <c r="G126" s="53"/>
      <c r="H126" s="53"/>
      <c r="I126" s="53"/>
      <c r="J126" s="53"/>
      <c r="K126" s="53"/>
      <c r="L126" s="53"/>
      <c r="M126" s="53"/>
      <c r="N126" s="53"/>
      <c r="O126" s="53"/>
      <c r="P126" s="53"/>
      <c r="Q126" s="53"/>
      <c r="R126" s="53"/>
      <c r="S126" s="53"/>
      <c r="T126" s="53"/>
      <c r="U126" s="53"/>
      <c r="V126" s="53"/>
      <c r="W126" s="53"/>
      <c r="X126" s="53"/>
      <c r="Y126" s="53"/>
      <c r="Z126" s="53"/>
    </row>
    <row r="127" spans="1:26" ht="20.25" customHeight="1">
      <c r="A127" s="156"/>
      <c r="B127" s="154" t="s">
        <v>526</v>
      </c>
      <c r="C127" s="154" t="s">
        <v>527</v>
      </c>
      <c r="D127" s="154" t="s">
        <v>1876</v>
      </c>
      <c r="E127" s="155">
        <v>2012</v>
      </c>
      <c r="G127" s="53"/>
      <c r="H127" s="53"/>
      <c r="I127" s="53"/>
      <c r="J127" s="53"/>
      <c r="K127" s="53"/>
      <c r="L127" s="53"/>
      <c r="M127" s="53"/>
      <c r="N127" s="53"/>
      <c r="O127" s="53"/>
      <c r="P127" s="53"/>
      <c r="Q127" s="53"/>
      <c r="R127" s="53"/>
      <c r="S127" s="53"/>
      <c r="T127" s="53"/>
      <c r="U127" s="53"/>
      <c r="V127" s="53"/>
      <c r="W127" s="53"/>
      <c r="X127" s="53"/>
      <c r="Y127" s="53"/>
      <c r="Z127" s="53"/>
    </row>
    <row r="128" spans="1:26" ht="20.25" customHeight="1">
      <c r="A128" s="156"/>
      <c r="B128" s="154" t="s">
        <v>1134</v>
      </c>
      <c r="C128" s="154" t="s">
        <v>1135</v>
      </c>
      <c r="D128" s="154" t="s">
        <v>1876</v>
      </c>
      <c r="E128" s="155">
        <v>2017</v>
      </c>
      <c r="G128" s="53"/>
      <c r="H128" s="53"/>
      <c r="I128" s="53"/>
      <c r="J128" s="53"/>
      <c r="K128" s="53"/>
      <c r="L128" s="53"/>
      <c r="M128" s="53"/>
      <c r="N128" s="53"/>
      <c r="O128" s="53"/>
      <c r="P128" s="53"/>
      <c r="Q128" s="53"/>
      <c r="R128" s="53"/>
      <c r="S128" s="53"/>
      <c r="T128" s="53"/>
      <c r="U128" s="53"/>
      <c r="V128" s="53"/>
      <c r="W128" s="53"/>
      <c r="X128" s="53"/>
      <c r="Y128" s="53"/>
      <c r="Z128" s="53"/>
    </row>
    <row r="129" spans="1:26" ht="20.25" customHeight="1">
      <c r="A129" s="154" t="s">
        <v>191</v>
      </c>
      <c r="B129" s="154" t="s">
        <v>1755</v>
      </c>
      <c r="C129" s="154" t="s">
        <v>2094</v>
      </c>
      <c r="D129" s="154" t="s">
        <v>1876</v>
      </c>
      <c r="E129" s="155">
        <v>2016</v>
      </c>
      <c r="G129" s="53"/>
      <c r="H129" s="53"/>
      <c r="I129" s="53"/>
      <c r="J129" s="53"/>
      <c r="K129" s="53"/>
      <c r="L129" s="53"/>
      <c r="M129" s="53"/>
      <c r="N129" s="53"/>
      <c r="O129" s="53"/>
      <c r="P129" s="53"/>
      <c r="Q129" s="53"/>
      <c r="R129" s="53"/>
      <c r="S129" s="53"/>
      <c r="T129" s="53"/>
      <c r="U129" s="53"/>
      <c r="V129" s="53"/>
      <c r="W129" s="53"/>
      <c r="X129" s="53"/>
      <c r="Y129" s="53"/>
      <c r="Z129" s="53"/>
    </row>
    <row r="130" spans="1:26" ht="20.25" customHeight="1">
      <c r="A130" s="156"/>
      <c r="B130" s="154" t="s">
        <v>1835</v>
      </c>
      <c r="C130" s="154" t="s">
        <v>1836</v>
      </c>
      <c r="D130" s="154" t="s">
        <v>1876</v>
      </c>
      <c r="E130" s="155">
        <v>2019</v>
      </c>
      <c r="G130" s="53"/>
      <c r="H130" s="53"/>
      <c r="I130" s="53"/>
      <c r="J130" s="53"/>
      <c r="K130" s="53"/>
      <c r="L130" s="53"/>
      <c r="M130" s="53"/>
      <c r="N130" s="53"/>
      <c r="O130" s="53"/>
      <c r="P130" s="53"/>
      <c r="Q130" s="53"/>
      <c r="R130" s="53"/>
      <c r="S130" s="53"/>
      <c r="T130" s="53"/>
      <c r="U130" s="53"/>
      <c r="V130" s="53"/>
      <c r="W130" s="53"/>
      <c r="X130" s="53"/>
      <c r="Y130" s="53"/>
      <c r="Z130" s="53"/>
    </row>
    <row r="131" spans="1:26" ht="20.25" customHeight="1">
      <c r="A131" s="156"/>
      <c r="B131" s="154" t="s">
        <v>1764</v>
      </c>
      <c r="C131" s="154" t="s">
        <v>2094</v>
      </c>
      <c r="D131" s="154" t="s">
        <v>1876</v>
      </c>
      <c r="E131" s="155">
        <v>2017</v>
      </c>
      <c r="G131" s="53"/>
      <c r="H131" s="53"/>
      <c r="I131" s="53"/>
      <c r="J131" s="53"/>
      <c r="K131" s="53"/>
      <c r="L131" s="53"/>
      <c r="M131" s="53"/>
      <c r="N131" s="53"/>
      <c r="O131" s="53"/>
      <c r="P131" s="53"/>
      <c r="Q131" s="53"/>
      <c r="R131" s="53"/>
      <c r="S131" s="53"/>
      <c r="T131" s="53"/>
      <c r="U131" s="53"/>
      <c r="V131" s="53"/>
      <c r="W131" s="53"/>
      <c r="X131" s="53"/>
      <c r="Y131" s="53"/>
      <c r="Z131" s="53"/>
    </row>
    <row r="132" spans="1:26" ht="20.25" customHeight="1">
      <c r="A132" s="156"/>
      <c r="B132" s="154" t="s">
        <v>1815</v>
      </c>
      <c r="C132" s="154" t="s">
        <v>1816</v>
      </c>
      <c r="D132" s="154" t="s">
        <v>1876</v>
      </c>
      <c r="E132" s="155">
        <v>2015</v>
      </c>
      <c r="G132" s="53"/>
      <c r="H132" s="53"/>
      <c r="I132" s="53"/>
      <c r="J132" s="53"/>
      <c r="K132" s="53"/>
      <c r="L132" s="53"/>
      <c r="M132" s="53"/>
      <c r="N132" s="53"/>
      <c r="O132" s="53"/>
      <c r="P132" s="53"/>
      <c r="Q132" s="53"/>
      <c r="R132" s="53"/>
      <c r="S132" s="53"/>
      <c r="T132" s="53"/>
      <c r="U132" s="53"/>
      <c r="V132" s="53"/>
      <c r="W132" s="53"/>
      <c r="X132" s="53"/>
      <c r="Y132" s="53"/>
      <c r="Z132" s="53"/>
    </row>
    <row r="133" spans="1:26" ht="20.25" customHeight="1">
      <c r="A133" s="156"/>
      <c r="B133" s="154" t="s">
        <v>1800</v>
      </c>
      <c r="C133" s="154" t="s">
        <v>1801</v>
      </c>
      <c r="D133" s="154" t="s">
        <v>1876</v>
      </c>
      <c r="E133" s="155">
        <v>2016</v>
      </c>
      <c r="G133" s="53"/>
      <c r="H133" s="53"/>
      <c r="I133" s="53"/>
      <c r="J133" s="53"/>
      <c r="K133" s="53"/>
      <c r="L133" s="53"/>
      <c r="M133" s="53"/>
      <c r="N133" s="53"/>
      <c r="O133" s="53"/>
      <c r="P133" s="53"/>
      <c r="Q133" s="53"/>
      <c r="R133" s="53"/>
      <c r="S133" s="53"/>
      <c r="T133" s="53"/>
      <c r="U133" s="53"/>
      <c r="V133" s="53"/>
      <c r="W133" s="53"/>
      <c r="X133" s="53"/>
      <c r="Y133" s="53"/>
      <c r="Z133" s="53"/>
    </row>
    <row r="134" spans="1:26" ht="20.25" customHeight="1">
      <c r="A134" s="156"/>
      <c r="B134" s="154" t="s">
        <v>1782</v>
      </c>
      <c r="C134" s="154" t="s">
        <v>1783</v>
      </c>
      <c r="D134" s="154" t="s">
        <v>1876</v>
      </c>
      <c r="E134" s="155">
        <v>2016</v>
      </c>
      <c r="G134" s="53"/>
      <c r="H134" s="53"/>
      <c r="I134" s="53"/>
      <c r="J134" s="53"/>
      <c r="K134" s="53"/>
      <c r="L134" s="53"/>
      <c r="M134" s="53"/>
      <c r="N134" s="53"/>
      <c r="O134" s="53"/>
      <c r="P134" s="53"/>
      <c r="Q134" s="53"/>
      <c r="R134" s="53"/>
      <c r="S134" s="53"/>
      <c r="T134" s="53"/>
      <c r="U134" s="53"/>
      <c r="V134" s="53"/>
      <c r="W134" s="53"/>
      <c r="X134" s="53"/>
      <c r="Y134" s="53"/>
      <c r="Z134" s="53"/>
    </row>
    <row r="135" spans="1:26" ht="20.25" customHeight="1">
      <c r="A135" s="156"/>
      <c r="B135" s="154" t="s">
        <v>1850</v>
      </c>
      <c r="C135" s="154" t="s">
        <v>1851</v>
      </c>
      <c r="D135" s="154" t="s">
        <v>1876</v>
      </c>
      <c r="E135" s="155">
        <v>2019</v>
      </c>
      <c r="G135" s="53"/>
      <c r="H135" s="53"/>
      <c r="I135" s="53"/>
      <c r="J135" s="53"/>
      <c r="K135" s="53"/>
      <c r="L135" s="53"/>
      <c r="M135" s="53"/>
      <c r="N135" s="53"/>
      <c r="O135" s="53"/>
      <c r="P135" s="53"/>
      <c r="Q135" s="53"/>
      <c r="R135" s="53"/>
      <c r="S135" s="53"/>
      <c r="T135" s="53"/>
      <c r="U135" s="53"/>
      <c r="V135" s="53"/>
      <c r="W135" s="53"/>
      <c r="X135" s="53"/>
      <c r="Y135" s="53"/>
      <c r="Z135" s="53"/>
    </row>
    <row r="136" spans="1:26" ht="20.25" customHeight="1">
      <c r="A136" s="156"/>
      <c r="B136" s="154" t="s">
        <v>1791</v>
      </c>
      <c r="C136" s="154" t="s">
        <v>1792</v>
      </c>
      <c r="D136" s="154" t="s">
        <v>1876</v>
      </c>
      <c r="E136" s="155">
        <v>2017</v>
      </c>
      <c r="G136" s="53"/>
      <c r="H136" s="53"/>
      <c r="I136" s="53"/>
      <c r="J136" s="53"/>
      <c r="K136" s="53"/>
      <c r="L136" s="53"/>
      <c r="M136" s="53"/>
      <c r="N136" s="53"/>
      <c r="O136" s="53"/>
      <c r="P136" s="53"/>
      <c r="Q136" s="53"/>
      <c r="R136" s="53"/>
      <c r="S136" s="53"/>
      <c r="T136" s="53"/>
      <c r="U136" s="53"/>
      <c r="V136" s="53"/>
      <c r="W136" s="53"/>
      <c r="X136" s="53"/>
      <c r="Y136" s="53"/>
      <c r="Z136" s="53"/>
    </row>
    <row r="137" spans="1:26" ht="12.75">
      <c r="A137" s="156"/>
      <c r="B137" s="154" t="s">
        <v>1769</v>
      </c>
      <c r="C137" s="154" t="s">
        <v>1770</v>
      </c>
      <c r="D137" s="154" t="s">
        <v>1876</v>
      </c>
      <c r="E137" s="155">
        <v>2016</v>
      </c>
      <c r="G137" s="53"/>
      <c r="H137" s="53"/>
      <c r="I137" s="53"/>
      <c r="J137" s="53"/>
      <c r="K137" s="53"/>
      <c r="L137" s="53"/>
      <c r="M137" s="53"/>
      <c r="N137" s="53"/>
      <c r="O137" s="53"/>
      <c r="P137" s="53"/>
      <c r="Q137" s="53"/>
      <c r="R137" s="53"/>
      <c r="S137" s="53"/>
      <c r="T137" s="53"/>
      <c r="U137" s="53"/>
      <c r="V137" s="53"/>
      <c r="W137" s="53"/>
      <c r="X137" s="53"/>
      <c r="Y137" s="53"/>
      <c r="Z137" s="53"/>
    </row>
    <row r="138" spans="1:26" ht="20.25" customHeight="1">
      <c r="A138" s="156"/>
      <c r="B138" s="154" t="s">
        <v>1820</v>
      </c>
      <c r="C138" s="154" t="s">
        <v>1821</v>
      </c>
      <c r="D138" s="154" t="s">
        <v>1876</v>
      </c>
      <c r="E138" s="155">
        <v>2015</v>
      </c>
      <c r="G138" s="53"/>
      <c r="H138" s="53"/>
      <c r="I138" s="53"/>
      <c r="J138" s="53"/>
      <c r="K138" s="53"/>
      <c r="L138" s="53"/>
      <c r="M138" s="53"/>
      <c r="N138" s="53"/>
      <c r="O138" s="53"/>
      <c r="P138" s="53"/>
      <c r="Q138" s="53"/>
      <c r="R138" s="53"/>
      <c r="S138" s="53"/>
      <c r="T138" s="53"/>
      <c r="U138" s="53"/>
      <c r="V138" s="53"/>
      <c r="W138" s="53"/>
      <c r="X138" s="53"/>
      <c r="Y138" s="53"/>
      <c r="Z138" s="53"/>
    </row>
    <row r="139" spans="1:26" ht="20.25" customHeight="1">
      <c r="A139" s="154" t="s">
        <v>192</v>
      </c>
      <c r="B139" s="154" t="s">
        <v>1264</v>
      </c>
      <c r="C139" s="154" t="s">
        <v>1265</v>
      </c>
      <c r="D139" s="154" t="s">
        <v>1876</v>
      </c>
      <c r="E139" s="155">
        <v>2018</v>
      </c>
      <c r="G139" s="53"/>
      <c r="H139" s="53"/>
      <c r="I139" s="53"/>
      <c r="J139" s="53"/>
      <c r="K139" s="53"/>
      <c r="L139" s="53"/>
      <c r="M139" s="53"/>
      <c r="N139" s="53"/>
      <c r="O139" s="53"/>
      <c r="P139" s="53"/>
      <c r="Q139" s="53"/>
      <c r="R139" s="53"/>
      <c r="S139" s="53"/>
      <c r="T139" s="53"/>
      <c r="U139" s="53"/>
      <c r="V139" s="53"/>
      <c r="W139" s="53"/>
      <c r="X139" s="53"/>
      <c r="Y139" s="53"/>
      <c r="Z139" s="53"/>
    </row>
    <row r="140" spans="1:26" ht="20.25" customHeight="1">
      <c r="A140" s="156"/>
      <c r="B140" s="154" t="s">
        <v>1278</v>
      </c>
      <c r="C140" s="154" t="s">
        <v>1279</v>
      </c>
      <c r="D140" s="154" t="s">
        <v>1876</v>
      </c>
      <c r="E140" s="155">
        <v>2019</v>
      </c>
      <c r="G140" s="53"/>
      <c r="H140" s="53"/>
      <c r="I140" s="53"/>
      <c r="J140" s="53"/>
      <c r="K140" s="53"/>
      <c r="L140" s="53"/>
      <c r="M140" s="53"/>
      <c r="N140" s="53"/>
      <c r="O140" s="53"/>
      <c r="P140" s="53"/>
      <c r="Q140" s="53"/>
      <c r="R140" s="53"/>
      <c r="S140" s="53"/>
      <c r="T140" s="53"/>
      <c r="U140" s="53"/>
      <c r="V140" s="53"/>
      <c r="W140" s="53"/>
      <c r="X140" s="53"/>
      <c r="Y140" s="53"/>
      <c r="Z140" s="53"/>
    </row>
    <row r="141" spans="1:26" ht="20.25" customHeight="1">
      <c r="A141" s="154" t="s">
        <v>193</v>
      </c>
      <c r="B141" s="154" t="s">
        <v>336</v>
      </c>
      <c r="C141" s="154" t="s">
        <v>337</v>
      </c>
      <c r="D141" s="154" t="s">
        <v>1876</v>
      </c>
      <c r="E141" s="155">
        <v>2016</v>
      </c>
      <c r="G141" s="53"/>
      <c r="H141" s="53"/>
      <c r="I141" s="53"/>
      <c r="J141" s="53"/>
      <c r="K141" s="53"/>
      <c r="L141" s="53"/>
      <c r="M141" s="53"/>
      <c r="N141" s="53"/>
      <c r="O141" s="53"/>
      <c r="P141" s="53"/>
      <c r="Q141" s="53"/>
      <c r="R141" s="53"/>
      <c r="S141" s="53"/>
      <c r="T141" s="53"/>
      <c r="U141" s="53"/>
      <c r="V141" s="53"/>
      <c r="W141" s="53"/>
      <c r="X141" s="53"/>
      <c r="Y141" s="53"/>
      <c r="Z141" s="53"/>
    </row>
    <row r="142" spans="1:26" ht="20.25" customHeight="1">
      <c r="A142" s="154" t="s">
        <v>194</v>
      </c>
      <c r="B142" s="154" t="s">
        <v>962</v>
      </c>
      <c r="C142" s="154" t="s">
        <v>963</v>
      </c>
      <c r="D142" s="154" t="s">
        <v>1876</v>
      </c>
      <c r="E142" s="155">
        <v>2016</v>
      </c>
      <c r="G142" s="53"/>
      <c r="H142" s="53"/>
      <c r="I142" s="53"/>
      <c r="J142" s="53"/>
      <c r="K142" s="53"/>
      <c r="L142" s="53"/>
      <c r="M142" s="53"/>
      <c r="N142" s="53"/>
      <c r="O142" s="53"/>
      <c r="P142" s="53"/>
      <c r="Q142" s="53"/>
      <c r="R142" s="53"/>
      <c r="S142" s="53"/>
      <c r="T142" s="53"/>
      <c r="U142" s="53"/>
      <c r="V142" s="53"/>
      <c r="W142" s="53"/>
      <c r="X142" s="53"/>
      <c r="Y142" s="53"/>
      <c r="Z142" s="53"/>
    </row>
    <row r="143" spans="1:26" ht="20.25" customHeight="1">
      <c r="A143" s="154" t="s">
        <v>195</v>
      </c>
      <c r="B143" s="154" t="s">
        <v>1172</v>
      </c>
      <c r="C143" s="154" t="s">
        <v>1208</v>
      </c>
      <c r="D143" s="154" t="s">
        <v>1876</v>
      </c>
      <c r="E143" s="155">
        <v>2018</v>
      </c>
      <c r="G143" s="53"/>
      <c r="H143" s="53"/>
      <c r="I143" s="53"/>
      <c r="J143" s="53"/>
      <c r="K143" s="53"/>
      <c r="L143" s="53"/>
      <c r="M143" s="53"/>
      <c r="N143" s="53"/>
      <c r="O143" s="53"/>
      <c r="P143" s="53"/>
      <c r="Q143" s="53"/>
      <c r="R143" s="53"/>
      <c r="S143" s="53"/>
      <c r="T143" s="53"/>
      <c r="U143" s="53"/>
      <c r="V143" s="53"/>
      <c r="W143" s="53"/>
      <c r="X143" s="53"/>
      <c r="Y143" s="53"/>
      <c r="Z143" s="53"/>
    </row>
    <row r="144" spans="1:26" ht="20.25" customHeight="1">
      <c r="A144" s="156"/>
      <c r="B144" s="156"/>
      <c r="C144" s="154" t="s">
        <v>1217</v>
      </c>
      <c r="D144" s="154" t="s">
        <v>1876</v>
      </c>
      <c r="E144" s="155">
        <v>2019</v>
      </c>
      <c r="G144" s="53"/>
      <c r="H144" s="53"/>
      <c r="I144" s="53"/>
      <c r="J144" s="53"/>
      <c r="K144" s="53"/>
      <c r="L144" s="53"/>
      <c r="M144" s="53"/>
      <c r="N144" s="53"/>
      <c r="O144" s="53"/>
      <c r="P144" s="53"/>
      <c r="Q144" s="53"/>
      <c r="R144" s="53"/>
      <c r="S144" s="53"/>
      <c r="T144" s="53"/>
      <c r="U144" s="53"/>
      <c r="V144" s="53"/>
      <c r="W144" s="53"/>
      <c r="X144" s="53"/>
      <c r="Y144" s="53"/>
      <c r="Z144" s="53"/>
    </row>
    <row r="145" spans="1:26" ht="20.25" customHeight="1">
      <c r="A145" s="156"/>
      <c r="B145" s="156"/>
      <c r="C145" s="154" t="s">
        <v>1173</v>
      </c>
      <c r="D145" s="154" t="s">
        <v>1876</v>
      </c>
      <c r="E145" s="155">
        <v>2012</v>
      </c>
      <c r="G145" s="53"/>
      <c r="H145" s="53"/>
      <c r="I145" s="53"/>
      <c r="J145" s="53"/>
      <c r="K145" s="53"/>
      <c r="L145" s="53"/>
      <c r="M145" s="53"/>
      <c r="N145" s="53"/>
      <c r="O145" s="53"/>
      <c r="P145" s="53"/>
      <c r="Q145" s="53"/>
      <c r="R145" s="53"/>
      <c r="S145" s="53"/>
      <c r="T145" s="53"/>
      <c r="U145" s="53"/>
      <c r="V145" s="53"/>
      <c r="W145" s="53"/>
      <c r="X145" s="53"/>
      <c r="Y145" s="53"/>
      <c r="Z145" s="53"/>
    </row>
    <row r="146" spans="1:26" ht="20.25" customHeight="1">
      <c r="A146" s="156"/>
      <c r="B146" s="154" t="s">
        <v>1197</v>
      </c>
      <c r="C146" s="154" t="s">
        <v>1198</v>
      </c>
      <c r="D146" s="154" t="s">
        <v>1876</v>
      </c>
      <c r="E146" s="155">
        <v>2017</v>
      </c>
      <c r="G146" s="53"/>
      <c r="H146" s="53"/>
      <c r="I146" s="53"/>
      <c r="J146" s="53"/>
      <c r="K146" s="53"/>
      <c r="L146" s="53"/>
      <c r="M146" s="53"/>
      <c r="N146" s="53"/>
      <c r="O146" s="53"/>
      <c r="P146" s="53"/>
      <c r="Q146" s="53"/>
      <c r="R146" s="53"/>
      <c r="S146" s="53"/>
      <c r="T146" s="53"/>
      <c r="U146" s="53"/>
      <c r="V146" s="53"/>
      <c r="W146" s="53"/>
      <c r="X146" s="53"/>
      <c r="Y146" s="53"/>
      <c r="Z146" s="53"/>
    </row>
    <row r="147" spans="1:26" ht="20.25" customHeight="1">
      <c r="A147" s="156"/>
      <c r="B147" s="154" t="s">
        <v>504</v>
      </c>
      <c r="C147" s="154" t="s">
        <v>504</v>
      </c>
      <c r="D147" s="154" t="s">
        <v>1876</v>
      </c>
      <c r="E147" s="155">
        <v>2017</v>
      </c>
      <c r="G147" s="53"/>
      <c r="H147" s="53"/>
      <c r="I147" s="53"/>
      <c r="J147" s="53"/>
      <c r="K147" s="53"/>
      <c r="L147" s="53"/>
      <c r="M147" s="53"/>
      <c r="N147" s="53"/>
      <c r="O147" s="53"/>
      <c r="P147" s="53"/>
      <c r="Q147" s="53"/>
      <c r="R147" s="53"/>
      <c r="S147" s="53"/>
      <c r="T147" s="53"/>
      <c r="U147" s="53"/>
      <c r="V147" s="53"/>
      <c r="W147" s="53"/>
      <c r="X147" s="53"/>
      <c r="Y147" s="53"/>
      <c r="Z147" s="53"/>
    </row>
    <row r="148" spans="1:26" ht="20.25" customHeight="1">
      <c r="A148" s="156"/>
      <c r="B148" s="156"/>
      <c r="C148" s="154" t="s">
        <v>541</v>
      </c>
      <c r="D148" s="154" t="s">
        <v>1876</v>
      </c>
      <c r="E148" s="155">
        <v>2016</v>
      </c>
      <c r="G148" s="53"/>
      <c r="H148" s="53"/>
      <c r="I148" s="53"/>
      <c r="J148" s="53"/>
      <c r="K148" s="53"/>
      <c r="L148" s="53"/>
      <c r="M148" s="53"/>
      <c r="N148" s="53"/>
      <c r="O148" s="53"/>
      <c r="P148" s="53"/>
      <c r="Q148" s="53"/>
      <c r="R148" s="53"/>
      <c r="S148" s="53"/>
      <c r="T148" s="53"/>
      <c r="U148" s="53"/>
      <c r="V148" s="53"/>
      <c r="W148" s="53"/>
      <c r="X148" s="53"/>
      <c r="Y148" s="53"/>
      <c r="Z148" s="53"/>
    </row>
    <row r="149" spans="1:26" ht="20.25" customHeight="1">
      <c r="A149" s="156"/>
      <c r="B149" s="156"/>
      <c r="C149" s="156"/>
      <c r="D149" s="156"/>
      <c r="E149" s="157">
        <v>2017</v>
      </c>
      <c r="G149" s="53"/>
      <c r="H149" s="53"/>
      <c r="I149" s="53"/>
      <c r="J149" s="53"/>
      <c r="K149" s="53"/>
      <c r="L149" s="53"/>
      <c r="M149" s="53"/>
      <c r="N149" s="53"/>
      <c r="O149" s="53"/>
      <c r="P149" s="53"/>
      <c r="Q149" s="53"/>
      <c r="R149" s="53"/>
      <c r="S149" s="53"/>
      <c r="T149" s="53"/>
      <c r="U149" s="53"/>
      <c r="V149" s="53"/>
      <c r="W149" s="53"/>
      <c r="X149" s="53"/>
      <c r="Y149" s="53"/>
      <c r="Z149" s="53"/>
    </row>
    <row r="150" spans="1:26" ht="20.25" customHeight="1">
      <c r="A150" s="156"/>
      <c r="B150" s="154" t="s">
        <v>1237</v>
      </c>
      <c r="C150" s="154" t="s">
        <v>1238</v>
      </c>
      <c r="D150" s="154" t="s">
        <v>1876</v>
      </c>
      <c r="E150" s="155">
        <v>2012</v>
      </c>
      <c r="G150" s="53"/>
      <c r="H150" s="53"/>
      <c r="I150" s="53"/>
      <c r="J150" s="53"/>
      <c r="K150" s="53"/>
      <c r="L150" s="53"/>
      <c r="M150" s="53"/>
      <c r="N150" s="53"/>
      <c r="O150" s="53"/>
      <c r="P150" s="53"/>
      <c r="Q150" s="53"/>
      <c r="R150" s="53"/>
      <c r="S150" s="53"/>
      <c r="T150" s="53"/>
      <c r="U150" s="53"/>
      <c r="V150" s="53"/>
      <c r="W150" s="53"/>
      <c r="X150" s="53"/>
      <c r="Y150" s="53"/>
      <c r="Z150" s="53"/>
    </row>
    <row r="151" spans="1:26" ht="20.25" customHeight="1">
      <c r="A151" s="156"/>
      <c r="B151" s="154" t="s">
        <v>604</v>
      </c>
      <c r="C151" s="154" t="s">
        <v>605</v>
      </c>
      <c r="D151" s="154" t="s">
        <v>1876</v>
      </c>
      <c r="E151" s="155">
        <v>2016</v>
      </c>
      <c r="G151" s="53"/>
      <c r="H151" s="53"/>
      <c r="I151" s="53"/>
      <c r="J151" s="53"/>
      <c r="K151" s="53"/>
      <c r="L151" s="53"/>
      <c r="M151" s="53"/>
      <c r="N151" s="53"/>
      <c r="O151" s="53"/>
      <c r="P151" s="53"/>
      <c r="Q151" s="53"/>
      <c r="R151" s="53"/>
      <c r="S151" s="53"/>
      <c r="T151" s="53"/>
      <c r="U151" s="53"/>
      <c r="V151" s="53"/>
      <c r="W151" s="53"/>
      <c r="X151" s="53"/>
      <c r="Y151" s="53"/>
      <c r="Z151" s="53"/>
    </row>
    <row r="152" spans="1:26" ht="20.25" customHeight="1">
      <c r="A152" s="156"/>
      <c r="B152" s="154" t="s">
        <v>1177</v>
      </c>
      <c r="C152" s="154" t="s">
        <v>1178</v>
      </c>
      <c r="D152" s="154" t="s">
        <v>1876</v>
      </c>
      <c r="E152" s="155">
        <v>2015</v>
      </c>
      <c r="G152" s="53"/>
      <c r="H152" s="53"/>
      <c r="I152" s="53"/>
      <c r="J152" s="53"/>
      <c r="K152" s="53"/>
      <c r="L152" s="53"/>
      <c r="M152" s="53"/>
      <c r="N152" s="53"/>
      <c r="O152" s="53"/>
      <c r="P152" s="53"/>
      <c r="Q152" s="53"/>
      <c r="R152" s="53"/>
      <c r="S152" s="53"/>
      <c r="T152" s="53"/>
      <c r="U152" s="53"/>
      <c r="V152" s="53"/>
      <c r="W152" s="53"/>
      <c r="X152" s="53"/>
      <c r="Y152" s="53"/>
      <c r="Z152" s="53"/>
    </row>
    <row r="153" spans="1:26" ht="20.25" customHeight="1">
      <c r="A153" s="156"/>
      <c r="B153" s="154" t="s">
        <v>547</v>
      </c>
      <c r="C153" s="154" t="s">
        <v>548</v>
      </c>
      <c r="D153" s="154" t="s">
        <v>1876</v>
      </c>
      <c r="E153" s="155">
        <v>2018</v>
      </c>
      <c r="G153" s="53"/>
      <c r="H153" s="53"/>
      <c r="I153" s="53"/>
      <c r="J153" s="53"/>
      <c r="K153" s="53"/>
      <c r="L153" s="53"/>
      <c r="M153" s="53"/>
      <c r="N153" s="53"/>
      <c r="O153" s="53"/>
      <c r="P153" s="53"/>
      <c r="Q153" s="53"/>
      <c r="R153" s="53"/>
      <c r="S153" s="53"/>
      <c r="T153" s="53"/>
      <c r="U153" s="53"/>
      <c r="V153" s="53"/>
      <c r="W153" s="53"/>
      <c r="X153" s="53"/>
      <c r="Y153" s="53"/>
      <c r="Z153" s="53"/>
    </row>
    <row r="154" spans="1:26" ht="20.25" customHeight="1">
      <c r="A154" s="156"/>
      <c r="B154" s="154" t="s">
        <v>1031</v>
      </c>
      <c r="C154" s="154" t="s">
        <v>1031</v>
      </c>
      <c r="D154" s="154" t="s">
        <v>1876</v>
      </c>
      <c r="E154" s="155">
        <v>2016</v>
      </c>
      <c r="G154" s="53"/>
      <c r="H154" s="53"/>
      <c r="I154" s="53"/>
      <c r="J154" s="53"/>
      <c r="K154" s="53"/>
      <c r="L154" s="53"/>
      <c r="M154" s="53"/>
      <c r="N154" s="53"/>
      <c r="O154" s="53"/>
      <c r="P154" s="53"/>
      <c r="Q154" s="53"/>
      <c r="R154" s="53"/>
      <c r="S154" s="53"/>
      <c r="T154" s="53"/>
      <c r="U154" s="53"/>
      <c r="V154" s="53"/>
      <c r="W154" s="53"/>
      <c r="X154" s="53"/>
      <c r="Y154" s="53"/>
      <c r="Z154" s="53"/>
    </row>
    <row r="155" spans="1:26" ht="20.25" customHeight="1">
      <c r="A155" s="154" t="s">
        <v>111</v>
      </c>
      <c r="B155" s="154" t="s">
        <v>114</v>
      </c>
      <c r="C155" s="154" t="s">
        <v>115</v>
      </c>
      <c r="D155" s="154" t="s">
        <v>1876</v>
      </c>
      <c r="E155" s="155">
        <v>2016</v>
      </c>
      <c r="G155" s="53"/>
      <c r="H155" s="53"/>
      <c r="I155" s="53"/>
      <c r="J155" s="53"/>
      <c r="K155" s="53"/>
      <c r="L155" s="53"/>
      <c r="M155" s="53"/>
      <c r="N155" s="53"/>
      <c r="O155" s="53"/>
      <c r="P155" s="53"/>
      <c r="Q155" s="53"/>
      <c r="R155" s="53"/>
      <c r="S155" s="53"/>
      <c r="T155" s="53"/>
      <c r="U155" s="53"/>
      <c r="V155" s="53"/>
      <c r="W155" s="53"/>
      <c r="X155" s="53"/>
      <c r="Y155" s="53"/>
      <c r="Z155" s="53"/>
    </row>
    <row r="156" spans="1:26" ht="20.25" customHeight="1">
      <c r="A156" s="154" t="s">
        <v>198</v>
      </c>
      <c r="B156" s="154" t="s">
        <v>1864</v>
      </c>
      <c r="C156" s="154" t="s">
        <v>1865</v>
      </c>
      <c r="D156" s="154" t="s">
        <v>1876</v>
      </c>
      <c r="E156" s="155">
        <v>2019</v>
      </c>
      <c r="G156" s="53"/>
      <c r="H156" s="53"/>
      <c r="I156" s="53"/>
      <c r="J156" s="53"/>
      <c r="K156" s="53"/>
      <c r="L156" s="53"/>
      <c r="M156" s="53"/>
      <c r="N156" s="53"/>
      <c r="O156" s="53"/>
      <c r="P156" s="53"/>
      <c r="Q156" s="53"/>
      <c r="R156" s="53"/>
      <c r="S156" s="53"/>
      <c r="T156" s="53"/>
      <c r="U156" s="53"/>
      <c r="V156" s="53"/>
      <c r="W156" s="53"/>
      <c r="X156" s="53"/>
      <c r="Y156" s="53"/>
      <c r="Z156" s="53"/>
    </row>
    <row r="157" spans="1:26" ht="20.25" customHeight="1">
      <c r="A157" s="154" t="s">
        <v>199</v>
      </c>
      <c r="B157" s="154" t="s">
        <v>1745</v>
      </c>
      <c r="C157" s="154" t="s">
        <v>1746</v>
      </c>
      <c r="D157" s="154" t="s">
        <v>1876</v>
      </c>
      <c r="E157" s="155">
        <v>2015</v>
      </c>
      <c r="G157" s="53"/>
      <c r="H157" s="53"/>
      <c r="I157" s="53"/>
      <c r="J157" s="53"/>
      <c r="K157" s="53"/>
      <c r="L157" s="53"/>
      <c r="M157" s="53"/>
      <c r="N157" s="53"/>
      <c r="O157" s="53"/>
      <c r="P157" s="53"/>
      <c r="Q157" s="53"/>
      <c r="R157" s="53"/>
      <c r="S157" s="53"/>
      <c r="T157" s="53"/>
      <c r="U157" s="53"/>
      <c r="V157" s="53"/>
      <c r="W157" s="53"/>
      <c r="X157" s="53"/>
      <c r="Y157" s="53"/>
      <c r="Z157" s="53"/>
    </row>
    <row r="158" spans="1:26" ht="20.25" customHeight="1">
      <c r="A158" s="156"/>
      <c r="B158" s="154" t="s">
        <v>1739</v>
      </c>
      <c r="C158" s="154" t="s">
        <v>1740</v>
      </c>
      <c r="D158" s="154" t="s">
        <v>1876</v>
      </c>
      <c r="E158" s="155">
        <v>2015</v>
      </c>
      <c r="G158" s="53"/>
      <c r="H158" s="53"/>
      <c r="I158" s="53"/>
      <c r="J158" s="53"/>
      <c r="K158" s="53"/>
      <c r="L158" s="53"/>
      <c r="M158" s="53"/>
      <c r="N158" s="53"/>
      <c r="O158" s="53"/>
      <c r="P158" s="53"/>
      <c r="Q158" s="53"/>
      <c r="R158" s="53"/>
      <c r="S158" s="53"/>
      <c r="T158" s="53"/>
      <c r="U158" s="53"/>
      <c r="V158" s="53"/>
      <c r="W158" s="53"/>
      <c r="X158" s="53"/>
      <c r="Y158" s="53"/>
      <c r="Z158" s="53"/>
    </row>
    <row r="159" spans="1:26" ht="20.25" customHeight="1">
      <c r="A159" s="156"/>
      <c r="B159" s="154" t="s">
        <v>1728</v>
      </c>
      <c r="C159" s="154" t="s">
        <v>1729</v>
      </c>
      <c r="D159" s="154" t="s">
        <v>1876</v>
      </c>
      <c r="E159" s="155">
        <v>2016</v>
      </c>
      <c r="G159" s="53"/>
      <c r="H159" s="53"/>
      <c r="I159" s="53"/>
      <c r="J159" s="53"/>
      <c r="K159" s="53"/>
      <c r="L159" s="53"/>
      <c r="M159" s="53"/>
      <c r="N159" s="53"/>
      <c r="O159" s="53"/>
      <c r="P159" s="53"/>
      <c r="Q159" s="53"/>
      <c r="R159" s="53"/>
      <c r="S159" s="53"/>
      <c r="T159" s="53"/>
      <c r="U159" s="53"/>
      <c r="V159" s="53"/>
      <c r="W159" s="53"/>
      <c r="X159" s="53"/>
      <c r="Y159" s="53"/>
      <c r="Z159" s="53"/>
    </row>
    <row r="160" spans="1:26" ht="20.25" customHeight="1">
      <c r="A160" s="154" t="s">
        <v>200</v>
      </c>
      <c r="B160" s="154" t="s">
        <v>1825</v>
      </c>
      <c r="C160" s="154" t="s">
        <v>1825</v>
      </c>
      <c r="D160" s="154" t="s">
        <v>1876</v>
      </c>
      <c r="E160" s="155">
        <v>2018</v>
      </c>
      <c r="G160" s="53"/>
      <c r="H160" s="53"/>
      <c r="I160" s="53"/>
      <c r="J160" s="53"/>
      <c r="K160" s="53"/>
      <c r="L160" s="53"/>
      <c r="M160" s="53"/>
      <c r="N160" s="53"/>
      <c r="O160" s="53"/>
      <c r="P160" s="53"/>
      <c r="Q160" s="53"/>
      <c r="R160" s="53"/>
      <c r="S160" s="53"/>
      <c r="T160" s="53"/>
      <c r="U160" s="53"/>
      <c r="V160" s="53"/>
      <c r="W160" s="53"/>
      <c r="X160" s="53"/>
      <c r="Y160" s="53"/>
      <c r="Z160" s="53"/>
    </row>
    <row r="161" spans="1:26" ht="20.25" customHeight="1">
      <c r="A161" s="154" t="s">
        <v>202</v>
      </c>
      <c r="B161" s="154" t="s">
        <v>1526</v>
      </c>
      <c r="C161" s="154" t="s">
        <v>2094</v>
      </c>
      <c r="D161" s="154" t="s">
        <v>1876</v>
      </c>
      <c r="E161" s="155">
        <v>2017</v>
      </c>
      <c r="G161" s="53"/>
      <c r="H161" s="53"/>
      <c r="I161" s="53"/>
      <c r="J161" s="53"/>
      <c r="K161" s="53"/>
      <c r="L161" s="53"/>
      <c r="M161" s="53"/>
      <c r="N161" s="53"/>
      <c r="O161" s="53"/>
      <c r="P161" s="53"/>
      <c r="Q161" s="53"/>
      <c r="R161" s="53"/>
      <c r="S161" s="53"/>
      <c r="T161" s="53"/>
      <c r="U161" s="53"/>
      <c r="V161" s="53"/>
      <c r="W161" s="53"/>
      <c r="X161" s="53"/>
      <c r="Y161" s="53"/>
      <c r="Z161" s="53"/>
    </row>
    <row r="162" spans="1:26" ht="20.25" customHeight="1">
      <c r="A162" s="154" t="s">
        <v>203</v>
      </c>
      <c r="B162" s="154" t="s">
        <v>469</v>
      </c>
      <c r="C162" s="154" t="s">
        <v>470</v>
      </c>
      <c r="D162" s="154" t="s">
        <v>1876</v>
      </c>
      <c r="E162" s="155">
        <v>2015</v>
      </c>
      <c r="G162" s="53"/>
      <c r="H162" s="53"/>
      <c r="I162" s="53"/>
      <c r="J162" s="53"/>
      <c r="K162" s="53"/>
      <c r="L162" s="53"/>
      <c r="M162" s="53"/>
      <c r="N162" s="53"/>
      <c r="O162" s="53"/>
      <c r="P162" s="53"/>
      <c r="Q162" s="53"/>
      <c r="R162" s="53"/>
      <c r="S162" s="53"/>
      <c r="T162" s="53"/>
      <c r="U162" s="53"/>
      <c r="V162" s="53"/>
      <c r="W162" s="53"/>
      <c r="X162" s="53"/>
      <c r="Y162" s="53"/>
      <c r="Z162" s="53"/>
    </row>
    <row r="163" spans="1:26" ht="20.25" customHeight="1">
      <c r="A163" s="156"/>
      <c r="B163" s="154" t="s">
        <v>841</v>
      </c>
      <c r="C163" s="154" t="s">
        <v>842</v>
      </c>
      <c r="D163" s="154" t="s">
        <v>1876</v>
      </c>
      <c r="E163" s="155">
        <v>2017</v>
      </c>
      <c r="G163" s="53"/>
      <c r="H163" s="53"/>
      <c r="I163" s="53"/>
      <c r="J163" s="53"/>
      <c r="K163" s="53"/>
      <c r="L163" s="53"/>
      <c r="M163" s="53"/>
      <c r="N163" s="53"/>
      <c r="O163" s="53"/>
      <c r="P163" s="53"/>
      <c r="Q163" s="53"/>
      <c r="R163" s="53"/>
      <c r="S163" s="53"/>
      <c r="T163" s="53"/>
      <c r="U163" s="53"/>
      <c r="V163" s="53"/>
      <c r="W163" s="53"/>
      <c r="X163" s="53"/>
      <c r="Y163" s="53"/>
      <c r="Z163" s="53"/>
    </row>
    <row r="164" spans="1:26" ht="20.25" customHeight="1">
      <c r="A164" s="156"/>
      <c r="B164" s="154" t="s">
        <v>956</v>
      </c>
      <c r="C164" s="154" t="s">
        <v>957</v>
      </c>
      <c r="D164" s="154" t="s">
        <v>1876</v>
      </c>
      <c r="E164" s="155">
        <v>2015</v>
      </c>
      <c r="G164" s="53"/>
      <c r="H164" s="53"/>
      <c r="I164" s="53"/>
      <c r="J164" s="53"/>
      <c r="K164" s="53"/>
      <c r="L164" s="53"/>
      <c r="M164" s="53"/>
      <c r="N164" s="53"/>
      <c r="O164" s="53"/>
      <c r="P164" s="53"/>
      <c r="Q164" s="53"/>
      <c r="R164" s="53"/>
      <c r="S164" s="53"/>
      <c r="T164" s="53"/>
      <c r="U164" s="53"/>
      <c r="V164" s="53"/>
      <c r="W164" s="53"/>
      <c r="X164" s="53"/>
      <c r="Y164" s="53"/>
      <c r="Z164" s="53"/>
    </row>
    <row r="165" spans="1:26" ht="20.25" customHeight="1">
      <c r="A165" s="156"/>
      <c r="B165" s="154" t="s">
        <v>1109</v>
      </c>
      <c r="C165" s="154" t="s">
        <v>1116</v>
      </c>
      <c r="D165" s="154" t="s">
        <v>1876</v>
      </c>
      <c r="E165" s="155">
        <v>2016</v>
      </c>
      <c r="G165" s="53"/>
      <c r="H165" s="53"/>
      <c r="I165" s="53"/>
      <c r="J165" s="53"/>
      <c r="K165" s="53"/>
      <c r="L165" s="53"/>
      <c r="M165" s="53"/>
      <c r="N165" s="53"/>
      <c r="O165" s="53"/>
      <c r="P165" s="53"/>
      <c r="Q165" s="53"/>
      <c r="R165" s="53"/>
      <c r="S165" s="53"/>
      <c r="T165" s="53"/>
      <c r="U165" s="53"/>
      <c r="V165" s="53"/>
      <c r="W165" s="53"/>
      <c r="X165" s="53"/>
      <c r="Y165" s="53"/>
      <c r="Z165" s="53"/>
    </row>
    <row r="166" spans="1:26" ht="20.25" customHeight="1">
      <c r="A166" s="156"/>
      <c r="B166" s="156"/>
      <c r="C166" s="154" t="s">
        <v>1109</v>
      </c>
      <c r="D166" s="154" t="s">
        <v>1876</v>
      </c>
      <c r="E166" s="155">
        <v>2016</v>
      </c>
      <c r="G166" s="53"/>
      <c r="H166" s="53"/>
      <c r="I166" s="53"/>
      <c r="J166" s="53"/>
      <c r="K166" s="53"/>
      <c r="L166" s="53"/>
      <c r="M166" s="53"/>
      <c r="N166" s="53"/>
      <c r="O166" s="53"/>
      <c r="P166" s="53"/>
      <c r="Q166" s="53"/>
      <c r="R166" s="53"/>
      <c r="S166" s="53"/>
      <c r="T166" s="53"/>
      <c r="U166" s="53"/>
      <c r="V166" s="53"/>
      <c r="W166" s="53"/>
      <c r="X166" s="53"/>
      <c r="Y166" s="53"/>
      <c r="Z166" s="53"/>
    </row>
    <row r="167" spans="1:26" ht="20.25" customHeight="1">
      <c r="A167" s="158"/>
      <c r="B167" s="159" t="s">
        <v>1025</v>
      </c>
      <c r="C167" s="159" t="s">
        <v>1026</v>
      </c>
      <c r="D167" s="159" t="s">
        <v>1876</v>
      </c>
      <c r="E167" s="160">
        <v>2015</v>
      </c>
      <c r="G167" s="53"/>
      <c r="H167" s="53"/>
      <c r="I167" s="53"/>
      <c r="J167" s="53"/>
      <c r="K167" s="53"/>
      <c r="L167" s="53"/>
      <c r="M167" s="53"/>
      <c r="N167" s="53"/>
      <c r="O167" s="53"/>
      <c r="P167" s="53"/>
      <c r="Q167" s="53"/>
      <c r="R167" s="53"/>
      <c r="S167" s="53"/>
      <c r="T167" s="53"/>
      <c r="U167" s="53"/>
      <c r="V167" s="53"/>
      <c r="W167" s="53"/>
      <c r="X167" s="53"/>
      <c r="Y167" s="53"/>
      <c r="Z167" s="53"/>
    </row>
    <row r="168" spans="1:26" ht="20.25" customHeight="1">
      <c r="A168" s="52"/>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20.25" customHeight="1">
      <c r="A169" s="52"/>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20.25" customHeight="1">
      <c r="A170" s="52"/>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20.25" customHeight="1">
      <c r="A171" s="52"/>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20.25" customHeight="1">
      <c r="A172" s="52"/>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20.25" customHeight="1">
      <c r="A173" s="52"/>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20.25" customHeight="1">
      <c r="A174" s="52"/>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20.25" customHeight="1">
      <c r="A175" s="52"/>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20.25" customHeight="1">
      <c r="A176" s="52"/>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20.25" customHeight="1">
      <c r="A177" s="52"/>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20.25" customHeight="1">
      <c r="A178" s="52"/>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20.25" customHeight="1">
      <c r="A179" s="52"/>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20.25" customHeight="1">
      <c r="A180" s="52"/>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20.25" customHeight="1">
      <c r="A181" s="52"/>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20.25" customHeight="1">
      <c r="A182" s="52"/>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20.25" customHeight="1">
      <c r="A183" s="52"/>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20.25" customHeight="1">
      <c r="A184" s="52"/>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20.25" customHeight="1">
      <c r="A185" s="52"/>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20.25" customHeight="1">
      <c r="A186" s="52"/>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20.25" customHeight="1">
      <c r="A187" s="52"/>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20.25" customHeight="1">
      <c r="A188" s="52"/>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20.25" customHeight="1">
      <c r="A189" s="52"/>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20.25" customHeight="1">
      <c r="A190" s="52"/>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20.25" customHeight="1">
      <c r="A191" s="52"/>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20.25" customHeight="1">
      <c r="A192" s="52"/>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20.25" customHeight="1">
      <c r="A193" s="52"/>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20.25" customHeight="1">
      <c r="A194" s="52"/>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20.25" customHeight="1">
      <c r="A195" s="52"/>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20.25" customHeight="1">
      <c r="A196" s="52"/>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20.25" customHeight="1">
      <c r="A197" s="52"/>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20.25" customHeight="1">
      <c r="A198" s="52"/>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20.25" customHeight="1">
      <c r="A199" s="52"/>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20.25" customHeight="1">
      <c r="A200" s="52"/>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20.25" customHeight="1">
      <c r="A201" s="52"/>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20.25" customHeight="1">
      <c r="A202" s="52"/>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20.25" customHeight="1">
      <c r="A203" s="52"/>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20.25" customHeight="1">
      <c r="A204" s="52"/>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20.25" customHeight="1">
      <c r="A205" s="52"/>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20.25" customHeight="1">
      <c r="A206" s="52"/>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20.25" customHeight="1">
      <c r="A207" s="52"/>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20.25" customHeight="1">
      <c r="A208" s="52"/>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20.25" customHeight="1">
      <c r="A209" s="52"/>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20.25" customHeight="1">
      <c r="A210" s="52"/>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20.25" customHeight="1">
      <c r="A211" s="52"/>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20.25" customHeight="1">
      <c r="A212" s="52"/>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20.25" customHeight="1">
      <c r="A213" s="52"/>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20.25" customHeight="1">
      <c r="A214" s="52"/>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20.25" customHeight="1">
      <c r="A215" s="52"/>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20.25" customHeight="1">
      <c r="A216" s="52"/>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20.25" customHeight="1">
      <c r="A217" s="52"/>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20.25" customHeight="1">
      <c r="A218" s="52"/>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20.25" customHeight="1">
      <c r="A219" s="52"/>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20.25" customHeight="1">
      <c r="A220" s="52"/>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20.25" customHeight="1">
      <c r="A221" s="52"/>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20.25" customHeight="1">
      <c r="A222" s="52"/>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20.25" customHeight="1">
      <c r="A223" s="52"/>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20.25" customHeight="1">
      <c r="A224" s="52"/>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20.25" customHeight="1">
      <c r="A225" s="52"/>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20.25" customHeight="1">
      <c r="A226" s="52"/>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20.25" customHeight="1">
      <c r="A227" s="52"/>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20.25" customHeight="1">
      <c r="A228" s="52"/>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20.25" customHeight="1">
      <c r="A229" s="52"/>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20.25" customHeight="1">
      <c r="A230" s="52"/>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20.25" customHeight="1">
      <c r="A231" s="52"/>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20.25" customHeight="1">
      <c r="A232" s="52"/>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20.25" customHeight="1">
      <c r="A233" s="52"/>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20.25" customHeight="1">
      <c r="A234" s="52"/>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20.25" customHeight="1">
      <c r="A235" s="52"/>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20.25" customHeight="1">
      <c r="A236" s="52"/>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20.25" customHeight="1">
      <c r="A237" s="52"/>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20.25" customHeight="1">
      <c r="A238" s="52"/>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20.25" customHeight="1">
      <c r="A239" s="52"/>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20.25" customHeight="1">
      <c r="A240" s="52"/>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20.25" customHeight="1">
      <c r="A241" s="52"/>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20.25" customHeight="1">
      <c r="A242" s="52"/>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20.25" customHeight="1">
      <c r="A243" s="52"/>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20.25" customHeight="1">
      <c r="A244" s="52"/>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20.25" customHeight="1">
      <c r="A245" s="52"/>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20.25" customHeight="1">
      <c r="A246" s="52"/>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20.25" customHeight="1">
      <c r="A247" s="52"/>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20.25" customHeight="1">
      <c r="A248" s="52"/>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20.25" customHeight="1">
      <c r="A249" s="52"/>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20.25" customHeight="1">
      <c r="A250" s="52"/>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20.25" customHeight="1">
      <c r="A251" s="52"/>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20.25" customHeight="1">
      <c r="A252" s="52"/>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20.25" customHeight="1">
      <c r="A253" s="52"/>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20.25" customHeight="1">
      <c r="A254" s="52"/>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20.25" customHeight="1">
      <c r="A255" s="52"/>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20.25" customHeight="1">
      <c r="A256" s="52"/>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20.25" customHeight="1">
      <c r="A257" s="52"/>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20.25" customHeight="1">
      <c r="A258" s="52"/>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20.25" customHeight="1">
      <c r="A259" s="52"/>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20.25" customHeight="1">
      <c r="A260" s="52"/>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20.25" customHeight="1">
      <c r="A261" s="52"/>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20.25" customHeight="1">
      <c r="A262" s="52"/>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20.25" customHeight="1">
      <c r="A263" s="52"/>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20.25" customHeight="1">
      <c r="A264" s="52"/>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20.25" customHeight="1">
      <c r="A265" s="52"/>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20.25" customHeight="1">
      <c r="A266" s="52"/>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20.25" customHeight="1">
      <c r="A267" s="52"/>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20.25" customHeight="1">
      <c r="A268" s="52"/>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20.25" customHeight="1">
      <c r="A269" s="52"/>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20.25" customHeight="1">
      <c r="A270" s="52"/>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20.25" customHeight="1">
      <c r="A271" s="52"/>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20.25" customHeight="1">
      <c r="A272" s="52"/>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20.25" customHeight="1">
      <c r="A273" s="52"/>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20.25" customHeight="1">
      <c r="A274" s="52"/>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20.25" customHeight="1">
      <c r="A275" s="52"/>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20.25" customHeight="1">
      <c r="A276" s="52"/>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20.25" customHeight="1">
      <c r="A277" s="52"/>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20.25" customHeight="1">
      <c r="A278" s="52"/>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20.25" customHeight="1">
      <c r="A279" s="52"/>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20.25" customHeight="1">
      <c r="A280" s="52"/>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20.25" customHeight="1">
      <c r="A281" s="52"/>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20.25" customHeight="1">
      <c r="A282" s="52"/>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20.25" customHeight="1">
      <c r="A283" s="52"/>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20.25" customHeight="1">
      <c r="A284" s="52"/>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20.25" customHeight="1">
      <c r="A285" s="52"/>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20.25" customHeight="1">
      <c r="A286" s="52"/>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20.25" customHeight="1">
      <c r="A287" s="52"/>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20.25" customHeight="1">
      <c r="A288" s="52"/>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20.25" customHeight="1">
      <c r="A289" s="52"/>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20.25" customHeight="1">
      <c r="A290" s="52"/>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20.25" customHeight="1">
      <c r="A291" s="52"/>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20.25" customHeight="1">
      <c r="A292" s="52"/>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20.25" customHeight="1">
      <c r="A293" s="52"/>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20.25" customHeight="1">
      <c r="A294" s="52"/>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20.25" customHeight="1">
      <c r="A295" s="52"/>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20.25" customHeight="1">
      <c r="A296" s="52"/>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20.25" customHeight="1">
      <c r="A297" s="52"/>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20.25" customHeight="1">
      <c r="A298" s="52"/>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20.25" customHeight="1">
      <c r="A299" s="52"/>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20.25" customHeight="1">
      <c r="A300" s="52"/>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20.25" customHeight="1">
      <c r="A301" s="52"/>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20.25" customHeight="1">
      <c r="A302" s="52"/>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20.25" customHeight="1">
      <c r="A303" s="52"/>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20.25" customHeight="1">
      <c r="A304" s="52"/>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20.25" customHeight="1">
      <c r="A305" s="52"/>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20.25" customHeight="1">
      <c r="A306" s="52"/>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20.25" customHeight="1">
      <c r="A307" s="52"/>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20.25" customHeight="1">
      <c r="A308" s="52"/>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20.25" customHeight="1">
      <c r="A309" s="52"/>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20.25" customHeight="1">
      <c r="A310" s="52"/>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20.25" customHeight="1">
      <c r="A311" s="52"/>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20.25" customHeight="1">
      <c r="A312" s="52"/>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20.25" customHeight="1">
      <c r="A313" s="52"/>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20.25" customHeight="1">
      <c r="A314" s="52"/>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20.25" customHeight="1">
      <c r="A315" s="52"/>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20.25" customHeight="1">
      <c r="A316" s="52"/>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20.25" customHeight="1">
      <c r="A317" s="52"/>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20.25" customHeight="1">
      <c r="A318" s="52"/>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20.25" customHeight="1">
      <c r="A319" s="52"/>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20.25" customHeight="1">
      <c r="A320" s="52"/>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20.25" customHeight="1">
      <c r="A321" s="52"/>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20.25" customHeight="1">
      <c r="A322" s="52"/>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20.25" customHeight="1">
      <c r="A323" s="52"/>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20.25" customHeight="1">
      <c r="A324" s="52"/>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20.25" customHeight="1">
      <c r="A325" s="52"/>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20.25" customHeight="1">
      <c r="A326" s="52"/>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20.25" customHeight="1">
      <c r="A327" s="52"/>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20.25" customHeight="1">
      <c r="A328" s="52"/>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20.25" customHeight="1">
      <c r="A329" s="52"/>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20.25" customHeight="1">
      <c r="A330" s="52"/>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20.25" customHeight="1">
      <c r="A331" s="52"/>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20.25" customHeight="1">
      <c r="A332" s="52"/>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20.25" customHeight="1">
      <c r="A333" s="52"/>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20.25" customHeight="1">
      <c r="A334" s="52"/>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20.25" customHeight="1">
      <c r="A335" s="52"/>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20.25" customHeight="1">
      <c r="A336" s="52"/>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20.25" customHeight="1">
      <c r="A337" s="52"/>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20.25" customHeight="1">
      <c r="A338" s="52"/>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20.25" customHeight="1">
      <c r="A339" s="52"/>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20.25" customHeight="1">
      <c r="A340" s="52"/>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20.25" customHeight="1">
      <c r="A341" s="52"/>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20.25" customHeight="1">
      <c r="A342" s="52"/>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20.25" customHeight="1">
      <c r="A343" s="52"/>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20.25" customHeight="1">
      <c r="A344" s="52"/>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20.25" customHeight="1">
      <c r="A345" s="52"/>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20.25" customHeight="1">
      <c r="A346" s="52"/>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20.25" customHeight="1">
      <c r="A347" s="52"/>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20.25" customHeight="1">
      <c r="A348" s="52"/>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20.25" customHeight="1">
      <c r="A349" s="52"/>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20.25" customHeight="1">
      <c r="A350" s="52"/>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20.25" customHeight="1">
      <c r="A351" s="52"/>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20.25" customHeight="1">
      <c r="A352" s="52"/>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20.25" customHeight="1">
      <c r="A353" s="52"/>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20.25" customHeight="1">
      <c r="A354" s="52"/>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20.25" customHeight="1">
      <c r="A355" s="52"/>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20.25" customHeight="1">
      <c r="A356" s="52"/>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20.25" customHeight="1">
      <c r="A357" s="52"/>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20.25" customHeight="1">
      <c r="A358" s="52"/>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20.25" customHeight="1">
      <c r="A359" s="52"/>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20.25" customHeight="1">
      <c r="A360" s="52"/>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20.25" customHeight="1">
      <c r="A361" s="52"/>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20.25" customHeight="1">
      <c r="A362" s="52"/>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20.25" customHeight="1">
      <c r="A363" s="52"/>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20.25" customHeight="1">
      <c r="A364" s="52"/>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20.25" customHeight="1">
      <c r="A365" s="52"/>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20.25" customHeight="1">
      <c r="A366" s="52"/>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20.25" customHeight="1">
      <c r="A367" s="52"/>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20.25" customHeight="1">
      <c r="A368" s="52"/>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20.25" customHeight="1">
      <c r="A369" s="52"/>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20.25" customHeight="1">
      <c r="A370" s="52"/>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20.25" customHeight="1">
      <c r="A371" s="52"/>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20.25" customHeight="1">
      <c r="A372" s="52"/>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20.25" customHeight="1">
      <c r="A373" s="52"/>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20.25" customHeight="1">
      <c r="A374" s="52"/>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20.25" customHeight="1">
      <c r="A375" s="52"/>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20.25" customHeight="1">
      <c r="A376" s="52"/>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20.25" customHeight="1">
      <c r="A377" s="52"/>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20.25" customHeight="1">
      <c r="A378" s="52"/>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20.25" customHeight="1">
      <c r="A379" s="52"/>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20.25" customHeight="1">
      <c r="A380" s="52"/>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20.25" customHeight="1">
      <c r="A381" s="52"/>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20.25" customHeight="1">
      <c r="A382" s="52"/>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20.25" customHeight="1">
      <c r="A383" s="52"/>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20.25" customHeight="1">
      <c r="A384" s="52"/>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20.25" customHeight="1">
      <c r="A385" s="52"/>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20.25" customHeight="1">
      <c r="A386" s="52"/>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20.25" customHeight="1">
      <c r="A387" s="52"/>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20.25" customHeight="1">
      <c r="A388" s="52"/>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20.25" customHeight="1">
      <c r="A389" s="52"/>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20.25" customHeight="1">
      <c r="A390" s="52"/>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20.25" customHeight="1">
      <c r="A391" s="52"/>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20.25" customHeight="1">
      <c r="A392" s="52"/>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20.25" customHeight="1">
      <c r="A393" s="52"/>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20.25" customHeight="1">
      <c r="A394" s="52"/>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20.25" customHeight="1">
      <c r="A395" s="52"/>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20.25" customHeight="1">
      <c r="A396" s="52"/>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20.25" customHeight="1">
      <c r="A397" s="52"/>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20.25" customHeight="1">
      <c r="A398" s="52"/>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20.25" customHeight="1">
      <c r="A399" s="52"/>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20.25" customHeight="1">
      <c r="A400" s="52"/>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20.25" customHeight="1">
      <c r="A401" s="52"/>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20.25" customHeight="1">
      <c r="A402" s="52"/>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20.25" customHeight="1">
      <c r="A403" s="52"/>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20.25" customHeight="1">
      <c r="A404" s="52"/>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20.25" customHeight="1">
      <c r="A405" s="52"/>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20.25" customHeight="1">
      <c r="A406" s="52"/>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20.25" customHeight="1">
      <c r="A407" s="52"/>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20.25" customHeight="1">
      <c r="A408" s="52"/>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20.25" customHeight="1">
      <c r="A409" s="52"/>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20.25" customHeight="1">
      <c r="A410" s="52"/>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20.25" customHeight="1">
      <c r="A411" s="52"/>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20.25" customHeight="1">
      <c r="A412" s="52"/>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20.25" customHeight="1">
      <c r="A413" s="52"/>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20.25" customHeight="1">
      <c r="A414" s="52"/>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20.25" customHeight="1">
      <c r="A415" s="52"/>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20.25" customHeight="1">
      <c r="A416" s="52"/>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20.25" customHeight="1">
      <c r="A417" s="52"/>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20.25" customHeight="1">
      <c r="A418" s="52"/>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20.25" customHeight="1">
      <c r="A419" s="52"/>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20.25" customHeight="1">
      <c r="A420" s="52"/>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20.25" customHeight="1">
      <c r="A421" s="52"/>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20.25" customHeight="1">
      <c r="A422" s="52"/>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20.25" customHeight="1">
      <c r="A423" s="52"/>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20.25" customHeight="1">
      <c r="A424" s="52"/>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20.25" customHeight="1">
      <c r="A425" s="52"/>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20.25" customHeight="1">
      <c r="A426" s="52"/>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20.25" customHeight="1">
      <c r="A427" s="52"/>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20.25" customHeight="1">
      <c r="A428" s="52"/>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20.25" customHeight="1">
      <c r="A429" s="52"/>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20.25" customHeight="1">
      <c r="A430" s="52"/>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20.25" customHeight="1">
      <c r="A431" s="52"/>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20.25" customHeight="1">
      <c r="A432" s="52"/>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20.25" customHeight="1">
      <c r="A433" s="52"/>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20.25" customHeight="1">
      <c r="A434" s="52"/>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20.25" customHeight="1">
      <c r="A435" s="52"/>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20.25" customHeight="1">
      <c r="A436" s="52"/>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20.25" customHeight="1">
      <c r="A437" s="52"/>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20.25" customHeight="1">
      <c r="A438" s="52"/>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20.25" customHeight="1">
      <c r="A439" s="52"/>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20.25" customHeight="1">
      <c r="A440" s="52"/>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20.25" customHeight="1">
      <c r="A441" s="52"/>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20.25" customHeight="1">
      <c r="A442" s="52"/>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20.25" customHeight="1">
      <c r="A443" s="52"/>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20.25" customHeight="1">
      <c r="A444" s="52"/>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20.25" customHeight="1">
      <c r="A445" s="52"/>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20.25" customHeight="1">
      <c r="A446" s="52"/>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20.25" customHeight="1">
      <c r="A447" s="52"/>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20.25" customHeight="1">
      <c r="A448" s="52"/>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20.25" customHeight="1">
      <c r="A449" s="52"/>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20.25" customHeight="1">
      <c r="A450" s="52"/>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20.25" customHeight="1">
      <c r="A451" s="52"/>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20.25" customHeight="1">
      <c r="A452" s="52"/>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20.25" customHeight="1">
      <c r="A453" s="52"/>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20.25" customHeight="1">
      <c r="A454" s="52"/>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20.25" customHeight="1">
      <c r="A455" s="52"/>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20.25" customHeight="1">
      <c r="A456" s="52"/>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20.25" customHeight="1">
      <c r="A457" s="52"/>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20.25" customHeight="1">
      <c r="A458" s="52"/>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20.25" customHeight="1">
      <c r="A459" s="52"/>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20.25" customHeight="1">
      <c r="A460" s="52"/>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20.25" customHeight="1">
      <c r="A461" s="52"/>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20.25" customHeight="1">
      <c r="A462" s="52"/>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20.25" customHeight="1">
      <c r="A463" s="52"/>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20.25" customHeight="1">
      <c r="A464" s="52"/>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20.25" customHeight="1">
      <c r="A465" s="52"/>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20.25" customHeight="1">
      <c r="A466" s="52"/>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20.25" customHeight="1">
      <c r="A467" s="52"/>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20.25" customHeight="1">
      <c r="A468" s="52"/>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20.25" customHeight="1">
      <c r="A469" s="52"/>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20.25" customHeight="1">
      <c r="A470" s="52"/>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20.25" customHeight="1">
      <c r="A471" s="52"/>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20.25" customHeight="1">
      <c r="A472" s="52"/>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20.25" customHeight="1">
      <c r="A473" s="52"/>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20.25" customHeight="1">
      <c r="A474" s="52"/>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20.25" customHeight="1">
      <c r="A475" s="52"/>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20.25" customHeight="1">
      <c r="A476" s="52"/>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20.25" customHeight="1">
      <c r="A477" s="52"/>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20.25" customHeight="1">
      <c r="A478" s="52"/>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20.25" customHeight="1">
      <c r="A479" s="52"/>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20.25" customHeight="1">
      <c r="A480" s="52"/>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20.25" customHeight="1">
      <c r="A481" s="52"/>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20.25" customHeight="1">
      <c r="A482" s="52"/>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20.25" customHeight="1">
      <c r="A483" s="52"/>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20.25" customHeight="1">
      <c r="A484" s="52"/>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20.25" customHeight="1">
      <c r="A485" s="52"/>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20.25" customHeight="1">
      <c r="A486" s="52"/>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20.25" customHeight="1">
      <c r="A487" s="52"/>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20.25" customHeight="1">
      <c r="A488" s="52"/>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20.25" customHeight="1">
      <c r="A489" s="52"/>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20.25" customHeight="1">
      <c r="A490" s="52"/>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20.25" customHeight="1">
      <c r="A491" s="52"/>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20.25" customHeight="1">
      <c r="A492" s="52"/>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20.25" customHeight="1">
      <c r="A493" s="52"/>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20.25" customHeight="1">
      <c r="A494" s="52"/>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20.25" customHeight="1">
      <c r="A495" s="52"/>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20.25" customHeight="1">
      <c r="A496" s="52"/>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20.25" customHeight="1">
      <c r="A497" s="52"/>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20.25" customHeight="1">
      <c r="A498" s="52"/>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20.25" customHeight="1">
      <c r="A499" s="52"/>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20.25" customHeight="1">
      <c r="A500" s="52"/>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20.25" customHeight="1">
      <c r="A501" s="52"/>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20.25" customHeight="1">
      <c r="A502" s="52"/>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20.25" customHeight="1">
      <c r="A503" s="52"/>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20.25" customHeight="1">
      <c r="A504" s="52"/>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20.25" customHeight="1">
      <c r="A505" s="52"/>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20.25" customHeight="1">
      <c r="A506" s="52"/>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20.25" customHeight="1">
      <c r="A507" s="52"/>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20.25" customHeight="1">
      <c r="A508" s="52"/>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20.25" customHeight="1">
      <c r="A509" s="52"/>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20.25" customHeight="1">
      <c r="A510" s="52"/>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20.25" customHeight="1">
      <c r="A511" s="52"/>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20.25" customHeight="1">
      <c r="A512" s="52"/>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20.25" customHeight="1">
      <c r="A513" s="52"/>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20.25" customHeight="1">
      <c r="A514" s="52"/>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20.25" customHeight="1">
      <c r="A515" s="52"/>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20.25" customHeight="1">
      <c r="A516" s="52"/>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20.25" customHeight="1">
      <c r="A517" s="52"/>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20.25" customHeight="1">
      <c r="A518" s="52"/>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20.25" customHeight="1">
      <c r="A519" s="52"/>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20.25" customHeight="1">
      <c r="A520" s="52"/>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20.25" customHeight="1">
      <c r="A521" s="52"/>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20.25" customHeight="1">
      <c r="A522" s="52"/>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20.25" customHeight="1">
      <c r="A523" s="52"/>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20.25" customHeight="1">
      <c r="A524" s="52"/>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20.25" customHeight="1">
      <c r="A525" s="52"/>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20.25" customHeight="1">
      <c r="A526" s="52"/>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20.25" customHeight="1">
      <c r="A527" s="52"/>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20.25" customHeight="1">
      <c r="A528" s="52"/>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20.25" customHeight="1">
      <c r="A529" s="52"/>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20.25" customHeight="1">
      <c r="A530" s="52"/>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20.25" customHeight="1">
      <c r="A531" s="52"/>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20.25" customHeight="1">
      <c r="A532" s="52"/>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20.25" customHeight="1">
      <c r="A533" s="52"/>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20.25" customHeight="1">
      <c r="A534" s="52"/>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20.25" customHeight="1">
      <c r="A535" s="52"/>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20.25" customHeight="1">
      <c r="A536" s="52"/>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20.25" customHeight="1">
      <c r="A537" s="52"/>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20.25" customHeight="1">
      <c r="A538" s="52"/>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20.25" customHeight="1">
      <c r="A539" s="52"/>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20.25" customHeight="1">
      <c r="A540" s="52"/>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20.25" customHeight="1">
      <c r="A541" s="52"/>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20.25" customHeight="1">
      <c r="A542" s="52"/>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20.25" customHeight="1">
      <c r="A543" s="52"/>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20.25" customHeight="1">
      <c r="A544" s="52"/>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20.25" customHeight="1">
      <c r="A545" s="52"/>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20.25" customHeight="1">
      <c r="A546" s="52"/>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20.25" customHeight="1">
      <c r="A547" s="52"/>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20.25" customHeight="1">
      <c r="A548" s="52"/>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20.25" customHeight="1">
      <c r="A549" s="52"/>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20.25" customHeight="1">
      <c r="A550" s="52"/>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20.25" customHeight="1">
      <c r="A551" s="52"/>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20.25" customHeight="1">
      <c r="A552" s="52"/>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20.25" customHeight="1">
      <c r="A553" s="52"/>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20.25" customHeight="1">
      <c r="A554" s="52"/>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20.25" customHeight="1">
      <c r="A555" s="52"/>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20.25" customHeight="1">
      <c r="A556" s="52"/>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20.25" customHeight="1">
      <c r="A557" s="52"/>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20.25" customHeight="1">
      <c r="A558" s="52"/>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20.25" customHeight="1">
      <c r="A559" s="52"/>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20.25" customHeight="1">
      <c r="A560" s="52"/>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20.25" customHeight="1">
      <c r="A561" s="52"/>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20.25" customHeight="1">
      <c r="A562" s="52"/>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20.25" customHeight="1">
      <c r="A563" s="52"/>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20.25" customHeight="1">
      <c r="A564" s="52"/>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20.25" customHeight="1">
      <c r="A565" s="52"/>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20.25" customHeight="1">
      <c r="A566" s="52"/>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20.25" customHeight="1">
      <c r="A567" s="52"/>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20.25" customHeight="1">
      <c r="A568" s="52"/>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20.25" customHeight="1">
      <c r="A569" s="52"/>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20.25" customHeight="1">
      <c r="A570" s="52"/>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20.25" customHeight="1">
      <c r="A571" s="52"/>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20.25" customHeight="1">
      <c r="A572" s="52"/>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20.25" customHeight="1">
      <c r="A573" s="52"/>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20.25" customHeight="1">
      <c r="A574" s="52"/>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20.25" customHeight="1">
      <c r="A575" s="52"/>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20.25" customHeight="1">
      <c r="A576" s="52"/>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20.25" customHeight="1">
      <c r="A577" s="52"/>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20.25" customHeight="1">
      <c r="A578" s="52"/>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20.25" customHeight="1">
      <c r="A579" s="52"/>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20.25" customHeight="1">
      <c r="A580" s="52"/>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20.25" customHeight="1">
      <c r="A581" s="52"/>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20.25" customHeight="1">
      <c r="A582" s="52"/>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20.25" customHeight="1">
      <c r="A583" s="52"/>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20.25" customHeight="1">
      <c r="A584" s="52"/>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20.25" customHeight="1">
      <c r="A585" s="52"/>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20.25" customHeight="1">
      <c r="A586" s="52"/>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20.25" customHeight="1">
      <c r="A587" s="52"/>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20.25" customHeight="1">
      <c r="A588" s="52"/>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20.25" customHeight="1">
      <c r="A589" s="52"/>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20.25" customHeight="1">
      <c r="A590" s="52"/>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20.25" customHeight="1">
      <c r="A591" s="52"/>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20.25" customHeight="1">
      <c r="A592" s="52"/>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20.25" customHeight="1">
      <c r="A593" s="52"/>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20.25" customHeight="1">
      <c r="A594" s="52"/>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20.25" customHeight="1">
      <c r="A595" s="52"/>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20.25" customHeight="1">
      <c r="A596" s="52"/>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20.25" customHeight="1">
      <c r="A597" s="52"/>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20.25" customHeight="1">
      <c r="A598" s="52"/>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20.25" customHeight="1">
      <c r="A599" s="52"/>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20.25" customHeight="1">
      <c r="A600" s="52"/>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20.25" customHeight="1">
      <c r="A601" s="52"/>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20.25" customHeight="1">
      <c r="A602" s="52"/>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20.25" customHeight="1">
      <c r="A603" s="52"/>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20.25" customHeight="1">
      <c r="A604" s="52"/>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20.25" customHeight="1">
      <c r="A605" s="52"/>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20.25" customHeight="1">
      <c r="A606" s="52"/>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20.25" customHeight="1">
      <c r="A607" s="52"/>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20.25" customHeight="1">
      <c r="A608" s="52"/>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20.25" customHeight="1">
      <c r="A609" s="52"/>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20.25" customHeight="1">
      <c r="A610" s="52"/>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20.25" customHeight="1">
      <c r="A611" s="52"/>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20.25" customHeight="1">
      <c r="A612" s="52"/>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20.25" customHeight="1">
      <c r="A613" s="52"/>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20.25" customHeight="1">
      <c r="A614" s="52"/>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20.25" customHeight="1">
      <c r="A615" s="52"/>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20.25" customHeight="1">
      <c r="A616" s="52"/>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20.25" customHeight="1">
      <c r="A617" s="52"/>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20.25" customHeight="1">
      <c r="A618" s="52"/>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20.25" customHeight="1">
      <c r="A619" s="52"/>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20.25" customHeight="1">
      <c r="A620" s="52"/>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20.25" customHeight="1">
      <c r="A621" s="52"/>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20.25" customHeight="1">
      <c r="A622" s="52"/>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20.25" customHeight="1">
      <c r="A623" s="52"/>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20.25" customHeight="1">
      <c r="A624" s="52"/>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20.25" customHeight="1">
      <c r="A625" s="52"/>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20.25" customHeight="1">
      <c r="A626" s="52"/>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20.25" customHeight="1">
      <c r="A627" s="52"/>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20.25" customHeight="1">
      <c r="A628" s="52"/>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20.25" customHeight="1">
      <c r="A629" s="52"/>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20.25" customHeight="1">
      <c r="A630" s="52"/>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20.25" customHeight="1">
      <c r="A631" s="52"/>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20.25" customHeight="1">
      <c r="A632" s="52"/>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20.25" customHeight="1">
      <c r="A633" s="52"/>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20.25" customHeight="1">
      <c r="A634" s="52"/>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20.25" customHeight="1">
      <c r="A635" s="52"/>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20.25" customHeight="1">
      <c r="A636" s="52"/>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20.25" customHeight="1">
      <c r="A637" s="52"/>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20.25" customHeight="1">
      <c r="A638" s="52"/>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20.25" customHeight="1">
      <c r="A639" s="52"/>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20.25" customHeight="1">
      <c r="A640" s="52"/>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20.25" customHeight="1">
      <c r="A641" s="52"/>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20.25" customHeight="1">
      <c r="A642" s="52"/>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20.25" customHeight="1">
      <c r="A643" s="52"/>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20.25" customHeight="1">
      <c r="A644" s="52"/>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20.25" customHeight="1">
      <c r="A645" s="52"/>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20.25" customHeight="1">
      <c r="A646" s="52"/>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20.25" customHeight="1">
      <c r="A647" s="52"/>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20.25" customHeight="1">
      <c r="A648" s="52"/>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20.25" customHeight="1">
      <c r="A649" s="52"/>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20.25" customHeight="1">
      <c r="A650" s="52"/>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20.25" customHeight="1">
      <c r="A651" s="52"/>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20.25" customHeight="1">
      <c r="A652" s="52"/>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20.25" customHeight="1">
      <c r="A653" s="52"/>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20.25" customHeight="1">
      <c r="A654" s="52"/>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20.25" customHeight="1">
      <c r="A655" s="52"/>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20.25" customHeight="1">
      <c r="A656" s="52"/>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20.25" customHeight="1">
      <c r="A657" s="52"/>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20.25" customHeight="1">
      <c r="A658" s="52"/>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20.25" customHeight="1">
      <c r="A659" s="52"/>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20.25" customHeight="1">
      <c r="A660" s="52"/>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20.25" customHeight="1">
      <c r="A661" s="52"/>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20.25" customHeight="1">
      <c r="A662" s="52"/>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20.25" customHeight="1">
      <c r="A663" s="52"/>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20.25" customHeight="1">
      <c r="A664" s="52"/>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20.25" customHeight="1">
      <c r="A665" s="52"/>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20.25" customHeight="1">
      <c r="A666" s="52"/>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20.25" customHeight="1">
      <c r="A667" s="52"/>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20.25" customHeight="1">
      <c r="A668" s="52"/>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20.25" customHeight="1">
      <c r="A669" s="52"/>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20.25" customHeight="1">
      <c r="A670" s="52"/>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20.25" customHeight="1">
      <c r="A671" s="52"/>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20.25" customHeight="1">
      <c r="A672" s="52"/>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20.25" customHeight="1">
      <c r="A673" s="52"/>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20.25" customHeight="1">
      <c r="A674" s="52"/>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20.25" customHeight="1">
      <c r="A675" s="52"/>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20.25" customHeight="1">
      <c r="A676" s="52"/>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20.25" customHeight="1">
      <c r="A677" s="52"/>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20.25" customHeight="1">
      <c r="A678" s="52"/>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20.25" customHeight="1">
      <c r="A679" s="52"/>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20.25" customHeight="1">
      <c r="A680" s="52"/>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20.25" customHeight="1">
      <c r="A681" s="52"/>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20.25" customHeight="1">
      <c r="A682" s="52"/>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20.25" customHeight="1">
      <c r="A683" s="52"/>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20.25" customHeight="1">
      <c r="A684" s="52"/>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20.25" customHeight="1">
      <c r="A685" s="52"/>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20.25" customHeight="1">
      <c r="A686" s="52"/>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20.25" customHeight="1">
      <c r="A687" s="52"/>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20.25" customHeight="1">
      <c r="A688" s="52"/>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20.25" customHeight="1">
      <c r="A689" s="52"/>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20.25" customHeight="1">
      <c r="A690" s="52"/>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20.25" customHeight="1">
      <c r="A691" s="52"/>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20.25" customHeight="1">
      <c r="A692" s="52"/>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20.25" customHeight="1">
      <c r="A693" s="52"/>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20.25" customHeight="1">
      <c r="A694" s="52"/>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20.25" customHeight="1">
      <c r="A695" s="52"/>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20.25" customHeight="1">
      <c r="A696" s="52"/>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20.25" customHeight="1">
      <c r="A697" s="52"/>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20.25" customHeight="1">
      <c r="A698" s="52"/>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20.25" customHeight="1">
      <c r="A699" s="52"/>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20.25" customHeight="1">
      <c r="A700" s="52"/>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20.25" customHeight="1">
      <c r="A701" s="52"/>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20.25" customHeight="1">
      <c r="A702" s="52"/>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20.25" customHeight="1">
      <c r="A703" s="52"/>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20.25" customHeight="1">
      <c r="A704" s="52"/>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20.25" customHeight="1">
      <c r="A705" s="52"/>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20.25" customHeight="1">
      <c r="A706" s="52"/>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20.25" customHeight="1">
      <c r="A707" s="52"/>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20.25" customHeight="1">
      <c r="A708" s="52"/>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20.25" customHeight="1">
      <c r="A709" s="52"/>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20.25" customHeight="1">
      <c r="A710" s="52"/>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20.25" customHeight="1">
      <c r="A711" s="52"/>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20.25" customHeight="1">
      <c r="A712" s="52"/>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20.25" customHeight="1">
      <c r="A713" s="52"/>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20.25" customHeight="1">
      <c r="A714" s="52"/>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20.25" customHeight="1">
      <c r="A715" s="52"/>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20.25" customHeight="1">
      <c r="A716" s="52"/>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20.25" customHeight="1">
      <c r="A717" s="52"/>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20.25" customHeight="1">
      <c r="A718" s="52"/>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20.25" customHeight="1">
      <c r="A719" s="52"/>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20.25" customHeight="1">
      <c r="A720" s="52"/>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20.25" customHeight="1">
      <c r="A721" s="52"/>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20.25" customHeight="1">
      <c r="A722" s="52"/>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20.25" customHeight="1">
      <c r="A723" s="52"/>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20.25" customHeight="1">
      <c r="A724" s="52"/>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20.25" customHeight="1">
      <c r="A725" s="52"/>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20.25" customHeight="1">
      <c r="A726" s="52"/>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20.25" customHeight="1">
      <c r="A727" s="52"/>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20.25" customHeight="1">
      <c r="A728" s="52"/>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20.25" customHeight="1">
      <c r="A729" s="52"/>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20.25" customHeight="1">
      <c r="A730" s="52"/>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20.25" customHeight="1">
      <c r="A731" s="52"/>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20.25" customHeight="1">
      <c r="A732" s="52"/>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20.25" customHeight="1">
      <c r="A733" s="52"/>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20.25" customHeight="1">
      <c r="A734" s="52"/>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20.25" customHeight="1">
      <c r="A735" s="52"/>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20.25" customHeight="1">
      <c r="A736" s="52"/>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20.25" customHeight="1">
      <c r="A737" s="52"/>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20.25" customHeight="1">
      <c r="A738" s="52"/>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20.25" customHeight="1">
      <c r="A739" s="52"/>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20.25" customHeight="1">
      <c r="A740" s="52"/>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20.25" customHeight="1">
      <c r="A741" s="52"/>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20.25" customHeight="1">
      <c r="A742" s="52"/>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20.25" customHeight="1">
      <c r="A743" s="52"/>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20.25" customHeight="1">
      <c r="A744" s="52"/>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20.25" customHeight="1">
      <c r="A745" s="52"/>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20.25" customHeight="1">
      <c r="A746" s="52"/>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20.25" customHeight="1">
      <c r="A747" s="52"/>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20.25" customHeight="1">
      <c r="A748" s="52"/>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20.25" customHeight="1">
      <c r="A749" s="52"/>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20.25" customHeight="1">
      <c r="A750" s="52"/>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20.25" customHeight="1">
      <c r="A751" s="52"/>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20.25" customHeight="1">
      <c r="A752" s="52"/>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20.25" customHeight="1">
      <c r="A753" s="52"/>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20.25" customHeight="1">
      <c r="A754" s="52"/>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20.25" customHeight="1">
      <c r="A755" s="52"/>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20.25" customHeight="1">
      <c r="A756" s="52"/>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20.25" customHeight="1">
      <c r="A757" s="52"/>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20.25" customHeight="1">
      <c r="A758" s="52"/>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20.25" customHeight="1">
      <c r="A759" s="52"/>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20.25" customHeight="1">
      <c r="A760" s="52"/>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20.25" customHeight="1">
      <c r="A761" s="52"/>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20.25" customHeight="1">
      <c r="A762" s="52"/>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20.25" customHeight="1">
      <c r="A763" s="52"/>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20.25" customHeight="1">
      <c r="A764" s="52"/>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20.25" customHeight="1">
      <c r="A765" s="52"/>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20.25" customHeight="1">
      <c r="A766" s="52"/>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20.25" customHeight="1">
      <c r="A767" s="52"/>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20.25" customHeight="1">
      <c r="A768" s="52"/>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20.25" customHeight="1">
      <c r="A769" s="52"/>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20.25" customHeight="1">
      <c r="A770" s="52"/>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20.25" customHeight="1">
      <c r="A771" s="52"/>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20.25" customHeight="1">
      <c r="A772" s="52"/>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20.25" customHeight="1">
      <c r="A773" s="52"/>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20.25" customHeight="1">
      <c r="A774" s="52"/>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20.25" customHeight="1">
      <c r="A775" s="52"/>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20.25" customHeight="1">
      <c r="A776" s="52"/>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20.25" customHeight="1">
      <c r="A777" s="52"/>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20.25" customHeight="1">
      <c r="A778" s="52"/>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20.25" customHeight="1">
      <c r="A779" s="52"/>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20.25" customHeight="1">
      <c r="A780" s="52"/>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20.25" customHeight="1">
      <c r="A781" s="52"/>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20.25" customHeight="1">
      <c r="A782" s="52"/>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20.25" customHeight="1">
      <c r="A783" s="52"/>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20.25" customHeight="1">
      <c r="A784" s="52"/>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20.25" customHeight="1">
      <c r="A785" s="52"/>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20.25" customHeight="1">
      <c r="A786" s="52"/>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20.25" customHeight="1">
      <c r="A787" s="52"/>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20.25" customHeight="1">
      <c r="A788" s="52"/>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20.25" customHeight="1">
      <c r="A789" s="52"/>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20.25" customHeight="1">
      <c r="A790" s="52"/>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20.25" customHeight="1">
      <c r="A791" s="52"/>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20.25" customHeight="1">
      <c r="A792" s="52"/>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20.25" customHeight="1">
      <c r="A793" s="52"/>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20.25" customHeight="1">
      <c r="A794" s="52"/>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20.25" customHeight="1">
      <c r="A795" s="52"/>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20.25" customHeight="1">
      <c r="A796" s="52"/>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20.25" customHeight="1">
      <c r="A797" s="52"/>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20.25" customHeight="1">
      <c r="A798" s="52"/>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20.25" customHeight="1">
      <c r="A799" s="52"/>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20.25" customHeight="1">
      <c r="A800" s="52"/>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20.25" customHeight="1">
      <c r="A801" s="52"/>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20.25" customHeight="1">
      <c r="A802" s="52"/>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20.25" customHeight="1">
      <c r="A803" s="52"/>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20.25" customHeight="1">
      <c r="A804" s="52"/>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20.25" customHeight="1">
      <c r="A805" s="52"/>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20.25" customHeight="1">
      <c r="A806" s="52"/>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20.25" customHeight="1">
      <c r="A807" s="52"/>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20.25" customHeight="1">
      <c r="A808" s="52"/>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20.25" customHeight="1">
      <c r="A809" s="52"/>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20.25" customHeight="1">
      <c r="A810" s="52"/>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20.25" customHeight="1">
      <c r="A811" s="52"/>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20.25" customHeight="1">
      <c r="A812" s="52"/>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20.25" customHeight="1">
      <c r="A813" s="52"/>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20.25" customHeight="1">
      <c r="A814" s="52"/>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20.25" customHeight="1">
      <c r="A815" s="52"/>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20.25" customHeight="1">
      <c r="A816" s="52"/>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20.25" customHeight="1">
      <c r="A817" s="52"/>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20.25" customHeight="1">
      <c r="A818" s="52"/>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20.25" customHeight="1">
      <c r="A819" s="52"/>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20.25" customHeight="1">
      <c r="A820" s="52"/>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20.25" customHeight="1">
      <c r="A821" s="52"/>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20.25" customHeight="1">
      <c r="A822" s="52"/>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20.25" customHeight="1">
      <c r="A823" s="52"/>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20.25" customHeight="1">
      <c r="A824" s="52"/>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20.25" customHeight="1">
      <c r="A825" s="52"/>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20.25" customHeight="1">
      <c r="A826" s="52"/>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20.25" customHeight="1">
      <c r="A827" s="52"/>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20.25" customHeight="1">
      <c r="A828" s="52"/>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20.25" customHeight="1">
      <c r="A829" s="52"/>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20.25" customHeight="1">
      <c r="A830" s="52"/>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20.25" customHeight="1">
      <c r="A831" s="52"/>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20.25" customHeight="1">
      <c r="A832" s="52"/>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20.25" customHeight="1">
      <c r="A833" s="52"/>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20.25" customHeight="1">
      <c r="A834" s="52"/>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20.25" customHeight="1">
      <c r="A835" s="52"/>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20.25" customHeight="1">
      <c r="A836" s="52"/>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20.25" customHeight="1">
      <c r="A837" s="52"/>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20.25" customHeight="1">
      <c r="A838" s="52"/>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20.25" customHeight="1">
      <c r="A839" s="52"/>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20.25" customHeight="1">
      <c r="A840" s="52"/>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20.25" customHeight="1">
      <c r="A841" s="52"/>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20.25" customHeight="1">
      <c r="A842" s="52"/>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20.25" customHeight="1">
      <c r="A843" s="52"/>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20.25" customHeight="1">
      <c r="A844" s="52"/>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20.25" customHeight="1">
      <c r="A845" s="52"/>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20.25" customHeight="1">
      <c r="A846" s="52"/>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20.25" customHeight="1">
      <c r="A847" s="52"/>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20.25" customHeight="1">
      <c r="A848" s="52"/>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20.25" customHeight="1">
      <c r="A849" s="52"/>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20.25" customHeight="1">
      <c r="A850" s="52"/>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20.25" customHeight="1">
      <c r="A851" s="52"/>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20.25" customHeight="1">
      <c r="A852" s="52"/>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20.25" customHeight="1">
      <c r="A853" s="52"/>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20.25" customHeight="1">
      <c r="A854" s="52"/>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20.25" customHeight="1">
      <c r="A855" s="52"/>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20.25" customHeight="1">
      <c r="A856" s="52"/>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20.25" customHeight="1">
      <c r="A857" s="52"/>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20.25" customHeight="1">
      <c r="A858" s="52"/>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20.25" customHeight="1">
      <c r="A859" s="52"/>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20.25" customHeight="1">
      <c r="A860" s="52"/>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20.25" customHeight="1">
      <c r="A861" s="52"/>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20.25" customHeight="1">
      <c r="A862" s="52"/>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20.25" customHeight="1">
      <c r="A863" s="52"/>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20.25" customHeight="1">
      <c r="A864" s="52"/>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20.25" customHeight="1">
      <c r="A865" s="52"/>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20.25" customHeight="1">
      <c r="A866" s="52"/>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20.25" customHeight="1">
      <c r="A867" s="52"/>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20.25" customHeight="1">
      <c r="A868" s="52"/>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20.25" customHeight="1">
      <c r="A869" s="52"/>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20.25" customHeight="1">
      <c r="A870" s="52"/>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20.25" customHeight="1">
      <c r="A871" s="52"/>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20.25" customHeight="1">
      <c r="A872" s="52"/>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20.25" customHeight="1">
      <c r="A873" s="52"/>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20.25" customHeight="1">
      <c r="A874" s="52"/>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20.25" customHeight="1">
      <c r="A875" s="52"/>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20.25" customHeight="1">
      <c r="A876" s="52"/>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20.25" customHeight="1">
      <c r="A877" s="52"/>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20.25" customHeight="1">
      <c r="A878" s="52"/>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20.25" customHeight="1">
      <c r="A879" s="52"/>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20.25" customHeight="1">
      <c r="A880" s="52"/>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20.25" customHeight="1">
      <c r="A881" s="52"/>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20.25" customHeight="1">
      <c r="A882" s="52"/>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20.25" customHeight="1">
      <c r="A883" s="52"/>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20.25" customHeight="1">
      <c r="A884" s="52"/>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20.25" customHeight="1">
      <c r="A885" s="52"/>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20.25" customHeight="1">
      <c r="A886" s="52"/>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20.25" customHeight="1">
      <c r="A887" s="52"/>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20.25" customHeight="1">
      <c r="A888" s="52"/>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20.25" customHeight="1">
      <c r="A889" s="52"/>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20.25" customHeight="1">
      <c r="A890" s="52"/>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20.25" customHeight="1">
      <c r="A891" s="52"/>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20.25" customHeight="1">
      <c r="A892" s="52"/>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20.25" customHeight="1">
      <c r="A893" s="52"/>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20.25" customHeight="1">
      <c r="A894" s="52"/>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20.25" customHeight="1">
      <c r="A895" s="52"/>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20.25" customHeight="1">
      <c r="A896" s="52"/>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20.25" customHeight="1">
      <c r="A897" s="52"/>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20.25" customHeight="1">
      <c r="A898" s="52"/>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20.25" customHeight="1">
      <c r="A899" s="52"/>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20.25" customHeight="1">
      <c r="A900" s="52"/>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20.25" customHeight="1">
      <c r="A901" s="52"/>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20.25" customHeight="1">
      <c r="A902" s="52"/>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20.25" customHeight="1">
      <c r="A903" s="52"/>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20.25" customHeight="1">
      <c r="A904" s="52"/>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20.25" customHeight="1">
      <c r="A905" s="52"/>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20.25" customHeight="1">
      <c r="A906" s="52"/>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20.25" customHeight="1">
      <c r="A907" s="52"/>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20.25" customHeight="1">
      <c r="A908" s="52"/>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20.25" customHeight="1">
      <c r="A909" s="52"/>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20.25" customHeight="1">
      <c r="A910" s="52"/>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20.25" customHeight="1">
      <c r="A911" s="52"/>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20.25" customHeight="1">
      <c r="A912" s="52"/>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20.25" customHeight="1">
      <c r="A913" s="52"/>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20.25" customHeight="1">
      <c r="A914" s="52"/>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20.25" customHeight="1">
      <c r="A915" s="52"/>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20.25" customHeight="1">
      <c r="A916" s="52"/>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20.25" customHeight="1">
      <c r="A917" s="52"/>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20.25" customHeight="1">
      <c r="A918" s="52"/>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20.25" customHeight="1">
      <c r="A919" s="52"/>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20.25" customHeight="1">
      <c r="A920" s="52"/>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20.25" customHeight="1">
      <c r="A921" s="52"/>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20.25" customHeight="1">
      <c r="A922" s="52"/>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20.25" customHeight="1">
      <c r="A923" s="52"/>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20.25" customHeight="1">
      <c r="A924" s="52"/>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20.25" customHeight="1">
      <c r="A925" s="52"/>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20.25" customHeight="1">
      <c r="A926" s="52"/>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20.25" customHeight="1">
      <c r="A927" s="52"/>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20.25" customHeight="1">
      <c r="A928" s="52"/>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20.25" customHeight="1">
      <c r="A929" s="52"/>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20.25" customHeight="1">
      <c r="A930" s="52"/>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20.25" customHeight="1">
      <c r="A931" s="52"/>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20.25" customHeight="1">
      <c r="A932" s="52"/>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20.25" customHeight="1">
      <c r="A933" s="52"/>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20.25" customHeight="1">
      <c r="A934" s="52"/>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20.25" customHeight="1">
      <c r="A935" s="52"/>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20.25" customHeight="1">
      <c r="A936" s="52"/>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20.25" customHeight="1">
      <c r="A937" s="52"/>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20.25" customHeight="1">
      <c r="A938" s="52"/>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20.25" customHeight="1">
      <c r="A939" s="52"/>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20.25" customHeight="1">
      <c r="A940" s="52"/>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20.25" customHeight="1">
      <c r="A941" s="52"/>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20.25" customHeight="1">
      <c r="A942" s="52"/>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20.25" customHeight="1">
      <c r="A943" s="52"/>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20.25" customHeight="1">
      <c r="A944" s="52"/>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20.25" customHeight="1">
      <c r="A945" s="52"/>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20.25" customHeight="1">
      <c r="A946" s="52"/>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20.25" customHeight="1">
      <c r="A947" s="52"/>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20.25" customHeight="1">
      <c r="A948" s="52"/>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20.25" customHeight="1">
      <c r="A949" s="52"/>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20.25" customHeight="1">
      <c r="A950" s="52"/>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20.25" customHeight="1">
      <c r="A951" s="52"/>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20.25" customHeight="1">
      <c r="A952" s="52"/>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20.25" customHeight="1">
      <c r="A953" s="52"/>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20.25" customHeight="1">
      <c r="A954" s="52"/>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20.25" customHeight="1">
      <c r="A955" s="52"/>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20.25" customHeight="1">
      <c r="A956" s="52"/>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20.25" customHeight="1">
      <c r="A957" s="52"/>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20.25" customHeight="1">
      <c r="A958" s="52"/>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20.25" customHeight="1">
      <c r="A959" s="52"/>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20.25" customHeight="1">
      <c r="A960" s="52"/>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20.25" customHeight="1">
      <c r="A961" s="52"/>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20.25" customHeight="1">
      <c r="A962" s="52"/>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20.25" customHeight="1">
      <c r="A963" s="52"/>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20.25" customHeight="1">
      <c r="A964" s="52"/>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20.25" customHeight="1">
      <c r="A965" s="52"/>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20.25" customHeight="1">
      <c r="A966" s="52"/>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20.25" customHeight="1">
      <c r="A967" s="52"/>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20.25" customHeight="1">
      <c r="A968" s="52"/>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20.25" customHeight="1">
      <c r="A969" s="52"/>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20.25" customHeight="1">
      <c r="A970" s="52"/>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20.25" customHeight="1">
      <c r="A971" s="52"/>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20.25" customHeight="1">
      <c r="A972" s="52"/>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20.25" customHeight="1">
      <c r="A973" s="52"/>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20.25" customHeight="1">
      <c r="A974" s="52"/>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20.25" customHeight="1">
      <c r="A975" s="52"/>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20.25" customHeight="1">
      <c r="A976" s="52"/>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20.25" customHeight="1">
      <c r="A977" s="52"/>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20.25" customHeight="1">
      <c r="A978" s="52"/>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20.25" customHeight="1">
      <c r="A979" s="52"/>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20.25" customHeight="1">
      <c r="A980" s="52"/>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20.25" customHeight="1">
      <c r="A981" s="52"/>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20.25" customHeight="1">
      <c r="A982" s="52"/>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20.25" customHeight="1">
      <c r="A983" s="52"/>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20.25" customHeight="1">
      <c r="A984" s="52"/>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20.25" customHeight="1">
      <c r="A985" s="52"/>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20.25" customHeight="1">
      <c r="A986" s="52"/>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20.25" customHeight="1">
      <c r="A987" s="52"/>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20.25" customHeight="1">
      <c r="A988" s="52"/>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20.25" customHeight="1">
      <c r="A989" s="52"/>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20.25" customHeight="1">
      <c r="A990" s="52"/>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20.25" customHeight="1">
      <c r="A991" s="52"/>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20.25" customHeight="1">
      <c r="A992" s="52"/>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20.25" customHeight="1">
      <c r="A993" s="52"/>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20.25" customHeight="1">
      <c r="A994" s="52"/>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20.25" customHeight="1">
      <c r="A995" s="52"/>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20.25" customHeight="1">
      <c r="A996" s="52"/>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20.25" customHeight="1">
      <c r="A997" s="52"/>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20.25" customHeight="1">
      <c r="A998" s="52"/>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20.25" customHeight="1">
      <c r="A999" s="52"/>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20.25" customHeight="1">
      <c r="A1000" s="52"/>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autoFilter ref="A1:B167" xr:uid="{00000000-0009-0000-0000-000002000000}"/>
  <hyperlinks>
    <hyperlink ref="D2" r:id="rId2" display="https://drive.google.com/a/scoutsdemadrid.org/file/d/1l-va1jw0T0ZgwMJvW217pOENpLQ5msK6/view?usp=drivesdk" xr:uid="{00000000-0004-0000-0200-000000000000}"/>
    <hyperlink ref="D3" r:id="rId3" display="https://drive.google.com/a/scoutsdemadrid.org/file/d/12E_BTcDpdoSQFAXifIwwqbRuxW7lz0A3/view?usp=drivesdk" xr:uid="{00000000-0004-0000-0200-000001000000}"/>
    <hyperlink ref="D4" r:id="rId4" display="https://drive.google.com/a/scoutsdemadrid.org/file/d/12nCZTnjrar6gGDtzvlJzyOxXAKIcoM3p/view?usp=drivesdk" xr:uid="{00000000-0004-0000-0200-000002000000}"/>
    <hyperlink ref="D5" r:id="rId5" display="https://drive.google.com/a/scoutsdemadrid.org/file/d/1e3YyWcF2OAGxz8fbUs39p3xw01FEpdIg/view?usp=drivesdk" xr:uid="{00000000-0004-0000-0200-000003000000}"/>
    <hyperlink ref="D6" r:id="rId6" display="https://drive.google.com/a/scoutsdemadrid.org/file/d/1e3YyWcF2OAGxz8fbUs39p3xw01FEpdIg/view?usp=drivesdk" xr:uid="{00000000-0004-0000-0200-000004000000}"/>
    <hyperlink ref="D7" r:id="rId7" display="https://drive.google.com/a/scoutsdemadrid.org/file/d/17NgfP5fNSu7rPdPq_uTUntDjLMmD5Qzg/view?usp=drivesdk" xr:uid="{00000000-0004-0000-0200-000005000000}"/>
    <hyperlink ref="D8" r:id="rId8" display="https://drive.google.com/a/scoutsdemadrid.org/file/d/1TX_Wb2eONbY_TUr1zzycdYCpVAERzVvB/view?usp=drivesdk" xr:uid="{00000000-0004-0000-0200-000006000000}"/>
    <hyperlink ref="D9" r:id="rId9" display="https://drive.google.com/a/scoutsdemadrid.org/file/d/1HLdvNWFMINQ9DYikdO-Q5gb6VtADi5ab/view?usp=drivesdk" xr:uid="{00000000-0004-0000-0200-000007000000}"/>
    <hyperlink ref="D10" r:id="rId10" display="https://drive.google.com/a/scoutsdemadrid.org/file/d/1EQDhT9S-i3IxtNY3sTl2dpzYDuHT7iR3/view?usp=drivesdk" xr:uid="{00000000-0004-0000-0200-000008000000}"/>
    <hyperlink ref="D11" r:id="rId11" display="https://drive.google.com/a/scoutsdemadrid.org/file/d/1JvMUGYPoJvEcecuk3EF3DnIwYo-ZEU2O/view?usp=drivesdk" xr:uid="{00000000-0004-0000-0200-000009000000}"/>
    <hyperlink ref="D12" r:id="rId12" display="https://drive.google.com/a/scoutsdemadrid.org/file/d/1JvMUGYPoJvEcecuk3EF3DnIwYo-ZEU2O/view?usp=drivesdk" xr:uid="{00000000-0004-0000-0200-00000A000000}"/>
    <hyperlink ref="D13" r:id="rId13" display="https://drive.google.com/a/scoutsdemadrid.org/file/d/1YiHHiEjoUq5aYLs7h49cil7-oUJcmDXc/view?usp=drivesdk" xr:uid="{00000000-0004-0000-0200-00000B000000}"/>
    <hyperlink ref="D14" r:id="rId14" display="https://drive.google.com/a/scoutsdemadrid.org/file/d/1zgWcGL98s-py8ZuaMAegdNTFjEZubZ-C/view?usp=drivesdk" xr:uid="{00000000-0004-0000-0200-00000C000000}"/>
    <hyperlink ref="D15" r:id="rId15" display="https://drive.google.com/a/scoutsdemadrid.org/file/d/15pBinMiA7ksERwnIG1aRJZLBQthga_8o/view?usp=drivesdk" xr:uid="{00000000-0004-0000-0200-00000D000000}"/>
    <hyperlink ref="D16" r:id="rId16" display="https://drive.google.com/a/scoutsdemadrid.org/file/d/1rQeytVCgokqJtHMN7LqcJZG7ZfX6Ge0T/view?usp=drivesdk" xr:uid="{00000000-0004-0000-0200-00000E000000}"/>
    <hyperlink ref="D17" r:id="rId17" display="https://drive.google.com/a/scoutsdemadrid.org/file/d/1M-ner2FCpbzDBMvGN6I_kGs7d8-GYPr9/view?usp=drivesdk" xr:uid="{00000000-0004-0000-0200-00000F000000}"/>
    <hyperlink ref="D18" r:id="rId18" display="https://drive.google.com/a/scoutsdemadrid.org/file/d/1F0RDNBNyJNiECq2HUUowiXwooceqq346/view?usp=drivesdk" xr:uid="{00000000-0004-0000-0200-000010000000}"/>
    <hyperlink ref="D19" r:id="rId19" display="https://drive.google.com/a/scoutsdemadrid.org/file/d/1F0RDNBNyJNiECq2HUUowiXwooceqq346/view?usp=drivesdk" xr:uid="{00000000-0004-0000-0200-000011000000}"/>
    <hyperlink ref="D20" r:id="rId20" display="https://drive.google.com/a/scoutsdemadrid.org/file/d/1043fvGJExjMkOhKgceOI2NvNjqTNGc1i/view?usp=drivesdk" xr:uid="{00000000-0004-0000-0200-000012000000}"/>
    <hyperlink ref="D21" r:id="rId21" display="https://drive.google.com/a/scoutsdemadrid.org/file/d/1KgWWyyjP7kks1wxs63pb-YVnDQfXfGIO/view?usp=drivesdk" xr:uid="{00000000-0004-0000-0200-000013000000}"/>
    <hyperlink ref="D22" r:id="rId22" display="https://drive.google.com/a/scoutsdemadrid.org/file/d/1QJMnyg4-uy8MSg2miv_VQfR0BXlgaDCj/view?usp=drivesdk" xr:uid="{00000000-0004-0000-0200-000014000000}"/>
    <hyperlink ref="D23" r:id="rId23" display="https://drive.google.com/a/scoutsdemadrid.org/file/d/1kCubC2FcRmGg6IlqhEKlvOtnMydlEswJ/view?usp=drivesdk" xr:uid="{00000000-0004-0000-0200-000015000000}"/>
    <hyperlink ref="D24" r:id="rId24" display="https://drive.google.com/a/scoutsdemadrid.org/file/d/19YolY921JsnJ1xE9g9jkOfFDOl-WQ2BC/view?usp=drivesdk" xr:uid="{00000000-0004-0000-0200-000016000000}"/>
    <hyperlink ref="D25" r:id="rId25" display="https://drive.google.com/a/scoutsdemadrid.org/file/d/1vNf8wuaMnLRW47TYE72bYxZFlLtjBp16/view?usp=drivesdk" xr:uid="{00000000-0004-0000-0200-000017000000}"/>
    <hyperlink ref="D26" r:id="rId26" display="https://drive.google.com/a/scoutsdemadrid.org/file/d/1l9aoKJ5zV8G4iikrK1po2SYLRKG2Mp4G/view?usp=drivesdk" xr:uid="{00000000-0004-0000-0200-000018000000}"/>
    <hyperlink ref="D27" r:id="rId27" display="https://drive.google.com/a/scoutsdemadrid.org/file/d/1dlD2NobWdddlzDlhkoXT8DjmJrf-Cn20/view?usp=drivesdk" xr:uid="{00000000-0004-0000-0200-000019000000}"/>
    <hyperlink ref="D28" r:id="rId28" display="https://drive.google.com/a/scoutsdemadrid.org/file/d/1vVoooUHqWf4N38az4IoQwy1sGJvQfvEv/view?usp=drivesdk" xr:uid="{00000000-0004-0000-0200-00001A000000}"/>
    <hyperlink ref="D29" r:id="rId29" display="https://drive.google.com/a/scoutsdemadrid.org/file/d/1EmJUdBE7EOyCQkBrtU2jOFIE6etcz_bI/view?usp=drivesdk" xr:uid="{00000000-0004-0000-0200-00001B000000}"/>
    <hyperlink ref="D30" r:id="rId30" display="https://drive.google.com/a/scoutsdemadrid.org/file/d/1wtnjFLwU723eDKm5DeThfhi9Mr7kkcIW/view?usp=drivesdk" xr:uid="{00000000-0004-0000-0200-00001C000000}"/>
    <hyperlink ref="D31" r:id="rId31" display="https://drive.google.com/a/scoutsdemadrid.org/file/d/1YkPMLPcZzV5YRmnIWQqRLQAW0Okxo9_u/view?usp=drivesdk" xr:uid="{00000000-0004-0000-0200-00001D000000}"/>
    <hyperlink ref="D32" r:id="rId32" display="https://drive.google.com/a/scoutsdemadrid.org/file/d/1gXeSU3NjA4JJZu9L5WcwQX7eWRIdMfHY/view?usp=drivesdk" xr:uid="{00000000-0004-0000-0200-00001E000000}"/>
    <hyperlink ref="D33" r:id="rId33" display="https://drive.google.com/a/scoutsdemadrid.org/file/d/17ZQcBxq5CX_b-ti0d4lcwurAygWdaZqo/view?usp=drivesdk" xr:uid="{00000000-0004-0000-0200-00001F000000}"/>
    <hyperlink ref="D34" r:id="rId34" display="https://drive.google.com/a/scoutsdemadrid.org/file/d/1fH3nG9YAbdSQhFsvy-zNe5MG0_2S6-Xw/view?usp=drivesdk" xr:uid="{00000000-0004-0000-0200-000020000000}"/>
    <hyperlink ref="D35" r:id="rId35" display="https://drive.google.com/a/scoutsdemadrid.org/file/d/1QUFrUOxyBX8lANqUN6_EX08OIIAQVDBL/view?usp=drivesdk" xr:uid="{00000000-0004-0000-0200-000021000000}"/>
    <hyperlink ref="D36" r:id="rId36" display="https://drive.google.com/a/scoutsdemadrid.org/file/d/1ZoHdJYkj0YToHrdmFzNYulnhlqOAm-m7/view?usp=drivesdk" xr:uid="{00000000-0004-0000-0200-000022000000}"/>
    <hyperlink ref="D37" r:id="rId37" display="https://drive.google.com/a/scoutsdemadrid.org/file/d/18eQI81PnrHWA-3MOlJFoTKDkXsa_pwIp/view?usp=drivesdk" xr:uid="{00000000-0004-0000-0200-000023000000}"/>
    <hyperlink ref="D38" r:id="rId38" display="https://drive.google.com/a/scoutsdemadrid.org/file/d/1IxofbD9pa0WGxNedbktwV4xfQtR6zdfT/view?usp=drivesdk" xr:uid="{00000000-0004-0000-0200-000024000000}"/>
    <hyperlink ref="D39" r:id="rId39" display="https://drive.google.com/a/scoutsdemadrid.org/file/d/16JjFIr5h3o_1gv0VJtZM6aNmJrv2XaAY/view?usp=drivesdk" xr:uid="{00000000-0004-0000-0200-000025000000}"/>
    <hyperlink ref="D40" r:id="rId40" display="https://drive.google.com/a/scoutsdemadrid.org/file/d/1O6FvI2LTuZi5-jMRyYBnkWlUTf4ZOw01/view?usp=drivesdk" xr:uid="{00000000-0004-0000-0200-000026000000}"/>
    <hyperlink ref="D41" r:id="rId41" display="https://drive.google.com/a/scoutsdemadrid.org/file/d/1O6FvI2LTuZi5-jMRyYBnkWlUTf4ZOw01/view?usp=drivesdk" xr:uid="{00000000-0004-0000-0200-000027000000}"/>
    <hyperlink ref="D42" r:id="rId42" display="https://drive.google.com/a/scoutsdemadrid.org/file/d/1YK9hh0m1EDKz4C-BBHHF7n36KxnSluEi/view?usp=drivesdk" xr:uid="{00000000-0004-0000-0200-000028000000}"/>
    <hyperlink ref="D43" r:id="rId43" display="https://drive.google.com/a/scoutsdemadrid.org/file/d/1Hnv4osIxcPViESTeMEkvhUiWZXrWHD6m/view?usp=drivesdk" xr:uid="{00000000-0004-0000-0200-000029000000}"/>
    <hyperlink ref="D44" r:id="rId44" display="https://drive.google.com/a/scoutsdemadrid.org/file/d/1YDm3VZDAk7gg5ffCMQPBrMK2oWwBjg_t/view?usp=drivesdk" xr:uid="{00000000-0004-0000-0200-00002A000000}"/>
    <hyperlink ref="D45" r:id="rId45" display="https://drive.google.com/a/scoutsdemadrid.org/file/d/18Hzqpcct39HO2d2hoUMWdQtUPK8QMzZ2/view?usp=drivesdk" xr:uid="{00000000-0004-0000-0200-00002B000000}"/>
    <hyperlink ref="D46" r:id="rId46" display="https://drive.google.com/a/scoutsdemadrid.org/file/d/1xXRTXkJFj5BORNtH1tCe3yH0v2kMp7w2/view?usp=drivesdk" xr:uid="{00000000-0004-0000-0200-00002C000000}"/>
    <hyperlink ref="D47" r:id="rId47" display="https://drive.google.com/a/scoutsdemadrid.org/file/d/16NXj3xyuWAuUCBKeUXGLDBXLxVyBRV7e/view?usp=drivesdk" xr:uid="{00000000-0004-0000-0200-00002D000000}"/>
    <hyperlink ref="D48" r:id="rId48" display="https://drive.google.com/a/scoutsdemadrid.org/file/d/1W4wfvnQ0IX77g1W5Amotkbqwrm2DncKw/view?usp=drivesdk" xr:uid="{00000000-0004-0000-0200-00002E000000}"/>
    <hyperlink ref="D49" r:id="rId49" display="https://drive.google.com/a/scoutsdemadrid.org/file/d/1Br8Q0mZgfBAK4cVK_rDRDTLwi3wq6f4G/view?usp=drivesdk" xr:uid="{00000000-0004-0000-0200-00002F000000}"/>
    <hyperlink ref="D50" r:id="rId50" display="https://drive.google.com/a/scoutsdemadrid.org/file/d/1eAVlmbEpggs18Tf1atZ7ZY1f_DMKEgpo/view?usp=drivesdk" xr:uid="{00000000-0004-0000-0200-000030000000}"/>
    <hyperlink ref="D51" r:id="rId51" display="https://drive.google.com/a/scoutsdemadrid.org/file/d/1mJiNtDWxWk6-WxpbA3rLkFCEP56qUsTd/view?usp=drivesdk" xr:uid="{00000000-0004-0000-0200-000031000000}"/>
    <hyperlink ref="D52" r:id="rId52" display="https://drive.google.com/a/scoutsdemadrid.org/file/d/1y-5INBLE2BMZrwj4ckr7-3t_qvbypD_R/view?usp=drivesdk" xr:uid="{00000000-0004-0000-0200-000032000000}"/>
    <hyperlink ref="D53" r:id="rId53" display="https://drive.google.com/a/scoutsdemadrid.org/file/d/1fYyO5-zHZNwo7Mknout5ZFfJWrFel0N8/view?usp=drivesdk" xr:uid="{00000000-0004-0000-0200-000033000000}"/>
    <hyperlink ref="D54" r:id="rId54" display="https://drive.google.com/a/scoutsdemadrid.org/file/d/1cuHk2Ka67O8MswD-QMTqikErNXWCNTc5/view?usp=drivesdk" xr:uid="{00000000-0004-0000-0200-000034000000}"/>
    <hyperlink ref="D55" r:id="rId55" display="https://drive.google.com/a/scoutsdemadrid.org/file/d/1a-OZoe4GjssLR_MVQdHYcbszSbVE7eox/view?usp=drivesdk" xr:uid="{00000000-0004-0000-0200-000035000000}"/>
    <hyperlink ref="D56" r:id="rId56" display="https://drive.google.com/a/scoutsdemadrid.org/file/d/112SStJYkY2xlYd48rHIl6ors4u_KCYGe/view?usp=drivesdk" xr:uid="{00000000-0004-0000-0200-000036000000}"/>
    <hyperlink ref="D57" r:id="rId57" display="https://drive.google.com/a/scoutsdemadrid.org/file/d/1dy9_2Cd_bMYmYr2Z4MKXCYFYNWlNYEwE/view?usp=drivesdk" xr:uid="{00000000-0004-0000-0200-000037000000}"/>
    <hyperlink ref="D58" r:id="rId58" display="https://drive.google.com/a/scoutsdemadrid.org/file/d/1UNk3n7fdhkzDBPpptTmC9fZFTPWZ1FUu/view?usp=drivesdk" xr:uid="{00000000-0004-0000-0200-000038000000}"/>
    <hyperlink ref="D59" r:id="rId59" display="https://drive.google.com/a/scoutsdemadrid.org/file/d/1jzLbpvIUnKsSX3_62DkyRHlOcfRVLguz/view?usp=drivesdk" xr:uid="{00000000-0004-0000-0200-000039000000}"/>
    <hyperlink ref="D60" r:id="rId60" display="https://drive.google.com/a/scoutsdemadrid.org/file/d/1LxDPv1JuqXbnDpRMUd0Z5WTyak7I76UE/view?usp=drivesdk" xr:uid="{00000000-0004-0000-0200-00003A000000}"/>
    <hyperlink ref="D61" r:id="rId61" display="https://drive.google.com/a/scoutsdemadrid.org/file/d/11-fg7m7hjz0TwKrbtFgc4Rhs2gPMe6af/view?usp=drivesdk" xr:uid="{00000000-0004-0000-0200-00003B000000}"/>
    <hyperlink ref="D62" r:id="rId62" display="https://drive.google.com/a/scoutsdemadrid.org/file/d/1dfYIYZUYpbcCCldzmRJ_VKvI-JiSEmQy/view?usp=drivesdk" xr:uid="{00000000-0004-0000-0200-00003C000000}"/>
    <hyperlink ref="D63" r:id="rId63" display="https://drive.google.com/a/scoutsdemadrid.org/file/d/1NfYgbXWhG_UfstoCrxWKw7SOxRUbca6N/view?usp=drivesdk" xr:uid="{00000000-0004-0000-0200-00003D000000}"/>
    <hyperlink ref="D64" r:id="rId64" display="https://drive.google.com/a/scoutsdemadrid.org/file/d/1BQkEWAiOH8d-nBQ1YEXdF-UYyLq8qEr7/view?usp=drivesdk" xr:uid="{00000000-0004-0000-0200-00003E000000}"/>
    <hyperlink ref="D65" r:id="rId65" display="https://drive.google.com/a/scoutsdemadrid.org/file/d/18s40oVz9hCTc0BNsfN6rgp1n_0gW44MT/view?usp=drivesdk" xr:uid="{00000000-0004-0000-0200-00003F000000}"/>
    <hyperlink ref="D66" r:id="rId66" display="https://drive.google.com/a/scoutsdemadrid.org/file/d/1VYNLTDukdinE-BM7drtneoGkyGQ35JE_/view?usp=drivesdk" xr:uid="{00000000-0004-0000-0200-000040000000}"/>
    <hyperlink ref="D67" r:id="rId67" display="https://drive.google.com/a/scoutsdemadrid.org/file/d/1Rm6r03b2Z2CEFVF8x3e2Tq9lEbPluKoV/view?usp=drivesdk" xr:uid="{00000000-0004-0000-0200-000041000000}"/>
    <hyperlink ref="D68" r:id="rId68" display="https://drive.google.com/a/scoutsdemadrid.org/file/d/1pDL0twBa4Jtr8tb8maseIfK7qO_hDYSO/view?usp=drivesdk" xr:uid="{00000000-0004-0000-0200-000042000000}"/>
    <hyperlink ref="D69" r:id="rId69" display="https://drive.google.com/a/scoutsdemadrid.org/file/d/1gI4jjs--jERRNcKrhrw9uh2wTy91pNqm/view?usp=drivesdk" xr:uid="{00000000-0004-0000-0200-000043000000}"/>
    <hyperlink ref="D70" r:id="rId70" display="https://drive.google.com/a/scoutsdemadrid.org/file/d/1nJnRA-H8PGgXdcXsMioZmCsBrRx1DjP6/view?usp=drivesdk" xr:uid="{00000000-0004-0000-0200-000044000000}"/>
    <hyperlink ref="D71" r:id="rId71" display="https://drive.google.com/a/scoutsdemadrid.org/file/d/1s_J_ILHHhAcH2Y52jeoj_guKEPtBr4E5/view?usp=drivesdk" xr:uid="{00000000-0004-0000-0200-000045000000}"/>
    <hyperlink ref="D72" r:id="rId72" display="https://drive.google.com/a/scoutsdemadrid.org/file/d/1ze4bDsR1oIz99k6FawRgaJ5XNoJCZFAx/view?usp=drivesdk" xr:uid="{00000000-0004-0000-0200-000046000000}"/>
    <hyperlink ref="D73" r:id="rId73" display="https://drive.google.com/a/scoutsdemadrid.org/file/d/1YIccC_p-na2tPhTihwatZ4-h9lxADwx1/view?usp=drivesdk" xr:uid="{00000000-0004-0000-0200-000047000000}"/>
    <hyperlink ref="D74" r:id="rId74" display="https://drive.google.com/a/scoutsdemadrid.org/file/d/1zm25MfdNyWRECTHjCL4NCIZy5ZJgvyWU/view?usp=drivesdk" xr:uid="{00000000-0004-0000-0200-000048000000}"/>
    <hyperlink ref="D75" r:id="rId75" display="https://drive.google.com/a/scoutsdemadrid.org/file/d/1ZnINS0QHe7qp1RjFmOmPu5KgqwmAbafe/view?usp=drivesdk" xr:uid="{00000000-0004-0000-0200-000049000000}"/>
    <hyperlink ref="D76" r:id="rId76" display="https://drive.google.com/a/scoutsdemadrid.org/file/d/1ZnINS0QHe7qp1RjFmOmPu5KgqwmAbafe/view?usp=drivesdk" xr:uid="{00000000-0004-0000-0200-00004A000000}"/>
    <hyperlink ref="D77" r:id="rId77" display="https://drive.google.com/a/scoutsdemadrid.org/file/d/1-6UqlWiqZB6tyYD0EO1YEXOJag7egAH0/view?usp=drivesdk" xr:uid="{00000000-0004-0000-0200-00004B000000}"/>
    <hyperlink ref="D78" r:id="rId78" display="https://drive.google.com/a/scoutsdemadrid.org/file/d/1mFehhDVb0Hz8w7i5uc9uWMQaF3oX06Z-/view?usp=drivesdk" xr:uid="{00000000-0004-0000-0200-00004C000000}"/>
    <hyperlink ref="D79" r:id="rId79" display="https://drive.google.com/a/scoutsdemadrid.org/file/d/12VGeYDrdLic7O0pj_jrH8SCQU_oXv-Kc/view?usp=drivesdk" xr:uid="{00000000-0004-0000-0200-00004D000000}"/>
    <hyperlink ref="D80" r:id="rId80" display="https://drive.google.com/a/scoutsdemadrid.org/file/d/1uKuuQsq02Nazt1ZADgyhe07KE1VChZjw/view?usp=drivesdk" xr:uid="{00000000-0004-0000-0200-00004E000000}"/>
    <hyperlink ref="D81" r:id="rId81" display="https://drive.google.com/a/scoutsdemadrid.org/file/d/1CDIrdQEz-XImIlhmRuc6k8YsV6_qo92c/view?usp=drivesdk" xr:uid="{00000000-0004-0000-0200-00004F000000}"/>
    <hyperlink ref="D82" r:id="rId82" display="https://drive.google.com/a/scoutsdemadrid.org/file/d/1KPHJdw7HN98l3jtI9IiqvobbunPF8zCI/view?usp=drivesdk" xr:uid="{00000000-0004-0000-0200-000050000000}"/>
    <hyperlink ref="D83" r:id="rId83" display="https://drive.google.com/a/scoutsdemadrid.org/file/d/1rXhnkle2iV8Z43BoFExkknPbrLw4p-jd/view?usp=drivesdk" xr:uid="{00000000-0004-0000-0200-000051000000}"/>
    <hyperlink ref="D84" r:id="rId84" display="https://drive.google.com/a/scoutsdemadrid.org/file/d/1woSmpWwnd8LFzWfjcH2jHw-fHMRo0-BJ/view?usp=drivesdk" xr:uid="{00000000-0004-0000-0200-000052000000}"/>
    <hyperlink ref="D85" r:id="rId85" display="https://drive.google.com/a/scoutsdemadrid.org/file/d/1ykut3flHxSBmLv8LunGeNSXnX4nPYinp/view?usp=drivesdk" xr:uid="{00000000-0004-0000-0200-000053000000}"/>
    <hyperlink ref="D86" r:id="rId86" display="https://drive.google.com/a/scoutsdemadrid.org/file/d/1UTcAT1AGEHqI66c6BJ347vllXEeOGEL-/view?usp=drivesdk" xr:uid="{00000000-0004-0000-0200-000054000000}"/>
    <hyperlink ref="D87" r:id="rId87" display="https://drive.google.com/a/scoutsdemadrid.org/file/d/1N8Rk4THQpfXMhrAclMpAkXuhGXZp1aom/view?usp=drivesdk" xr:uid="{00000000-0004-0000-0200-000055000000}"/>
    <hyperlink ref="D88" r:id="rId88" display="https://drive.google.com/a/scoutsdemadrid.org/file/d/1pjkAAiCj6tAvSFnF9oqH9bY3dkA8z0QH/view?usp=drivesdk" xr:uid="{00000000-0004-0000-0200-000056000000}"/>
    <hyperlink ref="D89" r:id="rId89" display="https://drive.google.com/a/scoutsdemadrid.org/file/d/1gJ8MYtT8vIIXtE18E9mOjS5aCT4Vit6b/view?usp=drivesdk" xr:uid="{00000000-0004-0000-0200-000057000000}"/>
    <hyperlink ref="D90" r:id="rId90" display="https://drive.google.com/a/scoutsdemadrid.org/file/d/1-BMGn8mpKdj54kWqIcSaNNLMULtj01H8/view?usp=drivesdk" xr:uid="{00000000-0004-0000-0200-000058000000}"/>
    <hyperlink ref="D91" r:id="rId91" display="https://drive.google.com/a/scoutsdemadrid.org/file/d/1MuM9ug8EBGhwN-rZvCpGdzyfiTG9jrfD/view?usp=drivesdk" xr:uid="{00000000-0004-0000-0200-000059000000}"/>
    <hyperlink ref="D92" r:id="rId92" display="https://drive.google.com/a/scoutsdemadrid.org/file/d/1E6FQ_vMOtr0kRnMZROt-c7r5TU4obWOQ/view?usp=drivesdk" xr:uid="{00000000-0004-0000-0200-00005A000000}"/>
    <hyperlink ref="D93" r:id="rId93" display="https://drive.google.com/a/scoutsdemadrid.org/file/d/1LNRV3EODRFd1FUKekZClCAYR3xaR-eSV/view?usp=drivesdk" xr:uid="{00000000-0004-0000-0200-00005B000000}"/>
    <hyperlink ref="D94" r:id="rId94" display="https://drive.google.com/a/scoutsdemadrid.org/file/d/1P_MowlVaWbRcTyjuqsmApGRwkZ8JS9jj/view?usp=drivesdk" xr:uid="{00000000-0004-0000-0200-00005C000000}"/>
    <hyperlink ref="D95" r:id="rId95" display="https://drive.google.com/a/scoutsdemadrid.org/file/d/1tv_KnSob29tJcYAsL1w1sfuYp1bQA8MN/view?usp=drivesdk" xr:uid="{00000000-0004-0000-0200-00005D000000}"/>
    <hyperlink ref="D96" r:id="rId96" display="https://drive.google.com/a/scoutsdemadrid.org/file/d/1sryoWwraFfqYVnrq3Q3vozbfD0QPIRC3/view?usp=drivesdk" xr:uid="{00000000-0004-0000-0200-00005E000000}"/>
    <hyperlink ref="D97" r:id="rId97" display="https://drive.google.com/a/scoutsdemadrid.org/file/d/1che6Mlvb2fOszWeDcOF-Lw5K-cCvGt4V/view?usp=drivesdk" xr:uid="{00000000-0004-0000-0200-00005F000000}"/>
    <hyperlink ref="D98" r:id="rId98" display="https://drive.google.com/a/scoutsdemadrid.org/file/d/1UE1CHSg_G39cxPzDb-8WamdNIr7HheeX/view?usp=drivesdk" xr:uid="{00000000-0004-0000-0200-000060000000}"/>
    <hyperlink ref="D99" r:id="rId99" display="https://drive.google.com/a/scoutsdemadrid.org/file/d/1afHeJ9dNS4haeXSgFzEPjs-NyamAt9uA/view?usp=drivesdk" xr:uid="{00000000-0004-0000-0200-000061000000}"/>
    <hyperlink ref="D100" r:id="rId100" display="https://drive.google.com/a/scoutsdemadrid.org/file/d/1j5LR0nDOSDRx47nn19c2QVZWDGzvpW8_/view?usp=drivesdk" xr:uid="{00000000-0004-0000-0200-000062000000}"/>
    <hyperlink ref="D101" r:id="rId101" display="https://drive.google.com/a/scoutsdemadrid.org/file/d/1Bjev0iZLc2kL8d5OM5nnZCY3gJo7NqfD/view?usp=drivesdk" xr:uid="{00000000-0004-0000-0200-000063000000}"/>
    <hyperlink ref="D102" r:id="rId102" display="https://drive.google.com/a/scoutsdemadrid.org/file/d/1Cx18LEz88nV3SZpgUg6ph9EhNObr3RNw/view?usp=drivesdk" xr:uid="{00000000-0004-0000-0200-000064000000}"/>
    <hyperlink ref="D103" r:id="rId103" display="https://drive.google.com/a/scoutsdemadrid.org/file/d/1X41KHIw9OQ_0PxTi0Zpc6eVAFS9P9YwY/view?usp=drivesdk" xr:uid="{00000000-0004-0000-0200-000065000000}"/>
    <hyperlink ref="D104" r:id="rId104" display="https://drive.google.com/a/scoutsdemadrid.org/file/d/1dlU6orqLZHslSzm77oKC89gnYufTv3g7/view?usp=drivesdk" xr:uid="{00000000-0004-0000-0200-000066000000}"/>
    <hyperlink ref="D105" r:id="rId105" display="https://drive.google.com/a/scoutsdemadrid.org/file/d/1MVddqn8iTVYw25O2WE0zja8zm1oaXAkn/view?usp=drivesdk" xr:uid="{00000000-0004-0000-0200-000067000000}"/>
    <hyperlink ref="D106" r:id="rId106" display="https://drive.google.com/a/scoutsdemadrid.org/file/d/11EiXfDDE1PxYxfeteqdDUPXN9WWBW_CB/view?usp=drivesdk" xr:uid="{00000000-0004-0000-0200-000068000000}"/>
    <hyperlink ref="D107" r:id="rId107" display="https://drive.google.com/a/scoutsdemadrid.org/file/d/1Ibs50KPK5dbv0dWqZDwuo_PN8tWisgd3/view?usp=drivesdk" xr:uid="{00000000-0004-0000-0200-000069000000}"/>
    <hyperlink ref="D108" r:id="rId108" display="https://drive.google.com/a/scoutsdemadrid.org/file/d/19IU8dJg0hG06COCR9Rxx4zbLulzR-jz7/view?usp=drivesdk" xr:uid="{00000000-0004-0000-0200-00006A000000}"/>
    <hyperlink ref="D109" r:id="rId109" display="https://drive.google.com/a/scoutsdemadrid.org/file/d/11WFxLJt5cYyT69r1KbBr2HW2ptfw-WQo/view?usp=drivesdk" xr:uid="{00000000-0004-0000-0200-00006B000000}"/>
    <hyperlink ref="D110" r:id="rId110" display="https://drive.google.com/a/scoutsdemadrid.org/file/d/1ssfJ-b0hB8n7rQQ5_8C6m-asfvAJtPS9/view?usp=drivesdk" xr:uid="{00000000-0004-0000-0200-00006C000000}"/>
    <hyperlink ref="D111" r:id="rId111" display="https://drive.google.com/a/scoutsdemadrid.org/file/d/1QIL5uMAfpPbtlprnEItyUVZ46a-OcUSa/view?usp=drivesdk" xr:uid="{00000000-0004-0000-0200-00006D000000}"/>
    <hyperlink ref="D112" r:id="rId112" display="https://drive.google.com/a/scoutsdemadrid.org/file/d/1o1jwSFig7UJ-rcluyJKk4pS-hHtuDV2d/view?usp=drivesdk" xr:uid="{00000000-0004-0000-0200-00006E000000}"/>
    <hyperlink ref="D113" r:id="rId113" display="https://drive.google.com/a/scoutsdemadrid.org/file/d/1GO-QK0HZaa1uTu5C4eU8DpJciKnClvtl/view?usp=drivesdk" xr:uid="{00000000-0004-0000-0200-00006F000000}"/>
    <hyperlink ref="D114" r:id="rId114" display="https://drive.google.com/a/scoutsdemadrid.org/file/d/17-0Mf0OW4gTLZcv8LJ6T8N8KyEOGkTnH/view?usp=drivesdk" xr:uid="{00000000-0004-0000-0200-000070000000}"/>
    <hyperlink ref="D115" r:id="rId115" display="https://drive.google.com/a/scoutsdemadrid.org/file/d/17-0Mf0OW4gTLZcv8LJ6T8N8KyEOGkTnH/view?usp=drivesdk" xr:uid="{00000000-0004-0000-0200-000071000000}"/>
    <hyperlink ref="D116" r:id="rId116" display="https://drive.google.com/a/scoutsdemadrid.org/file/d/1YYTnQzK0kg3NqmW4eYVOiwftxlI_-bvc/view?usp=drivesdk" xr:uid="{00000000-0004-0000-0200-000072000000}"/>
    <hyperlink ref="D117" r:id="rId117" display="https://drive.google.com/a/scoutsdemadrid.org/file/d/1CefCBb_6SatXyUxHG2B2xp6mxJHmqmTW/view?usp=drivesdk" xr:uid="{00000000-0004-0000-0200-000073000000}"/>
    <hyperlink ref="D118" r:id="rId118" display="https://drive.google.com/a/scoutsdemadrid.org/file/d/1pwUwy0Czn6Lg9ZX-c9aRcZA1TbsL-eW7/view?usp=drivesdk" xr:uid="{00000000-0004-0000-0200-000074000000}"/>
    <hyperlink ref="D119" r:id="rId119" display="https://drive.google.com/a/scoutsdemadrid.org/file/d/1U_h5ESn-uuOiso_d-o1sX1EwMOYaICf8/view?usp=drivesdk" xr:uid="{00000000-0004-0000-0200-000075000000}"/>
    <hyperlink ref="D120" r:id="rId120" display="https://drive.google.com/a/scoutsdemadrid.org/file/d/1ccPg8IlMo0OeIea1D5R1u6gyi6R8AexP/view?usp=drivesdk" xr:uid="{00000000-0004-0000-0200-000076000000}"/>
    <hyperlink ref="D121" r:id="rId121" display="https://drive.google.com/a/scoutsdemadrid.org/file/d/1Lodhy1YZp7MBeqjbHhxkY3XOZkmzs2_Z/view?usp=drivesdk" xr:uid="{00000000-0004-0000-0200-000077000000}"/>
    <hyperlink ref="D122" r:id="rId122" display="https://drive.google.com/a/scoutsdemadrid.org/file/d/1RhWVQ44G7cBOlPVvsJg9v15ME0rYDpUg/view?usp=drivesdk" xr:uid="{00000000-0004-0000-0200-000078000000}"/>
    <hyperlink ref="D123" r:id="rId123" display="https://drive.google.com/a/scoutsdemadrid.org/file/d/1HoSfnGgNRXidlRrhO6HwFwku6_xHRg_z/view?usp=drivesdk" xr:uid="{00000000-0004-0000-0200-000079000000}"/>
    <hyperlink ref="D124" r:id="rId124" display="https://drive.google.com/a/scoutsdemadrid.org/file/d/1GrrkFQjNtAx1Jzw1_ojmSe7cx9ZPZYDm/view?usp=drivesdk" xr:uid="{00000000-0004-0000-0200-00007A000000}"/>
    <hyperlink ref="D125" r:id="rId125" display="https://drive.google.com/a/scoutsdemadrid.org/file/d/1WlM3OtCn3Snb6w0l2a9g5mN_4W76z9Q6/view?usp=drivesdk" xr:uid="{00000000-0004-0000-0200-00007B000000}"/>
    <hyperlink ref="D126" r:id="rId126" display="https://drive.google.com/a/scoutsdemadrid.org/file/d/1qvKRKy8DbXsvrB-WYMNKZyjSWdnr2BiM/view?usp=drivesdk" xr:uid="{00000000-0004-0000-0200-00007C000000}"/>
    <hyperlink ref="D127" r:id="rId127" display="https://drive.google.com/a/scoutsdemadrid.org/file/d/1r5RpCUZGa-TnFYXKaMwq91UjWvSg-NmI/view?usp=drivesdk" xr:uid="{00000000-0004-0000-0200-00007D000000}"/>
    <hyperlink ref="D128" r:id="rId128" display="https://drive.google.com/a/scoutsdemadrid.org/file/d/10_CteG2ZZiozUYGLj7eBVacYK9jJZ5wu/view?usp=drivesdk" xr:uid="{00000000-0004-0000-0200-00007E000000}"/>
    <hyperlink ref="D129" r:id="rId129" display="https://drive.google.com/a/scoutsdemadrid.org/file/d/1paUmV8zBkosBZ0xH9DxwEpLUgatRO7k0/view?usp=drivesdk" xr:uid="{00000000-0004-0000-0200-00007F000000}"/>
    <hyperlink ref="D130" r:id="rId130" display="https://drive.google.com/a/scoutsdemadrid.org/file/d/1Mv7uuryE5n69CKJB8Z6fe-gEBnIkv7Nc/view?usp=drivesdk" xr:uid="{00000000-0004-0000-0200-000080000000}"/>
    <hyperlink ref="D131" r:id="rId131" display="https://drive.google.com/a/scoutsdemadrid.org/file/d/1XA_0_OdOMgMB5XPcpz2qopbtHqDs3Wux/view?usp=drivesdk" xr:uid="{00000000-0004-0000-0200-000081000000}"/>
    <hyperlink ref="D132" r:id="rId132" display="https://drive.google.com/a/scoutsdemadrid.org/file/d/1gtv6cUXXWI46u6MF3VGTfVG24lQe0L9y/view?usp=drivesdk" xr:uid="{00000000-0004-0000-0200-000082000000}"/>
    <hyperlink ref="D133" r:id="rId133" display="https://drive.google.com/a/scoutsdemadrid.org/file/d/1iPs9KdCR4ynYHaMcZCYpjCd7QSTPbjiP/view?usp=drivesdk" xr:uid="{00000000-0004-0000-0200-000083000000}"/>
    <hyperlink ref="D134" r:id="rId134" display="https://drive.google.com/a/scoutsdemadrid.org/file/d/1zddvLbCBLTUUltRic1a6LcOYf9js0dz2/view?usp=drivesdk" xr:uid="{00000000-0004-0000-0200-000084000000}"/>
    <hyperlink ref="D135" r:id="rId135" display="https://drive.google.com/a/scoutsdemadrid.org/file/d/1ISRgM1czGfobewrNzunZsC6Wq_jFj-fX/view?usp=drivesdk" xr:uid="{00000000-0004-0000-0200-000085000000}"/>
    <hyperlink ref="D136" r:id="rId136" display="https://drive.google.com/a/scoutsdemadrid.org/file/d/1ahH-NsfArBwMzGdcT4Ul6xp6EQyMDjWa/view?usp=drivesdk" xr:uid="{00000000-0004-0000-0200-000086000000}"/>
    <hyperlink ref="D137" r:id="rId137" display="https://drive.google.com/a/scoutsdemadrid.org/file/d/1wO-N4g0eCnWck8aGdUuVr_crnSL0mQgJ/view?usp=drivesdk" xr:uid="{00000000-0004-0000-0200-000087000000}"/>
    <hyperlink ref="D138" r:id="rId138" display="https://drive.google.com/a/scoutsdemadrid.org/file/d/1UchMq7YpPn7yGcG0Gu-tFez54Y2OlVvW/view?usp=drivesdk" xr:uid="{00000000-0004-0000-0200-000088000000}"/>
    <hyperlink ref="D139" r:id="rId139" display="https://drive.google.com/a/scoutsdemadrid.org/file/d/1ErBUqxDi5A0VuvRQKMDTkbyt6koSITub/view?usp=drivesdk" xr:uid="{00000000-0004-0000-0200-000089000000}"/>
    <hyperlink ref="D140" r:id="rId140" display="https://drive.google.com/a/scoutsdemadrid.org/file/d/1m9UVZR49cWNdztmPs7jfimSwxM8vcAUr/view?usp=drivesdk" xr:uid="{00000000-0004-0000-0200-00008A000000}"/>
    <hyperlink ref="D141" r:id="rId141" display="https://drive.google.com/a/scoutsdemadrid.org/file/d/1l9rR4fxUS7K3CixMQWAgeuSrNsbubseC/view?usp=drivesdk" xr:uid="{00000000-0004-0000-0200-00008B000000}"/>
    <hyperlink ref="D142" r:id="rId142" display="https://drive.google.com/a/scoutsdemadrid.org/file/d/1t3xVntAHapQY5aIfyhx__39XemGINgNL/view?usp=drivesdk" xr:uid="{00000000-0004-0000-0200-00008C000000}"/>
    <hyperlink ref="D143" r:id="rId143" display="https://drive.google.com/a/scoutsdemadrid.org/file/d/101PvOZoGNSnSlEjkE7VEwbf-7zLIqOob/view?usp=drivesdk" xr:uid="{00000000-0004-0000-0200-00008D000000}"/>
    <hyperlink ref="D144" r:id="rId144" display="https://drive.google.com/a/scoutsdemadrid.org/file/d/1YXXkSRX56NuJcUMx3qXZn52JOlxpermA/view?usp=drivesdk" xr:uid="{00000000-0004-0000-0200-00008E000000}"/>
    <hyperlink ref="D145" r:id="rId145" display="https://drive.google.com/a/scoutsdemadrid.org/file/d/1MGvaM1coCXwAyIx7OGOPNBriHRXOrMXP/view?usp=drivesdk" xr:uid="{00000000-0004-0000-0200-00008F000000}"/>
    <hyperlink ref="D146" r:id="rId146" display="https://drive.google.com/a/scoutsdemadrid.org/file/d/1ZFAgHcRluL3aF5AiXzvR3E8EOtzFRLtB/view?usp=drivesdk" xr:uid="{00000000-0004-0000-0200-000090000000}"/>
    <hyperlink ref="D147" r:id="rId147" display="https://drive.google.com/a/scoutsdemadrid.org/file/d/12x0nCSKTumNI2BtROWoC2xUdWSLYcFbY/view?usp=drivesdk" xr:uid="{00000000-0004-0000-0200-000091000000}"/>
    <hyperlink ref="D148" r:id="rId148" display="https://drive.google.com/a/scoutsdemadrid.org/file/d/1Eln7ZUf3P40TsUQIngUHjwb_OTahFNEN/view?usp=drivesdk" xr:uid="{00000000-0004-0000-0200-000092000000}"/>
    <hyperlink ref="D149" r:id="rId149" display="https://drive.google.com/a/scoutsdemadrid.org/file/d/1Eln7ZUf3P40TsUQIngUHjwb_OTahFNEN/view?usp=drivesdk" xr:uid="{00000000-0004-0000-0200-000093000000}"/>
    <hyperlink ref="D150" r:id="rId150" display="https://drive.google.com/a/scoutsdemadrid.org/file/d/18InCMCqvqVfkJDsr0LydwHMo0pNk6Kt9/view?usp=drivesdk" xr:uid="{00000000-0004-0000-0200-000094000000}"/>
    <hyperlink ref="D151" r:id="rId151" display="https://drive.google.com/a/scoutsdemadrid.org/file/d/1w1IFV3b8vb-DnhGoHUoejFhAkC7ybwnH/view?usp=drivesdk" xr:uid="{00000000-0004-0000-0200-000095000000}"/>
    <hyperlink ref="D152" r:id="rId152" display="https://drive.google.com/a/scoutsdemadrid.org/file/d/1h_r8IGMWHVr9giinbdFRy862Q-x5TBu3/view?usp=drivesdk" xr:uid="{00000000-0004-0000-0200-000096000000}"/>
    <hyperlink ref="D153" r:id="rId153" display="https://drive.google.com/a/scoutsdemadrid.org/file/d/1hPsYUHImdbi4-ZuhFaKDv38ak8w_s7wm/view?usp=drivesdk" xr:uid="{00000000-0004-0000-0200-000097000000}"/>
    <hyperlink ref="D154" r:id="rId154" display="https://drive.google.com/a/scoutsdemadrid.org/file/d/1qyf5ZlfwCJbJkTJeii8eo0nZn5PrbC_P/view?usp=drivesdk" xr:uid="{00000000-0004-0000-0200-000098000000}"/>
    <hyperlink ref="D155" r:id="rId155" display="https://drive.google.com/a/scoutsdemadrid.org/file/d/1HK4ATS9MB4uyihqc1ISyJY6bB93lY82C/view?usp=drivesdk" xr:uid="{00000000-0004-0000-0200-000099000000}"/>
    <hyperlink ref="D156" r:id="rId156" display="https://drive.google.com/a/scoutsdemadrid.org/file/d/1G_SaI5eadyzfSVhNgLcsJ3UZPHnDBxvQ/view?usp=drivesdk" xr:uid="{00000000-0004-0000-0200-00009A000000}"/>
    <hyperlink ref="D157" r:id="rId157" display="https://drive.google.com/a/scoutsdemadrid.org/file/d/1GabpH3SG49gdTaL9LrC-DyxuZvWpd1zW/view?usp=drivesdk" xr:uid="{00000000-0004-0000-0200-00009B000000}"/>
    <hyperlink ref="D158" r:id="rId158" display="https://drive.google.com/a/scoutsdemadrid.org/file/d/1Zfpo2Vh19V1hanQ_YRjFcZbMWoGlQYJQ/view?usp=drivesdk" xr:uid="{00000000-0004-0000-0200-00009C000000}"/>
    <hyperlink ref="D159" r:id="rId159" display="https://drive.google.com/a/scoutsdemadrid.org/file/d/1WlxYPmP8Scx0RNNcXpuitSK8OrsxteIs/view?usp=drivesdk" xr:uid="{00000000-0004-0000-0200-00009D000000}"/>
    <hyperlink ref="D160" r:id="rId160" display="https://drive.google.com/a/scoutsdemadrid.org/file/d/1XmtZQA4r4XFrK9DNMsuDiUhB7_wMKizu/view?usp=drivesdk" xr:uid="{00000000-0004-0000-0200-00009E000000}"/>
    <hyperlink ref="D161" r:id="rId161" display="https://drive.google.com/a/scoutsdemadrid.org/file/d/18DS_1FgetB5u8yb_UX28cM0A_Vcod8le/view?usp=drivesdk" xr:uid="{00000000-0004-0000-0200-00009F000000}"/>
    <hyperlink ref="D162" r:id="rId162" display="https://drive.google.com/a/scoutsdemadrid.org/file/d/1TZ-PEviYB84ebpyEpx9tljIdtvQHLCjh/view?usp=drivesdk" xr:uid="{00000000-0004-0000-0200-0000A0000000}"/>
    <hyperlink ref="D163" r:id="rId163" display="https://drive.google.com/a/scoutsdemadrid.org/file/d/1WFn1hHI6DrZ5b_aNmKlDCsrTMJ5XOTlv/view?usp=drivesdk" xr:uid="{00000000-0004-0000-0200-0000A1000000}"/>
    <hyperlink ref="D164" r:id="rId164" display="https://drive.google.com/a/scoutsdemadrid.org/file/d/1Dh7zvIuCUHi7Jh5ca20cbJEPRxqPQ8gS/view?usp=drivesdk" xr:uid="{00000000-0004-0000-0200-0000A2000000}"/>
    <hyperlink ref="D165" r:id="rId165" display="https://drive.google.com/a/scoutsdemadrid.org/file/d/1HjZcqU3CArogq-09QH1YWjztgwM7xJPk/view?usp=drivesdk" xr:uid="{00000000-0004-0000-0200-0000A3000000}"/>
    <hyperlink ref="D166" r:id="rId166" display="https://drive.google.com/a/scoutsdemadrid.org/file/d/1SX08W-o4RBdsFMMuBCUykFK52BPKCw_X/view?usp=drivesdk" xr:uid="{00000000-0004-0000-0200-0000A4000000}"/>
    <hyperlink ref="D167" r:id="rId167" display="https://drive.google.com/a/scoutsdemadrid.org/file/d/11O_aPaZRiagoo6qD0sYBjX-S0FnhLX6H/view?usp=drivesdk" xr:uid="{00000000-0004-0000-0200-0000A5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998"/>
  <sheetViews>
    <sheetView workbookViewId="0"/>
  </sheetViews>
  <sheetFormatPr baseColWidth="10" defaultColWidth="14.42578125" defaultRowHeight="15.75" customHeight="1"/>
  <cols>
    <col min="1" max="1" width="19.28515625" customWidth="1"/>
  </cols>
  <sheetData>
    <row r="1" spans="1:26" ht="15.75" customHeight="1">
      <c r="A1" s="7" t="s">
        <v>42</v>
      </c>
      <c r="B1" s="9"/>
      <c r="C1" s="9"/>
      <c r="D1" s="9"/>
      <c r="E1" s="9"/>
      <c r="F1" s="9"/>
      <c r="G1" s="9"/>
      <c r="H1" s="9"/>
      <c r="I1" s="9"/>
      <c r="J1" s="9"/>
      <c r="K1" s="9"/>
      <c r="L1" s="9"/>
      <c r="M1" s="9"/>
      <c r="N1" s="9"/>
      <c r="O1" s="9"/>
      <c r="P1" s="9"/>
      <c r="Q1" s="9"/>
      <c r="R1" s="9"/>
      <c r="S1" s="9"/>
      <c r="T1" s="9"/>
      <c r="U1" s="9"/>
      <c r="V1" s="9"/>
      <c r="W1" s="9"/>
      <c r="X1" s="9"/>
      <c r="Y1" s="9"/>
      <c r="Z1" s="9"/>
    </row>
    <row r="2" spans="1:26" ht="15.75" customHeight="1">
      <c r="A2" s="11" t="s">
        <v>44</v>
      </c>
      <c r="B2" s="16" t="s">
        <v>46</v>
      </c>
      <c r="C2" s="17"/>
      <c r="D2" s="17"/>
      <c r="E2" s="17"/>
      <c r="F2" s="17"/>
      <c r="G2" s="17"/>
      <c r="H2" s="17"/>
      <c r="I2" s="17"/>
      <c r="J2" s="17"/>
      <c r="K2" s="17"/>
      <c r="L2" s="17"/>
      <c r="M2" s="17"/>
      <c r="N2" s="17"/>
      <c r="O2" s="17"/>
      <c r="P2" s="17"/>
      <c r="Q2" s="17"/>
      <c r="R2" s="17"/>
      <c r="S2" s="17"/>
      <c r="T2" s="17"/>
      <c r="U2" s="17"/>
      <c r="V2" s="17"/>
      <c r="W2" s="17"/>
      <c r="X2" s="17"/>
      <c r="Y2" s="17"/>
      <c r="Z2" s="17"/>
    </row>
    <row r="3" spans="1:26" ht="15.75" customHeight="1">
      <c r="A3" s="18" t="s">
        <v>61</v>
      </c>
      <c r="B3" s="16" t="s">
        <v>62</v>
      </c>
      <c r="C3" s="17"/>
      <c r="D3" s="17"/>
      <c r="E3" s="17"/>
      <c r="F3" s="17"/>
      <c r="G3" s="17"/>
      <c r="H3" s="17"/>
      <c r="I3" s="17"/>
      <c r="J3" s="17"/>
      <c r="K3" s="17"/>
      <c r="L3" s="17"/>
      <c r="M3" s="17"/>
      <c r="N3" s="17"/>
      <c r="O3" s="17"/>
      <c r="P3" s="17"/>
      <c r="Q3" s="17"/>
      <c r="R3" s="17"/>
      <c r="S3" s="17"/>
      <c r="T3" s="17"/>
      <c r="U3" s="17"/>
      <c r="V3" s="17"/>
      <c r="W3" s="17"/>
      <c r="X3" s="17"/>
      <c r="Y3" s="17"/>
      <c r="Z3" s="17"/>
    </row>
    <row r="4" spans="1:26" ht="15.75" customHeight="1">
      <c r="A4" s="18" t="s">
        <v>64</v>
      </c>
      <c r="B4" s="16" t="s">
        <v>65</v>
      </c>
      <c r="C4" s="17"/>
      <c r="D4" s="17"/>
      <c r="E4" s="17"/>
      <c r="F4" s="17"/>
      <c r="G4" s="17"/>
      <c r="H4" s="17"/>
      <c r="I4" s="17"/>
      <c r="J4" s="17"/>
      <c r="K4" s="17"/>
      <c r="L4" s="17"/>
      <c r="M4" s="17"/>
      <c r="N4" s="17"/>
      <c r="O4" s="17"/>
      <c r="P4" s="17"/>
      <c r="Q4" s="17"/>
      <c r="R4" s="17"/>
      <c r="S4" s="17"/>
      <c r="T4" s="17"/>
      <c r="U4" s="17"/>
      <c r="V4" s="17"/>
      <c r="W4" s="17"/>
      <c r="X4" s="17"/>
      <c r="Y4" s="17"/>
      <c r="Z4" s="17"/>
    </row>
    <row r="5" spans="1:26" ht="15.75" customHeight="1">
      <c r="A5" s="18" t="s">
        <v>69</v>
      </c>
      <c r="B5" s="16" t="s">
        <v>65</v>
      </c>
      <c r="C5" s="17"/>
      <c r="D5" s="17"/>
      <c r="E5" s="17"/>
      <c r="F5" s="17"/>
      <c r="G5" s="17"/>
      <c r="H5" s="17"/>
      <c r="I5" s="17"/>
      <c r="J5" s="17"/>
      <c r="K5" s="17"/>
      <c r="L5" s="17"/>
      <c r="M5" s="17"/>
      <c r="N5" s="17"/>
      <c r="O5" s="17"/>
      <c r="P5" s="17"/>
      <c r="Q5" s="17"/>
      <c r="R5" s="17"/>
      <c r="S5" s="17"/>
      <c r="T5" s="17"/>
      <c r="U5" s="17"/>
      <c r="V5" s="17"/>
      <c r="W5" s="17"/>
      <c r="X5" s="17"/>
      <c r="Y5" s="17"/>
      <c r="Z5" s="17"/>
    </row>
    <row r="6" spans="1:26" ht="15.75" customHeight="1">
      <c r="A6" s="21" t="s">
        <v>85</v>
      </c>
      <c r="B6" s="16" t="s">
        <v>86</v>
      </c>
      <c r="C6" s="17"/>
      <c r="D6" s="17"/>
      <c r="E6" s="17"/>
      <c r="F6" s="17"/>
      <c r="G6" s="17"/>
      <c r="H6" s="17"/>
      <c r="I6" s="17"/>
      <c r="J6" s="17"/>
      <c r="K6" s="17"/>
      <c r="L6" s="17"/>
      <c r="M6" s="17"/>
      <c r="N6" s="17"/>
      <c r="O6" s="17"/>
      <c r="P6" s="17"/>
      <c r="Q6" s="17"/>
      <c r="R6" s="17"/>
      <c r="S6" s="17"/>
      <c r="T6" s="17"/>
      <c r="U6" s="17"/>
      <c r="V6" s="17"/>
      <c r="W6" s="17"/>
      <c r="X6" s="17"/>
      <c r="Y6" s="17"/>
      <c r="Z6" s="17"/>
    </row>
    <row r="7" spans="1:26" ht="15.75" customHeight="1">
      <c r="A7" s="21" t="s">
        <v>108</v>
      </c>
      <c r="B7" s="16" t="s">
        <v>109</v>
      </c>
      <c r="C7" s="17"/>
      <c r="D7" s="17"/>
      <c r="E7" s="17"/>
      <c r="F7" s="17"/>
      <c r="G7" s="17"/>
      <c r="H7" s="17"/>
      <c r="I7" s="17"/>
      <c r="J7" s="17"/>
      <c r="K7" s="17"/>
      <c r="L7" s="17"/>
      <c r="M7" s="17"/>
      <c r="N7" s="17"/>
      <c r="O7" s="17"/>
      <c r="P7" s="17"/>
      <c r="Q7" s="17"/>
      <c r="R7" s="17"/>
      <c r="S7" s="17"/>
      <c r="T7" s="17"/>
      <c r="U7" s="17"/>
      <c r="V7" s="17"/>
      <c r="W7" s="17"/>
      <c r="X7" s="17"/>
      <c r="Y7" s="17"/>
      <c r="Z7" s="17"/>
    </row>
    <row r="8" spans="1:26" ht="15.75" customHeight="1">
      <c r="A8" s="21" t="s">
        <v>129</v>
      </c>
      <c r="B8" s="16" t="s">
        <v>130</v>
      </c>
      <c r="C8" s="17"/>
      <c r="D8" s="17"/>
      <c r="E8" s="17"/>
      <c r="F8" s="17"/>
      <c r="G8" s="17"/>
      <c r="H8" s="17"/>
      <c r="I8" s="17"/>
      <c r="J8" s="17"/>
      <c r="K8" s="17"/>
      <c r="L8" s="17"/>
      <c r="M8" s="17"/>
      <c r="N8" s="17"/>
      <c r="O8" s="17"/>
      <c r="P8" s="17"/>
      <c r="Q8" s="17"/>
      <c r="R8" s="17"/>
      <c r="S8" s="17"/>
      <c r="T8" s="17"/>
      <c r="U8" s="17"/>
      <c r="V8" s="17"/>
      <c r="W8" s="17"/>
      <c r="X8" s="17"/>
      <c r="Y8" s="17"/>
      <c r="Z8" s="17"/>
    </row>
    <row r="9" spans="1:26" ht="15.75" customHeight="1">
      <c r="A9" s="21" t="s">
        <v>144</v>
      </c>
      <c r="B9" s="16" t="s">
        <v>145</v>
      </c>
      <c r="C9" s="17"/>
      <c r="D9" s="17"/>
      <c r="E9" s="17"/>
      <c r="F9" s="17"/>
      <c r="G9" s="17"/>
      <c r="H9" s="17"/>
      <c r="I9" s="17"/>
      <c r="J9" s="17"/>
      <c r="K9" s="17"/>
      <c r="L9" s="17"/>
      <c r="M9" s="17"/>
      <c r="N9" s="17"/>
      <c r="O9" s="17"/>
      <c r="P9" s="17"/>
      <c r="Q9" s="17"/>
      <c r="R9" s="17"/>
      <c r="S9" s="17"/>
      <c r="T9" s="17"/>
      <c r="U9" s="17"/>
      <c r="V9" s="17"/>
      <c r="W9" s="17"/>
      <c r="X9" s="17"/>
      <c r="Y9" s="17"/>
      <c r="Z9" s="17"/>
    </row>
    <row r="10" spans="1:26" ht="15.75" customHeight="1">
      <c r="A10" s="21" t="s">
        <v>147</v>
      </c>
      <c r="B10" s="16" t="s">
        <v>148</v>
      </c>
      <c r="C10" s="17"/>
      <c r="D10" s="17"/>
      <c r="E10" s="17"/>
      <c r="F10" s="17"/>
      <c r="G10" s="17"/>
      <c r="H10" s="17"/>
      <c r="I10" s="17"/>
      <c r="J10" s="17"/>
      <c r="K10" s="17"/>
      <c r="L10" s="17"/>
      <c r="M10" s="17"/>
      <c r="N10" s="17"/>
      <c r="O10" s="17"/>
      <c r="P10" s="17"/>
      <c r="Q10" s="17"/>
      <c r="R10" s="17"/>
      <c r="S10" s="17"/>
      <c r="T10" s="17"/>
      <c r="U10" s="17"/>
      <c r="V10" s="17"/>
      <c r="W10" s="17"/>
      <c r="X10" s="17"/>
      <c r="Y10" s="17"/>
      <c r="Z10" s="17"/>
    </row>
    <row r="11" spans="1:26" ht="15.75" customHeight="1">
      <c r="A11" s="18" t="s">
        <v>66</v>
      </c>
      <c r="B11" s="16" t="s">
        <v>154</v>
      </c>
      <c r="C11" s="17"/>
      <c r="D11" s="17"/>
      <c r="E11" s="17"/>
      <c r="F11" s="17"/>
      <c r="G11" s="17"/>
      <c r="H11" s="17"/>
      <c r="I11" s="17"/>
      <c r="J11" s="17"/>
      <c r="K11" s="17"/>
      <c r="L11" s="17"/>
      <c r="M11" s="17"/>
      <c r="N11" s="17"/>
      <c r="O11" s="17"/>
      <c r="P11" s="17"/>
      <c r="Q11" s="17"/>
      <c r="R11" s="17"/>
      <c r="S11" s="17"/>
      <c r="T11" s="17"/>
      <c r="U11" s="17"/>
      <c r="V11" s="17"/>
      <c r="W11" s="17"/>
      <c r="X11" s="17"/>
      <c r="Y11" s="17"/>
      <c r="Z11" s="17"/>
    </row>
    <row r="12" spans="1:26" ht="15.75" customHeight="1">
      <c r="A12" s="21" t="s">
        <v>160</v>
      </c>
      <c r="B12" s="17"/>
      <c r="C12" s="17"/>
      <c r="D12" s="17"/>
      <c r="E12" s="17"/>
      <c r="F12" s="17"/>
      <c r="G12" s="17"/>
      <c r="H12" s="17"/>
      <c r="I12" s="17"/>
      <c r="J12" s="17"/>
      <c r="K12" s="17"/>
      <c r="L12" s="17"/>
      <c r="M12" s="17"/>
      <c r="N12" s="17"/>
      <c r="O12" s="17"/>
      <c r="P12" s="17"/>
      <c r="Q12" s="17"/>
      <c r="R12" s="17"/>
      <c r="S12" s="17"/>
      <c r="T12" s="17"/>
      <c r="U12" s="17"/>
      <c r="V12" s="17"/>
      <c r="W12" s="17"/>
      <c r="X12" s="17"/>
      <c r="Y12" s="17"/>
      <c r="Z12" s="17"/>
    </row>
    <row r="13" spans="1:26" ht="15.75" customHeight="1">
      <c r="A13" s="18" t="s">
        <v>88</v>
      </c>
      <c r="B13" s="17"/>
      <c r="C13" s="17"/>
      <c r="D13" s="17"/>
      <c r="E13" s="17"/>
      <c r="F13" s="17"/>
      <c r="G13" s="17"/>
      <c r="H13" s="17"/>
      <c r="I13" s="17"/>
      <c r="J13" s="17"/>
      <c r="K13" s="17"/>
      <c r="L13" s="17"/>
      <c r="M13" s="17"/>
      <c r="N13" s="17"/>
      <c r="O13" s="17"/>
      <c r="P13" s="17"/>
      <c r="Q13" s="17"/>
      <c r="R13" s="17"/>
      <c r="S13" s="17"/>
      <c r="T13" s="17"/>
      <c r="U13" s="17"/>
      <c r="V13" s="17"/>
      <c r="W13" s="17"/>
      <c r="X13" s="17"/>
      <c r="Y13" s="17"/>
      <c r="Z13" s="17"/>
    </row>
    <row r="14" spans="1:26" ht="15.75" customHeight="1">
      <c r="A14" s="21" t="s">
        <v>45</v>
      </c>
      <c r="B14" s="17"/>
      <c r="C14" s="17"/>
      <c r="D14" s="17"/>
      <c r="E14" s="17"/>
      <c r="F14" s="17"/>
      <c r="G14" s="17"/>
      <c r="H14" s="17"/>
      <c r="I14" s="17"/>
      <c r="J14" s="17"/>
      <c r="K14" s="17"/>
      <c r="L14" s="17"/>
      <c r="M14" s="17"/>
      <c r="N14" s="17"/>
      <c r="O14" s="17"/>
      <c r="P14" s="17"/>
      <c r="Q14" s="17"/>
      <c r="R14" s="17"/>
      <c r="S14" s="17"/>
      <c r="T14" s="17"/>
      <c r="U14" s="17"/>
      <c r="V14" s="17"/>
      <c r="W14" s="17"/>
      <c r="X14" s="17"/>
      <c r="Y14" s="17"/>
      <c r="Z14" s="17"/>
    </row>
    <row r="15" spans="1:26" ht="15.75" customHeight="1">
      <c r="A15" s="21" t="s">
        <v>164</v>
      </c>
      <c r="B15" s="17"/>
      <c r="C15" s="17"/>
      <c r="D15" s="17"/>
      <c r="E15" s="17"/>
      <c r="F15" s="17"/>
      <c r="G15" s="17"/>
      <c r="H15" s="17"/>
      <c r="I15" s="17"/>
      <c r="J15" s="17"/>
      <c r="K15" s="17"/>
      <c r="L15" s="17"/>
      <c r="M15" s="17"/>
      <c r="N15" s="17"/>
      <c r="O15" s="17"/>
      <c r="P15" s="17"/>
      <c r="Q15" s="17"/>
      <c r="R15" s="17"/>
      <c r="S15" s="17"/>
      <c r="T15" s="17"/>
      <c r="U15" s="17"/>
      <c r="V15" s="17"/>
      <c r="W15" s="17"/>
      <c r="X15" s="17"/>
      <c r="Y15" s="17"/>
      <c r="Z15" s="17"/>
    </row>
    <row r="16" spans="1:26" ht="15.75" customHeight="1">
      <c r="A16" s="18" t="s">
        <v>166</v>
      </c>
      <c r="B16" s="17"/>
      <c r="C16" s="17"/>
      <c r="D16" s="17"/>
      <c r="E16" s="17"/>
      <c r="F16" s="17"/>
      <c r="G16" s="17"/>
      <c r="H16" s="17"/>
      <c r="I16" s="17"/>
      <c r="J16" s="17"/>
      <c r="K16" s="17"/>
      <c r="L16" s="17"/>
      <c r="M16" s="17"/>
      <c r="N16" s="17"/>
      <c r="O16" s="17"/>
      <c r="P16" s="17"/>
      <c r="Q16" s="17"/>
      <c r="R16" s="17"/>
      <c r="S16" s="17"/>
      <c r="T16" s="17"/>
      <c r="U16" s="17"/>
      <c r="V16" s="17"/>
      <c r="W16" s="17"/>
      <c r="X16" s="17"/>
      <c r="Y16" s="17"/>
      <c r="Z16" s="17"/>
    </row>
    <row r="17" spans="1:26" ht="15.75" customHeight="1">
      <c r="A17" s="21" t="s">
        <v>167</v>
      </c>
      <c r="B17" s="17"/>
      <c r="C17" s="17"/>
      <c r="D17" s="17"/>
      <c r="E17" s="17"/>
      <c r="F17" s="17"/>
      <c r="G17" s="17"/>
      <c r="H17" s="17"/>
      <c r="I17" s="17"/>
      <c r="J17" s="17"/>
      <c r="K17" s="17"/>
      <c r="L17" s="17"/>
      <c r="M17" s="17"/>
      <c r="N17" s="17"/>
      <c r="O17" s="17"/>
      <c r="P17" s="17"/>
      <c r="Q17" s="17"/>
      <c r="R17" s="17"/>
      <c r="S17" s="17"/>
      <c r="T17" s="17"/>
      <c r="U17" s="17"/>
      <c r="V17" s="17"/>
      <c r="W17" s="17"/>
      <c r="X17" s="17"/>
      <c r="Y17" s="17"/>
      <c r="Z17" s="17"/>
    </row>
    <row r="18" spans="1:26" ht="15.75" customHeight="1">
      <c r="A18" s="21" t="s">
        <v>174</v>
      </c>
      <c r="B18" s="17"/>
      <c r="C18" s="17"/>
      <c r="D18" s="17"/>
      <c r="E18" s="17"/>
      <c r="F18" s="17"/>
      <c r="G18" s="17"/>
      <c r="H18" s="17"/>
      <c r="I18" s="17"/>
      <c r="J18" s="17"/>
      <c r="K18" s="17"/>
      <c r="L18" s="17"/>
      <c r="M18" s="17"/>
      <c r="N18" s="17"/>
      <c r="O18" s="17"/>
      <c r="P18" s="17"/>
      <c r="Q18" s="17"/>
      <c r="R18" s="17"/>
      <c r="S18" s="17"/>
      <c r="T18" s="17"/>
      <c r="U18" s="17"/>
      <c r="V18" s="17"/>
      <c r="W18" s="17"/>
      <c r="X18" s="17"/>
      <c r="Y18" s="17"/>
      <c r="Z18" s="17"/>
    </row>
    <row r="19" spans="1:26" ht="15.75" customHeight="1">
      <c r="A19" s="18" t="s">
        <v>179</v>
      </c>
      <c r="B19" s="17"/>
      <c r="C19" s="17"/>
      <c r="D19" s="17"/>
      <c r="E19" s="17"/>
      <c r="F19" s="17"/>
      <c r="G19" s="17"/>
      <c r="H19" s="17"/>
      <c r="I19" s="17"/>
      <c r="J19" s="17"/>
      <c r="K19" s="17"/>
      <c r="L19" s="17"/>
      <c r="M19" s="17"/>
      <c r="N19" s="17"/>
      <c r="O19" s="17"/>
      <c r="P19" s="17"/>
      <c r="Q19" s="17"/>
      <c r="R19" s="17"/>
      <c r="S19" s="17"/>
      <c r="T19" s="17"/>
      <c r="U19" s="17"/>
      <c r="V19" s="17"/>
      <c r="W19" s="17"/>
      <c r="X19" s="17"/>
      <c r="Y19" s="17"/>
      <c r="Z19" s="17"/>
    </row>
    <row r="20" spans="1:26" ht="15.75" customHeight="1">
      <c r="A20" s="11" t="s">
        <v>180</v>
      </c>
      <c r="B20" s="17"/>
      <c r="C20" s="17"/>
      <c r="D20" s="17"/>
      <c r="E20" s="17"/>
      <c r="F20" s="17"/>
      <c r="G20" s="17"/>
      <c r="H20" s="17"/>
      <c r="I20" s="17"/>
      <c r="J20" s="17"/>
      <c r="K20" s="17"/>
      <c r="L20" s="17"/>
      <c r="M20" s="17"/>
      <c r="N20" s="17"/>
      <c r="O20" s="17"/>
      <c r="P20" s="17"/>
      <c r="Q20" s="17"/>
      <c r="R20" s="17"/>
      <c r="S20" s="17"/>
      <c r="T20" s="17"/>
      <c r="U20" s="17"/>
      <c r="V20" s="17"/>
      <c r="W20" s="17"/>
      <c r="X20" s="17"/>
      <c r="Y20" s="17"/>
      <c r="Z20" s="17"/>
    </row>
    <row r="21" spans="1:26" ht="15.75" customHeight="1">
      <c r="A21" s="11" t="s">
        <v>181</v>
      </c>
      <c r="B21" s="17"/>
      <c r="C21" s="17"/>
      <c r="D21" s="17"/>
      <c r="E21" s="17"/>
      <c r="F21" s="17"/>
      <c r="G21" s="17"/>
      <c r="H21" s="17"/>
      <c r="I21" s="17"/>
      <c r="J21" s="17"/>
      <c r="K21" s="17"/>
      <c r="L21" s="17"/>
      <c r="M21" s="17"/>
      <c r="N21" s="17"/>
      <c r="O21" s="17"/>
      <c r="P21" s="17"/>
      <c r="Q21" s="17"/>
      <c r="R21" s="17"/>
      <c r="S21" s="17"/>
      <c r="T21" s="17"/>
      <c r="U21" s="17"/>
      <c r="V21" s="17"/>
      <c r="W21" s="17"/>
      <c r="X21" s="17"/>
      <c r="Y21" s="17"/>
      <c r="Z21" s="17"/>
    </row>
    <row r="22" spans="1:26" ht="15.75" customHeight="1">
      <c r="A22" s="18" t="s">
        <v>183</v>
      </c>
      <c r="B22" s="17"/>
      <c r="C22" s="17"/>
      <c r="D22" s="17"/>
      <c r="E22" s="17"/>
      <c r="F22" s="17"/>
      <c r="G22" s="17"/>
      <c r="H22" s="17"/>
      <c r="I22" s="17"/>
      <c r="J22" s="17"/>
      <c r="K22" s="17"/>
      <c r="L22" s="17"/>
      <c r="M22" s="17"/>
      <c r="N22" s="17"/>
      <c r="O22" s="17"/>
      <c r="P22" s="17"/>
      <c r="Q22" s="17"/>
      <c r="R22" s="17"/>
      <c r="S22" s="17"/>
      <c r="T22" s="17"/>
      <c r="U22" s="17"/>
      <c r="V22" s="17"/>
      <c r="W22" s="17"/>
      <c r="X22" s="17"/>
      <c r="Y22" s="17"/>
      <c r="Z22" s="17"/>
    </row>
    <row r="23" spans="1:26" ht="15.75" customHeight="1">
      <c r="A23" s="18" t="s">
        <v>184</v>
      </c>
      <c r="B23" s="17"/>
      <c r="C23" s="17"/>
      <c r="D23" s="17"/>
      <c r="E23" s="17"/>
      <c r="F23" s="17"/>
      <c r="G23" s="17"/>
      <c r="H23" s="17"/>
      <c r="I23" s="17"/>
      <c r="J23" s="17"/>
      <c r="K23" s="17"/>
      <c r="L23" s="17"/>
      <c r="M23" s="17"/>
      <c r="N23" s="17"/>
      <c r="O23" s="17"/>
      <c r="P23" s="17"/>
      <c r="Q23" s="17"/>
      <c r="R23" s="17"/>
      <c r="S23" s="17"/>
      <c r="T23" s="17"/>
      <c r="U23" s="17"/>
      <c r="V23" s="17"/>
      <c r="W23" s="17"/>
      <c r="X23" s="17"/>
      <c r="Y23" s="17"/>
      <c r="Z23" s="17"/>
    </row>
    <row r="24" spans="1:26" ht="15.75" customHeight="1">
      <c r="A24" s="21" t="s">
        <v>190</v>
      </c>
      <c r="B24" s="17"/>
      <c r="C24" s="17"/>
      <c r="D24" s="17"/>
      <c r="E24" s="17"/>
      <c r="F24" s="17"/>
      <c r="G24" s="17"/>
      <c r="H24" s="17"/>
      <c r="I24" s="17"/>
      <c r="J24" s="17"/>
      <c r="K24" s="17"/>
      <c r="L24" s="17"/>
      <c r="M24" s="17"/>
      <c r="N24" s="17"/>
      <c r="O24" s="17"/>
      <c r="P24" s="17"/>
      <c r="Q24" s="17"/>
      <c r="R24" s="17"/>
      <c r="S24" s="17"/>
      <c r="T24" s="17"/>
      <c r="U24" s="17"/>
      <c r="V24" s="17"/>
      <c r="W24" s="17"/>
      <c r="X24" s="17"/>
      <c r="Y24" s="17"/>
      <c r="Z24" s="17"/>
    </row>
    <row r="25" spans="1:26" ht="15.75" customHeight="1">
      <c r="A25" s="18" t="s">
        <v>191</v>
      </c>
      <c r="B25" s="17"/>
      <c r="C25" s="17"/>
      <c r="D25" s="17"/>
      <c r="E25" s="17"/>
      <c r="F25" s="17"/>
      <c r="G25" s="17"/>
      <c r="H25" s="17"/>
      <c r="I25" s="17"/>
      <c r="J25" s="17"/>
      <c r="K25" s="17"/>
      <c r="L25" s="17"/>
      <c r="M25" s="17"/>
      <c r="N25" s="17"/>
      <c r="O25" s="17"/>
      <c r="P25" s="17"/>
      <c r="Q25" s="17"/>
      <c r="R25" s="17"/>
      <c r="S25" s="17"/>
      <c r="T25" s="17"/>
      <c r="U25" s="17"/>
      <c r="V25" s="17"/>
      <c r="W25" s="17"/>
      <c r="X25" s="17"/>
      <c r="Y25" s="17"/>
      <c r="Z25" s="17"/>
    </row>
    <row r="26" spans="1:26" ht="15.75" customHeight="1">
      <c r="A26" s="21" t="s">
        <v>192</v>
      </c>
      <c r="B26" s="17"/>
      <c r="C26" s="17"/>
      <c r="D26" s="17"/>
      <c r="E26" s="17"/>
      <c r="F26" s="17"/>
      <c r="G26" s="17"/>
      <c r="H26" s="17"/>
      <c r="I26" s="17"/>
      <c r="J26" s="17"/>
      <c r="K26" s="17"/>
      <c r="L26" s="17"/>
      <c r="M26" s="17"/>
      <c r="N26" s="17"/>
      <c r="O26" s="17"/>
      <c r="P26" s="17"/>
      <c r="Q26" s="17"/>
      <c r="R26" s="17"/>
      <c r="S26" s="17"/>
      <c r="T26" s="17"/>
      <c r="U26" s="17"/>
      <c r="V26" s="17"/>
      <c r="W26" s="17"/>
      <c r="X26" s="17"/>
      <c r="Y26" s="17"/>
      <c r="Z26" s="17"/>
    </row>
    <row r="27" spans="1:26" ht="15.75" customHeight="1">
      <c r="A27" s="18" t="s">
        <v>193</v>
      </c>
      <c r="B27" s="17"/>
      <c r="C27" s="17"/>
      <c r="D27" s="17"/>
      <c r="E27" s="17"/>
      <c r="F27" s="17"/>
      <c r="G27" s="17"/>
      <c r="H27" s="17"/>
      <c r="I27" s="17"/>
      <c r="J27" s="17"/>
      <c r="K27" s="17"/>
      <c r="L27" s="17"/>
      <c r="M27" s="17"/>
      <c r="N27" s="17"/>
      <c r="O27" s="17"/>
      <c r="P27" s="17"/>
      <c r="Q27" s="17"/>
      <c r="R27" s="17"/>
      <c r="S27" s="17"/>
      <c r="T27" s="17"/>
      <c r="U27" s="17"/>
      <c r="V27" s="17"/>
      <c r="W27" s="17"/>
      <c r="X27" s="17"/>
      <c r="Y27" s="17"/>
      <c r="Z27" s="17"/>
    </row>
    <row r="28" spans="1:26" ht="15.75" customHeight="1">
      <c r="A28" s="18" t="s">
        <v>194</v>
      </c>
      <c r="B28" s="17"/>
      <c r="C28" s="17"/>
      <c r="D28" s="17"/>
      <c r="E28" s="17"/>
      <c r="F28" s="17"/>
      <c r="G28" s="17"/>
      <c r="H28" s="17"/>
      <c r="I28" s="17"/>
      <c r="J28" s="17"/>
      <c r="K28" s="17"/>
      <c r="L28" s="17"/>
      <c r="M28" s="17"/>
      <c r="N28" s="17"/>
      <c r="O28" s="17"/>
      <c r="P28" s="17"/>
      <c r="Q28" s="17"/>
      <c r="R28" s="17"/>
      <c r="S28" s="17"/>
      <c r="T28" s="17"/>
      <c r="U28" s="17"/>
      <c r="V28" s="17"/>
      <c r="W28" s="17"/>
      <c r="X28" s="17"/>
      <c r="Y28" s="17"/>
      <c r="Z28" s="17"/>
    </row>
    <row r="29" spans="1:26" ht="15.75" customHeight="1">
      <c r="A29" s="21" t="s">
        <v>195</v>
      </c>
      <c r="B29" s="17"/>
      <c r="C29" s="17"/>
      <c r="D29" s="17"/>
      <c r="E29" s="17"/>
      <c r="F29" s="17"/>
      <c r="G29" s="17"/>
      <c r="H29" s="17"/>
      <c r="I29" s="17"/>
      <c r="J29" s="17"/>
      <c r="K29" s="17"/>
      <c r="L29" s="17"/>
      <c r="M29" s="17"/>
      <c r="N29" s="17"/>
      <c r="O29" s="17"/>
      <c r="P29" s="17"/>
      <c r="Q29" s="17"/>
      <c r="R29" s="17"/>
      <c r="S29" s="17"/>
      <c r="T29" s="17"/>
      <c r="U29" s="17"/>
      <c r="V29" s="17"/>
      <c r="W29" s="17"/>
      <c r="X29" s="17"/>
      <c r="Y29" s="17"/>
      <c r="Z29" s="17"/>
    </row>
    <row r="30" spans="1:26" ht="15.75" customHeight="1">
      <c r="A30" s="18" t="s">
        <v>111</v>
      </c>
      <c r="B30" s="17"/>
      <c r="C30" s="17"/>
      <c r="D30" s="17"/>
      <c r="E30" s="17"/>
      <c r="F30" s="17"/>
      <c r="G30" s="17"/>
      <c r="H30" s="17"/>
      <c r="I30" s="17"/>
      <c r="J30" s="17"/>
      <c r="K30" s="17"/>
      <c r="L30" s="17"/>
      <c r="M30" s="17"/>
      <c r="N30" s="17"/>
      <c r="O30" s="17"/>
      <c r="P30" s="17"/>
      <c r="Q30" s="17"/>
      <c r="R30" s="17"/>
      <c r="S30" s="17"/>
      <c r="T30" s="17"/>
      <c r="U30" s="17"/>
      <c r="V30" s="17"/>
      <c r="W30" s="17"/>
      <c r="X30" s="17"/>
      <c r="Y30" s="17"/>
      <c r="Z30" s="17"/>
    </row>
    <row r="31" spans="1:26" ht="15.75" customHeight="1">
      <c r="A31" s="11" t="s">
        <v>198</v>
      </c>
      <c r="B31" s="17"/>
      <c r="C31" s="17"/>
      <c r="D31" s="17"/>
      <c r="E31" s="17"/>
      <c r="F31" s="17"/>
      <c r="G31" s="17"/>
      <c r="H31" s="17"/>
      <c r="I31" s="17"/>
      <c r="J31" s="17"/>
      <c r="K31" s="17"/>
      <c r="L31" s="17"/>
      <c r="M31" s="17"/>
      <c r="N31" s="17"/>
      <c r="O31" s="17"/>
      <c r="P31" s="17"/>
      <c r="Q31" s="17"/>
      <c r="R31" s="17"/>
      <c r="S31" s="17"/>
      <c r="T31" s="17"/>
      <c r="U31" s="17"/>
      <c r="V31" s="17"/>
      <c r="W31" s="17"/>
      <c r="X31" s="17"/>
      <c r="Y31" s="17"/>
      <c r="Z31" s="17"/>
    </row>
    <row r="32" spans="1:26" ht="15.75" customHeight="1">
      <c r="A32" s="18" t="s">
        <v>199</v>
      </c>
      <c r="B32" s="17"/>
      <c r="C32" s="17"/>
      <c r="D32" s="17"/>
      <c r="E32" s="17"/>
      <c r="F32" s="17"/>
      <c r="G32" s="17"/>
      <c r="H32" s="17"/>
      <c r="I32" s="17"/>
      <c r="J32" s="17"/>
      <c r="K32" s="17"/>
      <c r="L32" s="17"/>
      <c r="M32" s="17"/>
      <c r="N32" s="17"/>
      <c r="O32" s="17"/>
      <c r="P32" s="17"/>
      <c r="Q32" s="17"/>
      <c r="R32" s="17"/>
      <c r="S32" s="17"/>
      <c r="T32" s="17"/>
      <c r="U32" s="17"/>
      <c r="V32" s="17"/>
      <c r="W32" s="17"/>
      <c r="X32" s="17"/>
      <c r="Y32" s="17"/>
      <c r="Z32" s="17"/>
    </row>
    <row r="33" spans="1:26" ht="15.75" customHeight="1">
      <c r="A33" s="18" t="s">
        <v>200</v>
      </c>
      <c r="B33" s="17"/>
      <c r="C33" s="17"/>
      <c r="D33" s="17"/>
      <c r="E33" s="17"/>
      <c r="F33" s="17"/>
      <c r="G33" s="17"/>
      <c r="H33" s="17"/>
      <c r="I33" s="17"/>
      <c r="J33" s="17"/>
      <c r="K33" s="17"/>
      <c r="L33" s="17"/>
      <c r="M33" s="17"/>
      <c r="N33" s="17"/>
      <c r="O33" s="17"/>
      <c r="P33" s="17"/>
      <c r="Q33" s="17"/>
      <c r="R33" s="17"/>
      <c r="S33" s="17"/>
      <c r="T33" s="17"/>
      <c r="U33" s="17"/>
      <c r="V33" s="17"/>
      <c r="W33" s="17"/>
      <c r="X33" s="17"/>
      <c r="Y33" s="17"/>
      <c r="Z33" s="17"/>
    </row>
    <row r="34" spans="1:26" ht="15.75" customHeight="1">
      <c r="A34" s="21" t="s">
        <v>202</v>
      </c>
      <c r="B34" s="17"/>
      <c r="C34" s="17"/>
      <c r="D34" s="17"/>
      <c r="E34" s="17"/>
      <c r="F34" s="17"/>
      <c r="G34" s="17"/>
      <c r="H34" s="17"/>
      <c r="I34" s="17"/>
      <c r="J34" s="17"/>
      <c r="K34" s="17"/>
      <c r="L34" s="17"/>
      <c r="M34" s="17"/>
      <c r="N34" s="17"/>
      <c r="O34" s="17"/>
      <c r="P34" s="17"/>
      <c r="Q34" s="17"/>
      <c r="R34" s="17"/>
      <c r="S34" s="17"/>
      <c r="T34" s="17"/>
      <c r="U34" s="17"/>
      <c r="V34" s="17"/>
      <c r="W34" s="17"/>
      <c r="X34" s="17"/>
      <c r="Y34" s="17"/>
      <c r="Z34" s="17"/>
    </row>
    <row r="35" spans="1:26" ht="15.75" customHeight="1">
      <c r="A35" s="21" t="s">
        <v>203</v>
      </c>
      <c r="B35" s="17"/>
      <c r="C35" s="17"/>
      <c r="D35" s="17"/>
      <c r="E35" s="17"/>
      <c r="F35" s="17"/>
      <c r="G35" s="17"/>
      <c r="H35" s="17"/>
      <c r="I35" s="17"/>
      <c r="J35" s="17"/>
      <c r="K35" s="17"/>
      <c r="L35" s="17"/>
      <c r="M35" s="17"/>
      <c r="N35" s="17"/>
      <c r="O35" s="17"/>
      <c r="P35" s="17"/>
      <c r="Q35" s="17"/>
      <c r="R35" s="17"/>
      <c r="S35" s="17"/>
      <c r="T35" s="17"/>
      <c r="U35" s="17"/>
      <c r="V35" s="17"/>
      <c r="W35" s="17"/>
      <c r="X35" s="17"/>
      <c r="Y35" s="17"/>
      <c r="Z35" s="17"/>
    </row>
    <row r="36" spans="1:26" ht="15.75" customHeight="1">
      <c r="A36" s="21"/>
      <c r="B36" s="17"/>
      <c r="C36" s="17"/>
      <c r="D36" s="17"/>
      <c r="E36" s="17"/>
      <c r="F36" s="17"/>
      <c r="G36" s="17"/>
      <c r="H36" s="17"/>
      <c r="I36" s="17"/>
      <c r="J36" s="17"/>
      <c r="K36" s="17"/>
      <c r="L36" s="17"/>
      <c r="M36" s="17"/>
      <c r="N36" s="17"/>
      <c r="O36" s="17"/>
      <c r="P36" s="17"/>
      <c r="Q36" s="17"/>
      <c r="R36" s="17"/>
      <c r="S36" s="17"/>
      <c r="T36" s="17"/>
      <c r="U36" s="17"/>
      <c r="V36" s="17"/>
      <c r="W36" s="17"/>
      <c r="X36" s="17"/>
      <c r="Y36" s="17"/>
      <c r="Z36" s="17"/>
    </row>
    <row r="37" spans="1:26" ht="15.75" customHeight="1">
      <c r="A37" s="21"/>
      <c r="B37" s="17"/>
      <c r="C37" s="17"/>
      <c r="D37" s="17"/>
      <c r="E37" s="17"/>
      <c r="F37" s="17"/>
      <c r="G37" s="17"/>
      <c r="H37" s="17"/>
      <c r="I37" s="17"/>
      <c r="J37" s="17"/>
      <c r="K37" s="17"/>
      <c r="L37" s="17"/>
      <c r="M37" s="17"/>
      <c r="N37" s="17"/>
      <c r="O37" s="17"/>
      <c r="P37" s="17"/>
      <c r="Q37" s="17"/>
      <c r="R37" s="17"/>
      <c r="S37" s="17"/>
      <c r="T37" s="17"/>
      <c r="U37" s="17"/>
      <c r="V37" s="17"/>
      <c r="W37" s="17"/>
      <c r="X37" s="17"/>
      <c r="Y37" s="17"/>
      <c r="Z37" s="17"/>
    </row>
    <row r="38" spans="1:26" ht="12.75">
      <c r="A38" s="18"/>
      <c r="B38" s="17"/>
      <c r="C38" s="17"/>
      <c r="D38" s="17"/>
      <c r="E38" s="17"/>
      <c r="F38" s="17"/>
      <c r="G38" s="17"/>
      <c r="H38" s="17"/>
      <c r="I38" s="17"/>
      <c r="J38" s="17"/>
      <c r="K38" s="17"/>
      <c r="L38" s="17"/>
      <c r="M38" s="17"/>
      <c r="N38" s="17"/>
      <c r="O38" s="17"/>
      <c r="P38" s="17"/>
      <c r="Q38" s="17"/>
      <c r="R38" s="17"/>
      <c r="S38" s="17"/>
      <c r="T38" s="17"/>
      <c r="U38" s="17"/>
      <c r="V38" s="17"/>
      <c r="W38" s="17"/>
      <c r="X38" s="17"/>
      <c r="Y38" s="17"/>
      <c r="Z38" s="17"/>
    </row>
    <row r="39" spans="1:26" ht="12.75">
      <c r="A39" s="21"/>
      <c r="B39" s="17"/>
      <c r="C39" s="17"/>
      <c r="D39" s="17"/>
      <c r="E39" s="17"/>
      <c r="F39" s="17"/>
      <c r="G39" s="17"/>
      <c r="H39" s="17"/>
      <c r="I39" s="17"/>
      <c r="J39" s="17"/>
      <c r="K39" s="17"/>
      <c r="L39" s="17"/>
      <c r="M39" s="17"/>
      <c r="N39" s="17"/>
      <c r="O39" s="17"/>
      <c r="P39" s="17"/>
      <c r="Q39" s="17"/>
      <c r="R39" s="17"/>
      <c r="S39" s="17"/>
      <c r="T39" s="17"/>
      <c r="U39" s="17"/>
      <c r="V39" s="17"/>
      <c r="W39" s="17"/>
      <c r="X39" s="17"/>
      <c r="Y39" s="17"/>
      <c r="Z39" s="17"/>
    </row>
    <row r="40" spans="1:26" ht="12.75">
      <c r="A40" s="21"/>
      <c r="B40" s="17"/>
      <c r="C40" s="17"/>
      <c r="D40" s="17"/>
      <c r="E40" s="17"/>
      <c r="F40" s="17"/>
      <c r="G40" s="17"/>
      <c r="H40" s="17"/>
      <c r="I40" s="17"/>
      <c r="J40" s="17"/>
      <c r="K40" s="17"/>
      <c r="L40" s="17"/>
      <c r="M40" s="17"/>
      <c r="N40" s="17"/>
      <c r="O40" s="17"/>
      <c r="P40" s="17"/>
      <c r="Q40" s="17"/>
      <c r="R40" s="17"/>
      <c r="S40" s="17"/>
      <c r="T40" s="17"/>
      <c r="U40" s="17"/>
      <c r="V40" s="17"/>
      <c r="W40" s="17"/>
      <c r="X40" s="17"/>
      <c r="Y40" s="17"/>
      <c r="Z40" s="17"/>
    </row>
    <row r="41" spans="1:26" ht="12.75">
      <c r="A41" s="21"/>
      <c r="B41" s="17"/>
      <c r="C41" s="17"/>
      <c r="D41" s="17"/>
      <c r="E41" s="17"/>
      <c r="F41" s="17"/>
      <c r="G41" s="17"/>
      <c r="H41" s="17"/>
      <c r="I41" s="17"/>
      <c r="J41" s="17"/>
      <c r="K41" s="17"/>
      <c r="L41" s="17"/>
      <c r="M41" s="17"/>
      <c r="N41" s="17"/>
      <c r="O41" s="17"/>
      <c r="P41" s="17"/>
      <c r="Q41" s="17"/>
      <c r="R41" s="17"/>
      <c r="S41" s="17"/>
      <c r="T41" s="17"/>
      <c r="U41" s="17"/>
      <c r="V41" s="17"/>
      <c r="W41" s="17"/>
      <c r="X41" s="17"/>
      <c r="Y41" s="17"/>
      <c r="Z41" s="17"/>
    </row>
    <row r="42" spans="1:26" ht="12.75">
      <c r="A42" s="21"/>
      <c r="B42" s="17"/>
      <c r="C42" s="17"/>
      <c r="D42" s="17"/>
      <c r="E42" s="17"/>
      <c r="F42" s="17"/>
      <c r="G42" s="17"/>
      <c r="H42" s="17"/>
      <c r="I42" s="17"/>
      <c r="J42" s="17"/>
      <c r="K42" s="17"/>
      <c r="L42" s="17"/>
      <c r="M42" s="17"/>
      <c r="N42" s="17"/>
      <c r="O42" s="17"/>
      <c r="P42" s="17"/>
      <c r="Q42" s="17"/>
      <c r="R42" s="17"/>
      <c r="S42" s="17"/>
      <c r="T42" s="17"/>
      <c r="U42" s="17"/>
      <c r="V42" s="17"/>
      <c r="W42" s="17"/>
      <c r="X42" s="17"/>
      <c r="Y42" s="17"/>
      <c r="Z42" s="17"/>
    </row>
    <row r="43" spans="1:26" ht="12.7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row>
    <row r="44" spans="1:26" ht="12.7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row>
    <row r="45" spans="1:26" ht="12.7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row>
    <row r="46" spans="1:26" ht="12.7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row>
    <row r="47" spans="1:26" ht="12.7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row>
    <row r="48" spans="1:26" ht="12.7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row>
    <row r="49" spans="1:26" ht="12.7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row>
    <row r="50" spans="1:26" ht="12.7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row>
    <row r="51" spans="1:26" ht="12.7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row>
    <row r="52" spans="1:26" ht="12.7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row>
    <row r="53" spans="1:26" ht="12.7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row>
    <row r="54" spans="1:26" ht="12.7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row>
    <row r="55" spans="1:26" ht="12.7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row>
    <row r="56" spans="1:26" ht="12.7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row>
    <row r="57" spans="1:26" ht="12.7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row>
    <row r="58" spans="1:26" ht="12.7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row>
    <row r="59" spans="1:26" ht="12.7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row>
    <row r="60" spans="1:26" ht="12.7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row>
    <row r="61" spans="1:26" ht="12.7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row>
    <row r="62" spans="1:26" ht="12.7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row>
    <row r="63" spans="1:26" ht="12.7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row>
    <row r="64" spans="1:26" ht="12.7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row>
    <row r="65" spans="1:26" ht="12.7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row>
    <row r="66" spans="1:26" ht="12.7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row>
    <row r="67" spans="1:26" ht="12.7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row>
    <row r="68" spans="1:26" ht="12.7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row>
    <row r="69" spans="1:26" ht="12.7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row>
    <row r="70" spans="1:26" ht="12.7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row>
    <row r="71" spans="1:26" ht="12.7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row>
    <row r="72" spans="1:26" ht="12.7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row>
    <row r="73" spans="1:26" ht="12.7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row>
    <row r="74" spans="1:26" ht="12.7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row>
    <row r="75" spans="1:26" ht="12.7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row>
    <row r="76" spans="1:26" ht="12.7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row>
    <row r="77" spans="1:26" ht="12.7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row>
    <row r="78" spans="1:26" ht="12.7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row>
    <row r="79" spans="1:26" ht="12.7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row>
    <row r="80" spans="1:26" ht="12.7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row>
    <row r="81" spans="1:26" ht="12.7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row>
    <row r="82" spans="1:26" ht="12.7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row>
    <row r="83" spans="1:26" ht="12.7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row>
    <row r="84" spans="1:26" ht="12.7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row>
    <row r="85" spans="1:26" ht="12.7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row>
    <row r="86" spans="1:26" ht="12.7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row>
    <row r="87" spans="1:26" ht="12.7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row>
    <row r="88" spans="1:26" ht="12.7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row>
    <row r="89" spans="1:26" ht="12.7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row>
    <row r="90" spans="1:26" ht="12.7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row>
    <row r="91" spans="1:26" ht="12.7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row>
    <row r="92" spans="1:26" ht="12.7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row>
    <row r="93" spans="1:26" ht="12.7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row>
    <row r="94" spans="1:26" ht="12.7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row>
    <row r="95" spans="1:26" ht="12.7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row>
    <row r="96" spans="1:26" ht="12.7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row>
    <row r="97" spans="1:26" ht="12.7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row>
    <row r="98" spans="1:26" ht="12.7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row>
    <row r="99" spans="1:26" ht="12.7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row>
    <row r="100" spans="1:26" ht="12.7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row>
    <row r="101" spans="1:26" ht="12.7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row>
    <row r="102" spans="1:26" ht="12.7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row>
    <row r="103" spans="1:26" ht="12.7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row>
    <row r="104" spans="1:26" ht="12.7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row>
    <row r="105" spans="1:26" ht="12.7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row>
    <row r="106" spans="1:26" ht="12.7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row>
    <row r="107" spans="1:26" ht="12.7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row>
    <row r="108" spans="1:26" ht="12.7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row>
    <row r="109" spans="1:26" ht="12.7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row>
    <row r="110" spans="1:26" ht="12.7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row>
    <row r="111" spans="1:26" ht="12.7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row>
    <row r="112" spans="1:26" ht="12.7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row>
    <row r="113" spans="1:26" ht="12.7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row>
    <row r="114" spans="1:26" ht="12.7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row>
    <row r="115" spans="1:26" ht="12.7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row>
    <row r="116" spans="1:26" ht="12.7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row>
    <row r="117" spans="1:26" ht="12.7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row>
    <row r="118" spans="1:26" ht="12.7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row>
    <row r="119" spans="1:26" ht="12.7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row>
    <row r="120" spans="1:26" ht="12.7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row>
    <row r="121" spans="1:26" ht="12.7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row>
    <row r="122" spans="1:26" ht="12.7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row>
    <row r="123" spans="1:26" ht="12.7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row>
    <row r="124" spans="1:26" ht="12.7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row>
    <row r="125" spans="1:26" ht="12.7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row>
    <row r="126" spans="1:26" ht="12.7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row>
    <row r="127" spans="1:26" ht="12.7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row>
    <row r="128" spans="1:26" ht="12.7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row>
    <row r="129" spans="1:26" ht="12.7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row>
    <row r="130" spans="1:26" ht="12.7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row>
    <row r="131" spans="1:26" ht="12.7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row>
    <row r="132" spans="1:26" ht="12.7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row>
    <row r="133" spans="1:26" ht="12.7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row>
    <row r="134" spans="1:26" ht="12.7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row>
    <row r="135" spans="1:26" ht="12.7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row>
    <row r="136" spans="1:26" ht="12.7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row>
    <row r="137" spans="1:26" ht="12.7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row>
    <row r="138" spans="1:26" ht="12.7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row>
    <row r="139" spans="1:26" ht="12.7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row>
    <row r="140" spans="1:26" ht="12.7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row>
    <row r="141" spans="1:26" ht="12.7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row>
    <row r="142" spans="1:26" ht="12.7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row>
    <row r="143" spans="1:26" ht="12.7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row>
    <row r="144" spans="1:26" ht="12.7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row>
    <row r="145" spans="1:26" ht="12.7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row>
    <row r="146" spans="1:26" ht="12.7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row>
    <row r="147" spans="1:26" ht="12.7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row>
    <row r="148" spans="1:26" ht="12.7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row>
    <row r="149" spans="1:26" ht="12.7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row>
    <row r="150" spans="1:26" ht="12.7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row>
    <row r="151" spans="1:26" ht="12.7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row>
    <row r="152" spans="1:26" ht="12.7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row>
    <row r="153" spans="1:26" ht="12.7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row>
    <row r="154" spans="1:26" ht="12.7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row>
    <row r="155" spans="1:26" ht="12.7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row>
    <row r="156" spans="1:26" ht="12.7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row>
    <row r="157" spans="1:26" ht="12.7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row>
    <row r="158" spans="1:26" ht="12.7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row>
    <row r="159" spans="1:26" ht="12.7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row>
    <row r="160" spans="1:26" ht="12.7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row>
    <row r="161" spans="1:26" ht="12.7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row>
    <row r="162" spans="1:26" ht="12.7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row>
    <row r="163" spans="1:26" ht="12.7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row>
    <row r="164" spans="1:26" ht="12.7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row>
    <row r="165" spans="1:26" ht="12.7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row>
    <row r="166" spans="1:26" ht="12.7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row>
    <row r="167" spans="1:26" ht="12.7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row>
    <row r="168" spans="1:26" ht="12.7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row>
    <row r="169" spans="1:26" ht="12.7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row>
    <row r="170" spans="1:26" ht="12.7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row>
    <row r="171" spans="1:26" ht="12.7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row>
    <row r="172" spans="1:26" ht="12.7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row>
    <row r="173" spans="1:26" ht="12.7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row>
    <row r="174" spans="1:26" ht="12.7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row>
    <row r="175" spans="1:26" ht="12.7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row>
    <row r="176" spans="1:26" ht="12.7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row>
    <row r="177" spans="1:26" ht="12.7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row>
    <row r="178" spans="1:26" ht="12.7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row>
    <row r="179" spans="1:26" ht="12.7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row>
    <row r="180" spans="1:26" ht="12.7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row>
    <row r="181" spans="1:26" ht="12.7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row>
    <row r="182" spans="1:26" ht="12.7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row>
    <row r="183" spans="1:26" ht="12.7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row>
    <row r="184" spans="1:26" ht="12.7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row>
    <row r="185" spans="1:26" ht="12.7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row>
    <row r="186" spans="1:26" ht="12.7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row>
    <row r="187" spans="1:26" ht="12.7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row>
    <row r="188" spans="1:26" ht="12.7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row>
    <row r="189" spans="1:26" ht="12.7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row>
    <row r="190" spans="1:26" ht="12.7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row>
    <row r="191" spans="1:26" ht="12.7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row>
    <row r="192" spans="1:26" ht="12.7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row>
    <row r="193" spans="1:26" ht="12.7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row>
    <row r="194" spans="1:26" ht="12.7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row>
    <row r="195" spans="1:26" ht="12.7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row>
    <row r="196" spans="1:26" ht="12.7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row>
    <row r="197" spans="1:26" ht="12.7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row>
    <row r="198" spans="1:26" ht="12.7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row>
    <row r="199" spans="1:26" ht="12.7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row>
    <row r="200" spans="1:26" ht="12.7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row>
    <row r="201" spans="1:26" ht="12.7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row>
    <row r="202" spans="1:26" ht="12.7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row>
    <row r="203" spans="1:26" ht="12.7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row>
    <row r="204" spans="1:26" ht="12.7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row>
    <row r="205" spans="1:26" ht="12.7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row>
    <row r="206" spans="1:26" ht="12.7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row>
    <row r="207" spans="1:26" ht="12.7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row>
    <row r="208" spans="1:26" ht="12.7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row>
    <row r="209" spans="1:26" ht="12.7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row>
    <row r="210" spans="1:26" ht="12.7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row>
    <row r="211" spans="1:26" ht="12.7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row>
    <row r="212" spans="1:26" ht="12.7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row>
    <row r="213" spans="1:26" ht="12.7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row>
    <row r="214" spans="1:26" ht="12.7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row>
    <row r="215" spans="1:26" ht="12.7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row>
    <row r="216" spans="1:26" ht="12.7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row>
    <row r="217" spans="1:26" ht="12.7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row>
    <row r="218" spans="1:26" ht="12.7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row>
    <row r="219" spans="1:26" ht="12.7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row>
    <row r="220" spans="1:26" ht="12.7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row>
    <row r="221" spans="1:26" ht="12.7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row>
    <row r="222" spans="1:26" ht="12.7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row>
    <row r="223" spans="1:26" ht="12.7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row>
    <row r="224" spans="1:26" ht="12.7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row>
    <row r="225" spans="1:26" ht="12.7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row>
    <row r="226" spans="1:26" ht="12.7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row>
    <row r="227" spans="1:26" ht="12.7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row>
    <row r="228" spans="1:26" ht="12.7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row>
    <row r="229" spans="1:26" ht="12.7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row>
    <row r="230" spans="1:26" ht="12.7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row>
    <row r="231" spans="1:26" ht="12.7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row>
    <row r="232" spans="1:26" ht="12.7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row>
    <row r="233" spans="1:26" ht="12.7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row>
    <row r="234" spans="1:26" ht="12.7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row>
    <row r="235" spans="1:26" ht="12.7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row>
    <row r="236" spans="1:26" ht="12.7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row>
    <row r="237" spans="1:26" ht="12.7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row>
    <row r="238" spans="1:26" ht="12.7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row>
    <row r="239" spans="1:26" ht="12.7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row>
    <row r="240" spans="1:26" ht="12.7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row>
    <row r="241" spans="1:26" ht="12.7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row>
    <row r="242" spans="1:26" ht="12.7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row>
    <row r="243" spans="1:26" ht="12.7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row>
    <row r="244" spans="1:26" ht="12.7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row>
    <row r="245" spans="1:26" ht="12.7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row>
    <row r="246" spans="1:26" ht="12.7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row>
    <row r="247" spans="1:26" ht="12.7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row>
    <row r="248" spans="1:26" ht="12.7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row>
    <row r="249" spans="1:26" ht="12.7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row>
    <row r="250" spans="1:26" ht="12.7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row>
    <row r="251" spans="1:26" ht="12.7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row>
    <row r="252" spans="1:26" ht="12.7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row>
    <row r="253" spans="1:26" ht="12.7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row>
    <row r="254" spans="1:26" ht="12.7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row>
    <row r="255" spans="1:26" ht="12.7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row>
    <row r="256" spans="1:26" ht="12.7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row>
    <row r="257" spans="1:26" ht="12.7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row>
    <row r="258" spans="1:26" ht="12.7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row>
    <row r="259" spans="1:26" ht="12.7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row>
    <row r="260" spans="1:26" ht="12.7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row>
    <row r="261" spans="1:26" ht="12.7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row>
    <row r="262" spans="1:26" ht="12.7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row>
    <row r="263" spans="1:26" ht="12.7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row>
    <row r="264" spans="1:26" ht="12.7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row>
    <row r="265" spans="1:26" ht="12.7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row>
    <row r="266" spans="1:26" ht="12.7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row>
    <row r="267" spans="1:26" ht="12.7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row>
    <row r="268" spans="1:26" ht="12.7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row>
    <row r="269" spans="1:26" ht="12.7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row>
    <row r="270" spans="1:26" ht="12.7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row>
    <row r="271" spans="1:26" ht="12.7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row>
    <row r="272" spans="1:26" ht="12.7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row>
    <row r="273" spans="1:26" ht="12.7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row>
    <row r="274" spans="1:26" ht="12.7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row>
    <row r="275" spans="1:26" ht="12.7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row>
    <row r="276" spans="1:26" ht="12.7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row>
    <row r="277" spans="1:26" ht="12.7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row>
    <row r="278" spans="1:26" ht="12.7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row>
    <row r="279" spans="1:26" ht="12.7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row>
    <row r="280" spans="1:26" ht="12.7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row>
    <row r="281" spans="1:26" ht="12.7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row>
    <row r="282" spans="1:26" ht="12.7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row>
    <row r="283" spans="1:26" ht="12.7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row>
    <row r="284" spans="1:26" ht="12.7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row>
    <row r="285" spans="1:26" ht="12.7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row>
    <row r="286" spans="1:26" ht="12.7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row>
    <row r="287" spans="1:26" ht="12.7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row>
    <row r="288" spans="1:26" ht="12.7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row>
    <row r="289" spans="1:26" ht="12.7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row>
    <row r="290" spans="1:26" ht="12.7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row>
    <row r="291" spans="1:26" ht="12.7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row>
    <row r="292" spans="1:26" ht="12.7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row>
    <row r="293" spans="1:26" ht="12.7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row>
    <row r="294" spans="1:26" ht="12.7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row>
    <row r="295" spans="1:26" ht="12.7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row>
    <row r="296" spans="1:26" ht="12.7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row>
    <row r="297" spans="1:26" ht="12.7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row>
    <row r="298" spans="1:26" ht="12.7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row>
    <row r="299" spans="1:26" ht="12.7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row>
    <row r="300" spans="1:26" ht="12.7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row>
    <row r="301" spans="1:26" ht="12.7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row>
    <row r="302" spans="1:26" ht="12.7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row>
    <row r="303" spans="1:26" ht="12.7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row>
    <row r="304" spans="1:26" ht="12.7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row>
    <row r="305" spans="1:26" ht="12.7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row>
    <row r="306" spans="1:26" ht="12.7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row>
    <row r="307" spans="1:26" ht="12.7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row>
    <row r="308" spans="1:26" ht="12.7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row>
    <row r="309" spans="1:26" ht="12.7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row>
    <row r="310" spans="1:26" ht="12.7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row>
    <row r="311" spans="1:26" ht="12.7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row>
    <row r="312" spans="1:26" ht="12.7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row>
    <row r="313" spans="1:26" ht="12.7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row>
    <row r="314" spans="1:26" ht="12.7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row>
    <row r="315" spans="1:26" ht="12.7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row>
    <row r="316" spans="1:26" ht="12.7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row>
    <row r="317" spans="1:26" ht="12.7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row>
    <row r="318" spans="1:26" ht="12.7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row>
    <row r="319" spans="1:26" ht="12.7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row>
    <row r="320" spans="1:26" ht="12.7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row>
    <row r="321" spans="1:26" ht="12.7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row>
    <row r="322" spans="1:26" ht="12.7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row>
    <row r="323" spans="1:26" ht="12.7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row>
    <row r="324" spans="1:26" ht="12.7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row>
    <row r="325" spans="1:26" ht="12.7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row>
    <row r="326" spans="1:26" ht="12.7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row>
    <row r="327" spans="1:26" ht="12.7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row>
    <row r="328" spans="1:26" ht="12.7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row>
    <row r="329" spans="1:26" ht="12.7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row>
    <row r="330" spans="1:26" ht="12.7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row>
    <row r="331" spans="1:26" ht="12.7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row>
    <row r="332" spans="1:26" ht="12.7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row>
    <row r="333" spans="1:26" ht="12.7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row>
    <row r="334" spans="1:26" ht="12.7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row>
    <row r="335" spans="1:26" ht="12.7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row>
    <row r="336" spans="1:26" ht="12.7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row>
    <row r="337" spans="1:26" ht="12.7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row>
    <row r="338" spans="1:26" ht="12.7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row>
    <row r="339" spans="1:26" ht="12.7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row>
    <row r="340" spans="1:26" ht="12.7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row>
    <row r="341" spans="1:26" ht="12.7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row>
    <row r="342" spans="1:26" ht="12.7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row>
    <row r="343" spans="1:26" ht="12.7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row>
    <row r="344" spans="1:26" ht="12.7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row>
    <row r="345" spans="1:26" ht="12.7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row>
    <row r="346" spans="1:26" ht="12.7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row>
    <row r="347" spans="1:26" ht="12.7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row>
    <row r="348" spans="1:26" ht="12.7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row>
    <row r="349" spans="1:26" ht="12.7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row>
    <row r="350" spans="1:26" ht="12.7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row>
    <row r="351" spans="1:26" ht="12.7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row>
    <row r="352" spans="1:26" ht="12.7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row>
    <row r="353" spans="1:26" ht="12.7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row>
    <row r="354" spans="1:26" ht="12.7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row>
    <row r="355" spans="1:26" ht="12.7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row>
    <row r="356" spans="1:26" ht="12.7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row>
    <row r="357" spans="1:26" ht="12.7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row>
    <row r="358" spans="1:26" ht="12.7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row>
    <row r="359" spans="1:26" ht="12.7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row>
    <row r="360" spans="1:26" ht="12.7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row>
    <row r="361" spans="1:26" ht="12.7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row>
    <row r="362" spans="1:26" ht="12.7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row>
    <row r="363" spans="1:26" ht="12.7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row>
    <row r="364" spans="1:26" ht="12.7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row>
    <row r="365" spans="1:26" ht="12.7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row>
    <row r="366" spans="1:26" ht="12.7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row>
    <row r="367" spans="1:26" ht="12.7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row>
    <row r="368" spans="1:26" ht="12.7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row>
    <row r="369" spans="1:26" ht="12.7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row>
    <row r="370" spans="1:26" ht="12.7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row>
    <row r="371" spans="1:26" ht="12.7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row>
    <row r="372" spans="1:26" ht="12.7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row>
    <row r="373" spans="1:26" ht="12.7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row>
    <row r="374" spans="1:26" ht="12.7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row>
    <row r="375" spans="1:26" ht="12.7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row>
    <row r="376" spans="1:26" ht="12.7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row>
    <row r="377" spans="1:26" ht="12.7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row>
    <row r="378" spans="1:26" ht="12.7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row>
    <row r="379" spans="1:26" ht="12.7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row>
    <row r="380" spans="1:26" ht="12.7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row>
    <row r="381" spans="1:26" ht="12.7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row>
    <row r="382" spans="1:26" ht="12.7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row>
    <row r="383" spans="1:26" ht="12.7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row>
    <row r="384" spans="1:26" ht="12.7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row>
    <row r="385" spans="1:26" ht="12.7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row>
    <row r="386" spans="1:26" ht="12.7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row>
    <row r="387" spans="1:26" ht="12.7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row>
    <row r="388" spans="1:26" ht="12.7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row>
    <row r="389" spans="1:26" ht="12.7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row>
    <row r="390" spans="1:26" ht="12.7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row>
    <row r="391" spans="1:26" ht="12.7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row>
    <row r="392" spans="1:26" ht="12.7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row>
    <row r="393" spans="1:26" ht="12.7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row>
    <row r="394" spans="1:26" ht="12.7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row>
    <row r="395" spans="1:26" ht="12.7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row>
    <row r="396" spans="1:26" ht="12.7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row>
    <row r="397" spans="1:26" ht="12.7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row>
    <row r="398" spans="1:26" ht="12.7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row>
    <row r="399" spans="1:26" ht="12.7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row>
    <row r="400" spans="1:26" ht="12.7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row>
    <row r="401" spans="1:26" ht="12.7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row>
    <row r="402" spans="1:26" ht="12.7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row>
    <row r="403" spans="1:26" ht="12.7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row>
    <row r="404" spans="1:26" ht="12.7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row>
    <row r="405" spans="1:26" ht="12.7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row>
    <row r="406" spans="1:26" ht="12.7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row>
    <row r="407" spans="1:26" ht="12.7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row>
    <row r="408" spans="1:26" ht="12.7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row>
    <row r="409" spans="1:26" ht="12.7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row>
    <row r="410" spans="1:26" ht="12.75">
      <c r="A410" s="17"/>
      <c r="B410" s="17"/>
      <c r="C410" s="17"/>
      <c r="D410" s="17"/>
      <c r="E410" s="17"/>
      <c r="F410" s="17"/>
      <c r="G410" s="17"/>
      <c r="H410" s="17"/>
      <c r="I410" s="17"/>
      <c r="J410" s="17"/>
      <c r="K410" s="17"/>
      <c r="L410" s="17"/>
      <c r="M410" s="17"/>
      <c r="N410" s="17"/>
      <c r="O410" s="17"/>
      <c r="P410" s="17"/>
      <c r="Q410" s="17"/>
      <c r="R410" s="17"/>
      <c r="S410" s="17"/>
      <c r="T410" s="17"/>
      <c r="U410" s="17"/>
      <c r="V410" s="17"/>
      <c r="W410" s="17"/>
      <c r="X410" s="17"/>
      <c r="Y410" s="17"/>
      <c r="Z410" s="17"/>
    </row>
    <row r="411" spans="1:26" ht="12.75">
      <c r="A411" s="17"/>
      <c r="B411" s="17"/>
      <c r="C411" s="17"/>
      <c r="D411" s="17"/>
      <c r="E411" s="17"/>
      <c r="F411" s="17"/>
      <c r="G411" s="17"/>
      <c r="H411" s="17"/>
      <c r="I411" s="17"/>
      <c r="J411" s="17"/>
      <c r="K411" s="17"/>
      <c r="L411" s="17"/>
      <c r="M411" s="17"/>
      <c r="N411" s="17"/>
      <c r="O411" s="17"/>
      <c r="P411" s="17"/>
      <c r="Q411" s="17"/>
      <c r="R411" s="17"/>
      <c r="S411" s="17"/>
      <c r="T411" s="17"/>
      <c r="U411" s="17"/>
      <c r="V411" s="17"/>
      <c r="W411" s="17"/>
      <c r="X411" s="17"/>
      <c r="Y411" s="17"/>
      <c r="Z411" s="17"/>
    </row>
    <row r="412" spans="1:26" ht="12.75">
      <c r="A412" s="17"/>
      <c r="B412" s="17"/>
      <c r="C412" s="17"/>
      <c r="D412" s="17"/>
      <c r="E412" s="17"/>
      <c r="F412" s="17"/>
      <c r="G412" s="17"/>
      <c r="H412" s="17"/>
      <c r="I412" s="17"/>
      <c r="J412" s="17"/>
      <c r="K412" s="17"/>
      <c r="L412" s="17"/>
      <c r="M412" s="17"/>
      <c r="N412" s="17"/>
      <c r="O412" s="17"/>
      <c r="P412" s="17"/>
      <c r="Q412" s="17"/>
      <c r="R412" s="17"/>
      <c r="S412" s="17"/>
      <c r="T412" s="17"/>
      <c r="U412" s="17"/>
      <c r="V412" s="17"/>
      <c r="W412" s="17"/>
      <c r="X412" s="17"/>
      <c r="Y412" s="17"/>
      <c r="Z412" s="17"/>
    </row>
    <row r="413" spans="1:26" ht="12.75">
      <c r="A413" s="17"/>
      <c r="B413" s="17"/>
      <c r="C413" s="17"/>
      <c r="D413" s="17"/>
      <c r="E413" s="17"/>
      <c r="F413" s="17"/>
      <c r="G413" s="17"/>
      <c r="H413" s="17"/>
      <c r="I413" s="17"/>
      <c r="J413" s="17"/>
      <c r="K413" s="17"/>
      <c r="L413" s="17"/>
      <c r="M413" s="17"/>
      <c r="N413" s="17"/>
      <c r="O413" s="17"/>
      <c r="P413" s="17"/>
      <c r="Q413" s="17"/>
      <c r="R413" s="17"/>
      <c r="S413" s="17"/>
      <c r="T413" s="17"/>
      <c r="U413" s="17"/>
      <c r="V413" s="17"/>
      <c r="W413" s="17"/>
      <c r="X413" s="17"/>
      <c r="Y413" s="17"/>
      <c r="Z413" s="17"/>
    </row>
    <row r="414" spans="1:26" ht="12.75">
      <c r="A414" s="17"/>
      <c r="B414" s="17"/>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row>
    <row r="415" spans="1:26" ht="12.75">
      <c r="A415" s="17"/>
      <c r="B415" s="17"/>
      <c r="C415" s="17"/>
      <c r="D415" s="17"/>
      <c r="E415" s="17"/>
      <c r="F415" s="17"/>
      <c r="G415" s="17"/>
      <c r="H415" s="17"/>
      <c r="I415" s="17"/>
      <c r="J415" s="17"/>
      <c r="K415" s="17"/>
      <c r="L415" s="17"/>
      <c r="M415" s="17"/>
      <c r="N415" s="17"/>
      <c r="O415" s="17"/>
      <c r="P415" s="17"/>
      <c r="Q415" s="17"/>
      <c r="R415" s="17"/>
      <c r="S415" s="17"/>
      <c r="T415" s="17"/>
      <c r="U415" s="17"/>
      <c r="V415" s="17"/>
      <c r="W415" s="17"/>
      <c r="X415" s="17"/>
      <c r="Y415" s="17"/>
      <c r="Z415" s="17"/>
    </row>
    <row r="416" spans="1:26" ht="12.75">
      <c r="A416" s="17"/>
      <c r="B416" s="17"/>
      <c r="C416" s="17"/>
      <c r="D416" s="17"/>
      <c r="E416" s="17"/>
      <c r="F416" s="17"/>
      <c r="G416" s="17"/>
      <c r="H416" s="17"/>
      <c r="I416" s="17"/>
      <c r="J416" s="17"/>
      <c r="K416" s="17"/>
      <c r="L416" s="17"/>
      <c r="M416" s="17"/>
      <c r="N416" s="17"/>
      <c r="O416" s="17"/>
      <c r="P416" s="17"/>
      <c r="Q416" s="17"/>
      <c r="R416" s="17"/>
      <c r="S416" s="17"/>
      <c r="T416" s="17"/>
      <c r="U416" s="17"/>
      <c r="V416" s="17"/>
      <c r="W416" s="17"/>
      <c r="X416" s="17"/>
      <c r="Y416" s="17"/>
      <c r="Z416" s="17"/>
    </row>
    <row r="417" spans="1:26" ht="12.75">
      <c r="A417" s="17"/>
      <c r="B417" s="17"/>
      <c r="C417" s="17"/>
      <c r="D417" s="17"/>
      <c r="E417" s="17"/>
      <c r="F417" s="17"/>
      <c r="G417" s="17"/>
      <c r="H417" s="17"/>
      <c r="I417" s="17"/>
      <c r="J417" s="17"/>
      <c r="K417" s="17"/>
      <c r="L417" s="17"/>
      <c r="M417" s="17"/>
      <c r="N417" s="17"/>
      <c r="O417" s="17"/>
      <c r="P417" s="17"/>
      <c r="Q417" s="17"/>
      <c r="R417" s="17"/>
      <c r="S417" s="17"/>
      <c r="T417" s="17"/>
      <c r="U417" s="17"/>
      <c r="V417" s="17"/>
      <c r="W417" s="17"/>
      <c r="X417" s="17"/>
      <c r="Y417" s="17"/>
      <c r="Z417" s="17"/>
    </row>
    <row r="418" spans="1:26" ht="12.75">
      <c r="A418" s="17"/>
      <c r="B418" s="17"/>
      <c r="C418" s="17"/>
      <c r="D418" s="17"/>
      <c r="E418" s="17"/>
      <c r="F418" s="17"/>
      <c r="G418" s="17"/>
      <c r="H418" s="17"/>
      <c r="I418" s="17"/>
      <c r="J418" s="17"/>
      <c r="K418" s="17"/>
      <c r="L418" s="17"/>
      <c r="M418" s="17"/>
      <c r="N418" s="17"/>
      <c r="O418" s="17"/>
      <c r="P418" s="17"/>
      <c r="Q418" s="17"/>
      <c r="R418" s="17"/>
      <c r="S418" s="17"/>
      <c r="T418" s="17"/>
      <c r="U418" s="17"/>
      <c r="V418" s="17"/>
      <c r="W418" s="17"/>
      <c r="X418" s="17"/>
      <c r="Y418" s="17"/>
      <c r="Z418" s="17"/>
    </row>
    <row r="419" spans="1:26" ht="12.75">
      <c r="A419" s="17"/>
      <c r="B419" s="17"/>
      <c r="C419" s="17"/>
      <c r="D419" s="17"/>
      <c r="E419" s="17"/>
      <c r="F419" s="17"/>
      <c r="G419" s="17"/>
      <c r="H419" s="17"/>
      <c r="I419" s="17"/>
      <c r="J419" s="17"/>
      <c r="K419" s="17"/>
      <c r="L419" s="17"/>
      <c r="M419" s="17"/>
      <c r="N419" s="17"/>
      <c r="O419" s="17"/>
      <c r="P419" s="17"/>
      <c r="Q419" s="17"/>
      <c r="R419" s="17"/>
      <c r="S419" s="17"/>
      <c r="T419" s="17"/>
      <c r="U419" s="17"/>
      <c r="V419" s="17"/>
      <c r="W419" s="17"/>
      <c r="X419" s="17"/>
      <c r="Y419" s="17"/>
      <c r="Z419" s="17"/>
    </row>
    <row r="420" spans="1:26" ht="12.75">
      <c r="A420" s="17"/>
      <c r="B420" s="17"/>
      <c r="C420" s="17"/>
      <c r="D420" s="17"/>
      <c r="E420" s="17"/>
      <c r="F420" s="17"/>
      <c r="G420" s="17"/>
      <c r="H420" s="17"/>
      <c r="I420" s="17"/>
      <c r="J420" s="17"/>
      <c r="K420" s="17"/>
      <c r="L420" s="17"/>
      <c r="M420" s="17"/>
      <c r="N420" s="17"/>
      <c r="O420" s="17"/>
      <c r="P420" s="17"/>
      <c r="Q420" s="17"/>
      <c r="R420" s="17"/>
      <c r="S420" s="17"/>
      <c r="T420" s="17"/>
      <c r="U420" s="17"/>
      <c r="V420" s="17"/>
      <c r="W420" s="17"/>
      <c r="X420" s="17"/>
      <c r="Y420" s="17"/>
      <c r="Z420" s="17"/>
    </row>
    <row r="421" spans="1:26" ht="12.75">
      <c r="A421" s="17"/>
      <c r="B421" s="17"/>
      <c r="C421" s="17"/>
      <c r="D421" s="17"/>
      <c r="E421" s="17"/>
      <c r="F421" s="17"/>
      <c r="G421" s="17"/>
      <c r="H421" s="17"/>
      <c r="I421" s="17"/>
      <c r="J421" s="17"/>
      <c r="K421" s="17"/>
      <c r="L421" s="17"/>
      <c r="M421" s="17"/>
      <c r="N421" s="17"/>
      <c r="O421" s="17"/>
      <c r="P421" s="17"/>
      <c r="Q421" s="17"/>
      <c r="R421" s="17"/>
      <c r="S421" s="17"/>
      <c r="T421" s="17"/>
      <c r="U421" s="17"/>
      <c r="V421" s="17"/>
      <c r="W421" s="17"/>
      <c r="X421" s="17"/>
      <c r="Y421" s="17"/>
      <c r="Z421" s="17"/>
    </row>
    <row r="422" spans="1:26" ht="12.75">
      <c r="A422" s="17"/>
      <c r="B422" s="17"/>
      <c r="C422" s="17"/>
      <c r="D422" s="17"/>
      <c r="E422" s="17"/>
      <c r="F422" s="17"/>
      <c r="G422" s="17"/>
      <c r="H422" s="17"/>
      <c r="I422" s="17"/>
      <c r="J422" s="17"/>
      <c r="K422" s="17"/>
      <c r="L422" s="17"/>
      <c r="M422" s="17"/>
      <c r="N422" s="17"/>
      <c r="O422" s="17"/>
      <c r="P422" s="17"/>
      <c r="Q422" s="17"/>
      <c r="R422" s="17"/>
      <c r="S422" s="17"/>
      <c r="T422" s="17"/>
      <c r="U422" s="17"/>
      <c r="V422" s="17"/>
      <c r="W422" s="17"/>
      <c r="X422" s="17"/>
      <c r="Y422" s="17"/>
      <c r="Z422" s="17"/>
    </row>
    <row r="423" spans="1:26" ht="12.75">
      <c r="A423" s="17"/>
      <c r="B423" s="17"/>
      <c r="C423" s="17"/>
      <c r="D423" s="17"/>
      <c r="E423" s="17"/>
      <c r="F423" s="17"/>
      <c r="G423" s="17"/>
      <c r="H423" s="17"/>
      <c r="I423" s="17"/>
      <c r="J423" s="17"/>
      <c r="K423" s="17"/>
      <c r="L423" s="17"/>
      <c r="M423" s="17"/>
      <c r="N423" s="17"/>
      <c r="O423" s="17"/>
      <c r="P423" s="17"/>
      <c r="Q423" s="17"/>
      <c r="R423" s="17"/>
      <c r="S423" s="17"/>
      <c r="T423" s="17"/>
      <c r="U423" s="17"/>
      <c r="V423" s="17"/>
      <c r="W423" s="17"/>
      <c r="X423" s="17"/>
      <c r="Y423" s="17"/>
      <c r="Z423" s="17"/>
    </row>
    <row r="424" spans="1:26" ht="12.75">
      <c r="A424" s="17"/>
      <c r="B424" s="17"/>
      <c r="C424" s="17"/>
      <c r="D424" s="17"/>
      <c r="E424" s="17"/>
      <c r="F424" s="17"/>
      <c r="G424" s="17"/>
      <c r="H424" s="17"/>
      <c r="I424" s="17"/>
      <c r="J424" s="17"/>
      <c r="K424" s="17"/>
      <c r="L424" s="17"/>
      <c r="M424" s="17"/>
      <c r="N424" s="17"/>
      <c r="O424" s="17"/>
      <c r="P424" s="17"/>
      <c r="Q424" s="17"/>
      <c r="R424" s="17"/>
      <c r="S424" s="17"/>
      <c r="T424" s="17"/>
      <c r="U424" s="17"/>
      <c r="V424" s="17"/>
      <c r="W424" s="17"/>
      <c r="X424" s="17"/>
      <c r="Y424" s="17"/>
      <c r="Z424" s="17"/>
    </row>
    <row r="425" spans="1:26" ht="12.75">
      <c r="A425" s="17"/>
      <c r="B425" s="17"/>
      <c r="C425" s="17"/>
      <c r="D425" s="17"/>
      <c r="E425" s="17"/>
      <c r="F425" s="17"/>
      <c r="G425" s="17"/>
      <c r="H425" s="17"/>
      <c r="I425" s="17"/>
      <c r="J425" s="17"/>
      <c r="K425" s="17"/>
      <c r="L425" s="17"/>
      <c r="M425" s="17"/>
      <c r="N425" s="17"/>
      <c r="O425" s="17"/>
      <c r="P425" s="17"/>
      <c r="Q425" s="17"/>
      <c r="R425" s="17"/>
      <c r="S425" s="17"/>
      <c r="T425" s="17"/>
      <c r="U425" s="17"/>
      <c r="V425" s="17"/>
      <c r="W425" s="17"/>
      <c r="X425" s="17"/>
      <c r="Y425" s="17"/>
      <c r="Z425" s="17"/>
    </row>
    <row r="426" spans="1:26" ht="12.75">
      <c r="A426" s="17"/>
      <c r="B426" s="17"/>
      <c r="C426" s="17"/>
      <c r="D426" s="17"/>
      <c r="E426" s="17"/>
      <c r="F426" s="17"/>
      <c r="G426" s="17"/>
      <c r="H426" s="17"/>
      <c r="I426" s="17"/>
      <c r="J426" s="17"/>
      <c r="K426" s="17"/>
      <c r="L426" s="17"/>
      <c r="M426" s="17"/>
      <c r="N426" s="17"/>
      <c r="O426" s="17"/>
      <c r="P426" s="17"/>
      <c r="Q426" s="17"/>
      <c r="R426" s="17"/>
      <c r="S426" s="17"/>
      <c r="T426" s="17"/>
      <c r="U426" s="17"/>
      <c r="V426" s="17"/>
      <c r="W426" s="17"/>
      <c r="X426" s="17"/>
      <c r="Y426" s="17"/>
      <c r="Z426" s="17"/>
    </row>
    <row r="427" spans="1:26" ht="12.75">
      <c r="A427" s="17"/>
      <c r="B427" s="17"/>
      <c r="C427" s="17"/>
      <c r="D427" s="17"/>
      <c r="E427" s="17"/>
      <c r="F427" s="17"/>
      <c r="G427" s="17"/>
      <c r="H427" s="17"/>
      <c r="I427" s="17"/>
      <c r="J427" s="17"/>
      <c r="K427" s="17"/>
      <c r="L427" s="17"/>
      <c r="M427" s="17"/>
      <c r="N427" s="17"/>
      <c r="O427" s="17"/>
      <c r="P427" s="17"/>
      <c r="Q427" s="17"/>
      <c r="R427" s="17"/>
      <c r="S427" s="17"/>
      <c r="T427" s="17"/>
      <c r="U427" s="17"/>
      <c r="V427" s="17"/>
      <c r="W427" s="17"/>
      <c r="X427" s="17"/>
      <c r="Y427" s="17"/>
      <c r="Z427" s="17"/>
    </row>
    <row r="428" spans="1:26" ht="12.75">
      <c r="A428" s="17"/>
      <c r="B428" s="17"/>
      <c r="C428" s="17"/>
      <c r="D428" s="17"/>
      <c r="E428" s="17"/>
      <c r="F428" s="17"/>
      <c r="G428" s="17"/>
      <c r="H428" s="17"/>
      <c r="I428" s="17"/>
      <c r="J428" s="17"/>
      <c r="K428" s="17"/>
      <c r="L428" s="17"/>
      <c r="M428" s="17"/>
      <c r="N428" s="17"/>
      <c r="O428" s="17"/>
      <c r="P428" s="17"/>
      <c r="Q428" s="17"/>
      <c r="R428" s="17"/>
      <c r="S428" s="17"/>
      <c r="T428" s="17"/>
      <c r="U428" s="17"/>
      <c r="V428" s="17"/>
      <c r="W428" s="17"/>
      <c r="X428" s="17"/>
      <c r="Y428" s="17"/>
      <c r="Z428" s="17"/>
    </row>
    <row r="429" spans="1:26" ht="12.75">
      <c r="A429" s="17"/>
      <c r="B429" s="17"/>
      <c r="C429" s="17"/>
      <c r="D429" s="17"/>
      <c r="E429" s="17"/>
      <c r="F429" s="17"/>
      <c r="G429" s="17"/>
      <c r="H429" s="17"/>
      <c r="I429" s="17"/>
      <c r="J429" s="17"/>
      <c r="K429" s="17"/>
      <c r="L429" s="17"/>
      <c r="M429" s="17"/>
      <c r="N429" s="17"/>
      <c r="O429" s="17"/>
      <c r="P429" s="17"/>
      <c r="Q429" s="17"/>
      <c r="R429" s="17"/>
      <c r="S429" s="17"/>
      <c r="T429" s="17"/>
      <c r="U429" s="17"/>
      <c r="V429" s="17"/>
      <c r="W429" s="17"/>
      <c r="X429" s="17"/>
      <c r="Y429" s="17"/>
      <c r="Z429" s="17"/>
    </row>
    <row r="430" spans="1:26" ht="12.75">
      <c r="A430" s="17"/>
      <c r="B430" s="17"/>
      <c r="C430" s="17"/>
      <c r="D430" s="17"/>
      <c r="E430" s="17"/>
      <c r="F430" s="17"/>
      <c r="G430" s="17"/>
      <c r="H430" s="17"/>
      <c r="I430" s="17"/>
      <c r="J430" s="17"/>
      <c r="K430" s="17"/>
      <c r="L430" s="17"/>
      <c r="M430" s="17"/>
      <c r="N430" s="17"/>
      <c r="O430" s="17"/>
      <c r="P430" s="17"/>
      <c r="Q430" s="17"/>
      <c r="R430" s="17"/>
      <c r="S430" s="17"/>
      <c r="T430" s="17"/>
      <c r="U430" s="17"/>
      <c r="V430" s="17"/>
      <c r="W430" s="17"/>
      <c r="X430" s="17"/>
      <c r="Y430" s="17"/>
      <c r="Z430" s="17"/>
    </row>
    <row r="431" spans="1:26" ht="12.75">
      <c r="A431" s="17"/>
      <c r="B431" s="17"/>
      <c r="C431" s="17"/>
      <c r="D431" s="17"/>
      <c r="E431" s="17"/>
      <c r="F431" s="17"/>
      <c r="G431" s="17"/>
      <c r="H431" s="17"/>
      <c r="I431" s="17"/>
      <c r="J431" s="17"/>
      <c r="K431" s="17"/>
      <c r="L431" s="17"/>
      <c r="M431" s="17"/>
      <c r="N431" s="17"/>
      <c r="O431" s="17"/>
      <c r="P431" s="17"/>
      <c r="Q431" s="17"/>
      <c r="R431" s="17"/>
      <c r="S431" s="17"/>
      <c r="T431" s="17"/>
      <c r="U431" s="17"/>
      <c r="V431" s="17"/>
      <c r="W431" s="17"/>
      <c r="X431" s="17"/>
      <c r="Y431" s="17"/>
      <c r="Z431" s="17"/>
    </row>
    <row r="432" spans="1:26" ht="12.75">
      <c r="A432" s="17"/>
      <c r="B432" s="17"/>
      <c r="C432" s="17"/>
      <c r="D432" s="17"/>
      <c r="E432" s="17"/>
      <c r="F432" s="17"/>
      <c r="G432" s="17"/>
      <c r="H432" s="17"/>
      <c r="I432" s="17"/>
      <c r="J432" s="17"/>
      <c r="K432" s="17"/>
      <c r="L432" s="17"/>
      <c r="M432" s="17"/>
      <c r="N432" s="17"/>
      <c r="O432" s="17"/>
      <c r="P432" s="17"/>
      <c r="Q432" s="17"/>
      <c r="R432" s="17"/>
      <c r="S432" s="17"/>
      <c r="T432" s="17"/>
      <c r="U432" s="17"/>
      <c r="V432" s="17"/>
      <c r="W432" s="17"/>
      <c r="X432" s="17"/>
      <c r="Y432" s="17"/>
      <c r="Z432" s="17"/>
    </row>
    <row r="433" spans="1:26" ht="12.75">
      <c r="A433" s="17"/>
      <c r="B433" s="17"/>
      <c r="C433" s="17"/>
      <c r="D433" s="17"/>
      <c r="E433" s="17"/>
      <c r="F433" s="17"/>
      <c r="G433" s="17"/>
      <c r="H433" s="17"/>
      <c r="I433" s="17"/>
      <c r="J433" s="17"/>
      <c r="K433" s="17"/>
      <c r="L433" s="17"/>
      <c r="M433" s="17"/>
      <c r="N433" s="17"/>
      <c r="O433" s="17"/>
      <c r="P433" s="17"/>
      <c r="Q433" s="17"/>
      <c r="R433" s="17"/>
      <c r="S433" s="17"/>
      <c r="T433" s="17"/>
      <c r="U433" s="17"/>
      <c r="V433" s="17"/>
      <c r="W433" s="17"/>
      <c r="X433" s="17"/>
      <c r="Y433" s="17"/>
      <c r="Z433" s="17"/>
    </row>
    <row r="434" spans="1:26" ht="12.75">
      <c r="A434" s="17"/>
      <c r="B434" s="17"/>
      <c r="C434" s="17"/>
      <c r="D434" s="17"/>
      <c r="E434" s="17"/>
      <c r="F434" s="17"/>
      <c r="G434" s="17"/>
      <c r="H434" s="17"/>
      <c r="I434" s="17"/>
      <c r="J434" s="17"/>
      <c r="K434" s="17"/>
      <c r="L434" s="17"/>
      <c r="M434" s="17"/>
      <c r="N434" s="17"/>
      <c r="O434" s="17"/>
      <c r="P434" s="17"/>
      <c r="Q434" s="17"/>
      <c r="R434" s="17"/>
      <c r="S434" s="17"/>
      <c r="T434" s="17"/>
      <c r="U434" s="17"/>
      <c r="V434" s="17"/>
      <c r="W434" s="17"/>
      <c r="X434" s="17"/>
      <c r="Y434" s="17"/>
      <c r="Z434" s="17"/>
    </row>
    <row r="435" spans="1:26" ht="12.75">
      <c r="A435" s="17"/>
      <c r="B435" s="17"/>
      <c r="C435" s="17"/>
      <c r="D435" s="17"/>
      <c r="E435" s="17"/>
      <c r="F435" s="17"/>
      <c r="G435" s="17"/>
      <c r="H435" s="17"/>
      <c r="I435" s="17"/>
      <c r="J435" s="17"/>
      <c r="K435" s="17"/>
      <c r="L435" s="17"/>
      <c r="M435" s="17"/>
      <c r="N435" s="17"/>
      <c r="O435" s="17"/>
      <c r="P435" s="17"/>
      <c r="Q435" s="17"/>
      <c r="R435" s="17"/>
      <c r="S435" s="17"/>
      <c r="T435" s="17"/>
      <c r="U435" s="17"/>
      <c r="V435" s="17"/>
      <c r="W435" s="17"/>
      <c r="X435" s="17"/>
      <c r="Y435" s="17"/>
      <c r="Z435" s="17"/>
    </row>
    <row r="436" spans="1:26" ht="12.75">
      <c r="A436" s="17"/>
      <c r="B436" s="17"/>
      <c r="C436" s="17"/>
      <c r="D436" s="17"/>
      <c r="E436" s="17"/>
      <c r="F436" s="17"/>
      <c r="G436" s="17"/>
      <c r="H436" s="17"/>
      <c r="I436" s="17"/>
      <c r="J436" s="17"/>
      <c r="K436" s="17"/>
      <c r="L436" s="17"/>
      <c r="M436" s="17"/>
      <c r="N436" s="17"/>
      <c r="O436" s="17"/>
      <c r="P436" s="17"/>
      <c r="Q436" s="17"/>
      <c r="R436" s="17"/>
      <c r="S436" s="17"/>
      <c r="T436" s="17"/>
      <c r="U436" s="17"/>
      <c r="V436" s="17"/>
      <c r="W436" s="17"/>
      <c r="X436" s="17"/>
      <c r="Y436" s="17"/>
      <c r="Z436" s="17"/>
    </row>
    <row r="437" spans="1:26" ht="12.75">
      <c r="A437" s="17"/>
      <c r="B437" s="17"/>
      <c r="C437" s="17"/>
      <c r="D437" s="17"/>
      <c r="E437" s="17"/>
      <c r="F437" s="17"/>
      <c r="G437" s="17"/>
      <c r="H437" s="17"/>
      <c r="I437" s="17"/>
      <c r="J437" s="17"/>
      <c r="K437" s="17"/>
      <c r="L437" s="17"/>
      <c r="M437" s="17"/>
      <c r="N437" s="17"/>
      <c r="O437" s="17"/>
      <c r="P437" s="17"/>
      <c r="Q437" s="17"/>
      <c r="R437" s="17"/>
      <c r="S437" s="17"/>
      <c r="T437" s="17"/>
      <c r="U437" s="17"/>
      <c r="V437" s="17"/>
      <c r="W437" s="17"/>
      <c r="X437" s="17"/>
      <c r="Y437" s="17"/>
      <c r="Z437" s="17"/>
    </row>
    <row r="438" spans="1:26" ht="12.75">
      <c r="A438" s="17"/>
      <c r="B438" s="17"/>
      <c r="C438" s="17"/>
      <c r="D438" s="17"/>
      <c r="E438" s="17"/>
      <c r="F438" s="17"/>
      <c r="G438" s="17"/>
      <c r="H438" s="17"/>
      <c r="I438" s="17"/>
      <c r="J438" s="17"/>
      <c r="K438" s="17"/>
      <c r="L438" s="17"/>
      <c r="M438" s="17"/>
      <c r="N438" s="17"/>
      <c r="O438" s="17"/>
      <c r="P438" s="17"/>
      <c r="Q438" s="17"/>
      <c r="R438" s="17"/>
      <c r="S438" s="17"/>
      <c r="T438" s="17"/>
      <c r="U438" s="17"/>
      <c r="V438" s="17"/>
      <c r="W438" s="17"/>
      <c r="X438" s="17"/>
      <c r="Y438" s="17"/>
      <c r="Z438" s="17"/>
    </row>
    <row r="439" spans="1:26" ht="12.75">
      <c r="A439" s="17"/>
      <c r="B439" s="17"/>
      <c r="C439" s="17"/>
      <c r="D439" s="17"/>
      <c r="E439" s="17"/>
      <c r="F439" s="17"/>
      <c r="G439" s="17"/>
      <c r="H439" s="17"/>
      <c r="I439" s="17"/>
      <c r="J439" s="17"/>
      <c r="K439" s="17"/>
      <c r="L439" s="17"/>
      <c r="M439" s="17"/>
      <c r="N439" s="17"/>
      <c r="O439" s="17"/>
      <c r="P439" s="17"/>
      <c r="Q439" s="17"/>
      <c r="R439" s="17"/>
      <c r="S439" s="17"/>
      <c r="T439" s="17"/>
      <c r="U439" s="17"/>
      <c r="V439" s="17"/>
      <c r="W439" s="17"/>
      <c r="X439" s="17"/>
      <c r="Y439" s="17"/>
      <c r="Z439" s="17"/>
    </row>
    <row r="440" spans="1:26" ht="12.75">
      <c r="A440" s="17"/>
      <c r="B440" s="17"/>
      <c r="C440" s="17"/>
      <c r="D440" s="17"/>
      <c r="E440" s="17"/>
      <c r="F440" s="17"/>
      <c r="G440" s="17"/>
      <c r="H440" s="17"/>
      <c r="I440" s="17"/>
      <c r="J440" s="17"/>
      <c r="K440" s="17"/>
      <c r="L440" s="17"/>
      <c r="M440" s="17"/>
      <c r="N440" s="17"/>
      <c r="O440" s="17"/>
      <c r="P440" s="17"/>
      <c r="Q440" s="17"/>
      <c r="R440" s="17"/>
      <c r="S440" s="17"/>
      <c r="T440" s="17"/>
      <c r="U440" s="17"/>
      <c r="V440" s="17"/>
      <c r="W440" s="17"/>
      <c r="X440" s="17"/>
      <c r="Y440" s="17"/>
      <c r="Z440" s="17"/>
    </row>
    <row r="441" spans="1:26" ht="12.75">
      <c r="A441" s="17"/>
      <c r="B441" s="17"/>
      <c r="C441" s="17"/>
      <c r="D441" s="17"/>
      <c r="E441" s="17"/>
      <c r="F441" s="17"/>
      <c r="G441" s="17"/>
      <c r="H441" s="17"/>
      <c r="I441" s="17"/>
      <c r="J441" s="17"/>
      <c r="K441" s="17"/>
      <c r="L441" s="17"/>
      <c r="M441" s="17"/>
      <c r="N441" s="17"/>
      <c r="O441" s="17"/>
      <c r="P441" s="17"/>
      <c r="Q441" s="17"/>
      <c r="R441" s="17"/>
      <c r="S441" s="17"/>
      <c r="T441" s="17"/>
      <c r="U441" s="17"/>
      <c r="V441" s="17"/>
      <c r="W441" s="17"/>
      <c r="X441" s="17"/>
      <c r="Y441" s="17"/>
      <c r="Z441" s="17"/>
    </row>
    <row r="442" spans="1:26" ht="12.75">
      <c r="A442" s="17"/>
      <c r="B442" s="17"/>
      <c r="C442" s="17"/>
      <c r="D442" s="17"/>
      <c r="E442" s="17"/>
      <c r="F442" s="17"/>
      <c r="G442" s="17"/>
      <c r="H442" s="17"/>
      <c r="I442" s="17"/>
      <c r="J442" s="17"/>
      <c r="K442" s="17"/>
      <c r="L442" s="17"/>
      <c r="M442" s="17"/>
      <c r="N442" s="17"/>
      <c r="O442" s="17"/>
      <c r="P442" s="17"/>
      <c r="Q442" s="17"/>
      <c r="R442" s="17"/>
      <c r="S442" s="17"/>
      <c r="T442" s="17"/>
      <c r="U442" s="17"/>
      <c r="V442" s="17"/>
      <c r="W442" s="17"/>
      <c r="X442" s="17"/>
      <c r="Y442" s="17"/>
      <c r="Z442" s="17"/>
    </row>
    <row r="443" spans="1:26" ht="12.75">
      <c r="A443" s="17"/>
      <c r="B443" s="17"/>
      <c r="C443" s="17"/>
      <c r="D443" s="17"/>
      <c r="E443" s="17"/>
      <c r="F443" s="17"/>
      <c r="G443" s="17"/>
      <c r="H443" s="17"/>
      <c r="I443" s="17"/>
      <c r="J443" s="17"/>
      <c r="K443" s="17"/>
      <c r="L443" s="17"/>
      <c r="M443" s="17"/>
      <c r="N443" s="17"/>
      <c r="O443" s="17"/>
      <c r="P443" s="17"/>
      <c r="Q443" s="17"/>
      <c r="R443" s="17"/>
      <c r="S443" s="17"/>
      <c r="T443" s="17"/>
      <c r="U443" s="17"/>
      <c r="V443" s="17"/>
      <c r="W443" s="17"/>
      <c r="X443" s="17"/>
      <c r="Y443" s="17"/>
      <c r="Z443" s="17"/>
    </row>
    <row r="444" spans="1:26" ht="12.75">
      <c r="A444" s="17"/>
      <c r="B444" s="17"/>
      <c r="C444" s="17"/>
      <c r="D444" s="17"/>
      <c r="E444" s="17"/>
      <c r="F444" s="17"/>
      <c r="G444" s="17"/>
      <c r="H444" s="17"/>
      <c r="I444" s="17"/>
      <c r="J444" s="17"/>
      <c r="K444" s="17"/>
      <c r="L444" s="17"/>
      <c r="M444" s="17"/>
      <c r="N444" s="17"/>
      <c r="O444" s="17"/>
      <c r="P444" s="17"/>
      <c r="Q444" s="17"/>
      <c r="R444" s="17"/>
      <c r="S444" s="17"/>
      <c r="T444" s="17"/>
      <c r="U444" s="17"/>
      <c r="V444" s="17"/>
      <c r="W444" s="17"/>
      <c r="X444" s="17"/>
      <c r="Y444" s="17"/>
      <c r="Z444" s="17"/>
    </row>
    <row r="445" spans="1:26" ht="12.75">
      <c r="A445" s="17"/>
      <c r="B445" s="17"/>
      <c r="C445" s="17"/>
      <c r="D445" s="17"/>
      <c r="E445" s="17"/>
      <c r="F445" s="17"/>
      <c r="G445" s="17"/>
      <c r="H445" s="17"/>
      <c r="I445" s="17"/>
      <c r="J445" s="17"/>
      <c r="K445" s="17"/>
      <c r="L445" s="17"/>
      <c r="M445" s="17"/>
      <c r="N445" s="17"/>
      <c r="O445" s="17"/>
      <c r="P445" s="17"/>
      <c r="Q445" s="17"/>
      <c r="R445" s="17"/>
      <c r="S445" s="17"/>
      <c r="T445" s="17"/>
      <c r="U445" s="17"/>
      <c r="V445" s="17"/>
      <c r="W445" s="17"/>
      <c r="X445" s="17"/>
      <c r="Y445" s="17"/>
      <c r="Z445" s="17"/>
    </row>
    <row r="446" spans="1:26" ht="12.75">
      <c r="A446" s="17"/>
      <c r="B446" s="17"/>
      <c r="C446" s="17"/>
      <c r="D446" s="17"/>
      <c r="E446" s="17"/>
      <c r="F446" s="17"/>
      <c r="G446" s="17"/>
      <c r="H446" s="17"/>
      <c r="I446" s="17"/>
      <c r="J446" s="17"/>
      <c r="K446" s="17"/>
      <c r="L446" s="17"/>
      <c r="M446" s="17"/>
      <c r="N446" s="17"/>
      <c r="O446" s="17"/>
      <c r="P446" s="17"/>
      <c r="Q446" s="17"/>
      <c r="R446" s="17"/>
      <c r="S446" s="17"/>
      <c r="T446" s="17"/>
      <c r="U446" s="17"/>
      <c r="V446" s="17"/>
      <c r="W446" s="17"/>
      <c r="X446" s="17"/>
      <c r="Y446" s="17"/>
      <c r="Z446" s="17"/>
    </row>
    <row r="447" spans="1:26" ht="12.75">
      <c r="A447" s="17"/>
      <c r="B447" s="17"/>
      <c r="C447" s="17"/>
      <c r="D447" s="17"/>
      <c r="E447" s="17"/>
      <c r="F447" s="17"/>
      <c r="G447" s="17"/>
      <c r="H447" s="17"/>
      <c r="I447" s="17"/>
      <c r="J447" s="17"/>
      <c r="K447" s="17"/>
      <c r="L447" s="17"/>
      <c r="M447" s="17"/>
      <c r="N447" s="17"/>
      <c r="O447" s="17"/>
      <c r="P447" s="17"/>
      <c r="Q447" s="17"/>
      <c r="R447" s="17"/>
      <c r="S447" s="17"/>
      <c r="T447" s="17"/>
      <c r="U447" s="17"/>
      <c r="V447" s="17"/>
      <c r="W447" s="17"/>
      <c r="X447" s="17"/>
      <c r="Y447" s="17"/>
      <c r="Z447" s="17"/>
    </row>
    <row r="448" spans="1:26" ht="12.75">
      <c r="A448" s="17"/>
      <c r="B448" s="17"/>
      <c r="C448" s="17"/>
      <c r="D448" s="17"/>
      <c r="E448" s="17"/>
      <c r="F448" s="17"/>
      <c r="G448" s="17"/>
      <c r="H448" s="17"/>
      <c r="I448" s="17"/>
      <c r="J448" s="17"/>
      <c r="K448" s="17"/>
      <c r="L448" s="17"/>
      <c r="M448" s="17"/>
      <c r="N448" s="17"/>
      <c r="O448" s="17"/>
      <c r="P448" s="17"/>
      <c r="Q448" s="17"/>
      <c r="R448" s="17"/>
      <c r="S448" s="17"/>
      <c r="T448" s="17"/>
      <c r="U448" s="17"/>
      <c r="V448" s="17"/>
      <c r="W448" s="17"/>
      <c r="X448" s="17"/>
      <c r="Y448" s="17"/>
      <c r="Z448" s="17"/>
    </row>
    <row r="449" spans="1:26" ht="12.75">
      <c r="A449" s="17"/>
      <c r="B449" s="17"/>
      <c r="C449" s="17"/>
      <c r="D449" s="17"/>
      <c r="E449" s="17"/>
      <c r="F449" s="17"/>
      <c r="G449" s="17"/>
      <c r="H449" s="17"/>
      <c r="I449" s="17"/>
      <c r="J449" s="17"/>
      <c r="K449" s="17"/>
      <c r="L449" s="17"/>
      <c r="M449" s="17"/>
      <c r="N449" s="17"/>
      <c r="O449" s="17"/>
      <c r="P449" s="17"/>
      <c r="Q449" s="17"/>
      <c r="R449" s="17"/>
      <c r="S449" s="17"/>
      <c r="T449" s="17"/>
      <c r="U449" s="17"/>
      <c r="V449" s="17"/>
      <c r="W449" s="17"/>
      <c r="X449" s="17"/>
      <c r="Y449" s="17"/>
      <c r="Z449" s="17"/>
    </row>
    <row r="450" spans="1:26" ht="12.75">
      <c r="A450" s="17"/>
      <c r="B450" s="17"/>
      <c r="C450" s="17"/>
      <c r="D450" s="17"/>
      <c r="E450" s="17"/>
      <c r="F450" s="17"/>
      <c r="G450" s="17"/>
      <c r="H450" s="17"/>
      <c r="I450" s="17"/>
      <c r="J450" s="17"/>
      <c r="K450" s="17"/>
      <c r="L450" s="17"/>
      <c r="M450" s="17"/>
      <c r="N450" s="17"/>
      <c r="O450" s="17"/>
      <c r="P450" s="17"/>
      <c r="Q450" s="17"/>
      <c r="R450" s="17"/>
      <c r="S450" s="17"/>
      <c r="T450" s="17"/>
      <c r="U450" s="17"/>
      <c r="V450" s="17"/>
      <c r="W450" s="17"/>
      <c r="X450" s="17"/>
      <c r="Y450" s="17"/>
      <c r="Z450" s="17"/>
    </row>
    <row r="451" spans="1:26" ht="12.75">
      <c r="A451" s="17"/>
      <c r="B451" s="17"/>
      <c r="C451" s="17"/>
      <c r="D451" s="17"/>
      <c r="E451" s="17"/>
      <c r="F451" s="17"/>
      <c r="G451" s="17"/>
      <c r="H451" s="17"/>
      <c r="I451" s="17"/>
      <c r="J451" s="17"/>
      <c r="K451" s="17"/>
      <c r="L451" s="17"/>
      <c r="M451" s="17"/>
      <c r="N451" s="17"/>
      <c r="O451" s="17"/>
      <c r="P451" s="17"/>
      <c r="Q451" s="17"/>
      <c r="R451" s="17"/>
      <c r="S451" s="17"/>
      <c r="T451" s="17"/>
      <c r="U451" s="17"/>
      <c r="V451" s="17"/>
      <c r="W451" s="17"/>
      <c r="X451" s="17"/>
      <c r="Y451" s="17"/>
      <c r="Z451" s="17"/>
    </row>
    <row r="452" spans="1:26" ht="12.75">
      <c r="A452" s="17"/>
      <c r="B452" s="17"/>
      <c r="C452" s="17"/>
      <c r="D452" s="17"/>
      <c r="E452" s="17"/>
      <c r="F452" s="17"/>
      <c r="G452" s="17"/>
      <c r="H452" s="17"/>
      <c r="I452" s="17"/>
      <c r="J452" s="17"/>
      <c r="K452" s="17"/>
      <c r="L452" s="17"/>
      <c r="M452" s="17"/>
      <c r="N452" s="17"/>
      <c r="O452" s="17"/>
      <c r="P452" s="17"/>
      <c r="Q452" s="17"/>
      <c r="R452" s="17"/>
      <c r="S452" s="17"/>
      <c r="T452" s="17"/>
      <c r="U452" s="17"/>
      <c r="V452" s="17"/>
      <c r="W452" s="17"/>
      <c r="X452" s="17"/>
      <c r="Y452" s="17"/>
      <c r="Z452" s="17"/>
    </row>
    <row r="453" spans="1:26" ht="12.75">
      <c r="A453" s="17"/>
      <c r="B453" s="17"/>
      <c r="C453" s="17"/>
      <c r="D453" s="17"/>
      <c r="E453" s="17"/>
      <c r="F453" s="17"/>
      <c r="G453" s="17"/>
      <c r="H453" s="17"/>
      <c r="I453" s="17"/>
      <c r="J453" s="17"/>
      <c r="K453" s="17"/>
      <c r="L453" s="17"/>
      <c r="M453" s="17"/>
      <c r="N453" s="17"/>
      <c r="O453" s="17"/>
      <c r="P453" s="17"/>
      <c r="Q453" s="17"/>
      <c r="R453" s="17"/>
      <c r="S453" s="17"/>
      <c r="T453" s="17"/>
      <c r="U453" s="17"/>
      <c r="V453" s="17"/>
      <c r="W453" s="17"/>
      <c r="X453" s="17"/>
      <c r="Y453" s="17"/>
      <c r="Z453" s="17"/>
    </row>
    <row r="454" spans="1:26" ht="12.75">
      <c r="A454" s="17"/>
      <c r="B454" s="17"/>
      <c r="C454" s="17"/>
      <c r="D454" s="17"/>
      <c r="E454" s="17"/>
      <c r="F454" s="17"/>
      <c r="G454" s="17"/>
      <c r="H454" s="17"/>
      <c r="I454" s="17"/>
      <c r="J454" s="17"/>
      <c r="K454" s="17"/>
      <c r="L454" s="17"/>
      <c r="M454" s="17"/>
      <c r="N454" s="17"/>
      <c r="O454" s="17"/>
      <c r="P454" s="17"/>
      <c r="Q454" s="17"/>
      <c r="R454" s="17"/>
      <c r="S454" s="17"/>
      <c r="T454" s="17"/>
      <c r="U454" s="17"/>
      <c r="V454" s="17"/>
      <c r="W454" s="17"/>
      <c r="X454" s="17"/>
      <c r="Y454" s="17"/>
      <c r="Z454" s="17"/>
    </row>
    <row r="455" spans="1:26" ht="12.75">
      <c r="A455" s="17"/>
      <c r="B455" s="17"/>
      <c r="C455" s="17"/>
      <c r="D455" s="17"/>
      <c r="E455" s="17"/>
      <c r="F455" s="17"/>
      <c r="G455" s="17"/>
      <c r="H455" s="17"/>
      <c r="I455" s="17"/>
      <c r="J455" s="17"/>
      <c r="K455" s="17"/>
      <c r="L455" s="17"/>
      <c r="M455" s="17"/>
      <c r="N455" s="17"/>
      <c r="O455" s="17"/>
      <c r="P455" s="17"/>
      <c r="Q455" s="17"/>
      <c r="R455" s="17"/>
      <c r="S455" s="17"/>
      <c r="T455" s="17"/>
      <c r="U455" s="17"/>
      <c r="V455" s="17"/>
      <c r="W455" s="17"/>
      <c r="X455" s="17"/>
      <c r="Y455" s="17"/>
      <c r="Z455" s="17"/>
    </row>
    <row r="456" spans="1:26" ht="12.75">
      <c r="A456" s="17"/>
      <c r="B456" s="17"/>
      <c r="C456" s="17"/>
      <c r="D456" s="17"/>
      <c r="E456" s="17"/>
      <c r="F456" s="17"/>
      <c r="G456" s="17"/>
      <c r="H456" s="17"/>
      <c r="I456" s="17"/>
      <c r="J456" s="17"/>
      <c r="K456" s="17"/>
      <c r="L456" s="17"/>
      <c r="M456" s="17"/>
      <c r="N456" s="17"/>
      <c r="O456" s="17"/>
      <c r="P456" s="17"/>
      <c r="Q456" s="17"/>
      <c r="R456" s="17"/>
      <c r="S456" s="17"/>
      <c r="T456" s="17"/>
      <c r="U456" s="17"/>
      <c r="V456" s="17"/>
      <c r="W456" s="17"/>
      <c r="X456" s="17"/>
      <c r="Y456" s="17"/>
      <c r="Z456" s="17"/>
    </row>
    <row r="457" spans="1:26" ht="12.75">
      <c r="A457" s="17"/>
      <c r="B457" s="17"/>
      <c r="C457" s="17"/>
      <c r="D457" s="17"/>
      <c r="E457" s="17"/>
      <c r="F457" s="17"/>
      <c r="G457" s="17"/>
      <c r="H457" s="17"/>
      <c r="I457" s="17"/>
      <c r="J457" s="17"/>
      <c r="K457" s="17"/>
      <c r="L457" s="17"/>
      <c r="M457" s="17"/>
      <c r="N457" s="17"/>
      <c r="O457" s="17"/>
      <c r="P457" s="17"/>
      <c r="Q457" s="17"/>
      <c r="R457" s="17"/>
      <c r="S457" s="17"/>
      <c r="T457" s="17"/>
      <c r="U457" s="17"/>
      <c r="V457" s="17"/>
      <c r="W457" s="17"/>
      <c r="X457" s="17"/>
      <c r="Y457" s="17"/>
      <c r="Z457" s="17"/>
    </row>
    <row r="458" spans="1:26" ht="12.75">
      <c r="A458" s="17"/>
      <c r="B458" s="17"/>
      <c r="C458" s="17"/>
      <c r="D458" s="17"/>
      <c r="E458" s="17"/>
      <c r="F458" s="17"/>
      <c r="G458" s="17"/>
      <c r="H458" s="17"/>
      <c r="I458" s="17"/>
      <c r="J458" s="17"/>
      <c r="K458" s="17"/>
      <c r="L458" s="17"/>
      <c r="M458" s="17"/>
      <c r="N458" s="17"/>
      <c r="O458" s="17"/>
      <c r="P458" s="17"/>
      <c r="Q458" s="17"/>
      <c r="R458" s="17"/>
      <c r="S458" s="17"/>
      <c r="T458" s="17"/>
      <c r="U458" s="17"/>
      <c r="V458" s="17"/>
      <c r="W458" s="17"/>
      <c r="X458" s="17"/>
      <c r="Y458" s="17"/>
      <c r="Z458" s="17"/>
    </row>
    <row r="459" spans="1:26" ht="12.75">
      <c r="A459" s="17"/>
      <c r="B459" s="17"/>
      <c r="C459" s="17"/>
      <c r="D459" s="17"/>
      <c r="E459" s="17"/>
      <c r="F459" s="17"/>
      <c r="G459" s="17"/>
      <c r="H459" s="17"/>
      <c r="I459" s="17"/>
      <c r="J459" s="17"/>
      <c r="K459" s="17"/>
      <c r="L459" s="17"/>
      <c r="M459" s="17"/>
      <c r="N459" s="17"/>
      <c r="O459" s="17"/>
      <c r="P459" s="17"/>
      <c r="Q459" s="17"/>
      <c r="R459" s="17"/>
      <c r="S459" s="17"/>
      <c r="T459" s="17"/>
      <c r="U459" s="17"/>
      <c r="V459" s="17"/>
      <c r="W459" s="17"/>
      <c r="X459" s="17"/>
      <c r="Y459" s="17"/>
      <c r="Z459" s="17"/>
    </row>
    <row r="460" spans="1:26" ht="12.75">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row>
    <row r="461" spans="1:26" ht="12.75">
      <c r="A461" s="17"/>
      <c r="B461" s="17"/>
      <c r="C461" s="17"/>
      <c r="D461" s="17"/>
      <c r="E461" s="17"/>
      <c r="F461" s="17"/>
      <c r="G461" s="17"/>
      <c r="H461" s="17"/>
      <c r="I461" s="17"/>
      <c r="J461" s="17"/>
      <c r="K461" s="17"/>
      <c r="L461" s="17"/>
      <c r="M461" s="17"/>
      <c r="N461" s="17"/>
      <c r="O461" s="17"/>
      <c r="P461" s="17"/>
      <c r="Q461" s="17"/>
      <c r="R461" s="17"/>
      <c r="S461" s="17"/>
      <c r="T461" s="17"/>
      <c r="U461" s="17"/>
      <c r="V461" s="17"/>
      <c r="W461" s="17"/>
      <c r="X461" s="17"/>
      <c r="Y461" s="17"/>
      <c r="Z461" s="17"/>
    </row>
    <row r="462" spans="1:26" ht="12.75">
      <c r="A462" s="17"/>
      <c r="B462" s="17"/>
      <c r="C462" s="17"/>
      <c r="D462" s="17"/>
      <c r="E462" s="17"/>
      <c r="F462" s="17"/>
      <c r="G462" s="17"/>
      <c r="H462" s="17"/>
      <c r="I462" s="17"/>
      <c r="J462" s="17"/>
      <c r="K462" s="17"/>
      <c r="L462" s="17"/>
      <c r="M462" s="17"/>
      <c r="N462" s="17"/>
      <c r="O462" s="17"/>
      <c r="P462" s="17"/>
      <c r="Q462" s="17"/>
      <c r="R462" s="17"/>
      <c r="S462" s="17"/>
      <c r="T462" s="17"/>
      <c r="U462" s="17"/>
      <c r="V462" s="17"/>
      <c r="W462" s="17"/>
      <c r="X462" s="17"/>
      <c r="Y462" s="17"/>
      <c r="Z462" s="17"/>
    </row>
    <row r="463" spans="1:26" ht="12.75">
      <c r="A463" s="17"/>
      <c r="B463" s="17"/>
      <c r="C463" s="17"/>
      <c r="D463" s="17"/>
      <c r="E463" s="17"/>
      <c r="F463" s="17"/>
      <c r="G463" s="17"/>
      <c r="H463" s="17"/>
      <c r="I463" s="17"/>
      <c r="J463" s="17"/>
      <c r="K463" s="17"/>
      <c r="L463" s="17"/>
      <c r="M463" s="17"/>
      <c r="N463" s="17"/>
      <c r="O463" s="17"/>
      <c r="P463" s="17"/>
      <c r="Q463" s="17"/>
      <c r="R463" s="17"/>
      <c r="S463" s="17"/>
      <c r="T463" s="17"/>
      <c r="U463" s="17"/>
      <c r="V463" s="17"/>
      <c r="W463" s="17"/>
      <c r="X463" s="17"/>
      <c r="Y463" s="17"/>
      <c r="Z463" s="17"/>
    </row>
    <row r="464" spans="1:26" ht="12.75">
      <c r="A464" s="17"/>
      <c r="B464" s="17"/>
      <c r="C464" s="17"/>
      <c r="D464" s="17"/>
      <c r="E464" s="17"/>
      <c r="F464" s="17"/>
      <c r="G464" s="17"/>
      <c r="H464" s="17"/>
      <c r="I464" s="17"/>
      <c r="J464" s="17"/>
      <c r="K464" s="17"/>
      <c r="L464" s="17"/>
      <c r="M464" s="17"/>
      <c r="N464" s="17"/>
      <c r="O464" s="17"/>
      <c r="P464" s="17"/>
      <c r="Q464" s="17"/>
      <c r="R464" s="17"/>
      <c r="S464" s="17"/>
      <c r="T464" s="17"/>
      <c r="U464" s="17"/>
      <c r="V464" s="17"/>
      <c r="W464" s="17"/>
      <c r="X464" s="17"/>
      <c r="Y464" s="17"/>
      <c r="Z464" s="17"/>
    </row>
    <row r="465" spans="1:26" ht="12.75">
      <c r="A465" s="17"/>
      <c r="B465" s="17"/>
      <c r="C465" s="17"/>
      <c r="D465" s="17"/>
      <c r="E465" s="17"/>
      <c r="F465" s="17"/>
      <c r="G465" s="17"/>
      <c r="H465" s="17"/>
      <c r="I465" s="17"/>
      <c r="J465" s="17"/>
      <c r="K465" s="17"/>
      <c r="L465" s="17"/>
      <c r="M465" s="17"/>
      <c r="N465" s="17"/>
      <c r="O465" s="17"/>
      <c r="P465" s="17"/>
      <c r="Q465" s="17"/>
      <c r="R465" s="17"/>
      <c r="S465" s="17"/>
      <c r="T465" s="17"/>
      <c r="U465" s="17"/>
      <c r="V465" s="17"/>
      <c r="W465" s="17"/>
      <c r="X465" s="17"/>
      <c r="Y465" s="17"/>
      <c r="Z465" s="17"/>
    </row>
    <row r="466" spans="1:26" ht="12.75">
      <c r="A466" s="17"/>
      <c r="B466" s="17"/>
      <c r="C466" s="17"/>
      <c r="D466" s="17"/>
      <c r="E466" s="17"/>
      <c r="F466" s="17"/>
      <c r="G466" s="17"/>
      <c r="H466" s="17"/>
      <c r="I466" s="17"/>
      <c r="J466" s="17"/>
      <c r="K466" s="17"/>
      <c r="L466" s="17"/>
      <c r="M466" s="17"/>
      <c r="N466" s="17"/>
      <c r="O466" s="17"/>
      <c r="P466" s="17"/>
      <c r="Q466" s="17"/>
      <c r="R466" s="17"/>
      <c r="S466" s="17"/>
      <c r="T466" s="17"/>
      <c r="U466" s="17"/>
      <c r="V466" s="17"/>
      <c r="W466" s="17"/>
      <c r="X466" s="17"/>
      <c r="Y466" s="17"/>
      <c r="Z466" s="17"/>
    </row>
    <row r="467" spans="1:26" ht="12.75">
      <c r="A467" s="17"/>
      <c r="B467" s="17"/>
      <c r="C467" s="17"/>
      <c r="D467" s="17"/>
      <c r="E467" s="17"/>
      <c r="F467" s="17"/>
      <c r="G467" s="17"/>
      <c r="H467" s="17"/>
      <c r="I467" s="17"/>
      <c r="J467" s="17"/>
      <c r="K467" s="17"/>
      <c r="L467" s="17"/>
      <c r="M467" s="17"/>
      <c r="N467" s="17"/>
      <c r="O467" s="17"/>
      <c r="P467" s="17"/>
      <c r="Q467" s="17"/>
      <c r="R467" s="17"/>
      <c r="S467" s="17"/>
      <c r="T467" s="17"/>
      <c r="U467" s="17"/>
      <c r="V467" s="17"/>
      <c r="W467" s="17"/>
      <c r="X467" s="17"/>
      <c r="Y467" s="17"/>
      <c r="Z467" s="17"/>
    </row>
    <row r="468" spans="1:26" ht="12.75">
      <c r="A468" s="17"/>
      <c r="B468" s="17"/>
      <c r="C468" s="17"/>
      <c r="D468" s="17"/>
      <c r="E468" s="17"/>
      <c r="F468" s="17"/>
      <c r="G468" s="17"/>
      <c r="H468" s="17"/>
      <c r="I468" s="17"/>
      <c r="J468" s="17"/>
      <c r="K468" s="17"/>
      <c r="L468" s="17"/>
      <c r="M468" s="17"/>
      <c r="N468" s="17"/>
      <c r="O468" s="17"/>
      <c r="P468" s="17"/>
      <c r="Q468" s="17"/>
      <c r="R468" s="17"/>
      <c r="S468" s="17"/>
      <c r="T468" s="17"/>
      <c r="U468" s="17"/>
      <c r="V468" s="17"/>
      <c r="W468" s="17"/>
      <c r="X468" s="17"/>
      <c r="Y468" s="17"/>
      <c r="Z468" s="17"/>
    </row>
    <row r="469" spans="1:26" ht="12.75">
      <c r="A469" s="17"/>
      <c r="B469" s="17"/>
      <c r="C469" s="17"/>
      <c r="D469" s="17"/>
      <c r="E469" s="17"/>
      <c r="F469" s="17"/>
      <c r="G469" s="17"/>
      <c r="H469" s="17"/>
      <c r="I469" s="17"/>
      <c r="J469" s="17"/>
      <c r="K469" s="17"/>
      <c r="L469" s="17"/>
      <c r="M469" s="17"/>
      <c r="N469" s="17"/>
      <c r="O469" s="17"/>
      <c r="P469" s="17"/>
      <c r="Q469" s="17"/>
      <c r="R469" s="17"/>
      <c r="S469" s="17"/>
      <c r="T469" s="17"/>
      <c r="U469" s="17"/>
      <c r="V469" s="17"/>
      <c r="W469" s="17"/>
      <c r="X469" s="17"/>
      <c r="Y469" s="17"/>
      <c r="Z469" s="17"/>
    </row>
    <row r="470" spans="1:26" ht="12.75">
      <c r="A470" s="17"/>
      <c r="B470" s="17"/>
      <c r="C470" s="17"/>
      <c r="D470" s="17"/>
      <c r="E470" s="17"/>
      <c r="F470" s="17"/>
      <c r="G470" s="17"/>
      <c r="H470" s="17"/>
      <c r="I470" s="17"/>
      <c r="J470" s="17"/>
      <c r="K470" s="17"/>
      <c r="L470" s="17"/>
      <c r="M470" s="17"/>
      <c r="N470" s="17"/>
      <c r="O470" s="17"/>
      <c r="P470" s="17"/>
      <c r="Q470" s="17"/>
      <c r="R470" s="17"/>
      <c r="S470" s="17"/>
      <c r="T470" s="17"/>
      <c r="U470" s="17"/>
      <c r="V470" s="17"/>
      <c r="W470" s="17"/>
      <c r="X470" s="17"/>
      <c r="Y470" s="17"/>
      <c r="Z470" s="17"/>
    </row>
    <row r="471" spans="1:26" ht="12.75">
      <c r="A471" s="17"/>
      <c r="B471" s="17"/>
      <c r="C471" s="17"/>
      <c r="D471" s="17"/>
      <c r="E471" s="17"/>
      <c r="F471" s="17"/>
      <c r="G471" s="17"/>
      <c r="H471" s="17"/>
      <c r="I471" s="17"/>
      <c r="J471" s="17"/>
      <c r="K471" s="17"/>
      <c r="L471" s="17"/>
      <c r="M471" s="17"/>
      <c r="N471" s="17"/>
      <c r="O471" s="17"/>
      <c r="P471" s="17"/>
      <c r="Q471" s="17"/>
      <c r="R471" s="17"/>
      <c r="S471" s="17"/>
      <c r="T471" s="17"/>
      <c r="U471" s="17"/>
      <c r="V471" s="17"/>
      <c r="W471" s="17"/>
      <c r="X471" s="17"/>
      <c r="Y471" s="17"/>
      <c r="Z471" s="17"/>
    </row>
    <row r="472" spans="1:26" ht="12.75">
      <c r="A472" s="17"/>
      <c r="B472" s="17"/>
      <c r="C472" s="17"/>
      <c r="D472" s="17"/>
      <c r="E472" s="17"/>
      <c r="F472" s="17"/>
      <c r="G472" s="17"/>
      <c r="H472" s="17"/>
      <c r="I472" s="17"/>
      <c r="J472" s="17"/>
      <c r="K472" s="17"/>
      <c r="L472" s="17"/>
      <c r="M472" s="17"/>
      <c r="N472" s="17"/>
      <c r="O472" s="17"/>
      <c r="P472" s="17"/>
      <c r="Q472" s="17"/>
      <c r="R472" s="17"/>
      <c r="S472" s="17"/>
      <c r="T472" s="17"/>
      <c r="U472" s="17"/>
      <c r="V472" s="17"/>
      <c r="W472" s="17"/>
      <c r="X472" s="17"/>
      <c r="Y472" s="17"/>
      <c r="Z472" s="17"/>
    </row>
    <row r="473" spans="1:26" ht="12.75">
      <c r="A473" s="17"/>
      <c r="B473" s="17"/>
      <c r="C473" s="17"/>
      <c r="D473" s="17"/>
      <c r="E473" s="17"/>
      <c r="F473" s="17"/>
      <c r="G473" s="17"/>
      <c r="H473" s="17"/>
      <c r="I473" s="17"/>
      <c r="J473" s="17"/>
      <c r="K473" s="17"/>
      <c r="L473" s="17"/>
      <c r="M473" s="17"/>
      <c r="N473" s="17"/>
      <c r="O473" s="17"/>
      <c r="P473" s="17"/>
      <c r="Q473" s="17"/>
      <c r="R473" s="17"/>
      <c r="S473" s="17"/>
      <c r="T473" s="17"/>
      <c r="U473" s="17"/>
      <c r="V473" s="17"/>
      <c r="W473" s="17"/>
      <c r="X473" s="17"/>
      <c r="Y473" s="17"/>
      <c r="Z473" s="17"/>
    </row>
    <row r="474" spans="1:26" ht="12.75">
      <c r="A474" s="17"/>
      <c r="B474" s="17"/>
      <c r="C474" s="17"/>
      <c r="D474" s="17"/>
      <c r="E474" s="17"/>
      <c r="F474" s="17"/>
      <c r="G474" s="17"/>
      <c r="H474" s="17"/>
      <c r="I474" s="17"/>
      <c r="J474" s="17"/>
      <c r="K474" s="17"/>
      <c r="L474" s="17"/>
      <c r="M474" s="17"/>
      <c r="N474" s="17"/>
      <c r="O474" s="17"/>
      <c r="P474" s="17"/>
      <c r="Q474" s="17"/>
      <c r="R474" s="17"/>
      <c r="S474" s="17"/>
      <c r="T474" s="17"/>
      <c r="U474" s="17"/>
      <c r="V474" s="17"/>
      <c r="W474" s="17"/>
      <c r="X474" s="17"/>
      <c r="Y474" s="17"/>
      <c r="Z474" s="17"/>
    </row>
    <row r="475" spans="1:26" ht="12.75">
      <c r="A475" s="17"/>
      <c r="B475" s="17"/>
      <c r="C475" s="17"/>
      <c r="D475" s="17"/>
      <c r="E475" s="17"/>
      <c r="F475" s="17"/>
      <c r="G475" s="17"/>
      <c r="H475" s="17"/>
      <c r="I475" s="17"/>
      <c r="J475" s="17"/>
      <c r="K475" s="17"/>
      <c r="L475" s="17"/>
      <c r="M475" s="17"/>
      <c r="N475" s="17"/>
      <c r="O475" s="17"/>
      <c r="P475" s="17"/>
      <c r="Q475" s="17"/>
      <c r="R475" s="17"/>
      <c r="S475" s="17"/>
      <c r="T475" s="17"/>
      <c r="U475" s="17"/>
      <c r="V475" s="17"/>
      <c r="W475" s="17"/>
      <c r="X475" s="17"/>
      <c r="Y475" s="17"/>
      <c r="Z475" s="17"/>
    </row>
    <row r="476" spans="1:26" ht="12.75">
      <c r="A476" s="17"/>
      <c r="B476" s="17"/>
      <c r="C476" s="17"/>
      <c r="D476" s="17"/>
      <c r="E476" s="17"/>
      <c r="F476" s="17"/>
      <c r="G476" s="17"/>
      <c r="H476" s="17"/>
      <c r="I476" s="17"/>
      <c r="J476" s="17"/>
      <c r="K476" s="17"/>
      <c r="L476" s="17"/>
      <c r="M476" s="17"/>
      <c r="N476" s="17"/>
      <c r="O476" s="17"/>
      <c r="P476" s="17"/>
      <c r="Q476" s="17"/>
      <c r="R476" s="17"/>
      <c r="S476" s="17"/>
      <c r="T476" s="17"/>
      <c r="U476" s="17"/>
      <c r="V476" s="17"/>
      <c r="W476" s="17"/>
      <c r="X476" s="17"/>
      <c r="Y476" s="17"/>
      <c r="Z476" s="17"/>
    </row>
    <row r="477" spans="1:26" ht="12.75">
      <c r="A477" s="17"/>
      <c r="B477" s="17"/>
      <c r="C477" s="17"/>
      <c r="D477" s="17"/>
      <c r="E477" s="17"/>
      <c r="F477" s="17"/>
      <c r="G477" s="17"/>
      <c r="H477" s="17"/>
      <c r="I477" s="17"/>
      <c r="J477" s="17"/>
      <c r="K477" s="17"/>
      <c r="L477" s="17"/>
      <c r="M477" s="17"/>
      <c r="N477" s="17"/>
      <c r="O477" s="17"/>
      <c r="P477" s="17"/>
      <c r="Q477" s="17"/>
      <c r="R477" s="17"/>
      <c r="S477" s="17"/>
      <c r="T477" s="17"/>
      <c r="U477" s="17"/>
      <c r="V477" s="17"/>
      <c r="W477" s="17"/>
      <c r="X477" s="17"/>
      <c r="Y477" s="17"/>
      <c r="Z477" s="17"/>
    </row>
    <row r="478" spans="1:26" ht="12.75">
      <c r="A478" s="17"/>
      <c r="B478" s="17"/>
      <c r="C478" s="17"/>
      <c r="D478" s="17"/>
      <c r="E478" s="17"/>
      <c r="F478" s="17"/>
      <c r="G478" s="17"/>
      <c r="H478" s="17"/>
      <c r="I478" s="17"/>
      <c r="J478" s="17"/>
      <c r="K478" s="17"/>
      <c r="L478" s="17"/>
      <c r="M478" s="17"/>
      <c r="N478" s="17"/>
      <c r="O478" s="17"/>
      <c r="P478" s="17"/>
      <c r="Q478" s="17"/>
      <c r="R478" s="17"/>
      <c r="S478" s="17"/>
      <c r="T478" s="17"/>
      <c r="U478" s="17"/>
      <c r="V478" s="17"/>
      <c r="W478" s="17"/>
      <c r="X478" s="17"/>
      <c r="Y478" s="17"/>
      <c r="Z478" s="17"/>
    </row>
    <row r="479" spans="1:26" ht="12.75">
      <c r="A479" s="17"/>
      <c r="B479" s="17"/>
      <c r="C479" s="17"/>
      <c r="D479" s="17"/>
      <c r="E479" s="17"/>
      <c r="F479" s="17"/>
      <c r="G479" s="17"/>
      <c r="H479" s="17"/>
      <c r="I479" s="17"/>
      <c r="J479" s="17"/>
      <c r="K479" s="17"/>
      <c r="L479" s="17"/>
      <c r="M479" s="17"/>
      <c r="N479" s="17"/>
      <c r="O479" s="17"/>
      <c r="P479" s="17"/>
      <c r="Q479" s="17"/>
      <c r="R479" s="17"/>
      <c r="S479" s="17"/>
      <c r="T479" s="17"/>
      <c r="U479" s="17"/>
      <c r="V479" s="17"/>
      <c r="W479" s="17"/>
      <c r="X479" s="17"/>
      <c r="Y479" s="17"/>
      <c r="Z479" s="17"/>
    </row>
    <row r="480" spans="1:26" ht="12.75">
      <c r="A480" s="17"/>
      <c r="B480" s="17"/>
      <c r="C480" s="17"/>
      <c r="D480" s="17"/>
      <c r="E480" s="17"/>
      <c r="F480" s="17"/>
      <c r="G480" s="17"/>
      <c r="H480" s="17"/>
      <c r="I480" s="17"/>
      <c r="J480" s="17"/>
      <c r="K480" s="17"/>
      <c r="L480" s="17"/>
      <c r="M480" s="17"/>
      <c r="N480" s="17"/>
      <c r="O480" s="17"/>
      <c r="P480" s="17"/>
      <c r="Q480" s="17"/>
      <c r="R480" s="17"/>
      <c r="S480" s="17"/>
      <c r="T480" s="17"/>
      <c r="U480" s="17"/>
      <c r="V480" s="17"/>
      <c r="W480" s="17"/>
      <c r="X480" s="17"/>
      <c r="Y480" s="17"/>
      <c r="Z480" s="17"/>
    </row>
    <row r="481" spans="1:26" ht="12.75">
      <c r="A481" s="17"/>
      <c r="B481" s="17"/>
      <c r="C481" s="17"/>
      <c r="D481" s="17"/>
      <c r="E481" s="17"/>
      <c r="F481" s="17"/>
      <c r="G481" s="17"/>
      <c r="H481" s="17"/>
      <c r="I481" s="17"/>
      <c r="J481" s="17"/>
      <c r="K481" s="17"/>
      <c r="L481" s="17"/>
      <c r="M481" s="17"/>
      <c r="N481" s="17"/>
      <c r="O481" s="17"/>
      <c r="P481" s="17"/>
      <c r="Q481" s="17"/>
      <c r="R481" s="17"/>
      <c r="S481" s="17"/>
      <c r="T481" s="17"/>
      <c r="U481" s="17"/>
      <c r="V481" s="17"/>
      <c r="W481" s="17"/>
      <c r="X481" s="17"/>
      <c r="Y481" s="17"/>
      <c r="Z481" s="17"/>
    </row>
    <row r="482" spans="1:26" ht="12.75">
      <c r="A482" s="17"/>
      <c r="B482" s="17"/>
      <c r="C482" s="17"/>
      <c r="D482" s="17"/>
      <c r="E482" s="17"/>
      <c r="F482" s="17"/>
      <c r="G482" s="17"/>
      <c r="H482" s="17"/>
      <c r="I482" s="17"/>
      <c r="J482" s="17"/>
      <c r="K482" s="17"/>
      <c r="L482" s="17"/>
      <c r="M482" s="17"/>
      <c r="N482" s="17"/>
      <c r="O482" s="17"/>
      <c r="P482" s="17"/>
      <c r="Q482" s="17"/>
      <c r="R482" s="17"/>
      <c r="S482" s="17"/>
      <c r="T482" s="17"/>
      <c r="U482" s="17"/>
      <c r="V482" s="17"/>
      <c r="W482" s="17"/>
      <c r="X482" s="17"/>
      <c r="Y482" s="17"/>
      <c r="Z482" s="17"/>
    </row>
    <row r="483" spans="1:26" ht="12.75">
      <c r="A483" s="17"/>
      <c r="B483" s="17"/>
      <c r="C483" s="17"/>
      <c r="D483" s="17"/>
      <c r="E483" s="17"/>
      <c r="F483" s="17"/>
      <c r="G483" s="17"/>
      <c r="H483" s="17"/>
      <c r="I483" s="17"/>
      <c r="J483" s="17"/>
      <c r="K483" s="17"/>
      <c r="L483" s="17"/>
      <c r="M483" s="17"/>
      <c r="N483" s="17"/>
      <c r="O483" s="17"/>
      <c r="P483" s="17"/>
      <c r="Q483" s="17"/>
      <c r="R483" s="17"/>
      <c r="S483" s="17"/>
      <c r="T483" s="17"/>
      <c r="U483" s="17"/>
      <c r="V483" s="17"/>
      <c r="W483" s="17"/>
      <c r="X483" s="17"/>
      <c r="Y483" s="17"/>
      <c r="Z483" s="17"/>
    </row>
    <row r="484" spans="1:26" ht="12.75">
      <c r="A484" s="17"/>
      <c r="B484" s="17"/>
      <c r="C484" s="17"/>
      <c r="D484" s="17"/>
      <c r="E484" s="17"/>
      <c r="F484" s="17"/>
      <c r="G484" s="17"/>
      <c r="H484" s="17"/>
      <c r="I484" s="17"/>
      <c r="J484" s="17"/>
      <c r="K484" s="17"/>
      <c r="L484" s="17"/>
      <c r="M484" s="17"/>
      <c r="N484" s="17"/>
      <c r="O484" s="17"/>
      <c r="P484" s="17"/>
      <c r="Q484" s="17"/>
      <c r="R484" s="17"/>
      <c r="S484" s="17"/>
      <c r="T484" s="17"/>
      <c r="U484" s="17"/>
      <c r="V484" s="17"/>
      <c r="W484" s="17"/>
      <c r="X484" s="17"/>
      <c r="Y484" s="17"/>
      <c r="Z484" s="17"/>
    </row>
    <row r="485" spans="1:26" ht="12.75">
      <c r="A485" s="17"/>
      <c r="B485" s="17"/>
      <c r="C485" s="17"/>
      <c r="D485" s="17"/>
      <c r="E485" s="17"/>
      <c r="F485" s="17"/>
      <c r="G485" s="17"/>
      <c r="H485" s="17"/>
      <c r="I485" s="17"/>
      <c r="J485" s="17"/>
      <c r="K485" s="17"/>
      <c r="L485" s="17"/>
      <c r="M485" s="17"/>
      <c r="N485" s="17"/>
      <c r="O485" s="17"/>
      <c r="P485" s="17"/>
      <c r="Q485" s="17"/>
      <c r="R485" s="17"/>
      <c r="S485" s="17"/>
      <c r="T485" s="17"/>
      <c r="U485" s="17"/>
      <c r="V485" s="17"/>
      <c r="W485" s="17"/>
      <c r="X485" s="17"/>
      <c r="Y485" s="17"/>
      <c r="Z485" s="17"/>
    </row>
    <row r="486" spans="1:26" ht="12.75">
      <c r="A486" s="17"/>
      <c r="B486" s="17"/>
      <c r="C486" s="17"/>
      <c r="D486" s="17"/>
      <c r="E486" s="17"/>
      <c r="F486" s="17"/>
      <c r="G486" s="17"/>
      <c r="H486" s="17"/>
      <c r="I486" s="17"/>
      <c r="J486" s="17"/>
      <c r="K486" s="17"/>
      <c r="L486" s="17"/>
      <c r="M486" s="17"/>
      <c r="N486" s="17"/>
      <c r="O486" s="17"/>
      <c r="P486" s="17"/>
      <c r="Q486" s="17"/>
      <c r="R486" s="17"/>
      <c r="S486" s="17"/>
      <c r="T486" s="17"/>
      <c r="U486" s="17"/>
      <c r="V486" s="17"/>
      <c r="W486" s="17"/>
      <c r="X486" s="17"/>
      <c r="Y486" s="17"/>
      <c r="Z486" s="17"/>
    </row>
    <row r="487" spans="1:26" ht="12.75">
      <c r="A487" s="17"/>
      <c r="B487" s="17"/>
      <c r="C487" s="17"/>
      <c r="D487" s="17"/>
      <c r="E487" s="17"/>
      <c r="F487" s="17"/>
      <c r="G487" s="17"/>
      <c r="H487" s="17"/>
      <c r="I487" s="17"/>
      <c r="J487" s="17"/>
      <c r="K487" s="17"/>
      <c r="L487" s="17"/>
      <c r="M487" s="17"/>
      <c r="N487" s="17"/>
      <c r="O487" s="17"/>
      <c r="P487" s="17"/>
      <c r="Q487" s="17"/>
      <c r="R487" s="17"/>
      <c r="S487" s="17"/>
      <c r="T487" s="17"/>
      <c r="U487" s="17"/>
      <c r="V487" s="17"/>
      <c r="W487" s="17"/>
      <c r="X487" s="17"/>
      <c r="Y487" s="17"/>
      <c r="Z487" s="17"/>
    </row>
    <row r="488" spans="1:26" ht="12.75">
      <c r="A488" s="17"/>
      <c r="B488" s="17"/>
      <c r="C488" s="17"/>
      <c r="D488" s="17"/>
      <c r="E488" s="17"/>
      <c r="F488" s="17"/>
      <c r="G488" s="17"/>
      <c r="H488" s="17"/>
      <c r="I488" s="17"/>
      <c r="J488" s="17"/>
      <c r="K488" s="17"/>
      <c r="L488" s="17"/>
      <c r="M488" s="17"/>
      <c r="N488" s="17"/>
      <c r="O488" s="17"/>
      <c r="P488" s="17"/>
      <c r="Q488" s="17"/>
      <c r="R488" s="17"/>
      <c r="S488" s="17"/>
      <c r="T488" s="17"/>
      <c r="U488" s="17"/>
      <c r="V488" s="17"/>
      <c r="W488" s="17"/>
      <c r="X488" s="17"/>
      <c r="Y488" s="17"/>
      <c r="Z488" s="17"/>
    </row>
    <row r="489" spans="1:26" ht="12.75">
      <c r="A489" s="17"/>
      <c r="B489" s="17"/>
      <c r="C489" s="17"/>
      <c r="D489" s="17"/>
      <c r="E489" s="17"/>
      <c r="F489" s="17"/>
      <c r="G489" s="17"/>
      <c r="H489" s="17"/>
      <c r="I489" s="17"/>
      <c r="J489" s="17"/>
      <c r="K489" s="17"/>
      <c r="L489" s="17"/>
      <c r="M489" s="17"/>
      <c r="N489" s="17"/>
      <c r="O489" s="17"/>
      <c r="P489" s="17"/>
      <c r="Q489" s="17"/>
      <c r="R489" s="17"/>
      <c r="S489" s="17"/>
      <c r="T489" s="17"/>
      <c r="U489" s="17"/>
      <c r="V489" s="17"/>
      <c r="W489" s="17"/>
      <c r="X489" s="17"/>
      <c r="Y489" s="17"/>
      <c r="Z489" s="17"/>
    </row>
    <row r="490" spans="1:26" ht="12.75">
      <c r="A490" s="17"/>
      <c r="B490" s="17"/>
      <c r="C490" s="17"/>
      <c r="D490" s="17"/>
      <c r="E490" s="17"/>
      <c r="F490" s="17"/>
      <c r="G490" s="17"/>
      <c r="H490" s="17"/>
      <c r="I490" s="17"/>
      <c r="J490" s="17"/>
      <c r="K490" s="17"/>
      <c r="L490" s="17"/>
      <c r="M490" s="17"/>
      <c r="N490" s="17"/>
      <c r="O490" s="17"/>
      <c r="P490" s="17"/>
      <c r="Q490" s="17"/>
      <c r="R490" s="17"/>
      <c r="S490" s="17"/>
      <c r="T490" s="17"/>
      <c r="U490" s="17"/>
      <c r="V490" s="17"/>
      <c r="W490" s="17"/>
      <c r="X490" s="17"/>
      <c r="Y490" s="17"/>
      <c r="Z490" s="17"/>
    </row>
    <row r="491" spans="1:26" ht="12.75">
      <c r="A491" s="17"/>
      <c r="B491" s="17"/>
      <c r="C491" s="17"/>
      <c r="D491" s="17"/>
      <c r="E491" s="17"/>
      <c r="F491" s="17"/>
      <c r="G491" s="17"/>
      <c r="H491" s="17"/>
      <c r="I491" s="17"/>
      <c r="J491" s="17"/>
      <c r="K491" s="17"/>
      <c r="L491" s="17"/>
      <c r="M491" s="17"/>
      <c r="N491" s="17"/>
      <c r="O491" s="17"/>
      <c r="P491" s="17"/>
      <c r="Q491" s="17"/>
      <c r="R491" s="17"/>
      <c r="S491" s="17"/>
      <c r="T491" s="17"/>
      <c r="U491" s="17"/>
      <c r="V491" s="17"/>
      <c r="W491" s="17"/>
      <c r="X491" s="17"/>
      <c r="Y491" s="17"/>
      <c r="Z491" s="17"/>
    </row>
    <row r="492" spans="1:26" ht="12.75">
      <c r="A492" s="17"/>
      <c r="B492" s="17"/>
      <c r="C492" s="17"/>
      <c r="D492" s="17"/>
      <c r="E492" s="17"/>
      <c r="F492" s="17"/>
      <c r="G492" s="17"/>
      <c r="H492" s="17"/>
      <c r="I492" s="17"/>
      <c r="J492" s="17"/>
      <c r="K492" s="17"/>
      <c r="L492" s="17"/>
      <c r="M492" s="17"/>
      <c r="N492" s="17"/>
      <c r="O492" s="17"/>
      <c r="P492" s="17"/>
      <c r="Q492" s="17"/>
      <c r="R492" s="17"/>
      <c r="S492" s="17"/>
      <c r="T492" s="17"/>
      <c r="U492" s="17"/>
      <c r="V492" s="17"/>
      <c r="W492" s="17"/>
      <c r="X492" s="17"/>
      <c r="Y492" s="17"/>
      <c r="Z492" s="17"/>
    </row>
    <row r="493" spans="1:26" ht="12.75">
      <c r="A493" s="17"/>
      <c r="B493" s="17"/>
      <c r="C493" s="17"/>
      <c r="D493" s="17"/>
      <c r="E493" s="17"/>
      <c r="F493" s="17"/>
      <c r="G493" s="17"/>
      <c r="H493" s="17"/>
      <c r="I493" s="17"/>
      <c r="J493" s="17"/>
      <c r="K493" s="17"/>
      <c r="L493" s="17"/>
      <c r="M493" s="17"/>
      <c r="N493" s="17"/>
      <c r="O493" s="17"/>
      <c r="P493" s="17"/>
      <c r="Q493" s="17"/>
      <c r="R493" s="17"/>
      <c r="S493" s="17"/>
      <c r="T493" s="17"/>
      <c r="U493" s="17"/>
      <c r="V493" s="17"/>
      <c r="W493" s="17"/>
      <c r="X493" s="17"/>
      <c r="Y493" s="17"/>
      <c r="Z493" s="17"/>
    </row>
    <row r="494" spans="1:26" ht="12.75">
      <c r="A494" s="17"/>
      <c r="B494" s="17"/>
      <c r="C494" s="17"/>
      <c r="D494" s="17"/>
      <c r="E494" s="17"/>
      <c r="F494" s="17"/>
      <c r="G494" s="17"/>
      <c r="H494" s="17"/>
      <c r="I494" s="17"/>
      <c r="J494" s="17"/>
      <c r="K494" s="17"/>
      <c r="L494" s="17"/>
      <c r="M494" s="17"/>
      <c r="N494" s="17"/>
      <c r="O494" s="17"/>
      <c r="P494" s="17"/>
      <c r="Q494" s="17"/>
      <c r="R494" s="17"/>
      <c r="S494" s="17"/>
      <c r="T494" s="17"/>
      <c r="U494" s="17"/>
      <c r="V494" s="17"/>
      <c r="W494" s="17"/>
      <c r="X494" s="17"/>
      <c r="Y494" s="17"/>
      <c r="Z494" s="17"/>
    </row>
    <row r="495" spans="1:26" ht="12.75">
      <c r="A495" s="17"/>
      <c r="B495" s="17"/>
      <c r="C495" s="17"/>
      <c r="D495" s="17"/>
      <c r="E495" s="17"/>
      <c r="F495" s="17"/>
      <c r="G495" s="17"/>
      <c r="H495" s="17"/>
      <c r="I495" s="17"/>
      <c r="J495" s="17"/>
      <c r="K495" s="17"/>
      <c r="L495" s="17"/>
      <c r="M495" s="17"/>
      <c r="N495" s="17"/>
      <c r="O495" s="17"/>
      <c r="P495" s="17"/>
      <c r="Q495" s="17"/>
      <c r="R495" s="17"/>
      <c r="S495" s="17"/>
      <c r="T495" s="17"/>
      <c r="U495" s="17"/>
      <c r="V495" s="17"/>
      <c r="W495" s="17"/>
      <c r="X495" s="17"/>
      <c r="Y495" s="17"/>
      <c r="Z495" s="17"/>
    </row>
    <row r="496" spans="1:26" ht="12.75">
      <c r="A496" s="17"/>
      <c r="B496" s="17"/>
      <c r="C496" s="17"/>
      <c r="D496" s="17"/>
      <c r="E496" s="17"/>
      <c r="F496" s="17"/>
      <c r="G496" s="17"/>
      <c r="H496" s="17"/>
      <c r="I496" s="17"/>
      <c r="J496" s="17"/>
      <c r="K496" s="17"/>
      <c r="L496" s="17"/>
      <c r="M496" s="17"/>
      <c r="N496" s="17"/>
      <c r="O496" s="17"/>
      <c r="P496" s="17"/>
      <c r="Q496" s="17"/>
      <c r="R496" s="17"/>
      <c r="S496" s="17"/>
      <c r="T496" s="17"/>
      <c r="U496" s="17"/>
      <c r="V496" s="17"/>
      <c r="W496" s="17"/>
      <c r="X496" s="17"/>
      <c r="Y496" s="17"/>
      <c r="Z496" s="17"/>
    </row>
    <row r="497" spans="1:26" ht="12.75">
      <c r="A497" s="17"/>
      <c r="B497" s="17"/>
      <c r="C497" s="17"/>
      <c r="D497" s="17"/>
      <c r="E497" s="17"/>
      <c r="F497" s="17"/>
      <c r="G497" s="17"/>
      <c r="H497" s="17"/>
      <c r="I497" s="17"/>
      <c r="J497" s="17"/>
      <c r="K497" s="17"/>
      <c r="L497" s="17"/>
      <c r="M497" s="17"/>
      <c r="N497" s="17"/>
      <c r="O497" s="17"/>
      <c r="P497" s="17"/>
      <c r="Q497" s="17"/>
      <c r="R497" s="17"/>
      <c r="S497" s="17"/>
      <c r="T497" s="17"/>
      <c r="U497" s="17"/>
      <c r="V497" s="17"/>
      <c r="W497" s="17"/>
      <c r="X497" s="17"/>
      <c r="Y497" s="17"/>
      <c r="Z497" s="17"/>
    </row>
    <row r="498" spans="1:26" ht="12.75">
      <c r="A498" s="17"/>
      <c r="B498" s="17"/>
      <c r="C498" s="17"/>
      <c r="D498" s="17"/>
      <c r="E498" s="17"/>
      <c r="F498" s="17"/>
      <c r="G498" s="17"/>
      <c r="H498" s="17"/>
      <c r="I498" s="17"/>
      <c r="J498" s="17"/>
      <c r="K498" s="17"/>
      <c r="L498" s="17"/>
      <c r="M498" s="17"/>
      <c r="N498" s="17"/>
      <c r="O498" s="17"/>
      <c r="P498" s="17"/>
      <c r="Q498" s="17"/>
      <c r="R498" s="17"/>
      <c r="S498" s="17"/>
      <c r="T498" s="17"/>
      <c r="U498" s="17"/>
      <c r="V498" s="17"/>
      <c r="W498" s="17"/>
      <c r="X498" s="17"/>
      <c r="Y498" s="17"/>
      <c r="Z498" s="17"/>
    </row>
    <row r="499" spans="1:26" ht="12.75">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row>
    <row r="500" spans="1:26" ht="12.75">
      <c r="A500" s="17"/>
      <c r="B500" s="17"/>
      <c r="C500" s="17"/>
      <c r="D500" s="17"/>
      <c r="E500" s="17"/>
      <c r="F500" s="17"/>
      <c r="G500" s="17"/>
      <c r="H500" s="17"/>
      <c r="I500" s="17"/>
      <c r="J500" s="17"/>
      <c r="K500" s="17"/>
      <c r="L500" s="17"/>
      <c r="M500" s="17"/>
      <c r="N500" s="17"/>
      <c r="O500" s="17"/>
      <c r="P500" s="17"/>
      <c r="Q500" s="17"/>
      <c r="R500" s="17"/>
      <c r="S500" s="17"/>
      <c r="T500" s="17"/>
      <c r="U500" s="17"/>
      <c r="V500" s="17"/>
      <c r="W500" s="17"/>
      <c r="X500" s="17"/>
      <c r="Y500" s="17"/>
      <c r="Z500" s="17"/>
    </row>
    <row r="501" spans="1:26" ht="12.75">
      <c r="A501" s="17"/>
      <c r="B501" s="17"/>
      <c r="C501" s="17"/>
      <c r="D501" s="17"/>
      <c r="E501" s="17"/>
      <c r="F501" s="17"/>
      <c r="G501" s="17"/>
      <c r="H501" s="17"/>
      <c r="I501" s="17"/>
      <c r="J501" s="17"/>
      <c r="K501" s="17"/>
      <c r="L501" s="17"/>
      <c r="M501" s="17"/>
      <c r="N501" s="17"/>
      <c r="O501" s="17"/>
      <c r="P501" s="17"/>
      <c r="Q501" s="17"/>
      <c r="R501" s="17"/>
      <c r="S501" s="17"/>
      <c r="T501" s="17"/>
      <c r="U501" s="17"/>
      <c r="V501" s="17"/>
      <c r="W501" s="17"/>
      <c r="X501" s="17"/>
      <c r="Y501" s="17"/>
      <c r="Z501" s="17"/>
    </row>
    <row r="502" spans="1:26" ht="12.75">
      <c r="A502" s="17"/>
      <c r="B502" s="17"/>
      <c r="C502" s="17"/>
      <c r="D502" s="17"/>
      <c r="E502" s="17"/>
      <c r="F502" s="17"/>
      <c r="G502" s="17"/>
      <c r="H502" s="17"/>
      <c r="I502" s="17"/>
      <c r="J502" s="17"/>
      <c r="K502" s="17"/>
      <c r="L502" s="17"/>
      <c r="M502" s="17"/>
      <c r="N502" s="17"/>
      <c r="O502" s="17"/>
      <c r="P502" s="17"/>
      <c r="Q502" s="17"/>
      <c r="R502" s="17"/>
      <c r="S502" s="17"/>
      <c r="T502" s="17"/>
      <c r="U502" s="17"/>
      <c r="V502" s="17"/>
      <c r="W502" s="17"/>
      <c r="X502" s="17"/>
      <c r="Y502" s="17"/>
      <c r="Z502" s="17"/>
    </row>
    <row r="503" spans="1:26" ht="12.75">
      <c r="A503" s="17"/>
      <c r="B503" s="17"/>
      <c r="C503" s="17"/>
      <c r="D503" s="17"/>
      <c r="E503" s="17"/>
      <c r="F503" s="17"/>
      <c r="G503" s="17"/>
      <c r="H503" s="17"/>
      <c r="I503" s="17"/>
      <c r="J503" s="17"/>
      <c r="K503" s="17"/>
      <c r="L503" s="17"/>
      <c r="M503" s="17"/>
      <c r="N503" s="17"/>
      <c r="O503" s="17"/>
      <c r="P503" s="17"/>
      <c r="Q503" s="17"/>
      <c r="R503" s="17"/>
      <c r="S503" s="17"/>
      <c r="T503" s="17"/>
      <c r="U503" s="17"/>
      <c r="V503" s="17"/>
      <c r="W503" s="17"/>
      <c r="X503" s="17"/>
      <c r="Y503" s="17"/>
      <c r="Z503" s="17"/>
    </row>
    <row r="504" spans="1:26" ht="12.75">
      <c r="A504" s="17"/>
      <c r="B504" s="17"/>
      <c r="C504" s="17"/>
      <c r="D504" s="17"/>
      <c r="E504" s="17"/>
      <c r="F504" s="17"/>
      <c r="G504" s="17"/>
      <c r="H504" s="17"/>
      <c r="I504" s="17"/>
      <c r="J504" s="17"/>
      <c r="K504" s="17"/>
      <c r="L504" s="17"/>
      <c r="M504" s="17"/>
      <c r="N504" s="17"/>
      <c r="O504" s="17"/>
      <c r="P504" s="17"/>
      <c r="Q504" s="17"/>
      <c r="R504" s="17"/>
      <c r="S504" s="17"/>
      <c r="T504" s="17"/>
      <c r="U504" s="17"/>
      <c r="V504" s="17"/>
      <c r="W504" s="17"/>
      <c r="X504" s="17"/>
      <c r="Y504" s="17"/>
      <c r="Z504" s="17"/>
    </row>
    <row r="505" spans="1:26" ht="12.75">
      <c r="A505" s="17"/>
      <c r="B505" s="17"/>
      <c r="C505" s="17"/>
      <c r="D505" s="17"/>
      <c r="E505" s="17"/>
      <c r="F505" s="17"/>
      <c r="G505" s="17"/>
      <c r="H505" s="17"/>
      <c r="I505" s="17"/>
      <c r="J505" s="17"/>
      <c r="K505" s="17"/>
      <c r="L505" s="17"/>
      <c r="M505" s="17"/>
      <c r="N505" s="17"/>
      <c r="O505" s="17"/>
      <c r="P505" s="17"/>
      <c r="Q505" s="17"/>
      <c r="R505" s="17"/>
      <c r="S505" s="17"/>
      <c r="T505" s="17"/>
      <c r="U505" s="17"/>
      <c r="V505" s="17"/>
      <c r="W505" s="17"/>
      <c r="X505" s="17"/>
      <c r="Y505" s="17"/>
      <c r="Z505" s="17"/>
    </row>
    <row r="506" spans="1:26" ht="12.75">
      <c r="A506" s="17"/>
      <c r="B506" s="17"/>
      <c r="C506" s="17"/>
      <c r="D506" s="17"/>
      <c r="E506" s="17"/>
      <c r="F506" s="17"/>
      <c r="G506" s="17"/>
      <c r="H506" s="17"/>
      <c r="I506" s="17"/>
      <c r="J506" s="17"/>
      <c r="K506" s="17"/>
      <c r="L506" s="17"/>
      <c r="M506" s="17"/>
      <c r="N506" s="17"/>
      <c r="O506" s="17"/>
      <c r="P506" s="17"/>
      <c r="Q506" s="17"/>
      <c r="R506" s="17"/>
      <c r="S506" s="17"/>
      <c r="T506" s="17"/>
      <c r="U506" s="17"/>
      <c r="V506" s="17"/>
      <c r="W506" s="17"/>
      <c r="X506" s="17"/>
      <c r="Y506" s="17"/>
      <c r="Z506" s="17"/>
    </row>
    <row r="507" spans="1:26" ht="12.75">
      <c r="A507" s="17"/>
      <c r="B507" s="17"/>
      <c r="C507" s="17"/>
      <c r="D507" s="17"/>
      <c r="E507" s="17"/>
      <c r="F507" s="17"/>
      <c r="G507" s="17"/>
      <c r="H507" s="17"/>
      <c r="I507" s="17"/>
      <c r="J507" s="17"/>
      <c r="K507" s="17"/>
      <c r="L507" s="17"/>
      <c r="M507" s="17"/>
      <c r="N507" s="17"/>
      <c r="O507" s="17"/>
      <c r="P507" s="17"/>
      <c r="Q507" s="17"/>
      <c r="R507" s="17"/>
      <c r="S507" s="17"/>
      <c r="T507" s="17"/>
      <c r="U507" s="17"/>
      <c r="V507" s="17"/>
      <c r="W507" s="17"/>
      <c r="X507" s="17"/>
      <c r="Y507" s="17"/>
      <c r="Z507" s="17"/>
    </row>
    <row r="508" spans="1:26" ht="12.75">
      <c r="A508" s="17"/>
      <c r="B508" s="17"/>
      <c r="C508" s="17"/>
      <c r="D508" s="17"/>
      <c r="E508" s="17"/>
      <c r="F508" s="17"/>
      <c r="G508" s="17"/>
      <c r="H508" s="17"/>
      <c r="I508" s="17"/>
      <c r="J508" s="17"/>
      <c r="K508" s="17"/>
      <c r="L508" s="17"/>
      <c r="M508" s="17"/>
      <c r="N508" s="17"/>
      <c r="O508" s="17"/>
      <c r="P508" s="17"/>
      <c r="Q508" s="17"/>
      <c r="R508" s="17"/>
      <c r="S508" s="17"/>
      <c r="T508" s="17"/>
      <c r="U508" s="17"/>
      <c r="V508" s="17"/>
      <c r="W508" s="17"/>
      <c r="X508" s="17"/>
      <c r="Y508" s="17"/>
      <c r="Z508" s="17"/>
    </row>
    <row r="509" spans="1:26" ht="12.75">
      <c r="A509" s="17"/>
      <c r="B509" s="17"/>
      <c r="C509" s="17"/>
      <c r="D509" s="17"/>
      <c r="E509" s="17"/>
      <c r="F509" s="17"/>
      <c r="G509" s="17"/>
      <c r="H509" s="17"/>
      <c r="I509" s="17"/>
      <c r="J509" s="17"/>
      <c r="K509" s="17"/>
      <c r="L509" s="17"/>
      <c r="M509" s="17"/>
      <c r="N509" s="17"/>
      <c r="O509" s="17"/>
      <c r="P509" s="17"/>
      <c r="Q509" s="17"/>
      <c r="R509" s="17"/>
      <c r="S509" s="17"/>
      <c r="T509" s="17"/>
      <c r="U509" s="17"/>
      <c r="V509" s="17"/>
      <c r="W509" s="17"/>
      <c r="X509" s="17"/>
      <c r="Y509" s="17"/>
      <c r="Z509" s="17"/>
    </row>
    <row r="510" spans="1:26" ht="12.75">
      <c r="A510" s="17"/>
      <c r="B510" s="17"/>
      <c r="C510" s="17"/>
      <c r="D510" s="17"/>
      <c r="E510" s="17"/>
      <c r="F510" s="17"/>
      <c r="G510" s="17"/>
      <c r="H510" s="17"/>
      <c r="I510" s="17"/>
      <c r="J510" s="17"/>
      <c r="K510" s="17"/>
      <c r="L510" s="17"/>
      <c r="M510" s="17"/>
      <c r="N510" s="17"/>
      <c r="O510" s="17"/>
      <c r="P510" s="17"/>
      <c r="Q510" s="17"/>
      <c r="R510" s="17"/>
      <c r="S510" s="17"/>
      <c r="T510" s="17"/>
      <c r="U510" s="17"/>
      <c r="V510" s="17"/>
      <c r="W510" s="17"/>
      <c r="X510" s="17"/>
      <c r="Y510" s="17"/>
      <c r="Z510" s="17"/>
    </row>
    <row r="511" spans="1:26" ht="12.75">
      <c r="A511" s="17"/>
      <c r="B511" s="17"/>
      <c r="C511" s="17"/>
      <c r="D511" s="17"/>
      <c r="E511" s="17"/>
      <c r="F511" s="17"/>
      <c r="G511" s="17"/>
      <c r="H511" s="17"/>
      <c r="I511" s="17"/>
      <c r="J511" s="17"/>
      <c r="K511" s="17"/>
      <c r="L511" s="17"/>
      <c r="M511" s="17"/>
      <c r="N511" s="17"/>
      <c r="O511" s="17"/>
      <c r="P511" s="17"/>
      <c r="Q511" s="17"/>
      <c r="R511" s="17"/>
      <c r="S511" s="17"/>
      <c r="T511" s="17"/>
      <c r="U511" s="17"/>
      <c r="V511" s="17"/>
      <c r="W511" s="17"/>
      <c r="X511" s="17"/>
      <c r="Y511" s="17"/>
      <c r="Z511" s="17"/>
    </row>
    <row r="512" spans="1:26" ht="12.75">
      <c r="A512" s="17"/>
      <c r="B512" s="17"/>
      <c r="C512" s="17"/>
      <c r="D512" s="17"/>
      <c r="E512" s="17"/>
      <c r="F512" s="17"/>
      <c r="G512" s="17"/>
      <c r="H512" s="17"/>
      <c r="I512" s="17"/>
      <c r="J512" s="17"/>
      <c r="K512" s="17"/>
      <c r="L512" s="17"/>
      <c r="M512" s="17"/>
      <c r="N512" s="17"/>
      <c r="O512" s="17"/>
      <c r="P512" s="17"/>
      <c r="Q512" s="17"/>
      <c r="R512" s="17"/>
      <c r="S512" s="17"/>
      <c r="T512" s="17"/>
      <c r="U512" s="17"/>
      <c r="V512" s="17"/>
      <c r="W512" s="17"/>
      <c r="X512" s="17"/>
      <c r="Y512" s="17"/>
      <c r="Z512" s="17"/>
    </row>
    <row r="513" spans="1:26" ht="12.75">
      <c r="A513" s="17"/>
      <c r="B513" s="17"/>
      <c r="C513" s="17"/>
      <c r="D513" s="17"/>
      <c r="E513" s="17"/>
      <c r="F513" s="17"/>
      <c r="G513" s="17"/>
      <c r="H513" s="17"/>
      <c r="I513" s="17"/>
      <c r="J513" s="17"/>
      <c r="K513" s="17"/>
      <c r="L513" s="17"/>
      <c r="M513" s="17"/>
      <c r="N513" s="17"/>
      <c r="O513" s="17"/>
      <c r="P513" s="17"/>
      <c r="Q513" s="17"/>
      <c r="R513" s="17"/>
      <c r="S513" s="17"/>
      <c r="T513" s="17"/>
      <c r="U513" s="17"/>
      <c r="V513" s="17"/>
      <c r="W513" s="17"/>
      <c r="X513" s="17"/>
      <c r="Y513" s="17"/>
      <c r="Z513" s="17"/>
    </row>
    <row r="514" spans="1:26" ht="12.75">
      <c r="A514" s="17"/>
      <c r="B514" s="17"/>
      <c r="C514" s="17"/>
      <c r="D514" s="17"/>
      <c r="E514" s="17"/>
      <c r="F514" s="17"/>
      <c r="G514" s="17"/>
      <c r="H514" s="17"/>
      <c r="I514" s="17"/>
      <c r="J514" s="17"/>
      <c r="K514" s="17"/>
      <c r="L514" s="17"/>
      <c r="M514" s="17"/>
      <c r="N514" s="17"/>
      <c r="O514" s="17"/>
      <c r="P514" s="17"/>
      <c r="Q514" s="17"/>
      <c r="R514" s="17"/>
      <c r="S514" s="17"/>
      <c r="T514" s="17"/>
      <c r="U514" s="17"/>
      <c r="V514" s="17"/>
      <c r="W514" s="17"/>
      <c r="X514" s="17"/>
      <c r="Y514" s="17"/>
      <c r="Z514" s="17"/>
    </row>
    <row r="515" spans="1:26" ht="12.75">
      <c r="A515" s="17"/>
      <c r="B515" s="17"/>
      <c r="C515" s="17"/>
      <c r="D515" s="17"/>
      <c r="E515" s="17"/>
      <c r="F515" s="17"/>
      <c r="G515" s="17"/>
      <c r="H515" s="17"/>
      <c r="I515" s="17"/>
      <c r="J515" s="17"/>
      <c r="K515" s="17"/>
      <c r="L515" s="17"/>
      <c r="M515" s="17"/>
      <c r="N515" s="17"/>
      <c r="O515" s="17"/>
      <c r="P515" s="17"/>
      <c r="Q515" s="17"/>
      <c r="R515" s="17"/>
      <c r="S515" s="17"/>
      <c r="T515" s="17"/>
      <c r="U515" s="17"/>
      <c r="V515" s="17"/>
      <c r="W515" s="17"/>
      <c r="X515" s="17"/>
      <c r="Y515" s="17"/>
      <c r="Z515" s="17"/>
    </row>
    <row r="516" spans="1:26" ht="12.75">
      <c r="A516" s="17"/>
      <c r="B516" s="17"/>
      <c r="C516" s="17"/>
      <c r="D516" s="17"/>
      <c r="E516" s="17"/>
      <c r="F516" s="17"/>
      <c r="G516" s="17"/>
      <c r="H516" s="17"/>
      <c r="I516" s="17"/>
      <c r="J516" s="17"/>
      <c r="K516" s="17"/>
      <c r="L516" s="17"/>
      <c r="M516" s="17"/>
      <c r="N516" s="17"/>
      <c r="O516" s="17"/>
      <c r="P516" s="17"/>
      <c r="Q516" s="17"/>
      <c r="R516" s="17"/>
      <c r="S516" s="17"/>
      <c r="T516" s="17"/>
      <c r="U516" s="17"/>
      <c r="V516" s="17"/>
      <c r="W516" s="17"/>
      <c r="X516" s="17"/>
      <c r="Y516" s="17"/>
      <c r="Z516" s="17"/>
    </row>
    <row r="517" spans="1:26" ht="12.75">
      <c r="A517" s="17"/>
      <c r="B517" s="17"/>
      <c r="C517" s="17"/>
      <c r="D517" s="17"/>
      <c r="E517" s="17"/>
      <c r="F517" s="17"/>
      <c r="G517" s="17"/>
      <c r="H517" s="17"/>
      <c r="I517" s="17"/>
      <c r="J517" s="17"/>
      <c r="K517" s="17"/>
      <c r="L517" s="17"/>
      <c r="M517" s="17"/>
      <c r="N517" s="17"/>
      <c r="O517" s="17"/>
      <c r="P517" s="17"/>
      <c r="Q517" s="17"/>
      <c r="R517" s="17"/>
      <c r="S517" s="17"/>
      <c r="T517" s="17"/>
      <c r="U517" s="17"/>
      <c r="V517" s="17"/>
      <c r="W517" s="17"/>
      <c r="X517" s="17"/>
      <c r="Y517" s="17"/>
      <c r="Z517" s="17"/>
    </row>
    <row r="518" spans="1:26" ht="12.75">
      <c r="A518" s="17"/>
      <c r="B518" s="17"/>
      <c r="C518" s="17"/>
      <c r="D518" s="17"/>
      <c r="E518" s="17"/>
      <c r="F518" s="17"/>
      <c r="G518" s="17"/>
      <c r="H518" s="17"/>
      <c r="I518" s="17"/>
      <c r="J518" s="17"/>
      <c r="K518" s="17"/>
      <c r="L518" s="17"/>
      <c r="M518" s="17"/>
      <c r="N518" s="17"/>
      <c r="O518" s="17"/>
      <c r="P518" s="17"/>
      <c r="Q518" s="17"/>
      <c r="R518" s="17"/>
      <c r="S518" s="17"/>
      <c r="T518" s="17"/>
      <c r="U518" s="17"/>
      <c r="V518" s="17"/>
      <c r="W518" s="17"/>
      <c r="X518" s="17"/>
      <c r="Y518" s="17"/>
      <c r="Z518" s="17"/>
    </row>
    <row r="519" spans="1:26" ht="12.75">
      <c r="A519" s="17"/>
      <c r="B519" s="17"/>
      <c r="C519" s="17"/>
      <c r="D519" s="17"/>
      <c r="E519" s="17"/>
      <c r="F519" s="17"/>
      <c r="G519" s="17"/>
      <c r="H519" s="17"/>
      <c r="I519" s="17"/>
      <c r="J519" s="17"/>
      <c r="K519" s="17"/>
      <c r="L519" s="17"/>
      <c r="M519" s="17"/>
      <c r="N519" s="17"/>
      <c r="O519" s="17"/>
      <c r="P519" s="17"/>
      <c r="Q519" s="17"/>
      <c r="R519" s="17"/>
      <c r="S519" s="17"/>
      <c r="T519" s="17"/>
      <c r="U519" s="17"/>
      <c r="V519" s="17"/>
      <c r="W519" s="17"/>
      <c r="X519" s="17"/>
      <c r="Y519" s="17"/>
      <c r="Z519" s="17"/>
    </row>
    <row r="520" spans="1:26" ht="12.75">
      <c r="A520" s="17"/>
      <c r="B520" s="17"/>
      <c r="C520" s="17"/>
      <c r="D520" s="17"/>
      <c r="E520" s="17"/>
      <c r="F520" s="17"/>
      <c r="G520" s="17"/>
      <c r="H520" s="17"/>
      <c r="I520" s="17"/>
      <c r="J520" s="17"/>
      <c r="K520" s="17"/>
      <c r="L520" s="17"/>
      <c r="M520" s="17"/>
      <c r="N520" s="17"/>
      <c r="O520" s="17"/>
      <c r="P520" s="17"/>
      <c r="Q520" s="17"/>
      <c r="R520" s="17"/>
      <c r="S520" s="17"/>
      <c r="T520" s="17"/>
      <c r="U520" s="17"/>
      <c r="V520" s="17"/>
      <c r="W520" s="17"/>
      <c r="X520" s="17"/>
      <c r="Y520" s="17"/>
      <c r="Z520" s="17"/>
    </row>
    <row r="521" spans="1:26" ht="12.75">
      <c r="A521" s="17"/>
      <c r="B521" s="17"/>
      <c r="C521" s="17"/>
      <c r="D521" s="17"/>
      <c r="E521" s="17"/>
      <c r="F521" s="17"/>
      <c r="G521" s="17"/>
      <c r="H521" s="17"/>
      <c r="I521" s="17"/>
      <c r="J521" s="17"/>
      <c r="K521" s="17"/>
      <c r="L521" s="17"/>
      <c r="M521" s="17"/>
      <c r="N521" s="17"/>
      <c r="O521" s="17"/>
      <c r="P521" s="17"/>
      <c r="Q521" s="17"/>
      <c r="R521" s="17"/>
      <c r="S521" s="17"/>
      <c r="T521" s="17"/>
      <c r="U521" s="17"/>
      <c r="V521" s="17"/>
      <c r="W521" s="17"/>
      <c r="X521" s="17"/>
      <c r="Y521" s="17"/>
      <c r="Z521" s="17"/>
    </row>
    <row r="522" spans="1:26" ht="12.75">
      <c r="A522" s="17"/>
      <c r="B522" s="17"/>
      <c r="C522" s="17"/>
      <c r="D522" s="17"/>
      <c r="E522" s="17"/>
      <c r="F522" s="17"/>
      <c r="G522" s="17"/>
      <c r="H522" s="17"/>
      <c r="I522" s="17"/>
      <c r="J522" s="17"/>
      <c r="K522" s="17"/>
      <c r="L522" s="17"/>
      <c r="M522" s="17"/>
      <c r="N522" s="17"/>
      <c r="O522" s="17"/>
      <c r="P522" s="17"/>
      <c r="Q522" s="17"/>
      <c r="R522" s="17"/>
      <c r="S522" s="17"/>
      <c r="T522" s="17"/>
      <c r="U522" s="17"/>
      <c r="V522" s="17"/>
      <c r="W522" s="17"/>
      <c r="X522" s="17"/>
      <c r="Y522" s="17"/>
      <c r="Z522" s="17"/>
    </row>
    <row r="523" spans="1:26" ht="12.75">
      <c r="A523" s="17"/>
      <c r="B523" s="17"/>
      <c r="C523" s="17"/>
      <c r="D523" s="17"/>
      <c r="E523" s="17"/>
      <c r="F523" s="17"/>
      <c r="G523" s="17"/>
      <c r="H523" s="17"/>
      <c r="I523" s="17"/>
      <c r="J523" s="17"/>
      <c r="K523" s="17"/>
      <c r="L523" s="17"/>
      <c r="M523" s="17"/>
      <c r="N523" s="17"/>
      <c r="O523" s="17"/>
      <c r="P523" s="17"/>
      <c r="Q523" s="17"/>
      <c r="R523" s="17"/>
      <c r="S523" s="17"/>
      <c r="T523" s="17"/>
      <c r="U523" s="17"/>
      <c r="V523" s="17"/>
      <c r="W523" s="17"/>
      <c r="X523" s="17"/>
      <c r="Y523" s="17"/>
      <c r="Z523" s="17"/>
    </row>
    <row r="524" spans="1:26" ht="12.75">
      <c r="A524" s="17"/>
      <c r="B524" s="17"/>
      <c r="C524" s="17"/>
      <c r="D524" s="17"/>
      <c r="E524" s="17"/>
      <c r="F524" s="17"/>
      <c r="G524" s="17"/>
      <c r="H524" s="17"/>
      <c r="I524" s="17"/>
      <c r="J524" s="17"/>
      <c r="K524" s="17"/>
      <c r="L524" s="17"/>
      <c r="M524" s="17"/>
      <c r="N524" s="17"/>
      <c r="O524" s="17"/>
      <c r="P524" s="17"/>
      <c r="Q524" s="17"/>
      <c r="R524" s="17"/>
      <c r="S524" s="17"/>
      <c r="T524" s="17"/>
      <c r="U524" s="17"/>
      <c r="V524" s="17"/>
      <c r="W524" s="17"/>
      <c r="X524" s="17"/>
      <c r="Y524" s="17"/>
      <c r="Z524" s="17"/>
    </row>
    <row r="525" spans="1:26" ht="12.75">
      <c r="A525" s="17"/>
      <c r="B525" s="17"/>
      <c r="C525" s="17"/>
      <c r="D525" s="17"/>
      <c r="E525" s="17"/>
      <c r="F525" s="17"/>
      <c r="G525" s="17"/>
      <c r="H525" s="17"/>
      <c r="I525" s="17"/>
      <c r="J525" s="17"/>
      <c r="K525" s="17"/>
      <c r="L525" s="17"/>
      <c r="M525" s="17"/>
      <c r="N525" s="17"/>
      <c r="O525" s="17"/>
      <c r="P525" s="17"/>
      <c r="Q525" s="17"/>
      <c r="R525" s="17"/>
      <c r="S525" s="17"/>
      <c r="T525" s="17"/>
      <c r="U525" s="17"/>
      <c r="V525" s="17"/>
      <c r="W525" s="17"/>
      <c r="X525" s="17"/>
      <c r="Y525" s="17"/>
      <c r="Z525" s="17"/>
    </row>
    <row r="526" spans="1:26" ht="12.75">
      <c r="A526" s="17"/>
      <c r="B526" s="17"/>
      <c r="C526" s="17"/>
      <c r="D526" s="17"/>
      <c r="E526" s="17"/>
      <c r="F526" s="17"/>
      <c r="G526" s="17"/>
      <c r="H526" s="17"/>
      <c r="I526" s="17"/>
      <c r="J526" s="17"/>
      <c r="K526" s="17"/>
      <c r="L526" s="17"/>
      <c r="M526" s="17"/>
      <c r="N526" s="17"/>
      <c r="O526" s="17"/>
      <c r="P526" s="17"/>
      <c r="Q526" s="17"/>
      <c r="R526" s="17"/>
      <c r="S526" s="17"/>
      <c r="T526" s="17"/>
      <c r="U526" s="17"/>
      <c r="V526" s="17"/>
      <c r="W526" s="17"/>
      <c r="X526" s="17"/>
      <c r="Y526" s="17"/>
      <c r="Z526" s="17"/>
    </row>
    <row r="527" spans="1:26" ht="12.75">
      <c r="A527" s="17"/>
      <c r="B527" s="17"/>
      <c r="C527" s="17"/>
      <c r="D527" s="17"/>
      <c r="E527" s="17"/>
      <c r="F527" s="17"/>
      <c r="G527" s="17"/>
      <c r="H527" s="17"/>
      <c r="I527" s="17"/>
      <c r="J527" s="17"/>
      <c r="K527" s="17"/>
      <c r="L527" s="17"/>
      <c r="M527" s="17"/>
      <c r="N527" s="17"/>
      <c r="O527" s="17"/>
      <c r="P527" s="17"/>
      <c r="Q527" s="17"/>
      <c r="R527" s="17"/>
      <c r="S527" s="17"/>
      <c r="T527" s="17"/>
      <c r="U527" s="17"/>
      <c r="V527" s="17"/>
      <c r="W527" s="17"/>
      <c r="X527" s="17"/>
      <c r="Y527" s="17"/>
      <c r="Z527" s="17"/>
    </row>
    <row r="528" spans="1:26" ht="12.75">
      <c r="A528" s="17"/>
      <c r="B528" s="17"/>
      <c r="C528" s="17"/>
      <c r="D528" s="17"/>
      <c r="E528" s="17"/>
      <c r="F528" s="17"/>
      <c r="G528" s="17"/>
      <c r="H528" s="17"/>
      <c r="I528" s="17"/>
      <c r="J528" s="17"/>
      <c r="K528" s="17"/>
      <c r="L528" s="17"/>
      <c r="M528" s="17"/>
      <c r="N528" s="17"/>
      <c r="O528" s="17"/>
      <c r="P528" s="17"/>
      <c r="Q528" s="17"/>
      <c r="R528" s="17"/>
      <c r="S528" s="17"/>
      <c r="T528" s="17"/>
      <c r="U528" s="17"/>
      <c r="V528" s="17"/>
      <c r="W528" s="17"/>
      <c r="X528" s="17"/>
      <c r="Y528" s="17"/>
      <c r="Z528" s="17"/>
    </row>
    <row r="529" spans="1:26" ht="12.75">
      <c r="A529" s="17"/>
      <c r="B529" s="17"/>
      <c r="C529" s="17"/>
      <c r="D529" s="17"/>
      <c r="E529" s="17"/>
      <c r="F529" s="17"/>
      <c r="G529" s="17"/>
      <c r="H529" s="17"/>
      <c r="I529" s="17"/>
      <c r="J529" s="17"/>
      <c r="K529" s="17"/>
      <c r="L529" s="17"/>
      <c r="M529" s="17"/>
      <c r="N529" s="17"/>
      <c r="O529" s="17"/>
      <c r="P529" s="17"/>
      <c r="Q529" s="17"/>
      <c r="R529" s="17"/>
      <c r="S529" s="17"/>
      <c r="T529" s="17"/>
      <c r="U529" s="17"/>
      <c r="V529" s="17"/>
      <c r="W529" s="17"/>
      <c r="X529" s="17"/>
      <c r="Y529" s="17"/>
      <c r="Z529" s="17"/>
    </row>
    <row r="530" spans="1:26" ht="12.75">
      <c r="A530" s="17"/>
      <c r="B530" s="17"/>
      <c r="C530" s="17"/>
      <c r="D530" s="17"/>
      <c r="E530" s="17"/>
      <c r="F530" s="17"/>
      <c r="G530" s="17"/>
      <c r="H530" s="17"/>
      <c r="I530" s="17"/>
      <c r="J530" s="17"/>
      <c r="K530" s="17"/>
      <c r="L530" s="17"/>
      <c r="M530" s="17"/>
      <c r="N530" s="17"/>
      <c r="O530" s="17"/>
      <c r="P530" s="17"/>
      <c r="Q530" s="17"/>
      <c r="R530" s="17"/>
      <c r="S530" s="17"/>
      <c r="T530" s="17"/>
      <c r="U530" s="17"/>
      <c r="V530" s="17"/>
      <c r="W530" s="17"/>
      <c r="X530" s="17"/>
      <c r="Y530" s="17"/>
      <c r="Z530" s="17"/>
    </row>
    <row r="531" spans="1:26" ht="12.75">
      <c r="A531" s="17"/>
      <c r="B531" s="17"/>
      <c r="C531" s="17"/>
      <c r="D531" s="17"/>
      <c r="E531" s="17"/>
      <c r="F531" s="17"/>
      <c r="G531" s="17"/>
      <c r="H531" s="17"/>
      <c r="I531" s="17"/>
      <c r="J531" s="17"/>
      <c r="K531" s="17"/>
      <c r="L531" s="17"/>
      <c r="M531" s="17"/>
      <c r="N531" s="17"/>
      <c r="O531" s="17"/>
      <c r="P531" s="17"/>
      <c r="Q531" s="17"/>
      <c r="R531" s="17"/>
      <c r="S531" s="17"/>
      <c r="T531" s="17"/>
      <c r="U531" s="17"/>
      <c r="V531" s="17"/>
      <c r="W531" s="17"/>
      <c r="X531" s="17"/>
      <c r="Y531" s="17"/>
      <c r="Z531" s="17"/>
    </row>
    <row r="532" spans="1:26" ht="12.75">
      <c r="A532" s="17"/>
      <c r="B532" s="17"/>
      <c r="C532" s="17"/>
      <c r="D532" s="17"/>
      <c r="E532" s="17"/>
      <c r="F532" s="17"/>
      <c r="G532" s="17"/>
      <c r="H532" s="17"/>
      <c r="I532" s="17"/>
      <c r="J532" s="17"/>
      <c r="K532" s="17"/>
      <c r="L532" s="17"/>
      <c r="M532" s="17"/>
      <c r="N532" s="17"/>
      <c r="O532" s="17"/>
      <c r="P532" s="17"/>
      <c r="Q532" s="17"/>
      <c r="R532" s="17"/>
      <c r="S532" s="17"/>
      <c r="T532" s="17"/>
      <c r="U532" s="17"/>
      <c r="V532" s="17"/>
      <c r="W532" s="17"/>
      <c r="X532" s="17"/>
      <c r="Y532" s="17"/>
      <c r="Z532" s="17"/>
    </row>
    <row r="533" spans="1:26" ht="12.75">
      <c r="A533" s="17"/>
      <c r="B533" s="17"/>
      <c r="C533" s="17"/>
      <c r="D533" s="17"/>
      <c r="E533" s="17"/>
      <c r="F533" s="17"/>
      <c r="G533" s="17"/>
      <c r="H533" s="17"/>
      <c r="I533" s="17"/>
      <c r="J533" s="17"/>
      <c r="K533" s="17"/>
      <c r="L533" s="17"/>
      <c r="M533" s="17"/>
      <c r="N533" s="17"/>
      <c r="O533" s="17"/>
      <c r="P533" s="17"/>
      <c r="Q533" s="17"/>
      <c r="R533" s="17"/>
      <c r="S533" s="17"/>
      <c r="T533" s="17"/>
      <c r="U533" s="17"/>
      <c r="V533" s="17"/>
      <c r="W533" s="17"/>
      <c r="X533" s="17"/>
      <c r="Y533" s="17"/>
      <c r="Z533" s="17"/>
    </row>
    <row r="534" spans="1:26" ht="12.75">
      <c r="A534" s="1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row>
    <row r="535" spans="1:26" ht="12.75">
      <c r="A535" s="17"/>
      <c r="B535" s="17"/>
      <c r="C535" s="17"/>
      <c r="D535" s="17"/>
      <c r="E535" s="17"/>
      <c r="F535" s="17"/>
      <c r="G535" s="17"/>
      <c r="H535" s="17"/>
      <c r="I535" s="17"/>
      <c r="J535" s="17"/>
      <c r="K535" s="17"/>
      <c r="L535" s="17"/>
      <c r="M535" s="17"/>
      <c r="N535" s="17"/>
      <c r="O535" s="17"/>
      <c r="P535" s="17"/>
      <c r="Q535" s="17"/>
      <c r="R535" s="17"/>
      <c r="S535" s="17"/>
      <c r="T535" s="17"/>
      <c r="U535" s="17"/>
      <c r="V535" s="17"/>
      <c r="W535" s="17"/>
      <c r="X535" s="17"/>
      <c r="Y535" s="17"/>
      <c r="Z535" s="17"/>
    </row>
    <row r="536" spans="1:26" ht="12.75">
      <c r="A536" s="17"/>
      <c r="B536" s="17"/>
      <c r="C536" s="17"/>
      <c r="D536" s="17"/>
      <c r="E536" s="17"/>
      <c r="F536" s="17"/>
      <c r="G536" s="17"/>
      <c r="H536" s="17"/>
      <c r="I536" s="17"/>
      <c r="J536" s="17"/>
      <c r="K536" s="17"/>
      <c r="L536" s="17"/>
      <c r="M536" s="17"/>
      <c r="N536" s="17"/>
      <c r="O536" s="17"/>
      <c r="P536" s="17"/>
      <c r="Q536" s="17"/>
      <c r="R536" s="17"/>
      <c r="S536" s="17"/>
      <c r="T536" s="17"/>
      <c r="U536" s="17"/>
      <c r="V536" s="17"/>
      <c r="W536" s="17"/>
      <c r="X536" s="17"/>
      <c r="Y536" s="17"/>
      <c r="Z536" s="17"/>
    </row>
    <row r="537" spans="1:26" ht="12.75">
      <c r="A537" s="17"/>
      <c r="B537" s="17"/>
      <c r="C537" s="17"/>
      <c r="D537" s="17"/>
      <c r="E537" s="17"/>
      <c r="F537" s="17"/>
      <c r="G537" s="17"/>
      <c r="H537" s="17"/>
      <c r="I537" s="17"/>
      <c r="J537" s="17"/>
      <c r="K537" s="17"/>
      <c r="L537" s="17"/>
      <c r="M537" s="17"/>
      <c r="N537" s="17"/>
      <c r="O537" s="17"/>
      <c r="P537" s="17"/>
      <c r="Q537" s="17"/>
      <c r="R537" s="17"/>
      <c r="S537" s="17"/>
      <c r="T537" s="17"/>
      <c r="U537" s="17"/>
      <c r="V537" s="17"/>
      <c r="W537" s="17"/>
      <c r="X537" s="17"/>
      <c r="Y537" s="17"/>
      <c r="Z537" s="17"/>
    </row>
    <row r="538" spans="1:26" ht="12.75">
      <c r="A538" s="17"/>
      <c r="B538" s="17"/>
      <c r="C538" s="17"/>
      <c r="D538" s="17"/>
      <c r="E538" s="17"/>
      <c r="F538" s="17"/>
      <c r="G538" s="17"/>
      <c r="H538" s="17"/>
      <c r="I538" s="17"/>
      <c r="J538" s="17"/>
      <c r="K538" s="17"/>
      <c r="L538" s="17"/>
      <c r="M538" s="17"/>
      <c r="N538" s="17"/>
      <c r="O538" s="17"/>
      <c r="P538" s="17"/>
      <c r="Q538" s="17"/>
      <c r="R538" s="17"/>
      <c r="S538" s="17"/>
      <c r="T538" s="17"/>
      <c r="U538" s="17"/>
      <c r="V538" s="17"/>
      <c r="W538" s="17"/>
      <c r="X538" s="17"/>
      <c r="Y538" s="17"/>
      <c r="Z538" s="17"/>
    </row>
    <row r="539" spans="1:26" ht="12.75">
      <c r="A539" s="17"/>
      <c r="B539" s="17"/>
      <c r="C539" s="17"/>
      <c r="D539" s="17"/>
      <c r="E539" s="17"/>
      <c r="F539" s="17"/>
      <c r="G539" s="17"/>
      <c r="H539" s="17"/>
      <c r="I539" s="17"/>
      <c r="J539" s="17"/>
      <c r="K539" s="17"/>
      <c r="L539" s="17"/>
      <c r="M539" s="17"/>
      <c r="N539" s="17"/>
      <c r="O539" s="17"/>
      <c r="P539" s="17"/>
      <c r="Q539" s="17"/>
      <c r="R539" s="17"/>
      <c r="S539" s="17"/>
      <c r="T539" s="17"/>
      <c r="U539" s="17"/>
      <c r="V539" s="17"/>
      <c r="W539" s="17"/>
      <c r="X539" s="17"/>
      <c r="Y539" s="17"/>
      <c r="Z539" s="17"/>
    </row>
    <row r="540" spans="1:26" ht="12.75">
      <c r="A540" s="17"/>
      <c r="B540" s="17"/>
      <c r="C540" s="17"/>
      <c r="D540" s="17"/>
      <c r="E540" s="17"/>
      <c r="F540" s="17"/>
      <c r="G540" s="17"/>
      <c r="H540" s="17"/>
      <c r="I540" s="17"/>
      <c r="J540" s="17"/>
      <c r="K540" s="17"/>
      <c r="L540" s="17"/>
      <c r="M540" s="17"/>
      <c r="N540" s="17"/>
      <c r="O540" s="17"/>
      <c r="P540" s="17"/>
      <c r="Q540" s="17"/>
      <c r="R540" s="17"/>
      <c r="S540" s="17"/>
      <c r="T540" s="17"/>
      <c r="U540" s="17"/>
      <c r="V540" s="17"/>
      <c r="W540" s="17"/>
      <c r="X540" s="17"/>
      <c r="Y540" s="17"/>
      <c r="Z540" s="17"/>
    </row>
    <row r="541" spans="1:26" ht="12.75">
      <c r="A541" s="17"/>
      <c r="B541" s="17"/>
      <c r="C541" s="17"/>
      <c r="D541" s="17"/>
      <c r="E541" s="17"/>
      <c r="F541" s="17"/>
      <c r="G541" s="17"/>
      <c r="H541" s="17"/>
      <c r="I541" s="17"/>
      <c r="J541" s="17"/>
      <c r="K541" s="17"/>
      <c r="L541" s="17"/>
      <c r="M541" s="17"/>
      <c r="N541" s="17"/>
      <c r="O541" s="17"/>
      <c r="P541" s="17"/>
      <c r="Q541" s="17"/>
      <c r="R541" s="17"/>
      <c r="S541" s="17"/>
      <c r="T541" s="17"/>
      <c r="U541" s="17"/>
      <c r="V541" s="17"/>
      <c r="W541" s="17"/>
      <c r="X541" s="17"/>
      <c r="Y541" s="17"/>
      <c r="Z541" s="17"/>
    </row>
    <row r="542" spans="1:26" ht="12.75">
      <c r="A542" s="1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row>
    <row r="543" spans="1:26" ht="12.75">
      <c r="A543" s="17"/>
      <c r="B543" s="17"/>
      <c r="C543" s="17"/>
      <c r="D543" s="17"/>
      <c r="E543" s="17"/>
      <c r="F543" s="17"/>
      <c r="G543" s="17"/>
      <c r="H543" s="17"/>
      <c r="I543" s="17"/>
      <c r="J543" s="17"/>
      <c r="K543" s="17"/>
      <c r="L543" s="17"/>
      <c r="M543" s="17"/>
      <c r="N543" s="17"/>
      <c r="O543" s="17"/>
      <c r="P543" s="17"/>
      <c r="Q543" s="17"/>
      <c r="R543" s="17"/>
      <c r="S543" s="17"/>
      <c r="T543" s="17"/>
      <c r="U543" s="17"/>
      <c r="V543" s="17"/>
      <c r="W543" s="17"/>
      <c r="X543" s="17"/>
      <c r="Y543" s="17"/>
      <c r="Z543" s="17"/>
    </row>
    <row r="544" spans="1:26" ht="12.75">
      <c r="A544" s="17"/>
      <c r="B544" s="17"/>
      <c r="C544" s="17"/>
      <c r="D544" s="17"/>
      <c r="E544" s="17"/>
      <c r="F544" s="17"/>
      <c r="G544" s="17"/>
      <c r="H544" s="17"/>
      <c r="I544" s="17"/>
      <c r="J544" s="17"/>
      <c r="K544" s="17"/>
      <c r="L544" s="17"/>
      <c r="M544" s="17"/>
      <c r="N544" s="17"/>
      <c r="O544" s="17"/>
      <c r="P544" s="17"/>
      <c r="Q544" s="17"/>
      <c r="R544" s="17"/>
      <c r="S544" s="17"/>
      <c r="T544" s="17"/>
      <c r="U544" s="17"/>
      <c r="V544" s="17"/>
      <c r="W544" s="17"/>
      <c r="X544" s="17"/>
      <c r="Y544" s="17"/>
      <c r="Z544" s="17"/>
    </row>
    <row r="545" spans="1:26" ht="12.75">
      <c r="A545" s="17"/>
      <c r="B545" s="17"/>
      <c r="C545" s="17"/>
      <c r="D545" s="17"/>
      <c r="E545" s="17"/>
      <c r="F545" s="17"/>
      <c r="G545" s="17"/>
      <c r="H545" s="17"/>
      <c r="I545" s="17"/>
      <c r="J545" s="17"/>
      <c r="K545" s="17"/>
      <c r="L545" s="17"/>
      <c r="M545" s="17"/>
      <c r="N545" s="17"/>
      <c r="O545" s="17"/>
      <c r="P545" s="17"/>
      <c r="Q545" s="17"/>
      <c r="R545" s="17"/>
      <c r="S545" s="17"/>
      <c r="T545" s="17"/>
      <c r="U545" s="17"/>
      <c r="V545" s="17"/>
      <c r="W545" s="17"/>
      <c r="X545" s="17"/>
      <c r="Y545" s="17"/>
      <c r="Z545" s="17"/>
    </row>
    <row r="546" spans="1:26" ht="12.75">
      <c r="A546" s="17"/>
      <c r="B546" s="17"/>
      <c r="C546" s="17"/>
      <c r="D546" s="17"/>
      <c r="E546" s="17"/>
      <c r="F546" s="17"/>
      <c r="G546" s="17"/>
      <c r="H546" s="17"/>
      <c r="I546" s="17"/>
      <c r="J546" s="17"/>
      <c r="K546" s="17"/>
      <c r="L546" s="17"/>
      <c r="M546" s="17"/>
      <c r="N546" s="17"/>
      <c r="O546" s="17"/>
      <c r="P546" s="17"/>
      <c r="Q546" s="17"/>
      <c r="R546" s="17"/>
      <c r="S546" s="17"/>
      <c r="T546" s="17"/>
      <c r="U546" s="17"/>
      <c r="V546" s="17"/>
      <c r="W546" s="17"/>
      <c r="X546" s="17"/>
      <c r="Y546" s="17"/>
      <c r="Z546" s="17"/>
    </row>
    <row r="547" spans="1:26" ht="12.75">
      <c r="A547" s="17"/>
      <c r="B547" s="17"/>
      <c r="C547" s="17"/>
      <c r="D547" s="17"/>
      <c r="E547" s="17"/>
      <c r="F547" s="17"/>
      <c r="G547" s="17"/>
      <c r="H547" s="17"/>
      <c r="I547" s="17"/>
      <c r="J547" s="17"/>
      <c r="K547" s="17"/>
      <c r="L547" s="17"/>
      <c r="M547" s="17"/>
      <c r="N547" s="17"/>
      <c r="O547" s="17"/>
      <c r="P547" s="17"/>
      <c r="Q547" s="17"/>
      <c r="R547" s="17"/>
      <c r="S547" s="17"/>
      <c r="T547" s="17"/>
      <c r="U547" s="17"/>
      <c r="V547" s="17"/>
      <c r="W547" s="17"/>
      <c r="X547" s="17"/>
      <c r="Y547" s="17"/>
      <c r="Z547" s="17"/>
    </row>
    <row r="548" spans="1:26" ht="12.75">
      <c r="A548" s="17"/>
      <c r="B548" s="17"/>
      <c r="C548" s="17"/>
      <c r="D548" s="17"/>
      <c r="E548" s="17"/>
      <c r="F548" s="17"/>
      <c r="G548" s="17"/>
      <c r="H548" s="17"/>
      <c r="I548" s="17"/>
      <c r="J548" s="17"/>
      <c r="K548" s="17"/>
      <c r="L548" s="17"/>
      <c r="M548" s="17"/>
      <c r="N548" s="17"/>
      <c r="O548" s="17"/>
      <c r="P548" s="17"/>
      <c r="Q548" s="17"/>
      <c r="R548" s="17"/>
      <c r="S548" s="17"/>
      <c r="T548" s="17"/>
      <c r="U548" s="17"/>
      <c r="V548" s="17"/>
      <c r="W548" s="17"/>
      <c r="X548" s="17"/>
      <c r="Y548" s="17"/>
      <c r="Z548" s="17"/>
    </row>
    <row r="549" spans="1:26" ht="12.75">
      <c r="A549" s="17"/>
      <c r="B549" s="17"/>
      <c r="C549" s="17"/>
      <c r="D549" s="17"/>
      <c r="E549" s="17"/>
      <c r="F549" s="17"/>
      <c r="G549" s="17"/>
      <c r="H549" s="17"/>
      <c r="I549" s="17"/>
      <c r="J549" s="17"/>
      <c r="K549" s="17"/>
      <c r="L549" s="17"/>
      <c r="M549" s="17"/>
      <c r="N549" s="17"/>
      <c r="O549" s="17"/>
      <c r="P549" s="17"/>
      <c r="Q549" s="17"/>
      <c r="R549" s="17"/>
      <c r="S549" s="17"/>
      <c r="T549" s="17"/>
      <c r="U549" s="17"/>
      <c r="V549" s="17"/>
      <c r="W549" s="17"/>
      <c r="X549" s="17"/>
      <c r="Y549" s="17"/>
      <c r="Z549" s="17"/>
    </row>
    <row r="550" spans="1:26" ht="12.75">
      <c r="A550" s="1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row>
    <row r="551" spans="1:26" ht="12.75">
      <c r="A551" s="17"/>
      <c r="B551" s="17"/>
      <c r="C551" s="17"/>
      <c r="D551" s="17"/>
      <c r="E551" s="17"/>
      <c r="F551" s="17"/>
      <c r="G551" s="17"/>
      <c r="H551" s="17"/>
      <c r="I551" s="17"/>
      <c r="J551" s="17"/>
      <c r="K551" s="17"/>
      <c r="L551" s="17"/>
      <c r="M551" s="17"/>
      <c r="N551" s="17"/>
      <c r="O551" s="17"/>
      <c r="P551" s="17"/>
      <c r="Q551" s="17"/>
      <c r="R551" s="17"/>
      <c r="S551" s="17"/>
      <c r="T551" s="17"/>
      <c r="U551" s="17"/>
      <c r="V551" s="17"/>
      <c r="W551" s="17"/>
      <c r="X551" s="17"/>
      <c r="Y551" s="17"/>
      <c r="Z551" s="17"/>
    </row>
    <row r="552" spans="1:26" ht="12.75">
      <c r="A552" s="17"/>
      <c r="B552" s="17"/>
      <c r="C552" s="17"/>
      <c r="D552" s="17"/>
      <c r="E552" s="17"/>
      <c r="F552" s="17"/>
      <c r="G552" s="17"/>
      <c r="H552" s="17"/>
      <c r="I552" s="17"/>
      <c r="J552" s="17"/>
      <c r="K552" s="17"/>
      <c r="L552" s="17"/>
      <c r="M552" s="17"/>
      <c r="N552" s="17"/>
      <c r="O552" s="17"/>
      <c r="P552" s="17"/>
      <c r="Q552" s="17"/>
      <c r="R552" s="17"/>
      <c r="S552" s="17"/>
      <c r="T552" s="17"/>
      <c r="U552" s="17"/>
      <c r="V552" s="17"/>
      <c r="W552" s="17"/>
      <c r="X552" s="17"/>
      <c r="Y552" s="17"/>
      <c r="Z552" s="17"/>
    </row>
    <row r="553" spans="1:26" ht="12.75">
      <c r="A553" s="17"/>
      <c r="B553" s="17"/>
      <c r="C553" s="17"/>
      <c r="D553" s="17"/>
      <c r="E553" s="17"/>
      <c r="F553" s="17"/>
      <c r="G553" s="17"/>
      <c r="H553" s="17"/>
      <c r="I553" s="17"/>
      <c r="J553" s="17"/>
      <c r="K553" s="17"/>
      <c r="L553" s="17"/>
      <c r="M553" s="17"/>
      <c r="N553" s="17"/>
      <c r="O553" s="17"/>
      <c r="P553" s="17"/>
      <c r="Q553" s="17"/>
      <c r="R553" s="17"/>
      <c r="S553" s="17"/>
      <c r="T553" s="17"/>
      <c r="U553" s="17"/>
      <c r="V553" s="17"/>
      <c r="W553" s="17"/>
      <c r="X553" s="17"/>
      <c r="Y553" s="17"/>
      <c r="Z553" s="17"/>
    </row>
    <row r="554" spans="1:26" ht="12.75">
      <c r="A554" s="17"/>
      <c r="B554" s="17"/>
      <c r="C554" s="17"/>
      <c r="D554" s="17"/>
      <c r="E554" s="17"/>
      <c r="F554" s="17"/>
      <c r="G554" s="17"/>
      <c r="H554" s="17"/>
      <c r="I554" s="17"/>
      <c r="J554" s="17"/>
      <c r="K554" s="17"/>
      <c r="L554" s="17"/>
      <c r="M554" s="17"/>
      <c r="N554" s="17"/>
      <c r="O554" s="17"/>
      <c r="P554" s="17"/>
      <c r="Q554" s="17"/>
      <c r="R554" s="17"/>
      <c r="S554" s="17"/>
      <c r="T554" s="17"/>
      <c r="U554" s="17"/>
      <c r="V554" s="17"/>
      <c r="W554" s="17"/>
      <c r="X554" s="17"/>
      <c r="Y554" s="17"/>
      <c r="Z554" s="17"/>
    </row>
    <row r="555" spans="1:26" ht="12.75">
      <c r="A555" s="17"/>
      <c r="B555" s="17"/>
      <c r="C555" s="17"/>
      <c r="D555" s="17"/>
      <c r="E555" s="17"/>
      <c r="F555" s="17"/>
      <c r="G555" s="17"/>
      <c r="H555" s="17"/>
      <c r="I555" s="17"/>
      <c r="J555" s="17"/>
      <c r="K555" s="17"/>
      <c r="L555" s="17"/>
      <c r="M555" s="17"/>
      <c r="N555" s="17"/>
      <c r="O555" s="17"/>
      <c r="P555" s="17"/>
      <c r="Q555" s="17"/>
      <c r="R555" s="17"/>
      <c r="S555" s="17"/>
      <c r="T555" s="17"/>
      <c r="U555" s="17"/>
      <c r="V555" s="17"/>
      <c r="W555" s="17"/>
      <c r="X555" s="17"/>
      <c r="Y555" s="17"/>
      <c r="Z555" s="17"/>
    </row>
    <row r="556" spans="1:26" ht="12.75">
      <c r="A556" s="17"/>
      <c r="B556" s="17"/>
      <c r="C556" s="17"/>
      <c r="D556" s="17"/>
      <c r="E556" s="17"/>
      <c r="F556" s="17"/>
      <c r="G556" s="17"/>
      <c r="H556" s="17"/>
      <c r="I556" s="17"/>
      <c r="J556" s="17"/>
      <c r="K556" s="17"/>
      <c r="L556" s="17"/>
      <c r="M556" s="17"/>
      <c r="N556" s="17"/>
      <c r="O556" s="17"/>
      <c r="P556" s="17"/>
      <c r="Q556" s="17"/>
      <c r="R556" s="17"/>
      <c r="S556" s="17"/>
      <c r="T556" s="17"/>
      <c r="U556" s="17"/>
      <c r="V556" s="17"/>
      <c r="W556" s="17"/>
      <c r="X556" s="17"/>
      <c r="Y556" s="17"/>
      <c r="Z556" s="17"/>
    </row>
    <row r="557" spans="1:26" ht="12.75">
      <c r="A557" s="17"/>
      <c r="B557" s="17"/>
      <c r="C557" s="17"/>
      <c r="D557" s="17"/>
      <c r="E557" s="17"/>
      <c r="F557" s="17"/>
      <c r="G557" s="17"/>
      <c r="H557" s="17"/>
      <c r="I557" s="17"/>
      <c r="J557" s="17"/>
      <c r="K557" s="17"/>
      <c r="L557" s="17"/>
      <c r="M557" s="17"/>
      <c r="N557" s="17"/>
      <c r="O557" s="17"/>
      <c r="P557" s="17"/>
      <c r="Q557" s="17"/>
      <c r="R557" s="17"/>
      <c r="S557" s="17"/>
      <c r="T557" s="17"/>
      <c r="U557" s="17"/>
      <c r="V557" s="17"/>
      <c r="W557" s="17"/>
      <c r="X557" s="17"/>
      <c r="Y557" s="17"/>
      <c r="Z557" s="17"/>
    </row>
    <row r="558" spans="1:26" ht="12.75">
      <c r="A558" s="1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row>
    <row r="559" spans="1:26" ht="12.75">
      <c r="A559" s="17"/>
      <c r="B559" s="17"/>
      <c r="C559" s="17"/>
      <c r="D559" s="17"/>
      <c r="E559" s="17"/>
      <c r="F559" s="17"/>
      <c r="G559" s="17"/>
      <c r="H559" s="17"/>
      <c r="I559" s="17"/>
      <c r="J559" s="17"/>
      <c r="K559" s="17"/>
      <c r="L559" s="17"/>
      <c r="M559" s="17"/>
      <c r="N559" s="17"/>
      <c r="O559" s="17"/>
      <c r="P559" s="17"/>
      <c r="Q559" s="17"/>
      <c r="R559" s="17"/>
      <c r="S559" s="17"/>
      <c r="T559" s="17"/>
      <c r="U559" s="17"/>
      <c r="V559" s="17"/>
      <c r="W559" s="17"/>
      <c r="X559" s="17"/>
      <c r="Y559" s="17"/>
      <c r="Z559" s="17"/>
    </row>
    <row r="560" spans="1:26" ht="12.75">
      <c r="A560" s="17"/>
      <c r="B560" s="17"/>
      <c r="C560" s="17"/>
      <c r="D560" s="17"/>
      <c r="E560" s="17"/>
      <c r="F560" s="17"/>
      <c r="G560" s="17"/>
      <c r="H560" s="17"/>
      <c r="I560" s="17"/>
      <c r="J560" s="17"/>
      <c r="K560" s="17"/>
      <c r="L560" s="17"/>
      <c r="M560" s="17"/>
      <c r="N560" s="17"/>
      <c r="O560" s="17"/>
      <c r="P560" s="17"/>
      <c r="Q560" s="17"/>
      <c r="R560" s="17"/>
      <c r="S560" s="17"/>
      <c r="T560" s="17"/>
      <c r="U560" s="17"/>
      <c r="V560" s="17"/>
      <c r="W560" s="17"/>
      <c r="X560" s="17"/>
      <c r="Y560" s="17"/>
      <c r="Z560" s="17"/>
    </row>
    <row r="561" spans="1:26" ht="12.75">
      <c r="A561" s="17"/>
      <c r="B561" s="17"/>
      <c r="C561" s="17"/>
      <c r="D561" s="17"/>
      <c r="E561" s="17"/>
      <c r="F561" s="17"/>
      <c r="G561" s="17"/>
      <c r="H561" s="17"/>
      <c r="I561" s="17"/>
      <c r="J561" s="17"/>
      <c r="K561" s="17"/>
      <c r="L561" s="17"/>
      <c r="M561" s="17"/>
      <c r="N561" s="17"/>
      <c r="O561" s="17"/>
      <c r="P561" s="17"/>
      <c r="Q561" s="17"/>
      <c r="R561" s="17"/>
      <c r="S561" s="17"/>
      <c r="T561" s="17"/>
      <c r="U561" s="17"/>
      <c r="V561" s="17"/>
      <c r="W561" s="17"/>
      <c r="X561" s="17"/>
      <c r="Y561" s="17"/>
      <c r="Z561" s="17"/>
    </row>
    <row r="562" spans="1:26" ht="12.75">
      <c r="A562" s="17"/>
      <c r="B562" s="17"/>
      <c r="C562" s="17"/>
      <c r="D562" s="17"/>
      <c r="E562" s="17"/>
      <c r="F562" s="17"/>
      <c r="G562" s="17"/>
      <c r="H562" s="17"/>
      <c r="I562" s="17"/>
      <c r="J562" s="17"/>
      <c r="K562" s="17"/>
      <c r="L562" s="17"/>
      <c r="M562" s="17"/>
      <c r="N562" s="17"/>
      <c r="O562" s="17"/>
      <c r="P562" s="17"/>
      <c r="Q562" s="17"/>
      <c r="R562" s="17"/>
      <c r="S562" s="17"/>
      <c r="T562" s="17"/>
      <c r="U562" s="17"/>
      <c r="V562" s="17"/>
      <c r="W562" s="17"/>
      <c r="X562" s="17"/>
      <c r="Y562" s="17"/>
      <c r="Z562" s="17"/>
    </row>
    <row r="563" spans="1:26" ht="12.75">
      <c r="A563" s="17"/>
      <c r="B563" s="17"/>
      <c r="C563" s="17"/>
      <c r="D563" s="17"/>
      <c r="E563" s="17"/>
      <c r="F563" s="17"/>
      <c r="G563" s="17"/>
      <c r="H563" s="17"/>
      <c r="I563" s="17"/>
      <c r="J563" s="17"/>
      <c r="K563" s="17"/>
      <c r="L563" s="17"/>
      <c r="M563" s="17"/>
      <c r="N563" s="17"/>
      <c r="O563" s="17"/>
      <c r="P563" s="17"/>
      <c r="Q563" s="17"/>
      <c r="R563" s="17"/>
      <c r="S563" s="17"/>
      <c r="T563" s="17"/>
      <c r="U563" s="17"/>
      <c r="V563" s="17"/>
      <c r="W563" s="17"/>
      <c r="X563" s="17"/>
      <c r="Y563" s="17"/>
      <c r="Z563" s="17"/>
    </row>
    <row r="564" spans="1:26" ht="12.75">
      <c r="A564" s="17"/>
      <c r="B564" s="17"/>
      <c r="C564" s="17"/>
      <c r="D564" s="17"/>
      <c r="E564" s="17"/>
      <c r="F564" s="17"/>
      <c r="G564" s="17"/>
      <c r="H564" s="17"/>
      <c r="I564" s="17"/>
      <c r="J564" s="17"/>
      <c r="K564" s="17"/>
      <c r="L564" s="17"/>
      <c r="M564" s="17"/>
      <c r="N564" s="17"/>
      <c r="O564" s="17"/>
      <c r="P564" s="17"/>
      <c r="Q564" s="17"/>
      <c r="R564" s="17"/>
      <c r="S564" s="17"/>
      <c r="T564" s="17"/>
      <c r="U564" s="17"/>
      <c r="V564" s="17"/>
      <c r="W564" s="17"/>
      <c r="X564" s="17"/>
      <c r="Y564" s="17"/>
      <c r="Z564" s="17"/>
    </row>
    <row r="565" spans="1:26" ht="12.75">
      <c r="A565" s="17"/>
      <c r="B565" s="17"/>
      <c r="C565" s="17"/>
      <c r="D565" s="17"/>
      <c r="E565" s="17"/>
      <c r="F565" s="17"/>
      <c r="G565" s="17"/>
      <c r="H565" s="17"/>
      <c r="I565" s="17"/>
      <c r="J565" s="17"/>
      <c r="K565" s="17"/>
      <c r="L565" s="17"/>
      <c r="M565" s="17"/>
      <c r="N565" s="17"/>
      <c r="O565" s="17"/>
      <c r="P565" s="17"/>
      <c r="Q565" s="17"/>
      <c r="R565" s="17"/>
      <c r="S565" s="17"/>
      <c r="T565" s="17"/>
      <c r="U565" s="17"/>
      <c r="V565" s="17"/>
      <c r="W565" s="17"/>
      <c r="X565" s="17"/>
      <c r="Y565" s="17"/>
      <c r="Z565" s="17"/>
    </row>
    <row r="566" spans="1:26" ht="12.75">
      <c r="A566" s="1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row>
    <row r="567" spans="1:26" ht="12.75">
      <c r="A567" s="17"/>
      <c r="B567" s="17"/>
      <c r="C567" s="17"/>
      <c r="D567" s="17"/>
      <c r="E567" s="17"/>
      <c r="F567" s="17"/>
      <c r="G567" s="17"/>
      <c r="H567" s="17"/>
      <c r="I567" s="17"/>
      <c r="J567" s="17"/>
      <c r="K567" s="17"/>
      <c r="L567" s="17"/>
      <c r="M567" s="17"/>
      <c r="N567" s="17"/>
      <c r="O567" s="17"/>
      <c r="P567" s="17"/>
      <c r="Q567" s="17"/>
      <c r="R567" s="17"/>
      <c r="S567" s="17"/>
      <c r="T567" s="17"/>
      <c r="U567" s="17"/>
      <c r="V567" s="17"/>
      <c r="W567" s="17"/>
      <c r="X567" s="17"/>
      <c r="Y567" s="17"/>
      <c r="Z567" s="17"/>
    </row>
    <row r="568" spans="1:26" ht="12.75">
      <c r="A568" s="17"/>
      <c r="B568" s="17"/>
      <c r="C568" s="17"/>
      <c r="D568" s="17"/>
      <c r="E568" s="17"/>
      <c r="F568" s="17"/>
      <c r="G568" s="17"/>
      <c r="H568" s="17"/>
      <c r="I568" s="17"/>
      <c r="J568" s="17"/>
      <c r="K568" s="17"/>
      <c r="L568" s="17"/>
      <c r="M568" s="17"/>
      <c r="N568" s="17"/>
      <c r="O568" s="17"/>
      <c r="P568" s="17"/>
      <c r="Q568" s="17"/>
      <c r="R568" s="17"/>
      <c r="S568" s="17"/>
      <c r="T568" s="17"/>
      <c r="U568" s="17"/>
      <c r="V568" s="17"/>
      <c r="W568" s="17"/>
      <c r="X568" s="17"/>
      <c r="Y568" s="17"/>
      <c r="Z568" s="17"/>
    </row>
    <row r="569" spans="1:26" ht="12.75">
      <c r="A569" s="17"/>
      <c r="B569" s="17"/>
      <c r="C569" s="17"/>
      <c r="D569" s="17"/>
      <c r="E569" s="17"/>
      <c r="F569" s="17"/>
      <c r="G569" s="17"/>
      <c r="H569" s="17"/>
      <c r="I569" s="17"/>
      <c r="J569" s="17"/>
      <c r="K569" s="17"/>
      <c r="L569" s="17"/>
      <c r="M569" s="17"/>
      <c r="N569" s="17"/>
      <c r="O569" s="17"/>
      <c r="P569" s="17"/>
      <c r="Q569" s="17"/>
      <c r="R569" s="17"/>
      <c r="S569" s="17"/>
      <c r="T569" s="17"/>
      <c r="U569" s="17"/>
      <c r="V569" s="17"/>
      <c r="W569" s="17"/>
      <c r="X569" s="17"/>
      <c r="Y569" s="17"/>
      <c r="Z569" s="17"/>
    </row>
    <row r="570" spans="1:26" ht="12.75">
      <c r="A570" s="17"/>
      <c r="B570" s="17"/>
      <c r="C570" s="17"/>
      <c r="D570" s="17"/>
      <c r="E570" s="17"/>
      <c r="F570" s="17"/>
      <c r="G570" s="17"/>
      <c r="H570" s="17"/>
      <c r="I570" s="17"/>
      <c r="J570" s="17"/>
      <c r="K570" s="17"/>
      <c r="L570" s="17"/>
      <c r="M570" s="17"/>
      <c r="N570" s="17"/>
      <c r="O570" s="17"/>
      <c r="P570" s="17"/>
      <c r="Q570" s="17"/>
      <c r="R570" s="17"/>
      <c r="S570" s="17"/>
      <c r="T570" s="17"/>
      <c r="U570" s="17"/>
      <c r="V570" s="17"/>
      <c r="W570" s="17"/>
      <c r="X570" s="17"/>
      <c r="Y570" s="17"/>
      <c r="Z570" s="17"/>
    </row>
    <row r="571" spans="1:26" ht="12.75">
      <c r="A571" s="17"/>
      <c r="B571" s="17"/>
      <c r="C571" s="17"/>
      <c r="D571" s="17"/>
      <c r="E571" s="17"/>
      <c r="F571" s="17"/>
      <c r="G571" s="17"/>
      <c r="H571" s="17"/>
      <c r="I571" s="17"/>
      <c r="J571" s="17"/>
      <c r="K571" s="17"/>
      <c r="L571" s="17"/>
      <c r="M571" s="17"/>
      <c r="N571" s="17"/>
      <c r="O571" s="17"/>
      <c r="P571" s="17"/>
      <c r="Q571" s="17"/>
      <c r="R571" s="17"/>
      <c r="S571" s="17"/>
      <c r="T571" s="17"/>
      <c r="U571" s="17"/>
      <c r="V571" s="17"/>
      <c r="W571" s="17"/>
      <c r="X571" s="17"/>
      <c r="Y571" s="17"/>
      <c r="Z571" s="17"/>
    </row>
    <row r="572" spans="1:26" ht="12.75">
      <c r="A572" s="17"/>
      <c r="B572" s="17"/>
      <c r="C572" s="17"/>
      <c r="D572" s="17"/>
      <c r="E572" s="17"/>
      <c r="F572" s="17"/>
      <c r="G572" s="17"/>
      <c r="H572" s="17"/>
      <c r="I572" s="17"/>
      <c r="J572" s="17"/>
      <c r="K572" s="17"/>
      <c r="L572" s="17"/>
      <c r="M572" s="17"/>
      <c r="N572" s="17"/>
      <c r="O572" s="17"/>
      <c r="P572" s="17"/>
      <c r="Q572" s="17"/>
      <c r="R572" s="17"/>
      <c r="S572" s="17"/>
      <c r="T572" s="17"/>
      <c r="U572" s="17"/>
      <c r="V572" s="17"/>
      <c r="W572" s="17"/>
      <c r="X572" s="17"/>
      <c r="Y572" s="17"/>
      <c r="Z572" s="17"/>
    </row>
    <row r="573" spans="1:26" ht="12.75">
      <c r="A573" s="17"/>
      <c r="B573" s="17"/>
      <c r="C573" s="17"/>
      <c r="D573" s="17"/>
      <c r="E573" s="17"/>
      <c r="F573" s="17"/>
      <c r="G573" s="17"/>
      <c r="H573" s="17"/>
      <c r="I573" s="17"/>
      <c r="J573" s="17"/>
      <c r="K573" s="17"/>
      <c r="L573" s="17"/>
      <c r="M573" s="17"/>
      <c r="N573" s="17"/>
      <c r="O573" s="17"/>
      <c r="P573" s="17"/>
      <c r="Q573" s="17"/>
      <c r="R573" s="17"/>
      <c r="S573" s="17"/>
      <c r="T573" s="17"/>
      <c r="U573" s="17"/>
      <c r="V573" s="17"/>
      <c r="W573" s="17"/>
      <c r="X573" s="17"/>
      <c r="Y573" s="17"/>
      <c r="Z573" s="17"/>
    </row>
    <row r="574" spans="1:26" ht="12.75">
      <c r="A574" s="1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row>
    <row r="575" spans="1:26" ht="12.75">
      <c r="A575" s="17"/>
      <c r="B575" s="17"/>
      <c r="C575" s="17"/>
      <c r="D575" s="17"/>
      <c r="E575" s="17"/>
      <c r="F575" s="17"/>
      <c r="G575" s="17"/>
      <c r="H575" s="17"/>
      <c r="I575" s="17"/>
      <c r="J575" s="17"/>
      <c r="K575" s="17"/>
      <c r="L575" s="17"/>
      <c r="M575" s="17"/>
      <c r="N575" s="17"/>
      <c r="O575" s="17"/>
      <c r="P575" s="17"/>
      <c r="Q575" s="17"/>
      <c r="R575" s="17"/>
      <c r="S575" s="17"/>
      <c r="T575" s="17"/>
      <c r="U575" s="17"/>
      <c r="V575" s="17"/>
      <c r="W575" s="17"/>
      <c r="X575" s="17"/>
      <c r="Y575" s="17"/>
      <c r="Z575" s="17"/>
    </row>
    <row r="576" spans="1:26" ht="12.75">
      <c r="A576" s="17"/>
      <c r="B576" s="17"/>
      <c r="C576" s="17"/>
      <c r="D576" s="17"/>
      <c r="E576" s="17"/>
      <c r="F576" s="17"/>
      <c r="G576" s="17"/>
      <c r="H576" s="17"/>
      <c r="I576" s="17"/>
      <c r="J576" s="17"/>
      <c r="K576" s="17"/>
      <c r="L576" s="17"/>
      <c r="M576" s="17"/>
      <c r="N576" s="17"/>
      <c r="O576" s="17"/>
      <c r="P576" s="17"/>
      <c r="Q576" s="17"/>
      <c r="R576" s="17"/>
      <c r="S576" s="17"/>
      <c r="T576" s="17"/>
      <c r="U576" s="17"/>
      <c r="V576" s="17"/>
      <c r="W576" s="17"/>
      <c r="X576" s="17"/>
      <c r="Y576" s="17"/>
      <c r="Z576" s="17"/>
    </row>
    <row r="577" spans="1:26" ht="12.75">
      <c r="A577" s="17"/>
      <c r="B577" s="17"/>
      <c r="C577" s="17"/>
      <c r="D577" s="17"/>
      <c r="E577" s="17"/>
      <c r="F577" s="17"/>
      <c r="G577" s="17"/>
      <c r="H577" s="17"/>
      <c r="I577" s="17"/>
      <c r="J577" s="17"/>
      <c r="K577" s="17"/>
      <c r="L577" s="17"/>
      <c r="M577" s="17"/>
      <c r="N577" s="17"/>
      <c r="O577" s="17"/>
      <c r="P577" s="17"/>
      <c r="Q577" s="17"/>
      <c r="R577" s="17"/>
      <c r="S577" s="17"/>
      <c r="T577" s="17"/>
      <c r="U577" s="17"/>
      <c r="V577" s="17"/>
      <c r="W577" s="17"/>
      <c r="X577" s="17"/>
      <c r="Y577" s="17"/>
      <c r="Z577" s="17"/>
    </row>
    <row r="578" spans="1:26" ht="12.75">
      <c r="A578" s="17"/>
      <c r="B578" s="17"/>
      <c r="C578" s="17"/>
      <c r="D578" s="17"/>
      <c r="E578" s="17"/>
      <c r="F578" s="17"/>
      <c r="G578" s="17"/>
      <c r="H578" s="17"/>
      <c r="I578" s="17"/>
      <c r="J578" s="17"/>
      <c r="K578" s="17"/>
      <c r="L578" s="17"/>
      <c r="M578" s="17"/>
      <c r="N578" s="17"/>
      <c r="O578" s="17"/>
      <c r="P578" s="17"/>
      <c r="Q578" s="17"/>
      <c r="R578" s="17"/>
      <c r="S578" s="17"/>
      <c r="T578" s="17"/>
      <c r="U578" s="17"/>
      <c r="V578" s="17"/>
      <c r="W578" s="17"/>
      <c r="X578" s="17"/>
      <c r="Y578" s="17"/>
      <c r="Z578" s="17"/>
    </row>
    <row r="579" spans="1:26" ht="12.75">
      <c r="A579" s="17"/>
      <c r="B579" s="17"/>
      <c r="C579" s="17"/>
      <c r="D579" s="17"/>
      <c r="E579" s="17"/>
      <c r="F579" s="17"/>
      <c r="G579" s="17"/>
      <c r="H579" s="17"/>
      <c r="I579" s="17"/>
      <c r="J579" s="17"/>
      <c r="K579" s="17"/>
      <c r="L579" s="17"/>
      <c r="M579" s="17"/>
      <c r="N579" s="17"/>
      <c r="O579" s="17"/>
      <c r="P579" s="17"/>
      <c r="Q579" s="17"/>
      <c r="R579" s="17"/>
      <c r="S579" s="17"/>
      <c r="T579" s="17"/>
      <c r="U579" s="17"/>
      <c r="V579" s="17"/>
      <c r="W579" s="17"/>
      <c r="X579" s="17"/>
      <c r="Y579" s="17"/>
      <c r="Z579" s="17"/>
    </row>
    <row r="580" spans="1:26" ht="12.75">
      <c r="A580" s="17"/>
      <c r="B580" s="17"/>
      <c r="C580" s="17"/>
      <c r="D580" s="17"/>
      <c r="E580" s="17"/>
      <c r="F580" s="17"/>
      <c r="G580" s="17"/>
      <c r="H580" s="17"/>
      <c r="I580" s="17"/>
      <c r="J580" s="17"/>
      <c r="K580" s="17"/>
      <c r="L580" s="17"/>
      <c r="M580" s="17"/>
      <c r="N580" s="17"/>
      <c r="O580" s="17"/>
      <c r="P580" s="17"/>
      <c r="Q580" s="17"/>
      <c r="R580" s="17"/>
      <c r="S580" s="17"/>
      <c r="T580" s="17"/>
      <c r="U580" s="17"/>
      <c r="V580" s="17"/>
      <c r="W580" s="17"/>
      <c r="X580" s="17"/>
      <c r="Y580" s="17"/>
      <c r="Z580" s="17"/>
    </row>
    <row r="581" spans="1:26" ht="12.75">
      <c r="A581" s="17"/>
      <c r="B581" s="17"/>
      <c r="C581" s="17"/>
      <c r="D581" s="17"/>
      <c r="E581" s="17"/>
      <c r="F581" s="17"/>
      <c r="G581" s="17"/>
      <c r="H581" s="17"/>
      <c r="I581" s="17"/>
      <c r="J581" s="17"/>
      <c r="K581" s="17"/>
      <c r="L581" s="17"/>
      <c r="M581" s="17"/>
      <c r="N581" s="17"/>
      <c r="O581" s="17"/>
      <c r="P581" s="17"/>
      <c r="Q581" s="17"/>
      <c r="R581" s="17"/>
      <c r="S581" s="17"/>
      <c r="T581" s="17"/>
      <c r="U581" s="17"/>
      <c r="V581" s="17"/>
      <c r="W581" s="17"/>
      <c r="X581" s="17"/>
      <c r="Y581" s="17"/>
      <c r="Z581" s="17"/>
    </row>
    <row r="582" spans="1:26" ht="12.75">
      <c r="A582" s="1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row>
    <row r="583" spans="1:26" ht="12.75">
      <c r="A583" s="17"/>
      <c r="B583" s="17"/>
      <c r="C583" s="17"/>
      <c r="D583" s="17"/>
      <c r="E583" s="17"/>
      <c r="F583" s="17"/>
      <c r="G583" s="17"/>
      <c r="H583" s="17"/>
      <c r="I583" s="17"/>
      <c r="J583" s="17"/>
      <c r="K583" s="17"/>
      <c r="L583" s="17"/>
      <c r="M583" s="17"/>
      <c r="N583" s="17"/>
      <c r="O583" s="17"/>
      <c r="P583" s="17"/>
      <c r="Q583" s="17"/>
      <c r="R583" s="17"/>
      <c r="S583" s="17"/>
      <c r="T583" s="17"/>
      <c r="U583" s="17"/>
      <c r="V583" s="17"/>
      <c r="W583" s="17"/>
      <c r="X583" s="17"/>
      <c r="Y583" s="17"/>
      <c r="Z583" s="17"/>
    </row>
    <row r="584" spans="1:26" ht="12.75">
      <c r="A584" s="17"/>
      <c r="B584" s="17"/>
      <c r="C584" s="17"/>
      <c r="D584" s="17"/>
      <c r="E584" s="17"/>
      <c r="F584" s="17"/>
      <c r="G584" s="17"/>
      <c r="H584" s="17"/>
      <c r="I584" s="17"/>
      <c r="J584" s="17"/>
      <c r="K584" s="17"/>
      <c r="L584" s="17"/>
      <c r="M584" s="17"/>
      <c r="N584" s="17"/>
      <c r="O584" s="17"/>
      <c r="P584" s="17"/>
      <c r="Q584" s="17"/>
      <c r="R584" s="17"/>
      <c r="S584" s="17"/>
      <c r="T584" s="17"/>
      <c r="U584" s="17"/>
      <c r="V584" s="17"/>
      <c r="W584" s="17"/>
      <c r="X584" s="17"/>
      <c r="Y584" s="17"/>
      <c r="Z584" s="17"/>
    </row>
    <row r="585" spans="1:26" ht="12.75">
      <c r="A585" s="17"/>
      <c r="B585" s="17"/>
      <c r="C585" s="17"/>
      <c r="D585" s="17"/>
      <c r="E585" s="17"/>
      <c r="F585" s="17"/>
      <c r="G585" s="17"/>
      <c r="H585" s="17"/>
      <c r="I585" s="17"/>
      <c r="J585" s="17"/>
      <c r="K585" s="17"/>
      <c r="L585" s="17"/>
      <c r="M585" s="17"/>
      <c r="N585" s="17"/>
      <c r="O585" s="17"/>
      <c r="P585" s="17"/>
      <c r="Q585" s="17"/>
      <c r="R585" s="17"/>
      <c r="S585" s="17"/>
      <c r="T585" s="17"/>
      <c r="U585" s="17"/>
      <c r="V585" s="17"/>
      <c r="W585" s="17"/>
      <c r="X585" s="17"/>
      <c r="Y585" s="17"/>
      <c r="Z585" s="17"/>
    </row>
    <row r="586" spans="1:26" ht="12.75">
      <c r="A586" s="17"/>
      <c r="B586" s="17"/>
      <c r="C586" s="17"/>
      <c r="D586" s="17"/>
      <c r="E586" s="17"/>
      <c r="F586" s="17"/>
      <c r="G586" s="17"/>
      <c r="H586" s="17"/>
      <c r="I586" s="17"/>
      <c r="J586" s="17"/>
      <c r="K586" s="17"/>
      <c r="L586" s="17"/>
      <c r="M586" s="17"/>
      <c r="N586" s="17"/>
      <c r="O586" s="17"/>
      <c r="P586" s="17"/>
      <c r="Q586" s="17"/>
      <c r="R586" s="17"/>
      <c r="S586" s="17"/>
      <c r="T586" s="17"/>
      <c r="U586" s="17"/>
      <c r="V586" s="17"/>
      <c r="W586" s="17"/>
      <c r="X586" s="17"/>
      <c r="Y586" s="17"/>
      <c r="Z586" s="17"/>
    </row>
    <row r="587" spans="1:26" ht="12.75">
      <c r="A587" s="17"/>
      <c r="B587" s="17"/>
      <c r="C587" s="17"/>
      <c r="D587" s="17"/>
      <c r="E587" s="17"/>
      <c r="F587" s="17"/>
      <c r="G587" s="17"/>
      <c r="H587" s="17"/>
      <c r="I587" s="17"/>
      <c r="J587" s="17"/>
      <c r="K587" s="17"/>
      <c r="L587" s="17"/>
      <c r="M587" s="17"/>
      <c r="N587" s="17"/>
      <c r="O587" s="17"/>
      <c r="P587" s="17"/>
      <c r="Q587" s="17"/>
      <c r="R587" s="17"/>
      <c r="S587" s="17"/>
      <c r="T587" s="17"/>
      <c r="U587" s="17"/>
      <c r="V587" s="17"/>
      <c r="W587" s="17"/>
      <c r="X587" s="17"/>
      <c r="Y587" s="17"/>
      <c r="Z587" s="17"/>
    </row>
    <row r="588" spans="1:26" ht="12.75">
      <c r="A588" s="17"/>
      <c r="B588" s="17"/>
      <c r="C588" s="17"/>
      <c r="D588" s="17"/>
      <c r="E588" s="17"/>
      <c r="F588" s="17"/>
      <c r="G588" s="17"/>
      <c r="H588" s="17"/>
      <c r="I588" s="17"/>
      <c r="J588" s="17"/>
      <c r="K588" s="17"/>
      <c r="L588" s="17"/>
      <c r="M588" s="17"/>
      <c r="N588" s="17"/>
      <c r="O588" s="17"/>
      <c r="P588" s="17"/>
      <c r="Q588" s="17"/>
      <c r="R588" s="17"/>
      <c r="S588" s="17"/>
      <c r="T588" s="17"/>
      <c r="U588" s="17"/>
      <c r="V588" s="17"/>
      <c r="W588" s="17"/>
      <c r="X588" s="17"/>
      <c r="Y588" s="17"/>
      <c r="Z588" s="17"/>
    </row>
    <row r="589" spans="1:26" ht="12.75">
      <c r="A589" s="17"/>
      <c r="B589" s="17"/>
      <c r="C589" s="17"/>
      <c r="D589" s="17"/>
      <c r="E589" s="17"/>
      <c r="F589" s="17"/>
      <c r="G589" s="17"/>
      <c r="H589" s="17"/>
      <c r="I589" s="17"/>
      <c r="J589" s="17"/>
      <c r="K589" s="17"/>
      <c r="L589" s="17"/>
      <c r="M589" s="17"/>
      <c r="N589" s="17"/>
      <c r="O589" s="17"/>
      <c r="P589" s="17"/>
      <c r="Q589" s="17"/>
      <c r="R589" s="17"/>
      <c r="S589" s="17"/>
      <c r="T589" s="17"/>
      <c r="U589" s="17"/>
      <c r="V589" s="17"/>
      <c r="W589" s="17"/>
      <c r="X589" s="17"/>
      <c r="Y589" s="17"/>
      <c r="Z589" s="17"/>
    </row>
    <row r="590" spans="1:26" ht="12.75">
      <c r="A590" s="1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row>
    <row r="591" spans="1:26" ht="12.75">
      <c r="A591" s="17"/>
      <c r="B591" s="17"/>
      <c r="C591" s="17"/>
      <c r="D591" s="17"/>
      <c r="E591" s="17"/>
      <c r="F591" s="17"/>
      <c r="G591" s="17"/>
      <c r="H591" s="17"/>
      <c r="I591" s="17"/>
      <c r="J591" s="17"/>
      <c r="K591" s="17"/>
      <c r="L591" s="17"/>
      <c r="M591" s="17"/>
      <c r="N591" s="17"/>
      <c r="O591" s="17"/>
      <c r="P591" s="17"/>
      <c r="Q591" s="17"/>
      <c r="R591" s="17"/>
      <c r="S591" s="17"/>
      <c r="T591" s="17"/>
      <c r="U591" s="17"/>
      <c r="V591" s="17"/>
      <c r="W591" s="17"/>
      <c r="X591" s="17"/>
      <c r="Y591" s="17"/>
      <c r="Z591" s="17"/>
    </row>
    <row r="592" spans="1:26" ht="12.75">
      <c r="A592" s="17"/>
      <c r="B592" s="17"/>
      <c r="C592" s="17"/>
      <c r="D592" s="17"/>
      <c r="E592" s="17"/>
      <c r="F592" s="17"/>
      <c r="G592" s="17"/>
      <c r="H592" s="17"/>
      <c r="I592" s="17"/>
      <c r="J592" s="17"/>
      <c r="K592" s="17"/>
      <c r="L592" s="17"/>
      <c r="M592" s="17"/>
      <c r="N592" s="17"/>
      <c r="O592" s="17"/>
      <c r="P592" s="17"/>
      <c r="Q592" s="17"/>
      <c r="R592" s="17"/>
      <c r="S592" s="17"/>
      <c r="T592" s="17"/>
      <c r="U592" s="17"/>
      <c r="V592" s="17"/>
      <c r="W592" s="17"/>
      <c r="X592" s="17"/>
      <c r="Y592" s="17"/>
      <c r="Z592" s="17"/>
    </row>
    <row r="593" spans="1:26" ht="12.75">
      <c r="A593" s="17"/>
      <c r="B593" s="17"/>
      <c r="C593" s="17"/>
      <c r="D593" s="17"/>
      <c r="E593" s="17"/>
      <c r="F593" s="17"/>
      <c r="G593" s="17"/>
      <c r="H593" s="17"/>
      <c r="I593" s="17"/>
      <c r="J593" s="17"/>
      <c r="K593" s="17"/>
      <c r="L593" s="17"/>
      <c r="M593" s="17"/>
      <c r="N593" s="17"/>
      <c r="O593" s="17"/>
      <c r="P593" s="17"/>
      <c r="Q593" s="17"/>
      <c r="R593" s="17"/>
      <c r="S593" s="17"/>
      <c r="T593" s="17"/>
      <c r="U593" s="17"/>
      <c r="V593" s="17"/>
      <c r="W593" s="17"/>
      <c r="X593" s="17"/>
      <c r="Y593" s="17"/>
      <c r="Z593" s="17"/>
    </row>
    <row r="594" spans="1:26" ht="12.75">
      <c r="A594" s="17"/>
      <c r="B594" s="17"/>
      <c r="C594" s="17"/>
      <c r="D594" s="17"/>
      <c r="E594" s="17"/>
      <c r="F594" s="17"/>
      <c r="G594" s="17"/>
      <c r="H594" s="17"/>
      <c r="I594" s="17"/>
      <c r="J594" s="17"/>
      <c r="K594" s="17"/>
      <c r="L594" s="17"/>
      <c r="M594" s="17"/>
      <c r="N594" s="17"/>
      <c r="O594" s="17"/>
      <c r="P594" s="17"/>
      <c r="Q594" s="17"/>
      <c r="R594" s="17"/>
      <c r="S594" s="17"/>
      <c r="T594" s="17"/>
      <c r="U594" s="17"/>
      <c r="V594" s="17"/>
      <c r="W594" s="17"/>
      <c r="X594" s="17"/>
      <c r="Y594" s="17"/>
      <c r="Z594" s="17"/>
    </row>
    <row r="595" spans="1:26" ht="12.75">
      <c r="A595" s="17"/>
      <c r="B595" s="17"/>
      <c r="C595" s="17"/>
      <c r="D595" s="17"/>
      <c r="E595" s="17"/>
      <c r="F595" s="17"/>
      <c r="G595" s="17"/>
      <c r="H595" s="17"/>
      <c r="I595" s="17"/>
      <c r="J595" s="17"/>
      <c r="K595" s="17"/>
      <c r="L595" s="17"/>
      <c r="M595" s="17"/>
      <c r="N595" s="17"/>
      <c r="O595" s="17"/>
      <c r="P595" s="17"/>
      <c r="Q595" s="17"/>
      <c r="R595" s="17"/>
      <c r="S595" s="17"/>
      <c r="T595" s="17"/>
      <c r="U595" s="17"/>
      <c r="V595" s="17"/>
      <c r="W595" s="17"/>
      <c r="X595" s="17"/>
      <c r="Y595" s="17"/>
      <c r="Z595" s="17"/>
    </row>
    <row r="596" spans="1:26" ht="12.75">
      <c r="A596" s="17"/>
      <c r="B596" s="17"/>
      <c r="C596" s="17"/>
      <c r="D596" s="17"/>
      <c r="E596" s="17"/>
      <c r="F596" s="17"/>
      <c r="G596" s="17"/>
      <c r="H596" s="17"/>
      <c r="I596" s="17"/>
      <c r="J596" s="17"/>
      <c r="K596" s="17"/>
      <c r="L596" s="17"/>
      <c r="M596" s="17"/>
      <c r="N596" s="17"/>
      <c r="O596" s="17"/>
      <c r="P596" s="17"/>
      <c r="Q596" s="17"/>
      <c r="R596" s="17"/>
      <c r="S596" s="17"/>
      <c r="T596" s="17"/>
      <c r="U596" s="17"/>
      <c r="V596" s="17"/>
      <c r="W596" s="17"/>
      <c r="X596" s="17"/>
      <c r="Y596" s="17"/>
      <c r="Z596" s="17"/>
    </row>
    <row r="597" spans="1:26" ht="12.75">
      <c r="A597" s="17"/>
      <c r="B597" s="17"/>
      <c r="C597" s="17"/>
      <c r="D597" s="17"/>
      <c r="E597" s="17"/>
      <c r="F597" s="17"/>
      <c r="G597" s="17"/>
      <c r="H597" s="17"/>
      <c r="I597" s="17"/>
      <c r="J597" s="17"/>
      <c r="K597" s="17"/>
      <c r="L597" s="17"/>
      <c r="M597" s="17"/>
      <c r="N597" s="17"/>
      <c r="O597" s="17"/>
      <c r="P597" s="17"/>
      <c r="Q597" s="17"/>
      <c r="R597" s="17"/>
      <c r="S597" s="17"/>
      <c r="T597" s="17"/>
      <c r="U597" s="17"/>
      <c r="V597" s="17"/>
      <c r="W597" s="17"/>
      <c r="X597" s="17"/>
      <c r="Y597" s="17"/>
      <c r="Z597" s="17"/>
    </row>
    <row r="598" spans="1:26" ht="12.75">
      <c r="A598" s="1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row>
    <row r="599" spans="1:26" ht="12.75">
      <c r="A599" s="17"/>
      <c r="B599" s="17"/>
      <c r="C599" s="17"/>
      <c r="D599" s="17"/>
      <c r="E599" s="17"/>
      <c r="F599" s="17"/>
      <c r="G599" s="17"/>
      <c r="H599" s="17"/>
      <c r="I599" s="17"/>
      <c r="J599" s="17"/>
      <c r="K599" s="17"/>
      <c r="L599" s="17"/>
      <c r="M599" s="17"/>
      <c r="N599" s="17"/>
      <c r="O599" s="17"/>
      <c r="P599" s="17"/>
      <c r="Q599" s="17"/>
      <c r="R599" s="17"/>
      <c r="S599" s="17"/>
      <c r="T599" s="17"/>
      <c r="U599" s="17"/>
      <c r="V599" s="17"/>
      <c r="W599" s="17"/>
      <c r="X599" s="17"/>
      <c r="Y599" s="17"/>
      <c r="Z599" s="17"/>
    </row>
    <row r="600" spans="1:26" ht="12.75">
      <c r="A600" s="17"/>
      <c r="B600" s="17"/>
      <c r="C600" s="17"/>
      <c r="D600" s="17"/>
      <c r="E600" s="17"/>
      <c r="F600" s="17"/>
      <c r="G600" s="17"/>
      <c r="H600" s="17"/>
      <c r="I600" s="17"/>
      <c r="J600" s="17"/>
      <c r="K600" s="17"/>
      <c r="L600" s="17"/>
      <c r="M600" s="17"/>
      <c r="N600" s="17"/>
      <c r="O600" s="17"/>
      <c r="P600" s="17"/>
      <c r="Q600" s="17"/>
      <c r="R600" s="17"/>
      <c r="S600" s="17"/>
      <c r="T600" s="17"/>
      <c r="U600" s="17"/>
      <c r="V600" s="17"/>
      <c r="W600" s="17"/>
      <c r="X600" s="17"/>
      <c r="Y600" s="17"/>
      <c r="Z600" s="17"/>
    </row>
    <row r="601" spans="1:26" ht="12.75">
      <c r="A601" s="17"/>
      <c r="B601" s="17"/>
      <c r="C601" s="17"/>
      <c r="D601" s="17"/>
      <c r="E601" s="17"/>
      <c r="F601" s="17"/>
      <c r="G601" s="17"/>
      <c r="H601" s="17"/>
      <c r="I601" s="17"/>
      <c r="J601" s="17"/>
      <c r="K601" s="17"/>
      <c r="L601" s="17"/>
      <c r="M601" s="17"/>
      <c r="N601" s="17"/>
      <c r="O601" s="17"/>
      <c r="P601" s="17"/>
      <c r="Q601" s="17"/>
      <c r="R601" s="17"/>
      <c r="S601" s="17"/>
      <c r="T601" s="17"/>
      <c r="U601" s="17"/>
      <c r="V601" s="17"/>
      <c r="W601" s="17"/>
      <c r="X601" s="17"/>
      <c r="Y601" s="17"/>
      <c r="Z601" s="17"/>
    </row>
    <row r="602" spans="1:26" ht="12.75">
      <c r="A602" s="17"/>
      <c r="B602" s="17"/>
      <c r="C602" s="17"/>
      <c r="D602" s="17"/>
      <c r="E602" s="17"/>
      <c r="F602" s="17"/>
      <c r="G602" s="17"/>
      <c r="H602" s="17"/>
      <c r="I602" s="17"/>
      <c r="J602" s="17"/>
      <c r="K602" s="17"/>
      <c r="L602" s="17"/>
      <c r="M602" s="17"/>
      <c r="N602" s="17"/>
      <c r="O602" s="17"/>
      <c r="P602" s="17"/>
      <c r="Q602" s="17"/>
      <c r="R602" s="17"/>
      <c r="S602" s="17"/>
      <c r="T602" s="17"/>
      <c r="U602" s="17"/>
      <c r="V602" s="17"/>
      <c r="W602" s="17"/>
      <c r="X602" s="17"/>
      <c r="Y602" s="17"/>
      <c r="Z602" s="17"/>
    </row>
    <row r="603" spans="1:26" ht="12.75">
      <c r="A603" s="17"/>
      <c r="B603" s="17"/>
      <c r="C603" s="17"/>
      <c r="D603" s="17"/>
      <c r="E603" s="17"/>
      <c r="F603" s="17"/>
      <c r="G603" s="17"/>
      <c r="H603" s="17"/>
      <c r="I603" s="17"/>
      <c r="J603" s="17"/>
      <c r="K603" s="17"/>
      <c r="L603" s="17"/>
      <c r="M603" s="17"/>
      <c r="N603" s="17"/>
      <c r="O603" s="17"/>
      <c r="P603" s="17"/>
      <c r="Q603" s="17"/>
      <c r="R603" s="17"/>
      <c r="S603" s="17"/>
      <c r="T603" s="17"/>
      <c r="U603" s="17"/>
      <c r="V603" s="17"/>
      <c r="W603" s="17"/>
      <c r="X603" s="17"/>
      <c r="Y603" s="17"/>
      <c r="Z603" s="17"/>
    </row>
    <row r="604" spans="1:26" ht="12.75">
      <c r="A604" s="17"/>
      <c r="B604" s="17"/>
      <c r="C604" s="17"/>
      <c r="D604" s="17"/>
      <c r="E604" s="17"/>
      <c r="F604" s="17"/>
      <c r="G604" s="17"/>
      <c r="H604" s="17"/>
      <c r="I604" s="17"/>
      <c r="J604" s="17"/>
      <c r="K604" s="17"/>
      <c r="L604" s="17"/>
      <c r="M604" s="17"/>
      <c r="N604" s="17"/>
      <c r="O604" s="17"/>
      <c r="P604" s="17"/>
      <c r="Q604" s="17"/>
      <c r="R604" s="17"/>
      <c r="S604" s="17"/>
      <c r="T604" s="17"/>
      <c r="U604" s="17"/>
      <c r="V604" s="17"/>
      <c r="W604" s="17"/>
      <c r="X604" s="17"/>
      <c r="Y604" s="17"/>
      <c r="Z604" s="17"/>
    </row>
    <row r="605" spans="1:26" ht="12.75">
      <c r="A605" s="17"/>
      <c r="B605" s="17"/>
      <c r="C605" s="17"/>
      <c r="D605" s="17"/>
      <c r="E605" s="17"/>
      <c r="F605" s="17"/>
      <c r="G605" s="17"/>
      <c r="H605" s="17"/>
      <c r="I605" s="17"/>
      <c r="J605" s="17"/>
      <c r="K605" s="17"/>
      <c r="L605" s="17"/>
      <c r="M605" s="17"/>
      <c r="N605" s="17"/>
      <c r="O605" s="17"/>
      <c r="P605" s="17"/>
      <c r="Q605" s="17"/>
      <c r="R605" s="17"/>
      <c r="S605" s="17"/>
      <c r="T605" s="17"/>
      <c r="U605" s="17"/>
      <c r="V605" s="17"/>
      <c r="W605" s="17"/>
      <c r="X605" s="17"/>
      <c r="Y605" s="17"/>
      <c r="Z605" s="17"/>
    </row>
    <row r="606" spans="1:26" ht="12.75">
      <c r="A606" s="1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row>
    <row r="607" spans="1:26" ht="12.75">
      <c r="A607" s="17"/>
      <c r="B607" s="17"/>
      <c r="C607" s="17"/>
      <c r="D607" s="17"/>
      <c r="E607" s="17"/>
      <c r="F607" s="17"/>
      <c r="G607" s="17"/>
      <c r="H607" s="17"/>
      <c r="I607" s="17"/>
      <c r="J607" s="17"/>
      <c r="K607" s="17"/>
      <c r="L607" s="17"/>
      <c r="M607" s="17"/>
      <c r="N607" s="17"/>
      <c r="O607" s="17"/>
      <c r="P607" s="17"/>
      <c r="Q607" s="17"/>
      <c r="R607" s="17"/>
      <c r="S607" s="17"/>
      <c r="T607" s="17"/>
      <c r="U607" s="17"/>
      <c r="V607" s="17"/>
      <c r="W607" s="17"/>
      <c r="X607" s="17"/>
      <c r="Y607" s="17"/>
      <c r="Z607" s="17"/>
    </row>
    <row r="608" spans="1:26" ht="12.75">
      <c r="A608" s="17"/>
      <c r="B608" s="17"/>
      <c r="C608" s="17"/>
      <c r="D608" s="17"/>
      <c r="E608" s="17"/>
      <c r="F608" s="17"/>
      <c r="G608" s="17"/>
      <c r="H608" s="17"/>
      <c r="I608" s="17"/>
      <c r="J608" s="17"/>
      <c r="K608" s="17"/>
      <c r="L608" s="17"/>
      <c r="M608" s="17"/>
      <c r="N608" s="17"/>
      <c r="O608" s="17"/>
      <c r="P608" s="17"/>
      <c r="Q608" s="17"/>
      <c r="R608" s="17"/>
      <c r="S608" s="17"/>
      <c r="T608" s="17"/>
      <c r="U608" s="17"/>
      <c r="V608" s="17"/>
      <c r="W608" s="17"/>
      <c r="X608" s="17"/>
      <c r="Y608" s="17"/>
      <c r="Z608" s="17"/>
    </row>
    <row r="609" spans="1:26" ht="12.75">
      <c r="A609" s="17"/>
      <c r="B609" s="17"/>
      <c r="C609" s="17"/>
      <c r="D609" s="17"/>
      <c r="E609" s="17"/>
      <c r="F609" s="17"/>
      <c r="G609" s="17"/>
      <c r="H609" s="17"/>
      <c r="I609" s="17"/>
      <c r="J609" s="17"/>
      <c r="K609" s="17"/>
      <c r="L609" s="17"/>
      <c r="M609" s="17"/>
      <c r="N609" s="17"/>
      <c r="O609" s="17"/>
      <c r="P609" s="17"/>
      <c r="Q609" s="17"/>
      <c r="R609" s="17"/>
      <c r="S609" s="17"/>
      <c r="T609" s="17"/>
      <c r="U609" s="17"/>
      <c r="V609" s="17"/>
      <c r="W609" s="17"/>
      <c r="X609" s="17"/>
      <c r="Y609" s="17"/>
      <c r="Z609" s="17"/>
    </row>
    <row r="610" spans="1:26" ht="12.75">
      <c r="A610" s="17"/>
      <c r="B610" s="17"/>
      <c r="C610" s="17"/>
      <c r="D610" s="17"/>
      <c r="E610" s="17"/>
      <c r="F610" s="17"/>
      <c r="G610" s="17"/>
      <c r="H610" s="17"/>
      <c r="I610" s="17"/>
      <c r="J610" s="17"/>
      <c r="K610" s="17"/>
      <c r="L610" s="17"/>
      <c r="M610" s="17"/>
      <c r="N610" s="17"/>
      <c r="O610" s="17"/>
      <c r="P610" s="17"/>
      <c r="Q610" s="17"/>
      <c r="R610" s="17"/>
      <c r="S610" s="17"/>
      <c r="T610" s="17"/>
      <c r="U610" s="17"/>
      <c r="V610" s="17"/>
      <c r="W610" s="17"/>
      <c r="X610" s="17"/>
      <c r="Y610" s="17"/>
      <c r="Z610" s="17"/>
    </row>
    <row r="611" spans="1:26" ht="12.75">
      <c r="A611" s="17"/>
      <c r="B611" s="17"/>
      <c r="C611" s="17"/>
      <c r="D611" s="17"/>
      <c r="E611" s="17"/>
      <c r="F611" s="17"/>
      <c r="G611" s="17"/>
      <c r="H611" s="17"/>
      <c r="I611" s="17"/>
      <c r="J611" s="17"/>
      <c r="K611" s="17"/>
      <c r="L611" s="17"/>
      <c r="M611" s="17"/>
      <c r="N611" s="17"/>
      <c r="O611" s="17"/>
      <c r="P611" s="17"/>
      <c r="Q611" s="17"/>
      <c r="R611" s="17"/>
      <c r="S611" s="17"/>
      <c r="T611" s="17"/>
      <c r="U611" s="17"/>
      <c r="V611" s="17"/>
      <c r="W611" s="17"/>
      <c r="X611" s="17"/>
      <c r="Y611" s="17"/>
      <c r="Z611" s="17"/>
    </row>
    <row r="612" spans="1:26" ht="12.75">
      <c r="A612" s="17"/>
      <c r="B612" s="17"/>
      <c r="C612" s="17"/>
      <c r="D612" s="17"/>
      <c r="E612" s="17"/>
      <c r="F612" s="17"/>
      <c r="G612" s="17"/>
      <c r="H612" s="17"/>
      <c r="I612" s="17"/>
      <c r="J612" s="17"/>
      <c r="K612" s="17"/>
      <c r="L612" s="17"/>
      <c r="M612" s="17"/>
      <c r="N612" s="17"/>
      <c r="O612" s="17"/>
      <c r="P612" s="17"/>
      <c r="Q612" s="17"/>
      <c r="R612" s="17"/>
      <c r="S612" s="17"/>
      <c r="T612" s="17"/>
      <c r="U612" s="17"/>
      <c r="V612" s="17"/>
      <c r="W612" s="17"/>
      <c r="X612" s="17"/>
      <c r="Y612" s="17"/>
      <c r="Z612" s="17"/>
    </row>
    <row r="613" spans="1:26" ht="12.75">
      <c r="A613" s="17"/>
      <c r="B613" s="17"/>
      <c r="C613" s="17"/>
      <c r="D613" s="17"/>
      <c r="E613" s="17"/>
      <c r="F613" s="17"/>
      <c r="G613" s="17"/>
      <c r="H613" s="17"/>
      <c r="I613" s="17"/>
      <c r="J613" s="17"/>
      <c r="K613" s="17"/>
      <c r="L613" s="17"/>
      <c r="M613" s="17"/>
      <c r="N613" s="17"/>
      <c r="O613" s="17"/>
      <c r="P613" s="17"/>
      <c r="Q613" s="17"/>
      <c r="R613" s="17"/>
      <c r="S613" s="17"/>
      <c r="T613" s="17"/>
      <c r="U613" s="17"/>
      <c r="V613" s="17"/>
      <c r="W613" s="17"/>
      <c r="X613" s="17"/>
      <c r="Y613" s="17"/>
      <c r="Z613" s="17"/>
    </row>
    <row r="614" spans="1:26" ht="12.75">
      <c r="A614" s="1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row>
    <row r="615" spans="1:26" ht="12.75">
      <c r="A615" s="17"/>
      <c r="B615" s="17"/>
      <c r="C615" s="17"/>
      <c r="D615" s="17"/>
      <c r="E615" s="17"/>
      <c r="F615" s="17"/>
      <c r="G615" s="17"/>
      <c r="H615" s="17"/>
      <c r="I615" s="17"/>
      <c r="J615" s="17"/>
      <c r="K615" s="17"/>
      <c r="L615" s="17"/>
      <c r="M615" s="17"/>
      <c r="N615" s="17"/>
      <c r="O615" s="17"/>
      <c r="P615" s="17"/>
      <c r="Q615" s="17"/>
      <c r="R615" s="17"/>
      <c r="S615" s="17"/>
      <c r="T615" s="17"/>
      <c r="U615" s="17"/>
      <c r="V615" s="17"/>
      <c r="W615" s="17"/>
      <c r="X615" s="17"/>
      <c r="Y615" s="17"/>
      <c r="Z615" s="17"/>
    </row>
    <row r="616" spans="1:26" ht="12.75">
      <c r="A616" s="17"/>
      <c r="B616" s="17"/>
      <c r="C616" s="17"/>
      <c r="D616" s="17"/>
      <c r="E616" s="17"/>
      <c r="F616" s="17"/>
      <c r="G616" s="17"/>
      <c r="H616" s="17"/>
      <c r="I616" s="17"/>
      <c r="J616" s="17"/>
      <c r="K616" s="17"/>
      <c r="L616" s="17"/>
      <c r="M616" s="17"/>
      <c r="N616" s="17"/>
      <c r="O616" s="17"/>
      <c r="P616" s="17"/>
      <c r="Q616" s="17"/>
      <c r="R616" s="17"/>
      <c r="S616" s="17"/>
      <c r="T616" s="17"/>
      <c r="U616" s="17"/>
      <c r="V616" s="17"/>
      <c r="W616" s="17"/>
      <c r="X616" s="17"/>
      <c r="Y616" s="17"/>
      <c r="Z616" s="17"/>
    </row>
    <row r="617" spans="1:26" ht="12.75">
      <c r="A617" s="17"/>
      <c r="B617" s="17"/>
      <c r="C617" s="17"/>
      <c r="D617" s="17"/>
      <c r="E617" s="17"/>
      <c r="F617" s="17"/>
      <c r="G617" s="17"/>
      <c r="H617" s="17"/>
      <c r="I617" s="17"/>
      <c r="J617" s="17"/>
      <c r="K617" s="17"/>
      <c r="L617" s="17"/>
      <c r="M617" s="17"/>
      <c r="N617" s="17"/>
      <c r="O617" s="17"/>
      <c r="P617" s="17"/>
      <c r="Q617" s="17"/>
      <c r="R617" s="17"/>
      <c r="S617" s="17"/>
      <c r="T617" s="17"/>
      <c r="U617" s="17"/>
      <c r="V617" s="17"/>
      <c r="W617" s="17"/>
      <c r="X617" s="17"/>
      <c r="Y617" s="17"/>
      <c r="Z617" s="17"/>
    </row>
    <row r="618" spans="1:26" ht="12.75">
      <c r="A618" s="17"/>
      <c r="B618" s="17"/>
      <c r="C618" s="17"/>
      <c r="D618" s="17"/>
      <c r="E618" s="17"/>
      <c r="F618" s="17"/>
      <c r="G618" s="17"/>
      <c r="H618" s="17"/>
      <c r="I618" s="17"/>
      <c r="J618" s="17"/>
      <c r="K618" s="17"/>
      <c r="L618" s="17"/>
      <c r="M618" s="17"/>
      <c r="N618" s="17"/>
      <c r="O618" s="17"/>
      <c r="P618" s="17"/>
      <c r="Q618" s="17"/>
      <c r="R618" s="17"/>
      <c r="S618" s="17"/>
      <c r="T618" s="17"/>
      <c r="U618" s="17"/>
      <c r="V618" s="17"/>
      <c r="W618" s="17"/>
      <c r="X618" s="17"/>
      <c r="Y618" s="17"/>
      <c r="Z618" s="17"/>
    </row>
    <row r="619" spans="1:26" ht="12.75">
      <c r="A619" s="17"/>
      <c r="B619" s="17"/>
      <c r="C619" s="17"/>
      <c r="D619" s="17"/>
      <c r="E619" s="17"/>
      <c r="F619" s="17"/>
      <c r="G619" s="17"/>
      <c r="H619" s="17"/>
      <c r="I619" s="17"/>
      <c r="J619" s="17"/>
      <c r="K619" s="17"/>
      <c r="L619" s="17"/>
      <c r="M619" s="17"/>
      <c r="N619" s="17"/>
      <c r="O619" s="17"/>
      <c r="P619" s="17"/>
      <c r="Q619" s="17"/>
      <c r="R619" s="17"/>
      <c r="S619" s="17"/>
      <c r="T619" s="17"/>
      <c r="U619" s="17"/>
      <c r="V619" s="17"/>
      <c r="W619" s="17"/>
      <c r="X619" s="17"/>
      <c r="Y619" s="17"/>
      <c r="Z619" s="17"/>
    </row>
    <row r="620" spans="1:26" ht="12.75">
      <c r="A620" s="17"/>
      <c r="B620" s="17"/>
      <c r="C620" s="17"/>
      <c r="D620" s="17"/>
      <c r="E620" s="17"/>
      <c r="F620" s="17"/>
      <c r="G620" s="17"/>
      <c r="H620" s="17"/>
      <c r="I620" s="17"/>
      <c r="J620" s="17"/>
      <c r="K620" s="17"/>
      <c r="L620" s="17"/>
      <c r="M620" s="17"/>
      <c r="N620" s="17"/>
      <c r="O620" s="17"/>
      <c r="P620" s="17"/>
      <c r="Q620" s="17"/>
      <c r="R620" s="17"/>
      <c r="S620" s="17"/>
      <c r="T620" s="17"/>
      <c r="U620" s="17"/>
      <c r="V620" s="17"/>
      <c r="W620" s="17"/>
      <c r="X620" s="17"/>
      <c r="Y620" s="17"/>
      <c r="Z620" s="17"/>
    </row>
    <row r="621" spans="1:26" ht="12.75">
      <c r="A621" s="17"/>
      <c r="B621" s="17"/>
      <c r="C621" s="17"/>
      <c r="D621" s="17"/>
      <c r="E621" s="17"/>
      <c r="F621" s="17"/>
      <c r="G621" s="17"/>
      <c r="H621" s="17"/>
      <c r="I621" s="17"/>
      <c r="J621" s="17"/>
      <c r="K621" s="17"/>
      <c r="L621" s="17"/>
      <c r="M621" s="17"/>
      <c r="N621" s="17"/>
      <c r="O621" s="17"/>
      <c r="P621" s="17"/>
      <c r="Q621" s="17"/>
      <c r="R621" s="17"/>
      <c r="S621" s="17"/>
      <c r="T621" s="17"/>
      <c r="U621" s="17"/>
      <c r="V621" s="17"/>
      <c r="W621" s="17"/>
      <c r="X621" s="17"/>
      <c r="Y621" s="17"/>
      <c r="Z621" s="17"/>
    </row>
    <row r="622" spans="1:26" ht="12.75">
      <c r="A622" s="1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row>
    <row r="623" spans="1:26" ht="12.75">
      <c r="A623" s="17"/>
      <c r="B623" s="17"/>
      <c r="C623" s="17"/>
      <c r="D623" s="17"/>
      <c r="E623" s="17"/>
      <c r="F623" s="17"/>
      <c r="G623" s="17"/>
      <c r="H623" s="17"/>
      <c r="I623" s="17"/>
      <c r="J623" s="17"/>
      <c r="K623" s="17"/>
      <c r="L623" s="17"/>
      <c r="M623" s="17"/>
      <c r="N623" s="17"/>
      <c r="O623" s="17"/>
      <c r="P623" s="17"/>
      <c r="Q623" s="17"/>
      <c r="R623" s="17"/>
      <c r="S623" s="17"/>
      <c r="T623" s="17"/>
      <c r="U623" s="17"/>
      <c r="V623" s="17"/>
      <c r="W623" s="17"/>
      <c r="X623" s="17"/>
      <c r="Y623" s="17"/>
      <c r="Z623" s="17"/>
    </row>
    <row r="624" spans="1:26" ht="12.75">
      <c r="A624" s="17"/>
      <c r="B624" s="17"/>
      <c r="C624" s="17"/>
      <c r="D624" s="17"/>
      <c r="E624" s="17"/>
      <c r="F624" s="17"/>
      <c r="G624" s="17"/>
      <c r="H624" s="17"/>
      <c r="I624" s="17"/>
      <c r="J624" s="17"/>
      <c r="K624" s="17"/>
      <c r="L624" s="17"/>
      <c r="M624" s="17"/>
      <c r="N624" s="17"/>
      <c r="O624" s="17"/>
      <c r="P624" s="17"/>
      <c r="Q624" s="17"/>
      <c r="R624" s="17"/>
      <c r="S624" s="17"/>
      <c r="T624" s="17"/>
      <c r="U624" s="17"/>
      <c r="V624" s="17"/>
      <c r="W624" s="17"/>
      <c r="X624" s="17"/>
      <c r="Y624" s="17"/>
      <c r="Z624" s="17"/>
    </row>
    <row r="625" spans="1:26" ht="12.75">
      <c r="A625" s="17"/>
      <c r="B625" s="17"/>
      <c r="C625" s="17"/>
      <c r="D625" s="17"/>
      <c r="E625" s="17"/>
      <c r="F625" s="17"/>
      <c r="G625" s="17"/>
      <c r="H625" s="17"/>
      <c r="I625" s="17"/>
      <c r="J625" s="17"/>
      <c r="K625" s="17"/>
      <c r="L625" s="17"/>
      <c r="M625" s="17"/>
      <c r="N625" s="17"/>
      <c r="O625" s="17"/>
      <c r="P625" s="17"/>
      <c r="Q625" s="17"/>
      <c r="R625" s="17"/>
      <c r="S625" s="17"/>
      <c r="T625" s="17"/>
      <c r="U625" s="17"/>
      <c r="V625" s="17"/>
      <c r="W625" s="17"/>
      <c r="X625" s="17"/>
      <c r="Y625" s="17"/>
      <c r="Z625" s="17"/>
    </row>
    <row r="626" spans="1:26" ht="12.75">
      <c r="A626" s="17"/>
      <c r="B626" s="17"/>
      <c r="C626" s="17"/>
      <c r="D626" s="17"/>
      <c r="E626" s="17"/>
      <c r="F626" s="17"/>
      <c r="G626" s="17"/>
      <c r="H626" s="17"/>
      <c r="I626" s="17"/>
      <c r="J626" s="17"/>
      <c r="K626" s="17"/>
      <c r="L626" s="17"/>
      <c r="M626" s="17"/>
      <c r="N626" s="17"/>
      <c r="O626" s="17"/>
      <c r="P626" s="17"/>
      <c r="Q626" s="17"/>
      <c r="R626" s="17"/>
      <c r="S626" s="17"/>
      <c r="T626" s="17"/>
      <c r="U626" s="17"/>
      <c r="V626" s="17"/>
      <c r="W626" s="17"/>
      <c r="X626" s="17"/>
      <c r="Y626" s="17"/>
      <c r="Z626" s="17"/>
    </row>
    <row r="627" spans="1:26" ht="12.75">
      <c r="A627" s="17"/>
      <c r="B627" s="17"/>
      <c r="C627" s="17"/>
      <c r="D627" s="17"/>
      <c r="E627" s="17"/>
      <c r="F627" s="17"/>
      <c r="G627" s="17"/>
      <c r="H627" s="17"/>
      <c r="I627" s="17"/>
      <c r="J627" s="17"/>
      <c r="K627" s="17"/>
      <c r="L627" s="17"/>
      <c r="M627" s="17"/>
      <c r="N627" s="17"/>
      <c r="O627" s="17"/>
      <c r="P627" s="17"/>
      <c r="Q627" s="17"/>
      <c r="R627" s="17"/>
      <c r="S627" s="17"/>
      <c r="T627" s="17"/>
      <c r="U627" s="17"/>
      <c r="V627" s="17"/>
      <c r="W627" s="17"/>
      <c r="X627" s="17"/>
      <c r="Y627" s="17"/>
      <c r="Z627" s="17"/>
    </row>
    <row r="628" spans="1:26" ht="12.75">
      <c r="A628" s="17"/>
      <c r="B628" s="17"/>
      <c r="C628" s="17"/>
      <c r="D628" s="17"/>
      <c r="E628" s="17"/>
      <c r="F628" s="17"/>
      <c r="G628" s="17"/>
      <c r="H628" s="17"/>
      <c r="I628" s="17"/>
      <c r="J628" s="17"/>
      <c r="K628" s="17"/>
      <c r="L628" s="17"/>
      <c r="M628" s="17"/>
      <c r="N628" s="17"/>
      <c r="O628" s="17"/>
      <c r="P628" s="17"/>
      <c r="Q628" s="17"/>
      <c r="R628" s="17"/>
      <c r="S628" s="17"/>
      <c r="T628" s="17"/>
      <c r="U628" s="17"/>
      <c r="V628" s="17"/>
      <c r="W628" s="17"/>
      <c r="X628" s="17"/>
      <c r="Y628" s="17"/>
      <c r="Z628" s="17"/>
    </row>
    <row r="629" spans="1:26" ht="12.75">
      <c r="A629" s="17"/>
      <c r="B629" s="17"/>
      <c r="C629" s="17"/>
      <c r="D629" s="17"/>
      <c r="E629" s="17"/>
      <c r="F629" s="17"/>
      <c r="G629" s="17"/>
      <c r="H629" s="17"/>
      <c r="I629" s="17"/>
      <c r="J629" s="17"/>
      <c r="K629" s="17"/>
      <c r="L629" s="17"/>
      <c r="M629" s="17"/>
      <c r="N629" s="17"/>
      <c r="O629" s="17"/>
      <c r="P629" s="17"/>
      <c r="Q629" s="17"/>
      <c r="R629" s="17"/>
      <c r="S629" s="17"/>
      <c r="T629" s="17"/>
      <c r="U629" s="17"/>
      <c r="V629" s="17"/>
      <c r="W629" s="17"/>
      <c r="X629" s="17"/>
      <c r="Y629" s="17"/>
      <c r="Z629" s="17"/>
    </row>
    <row r="630" spans="1:26" ht="12.75">
      <c r="A630" s="1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row>
    <row r="631" spans="1:26" ht="12.75">
      <c r="A631" s="17"/>
      <c r="B631" s="17"/>
      <c r="C631" s="17"/>
      <c r="D631" s="17"/>
      <c r="E631" s="17"/>
      <c r="F631" s="17"/>
      <c r="G631" s="17"/>
      <c r="H631" s="17"/>
      <c r="I631" s="17"/>
      <c r="J631" s="17"/>
      <c r="K631" s="17"/>
      <c r="L631" s="17"/>
      <c r="M631" s="17"/>
      <c r="N631" s="17"/>
      <c r="O631" s="17"/>
      <c r="P631" s="17"/>
      <c r="Q631" s="17"/>
      <c r="R631" s="17"/>
      <c r="S631" s="17"/>
      <c r="T631" s="17"/>
      <c r="U631" s="17"/>
      <c r="V631" s="17"/>
      <c r="W631" s="17"/>
      <c r="X631" s="17"/>
      <c r="Y631" s="17"/>
      <c r="Z631" s="17"/>
    </row>
    <row r="632" spans="1:26" ht="12.75">
      <c r="A632" s="17"/>
      <c r="B632" s="17"/>
      <c r="C632" s="17"/>
      <c r="D632" s="17"/>
      <c r="E632" s="17"/>
      <c r="F632" s="17"/>
      <c r="G632" s="17"/>
      <c r="H632" s="17"/>
      <c r="I632" s="17"/>
      <c r="J632" s="17"/>
      <c r="K632" s="17"/>
      <c r="L632" s="17"/>
      <c r="M632" s="17"/>
      <c r="N632" s="17"/>
      <c r="O632" s="17"/>
      <c r="P632" s="17"/>
      <c r="Q632" s="17"/>
      <c r="R632" s="17"/>
      <c r="S632" s="17"/>
      <c r="T632" s="17"/>
      <c r="U632" s="17"/>
      <c r="V632" s="17"/>
      <c r="W632" s="17"/>
      <c r="X632" s="17"/>
      <c r="Y632" s="17"/>
      <c r="Z632" s="17"/>
    </row>
    <row r="633" spans="1:26" ht="12.75">
      <c r="A633" s="17"/>
      <c r="B633" s="17"/>
      <c r="C633" s="17"/>
      <c r="D633" s="17"/>
      <c r="E633" s="17"/>
      <c r="F633" s="17"/>
      <c r="G633" s="17"/>
      <c r="H633" s="17"/>
      <c r="I633" s="17"/>
      <c r="J633" s="17"/>
      <c r="K633" s="17"/>
      <c r="L633" s="17"/>
      <c r="M633" s="17"/>
      <c r="N633" s="17"/>
      <c r="O633" s="17"/>
      <c r="P633" s="17"/>
      <c r="Q633" s="17"/>
      <c r="R633" s="17"/>
      <c r="S633" s="17"/>
      <c r="T633" s="17"/>
      <c r="U633" s="17"/>
      <c r="V633" s="17"/>
      <c r="W633" s="17"/>
      <c r="X633" s="17"/>
      <c r="Y633" s="17"/>
      <c r="Z633" s="17"/>
    </row>
    <row r="634" spans="1:26" ht="12.75">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row>
    <row r="635" spans="1:26" ht="12.75">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row>
    <row r="636" spans="1:26" ht="12.75">
      <c r="A636" s="17"/>
      <c r="B636" s="17"/>
      <c r="C636" s="17"/>
      <c r="D636" s="17"/>
      <c r="E636" s="17"/>
      <c r="F636" s="17"/>
      <c r="G636" s="17"/>
      <c r="H636" s="17"/>
      <c r="I636" s="17"/>
      <c r="J636" s="17"/>
      <c r="K636" s="17"/>
      <c r="L636" s="17"/>
      <c r="M636" s="17"/>
      <c r="N636" s="17"/>
      <c r="O636" s="17"/>
      <c r="P636" s="17"/>
      <c r="Q636" s="17"/>
      <c r="R636" s="17"/>
      <c r="S636" s="17"/>
      <c r="T636" s="17"/>
      <c r="U636" s="17"/>
      <c r="V636" s="17"/>
      <c r="W636" s="17"/>
      <c r="X636" s="17"/>
      <c r="Y636" s="17"/>
      <c r="Z636" s="17"/>
    </row>
    <row r="637" spans="1:26" ht="12.75">
      <c r="A637" s="17"/>
      <c r="B637" s="17"/>
      <c r="C637" s="17"/>
      <c r="D637" s="17"/>
      <c r="E637" s="17"/>
      <c r="F637" s="17"/>
      <c r="G637" s="17"/>
      <c r="H637" s="17"/>
      <c r="I637" s="17"/>
      <c r="J637" s="17"/>
      <c r="K637" s="17"/>
      <c r="L637" s="17"/>
      <c r="M637" s="17"/>
      <c r="N637" s="17"/>
      <c r="O637" s="17"/>
      <c r="P637" s="17"/>
      <c r="Q637" s="17"/>
      <c r="R637" s="17"/>
      <c r="S637" s="17"/>
      <c r="T637" s="17"/>
      <c r="U637" s="17"/>
      <c r="V637" s="17"/>
      <c r="W637" s="17"/>
      <c r="X637" s="17"/>
      <c r="Y637" s="17"/>
      <c r="Z637" s="17"/>
    </row>
    <row r="638" spans="1:26" ht="12.75">
      <c r="A638" s="1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row>
    <row r="639" spans="1:26" ht="12.75">
      <c r="A639" s="17"/>
      <c r="B639" s="17"/>
      <c r="C639" s="17"/>
      <c r="D639" s="17"/>
      <c r="E639" s="17"/>
      <c r="F639" s="17"/>
      <c r="G639" s="17"/>
      <c r="H639" s="17"/>
      <c r="I639" s="17"/>
      <c r="J639" s="17"/>
      <c r="K639" s="17"/>
      <c r="L639" s="17"/>
      <c r="M639" s="17"/>
      <c r="N639" s="17"/>
      <c r="O639" s="17"/>
      <c r="P639" s="17"/>
      <c r="Q639" s="17"/>
      <c r="R639" s="17"/>
      <c r="S639" s="17"/>
      <c r="T639" s="17"/>
      <c r="U639" s="17"/>
      <c r="V639" s="17"/>
      <c r="W639" s="17"/>
      <c r="X639" s="17"/>
      <c r="Y639" s="17"/>
      <c r="Z639" s="17"/>
    </row>
    <row r="640" spans="1:26" ht="12.75">
      <c r="A640" s="17"/>
      <c r="B640" s="17"/>
      <c r="C640" s="17"/>
      <c r="D640" s="17"/>
      <c r="E640" s="17"/>
      <c r="F640" s="17"/>
      <c r="G640" s="17"/>
      <c r="H640" s="17"/>
      <c r="I640" s="17"/>
      <c r="J640" s="17"/>
      <c r="K640" s="17"/>
      <c r="L640" s="17"/>
      <c r="M640" s="17"/>
      <c r="N640" s="17"/>
      <c r="O640" s="17"/>
      <c r="P640" s="17"/>
      <c r="Q640" s="17"/>
      <c r="R640" s="17"/>
      <c r="S640" s="17"/>
      <c r="T640" s="17"/>
      <c r="U640" s="17"/>
      <c r="V640" s="17"/>
      <c r="W640" s="17"/>
      <c r="X640" s="17"/>
      <c r="Y640" s="17"/>
      <c r="Z640" s="17"/>
    </row>
    <row r="641" spans="1:26" ht="12.75">
      <c r="A641" s="17"/>
      <c r="B641" s="17"/>
      <c r="C641" s="17"/>
      <c r="D641" s="17"/>
      <c r="E641" s="17"/>
      <c r="F641" s="17"/>
      <c r="G641" s="17"/>
      <c r="H641" s="17"/>
      <c r="I641" s="17"/>
      <c r="J641" s="17"/>
      <c r="K641" s="17"/>
      <c r="L641" s="17"/>
      <c r="M641" s="17"/>
      <c r="N641" s="17"/>
      <c r="O641" s="17"/>
      <c r="P641" s="17"/>
      <c r="Q641" s="17"/>
      <c r="R641" s="17"/>
      <c r="S641" s="17"/>
      <c r="T641" s="17"/>
      <c r="U641" s="17"/>
      <c r="V641" s="17"/>
      <c r="W641" s="17"/>
      <c r="X641" s="17"/>
      <c r="Y641" s="17"/>
      <c r="Z641" s="17"/>
    </row>
    <row r="642" spans="1:26" ht="12.75">
      <c r="A642" s="17"/>
      <c r="B642" s="17"/>
      <c r="C642" s="17"/>
      <c r="D642" s="17"/>
      <c r="E642" s="17"/>
      <c r="F642" s="17"/>
      <c r="G642" s="17"/>
      <c r="H642" s="17"/>
      <c r="I642" s="17"/>
      <c r="J642" s="17"/>
      <c r="K642" s="17"/>
      <c r="L642" s="17"/>
      <c r="M642" s="17"/>
      <c r="N642" s="17"/>
      <c r="O642" s="17"/>
      <c r="P642" s="17"/>
      <c r="Q642" s="17"/>
      <c r="R642" s="17"/>
      <c r="S642" s="17"/>
      <c r="T642" s="17"/>
      <c r="U642" s="17"/>
      <c r="V642" s="17"/>
      <c r="W642" s="17"/>
      <c r="X642" s="17"/>
      <c r="Y642" s="17"/>
      <c r="Z642" s="17"/>
    </row>
    <row r="643" spans="1:26" ht="12.75">
      <c r="A643" s="17"/>
      <c r="B643" s="17"/>
      <c r="C643" s="17"/>
      <c r="D643" s="17"/>
      <c r="E643" s="17"/>
      <c r="F643" s="17"/>
      <c r="G643" s="17"/>
      <c r="H643" s="17"/>
      <c r="I643" s="17"/>
      <c r="J643" s="17"/>
      <c r="K643" s="17"/>
      <c r="L643" s="17"/>
      <c r="M643" s="17"/>
      <c r="N643" s="17"/>
      <c r="O643" s="17"/>
      <c r="P643" s="17"/>
      <c r="Q643" s="17"/>
      <c r="R643" s="17"/>
      <c r="S643" s="17"/>
      <c r="T643" s="17"/>
      <c r="U643" s="17"/>
      <c r="V643" s="17"/>
      <c r="W643" s="17"/>
      <c r="X643" s="17"/>
      <c r="Y643" s="17"/>
      <c r="Z643" s="17"/>
    </row>
    <row r="644" spans="1:26" ht="12.75">
      <c r="A644" s="17"/>
      <c r="B644" s="17"/>
      <c r="C644" s="17"/>
      <c r="D644" s="17"/>
      <c r="E644" s="17"/>
      <c r="F644" s="17"/>
      <c r="G644" s="17"/>
      <c r="H644" s="17"/>
      <c r="I644" s="17"/>
      <c r="J644" s="17"/>
      <c r="K644" s="17"/>
      <c r="L644" s="17"/>
      <c r="M644" s="17"/>
      <c r="N644" s="17"/>
      <c r="O644" s="17"/>
      <c r="P644" s="17"/>
      <c r="Q644" s="17"/>
      <c r="R644" s="17"/>
      <c r="S644" s="17"/>
      <c r="T644" s="17"/>
      <c r="U644" s="17"/>
      <c r="V644" s="17"/>
      <c r="W644" s="17"/>
      <c r="X644" s="17"/>
      <c r="Y644" s="17"/>
      <c r="Z644" s="17"/>
    </row>
    <row r="645" spans="1:26" ht="12.75">
      <c r="A645" s="17"/>
      <c r="B645" s="17"/>
      <c r="C645" s="17"/>
      <c r="D645" s="17"/>
      <c r="E645" s="17"/>
      <c r="F645" s="17"/>
      <c r="G645" s="17"/>
      <c r="H645" s="17"/>
      <c r="I645" s="17"/>
      <c r="J645" s="17"/>
      <c r="K645" s="17"/>
      <c r="L645" s="17"/>
      <c r="M645" s="17"/>
      <c r="N645" s="17"/>
      <c r="O645" s="17"/>
      <c r="P645" s="17"/>
      <c r="Q645" s="17"/>
      <c r="R645" s="17"/>
      <c r="S645" s="17"/>
      <c r="T645" s="17"/>
      <c r="U645" s="17"/>
      <c r="V645" s="17"/>
      <c r="W645" s="17"/>
      <c r="X645" s="17"/>
      <c r="Y645" s="17"/>
      <c r="Z645" s="17"/>
    </row>
    <row r="646" spans="1:26" ht="12.75">
      <c r="A646" s="1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row>
    <row r="647" spans="1:26" ht="12.75">
      <c r="A647" s="17"/>
      <c r="B647" s="17"/>
      <c r="C647" s="17"/>
      <c r="D647" s="17"/>
      <c r="E647" s="17"/>
      <c r="F647" s="17"/>
      <c r="G647" s="17"/>
      <c r="H647" s="17"/>
      <c r="I647" s="17"/>
      <c r="J647" s="17"/>
      <c r="K647" s="17"/>
      <c r="L647" s="17"/>
      <c r="M647" s="17"/>
      <c r="N647" s="17"/>
      <c r="O647" s="17"/>
      <c r="P647" s="17"/>
      <c r="Q647" s="17"/>
      <c r="R647" s="17"/>
      <c r="S647" s="17"/>
      <c r="T647" s="17"/>
      <c r="U647" s="17"/>
      <c r="V647" s="17"/>
      <c r="W647" s="17"/>
      <c r="X647" s="17"/>
      <c r="Y647" s="17"/>
      <c r="Z647" s="17"/>
    </row>
    <row r="648" spans="1:26" ht="12.75">
      <c r="A648" s="17"/>
      <c r="B648" s="17"/>
      <c r="C648" s="17"/>
      <c r="D648" s="17"/>
      <c r="E648" s="17"/>
      <c r="F648" s="17"/>
      <c r="G648" s="17"/>
      <c r="H648" s="17"/>
      <c r="I648" s="17"/>
      <c r="J648" s="17"/>
      <c r="K648" s="17"/>
      <c r="L648" s="17"/>
      <c r="M648" s="17"/>
      <c r="N648" s="17"/>
      <c r="O648" s="17"/>
      <c r="P648" s="17"/>
      <c r="Q648" s="17"/>
      <c r="R648" s="17"/>
      <c r="S648" s="17"/>
      <c r="T648" s="17"/>
      <c r="U648" s="17"/>
      <c r="V648" s="17"/>
      <c r="W648" s="17"/>
      <c r="X648" s="17"/>
      <c r="Y648" s="17"/>
      <c r="Z648" s="17"/>
    </row>
    <row r="649" spans="1:26" ht="12.75">
      <c r="A649" s="17"/>
      <c r="B649" s="17"/>
      <c r="C649" s="17"/>
      <c r="D649" s="17"/>
      <c r="E649" s="17"/>
      <c r="F649" s="17"/>
      <c r="G649" s="17"/>
      <c r="H649" s="17"/>
      <c r="I649" s="17"/>
      <c r="J649" s="17"/>
      <c r="K649" s="17"/>
      <c r="L649" s="17"/>
      <c r="M649" s="17"/>
      <c r="N649" s="17"/>
      <c r="O649" s="17"/>
      <c r="P649" s="17"/>
      <c r="Q649" s="17"/>
      <c r="R649" s="17"/>
      <c r="S649" s="17"/>
      <c r="T649" s="17"/>
      <c r="U649" s="17"/>
      <c r="V649" s="17"/>
      <c r="W649" s="17"/>
      <c r="X649" s="17"/>
      <c r="Y649" s="17"/>
      <c r="Z649" s="17"/>
    </row>
    <row r="650" spans="1:26" ht="12.75">
      <c r="A650" s="17"/>
      <c r="B650" s="17"/>
      <c r="C650" s="17"/>
      <c r="D650" s="17"/>
      <c r="E650" s="17"/>
      <c r="F650" s="17"/>
      <c r="G650" s="17"/>
      <c r="H650" s="17"/>
      <c r="I650" s="17"/>
      <c r="J650" s="17"/>
      <c r="K650" s="17"/>
      <c r="L650" s="17"/>
      <c r="M650" s="17"/>
      <c r="N650" s="17"/>
      <c r="O650" s="17"/>
      <c r="P650" s="17"/>
      <c r="Q650" s="17"/>
      <c r="R650" s="17"/>
      <c r="S650" s="17"/>
      <c r="T650" s="17"/>
      <c r="U650" s="17"/>
      <c r="V650" s="17"/>
      <c r="W650" s="17"/>
      <c r="X650" s="17"/>
      <c r="Y650" s="17"/>
      <c r="Z650" s="17"/>
    </row>
    <row r="651" spans="1:26" ht="12.75">
      <c r="A651" s="17"/>
      <c r="B651" s="17"/>
      <c r="C651" s="17"/>
      <c r="D651" s="17"/>
      <c r="E651" s="17"/>
      <c r="F651" s="17"/>
      <c r="G651" s="17"/>
      <c r="H651" s="17"/>
      <c r="I651" s="17"/>
      <c r="J651" s="17"/>
      <c r="K651" s="17"/>
      <c r="L651" s="17"/>
      <c r="M651" s="17"/>
      <c r="N651" s="17"/>
      <c r="O651" s="17"/>
      <c r="P651" s="17"/>
      <c r="Q651" s="17"/>
      <c r="R651" s="17"/>
      <c r="S651" s="17"/>
      <c r="T651" s="17"/>
      <c r="U651" s="17"/>
      <c r="V651" s="17"/>
      <c r="W651" s="17"/>
      <c r="X651" s="17"/>
      <c r="Y651" s="17"/>
      <c r="Z651" s="17"/>
    </row>
    <row r="652" spans="1:26" ht="12.75">
      <c r="A652" s="17"/>
      <c r="B652" s="17"/>
      <c r="C652" s="17"/>
      <c r="D652" s="17"/>
      <c r="E652" s="17"/>
      <c r="F652" s="17"/>
      <c r="G652" s="17"/>
      <c r="H652" s="17"/>
      <c r="I652" s="17"/>
      <c r="J652" s="17"/>
      <c r="K652" s="17"/>
      <c r="L652" s="17"/>
      <c r="M652" s="17"/>
      <c r="N652" s="17"/>
      <c r="O652" s="17"/>
      <c r="P652" s="17"/>
      <c r="Q652" s="17"/>
      <c r="R652" s="17"/>
      <c r="S652" s="17"/>
      <c r="T652" s="17"/>
      <c r="U652" s="17"/>
      <c r="V652" s="17"/>
      <c r="W652" s="17"/>
      <c r="X652" s="17"/>
      <c r="Y652" s="17"/>
      <c r="Z652" s="17"/>
    </row>
    <row r="653" spans="1:26" ht="12.75">
      <c r="A653" s="17"/>
      <c r="B653" s="17"/>
      <c r="C653" s="17"/>
      <c r="D653" s="17"/>
      <c r="E653" s="17"/>
      <c r="F653" s="17"/>
      <c r="G653" s="17"/>
      <c r="H653" s="17"/>
      <c r="I653" s="17"/>
      <c r="J653" s="17"/>
      <c r="K653" s="17"/>
      <c r="L653" s="17"/>
      <c r="M653" s="17"/>
      <c r="N653" s="17"/>
      <c r="O653" s="17"/>
      <c r="P653" s="17"/>
      <c r="Q653" s="17"/>
      <c r="R653" s="17"/>
      <c r="S653" s="17"/>
      <c r="T653" s="17"/>
      <c r="U653" s="17"/>
      <c r="V653" s="17"/>
      <c r="W653" s="17"/>
      <c r="X653" s="17"/>
      <c r="Y653" s="17"/>
      <c r="Z653" s="17"/>
    </row>
    <row r="654" spans="1:26" ht="12.75">
      <c r="A654" s="1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row>
    <row r="655" spans="1:26" ht="12.75">
      <c r="A655" s="17"/>
      <c r="B655" s="17"/>
      <c r="C655" s="17"/>
      <c r="D655" s="17"/>
      <c r="E655" s="17"/>
      <c r="F655" s="17"/>
      <c r="G655" s="17"/>
      <c r="H655" s="17"/>
      <c r="I655" s="17"/>
      <c r="J655" s="17"/>
      <c r="K655" s="17"/>
      <c r="L655" s="17"/>
      <c r="M655" s="17"/>
      <c r="N655" s="17"/>
      <c r="O655" s="17"/>
      <c r="P655" s="17"/>
      <c r="Q655" s="17"/>
      <c r="R655" s="17"/>
      <c r="S655" s="17"/>
      <c r="T655" s="17"/>
      <c r="U655" s="17"/>
      <c r="V655" s="17"/>
      <c r="W655" s="17"/>
      <c r="X655" s="17"/>
      <c r="Y655" s="17"/>
      <c r="Z655" s="17"/>
    </row>
    <row r="656" spans="1:26" ht="12.75">
      <c r="A656" s="17"/>
      <c r="B656" s="17"/>
      <c r="C656" s="17"/>
      <c r="D656" s="17"/>
      <c r="E656" s="17"/>
      <c r="F656" s="17"/>
      <c r="G656" s="17"/>
      <c r="H656" s="17"/>
      <c r="I656" s="17"/>
      <c r="J656" s="17"/>
      <c r="K656" s="17"/>
      <c r="L656" s="17"/>
      <c r="M656" s="17"/>
      <c r="N656" s="17"/>
      <c r="O656" s="17"/>
      <c r="P656" s="17"/>
      <c r="Q656" s="17"/>
      <c r="R656" s="17"/>
      <c r="S656" s="17"/>
      <c r="T656" s="17"/>
      <c r="U656" s="17"/>
      <c r="V656" s="17"/>
      <c r="W656" s="17"/>
      <c r="X656" s="17"/>
      <c r="Y656" s="17"/>
      <c r="Z656" s="17"/>
    </row>
    <row r="657" spans="1:26" ht="12.75">
      <c r="A657" s="17"/>
      <c r="B657" s="17"/>
      <c r="C657" s="17"/>
      <c r="D657" s="17"/>
      <c r="E657" s="17"/>
      <c r="F657" s="17"/>
      <c r="G657" s="17"/>
      <c r="H657" s="17"/>
      <c r="I657" s="17"/>
      <c r="J657" s="17"/>
      <c r="K657" s="17"/>
      <c r="L657" s="17"/>
      <c r="M657" s="17"/>
      <c r="N657" s="17"/>
      <c r="O657" s="17"/>
      <c r="P657" s="17"/>
      <c r="Q657" s="17"/>
      <c r="R657" s="17"/>
      <c r="S657" s="17"/>
      <c r="T657" s="17"/>
      <c r="U657" s="17"/>
      <c r="V657" s="17"/>
      <c r="W657" s="17"/>
      <c r="X657" s="17"/>
      <c r="Y657" s="17"/>
      <c r="Z657" s="17"/>
    </row>
    <row r="658" spans="1:26" ht="12.75">
      <c r="A658" s="17"/>
      <c r="B658" s="17"/>
      <c r="C658" s="17"/>
      <c r="D658" s="17"/>
      <c r="E658" s="17"/>
      <c r="F658" s="17"/>
      <c r="G658" s="17"/>
      <c r="H658" s="17"/>
      <c r="I658" s="17"/>
      <c r="J658" s="17"/>
      <c r="K658" s="17"/>
      <c r="L658" s="17"/>
      <c r="M658" s="17"/>
      <c r="N658" s="17"/>
      <c r="O658" s="17"/>
      <c r="P658" s="17"/>
      <c r="Q658" s="17"/>
      <c r="R658" s="17"/>
      <c r="S658" s="17"/>
      <c r="T658" s="17"/>
      <c r="U658" s="17"/>
      <c r="V658" s="17"/>
      <c r="W658" s="17"/>
      <c r="X658" s="17"/>
      <c r="Y658" s="17"/>
      <c r="Z658" s="17"/>
    </row>
    <row r="659" spans="1:26" ht="12.75">
      <c r="A659" s="17"/>
      <c r="B659" s="17"/>
      <c r="C659" s="17"/>
      <c r="D659" s="17"/>
      <c r="E659" s="17"/>
      <c r="F659" s="17"/>
      <c r="G659" s="17"/>
      <c r="H659" s="17"/>
      <c r="I659" s="17"/>
      <c r="J659" s="17"/>
      <c r="K659" s="17"/>
      <c r="L659" s="17"/>
      <c r="M659" s="17"/>
      <c r="N659" s="17"/>
      <c r="O659" s="17"/>
      <c r="P659" s="17"/>
      <c r="Q659" s="17"/>
      <c r="R659" s="17"/>
      <c r="S659" s="17"/>
      <c r="T659" s="17"/>
      <c r="U659" s="17"/>
      <c r="V659" s="17"/>
      <c r="W659" s="17"/>
      <c r="X659" s="17"/>
      <c r="Y659" s="17"/>
      <c r="Z659" s="17"/>
    </row>
    <row r="660" spans="1:26" ht="12.75">
      <c r="A660" s="17"/>
      <c r="B660" s="17"/>
      <c r="C660" s="17"/>
      <c r="D660" s="17"/>
      <c r="E660" s="17"/>
      <c r="F660" s="17"/>
      <c r="G660" s="17"/>
      <c r="H660" s="17"/>
      <c r="I660" s="17"/>
      <c r="J660" s="17"/>
      <c r="K660" s="17"/>
      <c r="L660" s="17"/>
      <c r="M660" s="17"/>
      <c r="N660" s="17"/>
      <c r="O660" s="17"/>
      <c r="P660" s="17"/>
      <c r="Q660" s="17"/>
      <c r="R660" s="17"/>
      <c r="S660" s="17"/>
      <c r="T660" s="17"/>
      <c r="U660" s="17"/>
      <c r="V660" s="17"/>
      <c r="W660" s="17"/>
      <c r="X660" s="17"/>
      <c r="Y660" s="17"/>
      <c r="Z660" s="17"/>
    </row>
    <row r="661" spans="1:26" ht="12.75">
      <c r="A661" s="17"/>
      <c r="B661" s="17"/>
      <c r="C661" s="17"/>
      <c r="D661" s="17"/>
      <c r="E661" s="17"/>
      <c r="F661" s="17"/>
      <c r="G661" s="17"/>
      <c r="H661" s="17"/>
      <c r="I661" s="17"/>
      <c r="J661" s="17"/>
      <c r="K661" s="17"/>
      <c r="L661" s="17"/>
      <c r="M661" s="17"/>
      <c r="N661" s="17"/>
      <c r="O661" s="17"/>
      <c r="P661" s="17"/>
      <c r="Q661" s="17"/>
      <c r="R661" s="17"/>
      <c r="S661" s="17"/>
      <c r="T661" s="17"/>
      <c r="U661" s="17"/>
      <c r="V661" s="17"/>
      <c r="W661" s="17"/>
      <c r="X661" s="17"/>
      <c r="Y661" s="17"/>
      <c r="Z661" s="17"/>
    </row>
    <row r="662" spans="1:26" ht="12.75">
      <c r="A662" s="1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row>
    <row r="663" spans="1:26" ht="12.75">
      <c r="A663" s="17"/>
      <c r="B663" s="17"/>
      <c r="C663" s="17"/>
      <c r="D663" s="17"/>
      <c r="E663" s="17"/>
      <c r="F663" s="17"/>
      <c r="G663" s="17"/>
      <c r="H663" s="17"/>
      <c r="I663" s="17"/>
      <c r="J663" s="17"/>
      <c r="K663" s="17"/>
      <c r="L663" s="17"/>
      <c r="M663" s="17"/>
      <c r="N663" s="17"/>
      <c r="O663" s="17"/>
      <c r="P663" s="17"/>
      <c r="Q663" s="17"/>
      <c r="R663" s="17"/>
      <c r="S663" s="17"/>
      <c r="T663" s="17"/>
      <c r="U663" s="17"/>
      <c r="V663" s="17"/>
      <c r="W663" s="17"/>
      <c r="X663" s="17"/>
      <c r="Y663" s="17"/>
      <c r="Z663" s="17"/>
    </row>
    <row r="664" spans="1:26" ht="12.75">
      <c r="A664" s="17"/>
      <c r="B664" s="17"/>
      <c r="C664" s="17"/>
      <c r="D664" s="17"/>
      <c r="E664" s="17"/>
      <c r="F664" s="17"/>
      <c r="G664" s="17"/>
      <c r="H664" s="17"/>
      <c r="I664" s="17"/>
      <c r="J664" s="17"/>
      <c r="K664" s="17"/>
      <c r="L664" s="17"/>
      <c r="M664" s="17"/>
      <c r="N664" s="17"/>
      <c r="O664" s="17"/>
      <c r="P664" s="17"/>
      <c r="Q664" s="17"/>
      <c r="R664" s="17"/>
      <c r="S664" s="17"/>
      <c r="T664" s="17"/>
      <c r="U664" s="17"/>
      <c r="V664" s="17"/>
      <c r="W664" s="17"/>
      <c r="X664" s="17"/>
      <c r="Y664" s="17"/>
      <c r="Z664" s="17"/>
    </row>
    <row r="665" spans="1:26" ht="12.75">
      <c r="A665" s="17"/>
      <c r="B665" s="17"/>
      <c r="C665" s="17"/>
      <c r="D665" s="17"/>
      <c r="E665" s="17"/>
      <c r="F665" s="17"/>
      <c r="G665" s="17"/>
      <c r="H665" s="17"/>
      <c r="I665" s="17"/>
      <c r="J665" s="17"/>
      <c r="K665" s="17"/>
      <c r="L665" s="17"/>
      <c r="M665" s="17"/>
      <c r="N665" s="17"/>
      <c r="O665" s="17"/>
      <c r="P665" s="17"/>
      <c r="Q665" s="17"/>
      <c r="R665" s="17"/>
      <c r="S665" s="17"/>
      <c r="T665" s="17"/>
      <c r="U665" s="17"/>
      <c r="V665" s="17"/>
      <c r="W665" s="17"/>
      <c r="X665" s="17"/>
      <c r="Y665" s="17"/>
      <c r="Z665" s="17"/>
    </row>
    <row r="666" spans="1:26" ht="12.75">
      <c r="A666" s="17"/>
      <c r="B666" s="17"/>
      <c r="C666" s="17"/>
      <c r="D666" s="17"/>
      <c r="E666" s="17"/>
      <c r="F666" s="17"/>
      <c r="G666" s="17"/>
      <c r="H666" s="17"/>
      <c r="I666" s="17"/>
      <c r="J666" s="17"/>
      <c r="K666" s="17"/>
      <c r="L666" s="17"/>
      <c r="M666" s="17"/>
      <c r="N666" s="17"/>
      <c r="O666" s="17"/>
      <c r="P666" s="17"/>
      <c r="Q666" s="17"/>
      <c r="R666" s="17"/>
      <c r="S666" s="17"/>
      <c r="T666" s="17"/>
      <c r="U666" s="17"/>
      <c r="V666" s="17"/>
      <c r="W666" s="17"/>
      <c r="X666" s="17"/>
      <c r="Y666" s="17"/>
      <c r="Z666" s="17"/>
    </row>
    <row r="667" spans="1:26" ht="12.75">
      <c r="A667" s="17"/>
      <c r="B667" s="17"/>
      <c r="C667" s="17"/>
      <c r="D667" s="17"/>
      <c r="E667" s="17"/>
      <c r="F667" s="17"/>
      <c r="G667" s="17"/>
      <c r="H667" s="17"/>
      <c r="I667" s="17"/>
      <c r="J667" s="17"/>
      <c r="K667" s="17"/>
      <c r="L667" s="17"/>
      <c r="M667" s="17"/>
      <c r="N667" s="17"/>
      <c r="O667" s="17"/>
      <c r="P667" s="17"/>
      <c r="Q667" s="17"/>
      <c r="R667" s="17"/>
      <c r="S667" s="17"/>
      <c r="T667" s="17"/>
      <c r="U667" s="17"/>
      <c r="V667" s="17"/>
      <c r="W667" s="17"/>
      <c r="X667" s="17"/>
      <c r="Y667" s="17"/>
      <c r="Z667" s="17"/>
    </row>
    <row r="668" spans="1:26" ht="12.75">
      <c r="A668" s="17"/>
      <c r="B668" s="17"/>
      <c r="C668" s="17"/>
      <c r="D668" s="17"/>
      <c r="E668" s="17"/>
      <c r="F668" s="17"/>
      <c r="G668" s="17"/>
      <c r="H668" s="17"/>
      <c r="I668" s="17"/>
      <c r="J668" s="17"/>
      <c r="K668" s="17"/>
      <c r="L668" s="17"/>
      <c r="M668" s="17"/>
      <c r="N668" s="17"/>
      <c r="O668" s="17"/>
      <c r="P668" s="17"/>
      <c r="Q668" s="17"/>
      <c r="R668" s="17"/>
      <c r="S668" s="17"/>
      <c r="T668" s="17"/>
      <c r="U668" s="17"/>
      <c r="V668" s="17"/>
      <c r="W668" s="17"/>
      <c r="X668" s="17"/>
      <c r="Y668" s="17"/>
      <c r="Z668" s="17"/>
    </row>
    <row r="669" spans="1:26" ht="12.75">
      <c r="A669" s="17"/>
      <c r="B669" s="17"/>
      <c r="C669" s="17"/>
      <c r="D669" s="17"/>
      <c r="E669" s="17"/>
      <c r="F669" s="17"/>
      <c r="G669" s="17"/>
      <c r="H669" s="17"/>
      <c r="I669" s="17"/>
      <c r="J669" s="17"/>
      <c r="K669" s="17"/>
      <c r="L669" s="17"/>
      <c r="M669" s="17"/>
      <c r="N669" s="17"/>
      <c r="O669" s="17"/>
      <c r="P669" s="17"/>
      <c r="Q669" s="17"/>
      <c r="R669" s="17"/>
      <c r="S669" s="17"/>
      <c r="T669" s="17"/>
      <c r="U669" s="17"/>
      <c r="V669" s="17"/>
      <c r="W669" s="17"/>
      <c r="X669" s="17"/>
      <c r="Y669" s="17"/>
      <c r="Z669" s="17"/>
    </row>
    <row r="670" spans="1:26" ht="12.75">
      <c r="A670" s="1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row>
    <row r="671" spans="1:26" ht="12.75">
      <c r="A671" s="17"/>
      <c r="B671" s="17"/>
      <c r="C671" s="17"/>
      <c r="D671" s="17"/>
      <c r="E671" s="17"/>
      <c r="F671" s="17"/>
      <c r="G671" s="17"/>
      <c r="H671" s="17"/>
      <c r="I671" s="17"/>
      <c r="J671" s="17"/>
      <c r="K671" s="17"/>
      <c r="L671" s="17"/>
      <c r="M671" s="17"/>
      <c r="N671" s="17"/>
      <c r="O671" s="17"/>
      <c r="P671" s="17"/>
      <c r="Q671" s="17"/>
      <c r="R671" s="17"/>
      <c r="S671" s="17"/>
      <c r="T671" s="17"/>
      <c r="U671" s="17"/>
      <c r="V671" s="17"/>
      <c r="W671" s="17"/>
      <c r="X671" s="17"/>
      <c r="Y671" s="17"/>
      <c r="Z671" s="17"/>
    </row>
    <row r="672" spans="1:26" ht="12.75">
      <c r="A672" s="17"/>
      <c r="B672" s="17"/>
      <c r="C672" s="17"/>
      <c r="D672" s="17"/>
      <c r="E672" s="17"/>
      <c r="F672" s="17"/>
      <c r="G672" s="17"/>
      <c r="H672" s="17"/>
      <c r="I672" s="17"/>
      <c r="J672" s="17"/>
      <c r="K672" s="17"/>
      <c r="L672" s="17"/>
      <c r="M672" s="17"/>
      <c r="N672" s="17"/>
      <c r="O672" s="17"/>
      <c r="P672" s="17"/>
      <c r="Q672" s="17"/>
      <c r="R672" s="17"/>
      <c r="S672" s="17"/>
      <c r="T672" s="17"/>
      <c r="U672" s="17"/>
      <c r="V672" s="17"/>
      <c r="W672" s="17"/>
      <c r="X672" s="17"/>
      <c r="Y672" s="17"/>
      <c r="Z672" s="17"/>
    </row>
    <row r="673" spans="1:26" ht="12.75">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row>
    <row r="674" spans="1:26" ht="12.75">
      <c r="A674" s="17"/>
      <c r="B674" s="17"/>
      <c r="C674" s="17"/>
      <c r="D674" s="17"/>
      <c r="E674" s="17"/>
      <c r="F674" s="17"/>
      <c r="G674" s="17"/>
      <c r="H674" s="17"/>
      <c r="I674" s="17"/>
      <c r="J674" s="17"/>
      <c r="K674" s="17"/>
      <c r="L674" s="17"/>
      <c r="M674" s="17"/>
      <c r="N674" s="17"/>
      <c r="O674" s="17"/>
      <c r="P674" s="17"/>
      <c r="Q674" s="17"/>
      <c r="R674" s="17"/>
      <c r="S674" s="17"/>
      <c r="T674" s="17"/>
      <c r="U674" s="17"/>
      <c r="V674" s="17"/>
      <c r="W674" s="17"/>
      <c r="X674" s="17"/>
      <c r="Y674" s="17"/>
      <c r="Z674" s="17"/>
    </row>
    <row r="675" spans="1:26" ht="12.75">
      <c r="A675" s="17"/>
      <c r="B675" s="17"/>
      <c r="C675" s="17"/>
      <c r="D675" s="17"/>
      <c r="E675" s="17"/>
      <c r="F675" s="17"/>
      <c r="G675" s="17"/>
      <c r="H675" s="17"/>
      <c r="I675" s="17"/>
      <c r="J675" s="17"/>
      <c r="K675" s="17"/>
      <c r="L675" s="17"/>
      <c r="M675" s="17"/>
      <c r="N675" s="17"/>
      <c r="O675" s="17"/>
      <c r="P675" s="17"/>
      <c r="Q675" s="17"/>
      <c r="R675" s="17"/>
      <c r="S675" s="17"/>
      <c r="T675" s="17"/>
      <c r="U675" s="17"/>
      <c r="V675" s="17"/>
      <c r="W675" s="17"/>
      <c r="X675" s="17"/>
      <c r="Y675" s="17"/>
      <c r="Z675" s="17"/>
    </row>
    <row r="676" spans="1:26" ht="12.75">
      <c r="A676" s="17"/>
      <c r="B676" s="17"/>
      <c r="C676" s="17"/>
      <c r="D676" s="17"/>
      <c r="E676" s="17"/>
      <c r="F676" s="17"/>
      <c r="G676" s="17"/>
      <c r="H676" s="17"/>
      <c r="I676" s="17"/>
      <c r="J676" s="17"/>
      <c r="K676" s="17"/>
      <c r="L676" s="17"/>
      <c r="M676" s="17"/>
      <c r="N676" s="17"/>
      <c r="O676" s="17"/>
      <c r="P676" s="17"/>
      <c r="Q676" s="17"/>
      <c r="R676" s="17"/>
      <c r="S676" s="17"/>
      <c r="T676" s="17"/>
      <c r="U676" s="17"/>
      <c r="V676" s="17"/>
      <c r="W676" s="17"/>
      <c r="X676" s="17"/>
      <c r="Y676" s="17"/>
      <c r="Z676" s="17"/>
    </row>
    <row r="677" spans="1:26" ht="12.75">
      <c r="A677" s="17"/>
      <c r="B677" s="17"/>
      <c r="C677" s="17"/>
      <c r="D677" s="17"/>
      <c r="E677" s="17"/>
      <c r="F677" s="17"/>
      <c r="G677" s="17"/>
      <c r="H677" s="17"/>
      <c r="I677" s="17"/>
      <c r="J677" s="17"/>
      <c r="K677" s="17"/>
      <c r="L677" s="17"/>
      <c r="M677" s="17"/>
      <c r="N677" s="17"/>
      <c r="O677" s="17"/>
      <c r="P677" s="17"/>
      <c r="Q677" s="17"/>
      <c r="R677" s="17"/>
      <c r="S677" s="17"/>
      <c r="T677" s="17"/>
      <c r="U677" s="17"/>
      <c r="V677" s="17"/>
      <c r="W677" s="17"/>
      <c r="X677" s="17"/>
      <c r="Y677" s="17"/>
      <c r="Z677" s="17"/>
    </row>
    <row r="678" spans="1:26" ht="12.75">
      <c r="A678" s="1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row>
    <row r="679" spans="1:26" ht="12.75">
      <c r="A679" s="17"/>
      <c r="B679" s="17"/>
      <c r="C679" s="17"/>
      <c r="D679" s="17"/>
      <c r="E679" s="17"/>
      <c r="F679" s="17"/>
      <c r="G679" s="17"/>
      <c r="H679" s="17"/>
      <c r="I679" s="17"/>
      <c r="J679" s="17"/>
      <c r="K679" s="17"/>
      <c r="L679" s="17"/>
      <c r="M679" s="17"/>
      <c r="N679" s="17"/>
      <c r="O679" s="17"/>
      <c r="P679" s="17"/>
      <c r="Q679" s="17"/>
      <c r="R679" s="17"/>
      <c r="S679" s="17"/>
      <c r="T679" s="17"/>
      <c r="U679" s="17"/>
      <c r="V679" s="17"/>
      <c r="W679" s="17"/>
      <c r="X679" s="17"/>
      <c r="Y679" s="17"/>
      <c r="Z679" s="17"/>
    </row>
    <row r="680" spans="1:26" ht="12.75">
      <c r="A680" s="17"/>
      <c r="B680" s="17"/>
      <c r="C680" s="17"/>
      <c r="D680" s="17"/>
      <c r="E680" s="17"/>
      <c r="F680" s="17"/>
      <c r="G680" s="17"/>
      <c r="H680" s="17"/>
      <c r="I680" s="17"/>
      <c r="J680" s="17"/>
      <c r="K680" s="17"/>
      <c r="L680" s="17"/>
      <c r="M680" s="17"/>
      <c r="N680" s="17"/>
      <c r="O680" s="17"/>
      <c r="P680" s="17"/>
      <c r="Q680" s="17"/>
      <c r="R680" s="17"/>
      <c r="S680" s="17"/>
      <c r="T680" s="17"/>
      <c r="U680" s="17"/>
      <c r="V680" s="17"/>
      <c r="W680" s="17"/>
      <c r="X680" s="17"/>
      <c r="Y680" s="17"/>
      <c r="Z680" s="17"/>
    </row>
    <row r="681" spans="1:26" ht="12.75">
      <c r="A681" s="17"/>
      <c r="B681" s="17"/>
      <c r="C681" s="17"/>
      <c r="D681" s="17"/>
      <c r="E681" s="17"/>
      <c r="F681" s="17"/>
      <c r="G681" s="17"/>
      <c r="H681" s="17"/>
      <c r="I681" s="17"/>
      <c r="J681" s="17"/>
      <c r="K681" s="17"/>
      <c r="L681" s="17"/>
      <c r="M681" s="17"/>
      <c r="N681" s="17"/>
      <c r="O681" s="17"/>
      <c r="P681" s="17"/>
      <c r="Q681" s="17"/>
      <c r="R681" s="17"/>
      <c r="S681" s="17"/>
      <c r="T681" s="17"/>
      <c r="U681" s="17"/>
      <c r="V681" s="17"/>
      <c r="W681" s="17"/>
      <c r="X681" s="17"/>
      <c r="Y681" s="17"/>
      <c r="Z681" s="17"/>
    </row>
    <row r="682" spans="1:26" ht="12.75">
      <c r="A682" s="17"/>
      <c r="B682" s="17"/>
      <c r="C682" s="17"/>
      <c r="D682" s="17"/>
      <c r="E682" s="17"/>
      <c r="F682" s="17"/>
      <c r="G682" s="17"/>
      <c r="H682" s="17"/>
      <c r="I682" s="17"/>
      <c r="J682" s="17"/>
      <c r="K682" s="17"/>
      <c r="L682" s="17"/>
      <c r="M682" s="17"/>
      <c r="N682" s="17"/>
      <c r="O682" s="17"/>
      <c r="P682" s="17"/>
      <c r="Q682" s="17"/>
      <c r="R682" s="17"/>
      <c r="S682" s="17"/>
      <c r="T682" s="17"/>
      <c r="U682" s="17"/>
      <c r="V682" s="17"/>
      <c r="W682" s="17"/>
      <c r="X682" s="17"/>
      <c r="Y682" s="17"/>
      <c r="Z682" s="17"/>
    </row>
    <row r="683" spans="1:26" ht="12.75">
      <c r="A683" s="17"/>
      <c r="B683" s="17"/>
      <c r="C683" s="17"/>
      <c r="D683" s="17"/>
      <c r="E683" s="17"/>
      <c r="F683" s="17"/>
      <c r="G683" s="17"/>
      <c r="H683" s="17"/>
      <c r="I683" s="17"/>
      <c r="J683" s="17"/>
      <c r="K683" s="17"/>
      <c r="L683" s="17"/>
      <c r="M683" s="17"/>
      <c r="N683" s="17"/>
      <c r="O683" s="17"/>
      <c r="P683" s="17"/>
      <c r="Q683" s="17"/>
      <c r="R683" s="17"/>
      <c r="S683" s="17"/>
      <c r="T683" s="17"/>
      <c r="U683" s="17"/>
      <c r="V683" s="17"/>
      <c r="W683" s="17"/>
      <c r="X683" s="17"/>
      <c r="Y683" s="17"/>
      <c r="Z683" s="17"/>
    </row>
    <row r="684" spans="1:26" ht="12.75">
      <c r="A684" s="17"/>
      <c r="B684" s="17"/>
      <c r="C684" s="17"/>
      <c r="D684" s="17"/>
      <c r="E684" s="17"/>
      <c r="F684" s="17"/>
      <c r="G684" s="17"/>
      <c r="H684" s="17"/>
      <c r="I684" s="17"/>
      <c r="J684" s="17"/>
      <c r="K684" s="17"/>
      <c r="L684" s="17"/>
      <c r="M684" s="17"/>
      <c r="N684" s="17"/>
      <c r="O684" s="17"/>
      <c r="P684" s="17"/>
      <c r="Q684" s="17"/>
      <c r="R684" s="17"/>
      <c r="S684" s="17"/>
      <c r="T684" s="17"/>
      <c r="U684" s="17"/>
      <c r="V684" s="17"/>
      <c r="W684" s="17"/>
      <c r="X684" s="17"/>
      <c r="Y684" s="17"/>
      <c r="Z684" s="17"/>
    </row>
    <row r="685" spans="1:26" ht="12.75">
      <c r="A685" s="17"/>
      <c r="B685" s="17"/>
      <c r="C685" s="17"/>
      <c r="D685" s="17"/>
      <c r="E685" s="17"/>
      <c r="F685" s="17"/>
      <c r="G685" s="17"/>
      <c r="H685" s="17"/>
      <c r="I685" s="17"/>
      <c r="J685" s="17"/>
      <c r="K685" s="17"/>
      <c r="L685" s="17"/>
      <c r="M685" s="17"/>
      <c r="N685" s="17"/>
      <c r="O685" s="17"/>
      <c r="P685" s="17"/>
      <c r="Q685" s="17"/>
      <c r="R685" s="17"/>
      <c r="S685" s="17"/>
      <c r="T685" s="17"/>
      <c r="U685" s="17"/>
      <c r="V685" s="17"/>
      <c r="W685" s="17"/>
      <c r="X685" s="17"/>
      <c r="Y685" s="17"/>
      <c r="Z685" s="17"/>
    </row>
    <row r="686" spans="1:26" ht="12.75">
      <c r="A686" s="1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row>
    <row r="687" spans="1:26" ht="12.75">
      <c r="A687" s="17"/>
      <c r="B687" s="17"/>
      <c r="C687" s="17"/>
      <c r="D687" s="17"/>
      <c r="E687" s="17"/>
      <c r="F687" s="17"/>
      <c r="G687" s="17"/>
      <c r="H687" s="17"/>
      <c r="I687" s="17"/>
      <c r="J687" s="17"/>
      <c r="K687" s="17"/>
      <c r="L687" s="17"/>
      <c r="M687" s="17"/>
      <c r="N687" s="17"/>
      <c r="O687" s="17"/>
      <c r="P687" s="17"/>
      <c r="Q687" s="17"/>
      <c r="R687" s="17"/>
      <c r="S687" s="17"/>
      <c r="T687" s="17"/>
      <c r="U687" s="17"/>
      <c r="V687" s="17"/>
      <c r="W687" s="17"/>
      <c r="X687" s="17"/>
      <c r="Y687" s="17"/>
      <c r="Z687" s="17"/>
    </row>
    <row r="688" spans="1:26" ht="12.75">
      <c r="A688" s="17"/>
      <c r="B688" s="17"/>
      <c r="C688" s="17"/>
      <c r="D688" s="17"/>
      <c r="E688" s="17"/>
      <c r="F688" s="17"/>
      <c r="G688" s="17"/>
      <c r="H688" s="17"/>
      <c r="I688" s="17"/>
      <c r="J688" s="17"/>
      <c r="K688" s="17"/>
      <c r="L688" s="17"/>
      <c r="M688" s="17"/>
      <c r="N688" s="17"/>
      <c r="O688" s="17"/>
      <c r="P688" s="17"/>
      <c r="Q688" s="17"/>
      <c r="R688" s="17"/>
      <c r="S688" s="17"/>
      <c r="T688" s="17"/>
      <c r="U688" s="17"/>
      <c r="V688" s="17"/>
      <c r="W688" s="17"/>
      <c r="X688" s="17"/>
      <c r="Y688" s="17"/>
      <c r="Z688" s="17"/>
    </row>
    <row r="689" spans="1:26" ht="12.75">
      <c r="A689" s="17"/>
      <c r="B689" s="17"/>
      <c r="C689" s="17"/>
      <c r="D689" s="17"/>
      <c r="E689" s="17"/>
      <c r="F689" s="17"/>
      <c r="G689" s="17"/>
      <c r="H689" s="17"/>
      <c r="I689" s="17"/>
      <c r="J689" s="17"/>
      <c r="K689" s="17"/>
      <c r="L689" s="17"/>
      <c r="M689" s="17"/>
      <c r="N689" s="17"/>
      <c r="O689" s="17"/>
      <c r="P689" s="17"/>
      <c r="Q689" s="17"/>
      <c r="R689" s="17"/>
      <c r="S689" s="17"/>
      <c r="T689" s="17"/>
      <c r="U689" s="17"/>
      <c r="V689" s="17"/>
      <c r="W689" s="17"/>
      <c r="X689" s="17"/>
      <c r="Y689" s="17"/>
      <c r="Z689" s="17"/>
    </row>
    <row r="690" spans="1:26" ht="12.75">
      <c r="A690" s="17"/>
      <c r="B690" s="17"/>
      <c r="C690" s="17"/>
      <c r="D690" s="17"/>
      <c r="E690" s="17"/>
      <c r="F690" s="17"/>
      <c r="G690" s="17"/>
      <c r="H690" s="17"/>
      <c r="I690" s="17"/>
      <c r="J690" s="17"/>
      <c r="K690" s="17"/>
      <c r="L690" s="17"/>
      <c r="M690" s="17"/>
      <c r="N690" s="17"/>
      <c r="O690" s="17"/>
      <c r="P690" s="17"/>
      <c r="Q690" s="17"/>
      <c r="R690" s="17"/>
      <c r="S690" s="17"/>
      <c r="T690" s="17"/>
      <c r="U690" s="17"/>
      <c r="V690" s="17"/>
      <c r="W690" s="17"/>
      <c r="X690" s="17"/>
      <c r="Y690" s="17"/>
      <c r="Z690" s="17"/>
    </row>
    <row r="691" spans="1:26" ht="12.75">
      <c r="A691" s="17"/>
      <c r="B691" s="17"/>
      <c r="C691" s="17"/>
      <c r="D691" s="17"/>
      <c r="E691" s="17"/>
      <c r="F691" s="17"/>
      <c r="G691" s="17"/>
      <c r="H691" s="17"/>
      <c r="I691" s="17"/>
      <c r="J691" s="17"/>
      <c r="K691" s="17"/>
      <c r="L691" s="17"/>
      <c r="M691" s="17"/>
      <c r="N691" s="17"/>
      <c r="O691" s="17"/>
      <c r="P691" s="17"/>
      <c r="Q691" s="17"/>
      <c r="R691" s="17"/>
      <c r="S691" s="17"/>
      <c r="T691" s="17"/>
      <c r="U691" s="17"/>
      <c r="V691" s="17"/>
      <c r="W691" s="17"/>
      <c r="X691" s="17"/>
      <c r="Y691" s="17"/>
      <c r="Z691" s="17"/>
    </row>
    <row r="692" spans="1:26" ht="12.75">
      <c r="A692" s="17"/>
      <c r="B692" s="17"/>
      <c r="C692" s="17"/>
      <c r="D692" s="17"/>
      <c r="E692" s="17"/>
      <c r="F692" s="17"/>
      <c r="G692" s="17"/>
      <c r="H692" s="17"/>
      <c r="I692" s="17"/>
      <c r="J692" s="17"/>
      <c r="K692" s="17"/>
      <c r="L692" s="17"/>
      <c r="M692" s="17"/>
      <c r="N692" s="17"/>
      <c r="O692" s="17"/>
      <c r="P692" s="17"/>
      <c r="Q692" s="17"/>
      <c r="R692" s="17"/>
      <c r="S692" s="17"/>
      <c r="T692" s="17"/>
      <c r="U692" s="17"/>
      <c r="V692" s="17"/>
      <c r="W692" s="17"/>
      <c r="X692" s="17"/>
      <c r="Y692" s="17"/>
      <c r="Z692" s="17"/>
    </row>
    <row r="693" spans="1:26" ht="12.75">
      <c r="A693" s="17"/>
      <c r="B693" s="17"/>
      <c r="C693" s="17"/>
      <c r="D693" s="17"/>
      <c r="E693" s="17"/>
      <c r="F693" s="17"/>
      <c r="G693" s="17"/>
      <c r="H693" s="17"/>
      <c r="I693" s="17"/>
      <c r="J693" s="17"/>
      <c r="K693" s="17"/>
      <c r="L693" s="17"/>
      <c r="M693" s="17"/>
      <c r="N693" s="17"/>
      <c r="O693" s="17"/>
      <c r="P693" s="17"/>
      <c r="Q693" s="17"/>
      <c r="R693" s="17"/>
      <c r="S693" s="17"/>
      <c r="T693" s="17"/>
      <c r="U693" s="17"/>
      <c r="V693" s="17"/>
      <c r="W693" s="17"/>
      <c r="X693" s="17"/>
      <c r="Y693" s="17"/>
      <c r="Z693" s="17"/>
    </row>
    <row r="694" spans="1:26" ht="12.75">
      <c r="A694" s="1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row>
    <row r="695" spans="1:26" ht="12.75">
      <c r="A695" s="17"/>
      <c r="B695" s="17"/>
      <c r="C695" s="17"/>
      <c r="D695" s="17"/>
      <c r="E695" s="17"/>
      <c r="F695" s="17"/>
      <c r="G695" s="17"/>
      <c r="H695" s="17"/>
      <c r="I695" s="17"/>
      <c r="J695" s="17"/>
      <c r="K695" s="17"/>
      <c r="L695" s="17"/>
      <c r="M695" s="17"/>
      <c r="N695" s="17"/>
      <c r="O695" s="17"/>
      <c r="P695" s="17"/>
      <c r="Q695" s="17"/>
      <c r="R695" s="17"/>
      <c r="S695" s="17"/>
      <c r="T695" s="17"/>
      <c r="U695" s="17"/>
      <c r="V695" s="17"/>
      <c r="W695" s="17"/>
      <c r="X695" s="17"/>
      <c r="Y695" s="17"/>
      <c r="Z695" s="17"/>
    </row>
    <row r="696" spans="1:26" ht="12.75">
      <c r="A696" s="17"/>
      <c r="B696" s="17"/>
      <c r="C696" s="17"/>
      <c r="D696" s="17"/>
      <c r="E696" s="17"/>
      <c r="F696" s="17"/>
      <c r="G696" s="17"/>
      <c r="H696" s="17"/>
      <c r="I696" s="17"/>
      <c r="J696" s="17"/>
      <c r="K696" s="17"/>
      <c r="L696" s="17"/>
      <c r="M696" s="17"/>
      <c r="N696" s="17"/>
      <c r="O696" s="17"/>
      <c r="P696" s="17"/>
      <c r="Q696" s="17"/>
      <c r="R696" s="17"/>
      <c r="S696" s="17"/>
      <c r="T696" s="17"/>
      <c r="U696" s="17"/>
      <c r="V696" s="17"/>
      <c r="W696" s="17"/>
      <c r="X696" s="17"/>
      <c r="Y696" s="17"/>
      <c r="Z696" s="17"/>
    </row>
    <row r="697" spans="1:26" ht="12.75">
      <c r="A697" s="17"/>
      <c r="B697" s="17"/>
      <c r="C697" s="17"/>
      <c r="D697" s="17"/>
      <c r="E697" s="17"/>
      <c r="F697" s="17"/>
      <c r="G697" s="17"/>
      <c r="H697" s="17"/>
      <c r="I697" s="17"/>
      <c r="J697" s="17"/>
      <c r="K697" s="17"/>
      <c r="L697" s="17"/>
      <c r="M697" s="17"/>
      <c r="N697" s="17"/>
      <c r="O697" s="17"/>
      <c r="P697" s="17"/>
      <c r="Q697" s="17"/>
      <c r="R697" s="17"/>
      <c r="S697" s="17"/>
      <c r="T697" s="17"/>
      <c r="U697" s="17"/>
      <c r="V697" s="17"/>
      <c r="W697" s="17"/>
      <c r="X697" s="17"/>
      <c r="Y697" s="17"/>
      <c r="Z697" s="17"/>
    </row>
    <row r="698" spans="1:26" ht="12.75">
      <c r="A698" s="17"/>
      <c r="B698" s="17"/>
      <c r="C698" s="17"/>
      <c r="D698" s="17"/>
      <c r="E698" s="17"/>
      <c r="F698" s="17"/>
      <c r="G698" s="17"/>
      <c r="H698" s="17"/>
      <c r="I698" s="17"/>
      <c r="J698" s="17"/>
      <c r="K698" s="17"/>
      <c r="L698" s="17"/>
      <c r="M698" s="17"/>
      <c r="N698" s="17"/>
      <c r="O698" s="17"/>
      <c r="P698" s="17"/>
      <c r="Q698" s="17"/>
      <c r="R698" s="17"/>
      <c r="S698" s="17"/>
      <c r="T698" s="17"/>
      <c r="U698" s="17"/>
      <c r="V698" s="17"/>
      <c r="W698" s="17"/>
      <c r="X698" s="17"/>
      <c r="Y698" s="17"/>
      <c r="Z698" s="17"/>
    </row>
    <row r="699" spans="1:26" ht="12.75">
      <c r="A699" s="17"/>
      <c r="B699" s="17"/>
      <c r="C699" s="17"/>
      <c r="D699" s="17"/>
      <c r="E699" s="17"/>
      <c r="F699" s="17"/>
      <c r="G699" s="17"/>
      <c r="H699" s="17"/>
      <c r="I699" s="17"/>
      <c r="J699" s="17"/>
      <c r="K699" s="17"/>
      <c r="L699" s="17"/>
      <c r="M699" s="17"/>
      <c r="N699" s="17"/>
      <c r="O699" s="17"/>
      <c r="P699" s="17"/>
      <c r="Q699" s="17"/>
      <c r="R699" s="17"/>
      <c r="S699" s="17"/>
      <c r="T699" s="17"/>
      <c r="U699" s="17"/>
      <c r="V699" s="17"/>
      <c r="W699" s="17"/>
      <c r="X699" s="17"/>
      <c r="Y699" s="17"/>
      <c r="Z699" s="17"/>
    </row>
    <row r="700" spans="1:26" ht="12.7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row>
    <row r="701" spans="1:26" ht="12.7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row>
    <row r="702" spans="1:26" ht="12.75">
      <c r="A702" s="1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row>
    <row r="703" spans="1:26" ht="12.75">
      <c r="A703" s="17"/>
      <c r="B703" s="17"/>
      <c r="C703" s="17"/>
      <c r="D703" s="17"/>
      <c r="E703" s="17"/>
      <c r="F703" s="17"/>
      <c r="G703" s="17"/>
      <c r="H703" s="17"/>
      <c r="I703" s="17"/>
      <c r="J703" s="17"/>
      <c r="K703" s="17"/>
      <c r="L703" s="17"/>
      <c r="M703" s="17"/>
      <c r="N703" s="17"/>
      <c r="O703" s="17"/>
      <c r="P703" s="17"/>
      <c r="Q703" s="17"/>
      <c r="R703" s="17"/>
      <c r="S703" s="17"/>
      <c r="T703" s="17"/>
      <c r="U703" s="17"/>
      <c r="V703" s="17"/>
      <c r="W703" s="17"/>
      <c r="X703" s="17"/>
      <c r="Y703" s="17"/>
      <c r="Z703" s="17"/>
    </row>
    <row r="704" spans="1:26" ht="12.75">
      <c r="A704" s="17"/>
      <c r="B704" s="17"/>
      <c r="C704" s="17"/>
      <c r="D704" s="17"/>
      <c r="E704" s="17"/>
      <c r="F704" s="17"/>
      <c r="G704" s="17"/>
      <c r="H704" s="17"/>
      <c r="I704" s="17"/>
      <c r="J704" s="17"/>
      <c r="K704" s="17"/>
      <c r="L704" s="17"/>
      <c r="M704" s="17"/>
      <c r="N704" s="17"/>
      <c r="O704" s="17"/>
      <c r="P704" s="17"/>
      <c r="Q704" s="17"/>
      <c r="R704" s="17"/>
      <c r="S704" s="17"/>
      <c r="T704" s="17"/>
      <c r="U704" s="17"/>
      <c r="V704" s="17"/>
      <c r="W704" s="17"/>
      <c r="X704" s="17"/>
      <c r="Y704" s="17"/>
      <c r="Z704" s="17"/>
    </row>
    <row r="705" spans="1:26" ht="12.75">
      <c r="A705" s="17"/>
      <c r="B705" s="17"/>
      <c r="C705" s="17"/>
      <c r="D705" s="17"/>
      <c r="E705" s="17"/>
      <c r="F705" s="17"/>
      <c r="G705" s="17"/>
      <c r="H705" s="17"/>
      <c r="I705" s="17"/>
      <c r="J705" s="17"/>
      <c r="K705" s="17"/>
      <c r="L705" s="17"/>
      <c r="M705" s="17"/>
      <c r="N705" s="17"/>
      <c r="O705" s="17"/>
      <c r="P705" s="17"/>
      <c r="Q705" s="17"/>
      <c r="R705" s="17"/>
      <c r="S705" s="17"/>
      <c r="T705" s="17"/>
      <c r="U705" s="17"/>
      <c r="V705" s="17"/>
      <c r="W705" s="17"/>
      <c r="X705" s="17"/>
      <c r="Y705" s="17"/>
      <c r="Z705" s="17"/>
    </row>
    <row r="706" spans="1:26" ht="12.75">
      <c r="A706" s="17"/>
      <c r="B706" s="17"/>
      <c r="C706" s="17"/>
      <c r="D706" s="17"/>
      <c r="E706" s="17"/>
      <c r="F706" s="17"/>
      <c r="G706" s="17"/>
      <c r="H706" s="17"/>
      <c r="I706" s="17"/>
      <c r="J706" s="17"/>
      <c r="K706" s="17"/>
      <c r="L706" s="17"/>
      <c r="M706" s="17"/>
      <c r="N706" s="17"/>
      <c r="O706" s="17"/>
      <c r="P706" s="17"/>
      <c r="Q706" s="17"/>
      <c r="R706" s="17"/>
      <c r="S706" s="17"/>
      <c r="T706" s="17"/>
      <c r="U706" s="17"/>
      <c r="V706" s="17"/>
      <c r="W706" s="17"/>
      <c r="X706" s="17"/>
      <c r="Y706" s="17"/>
      <c r="Z706" s="17"/>
    </row>
    <row r="707" spans="1:26" ht="12.75">
      <c r="A707" s="17"/>
      <c r="B707" s="17"/>
      <c r="C707" s="17"/>
      <c r="D707" s="17"/>
      <c r="E707" s="17"/>
      <c r="F707" s="17"/>
      <c r="G707" s="17"/>
      <c r="H707" s="17"/>
      <c r="I707" s="17"/>
      <c r="J707" s="17"/>
      <c r="K707" s="17"/>
      <c r="L707" s="17"/>
      <c r="M707" s="17"/>
      <c r="N707" s="17"/>
      <c r="O707" s="17"/>
      <c r="P707" s="17"/>
      <c r="Q707" s="17"/>
      <c r="R707" s="17"/>
      <c r="S707" s="17"/>
      <c r="T707" s="17"/>
      <c r="U707" s="17"/>
      <c r="V707" s="17"/>
      <c r="W707" s="17"/>
      <c r="X707" s="17"/>
      <c r="Y707" s="17"/>
      <c r="Z707" s="17"/>
    </row>
    <row r="708" spans="1:26" ht="12.75">
      <c r="A708" s="17"/>
      <c r="B708" s="17"/>
      <c r="C708" s="17"/>
      <c r="D708" s="17"/>
      <c r="E708" s="17"/>
      <c r="F708" s="17"/>
      <c r="G708" s="17"/>
      <c r="H708" s="17"/>
      <c r="I708" s="17"/>
      <c r="J708" s="17"/>
      <c r="K708" s="17"/>
      <c r="L708" s="17"/>
      <c r="M708" s="17"/>
      <c r="N708" s="17"/>
      <c r="O708" s="17"/>
      <c r="P708" s="17"/>
      <c r="Q708" s="17"/>
      <c r="R708" s="17"/>
      <c r="S708" s="17"/>
      <c r="T708" s="17"/>
      <c r="U708" s="17"/>
      <c r="V708" s="17"/>
      <c r="W708" s="17"/>
      <c r="X708" s="17"/>
      <c r="Y708" s="17"/>
      <c r="Z708" s="17"/>
    </row>
    <row r="709" spans="1:26" ht="12.75">
      <c r="A709" s="17"/>
      <c r="B709" s="17"/>
      <c r="C709" s="17"/>
      <c r="D709" s="17"/>
      <c r="E709" s="17"/>
      <c r="F709" s="17"/>
      <c r="G709" s="17"/>
      <c r="H709" s="17"/>
      <c r="I709" s="17"/>
      <c r="J709" s="17"/>
      <c r="K709" s="17"/>
      <c r="L709" s="17"/>
      <c r="M709" s="17"/>
      <c r="N709" s="17"/>
      <c r="O709" s="17"/>
      <c r="P709" s="17"/>
      <c r="Q709" s="17"/>
      <c r="R709" s="17"/>
      <c r="S709" s="17"/>
      <c r="T709" s="17"/>
      <c r="U709" s="17"/>
      <c r="V709" s="17"/>
      <c r="W709" s="17"/>
      <c r="X709" s="17"/>
      <c r="Y709" s="17"/>
      <c r="Z709" s="17"/>
    </row>
    <row r="710" spans="1:26" ht="12.75">
      <c r="A710" s="1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row>
    <row r="711" spans="1:26" ht="12.75">
      <c r="A711" s="17"/>
      <c r="B711" s="17"/>
      <c r="C711" s="17"/>
      <c r="D711" s="17"/>
      <c r="E711" s="17"/>
      <c r="F711" s="17"/>
      <c r="G711" s="17"/>
      <c r="H711" s="17"/>
      <c r="I711" s="17"/>
      <c r="J711" s="17"/>
      <c r="K711" s="17"/>
      <c r="L711" s="17"/>
      <c r="M711" s="17"/>
      <c r="N711" s="17"/>
      <c r="O711" s="17"/>
      <c r="P711" s="17"/>
      <c r="Q711" s="17"/>
      <c r="R711" s="17"/>
      <c r="S711" s="17"/>
      <c r="T711" s="17"/>
      <c r="U711" s="17"/>
      <c r="V711" s="17"/>
      <c r="W711" s="17"/>
      <c r="X711" s="17"/>
      <c r="Y711" s="17"/>
      <c r="Z711" s="17"/>
    </row>
    <row r="712" spans="1:26" ht="12.75">
      <c r="A712" s="17"/>
      <c r="B712" s="17"/>
      <c r="C712" s="17"/>
      <c r="D712" s="17"/>
      <c r="E712" s="17"/>
      <c r="F712" s="17"/>
      <c r="G712" s="17"/>
      <c r="H712" s="17"/>
      <c r="I712" s="17"/>
      <c r="J712" s="17"/>
      <c r="K712" s="17"/>
      <c r="L712" s="17"/>
      <c r="M712" s="17"/>
      <c r="N712" s="17"/>
      <c r="O712" s="17"/>
      <c r="P712" s="17"/>
      <c r="Q712" s="17"/>
      <c r="R712" s="17"/>
      <c r="S712" s="17"/>
      <c r="T712" s="17"/>
      <c r="U712" s="17"/>
      <c r="V712" s="17"/>
      <c r="W712" s="17"/>
      <c r="X712" s="17"/>
      <c r="Y712" s="17"/>
      <c r="Z712" s="17"/>
    </row>
    <row r="713" spans="1:26" ht="12.75">
      <c r="A713" s="17"/>
      <c r="B713" s="17"/>
      <c r="C713" s="17"/>
      <c r="D713" s="17"/>
      <c r="E713" s="17"/>
      <c r="F713" s="17"/>
      <c r="G713" s="17"/>
      <c r="H713" s="17"/>
      <c r="I713" s="17"/>
      <c r="J713" s="17"/>
      <c r="K713" s="17"/>
      <c r="L713" s="17"/>
      <c r="M713" s="17"/>
      <c r="N713" s="17"/>
      <c r="O713" s="17"/>
      <c r="P713" s="17"/>
      <c r="Q713" s="17"/>
      <c r="R713" s="17"/>
      <c r="S713" s="17"/>
      <c r="T713" s="17"/>
      <c r="U713" s="17"/>
      <c r="V713" s="17"/>
      <c r="W713" s="17"/>
      <c r="X713" s="17"/>
      <c r="Y713" s="17"/>
      <c r="Z713" s="17"/>
    </row>
    <row r="714" spans="1:26" ht="12.75">
      <c r="A714" s="17"/>
      <c r="B714" s="17"/>
      <c r="C714" s="17"/>
      <c r="D714" s="17"/>
      <c r="E714" s="17"/>
      <c r="F714" s="17"/>
      <c r="G714" s="17"/>
      <c r="H714" s="17"/>
      <c r="I714" s="17"/>
      <c r="J714" s="17"/>
      <c r="K714" s="17"/>
      <c r="L714" s="17"/>
      <c r="M714" s="17"/>
      <c r="N714" s="17"/>
      <c r="O714" s="17"/>
      <c r="P714" s="17"/>
      <c r="Q714" s="17"/>
      <c r="R714" s="17"/>
      <c r="S714" s="17"/>
      <c r="T714" s="17"/>
      <c r="U714" s="17"/>
      <c r="V714" s="17"/>
      <c r="W714" s="17"/>
      <c r="X714" s="17"/>
      <c r="Y714" s="17"/>
      <c r="Z714" s="17"/>
    </row>
    <row r="715" spans="1:26" ht="12.75">
      <c r="A715" s="17"/>
      <c r="B715" s="17"/>
      <c r="C715" s="17"/>
      <c r="D715" s="17"/>
      <c r="E715" s="17"/>
      <c r="F715" s="17"/>
      <c r="G715" s="17"/>
      <c r="H715" s="17"/>
      <c r="I715" s="17"/>
      <c r="J715" s="17"/>
      <c r="K715" s="17"/>
      <c r="L715" s="17"/>
      <c r="M715" s="17"/>
      <c r="N715" s="17"/>
      <c r="O715" s="17"/>
      <c r="P715" s="17"/>
      <c r="Q715" s="17"/>
      <c r="R715" s="17"/>
      <c r="S715" s="17"/>
      <c r="T715" s="17"/>
      <c r="U715" s="17"/>
      <c r="V715" s="17"/>
      <c r="W715" s="17"/>
      <c r="X715" s="17"/>
      <c r="Y715" s="17"/>
      <c r="Z715" s="17"/>
    </row>
    <row r="716" spans="1:26" ht="12.75">
      <c r="A716" s="17"/>
      <c r="B716" s="17"/>
      <c r="C716" s="17"/>
      <c r="D716" s="17"/>
      <c r="E716" s="17"/>
      <c r="F716" s="17"/>
      <c r="G716" s="17"/>
      <c r="H716" s="17"/>
      <c r="I716" s="17"/>
      <c r="J716" s="17"/>
      <c r="K716" s="17"/>
      <c r="L716" s="17"/>
      <c r="M716" s="17"/>
      <c r="N716" s="17"/>
      <c r="O716" s="17"/>
      <c r="P716" s="17"/>
      <c r="Q716" s="17"/>
      <c r="R716" s="17"/>
      <c r="S716" s="17"/>
      <c r="T716" s="17"/>
      <c r="U716" s="17"/>
      <c r="V716" s="17"/>
      <c r="W716" s="17"/>
      <c r="X716" s="17"/>
      <c r="Y716" s="17"/>
      <c r="Z716" s="17"/>
    </row>
    <row r="717" spans="1:26" ht="12.75">
      <c r="A717" s="17"/>
      <c r="B717" s="17"/>
      <c r="C717" s="17"/>
      <c r="D717" s="17"/>
      <c r="E717" s="17"/>
      <c r="F717" s="17"/>
      <c r="G717" s="17"/>
      <c r="H717" s="17"/>
      <c r="I717" s="17"/>
      <c r="J717" s="17"/>
      <c r="K717" s="17"/>
      <c r="L717" s="17"/>
      <c r="M717" s="17"/>
      <c r="N717" s="17"/>
      <c r="O717" s="17"/>
      <c r="P717" s="17"/>
      <c r="Q717" s="17"/>
      <c r="R717" s="17"/>
      <c r="S717" s="17"/>
      <c r="T717" s="17"/>
      <c r="U717" s="17"/>
      <c r="V717" s="17"/>
      <c r="W717" s="17"/>
      <c r="X717" s="17"/>
      <c r="Y717" s="17"/>
      <c r="Z717" s="17"/>
    </row>
    <row r="718" spans="1:26" ht="12.75">
      <c r="A718" s="1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row>
    <row r="719" spans="1:26" ht="12.75">
      <c r="A719" s="17"/>
      <c r="B719" s="17"/>
      <c r="C719" s="17"/>
      <c r="D719" s="17"/>
      <c r="E719" s="17"/>
      <c r="F719" s="17"/>
      <c r="G719" s="17"/>
      <c r="H719" s="17"/>
      <c r="I719" s="17"/>
      <c r="J719" s="17"/>
      <c r="K719" s="17"/>
      <c r="L719" s="17"/>
      <c r="M719" s="17"/>
      <c r="N719" s="17"/>
      <c r="O719" s="17"/>
      <c r="P719" s="17"/>
      <c r="Q719" s="17"/>
      <c r="R719" s="17"/>
      <c r="S719" s="17"/>
      <c r="T719" s="17"/>
      <c r="U719" s="17"/>
      <c r="V719" s="17"/>
      <c r="W719" s="17"/>
      <c r="X719" s="17"/>
      <c r="Y719" s="17"/>
      <c r="Z719" s="17"/>
    </row>
    <row r="720" spans="1:26" ht="12.75">
      <c r="A720" s="17"/>
      <c r="B720" s="17"/>
      <c r="C720" s="17"/>
      <c r="D720" s="17"/>
      <c r="E720" s="17"/>
      <c r="F720" s="17"/>
      <c r="G720" s="17"/>
      <c r="H720" s="17"/>
      <c r="I720" s="17"/>
      <c r="J720" s="17"/>
      <c r="K720" s="17"/>
      <c r="L720" s="17"/>
      <c r="M720" s="17"/>
      <c r="N720" s="17"/>
      <c r="O720" s="17"/>
      <c r="P720" s="17"/>
      <c r="Q720" s="17"/>
      <c r="R720" s="17"/>
      <c r="S720" s="17"/>
      <c r="T720" s="17"/>
      <c r="U720" s="17"/>
      <c r="V720" s="17"/>
      <c r="W720" s="17"/>
      <c r="X720" s="17"/>
      <c r="Y720" s="17"/>
      <c r="Z720" s="17"/>
    </row>
    <row r="721" spans="1:26" ht="12.75">
      <c r="A721" s="17"/>
      <c r="B721" s="17"/>
      <c r="C721" s="17"/>
      <c r="D721" s="17"/>
      <c r="E721" s="17"/>
      <c r="F721" s="17"/>
      <c r="G721" s="17"/>
      <c r="H721" s="17"/>
      <c r="I721" s="17"/>
      <c r="J721" s="17"/>
      <c r="K721" s="17"/>
      <c r="L721" s="17"/>
      <c r="M721" s="17"/>
      <c r="N721" s="17"/>
      <c r="O721" s="17"/>
      <c r="P721" s="17"/>
      <c r="Q721" s="17"/>
      <c r="R721" s="17"/>
      <c r="S721" s="17"/>
      <c r="T721" s="17"/>
      <c r="U721" s="17"/>
      <c r="V721" s="17"/>
      <c r="W721" s="17"/>
      <c r="X721" s="17"/>
      <c r="Y721" s="17"/>
      <c r="Z721" s="17"/>
    </row>
    <row r="722" spans="1:26" ht="12.75">
      <c r="A722" s="17"/>
      <c r="B722" s="17"/>
      <c r="C722" s="17"/>
      <c r="D722" s="17"/>
      <c r="E722" s="17"/>
      <c r="F722" s="17"/>
      <c r="G722" s="17"/>
      <c r="H722" s="17"/>
      <c r="I722" s="17"/>
      <c r="J722" s="17"/>
      <c r="K722" s="17"/>
      <c r="L722" s="17"/>
      <c r="M722" s="17"/>
      <c r="N722" s="17"/>
      <c r="O722" s="17"/>
      <c r="P722" s="17"/>
      <c r="Q722" s="17"/>
      <c r="R722" s="17"/>
      <c r="S722" s="17"/>
      <c r="T722" s="17"/>
      <c r="U722" s="17"/>
      <c r="V722" s="17"/>
      <c r="W722" s="17"/>
      <c r="X722" s="17"/>
      <c r="Y722" s="17"/>
      <c r="Z722" s="17"/>
    </row>
    <row r="723" spans="1:26" ht="12.75">
      <c r="A723" s="17"/>
      <c r="B723" s="17"/>
      <c r="C723" s="17"/>
      <c r="D723" s="17"/>
      <c r="E723" s="17"/>
      <c r="F723" s="17"/>
      <c r="G723" s="17"/>
      <c r="H723" s="17"/>
      <c r="I723" s="17"/>
      <c r="J723" s="17"/>
      <c r="K723" s="17"/>
      <c r="L723" s="17"/>
      <c r="M723" s="17"/>
      <c r="N723" s="17"/>
      <c r="O723" s="17"/>
      <c r="P723" s="17"/>
      <c r="Q723" s="17"/>
      <c r="R723" s="17"/>
      <c r="S723" s="17"/>
      <c r="T723" s="17"/>
      <c r="U723" s="17"/>
      <c r="V723" s="17"/>
      <c r="W723" s="17"/>
      <c r="X723" s="17"/>
      <c r="Y723" s="17"/>
      <c r="Z723" s="17"/>
    </row>
    <row r="724" spans="1:26" ht="12.75">
      <c r="A724" s="17"/>
      <c r="B724" s="17"/>
      <c r="C724" s="17"/>
      <c r="D724" s="17"/>
      <c r="E724" s="17"/>
      <c r="F724" s="17"/>
      <c r="G724" s="17"/>
      <c r="H724" s="17"/>
      <c r="I724" s="17"/>
      <c r="J724" s="17"/>
      <c r="K724" s="17"/>
      <c r="L724" s="17"/>
      <c r="M724" s="17"/>
      <c r="N724" s="17"/>
      <c r="O724" s="17"/>
      <c r="P724" s="17"/>
      <c r="Q724" s="17"/>
      <c r="R724" s="17"/>
      <c r="S724" s="17"/>
      <c r="T724" s="17"/>
      <c r="U724" s="17"/>
      <c r="V724" s="17"/>
      <c r="W724" s="17"/>
      <c r="X724" s="17"/>
      <c r="Y724" s="17"/>
      <c r="Z724" s="17"/>
    </row>
    <row r="725" spans="1:26" ht="12.75">
      <c r="A725" s="17"/>
      <c r="B725" s="17"/>
      <c r="C725" s="17"/>
      <c r="D725" s="17"/>
      <c r="E725" s="17"/>
      <c r="F725" s="17"/>
      <c r="G725" s="17"/>
      <c r="H725" s="17"/>
      <c r="I725" s="17"/>
      <c r="J725" s="17"/>
      <c r="K725" s="17"/>
      <c r="L725" s="17"/>
      <c r="M725" s="17"/>
      <c r="N725" s="17"/>
      <c r="O725" s="17"/>
      <c r="P725" s="17"/>
      <c r="Q725" s="17"/>
      <c r="R725" s="17"/>
      <c r="S725" s="17"/>
      <c r="T725" s="17"/>
      <c r="U725" s="17"/>
      <c r="V725" s="17"/>
      <c r="W725" s="17"/>
      <c r="X725" s="17"/>
      <c r="Y725" s="17"/>
      <c r="Z725" s="17"/>
    </row>
    <row r="726" spans="1:26" ht="12.75">
      <c r="A726" s="1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row>
    <row r="727" spans="1:26" ht="12.75">
      <c r="A727" s="17"/>
      <c r="B727" s="17"/>
      <c r="C727" s="17"/>
      <c r="D727" s="17"/>
      <c r="E727" s="17"/>
      <c r="F727" s="17"/>
      <c r="G727" s="17"/>
      <c r="H727" s="17"/>
      <c r="I727" s="17"/>
      <c r="J727" s="17"/>
      <c r="K727" s="17"/>
      <c r="L727" s="17"/>
      <c r="M727" s="17"/>
      <c r="N727" s="17"/>
      <c r="O727" s="17"/>
      <c r="P727" s="17"/>
      <c r="Q727" s="17"/>
      <c r="R727" s="17"/>
      <c r="S727" s="17"/>
      <c r="T727" s="17"/>
      <c r="U727" s="17"/>
      <c r="V727" s="17"/>
      <c r="W727" s="17"/>
      <c r="X727" s="17"/>
      <c r="Y727" s="17"/>
      <c r="Z727" s="17"/>
    </row>
    <row r="728" spans="1:26" ht="12.75">
      <c r="A728" s="17"/>
      <c r="B728" s="17"/>
      <c r="C728" s="17"/>
      <c r="D728" s="17"/>
      <c r="E728" s="17"/>
      <c r="F728" s="17"/>
      <c r="G728" s="17"/>
      <c r="H728" s="17"/>
      <c r="I728" s="17"/>
      <c r="J728" s="17"/>
      <c r="K728" s="17"/>
      <c r="L728" s="17"/>
      <c r="M728" s="17"/>
      <c r="N728" s="17"/>
      <c r="O728" s="17"/>
      <c r="P728" s="17"/>
      <c r="Q728" s="17"/>
      <c r="R728" s="17"/>
      <c r="S728" s="17"/>
      <c r="T728" s="17"/>
      <c r="U728" s="17"/>
      <c r="V728" s="17"/>
      <c r="W728" s="17"/>
      <c r="X728" s="17"/>
      <c r="Y728" s="17"/>
      <c r="Z728" s="17"/>
    </row>
    <row r="729" spans="1:26" ht="12.75">
      <c r="A729" s="17"/>
      <c r="B729" s="17"/>
      <c r="C729" s="17"/>
      <c r="D729" s="17"/>
      <c r="E729" s="17"/>
      <c r="F729" s="17"/>
      <c r="G729" s="17"/>
      <c r="H729" s="17"/>
      <c r="I729" s="17"/>
      <c r="J729" s="17"/>
      <c r="K729" s="17"/>
      <c r="L729" s="17"/>
      <c r="M729" s="17"/>
      <c r="N729" s="17"/>
      <c r="O729" s="17"/>
      <c r="P729" s="17"/>
      <c r="Q729" s="17"/>
      <c r="R729" s="17"/>
      <c r="S729" s="17"/>
      <c r="T729" s="17"/>
      <c r="U729" s="17"/>
      <c r="V729" s="17"/>
      <c r="W729" s="17"/>
      <c r="X729" s="17"/>
      <c r="Y729" s="17"/>
      <c r="Z729" s="17"/>
    </row>
    <row r="730" spans="1:26" ht="12.75">
      <c r="A730" s="17"/>
      <c r="B730" s="17"/>
      <c r="C730" s="17"/>
      <c r="D730" s="17"/>
      <c r="E730" s="17"/>
      <c r="F730" s="17"/>
      <c r="G730" s="17"/>
      <c r="H730" s="17"/>
      <c r="I730" s="17"/>
      <c r="J730" s="17"/>
      <c r="K730" s="17"/>
      <c r="L730" s="17"/>
      <c r="M730" s="17"/>
      <c r="N730" s="17"/>
      <c r="O730" s="17"/>
      <c r="P730" s="17"/>
      <c r="Q730" s="17"/>
      <c r="R730" s="17"/>
      <c r="S730" s="17"/>
      <c r="T730" s="17"/>
      <c r="U730" s="17"/>
      <c r="V730" s="17"/>
      <c r="W730" s="17"/>
      <c r="X730" s="17"/>
      <c r="Y730" s="17"/>
      <c r="Z730" s="17"/>
    </row>
    <row r="731" spans="1:26" ht="12.75">
      <c r="A731" s="17"/>
      <c r="B731" s="17"/>
      <c r="C731" s="17"/>
      <c r="D731" s="17"/>
      <c r="E731" s="17"/>
      <c r="F731" s="17"/>
      <c r="G731" s="17"/>
      <c r="H731" s="17"/>
      <c r="I731" s="17"/>
      <c r="J731" s="17"/>
      <c r="K731" s="17"/>
      <c r="L731" s="17"/>
      <c r="M731" s="17"/>
      <c r="N731" s="17"/>
      <c r="O731" s="17"/>
      <c r="P731" s="17"/>
      <c r="Q731" s="17"/>
      <c r="R731" s="17"/>
      <c r="S731" s="17"/>
      <c r="T731" s="17"/>
      <c r="U731" s="17"/>
      <c r="V731" s="17"/>
      <c r="W731" s="17"/>
      <c r="X731" s="17"/>
      <c r="Y731" s="17"/>
      <c r="Z731" s="17"/>
    </row>
    <row r="732" spans="1:26" ht="12.75">
      <c r="A732" s="17"/>
      <c r="B732" s="17"/>
      <c r="C732" s="17"/>
      <c r="D732" s="17"/>
      <c r="E732" s="17"/>
      <c r="F732" s="17"/>
      <c r="G732" s="17"/>
      <c r="H732" s="17"/>
      <c r="I732" s="17"/>
      <c r="J732" s="17"/>
      <c r="K732" s="17"/>
      <c r="L732" s="17"/>
      <c r="M732" s="17"/>
      <c r="N732" s="17"/>
      <c r="O732" s="17"/>
      <c r="P732" s="17"/>
      <c r="Q732" s="17"/>
      <c r="R732" s="17"/>
      <c r="S732" s="17"/>
      <c r="T732" s="17"/>
      <c r="U732" s="17"/>
      <c r="V732" s="17"/>
      <c r="W732" s="17"/>
      <c r="X732" s="17"/>
      <c r="Y732" s="17"/>
      <c r="Z732" s="17"/>
    </row>
    <row r="733" spans="1:26" ht="12.75">
      <c r="A733" s="17"/>
      <c r="B733" s="17"/>
      <c r="C733" s="17"/>
      <c r="D733" s="17"/>
      <c r="E733" s="17"/>
      <c r="F733" s="17"/>
      <c r="G733" s="17"/>
      <c r="H733" s="17"/>
      <c r="I733" s="17"/>
      <c r="J733" s="17"/>
      <c r="K733" s="17"/>
      <c r="L733" s="17"/>
      <c r="M733" s="17"/>
      <c r="N733" s="17"/>
      <c r="O733" s="17"/>
      <c r="P733" s="17"/>
      <c r="Q733" s="17"/>
      <c r="R733" s="17"/>
      <c r="S733" s="17"/>
      <c r="T733" s="17"/>
      <c r="U733" s="17"/>
      <c r="V733" s="17"/>
      <c r="W733" s="17"/>
      <c r="X733" s="17"/>
      <c r="Y733" s="17"/>
      <c r="Z733" s="17"/>
    </row>
    <row r="734" spans="1:26" ht="12.75">
      <c r="A734" s="1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row>
    <row r="735" spans="1:26" ht="12.75">
      <c r="A735" s="17"/>
      <c r="B735" s="17"/>
      <c r="C735" s="17"/>
      <c r="D735" s="17"/>
      <c r="E735" s="17"/>
      <c r="F735" s="17"/>
      <c r="G735" s="17"/>
      <c r="H735" s="17"/>
      <c r="I735" s="17"/>
      <c r="J735" s="17"/>
      <c r="K735" s="17"/>
      <c r="L735" s="17"/>
      <c r="M735" s="17"/>
      <c r="N735" s="17"/>
      <c r="O735" s="17"/>
      <c r="P735" s="17"/>
      <c r="Q735" s="17"/>
      <c r="R735" s="17"/>
      <c r="S735" s="17"/>
      <c r="T735" s="17"/>
      <c r="U735" s="17"/>
      <c r="V735" s="17"/>
      <c r="W735" s="17"/>
      <c r="X735" s="17"/>
      <c r="Y735" s="17"/>
      <c r="Z735" s="17"/>
    </row>
    <row r="736" spans="1:26" ht="12.75">
      <c r="A736" s="17"/>
      <c r="B736" s="17"/>
      <c r="C736" s="17"/>
      <c r="D736" s="17"/>
      <c r="E736" s="17"/>
      <c r="F736" s="17"/>
      <c r="G736" s="17"/>
      <c r="H736" s="17"/>
      <c r="I736" s="17"/>
      <c r="J736" s="17"/>
      <c r="K736" s="17"/>
      <c r="L736" s="17"/>
      <c r="M736" s="17"/>
      <c r="N736" s="17"/>
      <c r="O736" s="17"/>
      <c r="P736" s="17"/>
      <c r="Q736" s="17"/>
      <c r="R736" s="17"/>
      <c r="S736" s="17"/>
      <c r="T736" s="17"/>
      <c r="U736" s="17"/>
      <c r="V736" s="17"/>
      <c r="W736" s="17"/>
      <c r="X736" s="17"/>
      <c r="Y736" s="17"/>
      <c r="Z736" s="17"/>
    </row>
    <row r="737" spans="1:26" ht="12.75">
      <c r="A737" s="17"/>
      <c r="B737" s="17"/>
      <c r="C737" s="17"/>
      <c r="D737" s="17"/>
      <c r="E737" s="17"/>
      <c r="F737" s="17"/>
      <c r="G737" s="17"/>
      <c r="H737" s="17"/>
      <c r="I737" s="17"/>
      <c r="J737" s="17"/>
      <c r="K737" s="17"/>
      <c r="L737" s="17"/>
      <c r="M737" s="17"/>
      <c r="N737" s="17"/>
      <c r="O737" s="17"/>
      <c r="P737" s="17"/>
      <c r="Q737" s="17"/>
      <c r="R737" s="17"/>
      <c r="S737" s="17"/>
      <c r="T737" s="17"/>
      <c r="U737" s="17"/>
      <c r="V737" s="17"/>
      <c r="W737" s="17"/>
      <c r="X737" s="17"/>
      <c r="Y737" s="17"/>
      <c r="Z737" s="17"/>
    </row>
    <row r="738" spans="1:26" ht="12.75">
      <c r="A738" s="17"/>
      <c r="B738" s="17"/>
      <c r="C738" s="17"/>
      <c r="D738" s="17"/>
      <c r="E738" s="17"/>
      <c r="F738" s="17"/>
      <c r="G738" s="17"/>
      <c r="H738" s="17"/>
      <c r="I738" s="17"/>
      <c r="J738" s="17"/>
      <c r="K738" s="17"/>
      <c r="L738" s="17"/>
      <c r="M738" s="17"/>
      <c r="N738" s="17"/>
      <c r="O738" s="17"/>
      <c r="P738" s="17"/>
      <c r="Q738" s="17"/>
      <c r="R738" s="17"/>
      <c r="S738" s="17"/>
      <c r="T738" s="17"/>
      <c r="U738" s="17"/>
      <c r="V738" s="17"/>
      <c r="W738" s="17"/>
      <c r="X738" s="17"/>
      <c r="Y738" s="17"/>
      <c r="Z738" s="17"/>
    </row>
    <row r="739" spans="1:26" ht="12.75">
      <c r="A739" s="17"/>
      <c r="B739" s="17"/>
      <c r="C739" s="17"/>
      <c r="D739" s="17"/>
      <c r="E739" s="17"/>
      <c r="F739" s="17"/>
      <c r="G739" s="17"/>
      <c r="H739" s="17"/>
      <c r="I739" s="17"/>
      <c r="J739" s="17"/>
      <c r="K739" s="17"/>
      <c r="L739" s="17"/>
      <c r="M739" s="17"/>
      <c r="N739" s="17"/>
      <c r="O739" s="17"/>
      <c r="P739" s="17"/>
      <c r="Q739" s="17"/>
      <c r="R739" s="17"/>
      <c r="S739" s="17"/>
      <c r="T739" s="17"/>
      <c r="U739" s="17"/>
      <c r="V739" s="17"/>
      <c r="W739" s="17"/>
      <c r="X739" s="17"/>
      <c r="Y739" s="17"/>
      <c r="Z739" s="17"/>
    </row>
    <row r="740" spans="1:26" ht="12.75">
      <c r="A740" s="17"/>
      <c r="B740" s="17"/>
      <c r="C740" s="17"/>
      <c r="D740" s="17"/>
      <c r="E740" s="17"/>
      <c r="F740" s="17"/>
      <c r="G740" s="17"/>
      <c r="H740" s="17"/>
      <c r="I740" s="17"/>
      <c r="J740" s="17"/>
      <c r="K740" s="17"/>
      <c r="L740" s="17"/>
      <c r="M740" s="17"/>
      <c r="N740" s="17"/>
      <c r="O740" s="17"/>
      <c r="P740" s="17"/>
      <c r="Q740" s="17"/>
      <c r="R740" s="17"/>
      <c r="S740" s="17"/>
      <c r="T740" s="17"/>
      <c r="U740" s="17"/>
      <c r="V740" s="17"/>
      <c r="W740" s="17"/>
      <c r="X740" s="17"/>
      <c r="Y740" s="17"/>
      <c r="Z740" s="17"/>
    </row>
    <row r="741" spans="1:26" ht="12.75">
      <c r="A741" s="17"/>
      <c r="B741" s="17"/>
      <c r="C741" s="17"/>
      <c r="D741" s="17"/>
      <c r="E741" s="17"/>
      <c r="F741" s="17"/>
      <c r="G741" s="17"/>
      <c r="H741" s="17"/>
      <c r="I741" s="17"/>
      <c r="J741" s="17"/>
      <c r="K741" s="17"/>
      <c r="L741" s="17"/>
      <c r="M741" s="17"/>
      <c r="N741" s="17"/>
      <c r="O741" s="17"/>
      <c r="P741" s="17"/>
      <c r="Q741" s="17"/>
      <c r="R741" s="17"/>
      <c r="S741" s="17"/>
      <c r="T741" s="17"/>
      <c r="U741" s="17"/>
      <c r="V741" s="17"/>
      <c r="W741" s="17"/>
      <c r="X741" s="17"/>
      <c r="Y741" s="17"/>
      <c r="Z741" s="17"/>
    </row>
    <row r="742" spans="1:26" ht="12.75">
      <c r="A742" s="1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row>
    <row r="743" spans="1:26" ht="12.75">
      <c r="A743" s="17"/>
      <c r="B743" s="17"/>
      <c r="C743" s="17"/>
      <c r="D743" s="17"/>
      <c r="E743" s="17"/>
      <c r="F743" s="17"/>
      <c r="G743" s="17"/>
      <c r="H743" s="17"/>
      <c r="I743" s="17"/>
      <c r="J743" s="17"/>
      <c r="K743" s="17"/>
      <c r="L743" s="17"/>
      <c r="M743" s="17"/>
      <c r="N743" s="17"/>
      <c r="O743" s="17"/>
      <c r="P743" s="17"/>
      <c r="Q743" s="17"/>
      <c r="R743" s="17"/>
      <c r="S743" s="17"/>
      <c r="T743" s="17"/>
      <c r="U743" s="17"/>
      <c r="V743" s="17"/>
      <c r="W743" s="17"/>
      <c r="X743" s="17"/>
      <c r="Y743" s="17"/>
      <c r="Z743" s="17"/>
    </row>
    <row r="744" spans="1:26" ht="12.75">
      <c r="A744" s="17"/>
      <c r="B744" s="17"/>
      <c r="C744" s="17"/>
      <c r="D744" s="17"/>
      <c r="E744" s="17"/>
      <c r="F744" s="17"/>
      <c r="G744" s="17"/>
      <c r="H744" s="17"/>
      <c r="I744" s="17"/>
      <c r="J744" s="17"/>
      <c r="K744" s="17"/>
      <c r="L744" s="17"/>
      <c r="M744" s="17"/>
      <c r="N744" s="17"/>
      <c r="O744" s="17"/>
      <c r="P744" s="17"/>
      <c r="Q744" s="17"/>
      <c r="R744" s="17"/>
      <c r="S744" s="17"/>
      <c r="T744" s="17"/>
      <c r="U744" s="17"/>
      <c r="V744" s="17"/>
      <c r="W744" s="17"/>
      <c r="X744" s="17"/>
      <c r="Y744" s="17"/>
      <c r="Z744" s="17"/>
    </row>
    <row r="745" spans="1:26" ht="12.75">
      <c r="A745" s="17"/>
      <c r="B745" s="17"/>
      <c r="C745" s="17"/>
      <c r="D745" s="17"/>
      <c r="E745" s="17"/>
      <c r="F745" s="17"/>
      <c r="G745" s="17"/>
      <c r="H745" s="17"/>
      <c r="I745" s="17"/>
      <c r="J745" s="17"/>
      <c r="K745" s="17"/>
      <c r="L745" s="17"/>
      <c r="M745" s="17"/>
      <c r="N745" s="17"/>
      <c r="O745" s="17"/>
      <c r="P745" s="17"/>
      <c r="Q745" s="17"/>
      <c r="R745" s="17"/>
      <c r="S745" s="17"/>
      <c r="T745" s="17"/>
      <c r="U745" s="17"/>
      <c r="V745" s="17"/>
      <c r="W745" s="17"/>
      <c r="X745" s="17"/>
      <c r="Y745" s="17"/>
      <c r="Z745" s="17"/>
    </row>
    <row r="746" spans="1:26" ht="12.75">
      <c r="A746" s="17"/>
      <c r="B746" s="17"/>
      <c r="C746" s="17"/>
      <c r="D746" s="17"/>
      <c r="E746" s="17"/>
      <c r="F746" s="17"/>
      <c r="G746" s="17"/>
      <c r="H746" s="17"/>
      <c r="I746" s="17"/>
      <c r="J746" s="17"/>
      <c r="K746" s="17"/>
      <c r="L746" s="17"/>
      <c r="M746" s="17"/>
      <c r="N746" s="17"/>
      <c r="O746" s="17"/>
      <c r="P746" s="17"/>
      <c r="Q746" s="17"/>
      <c r="R746" s="17"/>
      <c r="S746" s="17"/>
      <c r="T746" s="17"/>
      <c r="U746" s="17"/>
      <c r="V746" s="17"/>
      <c r="W746" s="17"/>
      <c r="X746" s="17"/>
      <c r="Y746" s="17"/>
      <c r="Z746" s="17"/>
    </row>
    <row r="747" spans="1:26" ht="12.75">
      <c r="A747" s="17"/>
      <c r="B747" s="17"/>
      <c r="C747" s="17"/>
      <c r="D747" s="17"/>
      <c r="E747" s="17"/>
      <c r="F747" s="17"/>
      <c r="G747" s="17"/>
      <c r="H747" s="17"/>
      <c r="I747" s="17"/>
      <c r="J747" s="17"/>
      <c r="K747" s="17"/>
      <c r="L747" s="17"/>
      <c r="M747" s="17"/>
      <c r="N747" s="17"/>
      <c r="O747" s="17"/>
      <c r="P747" s="17"/>
      <c r="Q747" s="17"/>
      <c r="R747" s="17"/>
      <c r="S747" s="17"/>
      <c r="T747" s="17"/>
      <c r="U747" s="17"/>
      <c r="V747" s="17"/>
      <c r="W747" s="17"/>
      <c r="X747" s="17"/>
      <c r="Y747" s="17"/>
      <c r="Z747" s="17"/>
    </row>
    <row r="748" spans="1:26" ht="12.75">
      <c r="A748" s="17"/>
      <c r="B748" s="17"/>
      <c r="C748" s="17"/>
      <c r="D748" s="17"/>
      <c r="E748" s="17"/>
      <c r="F748" s="17"/>
      <c r="G748" s="17"/>
      <c r="H748" s="17"/>
      <c r="I748" s="17"/>
      <c r="J748" s="17"/>
      <c r="K748" s="17"/>
      <c r="L748" s="17"/>
      <c r="M748" s="17"/>
      <c r="N748" s="17"/>
      <c r="O748" s="17"/>
      <c r="P748" s="17"/>
      <c r="Q748" s="17"/>
      <c r="R748" s="17"/>
      <c r="S748" s="17"/>
      <c r="T748" s="17"/>
      <c r="U748" s="17"/>
      <c r="V748" s="17"/>
      <c r="W748" s="17"/>
      <c r="X748" s="17"/>
      <c r="Y748" s="17"/>
      <c r="Z748" s="17"/>
    </row>
    <row r="749" spans="1:26" ht="12.75">
      <c r="A749" s="17"/>
      <c r="B749" s="17"/>
      <c r="C749" s="17"/>
      <c r="D749" s="17"/>
      <c r="E749" s="17"/>
      <c r="F749" s="17"/>
      <c r="G749" s="17"/>
      <c r="H749" s="17"/>
      <c r="I749" s="17"/>
      <c r="J749" s="17"/>
      <c r="K749" s="17"/>
      <c r="L749" s="17"/>
      <c r="M749" s="17"/>
      <c r="N749" s="17"/>
      <c r="O749" s="17"/>
      <c r="P749" s="17"/>
      <c r="Q749" s="17"/>
      <c r="R749" s="17"/>
      <c r="S749" s="17"/>
      <c r="T749" s="17"/>
      <c r="U749" s="17"/>
      <c r="V749" s="17"/>
      <c r="W749" s="17"/>
      <c r="X749" s="17"/>
      <c r="Y749" s="17"/>
      <c r="Z749" s="17"/>
    </row>
    <row r="750" spans="1:26" ht="12.75">
      <c r="A750" s="1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row>
    <row r="751" spans="1:26" ht="12.75">
      <c r="A751" s="17"/>
      <c r="B751" s="17"/>
      <c r="C751" s="17"/>
      <c r="D751" s="17"/>
      <c r="E751" s="17"/>
      <c r="F751" s="17"/>
      <c r="G751" s="17"/>
      <c r="H751" s="17"/>
      <c r="I751" s="17"/>
      <c r="J751" s="17"/>
      <c r="K751" s="17"/>
      <c r="L751" s="17"/>
      <c r="M751" s="17"/>
      <c r="N751" s="17"/>
      <c r="O751" s="17"/>
      <c r="P751" s="17"/>
      <c r="Q751" s="17"/>
      <c r="R751" s="17"/>
      <c r="S751" s="17"/>
      <c r="T751" s="17"/>
      <c r="U751" s="17"/>
      <c r="V751" s="17"/>
      <c r="W751" s="17"/>
      <c r="X751" s="17"/>
      <c r="Y751" s="17"/>
      <c r="Z751" s="17"/>
    </row>
    <row r="752" spans="1:26" ht="12.75">
      <c r="A752" s="17"/>
      <c r="B752" s="17"/>
      <c r="C752" s="17"/>
      <c r="D752" s="17"/>
      <c r="E752" s="17"/>
      <c r="F752" s="17"/>
      <c r="G752" s="17"/>
      <c r="H752" s="17"/>
      <c r="I752" s="17"/>
      <c r="J752" s="17"/>
      <c r="K752" s="17"/>
      <c r="L752" s="17"/>
      <c r="M752" s="17"/>
      <c r="N752" s="17"/>
      <c r="O752" s="17"/>
      <c r="P752" s="17"/>
      <c r="Q752" s="17"/>
      <c r="R752" s="17"/>
      <c r="S752" s="17"/>
      <c r="T752" s="17"/>
      <c r="U752" s="17"/>
      <c r="V752" s="17"/>
      <c r="W752" s="17"/>
      <c r="X752" s="17"/>
      <c r="Y752" s="17"/>
      <c r="Z752" s="17"/>
    </row>
    <row r="753" spans="1:26" ht="12.75">
      <c r="A753" s="17"/>
      <c r="B753" s="17"/>
      <c r="C753" s="17"/>
      <c r="D753" s="17"/>
      <c r="E753" s="17"/>
      <c r="F753" s="17"/>
      <c r="G753" s="17"/>
      <c r="H753" s="17"/>
      <c r="I753" s="17"/>
      <c r="J753" s="17"/>
      <c r="K753" s="17"/>
      <c r="L753" s="17"/>
      <c r="M753" s="17"/>
      <c r="N753" s="17"/>
      <c r="O753" s="17"/>
      <c r="P753" s="17"/>
      <c r="Q753" s="17"/>
      <c r="R753" s="17"/>
      <c r="S753" s="17"/>
      <c r="T753" s="17"/>
      <c r="U753" s="17"/>
      <c r="V753" s="17"/>
      <c r="W753" s="17"/>
      <c r="X753" s="17"/>
      <c r="Y753" s="17"/>
      <c r="Z753" s="17"/>
    </row>
    <row r="754" spans="1:26" ht="12.75">
      <c r="A754" s="17"/>
      <c r="B754" s="17"/>
      <c r="C754" s="17"/>
      <c r="D754" s="17"/>
      <c r="E754" s="17"/>
      <c r="F754" s="17"/>
      <c r="G754" s="17"/>
      <c r="H754" s="17"/>
      <c r="I754" s="17"/>
      <c r="J754" s="17"/>
      <c r="K754" s="17"/>
      <c r="L754" s="17"/>
      <c r="M754" s="17"/>
      <c r="N754" s="17"/>
      <c r="O754" s="17"/>
      <c r="P754" s="17"/>
      <c r="Q754" s="17"/>
      <c r="R754" s="17"/>
      <c r="S754" s="17"/>
      <c r="T754" s="17"/>
      <c r="U754" s="17"/>
      <c r="V754" s="17"/>
      <c r="W754" s="17"/>
      <c r="X754" s="17"/>
      <c r="Y754" s="17"/>
      <c r="Z754" s="17"/>
    </row>
    <row r="755" spans="1:26" ht="12.75">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row>
    <row r="756" spans="1:26" ht="12.75">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row>
    <row r="757" spans="1:26" ht="12.75">
      <c r="A757" s="17"/>
      <c r="B757" s="17"/>
      <c r="C757" s="17"/>
      <c r="D757" s="17"/>
      <c r="E757" s="17"/>
      <c r="F757" s="17"/>
      <c r="G757" s="17"/>
      <c r="H757" s="17"/>
      <c r="I757" s="17"/>
      <c r="J757" s="17"/>
      <c r="K757" s="17"/>
      <c r="L757" s="17"/>
      <c r="M757" s="17"/>
      <c r="N757" s="17"/>
      <c r="O757" s="17"/>
      <c r="P757" s="17"/>
      <c r="Q757" s="17"/>
      <c r="R757" s="17"/>
      <c r="S757" s="17"/>
      <c r="T757" s="17"/>
      <c r="U757" s="17"/>
      <c r="V757" s="17"/>
      <c r="W757" s="17"/>
      <c r="X757" s="17"/>
      <c r="Y757" s="17"/>
      <c r="Z757" s="17"/>
    </row>
    <row r="758" spans="1:26" ht="12.75">
      <c r="A758" s="1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row>
    <row r="759" spans="1:26" ht="12.75">
      <c r="A759" s="17"/>
      <c r="B759" s="17"/>
      <c r="C759" s="17"/>
      <c r="D759" s="17"/>
      <c r="E759" s="17"/>
      <c r="F759" s="17"/>
      <c r="G759" s="17"/>
      <c r="H759" s="17"/>
      <c r="I759" s="17"/>
      <c r="J759" s="17"/>
      <c r="K759" s="17"/>
      <c r="L759" s="17"/>
      <c r="M759" s="17"/>
      <c r="N759" s="17"/>
      <c r="O759" s="17"/>
      <c r="P759" s="17"/>
      <c r="Q759" s="17"/>
      <c r="R759" s="17"/>
      <c r="S759" s="17"/>
      <c r="T759" s="17"/>
      <c r="U759" s="17"/>
      <c r="V759" s="17"/>
      <c r="W759" s="17"/>
      <c r="X759" s="17"/>
      <c r="Y759" s="17"/>
      <c r="Z759" s="17"/>
    </row>
    <row r="760" spans="1:26" ht="12.75">
      <c r="A760" s="17"/>
      <c r="B760" s="17"/>
      <c r="C760" s="17"/>
      <c r="D760" s="17"/>
      <c r="E760" s="17"/>
      <c r="F760" s="17"/>
      <c r="G760" s="17"/>
      <c r="H760" s="17"/>
      <c r="I760" s="17"/>
      <c r="J760" s="17"/>
      <c r="K760" s="17"/>
      <c r="L760" s="17"/>
      <c r="M760" s="17"/>
      <c r="N760" s="17"/>
      <c r="O760" s="17"/>
      <c r="P760" s="17"/>
      <c r="Q760" s="17"/>
      <c r="R760" s="17"/>
      <c r="S760" s="17"/>
      <c r="T760" s="17"/>
      <c r="U760" s="17"/>
      <c r="V760" s="17"/>
      <c r="W760" s="17"/>
      <c r="X760" s="17"/>
      <c r="Y760" s="17"/>
      <c r="Z760" s="17"/>
    </row>
    <row r="761" spans="1:26" ht="12.75">
      <c r="A761" s="17"/>
      <c r="B761" s="17"/>
      <c r="C761" s="17"/>
      <c r="D761" s="17"/>
      <c r="E761" s="17"/>
      <c r="F761" s="17"/>
      <c r="G761" s="17"/>
      <c r="H761" s="17"/>
      <c r="I761" s="17"/>
      <c r="J761" s="17"/>
      <c r="K761" s="17"/>
      <c r="L761" s="17"/>
      <c r="M761" s="17"/>
      <c r="N761" s="17"/>
      <c r="O761" s="17"/>
      <c r="P761" s="17"/>
      <c r="Q761" s="17"/>
      <c r="R761" s="17"/>
      <c r="S761" s="17"/>
      <c r="T761" s="17"/>
      <c r="U761" s="17"/>
      <c r="V761" s="17"/>
      <c r="W761" s="17"/>
      <c r="X761" s="17"/>
      <c r="Y761" s="17"/>
      <c r="Z761" s="17"/>
    </row>
    <row r="762" spans="1:26" ht="12.75">
      <c r="A762" s="17"/>
      <c r="B762" s="17"/>
      <c r="C762" s="17"/>
      <c r="D762" s="17"/>
      <c r="E762" s="17"/>
      <c r="F762" s="17"/>
      <c r="G762" s="17"/>
      <c r="H762" s="17"/>
      <c r="I762" s="17"/>
      <c r="J762" s="17"/>
      <c r="K762" s="17"/>
      <c r="L762" s="17"/>
      <c r="M762" s="17"/>
      <c r="N762" s="17"/>
      <c r="O762" s="17"/>
      <c r="P762" s="17"/>
      <c r="Q762" s="17"/>
      <c r="R762" s="17"/>
      <c r="S762" s="17"/>
      <c r="T762" s="17"/>
      <c r="U762" s="17"/>
      <c r="V762" s="17"/>
      <c r="W762" s="17"/>
      <c r="X762" s="17"/>
      <c r="Y762" s="17"/>
      <c r="Z762" s="17"/>
    </row>
    <row r="763" spans="1:26" ht="12.75">
      <c r="A763" s="17"/>
      <c r="B763" s="17"/>
      <c r="C763" s="17"/>
      <c r="D763" s="17"/>
      <c r="E763" s="17"/>
      <c r="F763" s="17"/>
      <c r="G763" s="17"/>
      <c r="H763" s="17"/>
      <c r="I763" s="17"/>
      <c r="J763" s="17"/>
      <c r="K763" s="17"/>
      <c r="L763" s="17"/>
      <c r="M763" s="17"/>
      <c r="N763" s="17"/>
      <c r="O763" s="17"/>
      <c r="P763" s="17"/>
      <c r="Q763" s="17"/>
      <c r="R763" s="17"/>
      <c r="S763" s="17"/>
      <c r="T763" s="17"/>
      <c r="U763" s="17"/>
      <c r="V763" s="17"/>
      <c r="W763" s="17"/>
      <c r="X763" s="17"/>
      <c r="Y763" s="17"/>
      <c r="Z763" s="17"/>
    </row>
    <row r="764" spans="1:26" ht="12.75">
      <c r="A764" s="17"/>
      <c r="B764" s="17"/>
      <c r="C764" s="17"/>
      <c r="D764" s="17"/>
      <c r="E764" s="17"/>
      <c r="F764" s="17"/>
      <c r="G764" s="17"/>
      <c r="H764" s="17"/>
      <c r="I764" s="17"/>
      <c r="J764" s="17"/>
      <c r="K764" s="17"/>
      <c r="L764" s="17"/>
      <c r="M764" s="17"/>
      <c r="N764" s="17"/>
      <c r="O764" s="17"/>
      <c r="P764" s="17"/>
      <c r="Q764" s="17"/>
      <c r="R764" s="17"/>
      <c r="S764" s="17"/>
      <c r="T764" s="17"/>
      <c r="U764" s="17"/>
      <c r="V764" s="17"/>
      <c r="W764" s="17"/>
      <c r="X764" s="17"/>
      <c r="Y764" s="17"/>
      <c r="Z764" s="17"/>
    </row>
    <row r="765" spans="1:26" ht="12.75">
      <c r="A765" s="17"/>
      <c r="B765" s="17"/>
      <c r="C765" s="17"/>
      <c r="D765" s="17"/>
      <c r="E765" s="17"/>
      <c r="F765" s="17"/>
      <c r="G765" s="17"/>
      <c r="H765" s="17"/>
      <c r="I765" s="17"/>
      <c r="J765" s="17"/>
      <c r="K765" s="17"/>
      <c r="L765" s="17"/>
      <c r="M765" s="17"/>
      <c r="N765" s="17"/>
      <c r="O765" s="17"/>
      <c r="P765" s="17"/>
      <c r="Q765" s="17"/>
      <c r="R765" s="17"/>
      <c r="S765" s="17"/>
      <c r="T765" s="17"/>
      <c r="U765" s="17"/>
      <c r="V765" s="17"/>
      <c r="W765" s="17"/>
      <c r="X765" s="17"/>
      <c r="Y765" s="17"/>
      <c r="Z765" s="17"/>
    </row>
    <row r="766" spans="1:26" ht="12.75">
      <c r="A766" s="1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row>
    <row r="767" spans="1:26" ht="12.75">
      <c r="A767" s="17"/>
      <c r="B767" s="17"/>
      <c r="C767" s="17"/>
      <c r="D767" s="17"/>
      <c r="E767" s="17"/>
      <c r="F767" s="17"/>
      <c r="G767" s="17"/>
      <c r="H767" s="17"/>
      <c r="I767" s="17"/>
      <c r="J767" s="17"/>
      <c r="K767" s="17"/>
      <c r="L767" s="17"/>
      <c r="M767" s="17"/>
      <c r="N767" s="17"/>
      <c r="O767" s="17"/>
      <c r="P767" s="17"/>
      <c r="Q767" s="17"/>
      <c r="R767" s="17"/>
      <c r="S767" s="17"/>
      <c r="T767" s="17"/>
      <c r="U767" s="17"/>
      <c r="V767" s="17"/>
      <c r="W767" s="17"/>
      <c r="X767" s="17"/>
      <c r="Y767" s="17"/>
      <c r="Z767" s="17"/>
    </row>
    <row r="768" spans="1:26" ht="12.75">
      <c r="A768" s="17"/>
      <c r="B768" s="17"/>
      <c r="C768" s="17"/>
      <c r="D768" s="17"/>
      <c r="E768" s="17"/>
      <c r="F768" s="17"/>
      <c r="G768" s="17"/>
      <c r="H768" s="17"/>
      <c r="I768" s="17"/>
      <c r="J768" s="17"/>
      <c r="K768" s="17"/>
      <c r="L768" s="17"/>
      <c r="M768" s="17"/>
      <c r="N768" s="17"/>
      <c r="O768" s="17"/>
      <c r="P768" s="17"/>
      <c r="Q768" s="17"/>
      <c r="R768" s="17"/>
      <c r="S768" s="17"/>
      <c r="T768" s="17"/>
      <c r="U768" s="17"/>
      <c r="V768" s="17"/>
      <c r="W768" s="17"/>
      <c r="X768" s="17"/>
      <c r="Y768" s="17"/>
      <c r="Z768" s="17"/>
    </row>
    <row r="769" spans="1:26" ht="12.75">
      <c r="A769" s="17"/>
      <c r="B769" s="17"/>
      <c r="C769" s="17"/>
      <c r="D769" s="17"/>
      <c r="E769" s="17"/>
      <c r="F769" s="17"/>
      <c r="G769" s="17"/>
      <c r="H769" s="17"/>
      <c r="I769" s="17"/>
      <c r="J769" s="17"/>
      <c r="K769" s="17"/>
      <c r="L769" s="17"/>
      <c r="M769" s="17"/>
      <c r="N769" s="17"/>
      <c r="O769" s="17"/>
      <c r="P769" s="17"/>
      <c r="Q769" s="17"/>
      <c r="R769" s="17"/>
      <c r="S769" s="17"/>
      <c r="T769" s="17"/>
      <c r="U769" s="17"/>
      <c r="V769" s="17"/>
      <c r="W769" s="17"/>
      <c r="X769" s="17"/>
      <c r="Y769" s="17"/>
      <c r="Z769" s="17"/>
    </row>
    <row r="770" spans="1:26" ht="12.75">
      <c r="A770" s="17"/>
      <c r="B770" s="17"/>
      <c r="C770" s="17"/>
      <c r="D770" s="17"/>
      <c r="E770" s="17"/>
      <c r="F770" s="17"/>
      <c r="G770" s="17"/>
      <c r="H770" s="17"/>
      <c r="I770" s="17"/>
      <c r="J770" s="17"/>
      <c r="K770" s="17"/>
      <c r="L770" s="17"/>
      <c r="M770" s="17"/>
      <c r="N770" s="17"/>
      <c r="O770" s="17"/>
      <c r="P770" s="17"/>
      <c r="Q770" s="17"/>
      <c r="R770" s="17"/>
      <c r="S770" s="17"/>
      <c r="T770" s="17"/>
      <c r="U770" s="17"/>
      <c r="V770" s="17"/>
      <c r="W770" s="17"/>
      <c r="X770" s="17"/>
      <c r="Y770" s="17"/>
      <c r="Z770" s="17"/>
    </row>
    <row r="771" spans="1:26" ht="12.75">
      <c r="A771" s="17"/>
      <c r="B771" s="17"/>
      <c r="C771" s="17"/>
      <c r="D771" s="17"/>
      <c r="E771" s="17"/>
      <c r="F771" s="17"/>
      <c r="G771" s="17"/>
      <c r="H771" s="17"/>
      <c r="I771" s="17"/>
      <c r="J771" s="17"/>
      <c r="K771" s="17"/>
      <c r="L771" s="17"/>
      <c r="M771" s="17"/>
      <c r="N771" s="17"/>
      <c r="O771" s="17"/>
      <c r="P771" s="17"/>
      <c r="Q771" s="17"/>
      <c r="R771" s="17"/>
      <c r="S771" s="17"/>
      <c r="T771" s="17"/>
      <c r="U771" s="17"/>
      <c r="V771" s="17"/>
      <c r="W771" s="17"/>
      <c r="X771" s="17"/>
      <c r="Y771" s="17"/>
      <c r="Z771" s="17"/>
    </row>
    <row r="772" spans="1:26" ht="12.75">
      <c r="A772" s="17"/>
      <c r="B772" s="17"/>
      <c r="C772" s="17"/>
      <c r="D772" s="17"/>
      <c r="E772" s="17"/>
      <c r="F772" s="17"/>
      <c r="G772" s="17"/>
      <c r="H772" s="17"/>
      <c r="I772" s="17"/>
      <c r="J772" s="17"/>
      <c r="K772" s="17"/>
      <c r="L772" s="17"/>
      <c r="M772" s="17"/>
      <c r="N772" s="17"/>
      <c r="O772" s="17"/>
      <c r="P772" s="17"/>
      <c r="Q772" s="17"/>
      <c r="R772" s="17"/>
      <c r="S772" s="17"/>
      <c r="T772" s="17"/>
      <c r="U772" s="17"/>
      <c r="V772" s="17"/>
      <c r="W772" s="17"/>
      <c r="X772" s="17"/>
      <c r="Y772" s="17"/>
      <c r="Z772" s="17"/>
    </row>
    <row r="773" spans="1:26" ht="12.75">
      <c r="A773" s="17"/>
      <c r="B773" s="17"/>
      <c r="C773" s="17"/>
      <c r="D773" s="17"/>
      <c r="E773" s="17"/>
      <c r="F773" s="17"/>
      <c r="G773" s="17"/>
      <c r="H773" s="17"/>
      <c r="I773" s="17"/>
      <c r="J773" s="17"/>
      <c r="K773" s="17"/>
      <c r="L773" s="17"/>
      <c r="M773" s="17"/>
      <c r="N773" s="17"/>
      <c r="O773" s="17"/>
      <c r="P773" s="17"/>
      <c r="Q773" s="17"/>
      <c r="R773" s="17"/>
      <c r="S773" s="17"/>
      <c r="T773" s="17"/>
      <c r="U773" s="17"/>
      <c r="V773" s="17"/>
      <c r="W773" s="17"/>
      <c r="X773" s="17"/>
      <c r="Y773" s="17"/>
      <c r="Z773" s="17"/>
    </row>
    <row r="774" spans="1:26" ht="12.75">
      <c r="A774" s="1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row>
    <row r="775" spans="1:26" ht="12.75">
      <c r="A775" s="17"/>
      <c r="B775" s="17"/>
      <c r="C775" s="17"/>
      <c r="D775" s="17"/>
      <c r="E775" s="17"/>
      <c r="F775" s="17"/>
      <c r="G775" s="17"/>
      <c r="H775" s="17"/>
      <c r="I775" s="17"/>
      <c r="J775" s="17"/>
      <c r="K775" s="17"/>
      <c r="L775" s="17"/>
      <c r="M775" s="17"/>
      <c r="N775" s="17"/>
      <c r="O775" s="17"/>
      <c r="P775" s="17"/>
      <c r="Q775" s="17"/>
      <c r="R775" s="17"/>
      <c r="S775" s="17"/>
      <c r="T775" s="17"/>
      <c r="U775" s="17"/>
      <c r="V775" s="17"/>
      <c r="W775" s="17"/>
      <c r="X775" s="17"/>
      <c r="Y775" s="17"/>
      <c r="Z775" s="17"/>
    </row>
    <row r="776" spans="1:26" ht="12.75">
      <c r="A776" s="17"/>
      <c r="B776" s="17"/>
      <c r="C776" s="17"/>
      <c r="D776" s="17"/>
      <c r="E776" s="17"/>
      <c r="F776" s="17"/>
      <c r="G776" s="17"/>
      <c r="H776" s="17"/>
      <c r="I776" s="17"/>
      <c r="J776" s="17"/>
      <c r="K776" s="17"/>
      <c r="L776" s="17"/>
      <c r="M776" s="17"/>
      <c r="N776" s="17"/>
      <c r="O776" s="17"/>
      <c r="P776" s="17"/>
      <c r="Q776" s="17"/>
      <c r="R776" s="17"/>
      <c r="S776" s="17"/>
      <c r="T776" s="17"/>
      <c r="U776" s="17"/>
      <c r="V776" s="17"/>
      <c r="W776" s="17"/>
      <c r="X776" s="17"/>
      <c r="Y776" s="17"/>
      <c r="Z776" s="17"/>
    </row>
    <row r="777" spans="1:26" ht="12.75">
      <c r="A777" s="17"/>
      <c r="B777" s="17"/>
      <c r="C777" s="17"/>
      <c r="D777" s="17"/>
      <c r="E777" s="17"/>
      <c r="F777" s="17"/>
      <c r="G777" s="17"/>
      <c r="H777" s="17"/>
      <c r="I777" s="17"/>
      <c r="J777" s="17"/>
      <c r="K777" s="17"/>
      <c r="L777" s="17"/>
      <c r="M777" s="17"/>
      <c r="N777" s="17"/>
      <c r="O777" s="17"/>
      <c r="P777" s="17"/>
      <c r="Q777" s="17"/>
      <c r="R777" s="17"/>
      <c r="S777" s="17"/>
      <c r="T777" s="17"/>
      <c r="U777" s="17"/>
      <c r="V777" s="17"/>
      <c r="W777" s="17"/>
      <c r="X777" s="17"/>
      <c r="Y777" s="17"/>
      <c r="Z777" s="17"/>
    </row>
    <row r="778" spans="1:26" ht="12.75">
      <c r="A778" s="17"/>
      <c r="B778" s="17"/>
      <c r="C778" s="17"/>
      <c r="D778" s="17"/>
      <c r="E778" s="17"/>
      <c r="F778" s="17"/>
      <c r="G778" s="17"/>
      <c r="H778" s="17"/>
      <c r="I778" s="17"/>
      <c r="J778" s="17"/>
      <c r="K778" s="17"/>
      <c r="L778" s="17"/>
      <c r="M778" s="17"/>
      <c r="N778" s="17"/>
      <c r="O778" s="17"/>
      <c r="P778" s="17"/>
      <c r="Q778" s="17"/>
      <c r="R778" s="17"/>
      <c r="S778" s="17"/>
      <c r="T778" s="17"/>
      <c r="U778" s="17"/>
      <c r="V778" s="17"/>
      <c r="W778" s="17"/>
      <c r="X778" s="17"/>
      <c r="Y778" s="17"/>
      <c r="Z778" s="17"/>
    </row>
    <row r="779" spans="1:26" ht="12.75">
      <c r="A779" s="17"/>
      <c r="B779" s="17"/>
      <c r="C779" s="17"/>
      <c r="D779" s="17"/>
      <c r="E779" s="17"/>
      <c r="F779" s="17"/>
      <c r="G779" s="17"/>
      <c r="H779" s="17"/>
      <c r="I779" s="17"/>
      <c r="J779" s="17"/>
      <c r="K779" s="17"/>
      <c r="L779" s="17"/>
      <c r="M779" s="17"/>
      <c r="N779" s="17"/>
      <c r="O779" s="17"/>
      <c r="P779" s="17"/>
      <c r="Q779" s="17"/>
      <c r="R779" s="17"/>
      <c r="S779" s="17"/>
      <c r="T779" s="17"/>
      <c r="U779" s="17"/>
      <c r="V779" s="17"/>
      <c r="W779" s="17"/>
      <c r="X779" s="17"/>
      <c r="Y779" s="17"/>
      <c r="Z779" s="17"/>
    </row>
    <row r="780" spans="1:26" ht="12.75">
      <c r="A780" s="17"/>
      <c r="B780" s="17"/>
      <c r="C780" s="17"/>
      <c r="D780" s="17"/>
      <c r="E780" s="17"/>
      <c r="F780" s="17"/>
      <c r="G780" s="17"/>
      <c r="H780" s="17"/>
      <c r="I780" s="17"/>
      <c r="J780" s="17"/>
      <c r="K780" s="17"/>
      <c r="L780" s="17"/>
      <c r="M780" s="17"/>
      <c r="N780" s="17"/>
      <c r="O780" s="17"/>
      <c r="P780" s="17"/>
      <c r="Q780" s="17"/>
      <c r="R780" s="17"/>
      <c r="S780" s="17"/>
      <c r="T780" s="17"/>
      <c r="U780" s="17"/>
      <c r="V780" s="17"/>
      <c r="W780" s="17"/>
      <c r="X780" s="17"/>
      <c r="Y780" s="17"/>
      <c r="Z780" s="17"/>
    </row>
    <row r="781" spans="1:26" ht="12.75">
      <c r="A781" s="17"/>
      <c r="B781" s="17"/>
      <c r="C781" s="17"/>
      <c r="D781" s="17"/>
      <c r="E781" s="17"/>
      <c r="F781" s="17"/>
      <c r="G781" s="17"/>
      <c r="H781" s="17"/>
      <c r="I781" s="17"/>
      <c r="J781" s="17"/>
      <c r="K781" s="17"/>
      <c r="L781" s="17"/>
      <c r="M781" s="17"/>
      <c r="N781" s="17"/>
      <c r="O781" s="17"/>
      <c r="P781" s="17"/>
      <c r="Q781" s="17"/>
      <c r="R781" s="17"/>
      <c r="S781" s="17"/>
      <c r="T781" s="17"/>
      <c r="U781" s="17"/>
      <c r="V781" s="17"/>
      <c r="W781" s="17"/>
      <c r="X781" s="17"/>
      <c r="Y781" s="17"/>
      <c r="Z781" s="17"/>
    </row>
    <row r="782" spans="1:26" ht="12.75">
      <c r="A782" s="1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row>
    <row r="783" spans="1:26" ht="12.75">
      <c r="A783" s="17"/>
      <c r="B783" s="17"/>
      <c r="C783" s="17"/>
      <c r="D783" s="17"/>
      <c r="E783" s="17"/>
      <c r="F783" s="17"/>
      <c r="G783" s="17"/>
      <c r="H783" s="17"/>
      <c r="I783" s="17"/>
      <c r="J783" s="17"/>
      <c r="K783" s="17"/>
      <c r="L783" s="17"/>
      <c r="M783" s="17"/>
      <c r="N783" s="17"/>
      <c r="O783" s="17"/>
      <c r="P783" s="17"/>
      <c r="Q783" s="17"/>
      <c r="R783" s="17"/>
      <c r="S783" s="17"/>
      <c r="T783" s="17"/>
      <c r="U783" s="17"/>
      <c r="V783" s="17"/>
      <c r="W783" s="17"/>
      <c r="X783" s="17"/>
      <c r="Y783" s="17"/>
      <c r="Z783" s="17"/>
    </row>
    <row r="784" spans="1:26" ht="12.75">
      <c r="A784" s="17"/>
      <c r="B784" s="17"/>
      <c r="C784" s="17"/>
      <c r="D784" s="17"/>
      <c r="E784" s="17"/>
      <c r="F784" s="17"/>
      <c r="G784" s="17"/>
      <c r="H784" s="17"/>
      <c r="I784" s="17"/>
      <c r="J784" s="17"/>
      <c r="K784" s="17"/>
      <c r="L784" s="17"/>
      <c r="M784" s="17"/>
      <c r="N784" s="17"/>
      <c r="O784" s="17"/>
      <c r="P784" s="17"/>
      <c r="Q784" s="17"/>
      <c r="R784" s="17"/>
      <c r="S784" s="17"/>
      <c r="T784" s="17"/>
      <c r="U784" s="17"/>
      <c r="V784" s="17"/>
      <c r="W784" s="17"/>
      <c r="X784" s="17"/>
      <c r="Y784" s="17"/>
      <c r="Z784" s="17"/>
    </row>
    <row r="785" spans="1:26" ht="12.75">
      <c r="A785" s="17"/>
      <c r="B785" s="17"/>
      <c r="C785" s="17"/>
      <c r="D785" s="17"/>
      <c r="E785" s="17"/>
      <c r="F785" s="17"/>
      <c r="G785" s="17"/>
      <c r="H785" s="17"/>
      <c r="I785" s="17"/>
      <c r="J785" s="17"/>
      <c r="K785" s="17"/>
      <c r="L785" s="17"/>
      <c r="M785" s="17"/>
      <c r="N785" s="17"/>
      <c r="O785" s="17"/>
      <c r="P785" s="17"/>
      <c r="Q785" s="17"/>
      <c r="R785" s="17"/>
      <c r="S785" s="17"/>
      <c r="T785" s="17"/>
      <c r="U785" s="17"/>
      <c r="V785" s="17"/>
      <c r="W785" s="17"/>
      <c r="X785" s="17"/>
      <c r="Y785" s="17"/>
      <c r="Z785" s="17"/>
    </row>
    <row r="786" spans="1:26" ht="12.75">
      <c r="A786" s="17"/>
      <c r="B786" s="17"/>
      <c r="C786" s="17"/>
      <c r="D786" s="17"/>
      <c r="E786" s="17"/>
      <c r="F786" s="17"/>
      <c r="G786" s="17"/>
      <c r="H786" s="17"/>
      <c r="I786" s="17"/>
      <c r="J786" s="17"/>
      <c r="K786" s="17"/>
      <c r="L786" s="17"/>
      <c r="M786" s="17"/>
      <c r="N786" s="17"/>
      <c r="O786" s="17"/>
      <c r="P786" s="17"/>
      <c r="Q786" s="17"/>
      <c r="R786" s="17"/>
      <c r="S786" s="17"/>
      <c r="T786" s="17"/>
      <c r="U786" s="17"/>
      <c r="V786" s="17"/>
      <c r="W786" s="17"/>
      <c r="X786" s="17"/>
      <c r="Y786" s="17"/>
      <c r="Z786" s="17"/>
    </row>
    <row r="787" spans="1:26" ht="12.75">
      <c r="A787" s="17"/>
      <c r="B787" s="17"/>
      <c r="C787" s="17"/>
      <c r="D787" s="17"/>
      <c r="E787" s="17"/>
      <c r="F787" s="17"/>
      <c r="G787" s="17"/>
      <c r="H787" s="17"/>
      <c r="I787" s="17"/>
      <c r="J787" s="17"/>
      <c r="K787" s="17"/>
      <c r="L787" s="17"/>
      <c r="M787" s="17"/>
      <c r="N787" s="17"/>
      <c r="O787" s="17"/>
      <c r="P787" s="17"/>
      <c r="Q787" s="17"/>
      <c r="R787" s="17"/>
      <c r="S787" s="17"/>
      <c r="T787" s="17"/>
      <c r="U787" s="17"/>
      <c r="V787" s="17"/>
      <c r="W787" s="17"/>
      <c r="X787" s="17"/>
      <c r="Y787" s="17"/>
      <c r="Z787" s="17"/>
    </row>
    <row r="788" spans="1:26" ht="12.75">
      <c r="A788" s="17"/>
      <c r="B788" s="17"/>
      <c r="C788" s="17"/>
      <c r="D788" s="17"/>
      <c r="E788" s="17"/>
      <c r="F788" s="17"/>
      <c r="G788" s="17"/>
      <c r="H788" s="17"/>
      <c r="I788" s="17"/>
      <c r="J788" s="17"/>
      <c r="K788" s="17"/>
      <c r="L788" s="17"/>
      <c r="M788" s="17"/>
      <c r="N788" s="17"/>
      <c r="O788" s="17"/>
      <c r="P788" s="17"/>
      <c r="Q788" s="17"/>
      <c r="R788" s="17"/>
      <c r="S788" s="17"/>
      <c r="T788" s="17"/>
      <c r="U788" s="17"/>
      <c r="V788" s="17"/>
      <c r="W788" s="17"/>
      <c r="X788" s="17"/>
      <c r="Y788" s="17"/>
      <c r="Z788" s="17"/>
    </row>
    <row r="789" spans="1:26" ht="12.75">
      <c r="A789" s="17"/>
      <c r="B789" s="17"/>
      <c r="C789" s="17"/>
      <c r="D789" s="17"/>
      <c r="E789" s="17"/>
      <c r="F789" s="17"/>
      <c r="G789" s="17"/>
      <c r="H789" s="17"/>
      <c r="I789" s="17"/>
      <c r="J789" s="17"/>
      <c r="K789" s="17"/>
      <c r="L789" s="17"/>
      <c r="M789" s="17"/>
      <c r="N789" s="17"/>
      <c r="O789" s="17"/>
      <c r="P789" s="17"/>
      <c r="Q789" s="17"/>
      <c r="R789" s="17"/>
      <c r="S789" s="17"/>
      <c r="T789" s="17"/>
      <c r="U789" s="17"/>
      <c r="V789" s="17"/>
      <c r="W789" s="17"/>
      <c r="X789" s="17"/>
      <c r="Y789" s="17"/>
      <c r="Z789" s="17"/>
    </row>
    <row r="790" spans="1:26" ht="12.75">
      <c r="A790" s="1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row>
    <row r="791" spans="1:26" ht="12.75">
      <c r="A791" s="17"/>
      <c r="B791" s="17"/>
      <c r="C791" s="17"/>
      <c r="D791" s="17"/>
      <c r="E791" s="17"/>
      <c r="F791" s="17"/>
      <c r="G791" s="17"/>
      <c r="H791" s="17"/>
      <c r="I791" s="17"/>
      <c r="J791" s="17"/>
      <c r="K791" s="17"/>
      <c r="L791" s="17"/>
      <c r="M791" s="17"/>
      <c r="N791" s="17"/>
      <c r="O791" s="17"/>
      <c r="P791" s="17"/>
      <c r="Q791" s="17"/>
      <c r="R791" s="17"/>
      <c r="S791" s="17"/>
      <c r="T791" s="17"/>
      <c r="U791" s="17"/>
      <c r="V791" s="17"/>
      <c r="W791" s="17"/>
      <c r="X791" s="17"/>
      <c r="Y791" s="17"/>
      <c r="Z791" s="17"/>
    </row>
    <row r="792" spans="1:26" ht="12.75">
      <c r="A792" s="17"/>
      <c r="B792" s="17"/>
      <c r="C792" s="17"/>
      <c r="D792" s="17"/>
      <c r="E792" s="17"/>
      <c r="F792" s="17"/>
      <c r="G792" s="17"/>
      <c r="H792" s="17"/>
      <c r="I792" s="17"/>
      <c r="J792" s="17"/>
      <c r="K792" s="17"/>
      <c r="L792" s="17"/>
      <c r="M792" s="17"/>
      <c r="N792" s="17"/>
      <c r="O792" s="17"/>
      <c r="P792" s="17"/>
      <c r="Q792" s="17"/>
      <c r="R792" s="17"/>
      <c r="S792" s="17"/>
      <c r="T792" s="17"/>
      <c r="U792" s="17"/>
      <c r="V792" s="17"/>
      <c r="W792" s="17"/>
      <c r="X792" s="17"/>
      <c r="Y792" s="17"/>
      <c r="Z792" s="17"/>
    </row>
    <row r="793" spans="1:26" ht="12.75">
      <c r="A793" s="17"/>
      <c r="B793" s="17"/>
      <c r="C793" s="17"/>
      <c r="D793" s="17"/>
      <c r="E793" s="17"/>
      <c r="F793" s="17"/>
      <c r="G793" s="17"/>
      <c r="H793" s="17"/>
      <c r="I793" s="17"/>
      <c r="J793" s="17"/>
      <c r="K793" s="17"/>
      <c r="L793" s="17"/>
      <c r="M793" s="17"/>
      <c r="N793" s="17"/>
      <c r="O793" s="17"/>
      <c r="P793" s="17"/>
      <c r="Q793" s="17"/>
      <c r="R793" s="17"/>
      <c r="S793" s="17"/>
      <c r="T793" s="17"/>
      <c r="U793" s="17"/>
      <c r="V793" s="17"/>
      <c r="W793" s="17"/>
      <c r="X793" s="17"/>
      <c r="Y793" s="17"/>
      <c r="Z793" s="17"/>
    </row>
    <row r="794" spans="1:26" ht="12.75">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row>
    <row r="795" spans="1:26" ht="12.75">
      <c r="A795" s="17"/>
      <c r="B795" s="17"/>
      <c r="C795" s="17"/>
      <c r="D795" s="17"/>
      <c r="E795" s="17"/>
      <c r="F795" s="17"/>
      <c r="G795" s="17"/>
      <c r="H795" s="17"/>
      <c r="I795" s="17"/>
      <c r="J795" s="17"/>
      <c r="K795" s="17"/>
      <c r="L795" s="17"/>
      <c r="M795" s="17"/>
      <c r="N795" s="17"/>
      <c r="O795" s="17"/>
      <c r="P795" s="17"/>
      <c r="Q795" s="17"/>
      <c r="R795" s="17"/>
      <c r="S795" s="17"/>
      <c r="T795" s="17"/>
      <c r="U795" s="17"/>
      <c r="V795" s="17"/>
      <c r="W795" s="17"/>
      <c r="X795" s="17"/>
      <c r="Y795" s="17"/>
      <c r="Z795" s="17"/>
    </row>
    <row r="796" spans="1:26" ht="12.75">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row>
    <row r="797" spans="1:26" ht="12.75">
      <c r="A797" s="17"/>
      <c r="B797" s="17"/>
      <c r="C797" s="17"/>
      <c r="D797" s="17"/>
      <c r="E797" s="17"/>
      <c r="F797" s="17"/>
      <c r="G797" s="17"/>
      <c r="H797" s="17"/>
      <c r="I797" s="17"/>
      <c r="J797" s="17"/>
      <c r="K797" s="17"/>
      <c r="L797" s="17"/>
      <c r="M797" s="17"/>
      <c r="N797" s="17"/>
      <c r="O797" s="17"/>
      <c r="P797" s="17"/>
      <c r="Q797" s="17"/>
      <c r="R797" s="17"/>
      <c r="S797" s="17"/>
      <c r="T797" s="17"/>
      <c r="U797" s="17"/>
      <c r="V797" s="17"/>
      <c r="W797" s="17"/>
      <c r="X797" s="17"/>
      <c r="Y797" s="17"/>
      <c r="Z797" s="17"/>
    </row>
    <row r="798" spans="1:26" ht="12.75">
      <c r="A798" s="1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row>
    <row r="799" spans="1:26" ht="12.75">
      <c r="A799" s="17"/>
      <c r="B799" s="17"/>
      <c r="C799" s="17"/>
      <c r="D799" s="17"/>
      <c r="E799" s="17"/>
      <c r="F799" s="17"/>
      <c r="G799" s="17"/>
      <c r="H799" s="17"/>
      <c r="I799" s="17"/>
      <c r="J799" s="17"/>
      <c r="K799" s="17"/>
      <c r="L799" s="17"/>
      <c r="M799" s="17"/>
      <c r="N799" s="17"/>
      <c r="O799" s="17"/>
      <c r="P799" s="17"/>
      <c r="Q799" s="17"/>
      <c r="R799" s="17"/>
      <c r="S799" s="17"/>
      <c r="T799" s="17"/>
      <c r="U799" s="17"/>
      <c r="V799" s="17"/>
      <c r="W799" s="17"/>
      <c r="X799" s="17"/>
      <c r="Y799" s="17"/>
      <c r="Z799" s="17"/>
    </row>
    <row r="800" spans="1:26" ht="12.75">
      <c r="A800" s="17"/>
      <c r="B800" s="17"/>
      <c r="C800" s="17"/>
      <c r="D800" s="17"/>
      <c r="E800" s="17"/>
      <c r="F800" s="17"/>
      <c r="G800" s="17"/>
      <c r="H800" s="17"/>
      <c r="I800" s="17"/>
      <c r="J800" s="17"/>
      <c r="K800" s="17"/>
      <c r="L800" s="17"/>
      <c r="M800" s="17"/>
      <c r="N800" s="17"/>
      <c r="O800" s="17"/>
      <c r="P800" s="17"/>
      <c r="Q800" s="17"/>
      <c r="R800" s="17"/>
      <c r="S800" s="17"/>
      <c r="T800" s="17"/>
      <c r="U800" s="17"/>
      <c r="V800" s="17"/>
      <c r="W800" s="17"/>
      <c r="X800" s="17"/>
      <c r="Y800" s="17"/>
      <c r="Z800" s="17"/>
    </row>
    <row r="801" spans="1:26" ht="12.75">
      <c r="A801" s="17"/>
      <c r="B801" s="17"/>
      <c r="C801" s="17"/>
      <c r="D801" s="17"/>
      <c r="E801" s="17"/>
      <c r="F801" s="17"/>
      <c r="G801" s="17"/>
      <c r="H801" s="17"/>
      <c r="I801" s="17"/>
      <c r="J801" s="17"/>
      <c r="K801" s="17"/>
      <c r="L801" s="17"/>
      <c r="M801" s="17"/>
      <c r="N801" s="17"/>
      <c r="O801" s="17"/>
      <c r="P801" s="17"/>
      <c r="Q801" s="17"/>
      <c r="R801" s="17"/>
      <c r="S801" s="17"/>
      <c r="T801" s="17"/>
      <c r="U801" s="17"/>
      <c r="V801" s="17"/>
      <c r="W801" s="17"/>
      <c r="X801" s="17"/>
      <c r="Y801" s="17"/>
      <c r="Z801" s="17"/>
    </row>
    <row r="802" spans="1:26" ht="12.75">
      <c r="A802" s="17"/>
      <c r="B802" s="17"/>
      <c r="C802" s="17"/>
      <c r="D802" s="17"/>
      <c r="E802" s="17"/>
      <c r="F802" s="17"/>
      <c r="G802" s="17"/>
      <c r="H802" s="17"/>
      <c r="I802" s="17"/>
      <c r="J802" s="17"/>
      <c r="K802" s="17"/>
      <c r="L802" s="17"/>
      <c r="M802" s="17"/>
      <c r="N802" s="17"/>
      <c r="O802" s="17"/>
      <c r="P802" s="17"/>
      <c r="Q802" s="17"/>
      <c r="R802" s="17"/>
      <c r="S802" s="17"/>
      <c r="T802" s="17"/>
      <c r="U802" s="17"/>
      <c r="V802" s="17"/>
      <c r="W802" s="17"/>
      <c r="X802" s="17"/>
      <c r="Y802" s="17"/>
      <c r="Z802" s="17"/>
    </row>
    <row r="803" spans="1:26" ht="12.75">
      <c r="A803" s="17"/>
      <c r="B803" s="17"/>
      <c r="C803" s="17"/>
      <c r="D803" s="17"/>
      <c r="E803" s="17"/>
      <c r="F803" s="17"/>
      <c r="G803" s="17"/>
      <c r="H803" s="17"/>
      <c r="I803" s="17"/>
      <c r="J803" s="17"/>
      <c r="K803" s="17"/>
      <c r="L803" s="17"/>
      <c r="M803" s="17"/>
      <c r="N803" s="17"/>
      <c r="O803" s="17"/>
      <c r="P803" s="17"/>
      <c r="Q803" s="17"/>
      <c r="R803" s="17"/>
      <c r="S803" s="17"/>
      <c r="T803" s="17"/>
      <c r="U803" s="17"/>
      <c r="V803" s="17"/>
      <c r="W803" s="17"/>
      <c r="X803" s="17"/>
      <c r="Y803" s="17"/>
      <c r="Z803" s="17"/>
    </row>
    <row r="804" spans="1:26" ht="12.75">
      <c r="A804" s="17"/>
      <c r="B804" s="17"/>
      <c r="C804" s="17"/>
      <c r="D804" s="17"/>
      <c r="E804" s="17"/>
      <c r="F804" s="17"/>
      <c r="G804" s="17"/>
      <c r="H804" s="17"/>
      <c r="I804" s="17"/>
      <c r="J804" s="17"/>
      <c r="K804" s="17"/>
      <c r="L804" s="17"/>
      <c r="M804" s="17"/>
      <c r="N804" s="17"/>
      <c r="O804" s="17"/>
      <c r="P804" s="17"/>
      <c r="Q804" s="17"/>
      <c r="R804" s="17"/>
      <c r="S804" s="17"/>
      <c r="T804" s="17"/>
      <c r="U804" s="17"/>
      <c r="V804" s="17"/>
      <c r="W804" s="17"/>
      <c r="X804" s="17"/>
      <c r="Y804" s="17"/>
      <c r="Z804" s="17"/>
    </row>
    <row r="805" spans="1:26" ht="12.75">
      <c r="A805" s="17"/>
      <c r="B805" s="17"/>
      <c r="C805" s="17"/>
      <c r="D805" s="17"/>
      <c r="E805" s="17"/>
      <c r="F805" s="17"/>
      <c r="G805" s="17"/>
      <c r="H805" s="17"/>
      <c r="I805" s="17"/>
      <c r="J805" s="17"/>
      <c r="K805" s="17"/>
      <c r="L805" s="17"/>
      <c r="M805" s="17"/>
      <c r="N805" s="17"/>
      <c r="O805" s="17"/>
      <c r="P805" s="17"/>
      <c r="Q805" s="17"/>
      <c r="R805" s="17"/>
      <c r="S805" s="17"/>
      <c r="T805" s="17"/>
      <c r="U805" s="17"/>
      <c r="V805" s="17"/>
      <c r="W805" s="17"/>
      <c r="X805" s="17"/>
      <c r="Y805" s="17"/>
      <c r="Z805" s="17"/>
    </row>
    <row r="806" spans="1:26" ht="12.75">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row>
    <row r="807" spans="1:26" ht="12.75">
      <c r="A807" s="17"/>
      <c r="B807" s="17"/>
      <c r="C807" s="17"/>
      <c r="D807" s="17"/>
      <c r="E807" s="17"/>
      <c r="F807" s="17"/>
      <c r="G807" s="17"/>
      <c r="H807" s="17"/>
      <c r="I807" s="17"/>
      <c r="J807" s="17"/>
      <c r="K807" s="17"/>
      <c r="L807" s="17"/>
      <c r="M807" s="17"/>
      <c r="N807" s="17"/>
      <c r="O807" s="17"/>
      <c r="P807" s="17"/>
      <c r="Q807" s="17"/>
      <c r="R807" s="17"/>
      <c r="S807" s="17"/>
      <c r="T807" s="17"/>
      <c r="U807" s="17"/>
      <c r="V807" s="17"/>
      <c r="W807" s="17"/>
      <c r="X807" s="17"/>
      <c r="Y807" s="17"/>
      <c r="Z807" s="17"/>
    </row>
    <row r="808" spans="1:26" ht="12.75">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17"/>
      <c r="Y808" s="17"/>
      <c r="Z808" s="17"/>
    </row>
    <row r="809" spans="1:26" ht="12.75">
      <c r="A809" s="17"/>
      <c r="B809" s="17"/>
      <c r="C809" s="17"/>
      <c r="D809" s="17"/>
      <c r="E809" s="17"/>
      <c r="F809" s="17"/>
      <c r="G809" s="17"/>
      <c r="H809" s="17"/>
      <c r="I809" s="17"/>
      <c r="J809" s="17"/>
      <c r="K809" s="17"/>
      <c r="L809" s="17"/>
      <c r="M809" s="17"/>
      <c r="N809" s="17"/>
      <c r="O809" s="17"/>
      <c r="P809" s="17"/>
      <c r="Q809" s="17"/>
      <c r="R809" s="17"/>
      <c r="S809" s="17"/>
      <c r="T809" s="17"/>
      <c r="U809" s="17"/>
      <c r="V809" s="17"/>
      <c r="W809" s="17"/>
      <c r="X809" s="17"/>
      <c r="Y809" s="17"/>
      <c r="Z809" s="17"/>
    </row>
    <row r="810" spans="1:26" ht="12.75">
      <c r="A810" s="17"/>
      <c r="B810" s="17"/>
      <c r="C810" s="17"/>
      <c r="D810" s="17"/>
      <c r="E810" s="17"/>
      <c r="F810" s="17"/>
      <c r="G810" s="17"/>
      <c r="H810" s="17"/>
      <c r="I810" s="17"/>
      <c r="J810" s="17"/>
      <c r="K810" s="17"/>
      <c r="L810" s="17"/>
      <c r="M810" s="17"/>
      <c r="N810" s="17"/>
      <c r="O810" s="17"/>
      <c r="P810" s="17"/>
      <c r="Q810" s="17"/>
      <c r="R810" s="17"/>
      <c r="S810" s="17"/>
      <c r="T810" s="17"/>
      <c r="U810" s="17"/>
      <c r="V810" s="17"/>
      <c r="W810" s="17"/>
      <c r="X810" s="17"/>
      <c r="Y810" s="17"/>
      <c r="Z810" s="17"/>
    </row>
    <row r="811" spans="1:26" ht="12.75">
      <c r="A811" s="17"/>
      <c r="B811" s="17"/>
      <c r="C811" s="17"/>
      <c r="D811" s="17"/>
      <c r="E811" s="17"/>
      <c r="F811" s="17"/>
      <c r="G811" s="17"/>
      <c r="H811" s="17"/>
      <c r="I811" s="17"/>
      <c r="J811" s="17"/>
      <c r="K811" s="17"/>
      <c r="L811" s="17"/>
      <c r="M811" s="17"/>
      <c r="N811" s="17"/>
      <c r="O811" s="17"/>
      <c r="P811" s="17"/>
      <c r="Q811" s="17"/>
      <c r="R811" s="17"/>
      <c r="S811" s="17"/>
      <c r="T811" s="17"/>
      <c r="U811" s="17"/>
      <c r="V811" s="17"/>
      <c r="W811" s="17"/>
      <c r="X811" s="17"/>
      <c r="Y811" s="17"/>
      <c r="Z811" s="17"/>
    </row>
    <row r="812" spans="1:26" ht="12.75">
      <c r="A812" s="17"/>
      <c r="B812" s="17"/>
      <c r="C812" s="17"/>
      <c r="D812" s="17"/>
      <c r="E812" s="17"/>
      <c r="F812" s="17"/>
      <c r="G812" s="17"/>
      <c r="H812" s="17"/>
      <c r="I812" s="17"/>
      <c r="J812" s="17"/>
      <c r="K812" s="17"/>
      <c r="L812" s="17"/>
      <c r="M812" s="17"/>
      <c r="N812" s="17"/>
      <c r="O812" s="17"/>
      <c r="P812" s="17"/>
      <c r="Q812" s="17"/>
      <c r="R812" s="17"/>
      <c r="S812" s="17"/>
      <c r="T812" s="17"/>
      <c r="U812" s="17"/>
      <c r="V812" s="17"/>
      <c r="W812" s="17"/>
      <c r="X812" s="17"/>
      <c r="Y812" s="17"/>
      <c r="Z812" s="17"/>
    </row>
    <row r="813" spans="1:26" ht="12.75">
      <c r="A813" s="17"/>
      <c r="B813" s="17"/>
      <c r="C813" s="17"/>
      <c r="D813" s="17"/>
      <c r="E813" s="17"/>
      <c r="F813" s="17"/>
      <c r="G813" s="17"/>
      <c r="H813" s="17"/>
      <c r="I813" s="17"/>
      <c r="J813" s="17"/>
      <c r="K813" s="17"/>
      <c r="L813" s="17"/>
      <c r="M813" s="17"/>
      <c r="N813" s="17"/>
      <c r="O813" s="17"/>
      <c r="P813" s="17"/>
      <c r="Q813" s="17"/>
      <c r="R813" s="17"/>
      <c r="S813" s="17"/>
      <c r="T813" s="17"/>
      <c r="U813" s="17"/>
      <c r="V813" s="17"/>
      <c r="W813" s="17"/>
      <c r="X813" s="17"/>
      <c r="Y813" s="17"/>
      <c r="Z813" s="17"/>
    </row>
    <row r="814" spans="1:26" ht="12.75">
      <c r="A814" s="1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row>
    <row r="815" spans="1:26" ht="12.75">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17"/>
      <c r="Y815" s="17"/>
      <c r="Z815" s="17"/>
    </row>
    <row r="816" spans="1:26" ht="12.75">
      <c r="A816" s="17"/>
      <c r="B816" s="17"/>
      <c r="C816" s="17"/>
      <c r="D816" s="17"/>
      <c r="E816" s="17"/>
      <c r="F816" s="17"/>
      <c r="G816" s="17"/>
      <c r="H816" s="17"/>
      <c r="I816" s="17"/>
      <c r="J816" s="17"/>
      <c r="K816" s="17"/>
      <c r="L816" s="17"/>
      <c r="M816" s="17"/>
      <c r="N816" s="17"/>
      <c r="O816" s="17"/>
      <c r="P816" s="17"/>
      <c r="Q816" s="17"/>
      <c r="R816" s="17"/>
      <c r="S816" s="17"/>
      <c r="T816" s="17"/>
      <c r="U816" s="17"/>
      <c r="V816" s="17"/>
      <c r="W816" s="17"/>
      <c r="X816" s="17"/>
      <c r="Y816" s="17"/>
      <c r="Z816" s="17"/>
    </row>
    <row r="817" spans="1:26" ht="12.75">
      <c r="A817" s="17"/>
      <c r="B817" s="17"/>
      <c r="C817" s="17"/>
      <c r="D817" s="17"/>
      <c r="E817" s="17"/>
      <c r="F817" s="17"/>
      <c r="G817" s="17"/>
      <c r="H817" s="17"/>
      <c r="I817" s="17"/>
      <c r="J817" s="17"/>
      <c r="K817" s="17"/>
      <c r="L817" s="17"/>
      <c r="M817" s="17"/>
      <c r="N817" s="17"/>
      <c r="O817" s="17"/>
      <c r="P817" s="17"/>
      <c r="Q817" s="17"/>
      <c r="R817" s="17"/>
      <c r="S817" s="17"/>
      <c r="T817" s="17"/>
      <c r="U817" s="17"/>
      <c r="V817" s="17"/>
      <c r="W817" s="17"/>
      <c r="X817" s="17"/>
      <c r="Y817" s="17"/>
      <c r="Z817" s="17"/>
    </row>
    <row r="818" spans="1:26" ht="12.75">
      <c r="A818" s="17"/>
      <c r="B818" s="17"/>
      <c r="C818" s="17"/>
      <c r="D818" s="17"/>
      <c r="E818" s="17"/>
      <c r="F818" s="17"/>
      <c r="G818" s="17"/>
      <c r="H818" s="17"/>
      <c r="I818" s="17"/>
      <c r="J818" s="17"/>
      <c r="K818" s="17"/>
      <c r="L818" s="17"/>
      <c r="M818" s="17"/>
      <c r="N818" s="17"/>
      <c r="O818" s="17"/>
      <c r="P818" s="17"/>
      <c r="Q818" s="17"/>
      <c r="R818" s="17"/>
      <c r="S818" s="17"/>
      <c r="T818" s="17"/>
      <c r="U818" s="17"/>
      <c r="V818" s="17"/>
      <c r="W818" s="17"/>
      <c r="X818" s="17"/>
      <c r="Y818" s="17"/>
      <c r="Z818" s="17"/>
    </row>
    <row r="819" spans="1:26" ht="12.75">
      <c r="A819" s="17"/>
      <c r="B819" s="17"/>
      <c r="C819" s="17"/>
      <c r="D819" s="17"/>
      <c r="E819" s="17"/>
      <c r="F819" s="17"/>
      <c r="G819" s="17"/>
      <c r="H819" s="17"/>
      <c r="I819" s="17"/>
      <c r="J819" s="17"/>
      <c r="K819" s="17"/>
      <c r="L819" s="17"/>
      <c r="M819" s="17"/>
      <c r="N819" s="17"/>
      <c r="O819" s="17"/>
      <c r="P819" s="17"/>
      <c r="Q819" s="17"/>
      <c r="R819" s="17"/>
      <c r="S819" s="17"/>
      <c r="T819" s="17"/>
      <c r="U819" s="17"/>
      <c r="V819" s="17"/>
      <c r="W819" s="17"/>
      <c r="X819" s="17"/>
      <c r="Y819" s="17"/>
      <c r="Z819" s="17"/>
    </row>
    <row r="820" spans="1:26" ht="12.75">
      <c r="A820" s="17"/>
      <c r="B820" s="17"/>
      <c r="C820" s="17"/>
      <c r="D820" s="17"/>
      <c r="E820" s="17"/>
      <c r="F820" s="17"/>
      <c r="G820" s="17"/>
      <c r="H820" s="17"/>
      <c r="I820" s="17"/>
      <c r="J820" s="17"/>
      <c r="K820" s="17"/>
      <c r="L820" s="17"/>
      <c r="M820" s="17"/>
      <c r="N820" s="17"/>
      <c r="O820" s="17"/>
      <c r="P820" s="17"/>
      <c r="Q820" s="17"/>
      <c r="R820" s="17"/>
      <c r="S820" s="17"/>
      <c r="T820" s="17"/>
      <c r="U820" s="17"/>
      <c r="V820" s="17"/>
      <c r="W820" s="17"/>
      <c r="X820" s="17"/>
      <c r="Y820" s="17"/>
      <c r="Z820" s="17"/>
    </row>
    <row r="821" spans="1:26" ht="12.75">
      <c r="A821" s="17"/>
      <c r="B821" s="17"/>
      <c r="C821" s="17"/>
      <c r="D821" s="17"/>
      <c r="E821" s="17"/>
      <c r="F821" s="17"/>
      <c r="G821" s="17"/>
      <c r="H821" s="17"/>
      <c r="I821" s="17"/>
      <c r="J821" s="17"/>
      <c r="K821" s="17"/>
      <c r="L821" s="17"/>
      <c r="M821" s="17"/>
      <c r="N821" s="17"/>
      <c r="O821" s="17"/>
      <c r="P821" s="17"/>
      <c r="Q821" s="17"/>
      <c r="R821" s="17"/>
      <c r="S821" s="17"/>
      <c r="T821" s="17"/>
      <c r="U821" s="17"/>
      <c r="V821" s="17"/>
      <c r="W821" s="17"/>
      <c r="X821" s="17"/>
      <c r="Y821" s="17"/>
      <c r="Z821" s="17"/>
    </row>
    <row r="822" spans="1:26" ht="12.75">
      <c r="A822" s="1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row>
    <row r="823" spans="1:26" ht="12.75">
      <c r="A823" s="17"/>
      <c r="B823" s="17"/>
      <c r="C823" s="17"/>
      <c r="D823" s="17"/>
      <c r="E823" s="17"/>
      <c r="F823" s="17"/>
      <c r="G823" s="17"/>
      <c r="H823" s="17"/>
      <c r="I823" s="17"/>
      <c r="J823" s="17"/>
      <c r="K823" s="17"/>
      <c r="L823" s="17"/>
      <c r="M823" s="17"/>
      <c r="N823" s="17"/>
      <c r="O823" s="17"/>
      <c r="P823" s="17"/>
      <c r="Q823" s="17"/>
      <c r="R823" s="17"/>
      <c r="S823" s="17"/>
      <c r="T823" s="17"/>
      <c r="U823" s="17"/>
      <c r="V823" s="17"/>
      <c r="W823" s="17"/>
      <c r="X823" s="17"/>
      <c r="Y823" s="17"/>
      <c r="Z823" s="17"/>
    </row>
    <row r="824" spans="1:26" ht="12.75">
      <c r="A824" s="17"/>
      <c r="B824" s="17"/>
      <c r="C824" s="17"/>
      <c r="D824" s="17"/>
      <c r="E824" s="17"/>
      <c r="F824" s="17"/>
      <c r="G824" s="17"/>
      <c r="H824" s="17"/>
      <c r="I824" s="17"/>
      <c r="J824" s="17"/>
      <c r="K824" s="17"/>
      <c r="L824" s="17"/>
      <c r="M824" s="17"/>
      <c r="N824" s="17"/>
      <c r="O824" s="17"/>
      <c r="P824" s="17"/>
      <c r="Q824" s="17"/>
      <c r="R824" s="17"/>
      <c r="S824" s="17"/>
      <c r="T824" s="17"/>
      <c r="U824" s="17"/>
      <c r="V824" s="17"/>
      <c r="W824" s="17"/>
      <c r="X824" s="17"/>
      <c r="Y824" s="17"/>
      <c r="Z824" s="17"/>
    </row>
    <row r="825" spans="1:26" ht="12.75">
      <c r="A825" s="17"/>
      <c r="B825" s="17"/>
      <c r="C825" s="17"/>
      <c r="D825" s="17"/>
      <c r="E825" s="17"/>
      <c r="F825" s="17"/>
      <c r="G825" s="17"/>
      <c r="H825" s="17"/>
      <c r="I825" s="17"/>
      <c r="J825" s="17"/>
      <c r="K825" s="17"/>
      <c r="L825" s="17"/>
      <c r="M825" s="17"/>
      <c r="N825" s="17"/>
      <c r="O825" s="17"/>
      <c r="P825" s="17"/>
      <c r="Q825" s="17"/>
      <c r="R825" s="17"/>
      <c r="S825" s="17"/>
      <c r="T825" s="17"/>
      <c r="U825" s="17"/>
      <c r="V825" s="17"/>
      <c r="W825" s="17"/>
      <c r="X825" s="17"/>
      <c r="Y825" s="17"/>
      <c r="Z825" s="17"/>
    </row>
    <row r="826" spans="1:26" ht="12.75">
      <c r="A826" s="17"/>
      <c r="B826" s="17"/>
      <c r="C826" s="17"/>
      <c r="D826" s="17"/>
      <c r="E826" s="17"/>
      <c r="F826" s="17"/>
      <c r="G826" s="17"/>
      <c r="H826" s="17"/>
      <c r="I826" s="17"/>
      <c r="J826" s="17"/>
      <c r="K826" s="17"/>
      <c r="L826" s="17"/>
      <c r="M826" s="17"/>
      <c r="N826" s="17"/>
      <c r="O826" s="17"/>
      <c r="P826" s="17"/>
      <c r="Q826" s="17"/>
      <c r="R826" s="17"/>
      <c r="S826" s="17"/>
      <c r="T826" s="17"/>
      <c r="U826" s="17"/>
      <c r="V826" s="17"/>
      <c r="W826" s="17"/>
      <c r="X826" s="17"/>
      <c r="Y826" s="17"/>
      <c r="Z826" s="17"/>
    </row>
    <row r="827" spans="1:26" ht="12.75">
      <c r="A827" s="17"/>
      <c r="B827" s="17"/>
      <c r="C827" s="17"/>
      <c r="D827" s="17"/>
      <c r="E827" s="17"/>
      <c r="F827" s="17"/>
      <c r="G827" s="17"/>
      <c r="H827" s="17"/>
      <c r="I827" s="17"/>
      <c r="J827" s="17"/>
      <c r="K827" s="17"/>
      <c r="L827" s="17"/>
      <c r="M827" s="17"/>
      <c r="N827" s="17"/>
      <c r="O827" s="17"/>
      <c r="P827" s="17"/>
      <c r="Q827" s="17"/>
      <c r="R827" s="17"/>
      <c r="S827" s="17"/>
      <c r="T827" s="17"/>
      <c r="U827" s="17"/>
      <c r="V827" s="17"/>
      <c r="W827" s="17"/>
      <c r="X827" s="17"/>
      <c r="Y827" s="17"/>
      <c r="Z827" s="17"/>
    </row>
    <row r="828" spans="1:26" ht="12.75">
      <c r="A828" s="17"/>
      <c r="B828" s="17"/>
      <c r="C828" s="17"/>
      <c r="D828" s="17"/>
      <c r="E828" s="17"/>
      <c r="F828" s="17"/>
      <c r="G828" s="17"/>
      <c r="H828" s="17"/>
      <c r="I828" s="17"/>
      <c r="J828" s="17"/>
      <c r="K828" s="17"/>
      <c r="L828" s="17"/>
      <c r="M828" s="17"/>
      <c r="N828" s="17"/>
      <c r="O828" s="17"/>
      <c r="P828" s="17"/>
      <c r="Q828" s="17"/>
      <c r="R828" s="17"/>
      <c r="S828" s="17"/>
      <c r="T828" s="17"/>
      <c r="U828" s="17"/>
      <c r="V828" s="17"/>
      <c r="W828" s="17"/>
      <c r="X828" s="17"/>
      <c r="Y828" s="17"/>
      <c r="Z828" s="17"/>
    </row>
    <row r="829" spans="1:26" ht="12.75">
      <c r="A829" s="17"/>
      <c r="B829" s="17"/>
      <c r="C829" s="17"/>
      <c r="D829" s="17"/>
      <c r="E829" s="17"/>
      <c r="F829" s="17"/>
      <c r="G829" s="17"/>
      <c r="H829" s="17"/>
      <c r="I829" s="17"/>
      <c r="J829" s="17"/>
      <c r="K829" s="17"/>
      <c r="L829" s="17"/>
      <c r="M829" s="17"/>
      <c r="N829" s="17"/>
      <c r="O829" s="17"/>
      <c r="P829" s="17"/>
      <c r="Q829" s="17"/>
      <c r="R829" s="17"/>
      <c r="S829" s="17"/>
      <c r="T829" s="17"/>
      <c r="U829" s="17"/>
      <c r="V829" s="17"/>
      <c r="W829" s="17"/>
      <c r="X829" s="17"/>
      <c r="Y829" s="17"/>
      <c r="Z829" s="17"/>
    </row>
    <row r="830" spans="1:26" ht="12.75">
      <c r="A830" s="1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row>
    <row r="831" spans="1:26" ht="12.75">
      <c r="A831" s="17"/>
      <c r="B831" s="17"/>
      <c r="C831" s="17"/>
      <c r="D831" s="17"/>
      <c r="E831" s="17"/>
      <c r="F831" s="17"/>
      <c r="G831" s="17"/>
      <c r="H831" s="17"/>
      <c r="I831" s="17"/>
      <c r="J831" s="17"/>
      <c r="K831" s="17"/>
      <c r="L831" s="17"/>
      <c r="M831" s="17"/>
      <c r="N831" s="17"/>
      <c r="O831" s="17"/>
      <c r="P831" s="17"/>
      <c r="Q831" s="17"/>
      <c r="R831" s="17"/>
      <c r="S831" s="17"/>
      <c r="T831" s="17"/>
      <c r="U831" s="17"/>
      <c r="V831" s="17"/>
      <c r="W831" s="17"/>
      <c r="X831" s="17"/>
      <c r="Y831" s="17"/>
      <c r="Z831" s="17"/>
    </row>
    <row r="832" spans="1:26" ht="12.75">
      <c r="A832" s="17"/>
      <c r="B832" s="17"/>
      <c r="C832" s="17"/>
      <c r="D832" s="17"/>
      <c r="E832" s="17"/>
      <c r="F832" s="17"/>
      <c r="G832" s="17"/>
      <c r="H832" s="17"/>
      <c r="I832" s="17"/>
      <c r="J832" s="17"/>
      <c r="K832" s="17"/>
      <c r="L832" s="17"/>
      <c r="M832" s="17"/>
      <c r="N832" s="17"/>
      <c r="O832" s="17"/>
      <c r="P832" s="17"/>
      <c r="Q832" s="17"/>
      <c r="R832" s="17"/>
      <c r="S832" s="17"/>
      <c r="T832" s="17"/>
      <c r="U832" s="17"/>
      <c r="V832" s="17"/>
      <c r="W832" s="17"/>
      <c r="X832" s="17"/>
      <c r="Y832" s="17"/>
      <c r="Z832" s="17"/>
    </row>
    <row r="833" spans="1:26" ht="12.75">
      <c r="A833" s="17"/>
      <c r="B833" s="17"/>
      <c r="C833" s="17"/>
      <c r="D833" s="17"/>
      <c r="E833" s="17"/>
      <c r="F833" s="17"/>
      <c r="G833" s="17"/>
      <c r="H833" s="17"/>
      <c r="I833" s="17"/>
      <c r="J833" s="17"/>
      <c r="K833" s="17"/>
      <c r="L833" s="17"/>
      <c r="M833" s="17"/>
      <c r="N833" s="17"/>
      <c r="O833" s="17"/>
      <c r="P833" s="17"/>
      <c r="Q833" s="17"/>
      <c r="R833" s="17"/>
      <c r="S833" s="17"/>
      <c r="T833" s="17"/>
      <c r="U833" s="17"/>
      <c r="V833" s="17"/>
      <c r="W833" s="17"/>
      <c r="X833" s="17"/>
      <c r="Y833" s="17"/>
      <c r="Z833" s="17"/>
    </row>
    <row r="834" spans="1:26" ht="12.75">
      <c r="A834" s="17"/>
      <c r="B834" s="17"/>
      <c r="C834" s="17"/>
      <c r="D834" s="17"/>
      <c r="E834" s="17"/>
      <c r="F834" s="17"/>
      <c r="G834" s="17"/>
      <c r="H834" s="17"/>
      <c r="I834" s="17"/>
      <c r="J834" s="17"/>
      <c r="K834" s="17"/>
      <c r="L834" s="17"/>
      <c r="M834" s="17"/>
      <c r="N834" s="17"/>
      <c r="O834" s="17"/>
      <c r="P834" s="17"/>
      <c r="Q834" s="17"/>
      <c r="R834" s="17"/>
      <c r="S834" s="17"/>
      <c r="T834" s="17"/>
      <c r="U834" s="17"/>
      <c r="V834" s="17"/>
      <c r="W834" s="17"/>
      <c r="X834" s="17"/>
      <c r="Y834" s="17"/>
      <c r="Z834" s="17"/>
    </row>
    <row r="835" spans="1:26" ht="12.75">
      <c r="A835" s="17"/>
      <c r="B835" s="17"/>
      <c r="C835" s="17"/>
      <c r="D835" s="17"/>
      <c r="E835" s="17"/>
      <c r="F835" s="17"/>
      <c r="G835" s="17"/>
      <c r="H835" s="17"/>
      <c r="I835" s="17"/>
      <c r="J835" s="17"/>
      <c r="K835" s="17"/>
      <c r="L835" s="17"/>
      <c r="M835" s="17"/>
      <c r="N835" s="17"/>
      <c r="O835" s="17"/>
      <c r="P835" s="17"/>
      <c r="Q835" s="17"/>
      <c r="R835" s="17"/>
      <c r="S835" s="17"/>
      <c r="T835" s="17"/>
      <c r="U835" s="17"/>
      <c r="V835" s="17"/>
      <c r="W835" s="17"/>
      <c r="X835" s="17"/>
      <c r="Y835" s="17"/>
      <c r="Z835" s="17"/>
    </row>
    <row r="836" spans="1:26" ht="12.75">
      <c r="A836" s="17"/>
      <c r="B836" s="17"/>
      <c r="C836" s="17"/>
      <c r="D836" s="17"/>
      <c r="E836" s="17"/>
      <c r="F836" s="17"/>
      <c r="G836" s="17"/>
      <c r="H836" s="17"/>
      <c r="I836" s="17"/>
      <c r="J836" s="17"/>
      <c r="K836" s="17"/>
      <c r="L836" s="17"/>
      <c r="M836" s="17"/>
      <c r="N836" s="17"/>
      <c r="O836" s="17"/>
      <c r="P836" s="17"/>
      <c r="Q836" s="17"/>
      <c r="R836" s="17"/>
      <c r="S836" s="17"/>
      <c r="T836" s="17"/>
      <c r="U836" s="17"/>
      <c r="V836" s="17"/>
      <c r="W836" s="17"/>
      <c r="X836" s="17"/>
      <c r="Y836" s="17"/>
      <c r="Z836" s="17"/>
    </row>
    <row r="837" spans="1:26" ht="12.75">
      <c r="A837" s="17"/>
      <c r="B837" s="17"/>
      <c r="C837" s="17"/>
      <c r="D837" s="17"/>
      <c r="E837" s="17"/>
      <c r="F837" s="17"/>
      <c r="G837" s="17"/>
      <c r="H837" s="17"/>
      <c r="I837" s="17"/>
      <c r="J837" s="17"/>
      <c r="K837" s="17"/>
      <c r="L837" s="17"/>
      <c r="M837" s="17"/>
      <c r="N837" s="17"/>
      <c r="O837" s="17"/>
      <c r="P837" s="17"/>
      <c r="Q837" s="17"/>
      <c r="R837" s="17"/>
      <c r="S837" s="17"/>
      <c r="T837" s="17"/>
      <c r="U837" s="17"/>
      <c r="V837" s="17"/>
      <c r="W837" s="17"/>
      <c r="X837" s="17"/>
      <c r="Y837" s="17"/>
      <c r="Z837" s="17"/>
    </row>
    <row r="838" spans="1:26" ht="12.75">
      <c r="A838" s="1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row>
    <row r="839" spans="1:26" ht="12.75">
      <c r="A839" s="17"/>
      <c r="B839" s="17"/>
      <c r="C839" s="17"/>
      <c r="D839" s="17"/>
      <c r="E839" s="17"/>
      <c r="F839" s="17"/>
      <c r="G839" s="17"/>
      <c r="H839" s="17"/>
      <c r="I839" s="17"/>
      <c r="J839" s="17"/>
      <c r="K839" s="17"/>
      <c r="L839" s="17"/>
      <c r="M839" s="17"/>
      <c r="N839" s="17"/>
      <c r="O839" s="17"/>
      <c r="P839" s="17"/>
      <c r="Q839" s="17"/>
      <c r="R839" s="17"/>
      <c r="S839" s="17"/>
      <c r="T839" s="17"/>
      <c r="U839" s="17"/>
      <c r="V839" s="17"/>
      <c r="W839" s="17"/>
      <c r="X839" s="17"/>
      <c r="Y839" s="17"/>
      <c r="Z839" s="17"/>
    </row>
    <row r="840" spans="1:26" ht="12.75">
      <c r="A840" s="17"/>
      <c r="B840" s="17"/>
      <c r="C840" s="17"/>
      <c r="D840" s="17"/>
      <c r="E840" s="17"/>
      <c r="F840" s="17"/>
      <c r="G840" s="17"/>
      <c r="H840" s="17"/>
      <c r="I840" s="17"/>
      <c r="J840" s="17"/>
      <c r="K840" s="17"/>
      <c r="L840" s="17"/>
      <c r="M840" s="17"/>
      <c r="N840" s="17"/>
      <c r="O840" s="17"/>
      <c r="P840" s="17"/>
      <c r="Q840" s="17"/>
      <c r="R840" s="17"/>
      <c r="S840" s="17"/>
      <c r="T840" s="17"/>
      <c r="U840" s="17"/>
      <c r="V840" s="17"/>
      <c r="W840" s="17"/>
      <c r="X840" s="17"/>
      <c r="Y840" s="17"/>
      <c r="Z840" s="17"/>
    </row>
    <row r="841" spans="1:26" ht="12.75">
      <c r="A841" s="17"/>
      <c r="B841" s="17"/>
      <c r="C841" s="17"/>
      <c r="D841" s="17"/>
      <c r="E841" s="17"/>
      <c r="F841" s="17"/>
      <c r="G841" s="17"/>
      <c r="H841" s="17"/>
      <c r="I841" s="17"/>
      <c r="J841" s="17"/>
      <c r="K841" s="17"/>
      <c r="L841" s="17"/>
      <c r="M841" s="17"/>
      <c r="N841" s="17"/>
      <c r="O841" s="17"/>
      <c r="P841" s="17"/>
      <c r="Q841" s="17"/>
      <c r="R841" s="17"/>
      <c r="S841" s="17"/>
      <c r="T841" s="17"/>
      <c r="U841" s="17"/>
      <c r="V841" s="17"/>
      <c r="W841" s="17"/>
      <c r="X841" s="17"/>
      <c r="Y841" s="17"/>
      <c r="Z841" s="17"/>
    </row>
    <row r="842" spans="1:26" ht="12.75">
      <c r="A842" s="17"/>
      <c r="B842" s="17"/>
      <c r="C842" s="17"/>
      <c r="D842" s="17"/>
      <c r="E842" s="17"/>
      <c r="F842" s="17"/>
      <c r="G842" s="17"/>
      <c r="H842" s="17"/>
      <c r="I842" s="17"/>
      <c r="J842" s="17"/>
      <c r="K842" s="17"/>
      <c r="L842" s="17"/>
      <c r="M842" s="17"/>
      <c r="N842" s="17"/>
      <c r="O842" s="17"/>
      <c r="P842" s="17"/>
      <c r="Q842" s="17"/>
      <c r="R842" s="17"/>
      <c r="S842" s="17"/>
      <c r="T842" s="17"/>
      <c r="U842" s="17"/>
      <c r="V842" s="17"/>
      <c r="W842" s="17"/>
      <c r="X842" s="17"/>
      <c r="Y842" s="17"/>
      <c r="Z842" s="17"/>
    </row>
    <row r="843" spans="1:26" ht="12.75">
      <c r="A843" s="17"/>
      <c r="B843" s="17"/>
      <c r="C843" s="17"/>
      <c r="D843" s="17"/>
      <c r="E843" s="17"/>
      <c r="F843" s="17"/>
      <c r="G843" s="17"/>
      <c r="H843" s="17"/>
      <c r="I843" s="17"/>
      <c r="J843" s="17"/>
      <c r="K843" s="17"/>
      <c r="L843" s="17"/>
      <c r="M843" s="17"/>
      <c r="N843" s="17"/>
      <c r="O843" s="17"/>
      <c r="P843" s="17"/>
      <c r="Q843" s="17"/>
      <c r="R843" s="17"/>
      <c r="S843" s="17"/>
      <c r="T843" s="17"/>
      <c r="U843" s="17"/>
      <c r="V843" s="17"/>
      <c r="W843" s="17"/>
      <c r="X843" s="17"/>
      <c r="Y843" s="17"/>
      <c r="Z843" s="17"/>
    </row>
    <row r="844" spans="1:26" ht="12.75">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row>
    <row r="845" spans="1:26" ht="12.75">
      <c r="A845" s="17"/>
      <c r="B845" s="17"/>
      <c r="C845" s="17"/>
      <c r="D845" s="17"/>
      <c r="E845" s="17"/>
      <c r="F845" s="17"/>
      <c r="G845" s="17"/>
      <c r="H845" s="17"/>
      <c r="I845" s="17"/>
      <c r="J845" s="17"/>
      <c r="K845" s="17"/>
      <c r="L845" s="17"/>
      <c r="M845" s="17"/>
      <c r="N845" s="17"/>
      <c r="O845" s="17"/>
      <c r="P845" s="17"/>
      <c r="Q845" s="17"/>
      <c r="R845" s="17"/>
      <c r="S845" s="17"/>
      <c r="T845" s="17"/>
      <c r="U845" s="17"/>
      <c r="V845" s="17"/>
      <c r="W845" s="17"/>
      <c r="X845" s="17"/>
      <c r="Y845" s="17"/>
      <c r="Z845" s="17"/>
    </row>
    <row r="846" spans="1:26" ht="12.75">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row>
    <row r="847" spans="1:26" ht="12.75">
      <c r="A847" s="17"/>
      <c r="B847" s="17"/>
      <c r="C847" s="17"/>
      <c r="D847" s="17"/>
      <c r="E847" s="17"/>
      <c r="F847" s="17"/>
      <c r="G847" s="17"/>
      <c r="H847" s="17"/>
      <c r="I847" s="17"/>
      <c r="J847" s="17"/>
      <c r="K847" s="17"/>
      <c r="L847" s="17"/>
      <c r="M847" s="17"/>
      <c r="N847" s="17"/>
      <c r="O847" s="17"/>
      <c r="P847" s="17"/>
      <c r="Q847" s="17"/>
      <c r="R847" s="17"/>
      <c r="S847" s="17"/>
      <c r="T847" s="17"/>
      <c r="U847" s="17"/>
      <c r="V847" s="17"/>
      <c r="W847" s="17"/>
      <c r="X847" s="17"/>
      <c r="Y847" s="17"/>
      <c r="Z847" s="17"/>
    </row>
    <row r="848" spans="1:26" ht="12.75">
      <c r="A848" s="17"/>
      <c r="B848" s="17"/>
      <c r="C848" s="17"/>
      <c r="D848" s="17"/>
      <c r="E848" s="17"/>
      <c r="F848" s="17"/>
      <c r="G848" s="17"/>
      <c r="H848" s="17"/>
      <c r="I848" s="17"/>
      <c r="J848" s="17"/>
      <c r="K848" s="17"/>
      <c r="L848" s="17"/>
      <c r="M848" s="17"/>
      <c r="N848" s="17"/>
      <c r="O848" s="17"/>
      <c r="P848" s="17"/>
      <c r="Q848" s="17"/>
      <c r="R848" s="17"/>
      <c r="S848" s="17"/>
      <c r="T848" s="17"/>
      <c r="U848" s="17"/>
      <c r="V848" s="17"/>
      <c r="W848" s="17"/>
      <c r="X848" s="17"/>
      <c r="Y848" s="17"/>
      <c r="Z848" s="17"/>
    </row>
    <row r="849" spans="1:26" ht="12.75">
      <c r="A849" s="17"/>
      <c r="B849" s="17"/>
      <c r="C849" s="17"/>
      <c r="D849" s="17"/>
      <c r="E849" s="17"/>
      <c r="F849" s="17"/>
      <c r="G849" s="17"/>
      <c r="H849" s="17"/>
      <c r="I849" s="17"/>
      <c r="J849" s="17"/>
      <c r="K849" s="17"/>
      <c r="L849" s="17"/>
      <c r="M849" s="17"/>
      <c r="N849" s="17"/>
      <c r="O849" s="17"/>
      <c r="P849" s="17"/>
      <c r="Q849" s="17"/>
      <c r="R849" s="17"/>
      <c r="S849" s="17"/>
      <c r="T849" s="17"/>
      <c r="U849" s="17"/>
      <c r="V849" s="17"/>
      <c r="W849" s="17"/>
      <c r="X849" s="17"/>
      <c r="Y849" s="17"/>
      <c r="Z849" s="17"/>
    </row>
    <row r="850" spans="1:26" ht="12.75">
      <c r="A850" s="17"/>
      <c r="B850" s="17"/>
      <c r="C850" s="17"/>
      <c r="D850" s="17"/>
      <c r="E850" s="17"/>
      <c r="F850" s="17"/>
      <c r="G850" s="17"/>
      <c r="H850" s="17"/>
      <c r="I850" s="17"/>
      <c r="J850" s="17"/>
      <c r="K850" s="17"/>
      <c r="L850" s="17"/>
      <c r="M850" s="17"/>
      <c r="N850" s="17"/>
      <c r="O850" s="17"/>
      <c r="P850" s="17"/>
      <c r="Q850" s="17"/>
      <c r="R850" s="17"/>
      <c r="S850" s="17"/>
      <c r="T850" s="17"/>
      <c r="U850" s="17"/>
      <c r="V850" s="17"/>
      <c r="W850" s="17"/>
      <c r="X850" s="17"/>
      <c r="Y850" s="17"/>
      <c r="Z850" s="17"/>
    </row>
    <row r="851" spans="1:26" ht="12.75">
      <c r="A851" s="17"/>
      <c r="B851" s="17"/>
      <c r="C851" s="17"/>
      <c r="D851" s="17"/>
      <c r="E851" s="17"/>
      <c r="F851" s="17"/>
      <c r="G851" s="17"/>
      <c r="H851" s="17"/>
      <c r="I851" s="17"/>
      <c r="J851" s="17"/>
      <c r="K851" s="17"/>
      <c r="L851" s="17"/>
      <c r="M851" s="17"/>
      <c r="N851" s="17"/>
      <c r="O851" s="17"/>
      <c r="P851" s="17"/>
      <c r="Q851" s="17"/>
      <c r="R851" s="17"/>
      <c r="S851" s="17"/>
      <c r="T851" s="17"/>
      <c r="U851" s="17"/>
      <c r="V851" s="17"/>
      <c r="W851" s="17"/>
      <c r="X851" s="17"/>
      <c r="Y851" s="17"/>
      <c r="Z851" s="17"/>
    </row>
    <row r="852" spans="1:26" ht="12.75">
      <c r="A852" s="17"/>
      <c r="B852" s="17"/>
      <c r="C852" s="17"/>
      <c r="D852" s="17"/>
      <c r="E852" s="17"/>
      <c r="F852" s="17"/>
      <c r="G852" s="17"/>
      <c r="H852" s="17"/>
      <c r="I852" s="17"/>
      <c r="J852" s="17"/>
      <c r="K852" s="17"/>
      <c r="L852" s="17"/>
      <c r="M852" s="17"/>
      <c r="N852" s="17"/>
      <c r="O852" s="17"/>
      <c r="P852" s="17"/>
      <c r="Q852" s="17"/>
      <c r="R852" s="17"/>
      <c r="S852" s="17"/>
      <c r="T852" s="17"/>
      <c r="U852" s="17"/>
      <c r="V852" s="17"/>
      <c r="W852" s="17"/>
      <c r="X852" s="17"/>
      <c r="Y852" s="17"/>
      <c r="Z852" s="17"/>
    </row>
    <row r="853" spans="1:26" ht="12.75">
      <c r="A853" s="17"/>
      <c r="B853" s="17"/>
      <c r="C853" s="17"/>
      <c r="D853" s="17"/>
      <c r="E853" s="17"/>
      <c r="F853" s="17"/>
      <c r="G853" s="17"/>
      <c r="H853" s="17"/>
      <c r="I853" s="17"/>
      <c r="J853" s="17"/>
      <c r="K853" s="17"/>
      <c r="L853" s="17"/>
      <c r="M853" s="17"/>
      <c r="N853" s="17"/>
      <c r="O853" s="17"/>
      <c r="P853" s="17"/>
      <c r="Q853" s="17"/>
      <c r="R853" s="17"/>
      <c r="S853" s="17"/>
      <c r="T853" s="17"/>
      <c r="U853" s="17"/>
      <c r="V853" s="17"/>
      <c r="W853" s="17"/>
      <c r="X853" s="17"/>
      <c r="Y853" s="17"/>
      <c r="Z853" s="17"/>
    </row>
    <row r="854" spans="1:26" ht="12.75">
      <c r="A854" s="1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row>
    <row r="855" spans="1:26" ht="12.75">
      <c r="A855" s="17"/>
      <c r="B855" s="17"/>
      <c r="C855" s="17"/>
      <c r="D855" s="17"/>
      <c r="E855" s="17"/>
      <c r="F855" s="17"/>
      <c r="G855" s="17"/>
      <c r="H855" s="17"/>
      <c r="I855" s="17"/>
      <c r="J855" s="17"/>
      <c r="K855" s="17"/>
      <c r="L855" s="17"/>
      <c r="M855" s="17"/>
      <c r="N855" s="17"/>
      <c r="O855" s="17"/>
      <c r="P855" s="17"/>
      <c r="Q855" s="17"/>
      <c r="R855" s="17"/>
      <c r="S855" s="17"/>
      <c r="T855" s="17"/>
      <c r="U855" s="17"/>
      <c r="V855" s="17"/>
      <c r="W855" s="17"/>
      <c r="X855" s="17"/>
      <c r="Y855" s="17"/>
      <c r="Z855" s="17"/>
    </row>
    <row r="856" spans="1:26" ht="12.75">
      <c r="A856" s="17"/>
      <c r="B856" s="17"/>
      <c r="C856" s="17"/>
      <c r="D856" s="17"/>
      <c r="E856" s="17"/>
      <c r="F856" s="17"/>
      <c r="G856" s="17"/>
      <c r="H856" s="17"/>
      <c r="I856" s="17"/>
      <c r="J856" s="17"/>
      <c r="K856" s="17"/>
      <c r="L856" s="17"/>
      <c r="M856" s="17"/>
      <c r="N856" s="17"/>
      <c r="O856" s="17"/>
      <c r="P856" s="17"/>
      <c r="Q856" s="17"/>
      <c r="R856" s="17"/>
      <c r="S856" s="17"/>
      <c r="T856" s="17"/>
      <c r="U856" s="17"/>
      <c r="V856" s="17"/>
      <c r="W856" s="17"/>
      <c r="X856" s="17"/>
      <c r="Y856" s="17"/>
      <c r="Z856" s="17"/>
    </row>
    <row r="857" spans="1:26" ht="12.75">
      <c r="A857" s="17"/>
      <c r="B857" s="17"/>
      <c r="C857" s="17"/>
      <c r="D857" s="17"/>
      <c r="E857" s="17"/>
      <c r="F857" s="17"/>
      <c r="G857" s="17"/>
      <c r="H857" s="17"/>
      <c r="I857" s="17"/>
      <c r="J857" s="17"/>
      <c r="K857" s="17"/>
      <c r="L857" s="17"/>
      <c r="M857" s="17"/>
      <c r="N857" s="17"/>
      <c r="O857" s="17"/>
      <c r="P857" s="17"/>
      <c r="Q857" s="17"/>
      <c r="R857" s="17"/>
      <c r="S857" s="17"/>
      <c r="T857" s="17"/>
      <c r="U857" s="17"/>
      <c r="V857" s="17"/>
      <c r="W857" s="17"/>
      <c r="X857" s="17"/>
      <c r="Y857" s="17"/>
      <c r="Z857" s="17"/>
    </row>
    <row r="858" spans="1:26" ht="12.75">
      <c r="A858" s="17"/>
      <c r="B858" s="17"/>
      <c r="C858" s="17"/>
      <c r="D858" s="17"/>
      <c r="E858" s="17"/>
      <c r="F858" s="17"/>
      <c r="G858" s="17"/>
      <c r="H858" s="17"/>
      <c r="I858" s="17"/>
      <c r="J858" s="17"/>
      <c r="K858" s="17"/>
      <c r="L858" s="17"/>
      <c r="M858" s="17"/>
      <c r="N858" s="17"/>
      <c r="O858" s="17"/>
      <c r="P858" s="17"/>
      <c r="Q858" s="17"/>
      <c r="R858" s="17"/>
      <c r="S858" s="17"/>
      <c r="T858" s="17"/>
      <c r="U858" s="17"/>
      <c r="V858" s="17"/>
      <c r="W858" s="17"/>
      <c r="X858" s="17"/>
      <c r="Y858" s="17"/>
      <c r="Z858" s="17"/>
    </row>
    <row r="859" spans="1:26" ht="12.75">
      <c r="A859" s="17"/>
      <c r="B859" s="17"/>
      <c r="C859" s="17"/>
      <c r="D859" s="17"/>
      <c r="E859" s="17"/>
      <c r="F859" s="17"/>
      <c r="G859" s="17"/>
      <c r="H859" s="17"/>
      <c r="I859" s="17"/>
      <c r="J859" s="17"/>
      <c r="K859" s="17"/>
      <c r="L859" s="17"/>
      <c r="M859" s="17"/>
      <c r="N859" s="17"/>
      <c r="O859" s="17"/>
      <c r="P859" s="17"/>
      <c r="Q859" s="17"/>
      <c r="R859" s="17"/>
      <c r="S859" s="17"/>
      <c r="T859" s="17"/>
      <c r="U859" s="17"/>
      <c r="V859" s="17"/>
      <c r="W859" s="17"/>
      <c r="X859" s="17"/>
      <c r="Y859" s="17"/>
      <c r="Z859" s="17"/>
    </row>
    <row r="860" spans="1:26" ht="12.75">
      <c r="A860" s="17"/>
      <c r="B860" s="17"/>
      <c r="C860" s="17"/>
      <c r="D860" s="17"/>
      <c r="E860" s="17"/>
      <c r="F860" s="17"/>
      <c r="G860" s="17"/>
      <c r="H860" s="17"/>
      <c r="I860" s="17"/>
      <c r="J860" s="17"/>
      <c r="K860" s="17"/>
      <c r="L860" s="17"/>
      <c r="M860" s="17"/>
      <c r="N860" s="17"/>
      <c r="O860" s="17"/>
      <c r="P860" s="17"/>
      <c r="Q860" s="17"/>
      <c r="R860" s="17"/>
      <c r="S860" s="17"/>
      <c r="T860" s="17"/>
      <c r="U860" s="17"/>
      <c r="V860" s="17"/>
      <c r="W860" s="17"/>
      <c r="X860" s="17"/>
      <c r="Y860" s="17"/>
      <c r="Z860" s="17"/>
    </row>
    <row r="861" spans="1:26" ht="12.75">
      <c r="A861" s="17"/>
      <c r="B861" s="17"/>
      <c r="C861" s="17"/>
      <c r="D861" s="17"/>
      <c r="E861" s="17"/>
      <c r="F861" s="17"/>
      <c r="G861" s="17"/>
      <c r="H861" s="17"/>
      <c r="I861" s="17"/>
      <c r="J861" s="17"/>
      <c r="K861" s="17"/>
      <c r="L861" s="17"/>
      <c r="M861" s="17"/>
      <c r="N861" s="17"/>
      <c r="O861" s="17"/>
      <c r="P861" s="17"/>
      <c r="Q861" s="17"/>
      <c r="R861" s="17"/>
      <c r="S861" s="17"/>
      <c r="T861" s="17"/>
      <c r="U861" s="17"/>
      <c r="V861" s="17"/>
      <c r="W861" s="17"/>
      <c r="X861" s="17"/>
      <c r="Y861" s="17"/>
      <c r="Z861" s="17"/>
    </row>
    <row r="862" spans="1:26" ht="12.75">
      <c r="A862" s="1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row>
    <row r="863" spans="1:26" ht="12.75">
      <c r="A863" s="17"/>
      <c r="B863" s="17"/>
      <c r="C863" s="17"/>
      <c r="D863" s="17"/>
      <c r="E863" s="17"/>
      <c r="F863" s="17"/>
      <c r="G863" s="17"/>
      <c r="H863" s="17"/>
      <c r="I863" s="17"/>
      <c r="J863" s="17"/>
      <c r="K863" s="17"/>
      <c r="L863" s="17"/>
      <c r="M863" s="17"/>
      <c r="N863" s="17"/>
      <c r="O863" s="17"/>
      <c r="P863" s="17"/>
      <c r="Q863" s="17"/>
      <c r="R863" s="17"/>
      <c r="S863" s="17"/>
      <c r="T863" s="17"/>
      <c r="U863" s="17"/>
      <c r="V863" s="17"/>
      <c r="W863" s="17"/>
      <c r="X863" s="17"/>
      <c r="Y863" s="17"/>
      <c r="Z863" s="17"/>
    </row>
    <row r="864" spans="1:26" ht="12.75">
      <c r="A864" s="17"/>
      <c r="B864" s="17"/>
      <c r="C864" s="17"/>
      <c r="D864" s="17"/>
      <c r="E864" s="17"/>
      <c r="F864" s="17"/>
      <c r="G864" s="17"/>
      <c r="H864" s="17"/>
      <c r="I864" s="17"/>
      <c r="J864" s="17"/>
      <c r="K864" s="17"/>
      <c r="L864" s="17"/>
      <c r="M864" s="17"/>
      <c r="N864" s="17"/>
      <c r="O864" s="17"/>
      <c r="P864" s="17"/>
      <c r="Q864" s="17"/>
      <c r="R864" s="17"/>
      <c r="S864" s="17"/>
      <c r="T864" s="17"/>
      <c r="U864" s="17"/>
      <c r="V864" s="17"/>
      <c r="W864" s="17"/>
      <c r="X864" s="17"/>
      <c r="Y864" s="17"/>
      <c r="Z864" s="17"/>
    </row>
    <row r="865" spans="1:26" ht="12.75">
      <c r="A865" s="17"/>
      <c r="B865" s="17"/>
      <c r="C865" s="17"/>
      <c r="D865" s="17"/>
      <c r="E865" s="17"/>
      <c r="F865" s="17"/>
      <c r="G865" s="17"/>
      <c r="H865" s="17"/>
      <c r="I865" s="17"/>
      <c r="J865" s="17"/>
      <c r="K865" s="17"/>
      <c r="L865" s="17"/>
      <c r="M865" s="17"/>
      <c r="N865" s="17"/>
      <c r="O865" s="17"/>
      <c r="P865" s="17"/>
      <c r="Q865" s="17"/>
      <c r="R865" s="17"/>
      <c r="S865" s="17"/>
      <c r="T865" s="17"/>
      <c r="U865" s="17"/>
      <c r="V865" s="17"/>
      <c r="W865" s="17"/>
      <c r="X865" s="17"/>
      <c r="Y865" s="17"/>
      <c r="Z865" s="17"/>
    </row>
    <row r="866" spans="1:26" ht="12.75">
      <c r="A866" s="17"/>
      <c r="B866" s="17"/>
      <c r="C866" s="17"/>
      <c r="D866" s="17"/>
      <c r="E866" s="17"/>
      <c r="F866" s="17"/>
      <c r="G866" s="17"/>
      <c r="H866" s="17"/>
      <c r="I866" s="17"/>
      <c r="J866" s="17"/>
      <c r="K866" s="17"/>
      <c r="L866" s="17"/>
      <c r="M866" s="17"/>
      <c r="N866" s="17"/>
      <c r="O866" s="17"/>
      <c r="P866" s="17"/>
      <c r="Q866" s="17"/>
      <c r="R866" s="17"/>
      <c r="S866" s="17"/>
      <c r="T866" s="17"/>
      <c r="U866" s="17"/>
      <c r="V866" s="17"/>
      <c r="W866" s="17"/>
      <c r="X866" s="17"/>
      <c r="Y866" s="17"/>
      <c r="Z866" s="17"/>
    </row>
    <row r="867" spans="1:26" ht="12.75">
      <c r="A867" s="17"/>
      <c r="B867" s="17"/>
      <c r="C867" s="17"/>
      <c r="D867" s="17"/>
      <c r="E867" s="17"/>
      <c r="F867" s="17"/>
      <c r="G867" s="17"/>
      <c r="H867" s="17"/>
      <c r="I867" s="17"/>
      <c r="J867" s="17"/>
      <c r="K867" s="17"/>
      <c r="L867" s="17"/>
      <c r="M867" s="17"/>
      <c r="N867" s="17"/>
      <c r="O867" s="17"/>
      <c r="P867" s="17"/>
      <c r="Q867" s="17"/>
      <c r="R867" s="17"/>
      <c r="S867" s="17"/>
      <c r="T867" s="17"/>
      <c r="U867" s="17"/>
      <c r="V867" s="17"/>
      <c r="W867" s="17"/>
      <c r="X867" s="17"/>
      <c r="Y867" s="17"/>
      <c r="Z867" s="17"/>
    </row>
    <row r="868" spans="1:26" ht="12.75">
      <c r="A868" s="17"/>
      <c r="B868" s="17"/>
      <c r="C868" s="17"/>
      <c r="D868" s="17"/>
      <c r="E868" s="17"/>
      <c r="F868" s="17"/>
      <c r="G868" s="17"/>
      <c r="H868" s="17"/>
      <c r="I868" s="17"/>
      <c r="J868" s="17"/>
      <c r="K868" s="17"/>
      <c r="L868" s="17"/>
      <c r="M868" s="17"/>
      <c r="N868" s="17"/>
      <c r="O868" s="17"/>
      <c r="P868" s="17"/>
      <c r="Q868" s="17"/>
      <c r="R868" s="17"/>
      <c r="S868" s="17"/>
      <c r="T868" s="17"/>
      <c r="U868" s="17"/>
      <c r="V868" s="17"/>
      <c r="W868" s="17"/>
      <c r="X868" s="17"/>
      <c r="Y868" s="17"/>
      <c r="Z868" s="17"/>
    </row>
    <row r="869" spans="1:26" ht="12.75">
      <c r="A869" s="17"/>
      <c r="B869" s="17"/>
      <c r="C869" s="17"/>
      <c r="D869" s="17"/>
      <c r="E869" s="17"/>
      <c r="F869" s="17"/>
      <c r="G869" s="17"/>
      <c r="H869" s="17"/>
      <c r="I869" s="17"/>
      <c r="J869" s="17"/>
      <c r="K869" s="17"/>
      <c r="L869" s="17"/>
      <c r="M869" s="17"/>
      <c r="N869" s="17"/>
      <c r="O869" s="17"/>
      <c r="P869" s="17"/>
      <c r="Q869" s="17"/>
      <c r="R869" s="17"/>
      <c r="S869" s="17"/>
      <c r="T869" s="17"/>
      <c r="U869" s="17"/>
      <c r="V869" s="17"/>
      <c r="W869" s="17"/>
      <c r="X869" s="17"/>
      <c r="Y869" s="17"/>
      <c r="Z869" s="17"/>
    </row>
    <row r="870" spans="1:26" ht="12.75">
      <c r="A870" s="1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row>
    <row r="871" spans="1:26" ht="12.75">
      <c r="A871" s="17"/>
      <c r="B871" s="17"/>
      <c r="C871" s="17"/>
      <c r="D871" s="17"/>
      <c r="E871" s="17"/>
      <c r="F871" s="17"/>
      <c r="G871" s="17"/>
      <c r="H871" s="17"/>
      <c r="I871" s="17"/>
      <c r="J871" s="17"/>
      <c r="K871" s="17"/>
      <c r="L871" s="17"/>
      <c r="M871" s="17"/>
      <c r="N871" s="17"/>
      <c r="O871" s="17"/>
      <c r="P871" s="17"/>
      <c r="Q871" s="17"/>
      <c r="R871" s="17"/>
      <c r="S871" s="17"/>
      <c r="T871" s="17"/>
      <c r="U871" s="17"/>
      <c r="V871" s="17"/>
      <c r="W871" s="17"/>
      <c r="X871" s="17"/>
      <c r="Y871" s="17"/>
      <c r="Z871" s="17"/>
    </row>
    <row r="872" spans="1:26" ht="12.75">
      <c r="A872" s="17"/>
      <c r="B872" s="17"/>
      <c r="C872" s="17"/>
      <c r="D872" s="17"/>
      <c r="E872" s="17"/>
      <c r="F872" s="17"/>
      <c r="G872" s="17"/>
      <c r="H872" s="17"/>
      <c r="I872" s="17"/>
      <c r="J872" s="17"/>
      <c r="K872" s="17"/>
      <c r="L872" s="17"/>
      <c r="M872" s="17"/>
      <c r="N872" s="17"/>
      <c r="O872" s="17"/>
      <c r="P872" s="17"/>
      <c r="Q872" s="17"/>
      <c r="R872" s="17"/>
      <c r="S872" s="17"/>
      <c r="T872" s="17"/>
      <c r="U872" s="17"/>
      <c r="V872" s="17"/>
      <c r="W872" s="17"/>
      <c r="X872" s="17"/>
      <c r="Y872" s="17"/>
      <c r="Z872" s="17"/>
    </row>
    <row r="873" spans="1:26" ht="12.75">
      <c r="A873" s="17"/>
      <c r="B873" s="17"/>
      <c r="C873" s="17"/>
      <c r="D873" s="17"/>
      <c r="E873" s="17"/>
      <c r="F873" s="17"/>
      <c r="G873" s="17"/>
      <c r="H873" s="17"/>
      <c r="I873" s="17"/>
      <c r="J873" s="17"/>
      <c r="K873" s="17"/>
      <c r="L873" s="17"/>
      <c r="M873" s="17"/>
      <c r="N873" s="17"/>
      <c r="O873" s="17"/>
      <c r="P873" s="17"/>
      <c r="Q873" s="17"/>
      <c r="R873" s="17"/>
      <c r="S873" s="17"/>
      <c r="T873" s="17"/>
      <c r="U873" s="17"/>
      <c r="V873" s="17"/>
      <c r="W873" s="17"/>
      <c r="X873" s="17"/>
      <c r="Y873" s="17"/>
      <c r="Z873" s="17"/>
    </row>
    <row r="874" spans="1:26" ht="12.75">
      <c r="A874" s="17"/>
      <c r="B874" s="17"/>
      <c r="C874" s="17"/>
      <c r="D874" s="17"/>
      <c r="E874" s="17"/>
      <c r="F874" s="17"/>
      <c r="G874" s="17"/>
      <c r="H874" s="17"/>
      <c r="I874" s="17"/>
      <c r="J874" s="17"/>
      <c r="K874" s="17"/>
      <c r="L874" s="17"/>
      <c r="M874" s="17"/>
      <c r="N874" s="17"/>
      <c r="O874" s="17"/>
      <c r="P874" s="17"/>
      <c r="Q874" s="17"/>
      <c r="R874" s="17"/>
      <c r="S874" s="17"/>
      <c r="T874" s="17"/>
      <c r="U874" s="17"/>
      <c r="V874" s="17"/>
      <c r="W874" s="17"/>
      <c r="X874" s="17"/>
      <c r="Y874" s="17"/>
      <c r="Z874" s="17"/>
    </row>
    <row r="875" spans="1:26" ht="12.75">
      <c r="A875" s="17"/>
      <c r="B875" s="17"/>
      <c r="C875" s="17"/>
      <c r="D875" s="17"/>
      <c r="E875" s="17"/>
      <c r="F875" s="17"/>
      <c r="G875" s="17"/>
      <c r="H875" s="17"/>
      <c r="I875" s="17"/>
      <c r="J875" s="17"/>
      <c r="K875" s="17"/>
      <c r="L875" s="17"/>
      <c r="M875" s="17"/>
      <c r="N875" s="17"/>
      <c r="O875" s="17"/>
      <c r="P875" s="17"/>
      <c r="Q875" s="17"/>
      <c r="R875" s="17"/>
      <c r="S875" s="17"/>
      <c r="T875" s="17"/>
      <c r="U875" s="17"/>
      <c r="V875" s="17"/>
      <c r="W875" s="17"/>
      <c r="X875" s="17"/>
      <c r="Y875" s="17"/>
      <c r="Z875" s="17"/>
    </row>
    <row r="876" spans="1:26" ht="12.75">
      <c r="A876" s="17"/>
      <c r="B876" s="17"/>
      <c r="C876" s="17"/>
      <c r="D876" s="17"/>
      <c r="E876" s="17"/>
      <c r="F876" s="17"/>
      <c r="G876" s="17"/>
      <c r="H876" s="17"/>
      <c r="I876" s="17"/>
      <c r="J876" s="17"/>
      <c r="K876" s="17"/>
      <c r="L876" s="17"/>
      <c r="M876" s="17"/>
      <c r="N876" s="17"/>
      <c r="O876" s="17"/>
      <c r="P876" s="17"/>
      <c r="Q876" s="17"/>
      <c r="R876" s="17"/>
      <c r="S876" s="17"/>
      <c r="T876" s="17"/>
      <c r="U876" s="17"/>
      <c r="V876" s="17"/>
      <c r="W876" s="17"/>
      <c r="X876" s="17"/>
      <c r="Y876" s="17"/>
      <c r="Z876" s="17"/>
    </row>
    <row r="877" spans="1:26" ht="12.75">
      <c r="A877" s="17"/>
      <c r="B877" s="17"/>
      <c r="C877" s="17"/>
      <c r="D877" s="17"/>
      <c r="E877" s="17"/>
      <c r="F877" s="17"/>
      <c r="G877" s="17"/>
      <c r="H877" s="17"/>
      <c r="I877" s="17"/>
      <c r="J877" s="17"/>
      <c r="K877" s="17"/>
      <c r="L877" s="17"/>
      <c r="M877" s="17"/>
      <c r="N877" s="17"/>
      <c r="O877" s="17"/>
      <c r="P877" s="17"/>
      <c r="Q877" s="17"/>
      <c r="R877" s="17"/>
      <c r="S877" s="17"/>
      <c r="T877" s="17"/>
      <c r="U877" s="17"/>
      <c r="V877" s="17"/>
      <c r="W877" s="17"/>
      <c r="X877" s="17"/>
      <c r="Y877" s="17"/>
      <c r="Z877" s="17"/>
    </row>
    <row r="878" spans="1:26" ht="12.75">
      <c r="A878" s="1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row>
    <row r="879" spans="1:26" ht="12.75">
      <c r="A879" s="17"/>
      <c r="B879" s="17"/>
      <c r="C879" s="17"/>
      <c r="D879" s="17"/>
      <c r="E879" s="17"/>
      <c r="F879" s="17"/>
      <c r="G879" s="17"/>
      <c r="H879" s="17"/>
      <c r="I879" s="17"/>
      <c r="J879" s="17"/>
      <c r="K879" s="17"/>
      <c r="L879" s="17"/>
      <c r="M879" s="17"/>
      <c r="N879" s="17"/>
      <c r="O879" s="17"/>
      <c r="P879" s="17"/>
      <c r="Q879" s="17"/>
      <c r="R879" s="17"/>
      <c r="S879" s="17"/>
      <c r="T879" s="17"/>
      <c r="U879" s="17"/>
      <c r="V879" s="17"/>
      <c r="W879" s="17"/>
      <c r="X879" s="17"/>
      <c r="Y879" s="17"/>
      <c r="Z879" s="17"/>
    </row>
    <row r="880" spans="1:26" ht="12.75">
      <c r="A880" s="17"/>
      <c r="B880" s="17"/>
      <c r="C880" s="17"/>
      <c r="D880" s="17"/>
      <c r="E880" s="17"/>
      <c r="F880" s="17"/>
      <c r="G880" s="17"/>
      <c r="H880" s="17"/>
      <c r="I880" s="17"/>
      <c r="J880" s="17"/>
      <c r="K880" s="17"/>
      <c r="L880" s="17"/>
      <c r="M880" s="17"/>
      <c r="N880" s="17"/>
      <c r="O880" s="17"/>
      <c r="P880" s="17"/>
      <c r="Q880" s="17"/>
      <c r="R880" s="17"/>
      <c r="S880" s="17"/>
      <c r="T880" s="17"/>
      <c r="U880" s="17"/>
      <c r="V880" s="17"/>
      <c r="W880" s="17"/>
      <c r="X880" s="17"/>
      <c r="Y880" s="17"/>
      <c r="Z880" s="17"/>
    </row>
    <row r="881" spans="1:26" ht="12.75">
      <c r="A881" s="17"/>
      <c r="B881" s="17"/>
      <c r="C881" s="17"/>
      <c r="D881" s="17"/>
      <c r="E881" s="17"/>
      <c r="F881" s="17"/>
      <c r="G881" s="17"/>
      <c r="H881" s="17"/>
      <c r="I881" s="17"/>
      <c r="J881" s="17"/>
      <c r="K881" s="17"/>
      <c r="L881" s="17"/>
      <c r="M881" s="17"/>
      <c r="N881" s="17"/>
      <c r="O881" s="17"/>
      <c r="P881" s="17"/>
      <c r="Q881" s="17"/>
      <c r="R881" s="17"/>
      <c r="S881" s="17"/>
      <c r="T881" s="17"/>
      <c r="U881" s="17"/>
      <c r="V881" s="17"/>
      <c r="W881" s="17"/>
      <c r="X881" s="17"/>
      <c r="Y881" s="17"/>
      <c r="Z881" s="17"/>
    </row>
    <row r="882" spans="1:26" ht="12.75">
      <c r="A882" s="17"/>
      <c r="B882" s="17"/>
      <c r="C882" s="17"/>
      <c r="D882" s="17"/>
      <c r="E882" s="17"/>
      <c r="F882" s="17"/>
      <c r="G882" s="17"/>
      <c r="H882" s="17"/>
      <c r="I882" s="17"/>
      <c r="J882" s="17"/>
      <c r="K882" s="17"/>
      <c r="L882" s="17"/>
      <c r="M882" s="17"/>
      <c r="N882" s="17"/>
      <c r="O882" s="17"/>
      <c r="P882" s="17"/>
      <c r="Q882" s="17"/>
      <c r="R882" s="17"/>
      <c r="S882" s="17"/>
      <c r="T882" s="17"/>
      <c r="U882" s="17"/>
      <c r="V882" s="17"/>
      <c r="W882" s="17"/>
      <c r="X882" s="17"/>
      <c r="Y882" s="17"/>
      <c r="Z882" s="17"/>
    </row>
    <row r="883" spans="1:26" ht="12.75">
      <c r="A883" s="17"/>
      <c r="B883" s="17"/>
      <c r="C883" s="17"/>
      <c r="D883" s="17"/>
      <c r="E883" s="17"/>
      <c r="F883" s="17"/>
      <c r="G883" s="17"/>
      <c r="H883" s="17"/>
      <c r="I883" s="17"/>
      <c r="J883" s="17"/>
      <c r="K883" s="17"/>
      <c r="L883" s="17"/>
      <c r="M883" s="17"/>
      <c r="N883" s="17"/>
      <c r="O883" s="17"/>
      <c r="P883" s="17"/>
      <c r="Q883" s="17"/>
      <c r="R883" s="17"/>
      <c r="S883" s="17"/>
      <c r="T883" s="17"/>
      <c r="U883" s="17"/>
      <c r="V883" s="17"/>
      <c r="W883" s="17"/>
      <c r="X883" s="17"/>
      <c r="Y883" s="17"/>
      <c r="Z883" s="17"/>
    </row>
    <row r="884" spans="1:26" ht="12.75">
      <c r="A884" s="17"/>
      <c r="B884" s="17"/>
      <c r="C884" s="17"/>
      <c r="D884" s="17"/>
      <c r="E884" s="17"/>
      <c r="F884" s="17"/>
      <c r="G884" s="17"/>
      <c r="H884" s="17"/>
      <c r="I884" s="17"/>
      <c r="J884" s="17"/>
      <c r="K884" s="17"/>
      <c r="L884" s="17"/>
      <c r="M884" s="17"/>
      <c r="N884" s="17"/>
      <c r="O884" s="17"/>
      <c r="P884" s="17"/>
      <c r="Q884" s="17"/>
      <c r="R884" s="17"/>
      <c r="S884" s="17"/>
      <c r="T884" s="17"/>
      <c r="U884" s="17"/>
      <c r="V884" s="17"/>
      <c r="W884" s="17"/>
      <c r="X884" s="17"/>
      <c r="Y884" s="17"/>
      <c r="Z884" s="17"/>
    </row>
    <row r="885" spans="1:26" ht="12.75">
      <c r="A885" s="17"/>
      <c r="B885" s="17"/>
      <c r="C885" s="17"/>
      <c r="D885" s="17"/>
      <c r="E885" s="17"/>
      <c r="F885" s="17"/>
      <c r="G885" s="17"/>
      <c r="H885" s="17"/>
      <c r="I885" s="17"/>
      <c r="J885" s="17"/>
      <c r="K885" s="17"/>
      <c r="L885" s="17"/>
      <c r="M885" s="17"/>
      <c r="N885" s="17"/>
      <c r="O885" s="17"/>
      <c r="P885" s="17"/>
      <c r="Q885" s="17"/>
      <c r="R885" s="17"/>
      <c r="S885" s="17"/>
      <c r="T885" s="17"/>
      <c r="U885" s="17"/>
      <c r="V885" s="17"/>
      <c r="W885" s="17"/>
      <c r="X885" s="17"/>
      <c r="Y885" s="17"/>
      <c r="Z885" s="17"/>
    </row>
    <row r="886" spans="1:26" ht="12.75">
      <c r="A886" s="1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row>
    <row r="887" spans="1:26" ht="12.75">
      <c r="A887" s="17"/>
      <c r="B887" s="17"/>
      <c r="C887" s="17"/>
      <c r="D887" s="17"/>
      <c r="E887" s="17"/>
      <c r="F887" s="17"/>
      <c r="G887" s="17"/>
      <c r="H887" s="17"/>
      <c r="I887" s="17"/>
      <c r="J887" s="17"/>
      <c r="K887" s="17"/>
      <c r="L887" s="17"/>
      <c r="M887" s="17"/>
      <c r="N887" s="17"/>
      <c r="O887" s="17"/>
      <c r="P887" s="17"/>
      <c r="Q887" s="17"/>
      <c r="R887" s="17"/>
      <c r="S887" s="17"/>
      <c r="T887" s="17"/>
      <c r="U887" s="17"/>
      <c r="V887" s="17"/>
      <c r="W887" s="17"/>
      <c r="X887" s="17"/>
      <c r="Y887" s="17"/>
      <c r="Z887" s="17"/>
    </row>
    <row r="888" spans="1:26" ht="12.75">
      <c r="A888" s="17"/>
      <c r="B888" s="17"/>
      <c r="C888" s="17"/>
      <c r="D888" s="17"/>
      <c r="E888" s="17"/>
      <c r="F888" s="17"/>
      <c r="G888" s="17"/>
      <c r="H888" s="17"/>
      <c r="I888" s="17"/>
      <c r="J888" s="17"/>
      <c r="K888" s="17"/>
      <c r="L888" s="17"/>
      <c r="M888" s="17"/>
      <c r="N888" s="17"/>
      <c r="O888" s="17"/>
      <c r="P888" s="17"/>
      <c r="Q888" s="17"/>
      <c r="R888" s="17"/>
      <c r="S888" s="17"/>
      <c r="T888" s="17"/>
      <c r="U888" s="17"/>
      <c r="V888" s="17"/>
      <c r="W888" s="17"/>
      <c r="X888" s="17"/>
      <c r="Y888" s="17"/>
      <c r="Z888" s="17"/>
    </row>
    <row r="889" spans="1:26" ht="12.75">
      <c r="A889" s="17"/>
      <c r="B889" s="17"/>
      <c r="C889" s="17"/>
      <c r="D889" s="17"/>
      <c r="E889" s="17"/>
      <c r="F889" s="17"/>
      <c r="G889" s="17"/>
      <c r="H889" s="17"/>
      <c r="I889" s="17"/>
      <c r="J889" s="17"/>
      <c r="K889" s="17"/>
      <c r="L889" s="17"/>
      <c r="M889" s="17"/>
      <c r="N889" s="17"/>
      <c r="O889" s="17"/>
      <c r="P889" s="17"/>
      <c r="Q889" s="17"/>
      <c r="R889" s="17"/>
      <c r="S889" s="17"/>
      <c r="T889" s="17"/>
      <c r="U889" s="17"/>
      <c r="V889" s="17"/>
      <c r="W889" s="17"/>
      <c r="X889" s="17"/>
      <c r="Y889" s="17"/>
      <c r="Z889" s="17"/>
    </row>
    <row r="890" spans="1:26" ht="12.75">
      <c r="A890" s="17"/>
      <c r="B890" s="17"/>
      <c r="C890" s="17"/>
      <c r="D890" s="17"/>
      <c r="E890" s="17"/>
      <c r="F890" s="17"/>
      <c r="G890" s="17"/>
      <c r="H890" s="17"/>
      <c r="I890" s="17"/>
      <c r="J890" s="17"/>
      <c r="K890" s="17"/>
      <c r="L890" s="17"/>
      <c r="M890" s="17"/>
      <c r="N890" s="17"/>
      <c r="O890" s="17"/>
      <c r="P890" s="17"/>
      <c r="Q890" s="17"/>
      <c r="R890" s="17"/>
      <c r="S890" s="17"/>
      <c r="T890" s="17"/>
      <c r="U890" s="17"/>
      <c r="V890" s="17"/>
      <c r="W890" s="17"/>
      <c r="X890" s="17"/>
      <c r="Y890" s="17"/>
      <c r="Z890" s="17"/>
    </row>
    <row r="891" spans="1:26" ht="12.75">
      <c r="A891" s="17"/>
      <c r="B891" s="17"/>
      <c r="C891" s="17"/>
      <c r="D891" s="17"/>
      <c r="E891" s="17"/>
      <c r="F891" s="17"/>
      <c r="G891" s="17"/>
      <c r="H891" s="17"/>
      <c r="I891" s="17"/>
      <c r="J891" s="17"/>
      <c r="K891" s="17"/>
      <c r="L891" s="17"/>
      <c r="M891" s="17"/>
      <c r="N891" s="17"/>
      <c r="O891" s="17"/>
      <c r="P891" s="17"/>
      <c r="Q891" s="17"/>
      <c r="R891" s="17"/>
      <c r="S891" s="17"/>
      <c r="T891" s="17"/>
      <c r="U891" s="17"/>
      <c r="V891" s="17"/>
      <c r="W891" s="17"/>
      <c r="X891" s="17"/>
      <c r="Y891" s="17"/>
      <c r="Z891" s="17"/>
    </row>
    <row r="892" spans="1:26" ht="12.75">
      <c r="A892" s="17"/>
      <c r="B892" s="17"/>
      <c r="C892" s="17"/>
      <c r="D892" s="17"/>
      <c r="E892" s="17"/>
      <c r="F892" s="17"/>
      <c r="G892" s="17"/>
      <c r="H892" s="17"/>
      <c r="I892" s="17"/>
      <c r="J892" s="17"/>
      <c r="K892" s="17"/>
      <c r="L892" s="17"/>
      <c r="M892" s="17"/>
      <c r="N892" s="17"/>
      <c r="O892" s="17"/>
      <c r="P892" s="17"/>
      <c r="Q892" s="17"/>
      <c r="R892" s="17"/>
      <c r="S892" s="17"/>
      <c r="T892" s="17"/>
      <c r="U892" s="17"/>
      <c r="V892" s="17"/>
      <c r="W892" s="17"/>
      <c r="X892" s="17"/>
      <c r="Y892" s="17"/>
      <c r="Z892" s="17"/>
    </row>
    <row r="893" spans="1:26" ht="12.75">
      <c r="A893" s="17"/>
      <c r="B893" s="17"/>
      <c r="C893" s="17"/>
      <c r="D893" s="17"/>
      <c r="E893" s="17"/>
      <c r="F893" s="17"/>
      <c r="G893" s="17"/>
      <c r="H893" s="17"/>
      <c r="I893" s="17"/>
      <c r="J893" s="17"/>
      <c r="K893" s="17"/>
      <c r="L893" s="17"/>
      <c r="M893" s="17"/>
      <c r="N893" s="17"/>
      <c r="O893" s="17"/>
      <c r="P893" s="17"/>
      <c r="Q893" s="17"/>
      <c r="R893" s="17"/>
      <c r="S893" s="17"/>
      <c r="T893" s="17"/>
      <c r="U893" s="17"/>
      <c r="V893" s="17"/>
      <c r="W893" s="17"/>
      <c r="X893" s="17"/>
      <c r="Y893" s="17"/>
      <c r="Z893" s="17"/>
    </row>
    <row r="894" spans="1:26" ht="12.75">
      <c r="A894" s="1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row>
    <row r="895" spans="1:26" ht="12.75">
      <c r="A895" s="17"/>
      <c r="B895" s="17"/>
      <c r="C895" s="17"/>
      <c r="D895" s="17"/>
      <c r="E895" s="17"/>
      <c r="F895" s="17"/>
      <c r="G895" s="17"/>
      <c r="H895" s="17"/>
      <c r="I895" s="17"/>
      <c r="J895" s="17"/>
      <c r="K895" s="17"/>
      <c r="L895" s="17"/>
      <c r="M895" s="17"/>
      <c r="N895" s="17"/>
      <c r="O895" s="17"/>
      <c r="P895" s="17"/>
      <c r="Q895" s="17"/>
      <c r="R895" s="17"/>
      <c r="S895" s="17"/>
      <c r="T895" s="17"/>
      <c r="U895" s="17"/>
      <c r="V895" s="17"/>
      <c r="W895" s="17"/>
      <c r="X895" s="17"/>
      <c r="Y895" s="17"/>
      <c r="Z895" s="17"/>
    </row>
    <row r="896" spans="1:26" ht="12.75">
      <c r="A896" s="17"/>
      <c r="B896" s="17"/>
      <c r="C896" s="17"/>
      <c r="D896" s="17"/>
      <c r="E896" s="17"/>
      <c r="F896" s="17"/>
      <c r="G896" s="17"/>
      <c r="H896" s="17"/>
      <c r="I896" s="17"/>
      <c r="J896" s="17"/>
      <c r="K896" s="17"/>
      <c r="L896" s="17"/>
      <c r="M896" s="17"/>
      <c r="N896" s="17"/>
      <c r="O896" s="17"/>
      <c r="P896" s="17"/>
      <c r="Q896" s="17"/>
      <c r="R896" s="17"/>
      <c r="S896" s="17"/>
      <c r="T896" s="17"/>
      <c r="U896" s="17"/>
      <c r="V896" s="17"/>
      <c r="W896" s="17"/>
      <c r="X896" s="17"/>
      <c r="Y896" s="17"/>
      <c r="Z896" s="17"/>
    </row>
    <row r="897" spans="1:26" ht="12.75">
      <c r="A897" s="17"/>
      <c r="B897" s="17"/>
      <c r="C897" s="17"/>
      <c r="D897" s="17"/>
      <c r="E897" s="17"/>
      <c r="F897" s="17"/>
      <c r="G897" s="17"/>
      <c r="H897" s="17"/>
      <c r="I897" s="17"/>
      <c r="J897" s="17"/>
      <c r="K897" s="17"/>
      <c r="L897" s="17"/>
      <c r="M897" s="17"/>
      <c r="N897" s="17"/>
      <c r="O897" s="17"/>
      <c r="P897" s="17"/>
      <c r="Q897" s="17"/>
      <c r="R897" s="17"/>
      <c r="S897" s="17"/>
      <c r="T897" s="17"/>
      <c r="U897" s="17"/>
      <c r="V897" s="17"/>
      <c r="W897" s="17"/>
      <c r="X897" s="17"/>
      <c r="Y897" s="17"/>
      <c r="Z897" s="17"/>
    </row>
    <row r="898" spans="1:26" ht="12.75">
      <c r="A898" s="17"/>
      <c r="B898" s="17"/>
      <c r="C898" s="17"/>
      <c r="D898" s="17"/>
      <c r="E898" s="17"/>
      <c r="F898" s="17"/>
      <c r="G898" s="17"/>
      <c r="H898" s="17"/>
      <c r="I898" s="17"/>
      <c r="J898" s="17"/>
      <c r="K898" s="17"/>
      <c r="L898" s="17"/>
      <c r="M898" s="17"/>
      <c r="N898" s="17"/>
      <c r="O898" s="17"/>
      <c r="P898" s="17"/>
      <c r="Q898" s="17"/>
      <c r="R898" s="17"/>
      <c r="S898" s="17"/>
      <c r="T898" s="17"/>
      <c r="U898" s="17"/>
      <c r="V898" s="17"/>
      <c r="W898" s="17"/>
      <c r="X898" s="17"/>
      <c r="Y898" s="17"/>
      <c r="Z898" s="17"/>
    </row>
    <row r="899" spans="1:26" ht="12.75">
      <c r="A899" s="17"/>
      <c r="B899" s="17"/>
      <c r="C899" s="17"/>
      <c r="D899" s="17"/>
      <c r="E899" s="17"/>
      <c r="F899" s="17"/>
      <c r="G899" s="17"/>
      <c r="H899" s="17"/>
      <c r="I899" s="17"/>
      <c r="J899" s="17"/>
      <c r="K899" s="17"/>
      <c r="L899" s="17"/>
      <c r="M899" s="17"/>
      <c r="N899" s="17"/>
      <c r="O899" s="17"/>
      <c r="P899" s="17"/>
      <c r="Q899" s="17"/>
      <c r="R899" s="17"/>
      <c r="S899" s="17"/>
      <c r="T899" s="17"/>
      <c r="U899" s="17"/>
      <c r="V899" s="17"/>
      <c r="W899" s="17"/>
      <c r="X899" s="17"/>
      <c r="Y899" s="17"/>
      <c r="Z899" s="17"/>
    </row>
    <row r="900" spans="1:26" ht="12.75">
      <c r="A900" s="17"/>
      <c r="B900" s="17"/>
      <c r="C900" s="17"/>
      <c r="D900" s="17"/>
      <c r="E900" s="17"/>
      <c r="F900" s="17"/>
      <c r="G900" s="17"/>
      <c r="H900" s="17"/>
      <c r="I900" s="17"/>
      <c r="J900" s="17"/>
      <c r="K900" s="17"/>
      <c r="L900" s="17"/>
      <c r="M900" s="17"/>
      <c r="N900" s="17"/>
      <c r="O900" s="17"/>
      <c r="P900" s="17"/>
      <c r="Q900" s="17"/>
      <c r="R900" s="17"/>
      <c r="S900" s="17"/>
      <c r="T900" s="17"/>
      <c r="U900" s="17"/>
      <c r="V900" s="17"/>
      <c r="W900" s="17"/>
      <c r="X900" s="17"/>
      <c r="Y900" s="17"/>
      <c r="Z900" s="17"/>
    </row>
    <row r="901" spans="1:26" ht="12.75">
      <c r="A901" s="17"/>
      <c r="B901" s="17"/>
      <c r="C901" s="17"/>
      <c r="D901" s="17"/>
      <c r="E901" s="17"/>
      <c r="F901" s="17"/>
      <c r="G901" s="17"/>
      <c r="H901" s="17"/>
      <c r="I901" s="17"/>
      <c r="J901" s="17"/>
      <c r="K901" s="17"/>
      <c r="L901" s="17"/>
      <c r="M901" s="17"/>
      <c r="N901" s="17"/>
      <c r="O901" s="17"/>
      <c r="P901" s="17"/>
      <c r="Q901" s="17"/>
      <c r="R901" s="17"/>
      <c r="S901" s="17"/>
      <c r="T901" s="17"/>
      <c r="U901" s="17"/>
      <c r="V901" s="17"/>
      <c r="W901" s="17"/>
      <c r="X901" s="17"/>
      <c r="Y901" s="17"/>
      <c r="Z901" s="17"/>
    </row>
    <row r="902" spans="1:26" ht="12.75">
      <c r="A902" s="1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row>
    <row r="903" spans="1:26" ht="12.75">
      <c r="A903" s="17"/>
      <c r="B903" s="17"/>
      <c r="C903" s="17"/>
      <c r="D903" s="17"/>
      <c r="E903" s="17"/>
      <c r="F903" s="17"/>
      <c r="G903" s="17"/>
      <c r="H903" s="17"/>
      <c r="I903" s="17"/>
      <c r="J903" s="17"/>
      <c r="K903" s="17"/>
      <c r="L903" s="17"/>
      <c r="M903" s="17"/>
      <c r="N903" s="17"/>
      <c r="O903" s="17"/>
      <c r="P903" s="17"/>
      <c r="Q903" s="17"/>
      <c r="R903" s="17"/>
      <c r="S903" s="17"/>
      <c r="T903" s="17"/>
      <c r="U903" s="17"/>
      <c r="V903" s="17"/>
      <c r="W903" s="17"/>
      <c r="X903" s="17"/>
      <c r="Y903" s="17"/>
      <c r="Z903" s="17"/>
    </row>
    <row r="904" spans="1:26" ht="12.75">
      <c r="A904" s="17"/>
      <c r="B904" s="17"/>
      <c r="C904" s="17"/>
      <c r="D904" s="17"/>
      <c r="E904" s="17"/>
      <c r="F904" s="17"/>
      <c r="G904" s="17"/>
      <c r="H904" s="17"/>
      <c r="I904" s="17"/>
      <c r="J904" s="17"/>
      <c r="K904" s="17"/>
      <c r="L904" s="17"/>
      <c r="M904" s="17"/>
      <c r="N904" s="17"/>
      <c r="O904" s="17"/>
      <c r="P904" s="17"/>
      <c r="Q904" s="17"/>
      <c r="R904" s="17"/>
      <c r="S904" s="17"/>
      <c r="T904" s="17"/>
      <c r="U904" s="17"/>
      <c r="V904" s="17"/>
      <c r="W904" s="17"/>
      <c r="X904" s="17"/>
      <c r="Y904" s="17"/>
      <c r="Z904" s="17"/>
    </row>
    <row r="905" spans="1:26" ht="12.75">
      <c r="A905" s="17"/>
      <c r="B905" s="17"/>
      <c r="C905" s="17"/>
      <c r="D905" s="17"/>
      <c r="E905" s="17"/>
      <c r="F905" s="17"/>
      <c r="G905" s="17"/>
      <c r="H905" s="17"/>
      <c r="I905" s="17"/>
      <c r="J905" s="17"/>
      <c r="K905" s="17"/>
      <c r="L905" s="17"/>
      <c r="M905" s="17"/>
      <c r="N905" s="17"/>
      <c r="O905" s="17"/>
      <c r="P905" s="17"/>
      <c r="Q905" s="17"/>
      <c r="R905" s="17"/>
      <c r="S905" s="17"/>
      <c r="T905" s="17"/>
      <c r="U905" s="17"/>
      <c r="V905" s="17"/>
      <c r="W905" s="17"/>
      <c r="X905" s="17"/>
      <c r="Y905" s="17"/>
      <c r="Z905" s="17"/>
    </row>
    <row r="906" spans="1:26" ht="12.75">
      <c r="A906" s="17"/>
      <c r="B906" s="17"/>
      <c r="C906" s="17"/>
      <c r="D906" s="17"/>
      <c r="E906" s="17"/>
      <c r="F906" s="17"/>
      <c r="G906" s="17"/>
      <c r="H906" s="17"/>
      <c r="I906" s="17"/>
      <c r="J906" s="17"/>
      <c r="K906" s="17"/>
      <c r="L906" s="17"/>
      <c r="M906" s="17"/>
      <c r="N906" s="17"/>
      <c r="O906" s="17"/>
      <c r="P906" s="17"/>
      <c r="Q906" s="17"/>
      <c r="R906" s="17"/>
      <c r="S906" s="17"/>
      <c r="T906" s="17"/>
      <c r="U906" s="17"/>
      <c r="V906" s="17"/>
      <c r="W906" s="17"/>
      <c r="X906" s="17"/>
      <c r="Y906" s="17"/>
      <c r="Z906" s="17"/>
    </row>
    <row r="907" spans="1:26" ht="12.75">
      <c r="A907" s="17"/>
      <c r="B907" s="17"/>
      <c r="C907" s="17"/>
      <c r="D907" s="17"/>
      <c r="E907" s="17"/>
      <c r="F907" s="17"/>
      <c r="G907" s="17"/>
      <c r="H907" s="17"/>
      <c r="I907" s="17"/>
      <c r="J907" s="17"/>
      <c r="K907" s="17"/>
      <c r="L907" s="17"/>
      <c r="M907" s="17"/>
      <c r="N907" s="17"/>
      <c r="O907" s="17"/>
      <c r="P907" s="17"/>
      <c r="Q907" s="17"/>
      <c r="R907" s="17"/>
      <c r="S907" s="17"/>
      <c r="T907" s="17"/>
      <c r="U907" s="17"/>
      <c r="V907" s="17"/>
      <c r="W907" s="17"/>
      <c r="X907" s="17"/>
      <c r="Y907" s="17"/>
      <c r="Z907" s="17"/>
    </row>
    <row r="908" spans="1:26" ht="12.75">
      <c r="A908" s="17"/>
      <c r="B908" s="17"/>
      <c r="C908" s="17"/>
      <c r="D908" s="17"/>
      <c r="E908" s="17"/>
      <c r="F908" s="17"/>
      <c r="G908" s="17"/>
      <c r="H908" s="17"/>
      <c r="I908" s="17"/>
      <c r="J908" s="17"/>
      <c r="K908" s="17"/>
      <c r="L908" s="17"/>
      <c r="M908" s="17"/>
      <c r="N908" s="17"/>
      <c r="O908" s="17"/>
      <c r="P908" s="17"/>
      <c r="Q908" s="17"/>
      <c r="R908" s="17"/>
      <c r="S908" s="17"/>
      <c r="T908" s="17"/>
      <c r="U908" s="17"/>
      <c r="V908" s="17"/>
      <c r="W908" s="17"/>
      <c r="X908" s="17"/>
      <c r="Y908" s="17"/>
      <c r="Z908" s="17"/>
    </row>
    <row r="909" spans="1:26" ht="12.75">
      <c r="A909" s="17"/>
      <c r="B909" s="17"/>
      <c r="C909" s="17"/>
      <c r="D909" s="17"/>
      <c r="E909" s="17"/>
      <c r="F909" s="17"/>
      <c r="G909" s="17"/>
      <c r="H909" s="17"/>
      <c r="I909" s="17"/>
      <c r="J909" s="17"/>
      <c r="K909" s="17"/>
      <c r="L909" s="17"/>
      <c r="M909" s="17"/>
      <c r="N909" s="17"/>
      <c r="O909" s="17"/>
      <c r="P909" s="17"/>
      <c r="Q909" s="17"/>
      <c r="R909" s="17"/>
      <c r="S909" s="17"/>
      <c r="T909" s="17"/>
      <c r="U909" s="17"/>
      <c r="V909" s="17"/>
      <c r="W909" s="17"/>
      <c r="X909" s="17"/>
      <c r="Y909" s="17"/>
      <c r="Z909" s="17"/>
    </row>
    <row r="910" spans="1:26" ht="12.75">
      <c r="A910" s="1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row>
    <row r="911" spans="1:26" ht="12.75">
      <c r="A911" s="17"/>
      <c r="B911" s="17"/>
      <c r="C911" s="17"/>
      <c r="D911" s="17"/>
      <c r="E911" s="17"/>
      <c r="F911" s="17"/>
      <c r="G911" s="17"/>
      <c r="H911" s="17"/>
      <c r="I911" s="17"/>
      <c r="J911" s="17"/>
      <c r="K911" s="17"/>
      <c r="L911" s="17"/>
      <c r="M911" s="17"/>
      <c r="N911" s="17"/>
      <c r="O911" s="17"/>
      <c r="P911" s="17"/>
      <c r="Q911" s="17"/>
      <c r="R911" s="17"/>
      <c r="S911" s="17"/>
      <c r="T911" s="17"/>
      <c r="U911" s="17"/>
      <c r="V911" s="17"/>
      <c r="W911" s="17"/>
      <c r="X911" s="17"/>
      <c r="Y911" s="17"/>
      <c r="Z911" s="17"/>
    </row>
    <row r="912" spans="1:26" ht="12.75">
      <c r="A912" s="17"/>
      <c r="B912" s="17"/>
      <c r="C912" s="17"/>
      <c r="D912" s="17"/>
      <c r="E912" s="17"/>
      <c r="F912" s="17"/>
      <c r="G912" s="17"/>
      <c r="H912" s="17"/>
      <c r="I912" s="17"/>
      <c r="J912" s="17"/>
      <c r="K912" s="17"/>
      <c r="L912" s="17"/>
      <c r="M912" s="17"/>
      <c r="N912" s="17"/>
      <c r="O912" s="17"/>
      <c r="P912" s="17"/>
      <c r="Q912" s="17"/>
      <c r="R912" s="17"/>
      <c r="S912" s="17"/>
      <c r="T912" s="17"/>
      <c r="U912" s="17"/>
      <c r="V912" s="17"/>
      <c r="W912" s="17"/>
      <c r="X912" s="17"/>
      <c r="Y912" s="17"/>
      <c r="Z912" s="17"/>
    </row>
    <row r="913" spans="1:26" ht="12.75">
      <c r="A913" s="17"/>
      <c r="B913" s="17"/>
      <c r="C913" s="17"/>
      <c r="D913" s="17"/>
      <c r="E913" s="17"/>
      <c r="F913" s="17"/>
      <c r="G913" s="17"/>
      <c r="H913" s="17"/>
      <c r="I913" s="17"/>
      <c r="J913" s="17"/>
      <c r="K913" s="17"/>
      <c r="L913" s="17"/>
      <c r="M913" s="17"/>
      <c r="N913" s="17"/>
      <c r="O913" s="17"/>
      <c r="P913" s="17"/>
      <c r="Q913" s="17"/>
      <c r="R913" s="17"/>
      <c r="S913" s="17"/>
      <c r="T913" s="17"/>
      <c r="U913" s="17"/>
      <c r="V913" s="17"/>
      <c r="W913" s="17"/>
      <c r="X913" s="17"/>
      <c r="Y913" s="17"/>
      <c r="Z913" s="17"/>
    </row>
    <row r="914" spans="1:26" ht="12.75">
      <c r="A914" s="17"/>
      <c r="B914" s="17"/>
      <c r="C914" s="17"/>
      <c r="D914" s="17"/>
      <c r="E914" s="17"/>
      <c r="F914" s="17"/>
      <c r="G914" s="17"/>
      <c r="H914" s="17"/>
      <c r="I914" s="17"/>
      <c r="J914" s="17"/>
      <c r="K914" s="17"/>
      <c r="L914" s="17"/>
      <c r="M914" s="17"/>
      <c r="N914" s="17"/>
      <c r="O914" s="17"/>
      <c r="P914" s="17"/>
      <c r="Q914" s="17"/>
      <c r="R914" s="17"/>
      <c r="S914" s="17"/>
      <c r="T914" s="17"/>
      <c r="U914" s="17"/>
      <c r="V914" s="17"/>
      <c r="W914" s="17"/>
      <c r="X914" s="17"/>
      <c r="Y914" s="17"/>
      <c r="Z914" s="17"/>
    </row>
    <row r="915" spans="1:26" ht="12.75">
      <c r="A915" s="17"/>
      <c r="B915" s="17"/>
      <c r="C915" s="17"/>
      <c r="D915" s="17"/>
      <c r="E915" s="17"/>
      <c r="F915" s="17"/>
      <c r="G915" s="17"/>
      <c r="H915" s="17"/>
      <c r="I915" s="17"/>
      <c r="J915" s="17"/>
      <c r="K915" s="17"/>
      <c r="L915" s="17"/>
      <c r="M915" s="17"/>
      <c r="N915" s="17"/>
      <c r="O915" s="17"/>
      <c r="P915" s="17"/>
      <c r="Q915" s="17"/>
      <c r="R915" s="17"/>
      <c r="S915" s="17"/>
      <c r="T915" s="17"/>
      <c r="U915" s="17"/>
      <c r="V915" s="17"/>
      <c r="W915" s="17"/>
      <c r="X915" s="17"/>
      <c r="Y915" s="17"/>
      <c r="Z915" s="17"/>
    </row>
    <row r="916" spans="1:26" ht="12.75">
      <c r="A916" s="17"/>
      <c r="B916" s="17"/>
      <c r="C916" s="17"/>
      <c r="D916" s="17"/>
      <c r="E916" s="17"/>
      <c r="F916" s="17"/>
      <c r="G916" s="17"/>
      <c r="H916" s="17"/>
      <c r="I916" s="17"/>
      <c r="J916" s="17"/>
      <c r="K916" s="17"/>
      <c r="L916" s="17"/>
      <c r="M916" s="17"/>
      <c r="N916" s="17"/>
      <c r="O916" s="17"/>
      <c r="P916" s="17"/>
      <c r="Q916" s="17"/>
      <c r="R916" s="17"/>
      <c r="S916" s="17"/>
      <c r="T916" s="17"/>
      <c r="U916" s="17"/>
      <c r="V916" s="17"/>
      <c r="W916" s="17"/>
      <c r="X916" s="17"/>
      <c r="Y916" s="17"/>
      <c r="Z916" s="17"/>
    </row>
    <row r="917" spans="1:26" ht="12.75">
      <c r="A917" s="17"/>
      <c r="B917" s="17"/>
      <c r="C917" s="17"/>
      <c r="D917" s="17"/>
      <c r="E917" s="17"/>
      <c r="F917" s="17"/>
      <c r="G917" s="17"/>
      <c r="H917" s="17"/>
      <c r="I917" s="17"/>
      <c r="J917" s="17"/>
      <c r="K917" s="17"/>
      <c r="L917" s="17"/>
      <c r="M917" s="17"/>
      <c r="N917" s="17"/>
      <c r="O917" s="17"/>
      <c r="P917" s="17"/>
      <c r="Q917" s="17"/>
      <c r="R917" s="17"/>
      <c r="S917" s="17"/>
      <c r="T917" s="17"/>
      <c r="U917" s="17"/>
      <c r="V917" s="17"/>
      <c r="W917" s="17"/>
      <c r="X917" s="17"/>
      <c r="Y917" s="17"/>
      <c r="Z917" s="17"/>
    </row>
    <row r="918" spans="1:26" ht="12.75">
      <c r="A918" s="1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row>
    <row r="919" spans="1:26" ht="12.75">
      <c r="A919" s="17"/>
      <c r="B919" s="17"/>
      <c r="C919" s="17"/>
      <c r="D919" s="17"/>
      <c r="E919" s="17"/>
      <c r="F919" s="17"/>
      <c r="G919" s="17"/>
      <c r="H919" s="17"/>
      <c r="I919" s="17"/>
      <c r="J919" s="17"/>
      <c r="K919" s="17"/>
      <c r="L919" s="17"/>
      <c r="M919" s="17"/>
      <c r="N919" s="17"/>
      <c r="O919" s="17"/>
      <c r="P919" s="17"/>
      <c r="Q919" s="17"/>
      <c r="R919" s="17"/>
      <c r="S919" s="17"/>
      <c r="T919" s="17"/>
      <c r="U919" s="17"/>
      <c r="V919" s="17"/>
      <c r="W919" s="17"/>
      <c r="X919" s="17"/>
      <c r="Y919" s="17"/>
      <c r="Z919" s="17"/>
    </row>
    <row r="920" spans="1:26" ht="12.75">
      <c r="A920" s="17"/>
      <c r="B920" s="17"/>
      <c r="C920" s="17"/>
      <c r="D920" s="17"/>
      <c r="E920" s="17"/>
      <c r="F920" s="17"/>
      <c r="G920" s="17"/>
      <c r="H920" s="17"/>
      <c r="I920" s="17"/>
      <c r="J920" s="17"/>
      <c r="K920" s="17"/>
      <c r="L920" s="17"/>
      <c r="M920" s="17"/>
      <c r="N920" s="17"/>
      <c r="O920" s="17"/>
      <c r="P920" s="17"/>
      <c r="Q920" s="17"/>
      <c r="R920" s="17"/>
      <c r="S920" s="17"/>
      <c r="T920" s="17"/>
      <c r="U920" s="17"/>
      <c r="V920" s="17"/>
      <c r="W920" s="17"/>
      <c r="X920" s="17"/>
      <c r="Y920" s="17"/>
      <c r="Z920" s="17"/>
    </row>
    <row r="921" spans="1:26" ht="12.75">
      <c r="A921" s="17"/>
      <c r="B921" s="17"/>
      <c r="C921" s="17"/>
      <c r="D921" s="17"/>
      <c r="E921" s="17"/>
      <c r="F921" s="17"/>
      <c r="G921" s="17"/>
      <c r="H921" s="17"/>
      <c r="I921" s="17"/>
      <c r="J921" s="17"/>
      <c r="K921" s="17"/>
      <c r="L921" s="17"/>
      <c r="M921" s="17"/>
      <c r="N921" s="17"/>
      <c r="O921" s="17"/>
      <c r="P921" s="17"/>
      <c r="Q921" s="17"/>
      <c r="R921" s="17"/>
      <c r="S921" s="17"/>
      <c r="T921" s="17"/>
      <c r="U921" s="17"/>
      <c r="V921" s="17"/>
      <c r="W921" s="17"/>
      <c r="X921" s="17"/>
      <c r="Y921" s="17"/>
      <c r="Z921" s="17"/>
    </row>
    <row r="922" spans="1:26" ht="12.75">
      <c r="A922" s="17"/>
      <c r="B922" s="17"/>
      <c r="C922" s="17"/>
      <c r="D922" s="17"/>
      <c r="E922" s="17"/>
      <c r="F922" s="17"/>
      <c r="G922" s="17"/>
      <c r="H922" s="17"/>
      <c r="I922" s="17"/>
      <c r="J922" s="17"/>
      <c r="K922" s="17"/>
      <c r="L922" s="17"/>
      <c r="M922" s="17"/>
      <c r="N922" s="17"/>
      <c r="O922" s="17"/>
      <c r="P922" s="17"/>
      <c r="Q922" s="17"/>
      <c r="R922" s="17"/>
      <c r="S922" s="17"/>
      <c r="T922" s="17"/>
      <c r="U922" s="17"/>
      <c r="V922" s="17"/>
      <c r="W922" s="17"/>
      <c r="X922" s="17"/>
      <c r="Y922" s="17"/>
      <c r="Z922" s="17"/>
    </row>
    <row r="923" spans="1:26" ht="12.75">
      <c r="A923" s="17"/>
      <c r="B923" s="17"/>
      <c r="C923" s="17"/>
      <c r="D923" s="17"/>
      <c r="E923" s="17"/>
      <c r="F923" s="17"/>
      <c r="G923" s="17"/>
      <c r="H923" s="17"/>
      <c r="I923" s="17"/>
      <c r="J923" s="17"/>
      <c r="K923" s="17"/>
      <c r="L923" s="17"/>
      <c r="M923" s="17"/>
      <c r="N923" s="17"/>
      <c r="O923" s="17"/>
      <c r="P923" s="17"/>
      <c r="Q923" s="17"/>
      <c r="R923" s="17"/>
      <c r="S923" s="17"/>
      <c r="T923" s="17"/>
      <c r="U923" s="17"/>
      <c r="V923" s="17"/>
      <c r="W923" s="17"/>
      <c r="X923" s="17"/>
      <c r="Y923" s="17"/>
      <c r="Z923" s="17"/>
    </row>
    <row r="924" spans="1:26" ht="12.75">
      <c r="A924" s="17"/>
      <c r="B924" s="17"/>
      <c r="C924" s="17"/>
      <c r="D924" s="17"/>
      <c r="E924" s="17"/>
      <c r="F924" s="17"/>
      <c r="G924" s="17"/>
      <c r="H924" s="17"/>
      <c r="I924" s="17"/>
      <c r="J924" s="17"/>
      <c r="K924" s="17"/>
      <c r="L924" s="17"/>
      <c r="M924" s="17"/>
      <c r="N924" s="17"/>
      <c r="O924" s="17"/>
      <c r="P924" s="17"/>
      <c r="Q924" s="17"/>
      <c r="R924" s="17"/>
      <c r="S924" s="17"/>
      <c r="T924" s="17"/>
      <c r="U924" s="17"/>
      <c r="V924" s="17"/>
      <c r="W924" s="17"/>
      <c r="X924" s="17"/>
      <c r="Y924" s="17"/>
      <c r="Z924" s="17"/>
    </row>
    <row r="925" spans="1:26" ht="12.75">
      <c r="A925" s="17"/>
      <c r="B925" s="17"/>
      <c r="C925" s="17"/>
      <c r="D925" s="17"/>
      <c r="E925" s="17"/>
      <c r="F925" s="17"/>
      <c r="G925" s="17"/>
      <c r="H925" s="17"/>
      <c r="I925" s="17"/>
      <c r="J925" s="17"/>
      <c r="K925" s="17"/>
      <c r="L925" s="17"/>
      <c r="M925" s="17"/>
      <c r="N925" s="17"/>
      <c r="O925" s="17"/>
      <c r="P925" s="17"/>
      <c r="Q925" s="17"/>
      <c r="R925" s="17"/>
      <c r="S925" s="17"/>
      <c r="T925" s="17"/>
      <c r="U925" s="17"/>
      <c r="V925" s="17"/>
      <c r="W925" s="17"/>
      <c r="X925" s="17"/>
      <c r="Y925" s="17"/>
      <c r="Z925" s="17"/>
    </row>
    <row r="926" spans="1:26" ht="12.75">
      <c r="A926" s="1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row>
    <row r="927" spans="1:26" ht="12.75">
      <c r="A927" s="17"/>
      <c r="B927" s="17"/>
      <c r="C927" s="17"/>
      <c r="D927" s="17"/>
      <c r="E927" s="17"/>
      <c r="F927" s="17"/>
      <c r="G927" s="17"/>
      <c r="H927" s="17"/>
      <c r="I927" s="17"/>
      <c r="J927" s="17"/>
      <c r="K927" s="17"/>
      <c r="L927" s="17"/>
      <c r="M927" s="17"/>
      <c r="N927" s="17"/>
      <c r="O927" s="17"/>
      <c r="P927" s="17"/>
      <c r="Q927" s="17"/>
      <c r="R927" s="17"/>
      <c r="S927" s="17"/>
      <c r="T927" s="17"/>
      <c r="U927" s="17"/>
      <c r="V927" s="17"/>
      <c r="W927" s="17"/>
      <c r="X927" s="17"/>
      <c r="Y927" s="17"/>
      <c r="Z927" s="17"/>
    </row>
    <row r="928" spans="1:26" ht="12.75">
      <c r="A928" s="17"/>
      <c r="B928" s="17"/>
      <c r="C928" s="17"/>
      <c r="D928" s="17"/>
      <c r="E928" s="17"/>
      <c r="F928" s="17"/>
      <c r="G928" s="17"/>
      <c r="H928" s="17"/>
      <c r="I928" s="17"/>
      <c r="J928" s="17"/>
      <c r="K928" s="17"/>
      <c r="L928" s="17"/>
      <c r="M928" s="17"/>
      <c r="N928" s="17"/>
      <c r="O928" s="17"/>
      <c r="P928" s="17"/>
      <c r="Q928" s="17"/>
      <c r="R928" s="17"/>
      <c r="S928" s="17"/>
      <c r="T928" s="17"/>
      <c r="U928" s="17"/>
      <c r="V928" s="17"/>
      <c r="W928" s="17"/>
      <c r="X928" s="17"/>
      <c r="Y928" s="17"/>
      <c r="Z928" s="17"/>
    </row>
    <row r="929" spans="1:26" ht="12.75">
      <c r="A929" s="17"/>
      <c r="B929" s="17"/>
      <c r="C929" s="17"/>
      <c r="D929" s="17"/>
      <c r="E929" s="17"/>
      <c r="F929" s="17"/>
      <c r="G929" s="17"/>
      <c r="H929" s="17"/>
      <c r="I929" s="17"/>
      <c r="J929" s="17"/>
      <c r="K929" s="17"/>
      <c r="L929" s="17"/>
      <c r="M929" s="17"/>
      <c r="N929" s="17"/>
      <c r="O929" s="17"/>
      <c r="P929" s="17"/>
      <c r="Q929" s="17"/>
      <c r="R929" s="17"/>
      <c r="S929" s="17"/>
      <c r="T929" s="17"/>
      <c r="U929" s="17"/>
      <c r="V929" s="17"/>
      <c r="W929" s="17"/>
      <c r="X929" s="17"/>
      <c r="Y929" s="17"/>
      <c r="Z929" s="17"/>
    </row>
    <row r="930" spans="1:26" ht="12.75">
      <c r="A930" s="17"/>
      <c r="B930" s="17"/>
      <c r="C930" s="17"/>
      <c r="D930" s="17"/>
      <c r="E930" s="17"/>
      <c r="F930" s="17"/>
      <c r="G930" s="17"/>
      <c r="H930" s="17"/>
      <c r="I930" s="17"/>
      <c r="J930" s="17"/>
      <c r="K930" s="17"/>
      <c r="L930" s="17"/>
      <c r="M930" s="17"/>
      <c r="N930" s="17"/>
      <c r="O930" s="17"/>
      <c r="P930" s="17"/>
      <c r="Q930" s="17"/>
      <c r="R930" s="17"/>
      <c r="S930" s="17"/>
      <c r="T930" s="17"/>
      <c r="U930" s="17"/>
      <c r="V930" s="17"/>
      <c r="W930" s="17"/>
      <c r="X930" s="17"/>
      <c r="Y930" s="17"/>
      <c r="Z930" s="17"/>
    </row>
    <row r="931" spans="1:26" ht="12.75">
      <c r="A931" s="17"/>
      <c r="B931" s="17"/>
      <c r="C931" s="17"/>
      <c r="D931" s="17"/>
      <c r="E931" s="17"/>
      <c r="F931" s="17"/>
      <c r="G931" s="17"/>
      <c r="H931" s="17"/>
      <c r="I931" s="17"/>
      <c r="J931" s="17"/>
      <c r="K931" s="17"/>
      <c r="L931" s="17"/>
      <c r="M931" s="17"/>
      <c r="N931" s="17"/>
      <c r="O931" s="17"/>
      <c r="P931" s="17"/>
      <c r="Q931" s="17"/>
      <c r="R931" s="17"/>
      <c r="S931" s="17"/>
      <c r="T931" s="17"/>
      <c r="U931" s="17"/>
      <c r="V931" s="17"/>
      <c r="W931" s="17"/>
      <c r="X931" s="17"/>
      <c r="Y931" s="17"/>
      <c r="Z931" s="17"/>
    </row>
    <row r="932" spans="1:26" ht="12.75">
      <c r="A932" s="17"/>
      <c r="B932" s="17"/>
      <c r="C932" s="17"/>
      <c r="D932" s="17"/>
      <c r="E932" s="17"/>
      <c r="F932" s="17"/>
      <c r="G932" s="17"/>
      <c r="H932" s="17"/>
      <c r="I932" s="17"/>
      <c r="J932" s="17"/>
      <c r="K932" s="17"/>
      <c r="L932" s="17"/>
      <c r="M932" s="17"/>
      <c r="N932" s="17"/>
      <c r="O932" s="17"/>
      <c r="P932" s="17"/>
      <c r="Q932" s="17"/>
      <c r="R932" s="17"/>
      <c r="S932" s="17"/>
      <c r="T932" s="17"/>
      <c r="U932" s="17"/>
      <c r="V932" s="17"/>
      <c r="W932" s="17"/>
      <c r="X932" s="17"/>
      <c r="Y932" s="17"/>
      <c r="Z932" s="17"/>
    </row>
    <row r="933" spans="1:26" ht="12.75">
      <c r="A933" s="17"/>
      <c r="B933" s="17"/>
      <c r="C933" s="17"/>
      <c r="D933" s="17"/>
      <c r="E933" s="17"/>
      <c r="F933" s="17"/>
      <c r="G933" s="17"/>
      <c r="H933" s="17"/>
      <c r="I933" s="17"/>
      <c r="J933" s="17"/>
      <c r="K933" s="17"/>
      <c r="L933" s="17"/>
      <c r="M933" s="17"/>
      <c r="N933" s="17"/>
      <c r="O933" s="17"/>
      <c r="P933" s="17"/>
      <c r="Q933" s="17"/>
      <c r="R933" s="17"/>
      <c r="S933" s="17"/>
      <c r="T933" s="17"/>
      <c r="U933" s="17"/>
      <c r="V933" s="17"/>
      <c r="W933" s="17"/>
      <c r="X933" s="17"/>
      <c r="Y933" s="17"/>
      <c r="Z933" s="17"/>
    </row>
    <row r="934" spans="1:26" ht="12.75">
      <c r="A934" s="1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row>
    <row r="935" spans="1:26" ht="12.75">
      <c r="A935" s="17"/>
      <c r="B935" s="17"/>
      <c r="C935" s="17"/>
      <c r="D935" s="17"/>
      <c r="E935" s="17"/>
      <c r="F935" s="17"/>
      <c r="G935" s="17"/>
      <c r="H935" s="17"/>
      <c r="I935" s="17"/>
      <c r="J935" s="17"/>
      <c r="K935" s="17"/>
      <c r="L935" s="17"/>
      <c r="M935" s="17"/>
      <c r="N935" s="17"/>
      <c r="O935" s="17"/>
      <c r="P935" s="17"/>
      <c r="Q935" s="17"/>
      <c r="R935" s="17"/>
      <c r="S935" s="17"/>
      <c r="T935" s="17"/>
      <c r="U935" s="17"/>
      <c r="V935" s="17"/>
      <c r="W935" s="17"/>
      <c r="X935" s="17"/>
      <c r="Y935" s="17"/>
      <c r="Z935" s="17"/>
    </row>
    <row r="936" spans="1:26" ht="12.75">
      <c r="A936" s="17"/>
      <c r="B936" s="17"/>
      <c r="C936" s="17"/>
      <c r="D936" s="17"/>
      <c r="E936" s="17"/>
      <c r="F936" s="17"/>
      <c r="G936" s="17"/>
      <c r="H936" s="17"/>
      <c r="I936" s="17"/>
      <c r="J936" s="17"/>
      <c r="K936" s="17"/>
      <c r="L936" s="17"/>
      <c r="M936" s="17"/>
      <c r="N936" s="17"/>
      <c r="O936" s="17"/>
      <c r="P936" s="17"/>
      <c r="Q936" s="17"/>
      <c r="R936" s="17"/>
      <c r="S936" s="17"/>
      <c r="T936" s="17"/>
      <c r="U936" s="17"/>
      <c r="V936" s="17"/>
      <c r="W936" s="17"/>
      <c r="X936" s="17"/>
      <c r="Y936" s="17"/>
      <c r="Z936" s="17"/>
    </row>
    <row r="937" spans="1:26" ht="12.75">
      <c r="A937" s="17"/>
      <c r="B937" s="17"/>
      <c r="C937" s="17"/>
      <c r="D937" s="17"/>
      <c r="E937" s="17"/>
      <c r="F937" s="17"/>
      <c r="G937" s="17"/>
      <c r="H937" s="17"/>
      <c r="I937" s="17"/>
      <c r="J937" s="17"/>
      <c r="K937" s="17"/>
      <c r="L937" s="17"/>
      <c r="M937" s="17"/>
      <c r="N937" s="17"/>
      <c r="O937" s="17"/>
      <c r="P937" s="17"/>
      <c r="Q937" s="17"/>
      <c r="R937" s="17"/>
      <c r="S937" s="17"/>
      <c r="T937" s="17"/>
      <c r="U937" s="17"/>
      <c r="V937" s="17"/>
      <c r="W937" s="17"/>
      <c r="X937" s="17"/>
      <c r="Y937" s="17"/>
      <c r="Z937" s="17"/>
    </row>
    <row r="938" spans="1:26" ht="12.75">
      <c r="A938" s="17"/>
      <c r="B938" s="17"/>
      <c r="C938" s="17"/>
      <c r="D938" s="17"/>
      <c r="E938" s="17"/>
      <c r="F938" s="17"/>
      <c r="G938" s="17"/>
      <c r="H938" s="17"/>
      <c r="I938" s="17"/>
      <c r="J938" s="17"/>
      <c r="K938" s="17"/>
      <c r="L938" s="17"/>
      <c r="M938" s="17"/>
      <c r="N938" s="17"/>
      <c r="O938" s="17"/>
      <c r="P938" s="17"/>
      <c r="Q938" s="17"/>
      <c r="R938" s="17"/>
      <c r="S938" s="17"/>
      <c r="T938" s="17"/>
      <c r="U938" s="17"/>
      <c r="V938" s="17"/>
      <c r="W938" s="17"/>
      <c r="X938" s="17"/>
      <c r="Y938" s="17"/>
      <c r="Z938" s="17"/>
    </row>
    <row r="939" spans="1:26" ht="12.75">
      <c r="A939" s="17"/>
      <c r="B939" s="17"/>
      <c r="C939" s="17"/>
      <c r="D939" s="17"/>
      <c r="E939" s="17"/>
      <c r="F939" s="17"/>
      <c r="G939" s="17"/>
      <c r="H939" s="17"/>
      <c r="I939" s="17"/>
      <c r="J939" s="17"/>
      <c r="K939" s="17"/>
      <c r="L939" s="17"/>
      <c r="M939" s="17"/>
      <c r="N939" s="17"/>
      <c r="O939" s="17"/>
      <c r="P939" s="17"/>
      <c r="Q939" s="17"/>
      <c r="R939" s="17"/>
      <c r="S939" s="17"/>
      <c r="T939" s="17"/>
      <c r="U939" s="17"/>
      <c r="V939" s="17"/>
      <c r="W939" s="17"/>
      <c r="X939" s="17"/>
      <c r="Y939" s="17"/>
      <c r="Z939" s="17"/>
    </row>
    <row r="940" spans="1:26" ht="12.75">
      <c r="A940" s="17"/>
      <c r="B940" s="17"/>
      <c r="C940" s="17"/>
      <c r="D940" s="17"/>
      <c r="E940" s="17"/>
      <c r="F940" s="17"/>
      <c r="G940" s="17"/>
      <c r="H940" s="17"/>
      <c r="I940" s="17"/>
      <c r="J940" s="17"/>
      <c r="K940" s="17"/>
      <c r="L940" s="17"/>
      <c r="M940" s="17"/>
      <c r="N940" s="17"/>
      <c r="O940" s="17"/>
      <c r="P940" s="17"/>
      <c r="Q940" s="17"/>
      <c r="R940" s="17"/>
      <c r="S940" s="17"/>
      <c r="T940" s="17"/>
      <c r="U940" s="17"/>
      <c r="V940" s="17"/>
      <c r="W940" s="17"/>
      <c r="X940" s="17"/>
      <c r="Y940" s="17"/>
      <c r="Z940" s="17"/>
    </row>
    <row r="941" spans="1:26" ht="12.75">
      <c r="A941" s="17"/>
      <c r="B941" s="17"/>
      <c r="C941" s="17"/>
      <c r="D941" s="17"/>
      <c r="E941" s="17"/>
      <c r="F941" s="17"/>
      <c r="G941" s="17"/>
      <c r="H941" s="17"/>
      <c r="I941" s="17"/>
      <c r="J941" s="17"/>
      <c r="K941" s="17"/>
      <c r="L941" s="17"/>
      <c r="M941" s="17"/>
      <c r="N941" s="17"/>
      <c r="O941" s="17"/>
      <c r="P941" s="17"/>
      <c r="Q941" s="17"/>
      <c r="R941" s="17"/>
      <c r="S941" s="17"/>
      <c r="T941" s="17"/>
      <c r="U941" s="17"/>
      <c r="V941" s="17"/>
      <c r="W941" s="17"/>
      <c r="X941" s="17"/>
      <c r="Y941" s="17"/>
      <c r="Z941" s="17"/>
    </row>
    <row r="942" spans="1:26" ht="12.75">
      <c r="A942" s="1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row>
    <row r="943" spans="1:26" ht="12.75">
      <c r="A943" s="17"/>
      <c r="B943" s="17"/>
      <c r="C943" s="17"/>
      <c r="D943" s="17"/>
      <c r="E943" s="17"/>
      <c r="F943" s="17"/>
      <c r="G943" s="17"/>
      <c r="H943" s="17"/>
      <c r="I943" s="17"/>
      <c r="J943" s="17"/>
      <c r="K943" s="17"/>
      <c r="L943" s="17"/>
      <c r="M943" s="17"/>
      <c r="N943" s="17"/>
      <c r="O943" s="17"/>
      <c r="P943" s="17"/>
      <c r="Q943" s="17"/>
      <c r="R943" s="17"/>
      <c r="S943" s="17"/>
      <c r="T943" s="17"/>
      <c r="U943" s="17"/>
      <c r="V943" s="17"/>
      <c r="W943" s="17"/>
      <c r="X943" s="17"/>
      <c r="Y943" s="17"/>
      <c r="Z943" s="17"/>
    </row>
    <row r="944" spans="1:26" ht="12.75">
      <c r="A944" s="17"/>
      <c r="B944" s="17"/>
      <c r="C944" s="17"/>
      <c r="D944" s="17"/>
      <c r="E944" s="17"/>
      <c r="F944" s="17"/>
      <c r="G944" s="17"/>
      <c r="H944" s="17"/>
      <c r="I944" s="17"/>
      <c r="J944" s="17"/>
      <c r="K944" s="17"/>
      <c r="L944" s="17"/>
      <c r="M944" s="17"/>
      <c r="N944" s="17"/>
      <c r="O944" s="17"/>
      <c r="P944" s="17"/>
      <c r="Q944" s="17"/>
      <c r="R944" s="17"/>
      <c r="S944" s="17"/>
      <c r="T944" s="17"/>
      <c r="U944" s="17"/>
      <c r="V944" s="17"/>
      <c r="W944" s="17"/>
      <c r="X944" s="17"/>
      <c r="Y944" s="17"/>
      <c r="Z944" s="17"/>
    </row>
    <row r="945" spans="1:26" ht="12.75">
      <c r="A945" s="17"/>
      <c r="B945" s="17"/>
      <c r="C945" s="17"/>
      <c r="D945" s="17"/>
      <c r="E945" s="17"/>
      <c r="F945" s="17"/>
      <c r="G945" s="17"/>
      <c r="H945" s="17"/>
      <c r="I945" s="17"/>
      <c r="J945" s="17"/>
      <c r="K945" s="17"/>
      <c r="L945" s="17"/>
      <c r="M945" s="17"/>
      <c r="N945" s="17"/>
      <c r="O945" s="17"/>
      <c r="P945" s="17"/>
      <c r="Q945" s="17"/>
      <c r="R945" s="17"/>
      <c r="S945" s="17"/>
      <c r="T945" s="17"/>
      <c r="U945" s="17"/>
      <c r="V945" s="17"/>
      <c r="W945" s="17"/>
      <c r="X945" s="17"/>
      <c r="Y945" s="17"/>
      <c r="Z945" s="17"/>
    </row>
    <row r="946" spans="1:26" ht="12.75">
      <c r="A946" s="17"/>
      <c r="B946" s="17"/>
      <c r="C946" s="17"/>
      <c r="D946" s="17"/>
      <c r="E946" s="17"/>
      <c r="F946" s="17"/>
      <c r="G946" s="17"/>
      <c r="H946" s="17"/>
      <c r="I946" s="17"/>
      <c r="J946" s="17"/>
      <c r="K946" s="17"/>
      <c r="L946" s="17"/>
      <c r="M946" s="17"/>
      <c r="N946" s="17"/>
      <c r="O946" s="17"/>
      <c r="P946" s="17"/>
      <c r="Q946" s="17"/>
      <c r="R946" s="17"/>
      <c r="S946" s="17"/>
      <c r="T946" s="17"/>
      <c r="U946" s="17"/>
      <c r="V946" s="17"/>
      <c r="W946" s="17"/>
      <c r="X946" s="17"/>
      <c r="Y946" s="17"/>
      <c r="Z946" s="17"/>
    </row>
    <row r="947" spans="1:26" ht="12.75">
      <c r="A947" s="17"/>
      <c r="B947" s="17"/>
      <c r="C947" s="17"/>
      <c r="D947" s="17"/>
      <c r="E947" s="17"/>
      <c r="F947" s="17"/>
      <c r="G947" s="17"/>
      <c r="H947" s="17"/>
      <c r="I947" s="17"/>
      <c r="J947" s="17"/>
      <c r="K947" s="17"/>
      <c r="L947" s="17"/>
      <c r="M947" s="17"/>
      <c r="N947" s="17"/>
      <c r="O947" s="17"/>
      <c r="P947" s="17"/>
      <c r="Q947" s="17"/>
      <c r="R947" s="17"/>
      <c r="S947" s="17"/>
      <c r="T947" s="17"/>
      <c r="U947" s="17"/>
      <c r="V947" s="17"/>
      <c r="W947" s="17"/>
      <c r="X947" s="17"/>
      <c r="Y947" s="17"/>
      <c r="Z947" s="17"/>
    </row>
    <row r="948" spans="1:26" ht="12.75">
      <c r="A948" s="17"/>
      <c r="B948" s="17"/>
      <c r="C948" s="17"/>
      <c r="D948" s="17"/>
      <c r="E948" s="17"/>
      <c r="F948" s="17"/>
      <c r="G948" s="17"/>
      <c r="H948" s="17"/>
      <c r="I948" s="17"/>
      <c r="J948" s="17"/>
      <c r="K948" s="17"/>
      <c r="L948" s="17"/>
      <c r="M948" s="17"/>
      <c r="N948" s="17"/>
      <c r="O948" s="17"/>
      <c r="P948" s="17"/>
      <c r="Q948" s="17"/>
      <c r="R948" s="17"/>
      <c r="S948" s="17"/>
      <c r="T948" s="17"/>
      <c r="U948" s="17"/>
      <c r="V948" s="17"/>
      <c r="W948" s="17"/>
      <c r="X948" s="17"/>
      <c r="Y948" s="17"/>
      <c r="Z948" s="17"/>
    </row>
    <row r="949" spans="1:26" ht="12.75">
      <c r="A949" s="17"/>
      <c r="B949" s="17"/>
      <c r="C949" s="17"/>
      <c r="D949" s="17"/>
      <c r="E949" s="17"/>
      <c r="F949" s="17"/>
      <c r="G949" s="17"/>
      <c r="H949" s="17"/>
      <c r="I949" s="17"/>
      <c r="J949" s="17"/>
      <c r="K949" s="17"/>
      <c r="L949" s="17"/>
      <c r="M949" s="17"/>
      <c r="N949" s="17"/>
      <c r="O949" s="17"/>
      <c r="P949" s="17"/>
      <c r="Q949" s="17"/>
      <c r="R949" s="17"/>
      <c r="S949" s="17"/>
      <c r="T949" s="17"/>
      <c r="U949" s="17"/>
      <c r="V949" s="17"/>
      <c r="W949" s="17"/>
      <c r="X949" s="17"/>
      <c r="Y949" s="17"/>
      <c r="Z949" s="17"/>
    </row>
    <row r="950" spans="1:26" ht="12.75">
      <c r="A950" s="1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row>
    <row r="951" spans="1:26" ht="12.75">
      <c r="A951" s="17"/>
      <c r="B951" s="17"/>
      <c r="C951" s="17"/>
      <c r="D951" s="17"/>
      <c r="E951" s="17"/>
      <c r="F951" s="17"/>
      <c r="G951" s="17"/>
      <c r="H951" s="17"/>
      <c r="I951" s="17"/>
      <c r="J951" s="17"/>
      <c r="K951" s="17"/>
      <c r="L951" s="17"/>
      <c r="M951" s="17"/>
      <c r="N951" s="17"/>
      <c r="O951" s="17"/>
      <c r="P951" s="17"/>
      <c r="Q951" s="17"/>
      <c r="R951" s="17"/>
      <c r="S951" s="17"/>
      <c r="T951" s="17"/>
      <c r="U951" s="17"/>
      <c r="V951" s="17"/>
      <c r="W951" s="17"/>
      <c r="X951" s="17"/>
      <c r="Y951" s="17"/>
      <c r="Z951" s="17"/>
    </row>
    <row r="952" spans="1:26" ht="12.75">
      <c r="A952" s="17"/>
      <c r="B952" s="17"/>
      <c r="C952" s="17"/>
      <c r="D952" s="17"/>
      <c r="E952" s="17"/>
      <c r="F952" s="17"/>
      <c r="G952" s="17"/>
      <c r="H952" s="17"/>
      <c r="I952" s="17"/>
      <c r="J952" s="17"/>
      <c r="K952" s="17"/>
      <c r="L952" s="17"/>
      <c r="M952" s="17"/>
      <c r="N952" s="17"/>
      <c r="O952" s="17"/>
      <c r="P952" s="17"/>
      <c r="Q952" s="17"/>
      <c r="R952" s="17"/>
      <c r="S952" s="17"/>
      <c r="T952" s="17"/>
      <c r="U952" s="17"/>
      <c r="V952" s="17"/>
      <c r="W952" s="17"/>
      <c r="X952" s="17"/>
      <c r="Y952" s="17"/>
      <c r="Z952" s="17"/>
    </row>
    <row r="953" spans="1:26" ht="12.75">
      <c r="A953" s="17"/>
      <c r="B953" s="17"/>
      <c r="C953" s="17"/>
      <c r="D953" s="17"/>
      <c r="E953" s="17"/>
      <c r="F953" s="17"/>
      <c r="G953" s="17"/>
      <c r="H953" s="17"/>
      <c r="I953" s="17"/>
      <c r="J953" s="17"/>
      <c r="K953" s="17"/>
      <c r="L953" s="17"/>
      <c r="M953" s="17"/>
      <c r="N953" s="17"/>
      <c r="O953" s="17"/>
      <c r="P953" s="17"/>
      <c r="Q953" s="17"/>
      <c r="R953" s="17"/>
      <c r="S953" s="17"/>
      <c r="T953" s="17"/>
      <c r="U953" s="17"/>
      <c r="V953" s="17"/>
      <c r="W953" s="17"/>
      <c r="X953" s="17"/>
      <c r="Y953" s="17"/>
      <c r="Z953" s="17"/>
    </row>
    <row r="954" spans="1:26" ht="12.75">
      <c r="A954" s="17"/>
      <c r="B954" s="17"/>
      <c r="C954" s="17"/>
      <c r="D954" s="17"/>
      <c r="E954" s="17"/>
      <c r="F954" s="17"/>
      <c r="G954" s="17"/>
      <c r="H954" s="17"/>
      <c r="I954" s="17"/>
      <c r="J954" s="17"/>
      <c r="K954" s="17"/>
      <c r="L954" s="17"/>
      <c r="M954" s="17"/>
      <c r="N954" s="17"/>
      <c r="O954" s="17"/>
      <c r="P954" s="17"/>
      <c r="Q954" s="17"/>
      <c r="R954" s="17"/>
      <c r="S954" s="17"/>
      <c r="T954" s="17"/>
      <c r="U954" s="17"/>
      <c r="V954" s="17"/>
      <c r="W954" s="17"/>
      <c r="X954" s="17"/>
      <c r="Y954" s="17"/>
      <c r="Z954" s="17"/>
    </row>
    <row r="955" spans="1:26" ht="12.75">
      <c r="A955" s="17"/>
      <c r="B955" s="17"/>
      <c r="C955" s="17"/>
      <c r="D955" s="17"/>
      <c r="E955" s="17"/>
      <c r="F955" s="17"/>
      <c r="G955" s="17"/>
      <c r="H955" s="17"/>
      <c r="I955" s="17"/>
      <c r="J955" s="17"/>
      <c r="K955" s="17"/>
      <c r="L955" s="17"/>
      <c r="M955" s="17"/>
      <c r="N955" s="17"/>
      <c r="O955" s="17"/>
      <c r="P955" s="17"/>
      <c r="Q955" s="17"/>
      <c r="R955" s="17"/>
      <c r="S955" s="17"/>
      <c r="T955" s="17"/>
      <c r="U955" s="17"/>
      <c r="V955" s="17"/>
      <c r="W955" s="17"/>
      <c r="X955" s="17"/>
      <c r="Y955" s="17"/>
      <c r="Z955" s="17"/>
    </row>
    <row r="956" spans="1:26" ht="12.75">
      <c r="A956" s="17"/>
      <c r="B956" s="17"/>
      <c r="C956" s="17"/>
      <c r="D956" s="17"/>
      <c r="E956" s="17"/>
      <c r="F956" s="17"/>
      <c r="G956" s="17"/>
      <c r="H956" s="17"/>
      <c r="I956" s="17"/>
      <c r="J956" s="17"/>
      <c r="K956" s="17"/>
      <c r="L956" s="17"/>
      <c r="M956" s="17"/>
      <c r="N956" s="17"/>
      <c r="O956" s="17"/>
      <c r="P956" s="17"/>
      <c r="Q956" s="17"/>
      <c r="R956" s="17"/>
      <c r="S956" s="17"/>
      <c r="T956" s="17"/>
      <c r="U956" s="17"/>
      <c r="V956" s="17"/>
      <c r="W956" s="17"/>
      <c r="X956" s="17"/>
      <c r="Y956" s="17"/>
      <c r="Z956" s="17"/>
    </row>
    <row r="957" spans="1:26" ht="12.75">
      <c r="A957" s="17"/>
      <c r="B957" s="17"/>
      <c r="C957" s="17"/>
      <c r="D957" s="17"/>
      <c r="E957" s="17"/>
      <c r="F957" s="17"/>
      <c r="G957" s="17"/>
      <c r="H957" s="17"/>
      <c r="I957" s="17"/>
      <c r="J957" s="17"/>
      <c r="K957" s="17"/>
      <c r="L957" s="17"/>
      <c r="M957" s="17"/>
      <c r="N957" s="17"/>
      <c r="O957" s="17"/>
      <c r="P957" s="17"/>
      <c r="Q957" s="17"/>
      <c r="R957" s="17"/>
      <c r="S957" s="17"/>
      <c r="T957" s="17"/>
      <c r="U957" s="17"/>
      <c r="V957" s="17"/>
      <c r="W957" s="17"/>
      <c r="X957" s="17"/>
      <c r="Y957" s="17"/>
      <c r="Z957" s="17"/>
    </row>
    <row r="958" spans="1:26" ht="12.75">
      <c r="A958" s="1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row>
    <row r="959" spans="1:26" ht="12.75">
      <c r="A959" s="17"/>
      <c r="B959" s="17"/>
      <c r="C959" s="17"/>
      <c r="D959" s="17"/>
      <c r="E959" s="17"/>
      <c r="F959" s="17"/>
      <c r="G959" s="17"/>
      <c r="H959" s="17"/>
      <c r="I959" s="17"/>
      <c r="J959" s="17"/>
      <c r="K959" s="17"/>
      <c r="L959" s="17"/>
      <c r="M959" s="17"/>
      <c r="N959" s="17"/>
      <c r="O959" s="17"/>
      <c r="P959" s="17"/>
      <c r="Q959" s="17"/>
      <c r="R959" s="17"/>
      <c r="S959" s="17"/>
      <c r="T959" s="17"/>
      <c r="U959" s="17"/>
      <c r="V959" s="17"/>
      <c r="W959" s="17"/>
      <c r="X959" s="17"/>
      <c r="Y959" s="17"/>
      <c r="Z959" s="17"/>
    </row>
    <row r="960" spans="1:26" ht="12.75">
      <c r="A960" s="17"/>
      <c r="B960" s="17"/>
      <c r="C960" s="17"/>
      <c r="D960" s="17"/>
      <c r="E960" s="17"/>
      <c r="F960" s="17"/>
      <c r="G960" s="17"/>
      <c r="H960" s="17"/>
      <c r="I960" s="17"/>
      <c r="J960" s="17"/>
      <c r="K960" s="17"/>
      <c r="L960" s="17"/>
      <c r="M960" s="17"/>
      <c r="N960" s="17"/>
      <c r="O960" s="17"/>
      <c r="P960" s="17"/>
      <c r="Q960" s="17"/>
      <c r="R960" s="17"/>
      <c r="S960" s="17"/>
      <c r="T960" s="17"/>
      <c r="U960" s="17"/>
      <c r="V960" s="17"/>
      <c r="W960" s="17"/>
      <c r="X960" s="17"/>
      <c r="Y960" s="17"/>
      <c r="Z960" s="17"/>
    </row>
    <row r="961" spans="1:26" ht="12.75">
      <c r="A961" s="17"/>
      <c r="B961" s="17"/>
      <c r="C961" s="17"/>
      <c r="D961" s="17"/>
      <c r="E961" s="17"/>
      <c r="F961" s="17"/>
      <c r="G961" s="17"/>
      <c r="H961" s="17"/>
      <c r="I961" s="17"/>
      <c r="J961" s="17"/>
      <c r="K961" s="17"/>
      <c r="L961" s="17"/>
      <c r="M961" s="17"/>
      <c r="N961" s="17"/>
      <c r="O961" s="17"/>
      <c r="P961" s="17"/>
      <c r="Q961" s="17"/>
      <c r="R961" s="17"/>
      <c r="S961" s="17"/>
      <c r="T961" s="17"/>
      <c r="U961" s="17"/>
      <c r="V961" s="17"/>
      <c r="W961" s="17"/>
      <c r="X961" s="17"/>
      <c r="Y961" s="17"/>
      <c r="Z961" s="17"/>
    </row>
    <row r="962" spans="1:26" ht="12.75">
      <c r="A962" s="17"/>
      <c r="B962" s="17"/>
      <c r="C962" s="17"/>
      <c r="D962" s="17"/>
      <c r="E962" s="17"/>
      <c r="F962" s="17"/>
      <c r="G962" s="17"/>
      <c r="H962" s="17"/>
      <c r="I962" s="17"/>
      <c r="J962" s="17"/>
      <c r="K962" s="17"/>
      <c r="L962" s="17"/>
      <c r="M962" s="17"/>
      <c r="N962" s="17"/>
      <c r="O962" s="17"/>
      <c r="P962" s="17"/>
      <c r="Q962" s="17"/>
      <c r="R962" s="17"/>
      <c r="S962" s="17"/>
      <c r="T962" s="17"/>
      <c r="U962" s="17"/>
      <c r="V962" s="17"/>
      <c r="W962" s="17"/>
      <c r="X962" s="17"/>
      <c r="Y962" s="17"/>
      <c r="Z962" s="17"/>
    </row>
    <row r="963" spans="1:26" ht="12.75">
      <c r="A963" s="17"/>
      <c r="B963" s="17"/>
      <c r="C963" s="17"/>
      <c r="D963" s="17"/>
      <c r="E963" s="17"/>
      <c r="F963" s="17"/>
      <c r="G963" s="17"/>
      <c r="H963" s="17"/>
      <c r="I963" s="17"/>
      <c r="J963" s="17"/>
      <c r="K963" s="17"/>
      <c r="L963" s="17"/>
      <c r="M963" s="17"/>
      <c r="N963" s="17"/>
      <c r="O963" s="17"/>
      <c r="P963" s="17"/>
      <c r="Q963" s="17"/>
      <c r="R963" s="17"/>
      <c r="S963" s="17"/>
      <c r="T963" s="17"/>
      <c r="U963" s="17"/>
      <c r="V963" s="17"/>
      <c r="W963" s="17"/>
      <c r="X963" s="17"/>
      <c r="Y963" s="17"/>
      <c r="Z963" s="17"/>
    </row>
    <row r="964" spans="1:26" ht="12.75">
      <c r="A964" s="17"/>
      <c r="B964" s="17"/>
      <c r="C964" s="17"/>
      <c r="D964" s="17"/>
      <c r="E964" s="17"/>
      <c r="F964" s="17"/>
      <c r="G964" s="17"/>
      <c r="H964" s="17"/>
      <c r="I964" s="17"/>
      <c r="J964" s="17"/>
      <c r="K964" s="17"/>
      <c r="L964" s="17"/>
      <c r="M964" s="17"/>
      <c r="N964" s="17"/>
      <c r="O964" s="17"/>
      <c r="P964" s="17"/>
      <c r="Q964" s="17"/>
      <c r="R964" s="17"/>
      <c r="S964" s="17"/>
      <c r="T964" s="17"/>
      <c r="U964" s="17"/>
      <c r="V964" s="17"/>
      <c r="W964" s="17"/>
      <c r="X964" s="17"/>
      <c r="Y964" s="17"/>
      <c r="Z964" s="17"/>
    </row>
    <row r="965" spans="1:26" ht="12.75">
      <c r="A965" s="17"/>
      <c r="B965" s="17"/>
      <c r="C965" s="17"/>
      <c r="D965" s="17"/>
      <c r="E965" s="17"/>
      <c r="F965" s="17"/>
      <c r="G965" s="17"/>
      <c r="H965" s="17"/>
      <c r="I965" s="17"/>
      <c r="J965" s="17"/>
      <c r="K965" s="17"/>
      <c r="L965" s="17"/>
      <c r="M965" s="17"/>
      <c r="N965" s="17"/>
      <c r="O965" s="17"/>
      <c r="P965" s="17"/>
      <c r="Q965" s="17"/>
      <c r="R965" s="17"/>
      <c r="S965" s="17"/>
      <c r="T965" s="17"/>
      <c r="U965" s="17"/>
      <c r="V965" s="17"/>
      <c r="W965" s="17"/>
      <c r="X965" s="17"/>
      <c r="Y965" s="17"/>
      <c r="Z965" s="17"/>
    </row>
    <row r="966" spans="1:26" ht="12.75">
      <c r="A966" s="1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row>
    <row r="967" spans="1:26" ht="12.75">
      <c r="A967" s="17"/>
      <c r="B967" s="17"/>
      <c r="C967" s="17"/>
      <c r="D967" s="17"/>
      <c r="E967" s="17"/>
      <c r="F967" s="17"/>
      <c r="G967" s="17"/>
      <c r="H967" s="17"/>
      <c r="I967" s="17"/>
      <c r="J967" s="17"/>
      <c r="K967" s="17"/>
      <c r="L967" s="17"/>
      <c r="M967" s="17"/>
      <c r="N967" s="17"/>
      <c r="O967" s="17"/>
      <c r="P967" s="17"/>
      <c r="Q967" s="17"/>
      <c r="R967" s="17"/>
      <c r="S967" s="17"/>
      <c r="T967" s="17"/>
      <c r="U967" s="17"/>
      <c r="V967" s="17"/>
      <c r="W967" s="17"/>
      <c r="X967" s="17"/>
      <c r="Y967" s="17"/>
      <c r="Z967" s="17"/>
    </row>
    <row r="968" spans="1:26" ht="12.75">
      <c r="A968" s="17"/>
      <c r="B968" s="17"/>
      <c r="C968" s="17"/>
      <c r="D968" s="17"/>
      <c r="E968" s="17"/>
      <c r="F968" s="17"/>
      <c r="G968" s="17"/>
      <c r="H968" s="17"/>
      <c r="I968" s="17"/>
      <c r="J968" s="17"/>
      <c r="K968" s="17"/>
      <c r="L968" s="17"/>
      <c r="M968" s="17"/>
      <c r="N968" s="17"/>
      <c r="O968" s="17"/>
      <c r="P968" s="17"/>
      <c r="Q968" s="17"/>
      <c r="R968" s="17"/>
      <c r="S968" s="17"/>
      <c r="T968" s="17"/>
      <c r="U968" s="17"/>
      <c r="V968" s="17"/>
      <c r="W968" s="17"/>
      <c r="X968" s="17"/>
      <c r="Y968" s="17"/>
      <c r="Z968" s="17"/>
    </row>
    <row r="969" spans="1:26" ht="12.75">
      <c r="A969" s="17"/>
      <c r="B969" s="17"/>
      <c r="C969" s="17"/>
      <c r="D969" s="17"/>
      <c r="E969" s="17"/>
      <c r="F969" s="17"/>
      <c r="G969" s="17"/>
      <c r="H969" s="17"/>
      <c r="I969" s="17"/>
      <c r="J969" s="17"/>
      <c r="K969" s="17"/>
      <c r="L969" s="17"/>
      <c r="M969" s="17"/>
      <c r="N969" s="17"/>
      <c r="O969" s="17"/>
      <c r="P969" s="17"/>
      <c r="Q969" s="17"/>
      <c r="R969" s="17"/>
      <c r="S969" s="17"/>
      <c r="T969" s="17"/>
      <c r="U969" s="17"/>
      <c r="V969" s="17"/>
      <c r="W969" s="17"/>
      <c r="X969" s="17"/>
      <c r="Y969" s="17"/>
      <c r="Z969" s="17"/>
    </row>
    <row r="970" spans="1:26" ht="12.75">
      <c r="A970" s="17"/>
      <c r="B970" s="17"/>
      <c r="C970" s="17"/>
      <c r="D970" s="17"/>
      <c r="E970" s="17"/>
      <c r="F970" s="17"/>
      <c r="G970" s="17"/>
      <c r="H970" s="17"/>
      <c r="I970" s="17"/>
      <c r="J970" s="17"/>
      <c r="K970" s="17"/>
      <c r="L970" s="17"/>
      <c r="M970" s="17"/>
      <c r="N970" s="17"/>
      <c r="O970" s="17"/>
      <c r="P970" s="17"/>
      <c r="Q970" s="17"/>
      <c r="R970" s="17"/>
      <c r="S970" s="17"/>
      <c r="T970" s="17"/>
      <c r="U970" s="17"/>
      <c r="V970" s="17"/>
      <c r="W970" s="17"/>
      <c r="X970" s="17"/>
      <c r="Y970" s="17"/>
      <c r="Z970" s="17"/>
    </row>
    <row r="971" spans="1:26" ht="12.75">
      <c r="A971" s="17"/>
      <c r="B971" s="17"/>
      <c r="C971" s="17"/>
      <c r="D971" s="17"/>
      <c r="E971" s="17"/>
      <c r="F971" s="17"/>
      <c r="G971" s="17"/>
      <c r="H971" s="17"/>
      <c r="I971" s="17"/>
      <c r="J971" s="17"/>
      <c r="K971" s="17"/>
      <c r="L971" s="17"/>
      <c r="M971" s="17"/>
      <c r="N971" s="17"/>
      <c r="O971" s="17"/>
      <c r="P971" s="17"/>
      <c r="Q971" s="17"/>
      <c r="R971" s="17"/>
      <c r="S971" s="17"/>
      <c r="T971" s="17"/>
      <c r="U971" s="17"/>
      <c r="V971" s="17"/>
      <c r="W971" s="17"/>
      <c r="X971" s="17"/>
      <c r="Y971" s="17"/>
      <c r="Z971" s="17"/>
    </row>
    <row r="972" spans="1:26" ht="12.75">
      <c r="A972" s="17"/>
      <c r="B972" s="17"/>
      <c r="C972" s="17"/>
      <c r="D972" s="17"/>
      <c r="E972" s="17"/>
      <c r="F972" s="17"/>
      <c r="G972" s="17"/>
      <c r="H972" s="17"/>
      <c r="I972" s="17"/>
      <c r="J972" s="17"/>
      <c r="K972" s="17"/>
      <c r="L972" s="17"/>
      <c r="M972" s="17"/>
      <c r="N972" s="17"/>
      <c r="O972" s="17"/>
      <c r="P972" s="17"/>
      <c r="Q972" s="17"/>
      <c r="R972" s="17"/>
      <c r="S972" s="17"/>
      <c r="T972" s="17"/>
      <c r="U972" s="17"/>
      <c r="V972" s="17"/>
      <c r="W972" s="17"/>
      <c r="X972" s="17"/>
      <c r="Y972" s="17"/>
      <c r="Z972" s="17"/>
    </row>
    <row r="973" spans="1:26" ht="12.75">
      <c r="A973" s="17"/>
      <c r="B973" s="17"/>
      <c r="C973" s="17"/>
      <c r="D973" s="17"/>
      <c r="E973" s="17"/>
      <c r="F973" s="17"/>
      <c r="G973" s="17"/>
      <c r="H973" s="17"/>
      <c r="I973" s="17"/>
      <c r="J973" s="17"/>
      <c r="K973" s="17"/>
      <c r="L973" s="17"/>
      <c r="M973" s="17"/>
      <c r="N973" s="17"/>
      <c r="O973" s="17"/>
      <c r="P973" s="17"/>
      <c r="Q973" s="17"/>
      <c r="R973" s="17"/>
      <c r="S973" s="17"/>
      <c r="T973" s="17"/>
      <c r="U973" s="17"/>
      <c r="V973" s="17"/>
      <c r="W973" s="17"/>
      <c r="X973" s="17"/>
      <c r="Y973" s="17"/>
      <c r="Z973" s="17"/>
    </row>
    <row r="974" spans="1:26" ht="12.75">
      <c r="A974" s="1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row>
    <row r="975" spans="1:26" ht="12.75">
      <c r="A975" s="17"/>
      <c r="B975" s="17"/>
      <c r="C975" s="17"/>
      <c r="D975" s="17"/>
      <c r="E975" s="17"/>
      <c r="F975" s="17"/>
      <c r="G975" s="17"/>
      <c r="H975" s="17"/>
      <c r="I975" s="17"/>
      <c r="J975" s="17"/>
      <c r="K975" s="17"/>
      <c r="L975" s="17"/>
      <c r="M975" s="17"/>
      <c r="N975" s="17"/>
      <c r="O975" s="17"/>
      <c r="P975" s="17"/>
      <c r="Q975" s="17"/>
      <c r="R975" s="17"/>
      <c r="S975" s="17"/>
      <c r="T975" s="17"/>
      <c r="U975" s="17"/>
      <c r="V975" s="17"/>
      <c r="W975" s="17"/>
      <c r="X975" s="17"/>
      <c r="Y975" s="17"/>
      <c r="Z975" s="17"/>
    </row>
    <row r="976" spans="1:26" ht="12.75">
      <c r="A976" s="17"/>
      <c r="B976" s="17"/>
      <c r="C976" s="17"/>
      <c r="D976" s="17"/>
      <c r="E976" s="17"/>
      <c r="F976" s="17"/>
      <c r="G976" s="17"/>
      <c r="H976" s="17"/>
      <c r="I976" s="17"/>
      <c r="J976" s="17"/>
      <c r="K976" s="17"/>
      <c r="L976" s="17"/>
      <c r="M976" s="17"/>
      <c r="N976" s="17"/>
      <c r="O976" s="17"/>
      <c r="P976" s="17"/>
      <c r="Q976" s="17"/>
      <c r="R976" s="17"/>
      <c r="S976" s="17"/>
      <c r="T976" s="17"/>
      <c r="U976" s="17"/>
      <c r="V976" s="17"/>
      <c r="W976" s="17"/>
      <c r="X976" s="17"/>
      <c r="Y976" s="17"/>
      <c r="Z976" s="17"/>
    </row>
    <row r="977" spans="1:26" ht="12.75">
      <c r="A977" s="17"/>
      <c r="B977" s="17"/>
      <c r="C977" s="17"/>
      <c r="D977" s="17"/>
      <c r="E977" s="17"/>
      <c r="F977" s="17"/>
      <c r="G977" s="17"/>
      <c r="H977" s="17"/>
      <c r="I977" s="17"/>
      <c r="J977" s="17"/>
      <c r="K977" s="17"/>
      <c r="L977" s="17"/>
      <c r="M977" s="17"/>
      <c r="N977" s="17"/>
      <c r="O977" s="17"/>
      <c r="P977" s="17"/>
      <c r="Q977" s="17"/>
      <c r="R977" s="17"/>
      <c r="S977" s="17"/>
      <c r="T977" s="17"/>
      <c r="U977" s="17"/>
      <c r="V977" s="17"/>
      <c r="W977" s="17"/>
      <c r="X977" s="17"/>
      <c r="Y977" s="17"/>
      <c r="Z977" s="17"/>
    </row>
    <row r="978" spans="1:26" ht="12.75">
      <c r="A978" s="17"/>
      <c r="B978" s="17"/>
      <c r="C978" s="17"/>
      <c r="D978" s="17"/>
      <c r="E978" s="17"/>
      <c r="F978" s="17"/>
      <c r="G978" s="17"/>
      <c r="H978" s="17"/>
      <c r="I978" s="17"/>
      <c r="J978" s="17"/>
      <c r="K978" s="17"/>
      <c r="L978" s="17"/>
      <c r="M978" s="17"/>
      <c r="N978" s="17"/>
      <c r="O978" s="17"/>
      <c r="P978" s="17"/>
      <c r="Q978" s="17"/>
      <c r="R978" s="17"/>
      <c r="S978" s="17"/>
      <c r="T978" s="17"/>
      <c r="U978" s="17"/>
      <c r="V978" s="17"/>
      <c r="W978" s="17"/>
      <c r="X978" s="17"/>
      <c r="Y978" s="17"/>
      <c r="Z978" s="17"/>
    </row>
    <row r="979" spans="1:26" ht="12.75">
      <c r="A979" s="17"/>
      <c r="B979" s="17"/>
      <c r="C979" s="17"/>
      <c r="D979" s="17"/>
      <c r="E979" s="17"/>
      <c r="F979" s="17"/>
      <c r="G979" s="17"/>
      <c r="H979" s="17"/>
      <c r="I979" s="17"/>
      <c r="J979" s="17"/>
      <c r="K979" s="17"/>
      <c r="L979" s="17"/>
      <c r="M979" s="17"/>
      <c r="N979" s="17"/>
      <c r="O979" s="17"/>
      <c r="P979" s="17"/>
      <c r="Q979" s="17"/>
      <c r="R979" s="17"/>
      <c r="S979" s="17"/>
      <c r="T979" s="17"/>
      <c r="U979" s="17"/>
      <c r="V979" s="17"/>
      <c r="W979" s="17"/>
      <c r="X979" s="17"/>
      <c r="Y979" s="17"/>
      <c r="Z979" s="17"/>
    </row>
    <row r="980" spans="1:26" ht="12.75">
      <c r="A980" s="17"/>
      <c r="B980" s="17"/>
      <c r="C980" s="17"/>
      <c r="D980" s="17"/>
      <c r="E980" s="17"/>
      <c r="F980" s="17"/>
      <c r="G980" s="17"/>
      <c r="H980" s="17"/>
      <c r="I980" s="17"/>
      <c r="J980" s="17"/>
      <c r="K980" s="17"/>
      <c r="L980" s="17"/>
      <c r="M980" s="17"/>
      <c r="N980" s="17"/>
      <c r="O980" s="17"/>
      <c r="P980" s="17"/>
      <c r="Q980" s="17"/>
      <c r="R980" s="17"/>
      <c r="S980" s="17"/>
      <c r="T980" s="17"/>
      <c r="U980" s="17"/>
      <c r="V980" s="17"/>
      <c r="W980" s="17"/>
      <c r="X980" s="17"/>
      <c r="Y980" s="17"/>
      <c r="Z980" s="17"/>
    </row>
    <row r="981" spans="1:26" ht="12.75">
      <c r="A981" s="17"/>
      <c r="B981" s="17"/>
      <c r="C981" s="17"/>
      <c r="D981" s="17"/>
      <c r="E981" s="17"/>
      <c r="F981" s="17"/>
      <c r="G981" s="17"/>
      <c r="H981" s="17"/>
      <c r="I981" s="17"/>
      <c r="J981" s="17"/>
      <c r="K981" s="17"/>
      <c r="L981" s="17"/>
      <c r="M981" s="17"/>
      <c r="N981" s="17"/>
      <c r="O981" s="17"/>
      <c r="P981" s="17"/>
      <c r="Q981" s="17"/>
      <c r="R981" s="17"/>
      <c r="S981" s="17"/>
      <c r="T981" s="17"/>
      <c r="U981" s="17"/>
      <c r="V981" s="17"/>
      <c r="W981" s="17"/>
      <c r="X981" s="17"/>
      <c r="Y981" s="17"/>
      <c r="Z981" s="17"/>
    </row>
    <row r="982" spans="1:26" ht="12.75">
      <c r="A982" s="1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row>
    <row r="983" spans="1:26" ht="12.75">
      <c r="A983" s="17"/>
      <c r="B983" s="17"/>
      <c r="C983" s="17"/>
      <c r="D983" s="17"/>
      <c r="E983" s="17"/>
      <c r="F983" s="17"/>
      <c r="G983" s="17"/>
      <c r="H983" s="17"/>
      <c r="I983" s="17"/>
      <c r="J983" s="17"/>
      <c r="K983" s="17"/>
      <c r="L983" s="17"/>
      <c r="M983" s="17"/>
      <c r="N983" s="17"/>
      <c r="O983" s="17"/>
      <c r="P983" s="17"/>
      <c r="Q983" s="17"/>
      <c r="R983" s="17"/>
      <c r="S983" s="17"/>
      <c r="T983" s="17"/>
      <c r="U983" s="17"/>
      <c r="V983" s="17"/>
      <c r="W983" s="17"/>
      <c r="X983" s="17"/>
      <c r="Y983" s="17"/>
      <c r="Z983" s="17"/>
    </row>
    <row r="984" spans="1:26" ht="12.75">
      <c r="A984" s="17"/>
      <c r="B984" s="17"/>
      <c r="C984" s="17"/>
      <c r="D984" s="17"/>
      <c r="E984" s="17"/>
      <c r="F984" s="17"/>
      <c r="G984" s="17"/>
      <c r="H984" s="17"/>
      <c r="I984" s="17"/>
      <c r="J984" s="17"/>
      <c r="K984" s="17"/>
      <c r="L984" s="17"/>
      <c r="M984" s="17"/>
      <c r="N984" s="17"/>
      <c r="O984" s="17"/>
      <c r="P984" s="17"/>
      <c r="Q984" s="17"/>
      <c r="R984" s="17"/>
      <c r="S984" s="17"/>
      <c r="T984" s="17"/>
      <c r="U984" s="17"/>
      <c r="V984" s="17"/>
      <c r="W984" s="17"/>
      <c r="X984" s="17"/>
      <c r="Y984" s="17"/>
      <c r="Z984" s="17"/>
    </row>
    <row r="985" spans="1:26" ht="12.75">
      <c r="A985" s="17"/>
      <c r="B985" s="17"/>
      <c r="C985" s="17"/>
      <c r="D985" s="17"/>
      <c r="E985" s="17"/>
      <c r="F985" s="17"/>
      <c r="G985" s="17"/>
      <c r="H985" s="17"/>
      <c r="I985" s="17"/>
      <c r="J985" s="17"/>
      <c r="K985" s="17"/>
      <c r="L985" s="17"/>
      <c r="M985" s="17"/>
      <c r="N985" s="17"/>
      <c r="O985" s="17"/>
      <c r="P985" s="17"/>
      <c r="Q985" s="17"/>
      <c r="R985" s="17"/>
      <c r="S985" s="17"/>
      <c r="T985" s="17"/>
      <c r="U985" s="17"/>
      <c r="V985" s="17"/>
      <c r="W985" s="17"/>
      <c r="X985" s="17"/>
      <c r="Y985" s="17"/>
      <c r="Z985" s="17"/>
    </row>
    <row r="986" spans="1:26" ht="12.75">
      <c r="A986" s="17"/>
      <c r="B986" s="17"/>
      <c r="C986" s="17"/>
      <c r="D986" s="17"/>
      <c r="E986" s="17"/>
      <c r="F986" s="17"/>
      <c r="G986" s="17"/>
      <c r="H986" s="17"/>
      <c r="I986" s="17"/>
      <c r="J986" s="17"/>
      <c r="K986" s="17"/>
      <c r="L986" s="17"/>
      <c r="M986" s="17"/>
      <c r="N986" s="17"/>
      <c r="O986" s="17"/>
      <c r="P986" s="17"/>
      <c r="Q986" s="17"/>
      <c r="R986" s="17"/>
      <c r="S986" s="17"/>
      <c r="T986" s="17"/>
      <c r="U986" s="17"/>
      <c r="V986" s="17"/>
      <c r="W986" s="17"/>
      <c r="X986" s="17"/>
      <c r="Y986" s="17"/>
      <c r="Z986" s="17"/>
    </row>
    <row r="987" spans="1:26" ht="12.75">
      <c r="A987" s="17"/>
      <c r="B987" s="17"/>
      <c r="C987" s="17"/>
      <c r="D987" s="17"/>
      <c r="E987" s="17"/>
      <c r="F987" s="17"/>
      <c r="G987" s="17"/>
      <c r="H987" s="17"/>
      <c r="I987" s="17"/>
      <c r="J987" s="17"/>
      <c r="K987" s="17"/>
      <c r="L987" s="17"/>
      <c r="M987" s="17"/>
      <c r="N987" s="17"/>
      <c r="O987" s="17"/>
      <c r="P987" s="17"/>
      <c r="Q987" s="17"/>
      <c r="R987" s="17"/>
      <c r="S987" s="17"/>
      <c r="T987" s="17"/>
      <c r="U987" s="17"/>
      <c r="V987" s="17"/>
      <c r="W987" s="17"/>
      <c r="X987" s="17"/>
      <c r="Y987" s="17"/>
      <c r="Z987" s="17"/>
    </row>
    <row r="988" spans="1:26" ht="12.75">
      <c r="A988" s="17"/>
      <c r="B988" s="17"/>
      <c r="C988" s="17"/>
      <c r="D988" s="17"/>
      <c r="E988" s="17"/>
      <c r="F988" s="17"/>
      <c r="G988" s="17"/>
      <c r="H988" s="17"/>
      <c r="I988" s="17"/>
      <c r="J988" s="17"/>
      <c r="K988" s="17"/>
      <c r="L988" s="17"/>
      <c r="M988" s="17"/>
      <c r="N988" s="17"/>
      <c r="O988" s="17"/>
      <c r="P988" s="17"/>
      <c r="Q988" s="17"/>
      <c r="R988" s="17"/>
      <c r="S988" s="17"/>
      <c r="T988" s="17"/>
      <c r="U988" s="17"/>
      <c r="V988" s="17"/>
      <c r="W988" s="17"/>
      <c r="X988" s="17"/>
      <c r="Y988" s="17"/>
      <c r="Z988" s="17"/>
    </row>
    <row r="989" spans="1:26" ht="12.75">
      <c r="A989" s="17"/>
      <c r="B989" s="17"/>
      <c r="C989" s="17"/>
      <c r="D989" s="17"/>
      <c r="E989" s="17"/>
      <c r="F989" s="17"/>
      <c r="G989" s="17"/>
      <c r="H989" s="17"/>
      <c r="I989" s="17"/>
      <c r="J989" s="17"/>
      <c r="K989" s="17"/>
      <c r="L989" s="17"/>
      <c r="M989" s="17"/>
      <c r="N989" s="17"/>
      <c r="O989" s="17"/>
      <c r="P989" s="17"/>
      <c r="Q989" s="17"/>
      <c r="R989" s="17"/>
      <c r="S989" s="17"/>
      <c r="T989" s="17"/>
      <c r="U989" s="17"/>
      <c r="V989" s="17"/>
      <c r="W989" s="17"/>
      <c r="X989" s="17"/>
      <c r="Y989" s="17"/>
      <c r="Z989" s="17"/>
    </row>
    <row r="990" spans="1:26" ht="12.75">
      <c r="A990" s="1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row>
    <row r="991" spans="1:26" ht="12.75">
      <c r="A991" s="17"/>
      <c r="B991" s="17"/>
      <c r="C991" s="17"/>
      <c r="D991" s="17"/>
      <c r="E991" s="17"/>
      <c r="F991" s="17"/>
      <c r="G991" s="17"/>
      <c r="H991" s="17"/>
      <c r="I991" s="17"/>
      <c r="J991" s="17"/>
      <c r="K991" s="17"/>
      <c r="L991" s="17"/>
      <c r="M991" s="17"/>
      <c r="N991" s="17"/>
      <c r="O991" s="17"/>
      <c r="P991" s="17"/>
      <c r="Q991" s="17"/>
      <c r="R991" s="17"/>
      <c r="S991" s="17"/>
      <c r="T991" s="17"/>
      <c r="U991" s="17"/>
      <c r="V991" s="17"/>
      <c r="W991" s="17"/>
      <c r="X991" s="17"/>
      <c r="Y991" s="17"/>
      <c r="Z991" s="17"/>
    </row>
    <row r="992" spans="1:26" ht="12.75">
      <c r="A992" s="17"/>
      <c r="B992" s="17"/>
      <c r="C992" s="17"/>
      <c r="D992" s="17"/>
      <c r="E992" s="17"/>
      <c r="F992" s="17"/>
      <c r="G992" s="17"/>
      <c r="H992" s="17"/>
      <c r="I992" s="17"/>
      <c r="J992" s="17"/>
      <c r="K992" s="17"/>
      <c r="L992" s="17"/>
      <c r="M992" s="17"/>
      <c r="N992" s="17"/>
      <c r="O992" s="17"/>
      <c r="P992" s="17"/>
      <c r="Q992" s="17"/>
      <c r="R992" s="17"/>
      <c r="S992" s="17"/>
      <c r="T992" s="17"/>
      <c r="U992" s="17"/>
      <c r="V992" s="17"/>
      <c r="W992" s="17"/>
      <c r="X992" s="17"/>
      <c r="Y992" s="17"/>
      <c r="Z992" s="17"/>
    </row>
    <row r="993" spans="1:26" ht="12.75">
      <c r="A993" s="17"/>
      <c r="B993" s="17"/>
      <c r="C993" s="17"/>
      <c r="D993" s="17"/>
      <c r="E993" s="17"/>
      <c r="F993" s="17"/>
      <c r="G993" s="17"/>
      <c r="H993" s="17"/>
      <c r="I993" s="17"/>
      <c r="J993" s="17"/>
      <c r="K993" s="17"/>
      <c r="L993" s="17"/>
      <c r="M993" s="17"/>
      <c r="N993" s="17"/>
      <c r="O993" s="17"/>
      <c r="P993" s="17"/>
      <c r="Q993" s="17"/>
      <c r="R993" s="17"/>
      <c r="S993" s="17"/>
      <c r="T993" s="17"/>
      <c r="U993" s="17"/>
      <c r="V993" s="17"/>
      <c r="W993" s="17"/>
      <c r="X993" s="17"/>
      <c r="Y993" s="17"/>
      <c r="Z993" s="17"/>
    </row>
    <row r="994" spans="1:26" ht="12.75">
      <c r="A994" s="17"/>
      <c r="B994" s="17"/>
      <c r="C994" s="17"/>
      <c r="D994" s="17"/>
      <c r="E994" s="17"/>
      <c r="F994" s="17"/>
      <c r="G994" s="17"/>
      <c r="H994" s="17"/>
      <c r="I994" s="17"/>
      <c r="J994" s="17"/>
      <c r="K994" s="17"/>
      <c r="L994" s="17"/>
      <c r="M994" s="17"/>
      <c r="N994" s="17"/>
      <c r="O994" s="17"/>
      <c r="P994" s="17"/>
      <c r="Q994" s="17"/>
      <c r="R994" s="17"/>
      <c r="S994" s="17"/>
      <c r="T994" s="17"/>
      <c r="U994" s="17"/>
      <c r="V994" s="17"/>
      <c r="W994" s="17"/>
      <c r="X994" s="17"/>
      <c r="Y994" s="17"/>
      <c r="Z994" s="17"/>
    </row>
    <row r="995" spans="1:26" ht="12.75">
      <c r="A995" s="17"/>
      <c r="B995" s="17"/>
      <c r="C995" s="17"/>
      <c r="D995" s="17"/>
      <c r="E995" s="17"/>
      <c r="F995" s="17"/>
      <c r="G995" s="17"/>
      <c r="H995" s="17"/>
      <c r="I995" s="17"/>
      <c r="J995" s="17"/>
      <c r="K995" s="17"/>
      <c r="L995" s="17"/>
      <c r="M995" s="17"/>
      <c r="N995" s="17"/>
      <c r="O995" s="17"/>
      <c r="P995" s="17"/>
      <c r="Q995" s="17"/>
      <c r="R995" s="17"/>
      <c r="S995" s="17"/>
      <c r="T995" s="17"/>
      <c r="U995" s="17"/>
      <c r="V995" s="17"/>
      <c r="W995" s="17"/>
      <c r="X995" s="17"/>
      <c r="Y995" s="17"/>
      <c r="Z995" s="17"/>
    </row>
    <row r="996" spans="1:26" ht="12.75">
      <c r="A996" s="17"/>
      <c r="B996" s="17"/>
      <c r="C996" s="17"/>
      <c r="D996" s="17"/>
      <c r="E996" s="17"/>
      <c r="F996" s="17"/>
      <c r="G996" s="17"/>
      <c r="H996" s="17"/>
      <c r="I996" s="17"/>
      <c r="J996" s="17"/>
      <c r="K996" s="17"/>
      <c r="L996" s="17"/>
      <c r="M996" s="17"/>
      <c r="N996" s="17"/>
      <c r="O996" s="17"/>
      <c r="P996" s="17"/>
      <c r="Q996" s="17"/>
      <c r="R996" s="17"/>
      <c r="S996" s="17"/>
      <c r="T996" s="17"/>
      <c r="U996" s="17"/>
      <c r="V996" s="17"/>
      <c r="W996" s="17"/>
      <c r="X996" s="17"/>
      <c r="Y996" s="17"/>
      <c r="Z996" s="17"/>
    </row>
    <row r="997" spans="1:26" ht="12.75">
      <c r="A997" s="17"/>
      <c r="B997" s="17"/>
      <c r="C997" s="17"/>
      <c r="D997" s="17"/>
      <c r="E997" s="17"/>
      <c r="F997" s="17"/>
      <c r="G997" s="17"/>
      <c r="H997" s="17"/>
      <c r="I997" s="17"/>
      <c r="J997" s="17"/>
      <c r="K997" s="17"/>
      <c r="L997" s="17"/>
      <c r="M997" s="17"/>
      <c r="N997" s="17"/>
      <c r="O997" s="17"/>
      <c r="P997" s="17"/>
      <c r="Q997" s="17"/>
      <c r="R997" s="17"/>
      <c r="S997" s="17"/>
      <c r="T997" s="17"/>
      <c r="U997" s="17"/>
      <c r="V997" s="17"/>
      <c r="W997" s="17"/>
      <c r="X997" s="17"/>
      <c r="Y997" s="17"/>
      <c r="Z997" s="17"/>
    </row>
    <row r="998" spans="1:26" ht="12.75">
      <c r="A998" s="1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row>
  </sheetData>
  <hyperlinks>
    <hyperlink ref="B2" r:id="rId1" location="gid=2044445820&amp;fvid=1637414122" xr:uid="{00000000-0004-0000-0300-000000000000}"/>
    <hyperlink ref="B3" r:id="rId2" location="gid=2044445820&amp;fvid=485484331" xr:uid="{00000000-0004-0000-0300-000001000000}"/>
    <hyperlink ref="B4" r:id="rId3" location="gid=2044445820&amp;fvid=1736057651" xr:uid="{00000000-0004-0000-0300-000002000000}"/>
    <hyperlink ref="B5" r:id="rId4" location="gid=2044445820&amp;fvid=1736057651" xr:uid="{00000000-0004-0000-0300-000003000000}"/>
    <hyperlink ref="B6" r:id="rId5" location="gid=2044445820&amp;fvid=696143977" xr:uid="{00000000-0004-0000-0300-000004000000}"/>
    <hyperlink ref="B7" r:id="rId6" location="gid=2044445820&amp;fvid=1878818994" xr:uid="{00000000-0004-0000-0300-000005000000}"/>
    <hyperlink ref="B8" r:id="rId7" location="gid=2044445820&amp;fvid=1606230927" xr:uid="{00000000-0004-0000-0300-000006000000}"/>
    <hyperlink ref="B9" r:id="rId8" location="gid=2044445820&amp;fvid=1646282659" xr:uid="{00000000-0004-0000-0300-000007000000}"/>
    <hyperlink ref="B10" r:id="rId9" location="gid=2044445820&amp;fvid=1585434055" xr:uid="{00000000-0004-0000-0300-000008000000}"/>
    <hyperlink ref="B11" r:id="rId10" location="gid=2044445820&amp;fvid=1832276129" xr:uid="{00000000-0004-0000-0300-000009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52"/>
  <sheetViews>
    <sheetView workbookViewId="0"/>
  </sheetViews>
  <sheetFormatPr baseColWidth="10" defaultColWidth="14.42578125" defaultRowHeight="15.75" customHeight="1"/>
  <sheetData>
    <row r="1" spans="1:1" ht="15.75" customHeight="1">
      <c r="A1" s="34" t="s">
        <v>44</v>
      </c>
    </row>
    <row r="2" spans="1:1" ht="15.75" customHeight="1">
      <c r="A2" s="34" t="s">
        <v>61</v>
      </c>
    </row>
    <row r="3" spans="1:1" ht="15.75" customHeight="1">
      <c r="A3" s="34" t="s">
        <v>64</v>
      </c>
    </row>
    <row r="4" spans="1:1" ht="15.75" customHeight="1">
      <c r="A4" s="34" t="s">
        <v>890</v>
      </c>
    </row>
    <row r="5" spans="1:1" ht="15.75" customHeight="1">
      <c r="A5" s="34" t="s">
        <v>891</v>
      </c>
    </row>
    <row r="6" spans="1:1" ht="15.75" customHeight="1">
      <c r="A6" s="34" t="s">
        <v>69</v>
      </c>
    </row>
    <row r="7" spans="1:1" ht="15.75" customHeight="1">
      <c r="A7" s="34" t="s">
        <v>85</v>
      </c>
    </row>
    <row r="8" spans="1:1" ht="15.75" customHeight="1">
      <c r="A8" s="34" t="s">
        <v>892</v>
      </c>
    </row>
    <row r="9" spans="1:1" ht="15.75" customHeight="1">
      <c r="A9" s="34" t="s">
        <v>893</v>
      </c>
    </row>
    <row r="10" spans="1:1" ht="15.75" customHeight="1">
      <c r="A10" s="34" t="s">
        <v>894</v>
      </c>
    </row>
    <row r="11" spans="1:1" ht="15.75" customHeight="1">
      <c r="A11" s="34" t="s">
        <v>108</v>
      </c>
    </row>
    <row r="12" spans="1:1" ht="15.75" customHeight="1">
      <c r="A12" s="34" t="s">
        <v>129</v>
      </c>
    </row>
    <row r="13" spans="1:1" ht="15.75" customHeight="1">
      <c r="A13" s="34" t="s">
        <v>895</v>
      </c>
    </row>
    <row r="14" spans="1:1" ht="15.75" customHeight="1">
      <c r="A14" s="34" t="s">
        <v>144</v>
      </c>
    </row>
    <row r="15" spans="1:1" ht="15.75" customHeight="1">
      <c r="A15" s="34" t="s">
        <v>896</v>
      </c>
    </row>
    <row r="16" spans="1:1" ht="15.75" customHeight="1">
      <c r="A16" s="34" t="s">
        <v>897</v>
      </c>
    </row>
    <row r="17" spans="1:1" ht="15.75" customHeight="1">
      <c r="A17" s="34" t="s">
        <v>898</v>
      </c>
    </row>
    <row r="18" spans="1:1" ht="15.75" customHeight="1">
      <c r="A18" s="34" t="s">
        <v>899</v>
      </c>
    </row>
    <row r="19" spans="1:1" ht="15.75" customHeight="1">
      <c r="A19" s="34" t="s">
        <v>147</v>
      </c>
    </row>
    <row r="20" spans="1:1" ht="15.75" customHeight="1">
      <c r="A20" s="34" t="s">
        <v>900</v>
      </c>
    </row>
    <row r="21" spans="1:1" ht="15.75" customHeight="1">
      <c r="A21" s="34" t="s">
        <v>901</v>
      </c>
    </row>
    <row r="22" spans="1:1" ht="15.75" customHeight="1">
      <c r="A22" s="34" t="s">
        <v>66</v>
      </c>
    </row>
    <row r="23" spans="1:1" ht="15.75" customHeight="1">
      <c r="A23" s="34" t="s">
        <v>160</v>
      </c>
    </row>
    <row r="24" spans="1:1" ht="15.75" customHeight="1">
      <c r="A24" s="34" t="s">
        <v>902</v>
      </c>
    </row>
    <row r="25" spans="1:1" ht="15.75" customHeight="1">
      <c r="A25" s="34" t="s">
        <v>88</v>
      </c>
    </row>
    <row r="26" spans="1:1" ht="15.75" customHeight="1">
      <c r="A26" s="34" t="s">
        <v>905</v>
      </c>
    </row>
    <row r="27" spans="1:1" ht="15.75" customHeight="1">
      <c r="A27" s="34" t="s">
        <v>164</v>
      </c>
    </row>
    <row r="28" spans="1:1" ht="15.75" customHeight="1">
      <c r="A28" s="34" t="s">
        <v>908</v>
      </c>
    </row>
    <row r="29" spans="1:1" ht="15.75" customHeight="1">
      <c r="A29" s="34" t="s">
        <v>166</v>
      </c>
    </row>
    <row r="30" spans="1:1" ht="15.75" customHeight="1">
      <c r="A30" s="34" t="s">
        <v>912</v>
      </c>
    </row>
    <row r="31" spans="1:1" ht="15.75" customHeight="1">
      <c r="A31" s="34" t="s">
        <v>179</v>
      </c>
    </row>
    <row r="32" spans="1:1" ht="15.75" customHeight="1">
      <c r="A32" s="34" t="s">
        <v>181</v>
      </c>
    </row>
    <row r="33" spans="1:1" ht="15.75" customHeight="1">
      <c r="A33" s="34" t="s">
        <v>917</v>
      </c>
    </row>
    <row r="34" spans="1:1" ht="15.75" customHeight="1">
      <c r="A34" s="34" t="s">
        <v>920</v>
      </c>
    </row>
    <row r="35" spans="1:1" ht="15.75" customHeight="1">
      <c r="A35" s="34" t="s">
        <v>922</v>
      </c>
    </row>
    <row r="36" spans="1:1" ht="15.75" customHeight="1">
      <c r="A36" s="34" t="s">
        <v>923</v>
      </c>
    </row>
    <row r="37" spans="1:1" ht="15.75" customHeight="1">
      <c r="A37" s="34" t="s">
        <v>924</v>
      </c>
    </row>
    <row r="38" spans="1:1" ht="12.75">
      <c r="A38" s="34" t="s">
        <v>190</v>
      </c>
    </row>
    <row r="39" spans="1:1" ht="12.75">
      <c r="A39" s="34" t="s">
        <v>925</v>
      </c>
    </row>
    <row r="40" spans="1:1" ht="12.75">
      <c r="A40" s="34" t="s">
        <v>192</v>
      </c>
    </row>
    <row r="41" spans="1:1" ht="12.75">
      <c r="A41" s="34" t="s">
        <v>926</v>
      </c>
    </row>
    <row r="42" spans="1:1" ht="12.75">
      <c r="A42" s="34" t="s">
        <v>194</v>
      </c>
    </row>
    <row r="43" spans="1:1" ht="12.75">
      <c r="A43" s="34" t="s">
        <v>927</v>
      </c>
    </row>
    <row r="44" spans="1:1" ht="12.75">
      <c r="A44" s="34" t="s">
        <v>195</v>
      </c>
    </row>
    <row r="45" spans="1:1" ht="12.75">
      <c r="A45" s="34" t="s">
        <v>928</v>
      </c>
    </row>
    <row r="46" spans="1:1" ht="12.75">
      <c r="A46" s="34" t="s">
        <v>111</v>
      </c>
    </row>
    <row r="47" spans="1:1" ht="12.75">
      <c r="A47" s="34" t="s">
        <v>929</v>
      </c>
    </row>
    <row r="48" spans="1:1" ht="12.75">
      <c r="A48" s="34" t="s">
        <v>199</v>
      </c>
    </row>
    <row r="49" spans="1:1" ht="12.75">
      <c r="A49" s="34" t="s">
        <v>931</v>
      </c>
    </row>
    <row r="50" spans="1:1" ht="12.75">
      <c r="A50" s="34" t="s">
        <v>202</v>
      </c>
    </row>
    <row r="51" spans="1:1" ht="12.75">
      <c r="A51" s="34" t="s">
        <v>203</v>
      </c>
    </row>
    <row r="52" spans="1:1" ht="12.75">
      <c r="A52" s="34" t="s">
        <v>932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A19"/>
  <sheetViews>
    <sheetView workbookViewId="0"/>
  </sheetViews>
  <sheetFormatPr baseColWidth="10" defaultColWidth="14.42578125" defaultRowHeight="15.75" customHeight="1"/>
  <cols>
    <col min="1" max="1" width="25.140625" customWidth="1"/>
  </cols>
  <sheetData>
    <row r="1" spans="1:1" ht="15.75" customHeight="1">
      <c r="A1" s="34" t="s">
        <v>43</v>
      </c>
    </row>
    <row r="2" spans="1:1" ht="15.75" customHeight="1">
      <c r="A2" s="34" t="s">
        <v>87</v>
      </c>
    </row>
    <row r="3" spans="1:1" ht="15.75" customHeight="1">
      <c r="A3" s="34" t="s">
        <v>966</v>
      </c>
    </row>
    <row r="4" spans="1:1" ht="15.75" customHeight="1">
      <c r="A4" s="34" t="s">
        <v>893</v>
      </c>
    </row>
    <row r="5" spans="1:1" ht="15.75" customHeight="1">
      <c r="A5" s="34" t="s">
        <v>970</v>
      </c>
    </row>
    <row r="6" spans="1:1" ht="15.75" customHeight="1">
      <c r="A6" s="34" t="s">
        <v>144</v>
      </c>
    </row>
    <row r="7" spans="1:1" ht="15.75" customHeight="1">
      <c r="A7" s="34" t="s">
        <v>976</v>
      </c>
    </row>
    <row r="8" spans="1:1" ht="15.75" customHeight="1">
      <c r="A8" s="34" t="s">
        <v>466</v>
      </c>
    </row>
    <row r="9" spans="1:1" ht="15.75" customHeight="1">
      <c r="A9" s="34" t="s">
        <v>977</v>
      </c>
    </row>
    <row r="10" spans="1:1" ht="15.75" customHeight="1">
      <c r="A10" s="34" t="s">
        <v>978</v>
      </c>
    </row>
    <row r="11" spans="1:1" ht="15.75" customHeight="1">
      <c r="A11" s="34" t="s">
        <v>979</v>
      </c>
    </row>
    <row r="12" spans="1:1" ht="15.75" customHeight="1">
      <c r="A12" s="34" t="s">
        <v>164</v>
      </c>
    </row>
    <row r="13" spans="1:1" ht="15.75" customHeight="1">
      <c r="A13" s="34" t="s">
        <v>980</v>
      </c>
    </row>
    <row r="14" spans="1:1" ht="15.75" customHeight="1">
      <c r="A14" s="34" t="s">
        <v>981</v>
      </c>
    </row>
    <row r="15" spans="1:1" ht="15.75" customHeight="1">
      <c r="A15" s="34" t="s">
        <v>982</v>
      </c>
    </row>
    <row r="16" spans="1:1" ht="15.75" customHeight="1">
      <c r="A16" s="34" t="s">
        <v>983</v>
      </c>
    </row>
    <row r="17" spans="1:1" ht="15.75" customHeight="1">
      <c r="A17" s="34" t="s">
        <v>984</v>
      </c>
    </row>
    <row r="18" spans="1:1" ht="15.75" customHeight="1">
      <c r="A18" s="34" t="s">
        <v>897</v>
      </c>
    </row>
    <row r="19" spans="1:1" ht="15.75" customHeight="1">
      <c r="A19" s="34" t="s">
        <v>920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workbookViewId="0"/>
  </sheetViews>
  <sheetFormatPr baseColWidth="10" defaultColWidth="14.42578125" defaultRowHeight="15.75" customHeight="1"/>
  <cols>
    <col min="1" max="1" width="24.42578125" customWidth="1"/>
    <col min="2" max="2" width="12.85546875" customWidth="1"/>
    <col min="3" max="3" width="19.5703125" customWidth="1"/>
    <col min="4" max="4" width="9.5703125" customWidth="1"/>
    <col min="5" max="5" width="30" customWidth="1"/>
    <col min="6" max="6" width="18" customWidth="1"/>
    <col min="7" max="7" width="22.7109375" customWidth="1"/>
    <col min="8" max="8" width="15.85546875" customWidth="1"/>
    <col min="9" max="9" width="34.42578125" customWidth="1"/>
    <col min="10" max="10" width="21.7109375" customWidth="1"/>
    <col min="11" max="11" width="63.140625" customWidth="1"/>
    <col min="12" max="12" width="50.85546875" customWidth="1"/>
    <col min="13" max="13" width="53.42578125" customWidth="1"/>
    <col min="14" max="14" width="39.28515625" customWidth="1"/>
    <col min="15" max="15" width="55" customWidth="1"/>
    <col min="16" max="16" width="59.140625" customWidth="1"/>
    <col min="17" max="17" width="41.5703125" customWidth="1"/>
    <col min="18" max="18" width="26.7109375" customWidth="1"/>
    <col min="19" max="19" width="81.28515625" customWidth="1"/>
    <col min="20" max="20" width="232.85546875" customWidth="1"/>
    <col min="21" max="21" width="71.85546875" customWidth="1"/>
    <col min="22" max="22" width="44.28515625" customWidth="1"/>
    <col min="23" max="23" width="232.140625" customWidth="1"/>
    <col min="24" max="24" width="20.140625" customWidth="1"/>
  </cols>
  <sheetData>
    <row r="1" spans="1:26" ht="12.75">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ht="12.75">
      <c r="A2" s="36"/>
      <c r="B2" s="36"/>
      <c r="C2" s="36"/>
      <c r="D2" s="36"/>
      <c r="E2" s="36"/>
      <c r="F2" s="36"/>
      <c r="G2" s="36"/>
      <c r="H2" s="36"/>
      <c r="I2" s="36"/>
      <c r="J2" s="36"/>
      <c r="K2" s="36"/>
      <c r="L2" s="36"/>
      <c r="M2" s="36"/>
      <c r="N2" s="36"/>
      <c r="O2" s="36"/>
      <c r="P2" s="36"/>
      <c r="Q2" s="36"/>
      <c r="R2" s="36"/>
      <c r="S2" s="36"/>
      <c r="T2" s="36"/>
      <c r="U2" s="36"/>
      <c r="V2" s="36"/>
      <c r="W2" s="36"/>
      <c r="X2" s="36"/>
      <c r="Y2" s="36"/>
      <c r="Z2" s="36"/>
    </row>
    <row r="3" spans="1:26" ht="12.75">
      <c r="A3" s="36"/>
      <c r="B3" s="36"/>
      <c r="C3" s="36"/>
      <c r="D3" s="36"/>
      <c r="E3" s="36"/>
      <c r="F3" s="36"/>
      <c r="G3" s="36"/>
      <c r="H3" s="36"/>
      <c r="I3" s="36"/>
      <c r="J3" s="36"/>
      <c r="K3" s="36"/>
      <c r="L3" s="36"/>
      <c r="M3" s="36"/>
      <c r="N3" s="36"/>
      <c r="O3" s="36"/>
      <c r="P3" s="36"/>
      <c r="Q3" s="36"/>
      <c r="R3" s="36"/>
      <c r="S3" s="36"/>
      <c r="T3" s="36"/>
      <c r="U3" s="36"/>
      <c r="V3" s="36"/>
      <c r="W3" s="36"/>
      <c r="X3" s="36"/>
      <c r="Y3" s="36"/>
      <c r="Z3" s="36"/>
    </row>
    <row r="4" spans="1:26" ht="12.75" hidden="1">
      <c r="A4" s="36"/>
      <c r="B4" s="36"/>
      <c r="C4" s="36"/>
      <c r="D4" s="36"/>
      <c r="E4" s="36"/>
      <c r="F4" s="36"/>
      <c r="G4" s="36"/>
      <c r="H4" s="36"/>
      <c r="I4" s="36"/>
      <c r="J4" s="36"/>
      <c r="K4" s="36"/>
      <c r="L4" s="36"/>
      <c r="M4" s="36"/>
      <c r="N4" s="36"/>
      <c r="O4" s="36"/>
      <c r="P4" s="36"/>
      <c r="Q4" s="36"/>
      <c r="R4" s="36"/>
      <c r="S4" s="36"/>
      <c r="T4" s="36"/>
      <c r="U4" s="36"/>
      <c r="V4" s="36"/>
      <c r="W4" s="36"/>
      <c r="X4" s="36"/>
      <c r="Y4" s="36"/>
      <c r="Z4" s="36"/>
    </row>
    <row r="5" spans="1:26" ht="12.75" hidden="1">
      <c r="A5" s="36"/>
      <c r="B5" s="36"/>
      <c r="C5" s="36"/>
      <c r="D5" s="36"/>
      <c r="E5" s="36"/>
      <c r="F5" s="36"/>
      <c r="G5" s="36"/>
      <c r="H5" s="36"/>
      <c r="I5" s="36"/>
      <c r="J5" s="36"/>
      <c r="K5" s="36"/>
      <c r="L5" s="36"/>
      <c r="M5" s="36"/>
      <c r="N5" s="36"/>
      <c r="O5" s="36"/>
      <c r="P5" s="36"/>
      <c r="Q5" s="36"/>
      <c r="R5" s="36"/>
      <c r="S5" s="36"/>
      <c r="T5" s="36"/>
      <c r="U5" s="36"/>
      <c r="V5" s="36"/>
      <c r="W5" s="36"/>
      <c r="X5" s="36"/>
      <c r="Y5" s="36"/>
      <c r="Z5" s="36"/>
    </row>
    <row r="6" spans="1:26" ht="12.75" hidden="1">
      <c r="A6" s="36"/>
      <c r="B6" s="36"/>
      <c r="C6" s="36"/>
      <c r="D6" s="36"/>
      <c r="E6" s="36"/>
      <c r="F6" s="36"/>
      <c r="G6" s="36"/>
      <c r="H6" s="36"/>
      <c r="I6" s="36"/>
      <c r="J6" s="36"/>
      <c r="K6" s="36"/>
      <c r="L6" s="36"/>
      <c r="M6" s="36"/>
      <c r="N6" s="36"/>
      <c r="O6" s="36"/>
      <c r="P6" s="36"/>
      <c r="Q6" s="36"/>
      <c r="R6" s="36"/>
      <c r="S6" s="36"/>
      <c r="T6" s="36"/>
      <c r="U6" s="36"/>
      <c r="V6" s="36"/>
      <c r="W6" s="36"/>
      <c r="X6" s="36"/>
      <c r="Y6" s="36"/>
      <c r="Z6" s="36"/>
    </row>
    <row r="7" spans="1:26" ht="12.75" hidden="1">
      <c r="A7" s="36"/>
      <c r="B7" s="36"/>
      <c r="C7" s="36"/>
      <c r="D7" s="36"/>
      <c r="E7" s="36"/>
      <c r="F7" s="36"/>
      <c r="G7" s="36"/>
      <c r="H7" s="36"/>
      <c r="I7" s="36"/>
      <c r="J7" s="36"/>
      <c r="K7" s="36"/>
      <c r="L7" s="36"/>
      <c r="M7" s="36"/>
      <c r="N7" s="36"/>
      <c r="O7" s="36"/>
      <c r="P7" s="36"/>
      <c r="Q7" s="36"/>
      <c r="R7" s="36"/>
      <c r="S7" s="36"/>
      <c r="T7" s="36"/>
      <c r="U7" s="36"/>
      <c r="V7" s="36"/>
      <c r="W7" s="36"/>
      <c r="X7" s="36"/>
      <c r="Y7" s="36"/>
      <c r="Z7" s="36"/>
    </row>
    <row r="8" spans="1:26" ht="12.75" hidden="1">
      <c r="A8" s="36"/>
      <c r="B8" s="36"/>
      <c r="C8" s="36"/>
      <c r="D8" s="36"/>
      <c r="E8" s="36"/>
      <c r="F8" s="36"/>
      <c r="G8" s="36"/>
      <c r="H8" s="36"/>
      <c r="I8" s="36"/>
      <c r="J8" s="36"/>
      <c r="K8" s="36"/>
      <c r="L8" s="36"/>
      <c r="M8" s="36"/>
      <c r="N8" s="36"/>
      <c r="O8" s="36"/>
      <c r="P8" s="36"/>
      <c r="Q8" s="36"/>
      <c r="R8" s="36"/>
      <c r="S8" s="36"/>
      <c r="T8" s="36"/>
      <c r="U8" s="36"/>
      <c r="V8" s="36"/>
      <c r="W8" s="36"/>
      <c r="X8" s="36"/>
      <c r="Y8" s="36"/>
      <c r="Z8" s="36"/>
    </row>
    <row r="9" spans="1:26" ht="12.75" hidden="1">
      <c r="A9" s="36"/>
      <c r="B9" s="36"/>
      <c r="C9" s="36"/>
      <c r="D9" s="36"/>
      <c r="E9" s="36"/>
      <c r="F9" s="36"/>
      <c r="G9" s="36"/>
      <c r="H9" s="36"/>
      <c r="I9" s="36"/>
      <c r="J9" s="36"/>
      <c r="K9" s="36"/>
      <c r="L9" s="36"/>
      <c r="M9" s="36"/>
      <c r="N9" s="36"/>
      <c r="O9" s="36"/>
      <c r="P9" s="36"/>
      <c r="Q9" s="36"/>
      <c r="R9" s="36"/>
      <c r="S9" s="36"/>
      <c r="T9" s="36"/>
      <c r="U9" s="36"/>
      <c r="V9" s="36"/>
      <c r="W9" s="36"/>
      <c r="X9" s="36"/>
      <c r="Y9" s="36"/>
      <c r="Z9" s="36"/>
    </row>
    <row r="10" spans="1:26" ht="12.75" hidden="1">
      <c r="A10" s="36"/>
      <c r="B10" s="36"/>
      <c r="C10" s="36"/>
      <c r="D10" s="36"/>
      <c r="E10" s="36"/>
      <c r="F10" s="36"/>
      <c r="G10" s="36"/>
      <c r="H10" s="36"/>
      <c r="I10" s="36"/>
      <c r="J10" s="36"/>
      <c r="K10" s="36"/>
      <c r="L10" s="36"/>
      <c r="M10" s="36"/>
      <c r="N10" s="36"/>
      <c r="O10" s="36"/>
      <c r="P10" s="36"/>
      <c r="Q10" s="36"/>
      <c r="R10" s="36"/>
      <c r="S10" s="36"/>
      <c r="T10" s="36"/>
      <c r="U10" s="36"/>
      <c r="V10" s="36"/>
      <c r="W10" s="36"/>
      <c r="X10" s="36"/>
      <c r="Y10" s="36"/>
      <c r="Z10" s="36"/>
    </row>
    <row r="11" spans="1:26" ht="12.75" hidden="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row>
    <row r="12" spans="1:26" ht="12.75" hidden="1">
      <c r="A12" s="36"/>
      <c r="B12" s="36"/>
      <c r="C12" s="36"/>
      <c r="D12" s="36"/>
      <c r="E12" s="36"/>
      <c r="F12" s="36"/>
      <c r="G12" s="36"/>
      <c r="H12" s="36"/>
      <c r="I12" s="36"/>
      <c r="J12" s="36"/>
      <c r="K12" s="36"/>
      <c r="L12" s="36"/>
      <c r="M12" s="36"/>
      <c r="N12" s="36"/>
      <c r="O12" s="36"/>
      <c r="P12" s="36"/>
      <c r="Q12" s="36"/>
      <c r="R12" s="36"/>
      <c r="S12" s="36"/>
      <c r="T12" s="36"/>
      <c r="U12" s="36"/>
      <c r="V12" s="36"/>
      <c r="W12" s="36"/>
      <c r="X12" s="36"/>
      <c r="Y12" s="36"/>
      <c r="Z12" s="36"/>
    </row>
    <row r="13" spans="1:26" ht="12.75" hidden="1">
      <c r="A13" s="36"/>
      <c r="B13" s="36"/>
      <c r="C13" s="36"/>
      <c r="D13" s="36"/>
      <c r="E13" s="36"/>
      <c r="F13" s="36"/>
      <c r="G13" s="36"/>
      <c r="H13" s="36"/>
      <c r="I13" s="36"/>
      <c r="J13" s="36"/>
      <c r="K13" s="36"/>
      <c r="L13" s="36"/>
      <c r="M13" s="36"/>
      <c r="N13" s="36"/>
      <c r="O13" s="36"/>
      <c r="P13" s="36"/>
      <c r="Q13" s="36"/>
      <c r="R13" s="36"/>
      <c r="S13" s="36"/>
      <c r="T13" s="36"/>
      <c r="U13" s="36"/>
      <c r="V13" s="36"/>
      <c r="W13" s="36"/>
      <c r="X13" s="36"/>
      <c r="Y13" s="36"/>
      <c r="Z13" s="36"/>
    </row>
    <row r="14" spans="1:26" ht="12.75" hidden="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row>
    <row r="15" spans="1:26" ht="12.75" hidden="1">
      <c r="A15" s="36"/>
      <c r="B15" s="36"/>
      <c r="C15" s="36"/>
      <c r="D15" s="36"/>
      <c r="E15" s="36"/>
      <c r="F15" s="36"/>
      <c r="G15" s="36"/>
      <c r="H15" s="36"/>
      <c r="I15" s="36"/>
      <c r="J15" s="36"/>
      <c r="K15" s="36"/>
      <c r="L15" s="36"/>
      <c r="M15" s="36"/>
      <c r="N15" s="36"/>
      <c r="O15" s="36"/>
      <c r="P15" s="36"/>
      <c r="Q15" s="36"/>
      <c r="R15" s="36"/>
      <c r="S15" s="36"/>
      <c r="T15" s="36"/>
      <c r="U15" s="36"/>
      <c r="V15" s="36"/>
      <c r="W15" s="36"/>
      <c r="X15" s="36"/>
      <c r="Y15" s="36"/>
      <c r="Z15" s="36"/>
    </row>
    <row r="16" spans="1:26" ht="12.75" hidden="1">
      <c r="A16" s="36"/>
      <c r="B16" s="36"/>
      <c r="C16" s="36"/>
      <c r="D16" s="36"/>
      <c r="E16" s="36"/>
      <c r="F16" s="36"/>
      <c r="G16" s="36"/>
      <c r="H16" s="36"/>
      <c r="I16" s="36"/>
      <c r="J16" s="36"/>
      <c r="K16" s="36"/>
      <c r="L16" s="36"/>
      <c r="M16" s="36"/>
      <c r="N16" s="36"/>
      <c r="O16" s="36"/>
      <c r="P16" s="36"/>
      <c r="Q16" s="36"/>
      <c r="R16" s="36"/>
      <c r="S16" s="36"/>
      <c r="T16" s="36"/>
      <c r="U16" s="36"/>
      <c r="V16" s="36"/>
      <c r="W16" s="36"/>
      <c r="X16" s="36"/>
      <c r="Y16" s="36"/>
      <c r="Z16" s="36"/>
    </row>
    <row r="17" spans="1:26" ht="12.75" hidden="1">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row>
    <row r="18" spans="1:26" ht="12.75" hidden="1">
      <c r="A18" s="36"/>
      <c r="B18" s="36"/>
      <c r="C18" s="36"/>
      <c r="D18" s="36"/>
      <c r="E18" s="36"/>
      <c r="F18" s="36"/>
      <c r="G18" s="36"/>
      <c r="H18" s="36"/>
      <c r="I18" s="36"/>
      <c r="J18" s="36"/>
      <c r="K18" s="36"/>
      <c r="L18" s="36"/>
      <c r="M18" s="36"/>
      <c r="N18" s="36"/>
      <c r="O18" s="36"/>
      <c r="P18" s="36"/>
      <c r="Q18" s="36"/>
      <c r="R18" s="36"/>
      <c r="S18" s="36"/>
      <c r="T18" s="36"/>
      <c r="U18" s="36"/>
      <c r="V18" s="36"/>
      <c r="W18" s="36"/>
      <c r="X18" s="36"/>
      <c r="Y18" s="36"/>
      <c r="Z18" s="36"/>
    </row>
    <row r="19" spans="1:26" ht="12.75" hidden="1">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row>
    <row r="20" spans="1:26" ht="12.75" hidden="1">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row>
    <row r="21" spans="1:26" ht="12.75" hidden="1">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row>
    <row r="22" spans="1:26" ht="12.75" hidden="1">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row>
    <row r="23" spans="1:26" ht="12.75" hidden="1">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row>
    <row r="24" spans="1:26" ht="12.75" hidden="1">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row>
    <row r="25" spans="1:26" ht="12.75" hidden="1">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row>
    <row r="26" spans="1:26" ht="12.75" hidden="1">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row>
    <row r="27" spans="1:26" ht="12.75" hidden="1">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row>
    <row r="28" spans="1:26" ht="12.75" hidden="1">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row>
    <row r="29" spans="1:26" ht="12.75" hidden="1">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row>
    <row r="30" spans="1:26" ht="12.75" hidden="1">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row>
    <row r="31" spans="1:26" ht="12.75" hidden="1">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row>
    <row r="32" spans="1:26" ht="12.75" hidden="1">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row>
    <row r="33" spans="1:26" ht="12.75" hidden="1">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row>
    <row r="34" spans="1:26" ht="12.75" hidden="1">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row>
    <row r="35" spans="1:26" ht="12.75" hidden="1">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row>
    <row r="36" spans="1:26" ht="12.75" hidden="1">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row>
    <row r="37" spans="1:26" ht="12.75" hidden="1">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row>
    <row r="38" spans="1:26" ht="12.75" hidden="1">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row>
    <row r="39" spans="1:26" ht="12.75" hidden="1">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row>
    <row r="40" spans="1:26" ht="12.75" hidden="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row>
    <row r="41" spans="1:26" ht="12.75" hidden="1">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row>
    <row r="42" spans="1:26" ht="12.75" hidden="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row>
    <row r="43" spans="1:26" ht="12.75" hidden="1">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row>
    <row r="44" spans="1:26" ht="12.75" hidden="1">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row>
    <row r="45" spans="1:26" ht="12.75" hidden="1">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row>
    <row r="46" spans="1:26" ht="12.75" hidden="1">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row>
    <row r="47" spans="1:26" ht="12.75" hidden="1">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row>
    <row r="48" spans="1:26" ht="12.75" hidden="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row>
    <row r="49" spans="1:26" ht="12.75" hidden="1">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row>
    <row r="50" spans="1:26" ht="12.75" hidden="1">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row>
    <row r="51" spans="1:26" ht="12.75" hidden="1">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row>
    <row r="52" spans="1:26" ht="12.75" hidden="1">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row>
    <row r="53" spans="1:26" ht="12.75" hidden="1">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row>
    <row r="54" spans="1:26" ht="12.75" hidden="1">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row>
    <row r="55" spans="1:26" ht="12.75" hidden="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row>
    <row r="56" spans="1:26" ht="12.75" hidden="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row>
    <row r="57" spans="1:26" ht="12.75" hidden="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row>
    <row r="58" spans="1:26" ht="12.75" hidden="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row>
    <row r="59" spans="1:26" ht="12.75" hidden="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row>
    <row r="60" spans="1:26" ht="12.75" hidden="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row>
    <row r="61" spans="1:26" ht="12.75" hidden="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row>
    <row r="62" spans="1:26" ht="12.75" hidden="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row>
    <row r="63" spans="1:26" ht="12.75" hidden="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row>
    <row r="64" spans="1:26" ht="12.75" hidden="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row>
    <row r="65" spans="1:26" ht="12.75" hidden="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row>
    <row r="66" spans="1:26" ht="12.75" hidden="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row>
    <row r="67" spans="1:26" ht="12.75" hidden="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row>
    <row r="68" spans="1:26" ht="12.75" hidden="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row>
    <row r="69" spans="1:26" ht="12.75" hidden="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row>
    <row r="70" spans="1:26" ht="12.75" hidden="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row>
    <row r="71" spans="1:26" ht="12.75" hidden="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row>
    <row r="72" spans="1:26" ht="12.75" hidden="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row>
    <row r="73" spans="1:26" ht="12.75" hidden="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row>
    <row r="74" spans="1:26" ht="12.75" hidden="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row>
    <row r="75" spans="1:26" ht="12.75" hidden="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row>
    <row r="76" spans="1:26" ht="12.75" hidden="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row>
    <row r="77" spans="1:26" ht="12.75" hidden="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row>
    <row r="78" spans="1:26" ht="12.75" hidden="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row>
    <row r="79" spans="1:26" ht="12.75" hidden="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row>
    <row r="80" spans="1:26" ht="12.75" hidden="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row>
    <row r="81" spans="1:26" ht="12.75" hidden="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row>
    <row r="82" spans="1:26" ht="12.75" hidden="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row>
    <row r="83" spans="1:26" ht="12.75" hidden="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row>
    <row r="84" spans="1:26" ht="12.75" hidden="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row>
    <row r="85" spans="1:26" ht="12.75" hidden="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row>
    <row r="86" spans="1:26" ht="12.75" hidden="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row>
    <row r="87" spans="1:26" ht="12.75" hidden="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row>
    <row r="88" spans="1:26" ht="12.75" hidden="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row>
    <row r="89" spans="1:26" ht="12.75" hidden="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row>
    <row r="90" spans="1:26" ht="12.75" hidden="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row>
    <row r="91" spans="1:26" ht="12.75" hidden="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row>
    <row r="92" spans="1:26" ht="12.75" hidden="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row>
    <row r="93" spans="1:26" ht="12.75" hidden="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row>
    <row r="94" spans="1:26" ht="12.75" hidden="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row>
    <row r="95" spans="1:26" ht="12.75" hidden="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row>
    <row r="96" spans="1:26" ht="12.75" hidden="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row>
    <row r="97" spans="1:26" ht="12.75" hidden="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row>
    <row r="98" spans="1:26" ht="12.75" hidden="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row>
    <row r="99" spans="1:26" ht="12.75" hidden="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row>
    <row r="100" spans="1:26" ht="12.75" hidden="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2.75" hidden="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2.75" hidden="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2.75" hidden="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2.75" hidden="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2.75" hidden="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2.75" hidden="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2.75" hidden="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2.75" hidden="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2.75" hidden="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2.75" hidden="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2.75" hidden="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2.75" hidden="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2.75" hidden="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2.75" hidden="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2.75" hidden="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2.75" hidden="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2.75" hidden="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2.75" hidden="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2.75" hidden="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2.75" hidden="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2.75" hidden="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2.75" hidden="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2.75" hidden="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2.75" hidden="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2.75" hidden="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2.75" hidden="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2.75" hidden="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2.75" hidden="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2.75" hidden="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2.75" hidden="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2.75" hidden="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2.75" hidden="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2.75" hidden="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2.75" hidden="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2.75" hidden="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2.75" hidden="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2.75" hidden="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2.75" hidden="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2.75" hidden="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2.75" hidden="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2.75" hidden="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2.75" hidden="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2.75" hidden="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2.75" hidden="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2.75" hidden="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2.75" hidden="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2.75" hidden="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2.75" hidden="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2.75" hidden="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2.75" hidden="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2.75" hidden="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2.75" hidden="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2.75" hidden="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2.75" hidden="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2.75" hidden="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2.75" hidden="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2.75" hidden="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2.75" hidden="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2.75" hidden="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2.75" hidden="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2.75" hidden="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2.75" hidden="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2.75" hidden="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2.75" hidden="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2.75" hidden="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2.75" hidden="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2.75" hidden="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2.75" hidden="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2.75" hidden="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2.75" hidden="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2.75" hidden="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2.75" hidden="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2.75" hidden="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2.75" hidden="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2.75" hidden="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2.75" hidden="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2.75" hidden="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2.75" hidden="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2.75" hidden="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2.75" hidden="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2.75" hidden="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2.75" hidden="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2.75" hidden="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2.75" hidden="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2.75" hidden="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2.75" hidden="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2.75" hidden="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2.75" hidden="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2.75" hidden="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2.75" hidden="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2.75" hidden="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2.75" hidden="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2.75" hidden="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2.75" hidden="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2.75" hidden="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2.75" hidden="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2.75" hidden="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2.75" hidden="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2.75" hidden="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2.75" hidden="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2.75" hidden="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2.75" hidden="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2.75" hidden="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2.75" hidden="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2.75" hidden="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2.75" hidden="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2.75" hidden="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2.75" hidden="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2.75" hidden="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2.75" hidden="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2.75" hidden="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2.75" hidden="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2.75" hidden="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2.75" hidden="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2.75" hidden="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2.75" hidden="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2.75" hidden="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2.75" hidden="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2.75" hidden="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2.75" hidden="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2.75" hidden="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2.75" hidden="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2.75" hidden="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2.75" hidden="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2.75" hidden="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2.75" hidden="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2.75" hidden="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2.75" hidden="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2.75" hidden="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2.75" hidden="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2.75" hidden="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2.75" hidden="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2.75" hidden="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2.75" hidden="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2.75" hidden="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2.75" hidden="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2.75" hidden="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2.75" hidden="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2.75" hidden="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2.75" hidden="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2.75" hidden="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2.75" hidden="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2.75" hidden="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2.75" hidden="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2.75" hidden="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2.75" hidden="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2.75" hidden="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2.75" hidden="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2.75" hidden="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2.75" hidden="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2.75" hidden="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2.75" hidden="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2.75" hidden="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2.75" hidden="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2.75" hidden="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2.75" hidden="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2.75" hidden="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2.75" hidden="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2.75" hidden="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2.75" hidden="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2.75" hidden="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2.75" hidden="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2.75" hidden="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2.75" hidden="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2.75" hidden="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2.75" hidden="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2.75" hidden="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2.75" hidden="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2.75" hidden="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2.75" hidden="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2.75" hidden="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2.75" hidden="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2.75" hidden="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2.75" hidden="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2.75" hidden="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2.75" hidden="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2.75" hidden="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2.75" hidden="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2.75" hidden="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2.75" hidden="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2.75" hidden="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2.75" hidden="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2.75" hidden="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2.75" hidden="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2.75" hidden="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2.75" hidden="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2.75" hidden="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2.75" hidden="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2.75" hidden="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2.75" hidden="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2.75" hidden="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2.75" hidden="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2.75" hidden="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2.75" hidden="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2.75" hidden="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2.75" hidden="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2.75" hidden="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2.75" hidden="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2.75" hidden="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2.75" hidden="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2.75" hidden="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2.75" hidden="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2.75" hidden="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2.75" hidden="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2.75" hidden="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2.75" hidden="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2.75" hidden="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2.75" hidden="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2.75" hidden="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2.75" hidden="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2.75" hidden="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2.75" hidden="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2.75" hidden="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2.75" hidden="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2.75" hidden="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2.75" hidden="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2.75" hidden="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2.75" hidden="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2.75" hidden="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2.75" hidden="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2.75" hidden="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2.75" hidden="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2.75" hidden="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2.75" hidden="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2.75" hidden="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2.75" hidden="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2.75" hidden="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2.75" hidden="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2.75" hidden="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2.75" hidden="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2.75" hidden="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2.75" hidden="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2.75" hidden="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2.75" hidden="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2.75" hidden="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2.75" hidden="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2.75" hidden="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2.75" hidden="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2.75" hidden="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2.75" hidden="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2.75" hidden="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2.75" hidden="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2.75" hidden="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2.75" hidden="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2.75" hidden="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2.75" hidden="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2.75" hidden="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2.75" hidden="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2.75" hidden="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2.75" hidden="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2.75" hidden="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2.75" hidden="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2.75" hidden="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2.75" hidden="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2.75" hidden="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2.75" hidden="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2.75" hidden="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2.75" hidden="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2.75" hidden="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2.75" hidden="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2.75" hidden="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2.75" hidden="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2.75" hidden="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2.75" hidden="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2.75" hidden="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2.75" hidden="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2.75" hidden="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2.75" hidden="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2.75" hidden="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2.75" hidden="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2.75" hidden="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2.75" hidden="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2.75" hidden="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2.75" hidden="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2.75" hidden="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2.75" hidden="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2.75" hidden="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2.75" hidden="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2.75" hidden="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2.75" hidden="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2.75" hidden="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2.75" hidden="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2.75" hidden="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2.75" hidden="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2.75" hidden="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2.75" hidden="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2.75" hidden="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2.75" hidden="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2.75" hidden="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2.75" hidden="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2.75" hidden="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2.75" hidden="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2.75" hidden="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2.75" hidden="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2.75" hidden="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2.75" hidden="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2.75" hidden="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2.75" hidden="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2.75" hidden="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2.75" hidden="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2.75" hidden="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2.75" hidden="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2.75" hidden="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2.75" hidden="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2.75" hidden="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2.75" hidden="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2.75" hidden="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2.75" hidden="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2.75" hidden="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2.75" hidden="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2.75" hidden="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2.75" hidden="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2.75" hidden="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2.75" hidden="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2.75" hidden="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2.75" hidden="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2.75" hidden="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2.75" hidden="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2.75" hidden="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2.75" hidden="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2.75" hidden="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2.75" hidden="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2.75" hidden="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2.75" hidden="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2.75" hidden="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2.75" hidden="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2.75" hidden="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2.75" hidden="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2.75" hidden="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2.75" hidden="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2.75" hidden="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2.75" hidden="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2.75" hidden="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2.75" hidden="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2.75" hidden="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2.75" hidden="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2.75" hidden="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2.75" hidden="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2.75" hidden="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2.75" hidden="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2.75" hidden="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2.75" hidden="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2.75" hidden="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2.75" hidden="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2.75" hidden="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2.75" hidden="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2.75" hidden="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2.75" hidden="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2.75" hidden="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2.75" hidden="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2.75" hidden="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2.75" hidden="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2.75" hidden="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2.75" hidden="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2.75" hidden="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2.75" hidden="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2.75" hidden="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2.75" hidden="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2.75" hidden="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2.75" hidden="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2.75" hidden="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2.75" hidden="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2.75" hidden="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2.75" hidden="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2.75" hidden="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2.75" hidden="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2.75" hidden="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2.75" hidden="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2.75" hidden="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2.75" hidden="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2.75" hidden="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2.75" hidden="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2.75" hidden="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2.75" hidden="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2.75" hidden="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2.75" hidden="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2.75" hidden="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2.75" hidden="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2.75" hidden="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2.75" hidden="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2.75" hidden="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2.75" hidden="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2.75" hidden="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2.75" hidden="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2.75" hidden="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2.75" hidden="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2.75" hidden="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2.75" hidden="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2.75" hidden="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2.75" hidden="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2.75" hidden="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2.75" hidden="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2.75" hidden="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2.75" hidden="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2.75" hidden="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2.75" hidden="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2.75" hidden="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2.75" hidden="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2.75" hidden="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2.75" hidden="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2.75" hidden="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2.75" hidden="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2.75" hidden="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2.75" hidden="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2.75" hidden="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2.75" hidden="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2.75" hidden="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2.75" hidden="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2.75" hidden="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2.75" hidden="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2.75" hidden="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2.75" hidden="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2.75" hidden="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2.75" hidden="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2.75" hidden="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2.75" hidden="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2.75" hidden="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2.75" hidden="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2.75" hidden="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2.75" hidden="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2.75" hidden="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2.75" hidden="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2.75" hidden="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2.75" hidden="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2.75" hidden="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2.75" hidden="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2.75" hidden="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2.75" hidden="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2.75" hidden="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2.75" hidden="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2.75" hidden="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2.75" hidden="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2.75" hidden="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2.75" hidden="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2.75" hidden="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2.75" hidden="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2.75" hidden="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2.75" hidden="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2.75" hidden="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2.75" hidden="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2.75" hidden="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2.75" hidden="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2.75" hidden="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2.75" hidden="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2.75" hidden="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2.75" hidden="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2.75" hidden="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2.75" hidden="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2.75" hidden="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2.75" hidden="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2.75" hidden="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2.75" hidden="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2.75" hidden="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2.75" hidden="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2.75" hidden="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2.75" hidden="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2.75" hidden="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2.75" hidden="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2.75" hidden="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2.75" hidden="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2.75" hidden="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2.75" hidden="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2.75" hidden="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2.75" hidden="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2.75" hidden="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2.75" hidden="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2.75" hidden="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2.75" hidden="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2.75" hidden="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2.75" hidden="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2.75" hidden="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2.75" hidden="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2.75" hidden="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2.75" hidden="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2.75" hidden="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2.75" hidden="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2.75" hidden="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2.75" hidden="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2.75" hidden="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2.75" hidden="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2.75" hidden="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2.75" hidden="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2.75" hidden="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2.75" hidden="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2.75" hidden="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2.75" hidden="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2.75" hidden="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2.75" hidden="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2.75" hidden="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2.75" hidden="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2.75" hidden="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2.75" hidden="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2.75" hidden="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2.75" hidden="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2.75" hidden="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2.75" hidden="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2.75" hidden="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2.75" hidden="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2.75" hidden="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2.75" hidden="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2.75" hidden="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2.75" hidden="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2.75" hidden="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2.75" hidden="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2.75" hidden="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2.75" hidden="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2.75" hidden="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2.75" hidden="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2.75" hidden="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2.75" hidden="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2.75" hidden="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2.75" hidden="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2.75" hidden="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2.75" hidden="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2.75" hidden="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2.75" hidden="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2.75" hidden="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2.75" hidden="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2.75" hidden="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2.75" hidden="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2.75" hidden="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2.75" hidden="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2.75" hidden="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2.75" hidden="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2.75" hidden="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2.75" hidden="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2.75" hidden="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2.75" hidden="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2.75" hidden="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2.75" hidden="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2.75" hidden="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2.75" hidden="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2.75" hidden="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2.75" hidden="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2.75" hidden="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2.75" hidden="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2.75" hidden="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2.75" hidden="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2.75" hidden="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2.75" hidden="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2.75" hidden="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2.75" hidden="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2.75" hidden="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2.75" hidden="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2.75" hidden="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2.75" hidden="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2.75" hidden="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2.75" hidden="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2.75" hidden="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2.75" hidden="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2.75" hidden="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2.75" hidden="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2.75" hidden="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2.75" hidden="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2.75" hidden="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2.75" hidden="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2.75" hidden="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2.75" hidden="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2.75" hidden="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2.75" hidden="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2.75" hidden="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2.75" hidden="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2.75" hidden="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2.75" hidden="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2.75" hidden="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2.75" hidden="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2.75" hidden="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2.75" hidden="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2.75" hidden="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2.75" hidden="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2.75" hidden="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2.75" hidden="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2.75" hidden="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2.75" hidden="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2.75" hidden="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2.75" hidden="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2.75" hidden="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2.75" hidden="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2.75" hidden="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2.75" hidden="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2.75" hidden="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2.75" hidden="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2.75" hidden="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2.75" hidden="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2.75" hidden="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2.75" hidden="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2.75" hidden="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2.75" hidden="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2.75" hidden="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2.75" hidden="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2.75" hidden="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2.75" hidden="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2.75" hidden="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2.75" hidden="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2.75" hidden="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2.75" hidden="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2.75" hidden="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2.75" hidden="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2.75" hidden="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2.75" hidden="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2.75" hidden="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2.75" hidden="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2.75" hidden="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2.75" hidden="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2.75" hidden="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2.75" hidden="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2.75" hidden="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2.75" hidden="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2.75" hidden="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2.75" hidden="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2.75" hidden="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2.75" hidden="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2.75" hidden="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2.75" hidden="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2.75" hidden="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2.75" hidden="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2.75" hidden="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2.75" hidden="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2.75" hidden="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2.75" hidden="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2.75" hidden="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2.75" hidden="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2.75" hidden="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2.75" hidden="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2.75" hidden="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2.75" hidden="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2.75" hidden="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2.75" hidden="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2.75" hidden="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2.75" hidden="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2.75" hidden="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2.75" hidden="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2.75" hidden="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2.75" hidden="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2.75" hidden="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2.75" hidden="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2.75" hidden="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2.75" hidden="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2.75" hidden="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2.75" hidden="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2.75" hidden="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2.75" hidden="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2.75" hidden="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2.75" hidden="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2.75" hidden="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2.75" hidden="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2.75" hidden="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2.75" hidden="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2.75" hidden="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2.75" hidden="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2.75" hidden="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2.75" hidden="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2.75" hidden="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2.75" hidden="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2.75" hidden="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2.75" hidden="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2.75" hidden="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2.75" hidden="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2.75" hidden="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2.75" hidden="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2.75" hidden="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2.75" hidden="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2.75" hidden="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2.75" hidden="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2.75" hidden="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2.75" hidden="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2.75" hidden="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2.75" hidden="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2.75" hidden="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2.75" hidden="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2.75" hidden="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2.75" hidden="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2.75" hidden="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2.75" hidden="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2.75" hidden="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2.75" hidden="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2.75" hidden="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2.75" hidden="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2.75" hidden="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2.75" hidden="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2.75" hidden="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2.75" hidden="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2.75" hidden="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2.75" hidden="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2.75" hidden="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2.75" hidden="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2.75" hidden="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2.75" hidden="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2.75" hidden="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2.75" hidden="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2.75" hidden="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2.75" hidden="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2.75" hidden="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2.75" hidden="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2.75" hidden="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2.75" hidden="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2.75" hidden="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2.75" hidden="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2.75" hidden="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2.75" hidden="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2.75" hidden="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2.75" hidden="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2.75" hidden="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2.75" hidden="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2.75" hidden="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2.75" hidden="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2.75" hidden="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2.75" hidden="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2.75" hidden="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2.75" hidden="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2.75" hidden="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2.75" hidden="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2.75" hidden="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2.75" hidden="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2.75" hidden="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2.75" hidden="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2.75" hidden="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2.75" hidden="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2.75" hidden="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2.75" hidden="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2.75" hidden="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2.75" hidden="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2.75" hidden="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2.75" hidden="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2.75" hidden="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2.75" hidden="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2.75" hidden="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2.75" hidden="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2.75" hidden="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2.75" hidden="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2.75" hidden="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2.75" hidden="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2.75" hidden="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2.75" hidden="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2.75" hidden="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2.75" hidden="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2.75" hidden="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2.75" hidden="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2.75" hidden="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2.75" hidden="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2.75" hidden="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2.75" hidden="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2.75" hidden="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2.75" hidden="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2.75" hidden="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2.75" hidden="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2.75" hidden="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2.75" hidden="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2.75" hidden="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2.75" hidden="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2.75" hidden="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2.75" hidden="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2.75" hidden="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2.75" hidden="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2.75" hidden="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2.75" hidden="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2.75" hidden="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2.75" hidden="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2.75" hidden="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2.75" hidden="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2.75" hidden="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2.75" hidden="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2.75" hidden="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2.75" hidden="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2.75" hidden="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2.75" hidden="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2.75" hidden="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2.75" hidden="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2.75" hidden="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2.75" hidden="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2.75" hidden="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2.75" hidden="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2.75" hidden="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2.75" hidden="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2.75" hidden="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2.75" hidden="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2.75" hidden="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2.75" hidden="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2.75" hidden="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2.75" hidden="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2.75" hidden="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2.75" hidden="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2.75" hidden="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2.75" hidden="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2.75" hidden="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2.75" hidden="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2.75" hidden="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2.75" hidden="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2.75" hidden="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2.75" hidden="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2.75" hidden="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2.75" hidden="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2.75" hidden="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2.75" hidden="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2.75" hidden="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2.75" hidden="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2.75" hidden="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2.75" hidden="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2.75" hidden="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2.75" hidden="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2.75" hidden="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2.75" hidden="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2.75" hidden="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2.75" hidden="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2.75" hidden="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2.75" hidden="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2.75" hidden="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2.75" hidden="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2.75" hidden="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2.75" hidden="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2.75" hidden="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2.75" hidden="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2.75" hidden="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2.75" hidden="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2.75" hidden="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2.75" hidden="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2.75" hidden="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2.75" hidden="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2.75" hidden="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2.75" hidden="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2.75" hidden="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2.75" hidden="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2.75" hidden="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2.75" hidden="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2.75" hidden="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2.75" hidden="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2.75" hidden="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2.75" hidden="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2.75" hidden="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2.75" hidden="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2.75" hidden="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2.75" hidden="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2.75" hidden="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2.75" hidden="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2.75" hidden="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2.75" hidden="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2.75" hidden="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2.75" hidden="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2.75" hidden="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2.75" hidden="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2.75" hidden="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2.75" hidden="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2.75" hidden="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2.75" hidden="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2.75" hidden="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2.75" hidden="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2.75" hidden="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2.75" hidden="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2.75" hidden="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2.75" hidden="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2.75" hidden="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2.75" hidden="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2.75" hidden="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2.75" hidden="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2.75" hidden="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2.75" hidden="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2.75" hidden="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2.75" hidden="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2.75" hidden="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2.75" hidden="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2.75" hidden="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2.75" hidden="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2.75" hidden="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2.75" hidden="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2.75" hidden="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2.75" hidden="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2.75" hidden="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2.75" hidden="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2.75" hidden="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2.75" hidden="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2.75" hidden="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2.75" hidden="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2.75" hidden="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2.75" hidden="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2.75" hidden="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2.75" hidden="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2.75" hidden="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2.75" hidden="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2.75" hidden="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2.75" hidden="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2.75" hidden="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2.75" hidden="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2.75" hidden="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2.75" hidden="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2.75" hidden="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2.75" hidden="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2.75" hidden="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2.75" hidden="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2.75" hidden="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2.75" hidden="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2.75" hidden="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2.75" hidden="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2.75" hidden="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2.75" hidden="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2.75" hidden="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2.75" hidden="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2.75" hidden="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2.75" hidden="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2.75" hidden="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2.75" hidden="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autoFilter ref="A1:Z1000"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outlinePr summaryBelow="0" summaryRight="0"/>
  </sheetPr>
  <dimension ref="A1:Z1000"/>
  <sheetViews>
    <sheetView workbookViewId="0"/>
  </sheetViews>
  <sheetFormatPr baseColWidth="10" defaultColWidth="14.42578125" defaultRowHeight="15.75" customHeight="1"/>
  <cols>
    <col min="1" max="1" width="24.42578125" customWidth="1"/>
    <col min="2" max="2" width="12.85546875" customWidth="1"/>
    <col min="3" max="3" width="19.5703125" customWidth="1"/>
    <col min="4" max="4" width="19.85546875" customWidth="1"/>
    <col min="5" max="5" width="57.5703125" customWidth="1"/>
    <col min="6" max="6" width="18" customWidth="1"/>
    <col min="7" max="7" width="22.7109375" customWidth="1"/>
    <col min="8" max="8" width="17.28515625" customWidth="1"/>
    <col min="9" max="9" width="33.5703125" customWidth="1"/>
    <col min="10" max="10" width="34.7109375" customWidth="1"/>
    <col min="11" max="11" width="189.85546875" customWidth="1"/>
    <col min="12" max="12" width="50.85546875" customWidth="1"/>
    <col min="13" max="13" width="53.42578125" customWidth="1"/>
    <col min="14" max="14" width="47.140625" customWidth="1"/>
    <col min="15" max="15" width="87.85546875" customWidth="1"/>
    <col min="16" max="16" width="59.140625" customWidth="1"/>
    <col min="17" max="17" width="56" customWidth="1"/>
    <col min="18" max="18" width="26.7109375" customWidth="1"/>
    <col min="19" max="19" width="50.42578125" customWidth="1"/>
    <col min="20" max="20" width="83" customWidth="1"/>
    <col min="21" max="21" width="52.5703125" customWidth="1"/>
    <col min="22" max="22" width="44.28515625" customWidth="1"/>
    <col min="23" max="23" width="240.28515625" customWidth="1"/>
    <col min="24" max="24" width="20.140625" customWidth="1"/>
  </cols>
  <sheetData>
    <row r="1" spans="1:26" ht="12.75">
      <c r="A1" s="47" t="str">
        <f ca="1">IFERROR(__xludf.DUMMYFUNCTION("IMPORTRANGE(""https://docs.google.com/spreadsheets/d/1xoKYXsGMIFqtX4yvqrNnOSPgQdi-OQS6QffgGgSWXNo/edit#gid=2044445820&amp;fvid=1799469265"",""TODOS!B1:X900"")"),"Comunidad Autónoma ")</f>
        <v xml:space="preserve">Comunidad Autónoma </v>
      </c>
      <c r="B1" s="47" t="str">
        <f ca="1">IFERROR(__xludf.DUMMYFUNCTION("""COMPUTED_VALUE"""),"Provincia ")</f>
        <v xml:space="preserve">Provincia </v>
      </c>
      <c r="C1" s="47" t="str">
        <f ca="1">IFERROR(__xludf.DUMMYFUNCTION("""COMPUTED_VALUE"""),"Año campamento")</f>
        <v>Año campamento</v>
      </c>
      <c r="D1" s="47" t="str">
        <f ca="1">IFERROR(__xludf.DUMMYFUNCTION("""COMPUTED_VALUE"""),"Grupo")</f>
        <v>Grupo</v>
      </c>
      <c r="E1" s="47" t="str">
        <f ca="1">IFERROR(__xludf.DUMMYFUNCTION("""COMPUTED_VALUE"""),"Contacto")</f>
        <v>Contacto</v>
      </c>
      <c r="F1" s="47" t="str">
        <f ca="1">IFERROR(__xludf.DUMMYFUNCTION("""COMPUTED_VALUE"""),"Fecha de inicio ")</f>
        <v xml:space="preserve">Fecha de inicio </v>
      </c>
      <c r="G1" s="47" t="str">
        <f ca="1">IFERROR(__xludf.DUMMYFUNCTION("""COMPUTED_VALUE"""),"Fecha de finalización")</f>
        <v>Fecha de finalización</v>
      </c>
      <c r="H1" s="47" t="str">
        <f ca="1">IFERROR(__xludf.DUMMYFUNCTION("""COMPUTED_VALUE"""),"Población ")</f>
        <v xml:space="preserve">Población </v>
      </c>
      <c r="I1" s="47" t="str">
        <f ca="1">IFERROR(__xludf.DUMMYFUNCTION("""COMPUTED_VALUE"""),"Nombre de la finca/zona/albergue")</f>
        <v>Nombre de la finca/zona/albergue</v>
      </c>
      <c r="J1" s="47" t="str">
        <f ca="1">IFERROR(__xludf.DUMMYFUNCTION("""COMPUTED_VALUE"""),"Número de Catastro")</f>
        <v>Número de Catastro</v>
      </c>
      <c r="K1" s="47" t="str">
        <f ca="1">IFERROR(__xludf.DUMMYFUNCTION("""COMPUTED_VALUE"""),"Coordenadas")</f>
        <v>Coordenadas</v>
      </c>
      <c r="L1" s="47" t="str">
        <f ca="1">IFERROR(__xludf.DUMMYFUNCTION("""COMPUTED_VALUE"""),"Nombre y apellidos de la persona/entidad propietaria")</f>
        <v>Nombre y apellidos de la persona/entidad propietaria</v>
      </c>
      <c r="M1" s="47" t="str">
        <f ca="1">IFERROR(__xludf.DUMMYFUNCTION("""COMPUTED_VALUE"""),"Teléfono de contacto con la persona/entidad propietaria")</f>
        <v>Teléfono de contacto con la persona/entidad propietaria</v>
      </c>
      <c r="N1" s="47" t="str">
        <f ca="1">IFERROR(__xludf.DUMMYFUNCTION("""COMPUTED_VALUE"""),"E-mail de la persona/entidad propietaria")</f>
        <v>E-mail de la persona/entidad propietaria</v>
      </c>
      <c r="O1" s="47" t="str">
        <f ca="1">IFERROR(__xludf.DUMMYFUNCTION("""COMPUTED_VALUE"""),"Canon de utilización (Precio por persona, por quincena...)")</f>
        <v>Canon de utilización (Precio por persona, por quincena...)</v>
      </c>
      <c r="P1" s="47" t="str">
        <f ca="1">IFERROR(__xludf.DUMMYFUNCTION("""COMPUTED_VALUE"""),"Tamaño de la finca en hectáreas (ha) o metros cuadrados (m2)")</f>
        <v>Tamaño de la finca en hectáreas (ha) o metros cuadrados (m2)</v>
      </c>
      <c r="Q1" s="47" t="str">
        <f ca="1">IFERROR(__xludf.DUMMYFUNCTION("""COMPUTED_VALUE"""),"Calidad del acceso a la finca")</f>
        <v>Calidad del acceso a la finca</v>
      </c>
      <c r="R1" s="47" t="str">
        <f ca="1">IFERROR(__xludf.DUMMYFUNCTION("""COMPUTED_VALUE"""),"¿Tiene zonas de sombra?")</f>
        <v>¿Tiene zonas de sombra?</v>
      </c>
      <c r="S1" s="47" t="str">
        <f ca="1">IFERROR(__xludf.DUMMYFUNCTION("""COMPUTED_VALUE"""),"¿Distancia aproximada zona de baño ?")</f>
        <v>¿Distancia aproximada zona de baño ?</v>
      </c>
      <c r="T1" s="47" t="str">
        <f ca="1">IFERROR(__xludf.DUMMYFUNCTION("""COMPUTED_VALUE"""),"Breve descripción/valoración zona de baño")</f>
        <v>Breve descripción/valoración zona de baño</v>
      </c>
      <c r="U1" s="47" t="str">
        <f ca="1">IFERROR(__xludf.DUMMYFUNCTION("""COMPUTED_VALUE"""),"Cuenta con instalaciones ¿Cuáles?")</f>
        <v>Cuenta con instalaciones ¿Cuáles?</v>
      </c>
      <c r="V1" s="47" t="str">
        <f ca="1">IFERROR(__xludf.DUMMYFUNCTION("""COMPUTED_VALUE"""),"¿Se puede conseguir/comprar madera cerca?")</f>
        <v>¿Se puede conseguir/comprar madera cerca?</v>
      </c>
      <c r="W1" s="47" t="str">
        <f ca="1">IFERROR(__xludf.DUMMYFUNCTION("""COMPUTED_VALUE"""),"Breve valoración y otras observaciones de la campa en general")</f>
        <v>Breve valoración y otras observaciones de la campa en general</v>
      </c>
      <c r="X1" s="47"/>
      <c r="Y1" s="47"/>
      <c r="Z1" s="47"/>
    </row>
    <row r="2" spans="1:26" ht="12.75" hidden="1">
      <c r="A2" s="36" t="str">
        <f ca="1">IFERROR(__xludf.DUMMYFUNCTION("""COMPUTED_VALUE"""),"Andalucía")</f>
        <v>Andalucía</v>
      </c>
      <c r="B2" s="36" t="str">
        <f ca="1">IFERROR(__xludf.DUMMYFUNCTION("""COMPUTED_VALUE"""),"Jaen")</f>
        <v>Jaen</v>
      </c>
      <c r="C2" s="36">
        <f ca="1">IFERROR(__xludf.DUMMYFUNCTION("""COMPUTED_VALUE"""),2017)</f>
        <v>2017</v>
      </c>
      <c r="D2" s="36" t="str">
        <f ca="1">IFERROR(__xludf.DUMMYFUNCTION("""COMPUTED_VALUE"""),"Chamberí")</f>
        <v>Chamberí</v>
      </c>
      <c r="E2" s="36" t="str">
        <f ca="1">IFERROR(__xludf.DUMMYFUNCTION("""COMPUTED_VALUE"""),"gs.chamberi@scoutsdemadrid.org ")</f>
        <v xml:space="preserve">gs.chamberi@scoutsdemadrid.org </v>
      </c>
      <c r="F2" s="48">
        <f ca="1">IFERROR(__xludf.DUMMYFUNCTION("""COMPUTED_VALUE"""),42917)</f>
        <v>42917</v>
      </c>
      <c r="G2" s="48">
        <f ca="1">IFERROR(__xludf.DUMMYFUNCTION("""COMPUTED_VALUE"""),42931)</f>
        <v>42931</v>
      </c>
      <c r="H2" s="36" t="str">
        <f ca="1">IFERROR(__xludf.DUMMYFUNCTION("""COMPUTED_VALUE"""),"Santiago-Potones")</f>
        <v>Santiago-Potones</v>
      </c>
      <c r="I2" s="36" t="str">
        <f ca="1">IFERROR(__xludf.DUMMYFUNCTION("""COMPUTED_VALUE"""),"Zona acampada controlada Huerta Vieja")</f>
        <v>Zona acampada controlada Huerta Vieja</v>
      </c>
      <c r="J2" s="36" t="str">
        <f ca="1">IFERROR(__xludf.DUMMYFUNCTION("""COMPUTED_VALUE"""),"")</f>
        <v/>
      </c>
      <c r="K2" s="36" t="str">
        <f ca="1">IFERROR(__xludf.DUMMYFUNCTION("""COMPUTED_VALUE"""),"(en grados decimales) Latitud 38.1178324  Longitud -2.8065421000000015")</f>
        <v>(en grados decimales) Latitud 38.1178324  Longitud -2.8065421000000015</v>
      </c>
      <c r="L2" s="36" t="str">
        <f ca="1">IFERROR(__xludf.DUMMYFUNCTION("""COMPUTED_VALUE"""),"Junta de Anadalucía")</f>
        <v>Junta de Anadalucía</v>
      </c>
      <c r="M2" s="36" t="str">
        <f ca="1">IFERROR(__xludf.DUMMYFUNCTION("""COMPUTED_VALUE"""),"")</f>
        <v/>
      </c>
      <c r="N2" s="36" t="str">
        <f ca="1">IFERROR(__xludf.DUMMYFUNCTION("""COMPUTED_VALUE"""),"")</f>
        <v/>
      </c>
      <c r="O2" s="36" t="str">
        <f ca="1">IFERROR(__xludf.DUMMYFUNCTION("""COMPUTED_VALUE"""),"50€ de trámites")</f>
        <v>50€ de trámites</v>
      </c>
      <c r="P2" s="36" t="str">
        <f ca="1">IFERROR(__xludf.DUMMYFUNCTION("""COMPUTED_VALUE"""),"")</f>
        <v/>
      </c>
      <c r="Q2" s="36" t="str">
        <f ca="1">IFERROR(__xludf.DUMMYFUNCTION("""COMPUTED_VALUE"""),"BUENO (Se puede acceder con cualquier coche)")</f>
        <v>BUENO (Se puede acceder con cualquier coche)</v>
      </c>
      <c r="R2" s="36" t="str">
        <f ca="1">IFERROR(__xludf.DUMMYFUNCTION("""COMPUTED_VALUE"""),"Sí")</f>
        <v>Sí</v>
      </c>
      <c r="S2" s="36" t="str">
        <f ca="1">IFERROR(__xludf.DUMMYFUNCTION("""COMPUTED_VALUE"""),"El pantano está a 5 minutos, pero la zona de baños habilitada está a 10 km")</f>
        <v>El pantano está a 5 minutos, pero la zona de baños habilitada está a 10 km</v>
      </c>
      <c r="T2" s="36" t="str">
        <f ca="1">IFERROR(__xludf.DUMMYFUNCTION("""COMPUTED_VALUE"""),"")</f>
        <v/>
      </c>
      <c r="U2" s="36" t="str">
        <f ca="1">IFERROR(__xludf.DUMMYFUNCTION("""COMPUTED_VALUE"""),"Chiringuito y aseos ( cuando fuimos a ver esta cerrado, en verano nos dijeron que no)")</f>
        <v>Chiringuito y aseos ( cuando fuimos a ver esta cerrado, en verano nos dijeron que no)</v>
      </c>
      <c r="V2" s="36" t="str">
        <f ca="1">IFERROR(__xludf.DUMMYFUNCTION("""COMPUTED_VALUE"""),"")</f>
        <v/>
      </c>
      <c r="W2" s="36" t="str">
        <f ca="1">IFERROR(__xludf.DUMMYFUNCTION("""COMPUTED_VALUE"""),"Andalucía está dando muchas facilidades en los trámites. Además reacondicionando zonas de acampada con baños fijos y comedores con sombra. Hay una gran cantidad de gr, pr, sendas...pero a veces las rutas pueden estar lejos de la zona de campa.
http://www"&amp;".juntadeandalucia.es/medioambiente/servtc5/ventana/mostrarFicha.do?idEquipamiento=19647")</f>
        <v>Andalucía está dando muchas facilidades en los trámites. Además reacondicionando zonas de acampada con baños fijos y comedores con sombra. Hay una gran cantidad de gr, pr, sendas...pero a veces las rutas pueden estar lejos de la zona de campa.
http://www.juntadeandalucia.es/medioambiente/servtc5/ventana/mostrarFicha.do?idEquipamiento=19647</v>
      </c>
      <c r="X2" s="36"/>
      <c r="Y2" s="36"/>
      <c r="Z2" s="36"/>
    </row>
    <row r="3" spans="1:26" ht="12.75" hidden="1">
      <c r="A3" s="36" t="str">
        <f ca="1">IFERROR(__xludf.DUMMYFUNCTION("""COMPUTED_VALUE"""),"Andalucía")</f>
        <v>Andalucía</v>
      </c>
      <c r="B3" s="36" t="str">
        <f ca="1">IFERROR(__xludf.DUMMYFUNCTION("""COMPUTED_VALUE"""),"Granada")</f>
        <v>Granada</v>
      </c>
      <c r="C3" s="36">
        <f ca="1">IFERROR(__xludf.DUMMYFUNCTION("""COMPUTED_VALUE"""),2017)</f>
        <v>2017</v>
      </c>
      <c r="D3" s="36" t="str">
        <f ca="1">IFERROR(__xludf.DUMMYFUNCTION("""COMPUTED_VALUE"""),"Fátima")</f>
        <v>Fátima</v>
      </c>
      <c r="E3" s="36" t="str">
        <f ca="1">IFERROR(__xludf.DUMMYFUNCTION("""COMPUTED_VALUE"""),"gs.fatima@scoutsdemadrid.org ")</f>
        <v xml:space="preserve">gs.fatima@scoutsdemadrid.org </v>
      </c>
      <c r="F3" s="48">
        <f ca="1">IFERROR(__xludf.DUMMYFUNCTION("""COMPUTED_VALUE"""),42931)</f>
        <v>42931</v>
      </c>
      <c r="G3" s="48">
        <f ca="1">IFERROR(__xludf.DUMMYFUNCTION("""COMPUTED_VALUE"""),42946)</f>
        <v>42946</v>
      </c>
      <c r="H3" s="36" t="str">
        <f ca="1">IFERROR(__xludf.DUMMYFUNCTION("""COMPUTED_VALUE"""),"Bermejales")</f>
        <v>Bermejales</v>
      </c>
      <c r="I3" s="36" t="str">
        <f ca="1">IFERROR(__xludf.DUMMYFUNCTION("""COMPUTED_VALUE"""),"CENTRO SCOUT BERMEJALES")</f>
        <v>CENTRO SCOUT BERMEJALES</v>
      </c>
      <c r="J3" s="36" t="str">
        <f ca="1">IFERROR(__xludf.DUMMYFUNCTION("""COMPUTED_VALUE"""),"")</f>
        <v/>
      </c>
      <c r="K3" s="36" t="str">
        <f ca="1">IFERROR(__xludf.DUMMYFUNCTION("""COMPUTED_VALUE"""),"36.998480, -3.890095")</f>
        <v>36.998480, -3.890095</v>
      </c>
      <c r="L3" s="36" t="str">
        <f ca="1">IFERROR(__xludf.DUMMYFUNCTION("""COMPUTED_VALUE"""),"JUAN JOSÉ TALLADA ESPIGARES")</f>
        <v>JUAN JOSÉ TALLADA ESPIGARES</v>
      </c>
      <c r="M3" s="36" t="str">
        <f ca="1">IFERROR(__xludf.DUMMYFUNCTION("""COMPUTED_VALUE"""),"616 422 940")</f>
        <v>616 422 940</v>
      </c>
      <c r="N3" s="36" t="str">
        <f ca="1">IFERROR(__xludf.DUMMYFUNCTION("""COMPUTED_VALUE"""),"direccion@bermejales.scoutsdeandalucia.org")</f>
        <v>direccion@bermejales.scoutsdeandalucia.org</v>
      </c>
      <c r="O3" s="36" t="str">
        <f ca="1">IFERROR(__xludf.DUMMYFUNCTION("""COMPUTED_VALUE"""),"3€/PERSONA/DÍA")</f>
        <v>3€/PERSONA/DÍA</v>
      </c>
      <c r="P3" s="36" t="str">
        <f ca="1">IFERROR(__xludf.DUMMYFUNCTION("""COMPUTED_VALUE"""),"")</f>
        <v/>
      </c>
      <c r="Q3" s="36" t="str">
        <f ca="1">IFERROR(__xludf.DUMMYFUNCTION("""COMPUTED_VALUE"""),"BUENO (Se puede acceder con cualquier coche)")</f>
        <v>BUENO (Se puede acceder con cualquier coche)</v>
      </c>
      <c r="R3" s="36" t="str">
        <f ca="1">IFERROR(__xludf.DUMMYFUNCTION("""COMPUTED_VALUE"""),"Sí")</f>
        <v>Sí</v>
      </c>
      <c r="S3" s="36" t="str">
        <f ca="1">IFERROR(__xludf.DUMMYFUNCTION("""COMPUTED_VALUE"""),"PEQUEÑA PISCINA DENTRO DE LA ZONA DE ACAMPADA/PANTANO DE LOS BERMEJALES")</f>
        <v>PEQUEÑA PISCINA DENTRO DE LA ZONA DE ACAMPADA/PANTANO DE LOS BERMEJALES</v>
      </c>
      <c r="T3" s="36" t="str">
        <f ca="1">IFERROR(__xludf.DUMMYFUNCTION("""COMPUTED_VALUE"""),"LA PISCINA DEL CAMPAMENTO ES PEQUEÑITA POR LO QUE SÓLO LA PODRÁ UTILIZAR UNA UNIDAD A LA VEZ. A 10 MINUTOS ANDANDO ENCONTRAMOS EL PANTANO DE LOS BERMEJALES EL CUAL TIENE UNA PEQUEÑA PLAYITA HABILITADA PARA EL BAÑO")</f>
        <v>LA PISCINA DEL CAMPAMENTO ES PEQUEÑITA POR LO QUE SÓLO LA PODRÁ UTILIZAR UNA UNIDAD A LA VEZ. A 10 MINUTOS ANDANDO ENCONTRAMOS EL PANTANO DE LOS BERMEJALES EL CUAL TIENE UNA PEQUEÑA PLAYITA HABILITADA PARA EL BAÑO</v>
      </c>
      <c r="U3" s="36" t="str">
        <f ca="1">IFERROR(__xludf.DUMMYFUNCTION("""COMPUTED_VALUE"""),"COMEDOR, COCINA, SALAS DE MATERIAL Y ACIVIDADES, DUCHAS Y BAÑOS")</f>
        <v>COMEDOR, COCINA, SALAS DE MATERIAL Y ACIVIDADES, DUCHAS Y BAÑOS</v>
      </c>
      <c r="V3" s="36" t="str">
        <f ca="1">IFERROR(__xludf.DUMMYFUNCTION("""COMPUTED_VALUE"""),"SÍ, EN EL MISMO CAMPAMENTO")</f>
        <v>SÍ, EN EL MISMO CAMPAMENTO</v>
      </c>
      <c r="W3" s="36" t="str">
        <f ca="1">IFERROR(__xludf.DUMMYFUNCTION("""COMPUTED_VALUE"""),"CENTRO CONSTRUIDO POR Y PARA GRUPOS SCOUT. COMPARTIMOS LA FINCA CON OTRO CAMPAMENTO Y A NUESTRO GRUPO SE AGREGA LA UNIDAD DE PIONEROS DE UN GRUPO FRANCÉS PARA IR JUNTO CON NUESTROS PIONEROS A LA JAM SCOUT.")</f>
        <v>CENTRO CONSTRUIDO POR Y PARA GRUPOS SCOUT. COMPARTIMOS LA FINCA CON OTRO CAMPAMENTO Y A NUESTRO GRUPO SE AGREGA LA UNIDAD DE PIONEROS DE UN GRUPO FRANCÉS PARA IR JUNTO CON NUESTROS PIONEROS A LA JAM SCOUT.</v>
      </c>
      <c r="X3" s="36"/>
      <c r="Y3" s="36"/>
      <c r="Z3" s="36"/>
    </row>
    <row r="4" spans="1:26" ht="12.75">
      <c r="A4" s="36" t="str">
        <f ca="1">IFERROR(__xludf.DUMMYFUNCTION("""COMPUTED_VALUE"""),"Aragón")</f>
        <v>Aragón</v>
      </c>
      <c r="B4" s="36" t="str">
        <f ca="1">IFERROR(__xludf.DUMMYFUNCTION("""COMPUTED_VALUE"""),"Huesca")</f>
        <v>Huesca</v>
      </c>
      <c r="C4" s="36">
        <f ca="1">IFERROR(__xludf.DUMMYFUNCTION("""COMPUTED_VALUE"""),2016)</f>
        <v>2016</v>
      </c>
      <c r="D4" s="36" t="str">
        <f ca="1">IFERROR(__xludf.DUMMYFUNCTION("""COMPUTED_VALUE"""),"Buen Pastor")</f>
        <v>Buen Pastor</v>
      </c>
      <c r="E4" s="36" t="str">
        <f ca="1">IFERROR(__xludf.DUMMYFUNCTION("""COMPUTED_VALUE"""),"gs.buenpastor@scoutsdemadrid.org ")</f>
        <v xml:space="preserve">gs.buenpastor@scoutsdemadrid.org </v>
      </c>
      <c r="F4" s="48">
        <f ca="1">IFERROR(__xludf.DUMMYFUNCTION("""COMPUTED_VALUE"""),42563)</f>
        <v>42563</v>
      </c>
      <c r="G4" s="48">
        <f ca="1">IFERROR(__xludf.DUMMYFUNCTION("""COMPUTED_VALUE"""),42581)</f>
        <v>42581</v>
      </c>
      <c r="H4" s="36" t="str">
        <f ca="1">IFERROR(__xludf.DUMMYFUNCTION("""COMPUTED_VALUE"""),"La Marguera - Aísa")</f>
        <v>La Marguera - Aísa</v>
      </c>
      <c r="I4" s="36" t="str">
        <f ca="1">IFERROR(__xludf.DUMMYFUNCTION("""COMPUTED_VALUE"""),"Polígono 1 Parcela 263")</f>
        <v>Polígono 1 Parcela 263</v>
      </c>
      <c r="J4" s="36" t="str">
        <f ca="1">IFERROR(__xludf.DUMMYFUNCTION("""COMPUTED_VALUE"""),"22010A001002630000OF")</f>
        <v>22010A001002630000OF</v>
      </c>
      <c r="K4" s="36" t="str">
        <f ca="1">IFERROR(__xludf.DUMMYFUNCTION("""COMPUTED_VALUE"""),"42°42'30.0""N  0°36'27.1""W")</f>
        <v>42°42'30.0"N  0°36'27.1"W</v>
      </c>
      <c r="L4" s="36" t="str">
        <f ca="1">IFERROR(__xludf.DUMMYFUNCTION("""COMPUTED_VALUE"""),"Ramón Osanz Pueyo")</f>
        <v>Ramón Osanz Pueyo</v>
      </c>
      <c r="M4" s="36" t="str">
        <f ca="1">IFERROR(__xludf.DUMMYFUNCTION("""COMPUTED_VALUE"""),"+34 639 73 63 38")</f>
        <v>+34 639 73 63 38</v>
      </c>
      <c r="N4" s="36" t="str">
        <f ca="1">IFERROR(__xludf.DUMMYFUNCTION("""COMPUTED_VALUE"""),"gemaaisa@gmail.com")</f>
        <v>gemaaisa@gmail.com</v>
      </c>
      <c r="O4" s="36" t="str">
        <f ca="1">IFERROR(__xludf.DUMMYFUNCTION("""COMPUTED_VALUE"""),"900€ / quincena")</f>
        <v>900€ / quincena</v>
      </c>
      <c r="P4" s="36" t="str">
        <f ca="1">IFERROR(__xludf.DUMMYFUNCTION("""COMPUTED_VALUE"""),"14.844 m2")</f>
        <v>14.844 m2</v>
      </c>
      <c r="Q4" s="36" t="str">
        <f ca="1">IFERROR(__xludf.DUMMYFUNCTION("""COMPUTED_VALUE"""),"REGULAR (Se puede acceder con un coche normal con dificultad)")</f>
        <v>REGULAR (Se puede acceder con un coche normal con dificultad)</v>
      </c>
      <c r="R4" s="36" t="str">
        <f ca="1">IFERROR(__xludf.DUMMYFUNCTION("""COMPUTED_VALUE"""),"Sí")</f>
        <v>Sí</v>
      </c>
      <c r="S4" s="36" t="str">
        <f ca="1">IFERROR(__xludf.DUMMYFUNCTION("""COMPUTED_VALUE"""),"50 m")</f>
        <v>50 m</v>
      </c>
      <c r="T4" s="36" t="str">
        <f ca="1">IFERROR(__xludf.DUMMYFUNCTION("""COMPUTED_VALUE"""),"Río ")</f>
        <v xml:space="preserve">Río </v>
      </c>
      <c r="U4" s="36" t="str">
        <f ca="1">IFERROR(__xludf.DUMMYFUNCTION("""COMPUTED_VALUE"""),"No")</f>
        <v>No</v>
      </c>
      <c r="V4" s="36" t="str">
        <f ca="1">IFERROR(__xludf.DUMMYFUNCTION("""COMPUTED_VALUE"""),"Sí, de manera gratuita por alrededores")</f>
        <v>Sí, de manera gratuita por alrededores</v>
      </c>
      <c r="W4" s="36" t="str">
        <f ca="1">IFERROR(__xludf.DUMMYFUNCTION("""COMPUTED_VALUE"""),"Lo mejor de la campa es su gran dimensión, espacio natural y río cercano, con zonas de sombra. Su acceso hasta la misma se realiza sin problemas con coche alto; con coche normal es posible pero más complicado, puede dejarse aparcado a menos de 10' andando"&amp;" para evitar problemas.")</f>
        <v>Lo mejor de la campa es su gran dimensión, espacio natural y río cercano, con zonas de sombra. Su acceso hasta la misma se realiza sin problemas con coche alto; con coche normal es posible pero más complicado, puede dejarse aparcado a menos de 10' andando para evitar problemas.</v>
      </c>
      <c r="X4" s="36"/>
      <c r="Y4" s="36"/>
      <c r="Z4" s="36"/>
    </row>
    <row r="5" spans="1:26" ht="12.75">
      <c r="A5" s="36" t="str">
        <f ca="1">IFERROR(__xludf.DUMMYFUNCTION("""COMPUTED_VALUE"""),"Aragón")</f>
        <v>Aragón</v>
      </c>
      <c r="B5" s="36" t="str">
        <f ca="1">IFERROR(__xludf.DUMMYFUNCTION("""COMPUTED_VALUE"""),"Teruel")</f>
        <v>Teruel</v>
      </c>
      <c r="C5" s="36">
        <f ca="1">IFERROR(__xludf.DUMMYFUNCTION("""COMPUTED_VALUE"""),2016)</f>
        <v>2016</v>
      </c>
      <c r="D5" s="36" t="str">
        <f ca="1">IFERROR(__xludf.DUMMYFUNCTION("""COMPUTED_VALUE"""),"Libertas")</f>
        <v>Libertas</v>
      </c>
      <c r="E5" s="36" t="str">
        <f ca="1">IFERROR(__xludf.DUMMYFUNCTION("""COMPUTED_VALUE"""),"gs.libertas@scoutsdemadrid.org ")</f>
        <v xml:space="preserve">gs.libertas@scoutsdemadrid.org </v>
      </c>
      <c r="F5" s="48">
        <f ca="1">IFERROR(__xludf.DUMMYFUNCTION("""COMPUTED_VALUE"""),42556)</f>
        <v>42556</v>
      </c>
      <c r="G5" s="48">
        <f ca="1">IFERROR(__xludf.DUMMYFUNCTION("""COMPUTED_VALUE"""),42566)</f>
        <v>42566</v>
      </c>
      <c r="H5" s="36" t="str">
        <f ca="1">IFERROR(__xludf.DUMMYFUNCTION("""COMPUTED_VALUE"""),"Montalbán")</f>
        <v>Montalbán</v>
      </c>
      <c r="I5" s="36" t="str">
        <f ca="1">IFERROR(__xludf.DUMMYFUNCTION("""COMPUTED_VALUE"""),"Campamento Acra Leuce")</f>
        <v>Campamento Acra Leuce</v>
      </c>
      <c r="J5" s="36" t="str">
        <f ca="1">IFERROR(__xludf.DUMMYFUNCTION("""COMPUTED_VALUE"""),"44163A002000020000XW")</f>
        <v>44163A002000020000XW</v>
      </c>
      <c r="K5" s="36" t="str">
        <f ca="1">IFERROR(__xludf.DUMMYFUNCTION("""COMPUTED_VALUE"""),"N 40º 49' 49,705""     O 0º 48' 47,878"" ")</f>
        <v xml:space="preserve">N 40º 49' 49,705"     O 0º 48' 47,878" </v>
      </c>
      <c r="L5" s="36" t="str">
        <f ca="1">IFERROR(__xludf.DUMMYFUNCTION("""COMPUTED_VALUE"""),"Sara Falo Insa")</f>
        <v>Sara Falo Insa</v>
      </c>
      <c r="M5" s="36">
        <f ca="1">IFERROR(__xludf.DUMMYFUNCTION("""COMPUTED_VALUE"""),696288600)</f>
        <v>696288600</v>
      </c>
      <c r="N5" s="36" t="str">
        <f ca="1">IFERROR(__xludf.DUMMYFUNCTION("""COMPUTED_VALUE"""),"acraleuce@gmail.com")</f>
        <v>acraleuce@gmail.com</v>
      </c>
      <c r="O5" s="36" t="str">
        <f ca="1">IFERROR(__xludf.DUMMYFUNCTION("""COMPUTED_VALUE"""),"18 € persona / día en albergue para grupos de más de 30. 16.50 en tienda. Ambas con pensión completa")</f>
        <v>18 € persona / día en albergue para grupos de más de 30. 16.50 en tienda. Ambas con pensión completa</v>
      </c>
      <c r="P5" s="36" t="str">
        <f ca="1">IFERROR(__xludf.DUMMYFUNCTION("""COMPUTED_VALUE"""),"7246 m2")</f>
        <v>7246 m2</v>
      </c>
      <c r="Q5" s="36" t="str">
        <f ca="1">IFERROR(__xludf.DUMMYFUNCTION("""COMPUTED_VALUE"""),"REGULAR (Se puede acceder con un coche normal con dificultad)")</f>
        <v>REGULAR (Se puede acceder con un coche normal con dificultad)</v>
      </c>
      <c r="R5" s="36" t="str">
        <f ca="1">IFERROR(__xludf.DUMMYFUNCTION("""COMPUTED_VALUE"""),"Sí")</f>
        <v>Sí</v>
      </c>
      <c r="S5" s="36" t="str">
        <f ca="1">IFERROR(__xludf.DUMMYFUNCTION("""COMPUTED_VALUE"""),"Rachuelo a unos 200 m del campamento. Piscina municipal")</f>
        <v>Rachuelo a unos 200 m del campamento. Piscina municipal</v>
      </c>
      <c r="T5" s="36" t="str">
        <f ca="1">IFERROR(__xludf.DUMMYFUNCTION("""COMPUTED_VALUE"""),"Riachuelo de poca profundidad, no recomendable. Piscina de calidad, hasta 40 personas por grupo")</f>
        <v>Riachuelo de poca profundidad, no recomendable. Piscina de calidad, hasta 40 personas por grupo</v>
      </c>
      <c r="U5" s="36" t="str">
        <f ca="1">IFERROR(__xludf.DUMMYFUNCTION("""COMPUTED_VALUE"""),"Si. Albergue, comedor cubierto, duchas, baños, zona de fuego")</f>
        <v>Si. Albergue, comedor cubierto, duchas, baños, zona de fuego</v>
      </c>
      <c r="V5" s="36" t="str">
        <f ca="1">IFERROR(__xludf.DUMMYFUNCTION("""COMPUTED_VALUE"""),"si")</f>
        <v>si</v>
      </c>
      <c r="W5" s="36" t="str">
        <f ca="1">IFERROR(__xludf.DUMMYFUNCTION("""COMPUTED_VALUE"""),"Campamento para grupos pequeños con muchas posibilidades, seguro y cerca de la localidad. Cuenta con campos de deporte, zona de acampada,")</f>
        <v>Campamento para grupos pequeños con muchas posibilidades, seguro y cerca de la localidad. Cuenta con campos de deporte, zona de acampada,</v>
      </c>
      <c r="X5" s="36"/>
      <c r="Y5" s="36"/>
      <c r="Z5" s="36"/>
    </row>
    <row r="6" spans="1:26" ht="12.75">
      <c r="A6" s="36" t="str">
        <f ca="1">IFERROR(__xludf.DUMMYFUNCTION("""COMPUTED_VALUE"""),"Aragón")</f>
        <v>Aragón</v>
      </c>
      <c r="B6" s="36" t="str">
        <f ca="1">IFERROR(__xludf.DUMMYFUNCTION("""COMPUTED_VALUE"""),"Huesca")</f>
        <v>Huesca</v>
      </c>
      <c r="C6" s="36">
        <f ca="1">IFERROR(__xludf.DUMMYFUNCTION("""COMPUTED_VALUE"""),2016)</f>
        <v>2016</v>
      </c>
      <c r="D6" s="36" t="str">
        <f ca="1">IFERROR(__xludf.DUMMYFUNCTION("""COMPUTED_VALUE"""),"Pilar")</f>
        <v>Pilar</v>
      </c>
      <c r="E6" s="36" t="str">
        <f ca="1">IFERROR(__xludf.DUMMYFUNCTION("""COMPUTED_VALUE"""),"gs.pilar@scoutsdemadrid.org ")</f>
        <v xml:space="preserve">gs.pilar@scoutsdemadrid.org </v>
      </c>
      <c r="F6" s="48">
        <f ca="1">IFERROR(__xludf.DUMMYFUNCTION("""COMPUTED_VALUE"""),42566)</f>
        <v>42566</v>
      </c>
      <c r="G6" s="48">
        <f ca="1">IFERROR(__xludf.DUMMYFUNCTION("""COMPUTED_VALUE"""),42577)</f>
        <v>42577</v>
      </c>
      <c r="H6" s="36" t="str">
        <f ca="1">IFERROR(__xludf.DUMMYFUNCTION("""COMPUTED_VALUE"""),"Gistain")</f>
        <v>Gistain</v>
      </c>
      <c r="I6" s="36" t="str">
        <f ca="1">IFERROR(__xludf.DUMMYFUNCTION("""COMPUTED_VALUE"""),"Gistain")</f>
        <v>Gistain</v>
      </c>
      <c r="J6" s="36" t="str">
        <f ca="1">IFERROR(__xludf.DUMMYFUNCTION("""COMPUTED_VALUE"""),"")</f>
        <v/>
      </c>
      <c r="K6" s="36" t="str">
        <f ca="1">IFERROR(__xludf.DUMMYFUNCTION("""COMPUTED_VALUE"""),"")</f>
        <v/>
      </c>
      <c r="L6" s="36" t="str">
        <f ca="1">IFERROR(__xludf.DUMMYFUNCTION("""COMPUTED_VALUE"""),"Santiago Pueyo")</f>
        <v>Santiago Pueyo</v>
      </c>
      <c r="M6" s="36" t="str">
        <f ca="1">IFERROR(__xludf.DUMMYFUNCTION("""COMPUTED_VALUE"""),"")</f>
        <v/>
      </c>
      <c r="N6" s="36" t="str">
        <f ca="1">IFERROR(__xludf.DUMMYFUNCTION("""COMPUTED_VALUE"""),"")</f>
        <v/>
      </c>
      <c r="O6" s="36" t="str">
        <f ca="1">IFERROR(__xludf.DUMMYFUNCTION("""COMPUTED_VALUE"""),"")</f>
        <v/>
      </c>
      <c r="P6" s="36" t="str">
        <f ca="1">IFERROR(__xludf.DUMMYFUNCTION("""COMPUTED_VALUE"""),"2 ha")</f>
        <v>2 ha</v>
      </c>
      <c r="Q6" s="36" t="str">
        <f ca="1">IFERROR(__xludf.DUMMYFUNCTION("""COMPUTED_VALUE"""),"BUENO (Se puede acceder con cualquier coche)")</f>
        <v>BUENO (Se puede acceder con cualquier coche)</v>
      </c>
      <c r="R6" s="36" t="str">
        <f ca="1">IFERROR(__xludf.DUMMYFUNCTION("""COMPUTED_VALUE"""),"Sí")</f>
        <v>Sí</v>
      </c>
      <c r="S6" s="36" t="str">
        <f ca="1">IFERROR(__xludf.DUMMYFUNCTION("""COMPUTED_VALUE"""),"150m")</f>
        <v>150m</v>
      </c>
      <c r="T6" s="36" t="str">
        <f ca="1">IFERROR(__xludf.DUMMYFUNCTION("""COMPUTED_VALUE"""),"Buenísimas pozas")</f>
        <v>Buenísimas pozas</v>
      </c>
      <c r="U6" s="36" t="str">
        <f ca="1">IFERROR(__xludf.DUMMYFUNCTION("""COMPUTED_VALUE"""),"Almacén")</f>
        <v>Almacén</v>
      </c>
      <c r="V6" s="36" t="str">
        <f ca="1">IFERROR(__xludf.DUMMYFUNCTION("""COMPUTED_VALUE"""),"Si pero caro")</f>
        <v>Si pero caro</v>
      </c>
      <c r="W6" s="36" t="str">
        <f ca="1">IFERROR(__xludf.DUMMYFUNCTION("""COMPUTED_VALUE"""),"Preciosa campa")</f>
        <v>Preciosa campa</v>
      </c>
      <c r="X6" s="36"/>
      <c r="Y6" s="36"/>
      <c r="Z6" s="36"/>
    </row>
    <row r="7" spans="1:26" ht="12.75">
      <c r="A7" s="36" t="str">
        <f ca="1">IFERROR(__xludf.DUMMYFUNCTION("""COMPUTED_VALUE"""),"Aragón")</f>
        <v>Aragón</v>
      </c>
      <c r="B7" s="36" t="str">
        <f ca="1">IFERROR(__xludf.DUMMYFUNCTION("""COMPUTED_VALUE"""),"Huesca")</f>
        <v>Huesca</v>
      </c>
      <c r="C7" s="36">
        <f ca="1">IFERROR(__xludf.DUMMYFUNCTION("""COMPUTED_VALUE"""),2015)</f>
        <v>2015</v>
      </c>
      <c r="D7" s="36" t="str">
        <f ca="1">IFERROR(__xludf.DUMMYFUNCTION("""COMPUTED_VALUE"""),"San Pablo")</f>
        <v>San Pablo</v>
      </c>
      <c r="E7" s="36" t="str">
        <f ca="1">IFERROR(__xludf.DUMMYFUNCTION("""COMPUTED_VALUE"""),"gs.sanpablo@scoutsdemadrid.org ")</f>
        <v xml:space="preserve">gs.sanpablo@scoutsdemadrid.org </v>
      </c>
      <c r="F7" s="48">
        <f ca="1">IFERROR(__xludf.DUMMYFUNCTION("""COMPUTED_VALUE"""),42200)</f>
        <v>42200</v>
      </c>
      <c r="G7" s="48">
        <f ca="1">IFERROR(__xludf.DUMMYFUNCTION("""COMPUTED_VALUE"""),42215)</f>
        <v>42215</v>
      </c>
      <c r="H7" s="36" t="str">
        <f ca="1">IFERROR(__xludf.DUMMYFUNCTION("""COMPUTED_VALUE"""),"Broto")</f>
        <v>Broto</v>
      </c>
      <c r="I7" s="36" t="str">
        <f ca="1">IFERROR(__xludf.DUMMYFUNCTION("""COMPUTED_VALUE"""),"Broto")</f>
        <v>Broto</v>
      </c>
      <c r="J7" s="36" t="str">
        <f ca="1">IFERROR(__xludf.DUMMYFUNCTION("""COMPUTED_VALUE"""),"")</f>
        <v/>
      </c>
      <c r="K7" s="36" t="str">
        <f ca="1">IFERROR(__xludf.DUMMYFUNCTION("""COMPUTED_VALUE"""),"")</f>
        <v/>
      </c>
      <c r="L7" s="36" t="str">
        <f ca="1">IFERROR(__xludf.DUMMYFUNCTION("""COMPUTED_VALUE"""),"")</f>
        <v/>
      </c>
      <c r="M7" s="36" t="str">
        <f ca="1">IFERROR(__xludf.DUMMYFUNCTION("""COMPUTED_VALUE"""),"")</f>
        <v/>
      </c>
      <c r="N7" s="36" t="str">
        <f ca="1">IFERROR(__xludf.DUMMYFUNCTION("""COMPUTED_VALUE"""),"")</f>
        <v/>
      </c>
      <c r="O7" s="36" t="str">
        <f ca="1">IFERROR(__xludf.DUMMYFUNCTION("""COMPUTED_VALUE"""),"")</f>
        <v/>
      </c>
      <c r="P7" s="36" t="str">
        <f ca="1">IFERROR(__xludf.DUMMYFUNCTION("""COMPUTED_VALUE"""),"")</f>
        <v/>
      </c>
      <c r="Q7" s="36" t="str">
        <f ca="1">IFERROR(__xludf.DUMMYFUNCTION("""COMPUTED_VALUE"""),"")</f>
        <v/>
      </c>
      <c r="R7" s="36" t="str">
        <f ca="1">IFERROR(__xludf.DUMMYFUNCTION("""COMPUTED_VALUE"""),"")</f>
        <v/>
      </c>
      <c r="S7" s="36" t="str">
        <f ca="1">IFERROR(__xludf.DUMMYFUNCTION("""COMPUTED_VALUE"""),"")</f>
        <v/>
      </c>
      <c r="T7" s="36" t="str">
        <f ca="1">IFERROR(__xludf.DUMMYFUNCTION("""COMPUTED_VALUE"""),"")</f>
        <v/>
      </c>
      <c r="U7" s="36" t="str">
        <f ca="1">IFERROR(__xludf.DUMMYFUNCTION("""COMPUTED_VALUE"""),"")</f>
        <v/>
      </c>
      <c r="V7" s="36" t="str">
        <f ca="1">IFERROR(__xludf.DUMMYFUNCTION("""COMPUTED_VALUE"""),"")</f>
        <v/>
      </c>
      <c r="W7" s="36" t="str">
        <f ca="1">IFERROR(__xludf.DUMMYFUNCTION("""COMPUTED_VALUE"""),"")</f>
        <v/>
      </c>
      <c r="X7" s="36"/>
      <c r="Y7" s="36"/>
      <c r="Z7" s="36"/>
    </row>
    <row r="8" spans="1:26" ht="12.75">
      <c r="A8" s="36" t="str">
        <f ca="1">IFERROR(__xludf.DUMMYFUNCTION("""COMPUTED_VALUE"""),"Aragón")</f>
        <v>Aragón</v>
      </c>
      <c r="B8" s="36" t="str">
        <f ca="1">IFERROR(__xludf.DUMMYFUNCTION("""COMPUTED_VALUE"""),"Huesca")</f>
        <v>Huesca</v>
      </c>
      <c r="C8" s="36">
        <f ca="1">IFERROR(__xludf.DUMMYFUNCTION("""COMPUTED_VALUE"""),2015)</f>
        <v>2015</v>
      </c>
      <c r="D8" s="36" t="str">
        <f ca="1">IFERROR(__xludf.DUMMYFUNCTION("""COMPUTED_VALUE"""),"San Jorge Y San José")</f>
        <v>San Jorge Y San José</v>
      </c>
      <c r="E8" s="36" t="str">
        <f ca="1">IFERROR(__xludf.DUMMYFUNCTION("""COMPUTED_VALUE"""),"gs.sanjorge@scoutsdemadrid.org  gs.sanjosé@scoutsdemadrid.org ")</f>
        <v xml:space="preserve">gs.sanjorge@scoutsdemadrid.org  gs.sanjosé@scoutsdemadrid.org </v>
      </c>
      <c r="F8" s="48">
        <f ca="1">IFERROR(__xludf.DUMMYFUNCTION("""COMPUTED_VALUE"""),42201)</f>
        <v>42201</v>
      </c>
      <c r="G8" s="48">
        <f ca="1">IFERROR(__xludf.DUMMYFUNCTION("""COMPUTED_VALUE"""),42216)</f>
        <v>42216</v>
      </c>
      <c r="H8" s="36" t="str">
        <f ca="1">IFERROR(__xludf.DUMMYFUNCTION("""COMPUTED_VALUE"""),"Biescas")</f>
        <v>Biescas</v>
      </c>
      <c r="I8" s="36" t="str">
        <f ca="1">IFERROR(__xludf.DUMMYFUNCTION("""COMPUTED_VALUE"""),"Aso de Sobremonte")</f>
        <v>Aso de Sobremonte</v>
      </c>
      <c r="J8" s="36" t="str">
        <f ca="1">IFERROR(__xludf.DUMMYFUNCTION("""COMPUTED_VALUE"""),"")</f>
        <v/>
      </c>
      <c r="K8" s="36" t="str">
        <f ca="1">IFERROR(__xludf.DUMMYFUNCTION("""COMPUTED_VALUE"""),"LATITUD: 48º 38' 5.53'' N / LONGITUD: 0º 22' 12.75'' W")</f>
        <v>LATITUD: 48º 38' 5.53'' N / LONGITUD: 0º 22' 12.75'' W</v>
      </c>
      <c r="L8" s="36" t="str">
        <f ca="1">IFERROR(__xludf.DUMMYFUNCTION("""COMPUTED_VALUE"""),"")</f>
        <v/>
      </c>
      <c r="M8" s="36" t="str">
        <f ca="1">IFERROR(__xludf.DUMMYFUNCTION("""COMPUTED_VALUE"""),"")</f>
        <v/>
      </c>
      <c r="N8" s="36" t="str">
        <f ca="1">IFERROR(__xludf.DUMMYFUNCTION("""COMPUTED_VALUE"""),"")</f>
        <v/>
      </c>
      <c r="O8" s="36" t="str">
        <f ca="1">IFERROR(__xludf.DUMMYFUNCTION("""COMPUTED_VALUE"""),"")</f>
        <v/>
      </c>
      <c r="P8" s="36" t="str">
        <f ca="1">IFERROR(__xludf.DUMMYFUNCTION("""COMPUTED_VALUE"""),"")</f>
        <v/>
      </c>
      <c r="Q8" s="36" t="str">
        <f ca="1">IFERROR(__xludf.DUMMYFUNCTION("""COMPUTED_VALUE"""),"")</f>
        <v/>
      </c>
      <c r="R8" s="36" t="str">
        <f ca="1">IFERROR(__xludf.DUMMYFUNCTION("""COMPUTED_VALUE"""),"")</f>
        <v/>
      </c>
      <c r="S8" s="36" t="str">
        <f ca="1">IFERROR(__xludf.DUMMYFUNCTION("""COMPUTED_VALUE"""),"")</f>
        <v/>
      </c>
      <c r="T8" s="36" t="str">
        <f ca="1">IFERROR(__xludf.DUMMYFUNCTION("""COMPUTED_VALUE"""),"")</f>
        <v/>
      </c>
      <c r="U8" s="36" t="str">
        <f ca="1">IFERROR(__xludf.DUMMYFUNCTION("""COMPUTED_VALUE"""),"")</f>
        <v/>
      </c>
      <c r="V8" s="36" t="str">
        <f ca="1">IFERROR(__xludf.DUMMYFUNCTION("""COMPUTED_VALUE"""),"")</f>
        <v/>
      </c>
      <c r="W8" s="36" t="str">
        <f ca="1">IFERROR(__xludf.DUMMYFUNCTION("""COMPUTED_VALUE"""),"")</f>
        <v/>
      </c>
      <c r="X8" s="36"/>
      <c r="Y8" s="36"/>
      <c r="Z8" s="36"/>
    </row>
    <row r="9" spans="1:26" ht="12.75">
      <c r="A9" s="36" t="str">
        <f ca="1">IFERROR(__xludf.DUMMYFUNCTION("""COMPUTED_VALUE"""),"Aragón")</f>
        <v>Aragón</v>
      </c>
      <c r="B9" s="36" t="str">
        <f ca="1">IFERROR(__xludf.DUMMYFUNCTION("""COMPUTED_VALUE"""),"Huesca")</f>
        <v>Huesca</v>
      </c>
      <c r="C9" s="36">
        <f ca="1">IFERROR(__xludf.DUMMYFUNCTION("""COMPUTED_VALUE"""),2017)</f>
        <v>2017</v>
      </c>
      <c r="D9" s="36" t="str">
        <f ca="1">IFERROR(__xludf.DUMMYFUNCTION("""COMPUTED_VALUE"""),"Vedruna")</f>
        <v>Vedruna</v>
      </c>
      <c r="E9" s="36" t="str">
        <f ca="1">IFERROR(__xludf.DUMMYFUNCTION("""COMPUTED_VALUE"""),"gs.vedruna @scoutsdemadrid.org ")</f>
        <v xml:space="preserve">gs.vedruna @scoutsdemadrid.org </v>
      </c>
      <c r="F9" s="48">
        <f ca="1">IFERROR(__xludf.DUMMYFUNCTION("""COMPUTED_VALUE"""),42915)</f>
        <v>42915</v>
      </c>
      <c r="G9" s="48">
        <f ca="1">IFERROR(__xludf.DUMMYFUNCTION("""COMPUTED_VALUE"""),42921)</f>
        <v>42921</v>
      </c>
      <c r="H9" s="36" t="str">
        <f ca="1">IFERROR(__xludf.DUMMYFUNCTION("""COMPUTED_VALUE"""),"Aínsa")</f>
        <v>Aínsa</v>
      </c>
      <c r="I9" s="36" t="str">
        <f ca="1">IFERROR(__xludf.DUMMYFUNCTION("""COMPUTED_VALUE"""),"Centro Scout Griébal")</f>
        <v>Centro Scout Griébal</v>
      </c>
      <c r="J9" s="36" t="str">
        <f ca="1">IFERROR(__xludf.DUMMYFUNCTION("""COMPUTED_VALUE"""),"")</f>
        <v/>
      </c>
      <c r="K9" s="36" t="str">
        <f ca="1">IFERROR(__xludf.DUMMYFUNCTION("""COMPUTED_VALUE""")," 42º 23' 4,53"" N - 0º 12' 11,6"" E")</f>
        <v xml:space="preserve"> 42º 23' 4,53" N - 0º 12' 11,6" E</v>
      </c>
      <c r="L9" s="36" t="str">
        <f ca="1">IFERROR(__xludf.DUMMYFUNCTION("""COMPUTED_VALUE"""),"FUNDACIÓN SCOUT GRIÉBAL")</f>
        <v>FUNDACIÓN SCOUT GRIÉBAL</v>
      </c>
      <c r="M9" s="36" t="str">
        <f ca="1">IFERROR(__xludf.DUMMYFUNCTION("""COMPUTED_VALUE"""),"")</f>
        <v/>
      </c>
      <c r="N9" s="36" t="str">
        <f ca="1">IFERROR(__xludf.DUMMYFUNCTION("""COMPUTED_VALUE"""),"")</f>
        <v/>
      </c>
      <c r="O9" s="36" t="str">
        <f ca="1">IFERROR(__xludf.DUMMYFUNCTION("""COMPUTED_VALUE"""),"")</f>
        <v/>
      </c>
      <c r="P9" s="36" t="str">
        <f ca="1">IFERROR(__xludf.DUMMYFUNCTION("""COMPUTED_VALUE"""),"")</f>
        <v/>
      </c>
      <c r="Q9" s="36" t="str">
        <f ca="1">IFERROR(__xludf.DUMMYFUNCTION("""COMPUTED_VALUE"""),"REGULAR (Se puede acceder con un coche normal con dificultad)")</f>
        <v>REGULAR (Se puede acceder con un coche normal con dificultad)</v>
      </c>
      <c r="R9" s="36" t="str">
        <f ca="1">IFERROR(__xludf.DUMMYFUNCTION("""COMPUTED_VALUE"""),"Sí")</f>
        <v>Sí</v>
      </c>
      <c r="S9" s="36" t="str">
        <f ca="1">IFERROR(__xludf.DUMMYFUNCTION("""COMPUTED_VALUE"""),"")</f>
        <v/>
      </c>
      <c r="T9" s="36" t="str">
        <f ca="1">IFERROR(__xludf.DUMMYFUNCTION("""COMPUTED_VALUE"""),"Embalse navegable a 2 km")</f>
        <v>Embalse navegable a 2 km</v>
      </c>
      <c r="U9" s="36" t="str">
        <f ca="1">IFERROR(__xludf.DUMMYFUNCTION("""COMPUTED_VALUE"""),"Baños, duchas comedores, cocina..")</f>
        <v>Baños, duchas comedores, cocina..</v>
      </c>
      <c r="V9" s="36" t="str">
        <f ca="1">IFERROR(__xludf.DUMMYFUNCTION("""COMPUTED_VALUE"""),"si")</f>
        <v>si</v>
      </c>
      <c r="W9" s="36" t="str">
        <f ca="1">IFERROR(__xludf.DUMMYFUNCTION("""COMPUTED_VALUE"""),"")</f>
        <v/>
      </c>
      <c r="X9" s="36"/>
      <c r="Y9" s="36"/>
      <c r="Z9" s="36"/>
    </row>
    <row r="10" spans="1:26" ht="12.75">
      <c r="A10" s="36" t="str">
        <f ca="1">IFERROR(__xludf.DUMMYFUNCTION("""COMPUTED_VALUE"""),"Aragón ")</f>
        <v xml:space="preserve">Aragón </v>
      </c>
      <c r="B10" s="36" t="str">
        <f ca="1">IFERROR(__xludf.DUMMYFUNCTION("""COMPUTED_VALUE"""),"Huesca")</f>
        <v>Huesca</v>
      </c>
      <c r="C10" s="36">
        <f ca="1">IFERROR(__xludf.DUMMYFUNCTION("""COMPUTED_VALUE"""),2012)</f>
        <v>2012</v>
      </c>
      <c r="D10" s="36" t="str">
        <f ca="1">IFERROR(__xludf.DUMMYFUNCTION("""COMPUTED_VALUE"""),"Samasabe-Calasancio")</f>
        <v>Samasabe-Calasancio</v>
      </c>
      <c r="E10" s="36" t="str">
        <f ca="1">IFERROR(__xludf.DUMMYFUNCTION("""COMPUTED_VALUE"""),"gs.samasabe@scoutsdemadrid.org ")</f>
        <v xml:space="preserve">gs.samasabe@scoutsdemadrid.org </v>
      </c>
      <c r="F10" s="48">
        <f ca="1">IFERROR(__xludf.DUMMYFUNCTION("""COMPUTED_VALUE"""),41107)</f>
        <v>41107</v>
      </c>
      <c r="G10" s="48">
        <f ca="1">IFERROR(__xludf.DUMMYFUNCTION("""COMPUTED_VALUE"""),41121)</f>
        <v>41121</v>
      </c>
      <c r="H10" s="36" t="str">
        <f ca="1">IFERROR(__xludf.DUMMYFUNCTION("""COMPUTED_VALUE"""),"Villanova")</f>
        <v>Villanova</v>
      </c>
      <c r="I10" s="36" t="str">
        <f ca="1">IFERROR(__xludf.DUMMYFUNCTION("""COMPUTED_VALUE"""),"Villanova")</f>
        <v>Villanova</v>
      </c>
      <c r="J10" s="36" t="str">
        <f ca="1">IFERROR(__xludf.DUMMYFUNCTION("""COMPUTED_VALUE"""),"")</f>
        <v/>
      </c>
      <c r="K10" s="49" t="str">
        <f ca="1">IFERROR(__xludf.DUMMYFUNCTION("""COMPUTED_VALUE"""),"https://maps.google.es/maps?oe=utf-8&amp;client=firefox-a&amp;q=villanova&amp;ie=UTF-8&amp;hq=&amp;hnear=0x12a7d800ff9b261b:0x4018c6508cea590,Villanova&amp;gl=es&amp;ei=Bo3HT9ecDdKLhQfVxcCTCw&amp;oi=geocode_result&amp;ved=0CBoQ8gEwAQ")</f>
        <v>https://maps.google.es/maps?oe=utf-8&amp;client=firefox-a&amp;q=villanova&amp;ie=UTF-8&amp;hq=&amp;hnear=0x12a7d800ff9b261b:0x4018c6508cea590,Villanova&amp;gl=es&amp;ei=Bo3HT9ecDdKLhQfVxcCTCw&amp;oi=geocode_result&amp;ved=0CBoQ8gEwAQ</v>
      </c>
      <c r="L10" s="36" t="str">
        <f ca="1">IFERROR(__xludf.DUMMYFUNCTION("""COMPUTED_VALUE"""),"")</f>
        <v/>
      </c>
      <c r="M10" s="36" t="str">
        <f ca="1">IFERROR(__xludf.DUMMYFUNCTION("""COMPUTED_VALUE"""),"")</f>
        <v/>
      </c>
      <c r="N10" s="36" t="str">
        <f ca="1">IFERROR(__xludf.DUMMYFUNCTION("""COMPUTED_VALUE"""),"")</f>
        <v/>
      </c>
      <c r="O10" s="36" t="str">
        <f ca="1">IFERROR(__xludf.DUMMYFUNCTION("""COMPUTED_VALUE"""),"")</f>
        <v/>
      </c>
      <c r="P10" s="36" t="str">
        <f ca="1">IFERROR(__xludf.DUMMYFUNCTION("""COMPUTED_VALUE"""),"")</f>
        <v/>
      </c>
      <c r="Q10" s="36" t="str">
        <f ca="1">IFERROR(__xludf.DUMMYFUNCTION("""COMPUTED_VALUE"""),"")</f>
        <v/>
      </c>
      <c r="R10" s="36" t="str">
        <f ca="1">IFERROR(__xludf.DUMMYFUNCTION("""COMPUTED_VALUE"""),"")</f>
        <v/>
      </c>
      <c r="S10" s="36" t="str">
        <f ca="1">IFERROR(__xludf.DUMMYFUNCTION("""COMPUTED_VALUE"""),"")</f>
        <v/>
      </c>
      <c r="T10" s="36" t="str">
        <f ca="1">IFERROR(__xludf.DUMMYFUNCTION("""COMPUTED_VALUE"""),"")</f>
        <v/>
      </c>
      <c r="U10" s="36" t="str">
        <f ca="1">IFERROR(__xludf.DUMMYFUNCTION("""COMPUTED_VALUE"""),"")</f>
        <v/>
      </c>
      <c r="V10" s="36" t="str">
        <f ca="1">IFERROR(__xludf.DUMMYFUNCTION("""COMPUTED_VALUE"""),"")</f>
        <v/>
      </c>
      <c r="W10" s="36" t="str">
        <f ca="1">IFERROR(__xludf.DUMMYFUNCTION("""COMPUTED_VALUE"""),"")</f>
        <v/>
      </c>
      <c r="X10" s="36"/>
      <c r="Y10" s="36"/>
      <c r="Z10" s="36"/>
    </row>
    <row r="11" spans="1:26" ht="12.75">
      <c r="A11" s="36" t="str">
        <f ca="1">IFERROR(__xludf.DUMMYFUNCTION("""COMPUTED_VALUE"""),"Aragón")</f>
        <v>Aragón</v>
      </c>
      <c r="B11" s="36" t="str">
        <f ca="1">IFERROR(__xludf.DUMMYFUNCTION("""COMPUTED_VALUE"""),"Huesca")</f>
        <v>Huesca</v>
      </c>
      <c r="C11" s="36">
        <f ca="1">IFERROR(__xludf.DUMMYFUNCTION("""COMPUTED_VALUE"""),2018)</f>
        <v>2018</v>
      </c>
      <c r="D11" s="36" t="str">
        <f ca="1">IFERROR(__xludf.DUMMYFUNCTION("""COMPUTED_VALUE"""),"San Pablo")</f>
        <v>San Pablo</v>
      </c>
      <c r="E11" s="36" t="str">
        <f ca="1">IFERROR(__xludf.DUMMYFUNCTION("""COMPUTED_VALUE"""),"gs.sanpablo@scoutsdemadrid.org ")</f>
        <v xml:space="preserve">gs.sanpablo@scoutsdemadrid.org </v>
      </c>
      <c r="F11" s="48">
        <f ca="1">IFERROR(__xludf.DUMMYFUNCTION("""COMPUTED_VALUE"""),43327)</f>
        <v>43327</v>
      </c>
      <c r="G11" s="48">
        <f ca="1">IFERROR(__xludf.DUMMYFUNCTION("""COMPUTED_VALUE"""),43281)</f>
        <v>43281</v>
      </c>
      <c r="H11" s="36" t="str">
        <f ca="1">IFERROR(__xludf.DUMMYFUNCTION("""COMPUTED_VALUE"""),"Aragués Del Puerto")</f>
        <v>Aragués Del Puerto</v>
      </c>
      <c r="I11" s="36" t="str">
        <f ca="1">IFERROR(__xludf.DUMMYFUNCTION("""COMPUTED_VALUE"""),"Polígono 5 parcelas 384 y 385")</f>
        <v>Polígono 5 parcelas 384 y 385</v>
      </c>
      <c r="J11" s="36">
        <f ca="1">IFERROR(__xludf.DUMMYFUNCTION("""COMPUTED_VALUE"""),22390005384)</f>
        <v>22390005384</v>
      </c>
      <c r="K11" s="36" t="str">
        <f ca="1">IFERROR(__xludf.DUMMYFUNCTION("""COMPUTED_VALUE"""),"42°44'50.4""N 0°38'06.4""W")</f>
        <v>42°44'50.4"N 0°38'06.4"W</v>
      </c>
      <c r="L11" s="36" t="str">
        <f ca="1">IFERROR(__xludf.DUMMYFUNCTION("""COMPUTED_VALUE"""),"Jaime Maynar Aguilar")</f>
        <v>Jaime Maynar Aguilar</v>
      </c>
      <c r="M11" s="36">
        <f ca="1">IFERROR(__xludf.DUMMYFUNCTION("""COMPUTED_VALUE"""),618644650)</f>
        <v>618644650</v>
      </c>
      <c r="N11" s="36" t="str">
        <f ca="1">IFERROR(__xludf.DUMMYFUNCTION("""COMPUTED_VALUE"""),"No lo tenemos, contactar con sanpablomsc@gmail.com")</f>
        <v>No lo tenemos, contactar con sanpablomsc@gmail.com</v>
      </c>
      <c r="O11" s="36" t="str">
        <f ca="1">IFERROR(__xludf.DUMMYFUNCTION("""COMPUTED_VALUE"""),"1000€ los 15 días")</f>
        <v>1000€ los 15 días</v>
      </c>
      <c r="P11" s="36" t="str">
        <f ca="1">IFERROR(__xludf.DUMMYFUNCTION("""COMPUTED_VALUE"""),"No lo sabemos")</f>
        <v>No lo sabemos</v>
      </c>
      <c r="Q11" s="36" t="str">
        <f ca="1">IFERROR(__xludf.DUMMYFUNCTION("""COMPUTED_VALUE"""),"BUENO (Se puede acceder con cualquier coche)")</f>
        <v>BUENO (Se puede acceder con cualquier coche)</v>
      </c>
      <c r="R11" s="36" t="str">
        <f ca="1">IFERROR(__xludf.DUMMYFUNCTION("""COMPUTED_VALUE"""),"Sí")</f>
        <v>Sí</v>
      </c>
      <c r="S11" s="36" t="str">
        <f ca="1">IFERROR(__xludf.DUMMYFUNCTION("""COMPUTED_VALUE"""),"100m")</f>
        <v>100m</v>
      </c>
      <c r="T11" s="36" t="str">
        <f ca="1">IFERROR(__xludf.DUMMYFUNCTION("""COMPUTED_VALUE"""),"Río más bien pequeño pero suficiente para bañarse")</f>
        <v>Río más bien pequeño pero suficiente para bañarse</v>
      </c>
      <c r="U11" s="36" t="str">
        <f ca="1">IFERROR(__xludf.DUMMYFUNCTION("""COMPUTED_VALUE"""),"Ninguna")</f>
        <v>Ninguna</v>
      </c>
      <c r="V11" s="36" t="str">
        <f ca="1">IFERROR(__xludf.DUMMYFUNCTION("""COMPUTED_VALUE"""),"No lo sabemos")</f>
        <v>No lo sabemos</v>
      </c>
      <c r="W11" s="36" t="str">
        <f ca="1">IFERROR(__xludf.DUMMYFUNCTION("""COMPUTED_VALUE"""),"Al pie del refugio de Lizarra. No hay cobertura. Prado grande y bien situado")</f>
        <v>Al pie del refugio de Lizarra. No hay cobertura. Prado grande y bien situado</v>
      </c>
      <c r="X11" s="36"/>
      <c r="Y11" s="36"/>
      <c r="Z11" s="36"/>
    </row>
    <row r="12" spans="1:26" ht="12.75">
      <c r="A12" s="36" t="str">
        <f ca="1">IFERROR(__xludf.DUMMYFUNCTION("""COMPUTED_VALUE"""),"Aragón")</f>
        <v>Aragón</v>
      </c>
      <c r="B12" s="36" t="str">
        <f ca="1">IFERROR(__xludf.DUMMYFUNCTION("""COMPUTED_VALUE"""),"Huesca")</f>
        <v>Huesca</v>
      </c>
      <c r="C12" s="36">
        <f ca="1">IFERROR(__xludf.DUMMYFUNCTION("""COMPUTED_VALUE"""),2018)</f>
        <v>2018</v>
      </c>
      <c r="D12" s="36" t="str">
        <f ca="1">IFERROR(__xludf.DUMMYFUNCTION("""COMPUTED_VALUE"""),"Santo Domingo")</f>
        <v>Santo Domingo</v>
      </c>
      <c r="E12" s="36" t="str">
        <f ca="1">IFERROR(__xludf.DUMMYFUNCTION("""COMPUTED_VALUE"""),"gs.santodomingo@scoutsdemadrid.org ")</f>
        <v xml:space="preserve">gs.santodomingo@scoutsdemadrid.org </v>
      </c>
      <c r="F12" s="48">
        <f ca="1">IFERROR(__xludf.DUMMYFUNCTION("""COMPUTED_VALUE"""),43295)</f>
        <v>43295</v>
      </c>
      <c r="G12" s="48">
        <f ca="1">IFERROR(__xludf.DUMMYFUNCTION("""COMPUTED_VALUE"""),43311)</f>
        <v>43311</v>
      </c>
      <c r="H12" s="36" t="str">
        <f ca="1">IFERROR(__xludf.DUMMYFUNCTION("""COMPUTED_VALUE"""),"Broto - Oto")</f>
        <v>Broto - Oto</v>
      </c>
      <c r="I12" s="36" t="str">
        <f ca="1">IFERROR(__xludf.DUMMYFUNCTION("""COMPUTED_VALUE"""),"Fincas Las Cotilangas y Don Ferrer")</f>
        <v>Fincas Las Cotilangas y Don Ferrer</v>
      </c>
      <c r="J12" s="36" t="str">
        <f ca="1">IFERROR(__xludf.DUMMYFUNCTION("""COMPUTED_VALUE"""),"Parcelas 95, 97, 101 y 102 Polígono 108")</f>
        <v>Parcelas 95, 97, 101 y 102 Polígono 108</v>
      </c>
      <c r="K12" s="36" t="str">
        <f ca="1">IFERROR(__xludf.DUMMYFUNCTION("""COMPUTED_VALUE"""),"42ª34¨36, 86´´N. 00º,07´, 31, 88´´W")</f>
        <v>42ª34¨36, 86´´N. 00º,07´, 31, 88´´W</v>
      </c>
      <c r="L12" s="36" t="str">
        <f ca="1">IFERROR(__xludf.DUMMYFUNCTION("""COMPUTED_VALUE"""),"Jorge Castiella Monclús")</f>
        <v>Jorge Castiella Monclús</v>
      </c>
      <c r="M12" s="36">
        <f ca="1">IFERROR(__xludf.DUMMYFUNCTION("""COMPUTED_VALUE"""),699261137)</f>
        <v>699261137</v>
      </c>
      <c r="N12" s="36" t="str">
        <f ca="1">IFERROR(__xludf.DUMMYFUNCTION("""COMPUTED_VALUE"""),"casavillamana@gmail.com")</f>
        <v>casavillamana@gmail.com</v>
      </c>
      <c r="O12" s="50">
        <f ca="1">IFERROR(__xludf.DUMMYFUNCTION("""COMPUTED_VALUE"""),150)</f>
        <v>150</v>
      </c>
      <c r="P12" s="36" t="str">
        <f ca="1">IFERROR(__xludf.DUMMYFUNCTION("""COMPUTED_VALUE"""),"2-3 Has")</f>
        <v>2-3 Has</v>
      </c>
      <c r="Q12" s="36" t="str">
        <f ca="1">IFERROR(__xludf.DUMMYFUNCTION("""COMPUTED_VALUE"""),"BUENO (Se puede acceder con cualquier coche)")</f>
        <v>BUENO (Se puede acceder con cualquier coche)</v>
      </c>
      <c r="R12" s="36" t="str">
        <f ca="1">IFERROR(__xludf.DUMMYFUNCTION("""COMPUTED_VALUE"""),"Sí")</f>
        <v>Sí</v>
      </c>
      <c r="S12" s="36" t="str">
        <f ca="1">IFERROR(__xludf.DUMMYFUNCTION("""COMPUTED_VALUE"""),"Piscina Municipal")</f>
        <v>Piscina Municipal</v>
      </c>
      <c r="T12" s="36" t="str">
        <f ca="1">IFERROR(__xludf.DUMMYFUNCTION("""COMPUTED_VALUE"""),"CUMPLE NORMATIVA")</f>
        <v>CUMPLE NORMATIVA</v>
      </c>
      <c r="U12" s="36" t="str">
        <f ca="1">IFERROR(__xludf.DUMMYFUNCTION("""COMPUTED_VALUE"""),"PUNTO DE ABASTECIMIENTO DE AGUA MUNICIPAL")</f>
        <v>PUNTO DE ABASTECIMIENTO DE AGUA MUNICIPAL</v>
      </c>
      <c r="V12" s="36" t="str">
        <f ca="1">IFERROR(__xludf.DUMMYFUNCTION("""COMPUTED_VALUE"""),"SI")</f>
        <v>SI</v>
      </c>
      <c r="W12" s="36" t="str">
        <f ca="1">IFERROR(__xludf.DUMMYFUNCTION("""COMPUTED_VALUE"""),"SE HAN CELEBRADO MUCHOS CAMPAMENTOS JUVENILES SCOUTS EN AÑOS ANTERIORES")</f>
        <v>SE HAN CELEBRADO MUCHOS CAMPAMENTOS JUVENILES SCOUTS EN AÑOS ANTERIORES</v>
      </c>
      <c r="X12" s="36"/>
      <c r="Y12" s="36"/>
      <c r="Z12" s="36"/>
    </row>
    <row r="13" spans="1:26" ht="12.75" hidden="1">
      <c r="A13" s="36" t="str">
        <f ca="1">IFERROR(__xludf.DUMMYFUNCTION("""COMPUTED_VALUE"""),"Asturias, Principado De")</f>
        <v>Asturias, Principado De</v>
      </c>
      <c r="B13" s="36" t="str">
        <f ca="1">IFERROR(__xludf.DUMMYFUNCTION("""COMPUTED_VALUE"""),"Asturias")</f>
        <v>Asturias</v>
      </c>
      <c r="C13" s="36">
        <f ca="1">IFERROR(__xludf.DUMMYFUNCTION("""COMPUTED_VALUE"""),2016)</f>
        <v>2016</v>
      </c>
      <c r="D13" s="36" t="str">
        <f ca="1">IFERROR(__xludf.DUMMYFUNCTION("""COMPUTED_VALUE"""),"Amorós")</f>
        <v>Amorós</v>
      </c>
      <c r="E13" s="36" t="str">
        <f ca="1">IFERROR(__xludf.DUMMYFUNCTION("""COMPUTED_VALUE"""),"gs.amoros@scoutsdemadrid.org ")</f>
        <v xml:space="preserve">gs.amoros@scoutsdemadrid.org </v>
      </c>
      <c r="F13" s="48">
        <f ca="1">IFERROR(__xludf.DUMMYFUNCTION("""COMPUTED_VALUE"""),42560)</f>
        <v>42560</v>
      </c>
      <c r="G13" s="48">
        <f ca="1">IFERROR(__xludf.DUMMYFUNCTION("""COMPUTED_VALUE"""),42581)</f>
        <v>42581</v>
      </c>
      <c r="H13" s="36" t="str">
        <f ca="1">IFERROR(__xludf.DUMMYFUNCTION("""COMPUTED_VALUE"""),"Ponga")</f>
        <v>Ponga</v>
      </c>
      <c r="I13" s="36" t="str">
        <f ca="1">IFERROR(__xludf.DUMMYFUNCTION("""COMPUTED_VALUE"""),"Sellaño")</f>
        <v>Sellaño</v>
      </c>
      <c r="J13" s="36" t="str">
        <f ca="1">IFERROR(__xludf.DUMMYFUNCTION("""COMPUTED_VALUE"""),"33050A073002440000AK")</f>
        <v>33050A073002440000AK</v>
      </c>
      <c r="K13" s="36" t="str">
        <f ca="1">IFERROR(__xludf.DUMMYFUNCTION("""COMPUTED_VALUE"""),"4º 15' 13.86'' N")</f>
        <v>4º 15' 13.86'' N</v>
      </c>
      <c r="L13" s="36" t="str">
        <f ca="1">IFERROR(__xludf.DUMMYFUNCTION("""COMPUTED_VALUE"""),"Joaquín Martínez Arobes")</f>
        <v>Joaquín Martínez Arobes</v>
      </c>
      <c r="M13" s="36">
        <f ca="1">IFERROR(__xludf.DUMMYFUNCTION("""COMPUTED_VALUE"""),650785463)</f>
        <v>650785463</v>
      </c>
      <c r="N13" s="36" t="str">
        <f ca="1">IFERROR(__xludf.DUMMYFUNCTION("""COMPUTED_VALUE"""),"")</f>
        <v/>
      </c>
      <c r="O13" s="50">
        <f ca="1">IFERROR(__xludf.DUMMYFUNCTION("""COMPUTED_VALUE"""),530)</f>
        <v>530</v>
      </c>
      <c r="P13" s="36" t="str">
        <f ca="1">IFERROR(__xludf.DUMMYFUNCTION("""COMPUTED_VALUE"""),"")</f>
        <v/>
      </c>
      <c r="Q13" s="36" t="str">
        <f ca="1">IFERROR(__xludf.DUMMYFUNCTION("""COMPUTED_VALUE"""),"BUENO (Se puede acceder con cualquier coche)")</f>
        <v>BUENO (Se puede acceder con cualquier coche)</v>
      </c>
      <c r="R13" s="36" t="str">
        <f ca="1">IFERROR(__xludf.DUMMYFUNCTION("""COMPUTED_VALUE"""),"Sí")</f>
        <v>Sí</v>
      </c>
      <c r="S13" s="36" t="str">
        <f ca="1">IFERROR(__xludf.DUMMYFUNCTION("""COMPUTED_VALUE"""),"33m")</f>
        <v>33m</v>
      </c>
      <c r="T13" s="36" t="str">
        <f ca="1">IFERROR(__xludf.DUMMYFUNCTION("""COMPUTED_VALUE"""),"Río con poco cauce y profundidad")</f>
        <v>Río con poco cauce y profundidad</v>
      </c>
      <c r="U13" s="36" t="str">
        <f ca="1">IFERROR(__xludf.DUMMYFUNCTION("""COMPUTED_VALUE"""),"No")</f>
        <v>No</v>
      </c>
      <c r="V13" s="36" t="str">
        <f ca="1">IFERROR(__xludf.DUMMYFUNCTION("""COMPUTED_VALUE"""),"Sí")</f>
        <v>Sí</v>
      </c>
      <c r="W13" s="36" t="str">
        <f ca="1">IFERROR(__xludf.DUMMYFUNCTION("""COMPUTED_VALUE"""),"")</f>
        <v/>
      </c>
      <c r="X13" s="36"/>
      <c r="Y13" s="36"/>
      <c r="Z13" s="36"/>
    </row>
    <row r="14" spans="1:26" ht="12.75" hidden="1">
      <c r="A14" s="36" t="str">
        <f ca="1">IFERROR(__xludf.DUMMYFUNCTION("""COMPUTED_VALUE"""),"Asturias, Principado De")</f>
        <v>Asturias, Principado De</v>
      </c>
      <c r="B14" s="36" t="str">
        <f ca="1">IFERROR(__xludf.DUMMYFUNCTION("""COMPUTED_VALUE"""),"Asturias")</f>
        <v>Asturias</v>
      </c>
      <c r="C14" s="36">
        <f ca="1">IFERROR(__xludf.DUMMYFUNCTION("""COMPUTED_VALUE"""),2016)</f>
        <v>2016</v>
      </c>
      <c r="D14" s="36" t="str">
        <f ca="1">IFERROR(__xludf.DUMMYFUNCTION("""COMPUTED_VALUE"""),"Amorós")</f>
        <v>Amorós</v>
      </c>
      <c r="E14" s="36" t="str">
        <f ca="1">IFERROR(__xludf.DUMMYFUNCTION("""COMPUTED_VALUE"""),"gs.amoros@scoutsdemadrid.org ")</f>
        <v xml:space="preserve">gs.amoros@scoutsdemadrid.org </v>
      </c>
      <c r="F14" s="48">
        <f ca="1">IFERROR(__xludf.DUMMYFUNCTION("""COMPUTED_VALUE"""),42566)</f>
        <v>42566</v>
      </c>
      <c r="G14" s="48">
        <f ca="1">IFERROR(__xludf.DUMMYFUNCTION("""COMPUTED_VALUE"""),42578)</f>
        <v>42578</v>
      </c>
      <c r="H14" s="36" t="str">
        <f ca="1">IFERROR(__xludf.DUMMYFUNCTION("""COMPUTED_VALUE"""),"Sellaño")</f>
        <v>Sellaño</v>
      </c>
      <c r="I14" s="36" t="str">
        <f ca="1">IFERROR(__xludf.DUMMYFUNCTION("""COMPUTED_VALUE"""),"Sellaño")</f>
        <v>Sellaño</v>
      </c>
      <c r="J14" s="36" t="str">
        <f ca="1">IFERROR(__xludf.DUMMYFUNCTION("""COMPUTED_VALUE"""),"")</f>
        <v/>
      </c>
      <c r="K14" s="36" t="str">
        <f ca="1">IFERROR(__xludf.DUMMYFUNCTION("""COMPUTED_VALUE"""),"")</f>
        <v/>
      </c>
      <c r="L14" s="36" t="str">
        <f ca="1">IFERROR(__xludf.DUMMYFUNCTION("""COMPUTED_VALUE"""),"")</f>
        <v/>
      </c>
      <c r="M14" s="36" t="str">
        <f ca="1">IFERROR(__xludf.DUMMYFUNCTION("""COMPUTED_VALUE"""),"")</f>
        <v/>
      </c>
      <c r="N14" s="36" t="str">
        <f ca="1">IFERROR(__xludf.DUMMYFUNCTION("""COMPUTED_VALUE"""),"")</f>
        <v/>
      </c>
      <c r="O14" s="36" t="str">
        <f ca="1">IFERROR(__xludf.DUMMYFUNCTION("""COMPUTED_VALUE"""),"")</f>
        <v/>
      </c>
      <c r="P14" s="36" t="str">
        <f ca="1">IFERROR(__xludf.DUMMYFUNCTION("""COMPUTED_VALUE"""),"")</f>
        <v/>
      </c>
      <c r="Q14" s="36" t="str">
        <f ca="1">IFERROR(__xludf.DUMMYFUNCTION("""COMPUTED_VALUE"""),"")</f>
        <v/>
      </c>
      <c r="R14" s="36" t="str">
        <f ca="1">IFERROR(__xludf.DUMMYFUNCTION("""COMPUTED_VALUE"""),"")</f>
        <v/>
      </c>
      <c r="S14" s="36" t="str">
        <f ca="1">IFERROR(__xludf.DUMMYFUNCTION("""COMPUTED_VALUE"""),"")</f>
        <v/>
      </c>
      <c r="T14" s="36" t="str">
        <f ca="1">IFERROR(__xludf.DUMMYFUNCTION("""COMPUTED_VALUE"""),"")</f>
        <v/>
      </c>
      <c r="U14" s="36" t="str">
        <f ca="1">IFERROR(__xludf.DUMMYFUNCTION("""COMPUTED_VALUE"""),"")</f>
        <v/>
      </c>
      <c r="V14" s="36" t="str">
        <f ca="1">IFERROR(__xludf.DUMMYFUNCTION("""COMPUTED_VALUE"""),"")</f>
        <v/>
      </c>
      <c r="W14" s="36" t="str">
        <f ca="1">IFERROR(__xludf.DUMMYFUNCTION("""COMPUTED_VALUE"""),"")</f>
        <v/>
      </c>
      <c r="X14" s="36"/>
      <c r="Y14" s="36"/>
      <c r="Z14" s="36"/>
    </row>
    <row r="15" spans="1:26" ht="12.75" hidden="1">
      <c r="A15" s="36" t="str">
        <f ca="1">IFERROR(__xludf.DUMMYFUNCTION("""COMPUTED_VALUE"""),"Asturias, Principado De")</f>
        <v>Asturias, Principado De</v>
      </c>
      <c r="B15" s="36" t="str">
        <f ca="1">IFERROR(__xludf.DUMMYFUNCTION("""COMPUTED_VALUE"""),"Oviedo")</f>
        <v>Oviedo</v>
      </c>
      <c r="C15" s="36">
        <f ca="1">IFERROR(__xludf.DUMMYFUNCTION("""COMPUTED_VALUE"""),2016)</f>
        <v>2016</v>
      </c>
      <c r="D15" s="36" t="str">
        <f ca="1">IFERROR(__xludf.DUMMYFUNCTION("""COMPUTED_VALUE"""),"Queztal")</f>
        <v>Queztal</v>
      </c>
      <c r="E15" s="36" t="str">
        <f ca="1">IFERROR(__xludf.DUMMYFUNCTION("""COMPUTED_VALUE"""),"gs.queztal@scoutsdemadrid.org ")</f>
        <v xml:space="preserve">gs.queztal@scoutsdemadrid.org </v>
      </c>
      <c r="F15" s="48">
        <f ca="1">IFERROR(__xludf.DUMMYFUNCTION("""COMPUTED_VALUE"""),42580)</f>
        <v>42580</v>
      </c>
      <c r="G15" s="48">
        <f ca="1">IFERROR(__xludf.DUMMYFUNCTION("""COMPUTED_VALUE"""),42589)</f>
        <v>42589</v>
      </c>
      <c r="H15" s="36" t="str">
        <f ca="1">IFERROR(__xludf.DUMMYFUNCTION("""COMPUTED_VALUE"""),"Pimiango")</f>
        <v>Pimiango</v>
      </c>
      <c r="I15" s="36" t="str">
        <f ca="1">IFERROR(__xludf.DUMMYFUNCTION("""COMPUTED_VALUE"""),"La Garita")</f>
        <v>La Garita</v>
      </c>
      <c r="J15" s="36" t="str">
        <f ca="1">IFERROR(__xludf.DUMMYFUNCTION("""COMPUTED_VALUE"""),"33055A008000010000IF")</f>
        <v>33055A008000010000IF</v>
      </c>
      <c r="K15" s="36" t="str">
        <f ca="1">IFERROR(__xludf.DUMMYFUNCTION("""COMPUTED_VALUE"""),"43°23'20.3""N 4°31'29.9""W")</f>
        <v>43°23'20.3"N 4°31'29.9"W</v>
      </c>
      <c r="L15" s="36" t="str">
        <f ca="1">IFERROR(__xludf.DUMMYFUNCTION("""COMPUTED_VALUE"""),"Manuel Nosti del Valle")</f>
        <v>Manuel Nosti del Valle</v>
      </c>
      <c r="M15" s="36">
        <f ca="1">IFERROR(__xludf.DUMMYFUNCTION("""COMPUTED_VALUE"""),605966487)</f>
        <v>605966487</v>
      </c>
      <c r="N15" s="36" t="str">
        <f ca="1">IFERROR(__xludf.DUMMYFUNCTION("""COMPUTED_VALUE"""),"manuel_nosti@hotmail.com")</f>
        <v>manuel_nosti@hotmail.com</v>
      </c>
      <c r="O15" s="36" t="str">
        <f ca="1">IFERROR(__xludf.DUMMYFUNCTION("""COMPUTED_VALUE"""),"Gratuito")</f>
        <v>Gratuito</v>
      </c>
      <c r="P15" s="36" t="str">
        <f ca="1">IFERROR(__xludf.DUMMYFUNCTION("""COMPUTED_VALUE"""),"5,92 ha")</f>
        <v>5,92 ha</v>
      </c>
      <c r="Q15" s="36" t="str">
        <f ca="1">IFERROR(__xludf.DUMMYFUNCTION("""COMPUTED_VALUE"""),"BUENO (Se puede acceder con cualquier coche)")</f>
        <v>BUENO (Se puede acceder con cualquier coche)</v>
      </c>
      <c r="R15" s="36" t="str">
        <f ca="1">IFERROR(__xludf.DUMMYFUNCTION("""COMPUTED_VALUE"""),"Sí")</f>
        <v>Sí</v>
      </c>
      <c r="S15" s="36" t="str">
        <f ca="1">IFERROR(__xludf.DUMMYFUNCTION("""COMPUTED_VALUE"""),"5,3 Km")</f>
        <v>5,3 Km</v>
      </c>
      <c r="T15" s="36" t="str">
        <f ca="1">IFERROR(__xludf.DUMMYFUNCTION("""COMPUTED_VALUE"""),"Playa de la Franca")</f>
        <v>Playa de la Franca</v>
      </c>
      <c r="U15" s="36" t="str">
        <f ca="1">IFERROR(__xludf.DUMMYFUNCTION("""COMPUTED_VALUE"""),"No")</f>
        <v>No</v>
      </c>
      <c r="V15" s="36" t="str">
        <f ca="1">IFERROR(__xludf.DUMMYFUNCTION("""COMPUTED_VALUE"""),"ergio Vega González, Carretera General, 0 S/N, 33579 Mazo (El)")</f>
        <v>ergio Vega González, Carretera General, 0 S/N, 33579 Mazo (El)</v>
      </c>
      <c r="W15" s="36" t="str">
        <f ca="1">IFERROR(__xludf.DUMMYFUNCTION("""COMPUTED_VALUE"""),"Finca con amplias zonas para jugar, cerca de Colombres (3,7 km), donde están todos los servicios (supermercados, médicos, farmacias, etc).
La zona de sombras y árboles se sitúan en un extremo de la finca, donde van a aprovecharse los árboles para acampar "&amp;"y tener sobra.")</f>
        <v>Finca con amplias zonas para jugar, cerca de Colombres (3,7 km), donde están todos los servicios (supermercados, médicos, farmacias, etc).
La zona de sombras y árboles se sitúan en un extremo de la finca, donde van a aprovecharse los árboles para acampar y tener sobra.</v>
      </c>
      <c r="X15" s="36"/>
      <c r="Y15" s="36"/>
      <c r="Z15" s="36"/>
    </row>
    <row r="16" spans="1:26" ht="12.75" hidden="1">
      <c r="A16" s="36" t="str">
        <f ca="1">IFERROR(__xludf.DUMMYFUNCTION("""COMPUTED_VALUE"""),"Asturias, Principado De")</f>
        <v>Asturias, Principado De</v>
      </c>
      <c r="B16" s="36" t="str">
        <f ca="1">IFERROR(__xludf.DUMMYFUNCTION("""COMPUTED_VALUE"""),"Asturias")</f>
        <v>Asturias</v>
      </c>
      <c r="C16" s="36">
        <f ca="1">IFERROR(__xludf.DUMMYFUNCTION("""COMPUTED_VALUE"""),2015)</f>
        <v>2015</v>
      </c>
      <c r="D16" s="36" t="str">
        <f ca="1">IFERROR(__xludf.DUMMYFUNCTION("""COMPUTED_VALUE"""),"Claret")</f>
        <v>Claret</v>
      </c>
      <c r="E16" s="36" t="str">
        <f ca="1">IFERROR(__xludf.DUMMYFUNCTION("""COMPUTED_VALUE"""),"gs.claret@scoutsdemadrid.org ")</f>
        <v xml:space="preserve">gs.claret@scoutsdemadrid.org </v>
      </c>
      <c r="F16" s="48">
        <f ca="1">IFERROR(__xludf.DUMMYFUNCTION("""COMPUTED_VALUE"""),42200)</f>
        <v>42200</v>
      </c>
      <c r="G16" s="48">
        <f ca="1">IFERROR(__xludf.DUMMYFUNCTION("""COMPUTED_VALUE"""),42215)</f>
        <v>42215</v>
      </c>
      <c r="H16" s="36" t="str">
        <f ca="1">IFERROR(__xludf.DUMMYFUNCTION("""COMPUTED_VALUE"""),"Ribadedeva")</f>
        <v>Ribadedeva</v>
      </c>
      <c r="I16" s="36" t="str">
        <f ca="1">IFERROR(__xludf.DUMMYFUNCTION("""COMPUTED_VALUE"""),"Bojes")</f>
        <v>Bojes</v>
      </c>
      <c r="J16" s="36" t="str">
        <f ca="1">IFERROR(__xludf.DUMMYFUNCTION("""COMPUTED_VALUE"""),"")</f>
        <v/>
      </c>
      <c r="K16" s="36" t="str">
        <f ca="1">IFERROR(__xludf.DUMMYFUNCTION("""COMPUTED_VALUE"""),"")</f>
        <v/>
      </c>
      <c r="L16" s="36" t="str">
        <f ca="1">IFERROR(__xludf.DUMMYFUNCTION("""COMPUTED_VALUE"""),"")</f>
        <v/>
      </c>
      <c r="M16" s="36" t="str">
        <f ca="1">IFERROR(__xludf.DUMMYFUNCTION("""COMPUTED_VALUE"""),"")</f>
        <v/>
      </c>
      <c r="N16" s="36" t="str">
        <f ca="1">IFERROR(__xludf.DUMMYFUNCTION("""COMPUTED_VALUE"""),"")</f>
        <v/>
      </c>
      <c r="O16" s="36" t="str">
        <f ca="1">IFERROR(__xludf.DUMMYFUNCTION("""COMPUTED_VALUE"""),"")</f>
        <v/>
      </c>
      <c r="P16" s="36" t="str">
        <f ca="1">IFERROR(__xludf.DUMMYFUNCTION("""COMPUTED_VALUE"""),"")</f>
        <v/>
      </c>
      <c r="Q16" s="36" t="str">
        <f ca="1">IFERROR(__xludf.DUMMYFUNCTION("""COMPUTED_VALUE"""),"")</f>
        <v/>
      </c>
      <c r="R16" s="36" t="str">
        <f ca="1">IFERROR(__xludf.DUMMYFUNCTION("""COMPUTED_VALUE"""),"")</f>
        <v/>
      </c>
      <c r="S16" s="36" t="str">
        <f ca="1">IFERROR(__xludf.DUMMYFUNCTION("""COMPUTED_VALUE"""),"")</f>
        <v/>
      </c>
      <c r="T16" s="36" t="str">
        <f ca="1">IFERROR(__xludf.DUMMYFUNCTION("""COMPUTED_VALUE"""),"")</f>
        <v/>
      </c>
      <c r="U16" s="36" t="str">
        <f ca="1">IFERROR(__xludf.DUMMYFUNCTION("""COMPUTED_VALUE"""),"")</f>
        <v/>
      </c>
      <c r="V16" s="36" t="str">
        <f ca="1">IFERROR(__xludf.DUMMYFUNCTION("""COMPUTED_VALUE"""),"")</f>
        <v/>
      </c>
      <c r="W16" s="36" t="str">
        <f ca="1">IFERROR(__xludf.DUMMYFUNCTION("""COMPUTED_VALUE"""),"")</f>
        <v/>
      </c>
      <c r="X16" s="36"/>
      <c r="Y16" s="36"/>
      <c r="Z16" s="36"/>
    </row>
    <row r="17" spans="1:26" ht="12.75" hidden="1">
      <c r="A17" s="36" t="str">
        <f ca="1">IFERROR(__xludf.DUMMYFUNCTION("""COMPUTED_VALUE"""),"Asturias")</f>
        <v>Asturias</v>
      </c>
      <c r="B17" s="36" t="str">
        <f ca="1">IFERROR(__xludf.DUMMYFUNCTION("""COMPUTED_VALUE"""),"Asturias")</f>
        <v>Asturias</v>
      </c>
      <c r="C17" s="36">
        <f ca="1">IFERROR(__xludf.DUMMYFUNCTION("""COMPUTED_VALUE"""),2012)</f>
        <v>2012</v>
      </c>
      <c r="D17" s="36" t="str">
        <f ca="1">IFERROR(__xludf.DUMMYFUNCTION("""COMPUTED_VALUE"""),"Amorós")</f>
        <v>Amorós</v>
      </c>
      <c r="E17" s="36" t="str">
        <f ca="1">IFERROR(__xludf.DUMMYFUNCTION("""COMPUTED_VALUE"""),"gs.amoros@scoutsdemadrid.org ")</f>
        <v xml:space="preserve">gs.amoros@scoutsdemadrid.org </v>
      </c>
      <c r="F17" s="48">
        <f ca="1">IFERROR(__xludf.DUMMYFUNCTION("""COMPUTED_VALUE"""),41106)</f>
        <v>41106</v>
      </c>
      <c r="G17" s="48">
        <f ca="1">IFERROR(__xludf.DUMMYFUNCTION("""COMPUTED_VALUE"""),41120)</f>
        <v>41120</v>
      </c>
      <c r="H17" s="36" t="str">
        <f ca="1">IFERROR(__xludf.DUMMYFUNCTION("""COMPUTED_VALUE"""),"Proaza, Covadonga, Ribadesella")</f>
        <v>Proaza, Covadonga, Ribadesella</v>
      </c>
      <c r="I17" s="36" t="str">
        <f ca="1">IFERROR(__xludf.DUMMYFUNCTION("""COMPUTED_VALUE"""),"Ruta del Oso, Covadonga, Ribadesella")</f>
        <v>Ruta del Oso, Covadonga, Ribadesella</v>
      </c>
      <c r="J17" s="36" t="str">
        <f ca="1">IFERROR(__xludf.DUMMYFUNCTION("""COMPUTED_VALUE"""),"")</f>
        <v/>
      </c>
      <c r="K17" s="36" t="str">
        <f ca="1">IFERROR(__xludf.DUMMYFUNCTION("""COMPUTED_VALUE"""),"")</f>
        <v/>
      </c>
      <c r="L17" s="36" t="str">
        <f ca="1">IFERROR(__xludf.DUMMYFUNCTION("""COMPUTED_VALUE"""),"")</f>
        <v/>
      </c>
      <c r="M17" s="36" t="str">
        <f ca="1">IFERROR(__xludf.DUMMYFUNCTION("""COMPUTED_VALUE"""),"")</f>
        <v/>
      </c>
      <c r="N17" s="36" t="str">
        <f ca="1">IFERROR(__xludf.DUMMYFUNCTION("""COMPUTED_VALUE"""),"")</f>
        <v/>
      </c>
      <c r="O17" s="36" t="str">
        <f ca="1">IFERROR(__xludf.DUMMYFUNCTION("""COMPUTED_VALUE"""),"")</f>
        <v/>
      </c>
      <c r="P17" s="36" t="str">
        <f ca="1">IFERROR(__xludf.DUMMYFUNCTION("""COMPUTED_VALUE"""),"")</f>
        <v/>
      </c>
      <c r="Q17" s="36" t="str">
        <f ca="1">IFERROR(__xludf.DUMMYFUNCTION("""COMPUTED_VALUE"""),"")</f>
        <v/>
      </c>
      <c r="R17" s="36" t="str">
        <f ca="1">IFERROR(__xludf.DUMMYFUNCTION("""COMPUTED_VALUE"""),"")</f>
        <v/>
      </c>
      <c r="S17" s="36" t="str">
        <f ca="1">IFERROR(__xludf.DUMMYFUNCTION("""COMPUTED_VALUE"""),"")</f>
        <v/>
      </c>
      <c r="T17" s="36" t="str">
        <f ca="1">IFERROR(__xludf.DUMMYFUNCTION("""COMPUTED_VALUE"""),"")</f>
        <v/>
      </c>
      <c r="U17" s="36" t="str">
        <f ca="1">IFERROR(__xludf.DUMMYFUNCTION("""COMPUTED_VALUE"""),"")</f>
        <v/>
      </c>
      <c r="V17" s="36" t="str">
        <f ca="1">IFERROR(__xludf.DUMMYFUNCTION("""COMPUTED_VALUE"""),"")</f>
        <v/>
      </c>
      <c r="W17" s="36" t="str">
        <f ca="1">IFERROR(__xludf.DUMMYFUNCTION("""COMPUTED_VALUE"""),"")</f>
        <v/>
      </c>
      <c r="X17" s="36"/>
      <c r="Y17" s="36"/>
      <c r="Z17" s="36"/>
    </row>
    <row r="18" spans="1:26" ht="12.75" hidden="1">
      <c r="A18" s="36" t="str">
        <f ca="1">IFERROR(__xludf.DUMMYFUNCTION("""COMPUTED_VALUE"""),"Asturias")</f>
        <v>Asturias</v>
      </c>
      <c r="B18" s="36" t="str">
        <f ca="1">IFERROR(__xludf.DUMMYFUNCTION("""COMPUTED_VALUE"""),"Asturias")</f>
        <v>Asturias</v>
      </c>
      <c r="C18" s="36">
        <f ca="1">IFERROR(__xludf.DUMMYFUNCTION("""COMPUTED_VALUE"""),2012)</f>
        <v>2012</v>
      </c>
      <c r="D18" s="36" t="str">
        <f ca="1">IFERROR(__xludf.DUMMYFUNCTION("""COMPUTED_VALUE"""),"Amorós")</f>
        <v>Amorós</v>
      </c>
      <c r="E18" s="36" t="str">
        <f ca="1">IFERROR(__xludf.DUMMYFUNCTION("""COMPUTED_VALUE"""),"gs.amoros@scoutsdemadrid.org ")</f>
        <v xml:space="preserve">gs.amoros@scoutsdemadrid.org </v>
      </c>
      <c r="F18" s="48">
        <f ca="1">IFERROR(__xludf.DUMMYFUNCTION("""COMPUTED_VALUE"""),41103)</f>
        <v>41103</v>
      </c>
      <c r="G18" s="48">
        <f ca="1">IFERROR(__xludf.DUMMYFUNCTION("""COMPUTED_VALUE"""),41120)</f>
        <v>41120</v>
      </c>
      <c r="H18" s="36" t="str">
        <f ca="1">IFERROR(__xludf.DUMMYFUNCTION("""COMPUTED_VALUE"""),"Asturias")</f>
        <v>Asturias</v>
      </c>
      <c r="I18" s="36" t="str">
        <f ca="1">IFERROR(__xludf.DUMMYFUNCTION("""COMPUTED_VALUE"""),"Proaza")</f>
        <v>Proaza</v>
      </c>
      <c r="J18" s="36" t="str">
        <f ca="1">IFERROR(__xludf.DUMMYFUNCTION("""COMPUTED_VALUE"""),"")</f>
        <v/>
      </c>
      <c r="K18" s="49" t="str">
        <f ca="1">IFERROR(__xludf.DUMMYFUNCTION("""COMPUTED_VALUE"""),"https://maps.google.com/maps?q=Proaza&amp;hl=en&amp;ll=43.240951,-6.01759&amp;spn=0.080533,0.181103&amp;hnear=Proaza,+Asturias,+Spain&amp;t=m&amp;z=13")</f>
        <v>https://maps.google.com/maps?q=Proaza&amp;hl=en&amp;ll=43.240951,-6.01759&amp;spn=0.080533,0.181103&amp;hnear=Proaza,+Asturias,+Spain&amp;t=m&amp;z=13</v>
      </c>
      <c r="L18" s="36" t="str">
        <f ca="1">IFERROR(__xludf.DUMMYFUNCTION("""COMPUTED_VALUE"""),"")</f>
        <v/>
      </c>
      <c r="M18" s="36" t="str">
        <f ca="1">IFERROR(__xludf.DUMMYFUNCTION("""COMPUTED_VALUE"""),"")</f>
        <v/>
      </c>
      <c r="N18" s="36" t="str">
        <f ca="1">IFERROR(__xludf.DUMMYFUNCTION("""COMPUTED_VALUE"""),"")</f>
        <v/>
      </c>
      <c r="O18" s="36" t="str">
        <f ca="1">IFERROR(__xludf.DUMMYFUNCTION("""COMPUTED_VALUE"""),"")</f>
        <v/>
      </c>
      <c r="P18" s="36" t="str">
        <f ca="1">IFERROR(__xludf.DUMMYFUNCTION("""COMPUTED_VALUE"""),"")</f>
        <v/>
      </c>
      <c r="Q18" s="36" t="str">
        <f ca="1">IFERROR(__xludf.DUMMYFUNCTION("""COMPUTED_VALUE"""),"")</f>
        <v/>
      </c>
      <c r="R18" s="36" t="str">
        <f ca="1">IFERROR(__xludf.DUMMYFUNCTION("""COMPUTED_VALUE"""),"")</f>
        <v/>
      </c>
      <c r="S18" s="36" t="str">
        <f ca="1">IFERROR(__xludf.DUMMYFUNCTION("""COMPUTED_VALUE"""),"")</f>
        <v/>
      </c>
      <c r="T18" s="36" t="str">
        <f ca="1">IFERROR(__xludf.DUMMYFUNCTION("""COMPUTED_VALUE"""),"")</f>
        <v/>
      </c>
      <c r="U18" s="36" t="str">
        <f ca="1">IFERROR(__xludf.DUMMYFUNCTION("""COMPUTED_VALUE"""),"")</f>
        <v/>
      </c>
      <c r="V18" s="36" t="str">
        <f ca="1">IFERROR(__xludf.DUMMYFUNCTION("""COMPUTED_VALUE"""),"")</f>
        <v/>
      </c>
      <c r="W18" s="36" t="str">
        <f ca="1">IFERROR(__xludf.DUMMYFUNCTION("""COMPUTED_VALUE"""),"")</f>
        <v/>
      </c>
      <c r="X18" s="36"/>
      <c r="Y18" s="36"/>
      <c r="Z18" s="36"/>
    </row>
    <row r="19" spans="1:26" ht="12.75" hidden="1">
      <c r="A19" s="36" t="str">
        <f ca="1">IFERROR(__xludf.DUMMYFUNCTION("""COMPUTED_VALUE"""),"Asturias, Principado De")</f>
        <v>Asturias, Principado De</v>
      </c>
      <c r="B19" s="36" t="str">
        <f ca="1">IFERROR(__xludf.DUMMYFUNCTION("""COMPUTED_VALUE"""),"Asturias")</f>
        <v>Asturias</v>
      </c>
      <c r="C19" s="36">
        <f ca="1">IFERROR(__xludf.DUMMYFUNCTION("""COMPUTED_VALUE"""),2019)</f>
        <v>2019</v>
      </c>
      <c r="D19" s="36" t="str">
        <f ca="1">IFERROR(__xludf.DUMMYFUNCTION("""COMPUTED_VALUE"""),"Pilar")</f>
        <v>Pilar</v>
      </c>
      <c r="E19" s="36" t="str">
        <f ca="1">IFERROR(__xludf.DUMMYFUNCTION("""COMPUTED_VALUE"""),"gs.pilar@scoutsdemadrid.org")</f>
        <v>gs.pilar@scoutsdemadrid.org</v>
      </c>
      <c r="F19" s="48">
        <f ca="1">IFERROR(__xludf.DUMMYFUNCTION("""COMPUTED_VALUE"""),43663)</f>
        <v>43663</v>
      </c>
      <c r="G19" s="48">
        <f ca="1">IFERROR(__xludf.DUMMYFUNCTION("""COMPUTED_VALUE"""),43674)</f>
        <v>43674</v>
      </c>
      <c r="H19" s="36" t="str">
        <f ca="1">IFERROR(__xludf.DUMMYFUNCTION("""COMPUTED_VALUE"""),"Sellaño")</f>
        <v>Sellaño</v>
      </c>
      <c r="I19" s="36" t="str">
        <f ca="1">IFERROR(__xludf.DUMMYFUNCTION("""COMPUTED_VALUE"""),"Sellaño")</f>
        <v>Sellaño</v>
      </c>
      <c r="J19" s="36" t="str">
        <f ca="1">IFERROR(__xludf.DUMMYFUNCTION("""COMPUTED_VALUE"""),"33050A073002440000AK")</f>
        <v>33050A073002440000AK</v>
      </c>
      <c r="K19" s="36" t="str">
        <f ca="1">IFERROR(__xludf.DUMMYFUNCTION("""COMPUTED_VALUE"""),"X 320679,94 ; Y 4791928,7")</f>
        <v>X 320679,94 ; Y 4791928,7</v>
      </c>
      <c r="L19" s="36" t="str">
        <f ca="1">IFERROR(__xludf.DUMMYFUNCTION("""COMPUTED_VALUE"""),"Juan José Martínez Arobes")</f>
        <v>Juan José Martínez Arobes</v>
      </c>
      <c r="M19" s="36">
        <f ca="1">IFERROR(__xludf.DUMMYFUNCTION("""COMPUTED_VALUE"""),650785463)</f>
        <v>650785463</v>
      </c>
      <c r="N19" s="36" t="str">
        <f ca="1">IFERROR(__xludf.DUMMYFUNCTION("""COMPUTED_VALUE"""),"juanjoma@hotmail.es")</f>
        <v>juanjoma@hotmail.es</v>
      </c>
      <c r="O19" s="36" t="str">
        <f ca="1">IFERROR(__xludf.DUMMYFUNCTION("""COMPUTED_VALUE"""),"1400€ en total")</f>
        <v>1400€ en total</v>
      </c>
      <c r="P19" s="36" t="str">
        <f ca="1">IFERROR(__xludf.DUMMYFUNCTION("""COMPUTED_VALUE"""),"1 ha")</f>
        <v>1 ha</v>
      </c>
      <c r="Q19" s="36" t="str">
        <f ca="1">IFERROR(__xludf.DUMMYFUNCTION("""COMPUTED_VALUE"""),"REGULAR (Se puede acceder con un coche normal con dificultad)")</f>
        <v>REGULAR (Se puede acceder con un coche normal con dificultad)</v>
      </c>
      <c r="R19" s="36" t="str">
        <f ca="1">IFERROR(__xludf.DUMMYFUNCTION("""COMPUTED_VALUE"""),"Sí")</f>
        <v>Sí</v>
      </c>
      <c r="S19" s="36" t="str">
        <f ca="1">IFERROR(__xludf.DUMMYFUNCTION("""COMPUTED_VALUE"""),"50 m")</f>
        <v>50 m</v>
      </c>
      <c r="T19" s="36" t="str">
        <f ca="1">IFERROR(__xludf.DUMMYFUNCTION("""COMPUTED_VALUE"""),"El río se encuentra dentro de la finca. Hay acceso fácil al río. Es una zona más o menos llana con varias zonas de baño")</f>
        <v>El río se encuentra dentro de la finca. Hay acceso fácil al río. Es una zona más o menos llana con varias zonas de baño</v>
      </c>
      <c r="U19" s="36" t="str">
        <f ca="1">IFERROR(__xludf.DUMMYFUNCTION("""COMPUTED_VALUE"""),"Sólo una caseta de aperos pequeña")</f>
        <v>Sólo una caseta de aperos pequeña</v>
      </c>
      <c r="V19" s="36" t="str">
        <f ca="1">IFERROR(__xludf.DUMMYFUNCTION("""COMPUTED_VALUE"""),"sí")</f>
        <v>sí</v>
      </c>
      <c r="W19" s="36" t="str">
        <f ca="1">IFERROR(__xludf.DUMMYFUNCTION("""COMPUTED_VALUE"""),"Campa amplia y plana al lado del río, en un paraje natural precioso en pleno valle del Ponga")</f>
        <v>Campa amplia y plana al lado del río, en un paraje natural precioso en pleno valle del Ponga</v>
      </c>
      <c r="X19" s="36"/>
      <c r="Y19" s="36"/>
      <c r="Z19" s="36"/>
    </row>
    <row r="20" spans="1:26" ht="12.75" hidden="1">
      <c r="A20" s="36" t="str">
        <f ca="1">IFERROR(__xludf.DUMMYFUNCTION("""COMPUTED_VALUE"""),"Cantabria")</f>
        <v>Cantabria</v>
      </c>
      <c r="B20" s="36" t="str">
        <f ca="1">IFERROR(__xludf.DUMMYFUNCTION("""COMPUTED_VALUE"""),"Cantabria")</f>
        <v>Cantabria</v>
      </c>
      <c r="C20" s="36">
        <f ca="1">IFERROR(__xludf.DUMMYFUNCTION("""COMPUTED_VALUE"""),2015)</f>
        <v>2015</v>
      </c>
      <c r="D20" s="36" t="str">
        <f ca="1">IFERROR(__xludf.DUMMYFUNCTION("""COMPUTED_VALUE"""),"Monte Nebo")</f>
        <v>Monte Nebo</v>
      </c>
      <c r="E20" s="36" t="str">
        <f ca="1">IFERROR(__xludf.DUMMYFUNCTION("""COMPUTED_VALUE"""),"gs.montenebo@scoutsdemadrid.org ")</f>
        <v xml:space="preserve">gs.montenebo@scoutsdemadrid.org </v>
      </c>
      <c r="F20" s="48">
        <f ca="1">IFERROR(__xludf.DUMMYFUNCTION("""COMPUTED_VALUE"""),42187)</f>
        <v>42187</v>
      </c>
      <c r="G20" s="48">
        <f ca="1">IFERROR(__xludf.DUMMYFUNCTION("""COMPUTED_VALUE"""),42197)</f>
        <v>42197</v>
      </c>
      <c r="H20" s="36" t="str">
        <f ca="1">IFERROR(__xludf.DUMMYFUNCTION("""COMPUTED_VALUE"""),"Solórzano")</f>
        <v>Solórzano</v>
      </c>
      <c r="I20" s="36" t="str">
        <f ca="1">IFERROR(__xludf.DUMMYFUNCTION("""COMPUTED_VALUE"""),"A.J. Gerardo Diego")</f>
        <v>A.J. Gerardo Diego</v>
      </c>
      <c r="J20" s="36" t="str">
        <f ca="1">IFERROR(__xludf.DUMMYFUNCTION("""COMPUTED_VALUE"""),"")</f>
        <v/>
      </c>
      <c r="K20" s="36" t="str">
        <f ca="1">IFERROR(__xludf.DUMMYFUNCTION("""COMPUTED_VALUE"""),"")</f>
        <v/>
      </c>
      <c r="L20" s="36" t="str">
        <f ca="1">IFERROR(__xludf.DUMMYFUNCTION("""COMPUTED_VALUE"""),"")</f>
        <v/>
      </c>
      <c r="M20" s="36" t="str">
        <f ca="1">IFERROR(__xludf.DUMMYFUNCTION("""COMPUTED_VALUE"""),"")</f>
        <v/>
      </c>
      <c r="N20" s="36" t="str">
        <f ca="1">IFERROR(__xludf.DUMMYFUNCTION("""COMPUTED_VALUE"""),"")</f>
        <v/>
      </c>
      <c r="O20" s="36" t="str">
        <f ca="1">IFERROR(__xludf.DUMMYFUNCTION("""COMPUTED_VALUE"""),"")</f>
        <v/>
      </c>
      <c r="P20" s="36" t="str">
        <f ca="1">IFERROR(__xludf.DUMMYFUNCTION("""COMPUTED_VALUE"""),"")</f>
        <v/>
      </c>
      <c r="Q20" s="36" t="str">
        <f ca="1">IFERROR(__xludf.DUMMYFUNCTION("""COMPUTED_VALUE"""),"")</f>
        <v/>
      </c>
      <c r="R20" s="36" t="str">
        <f ca="1">IFERROR(__xludf.DUMMYFUNCTION("""COMPUTED_VALUE"""),"")</f>
        <v/>
      </c>
      <c r="S20" s="36" t="str">
        <f ca="1">IFERROR(__xludf.DUMMYFUNCTION("""COMPUTED_VALUE"""),"")</f>
        <v/>
      </c>
      <c r="T20" s="36" t="str">
        <f ca="1">IFERROR(__xludf.DUMMYFUNCTION("""COMPUTED_VALUE"""),"")</f>
        <v/>
      </c>
      <c r="U20" s="36" t="str">
        <f ca="1">IFERROR(__xludf.DUMMYFUNCTION("""COMPUTED_VALUE"""),"")</f>
        <v/>
      </c>
      <c r="V20" s="36" t="str">
        <f ca="1">IFERROR(__xludf.DUMMYFUNCTION("""COMPUTED_VALUE"""),"")</f>
        <v/>
      </c>
      <c r="W20" s="36" t="str">
        <f ca="1">IFERROR(__xludf.DUMMYFUNCTION("""COMPUTED_VALUE"""),"")</f>
        <v/>
      </c>
      <c r="X20" s="36"/>
      <c r="Y20" s="36"/>
      <c r="Z20" s="36"/>
    </row>
    <row r="21" spans="1:26" ht="12.75" hidden="1">
      <c r="A21" s="36" t="str">
        <f ca="1">IFERROR(__xludf.DUMMYFUNCTION("""COMPUTED_VALUE"""),"Cantabria")</f>
        <v>Cantabria</v>
      </c>
      <c r="B21" s="36" t="str">
        <f ca="1">IFERROR(__xludf.DUMMYFUNCTION("""COMPUTED_VALUE"""),"Cantabria")</f>
        <v>Cantabria</v>
      </c>
      <c r="C21" s="36">
        <f ca="1">IFERROR(__xludf.DUMMYFUNCTION("""COMPUTED_VALUE"""),2015)</f>
        <v>2015</v>
      </c>
      <c r="D21" s="36" t="str">
        <f ca="1">IFERROR(__xludf.DUMMYFUNCTION("""COMPUTED_VALUE"""),"Valverde")</f>
        <v>Valverde</v>
      </c>
      <c r="E21" s="36" t="str">
        <f ca="1">IFERROR(__xludf.DUMMYFUNCTION("""COMPUTED_VALUE"""),"gs.valverde@scoutsdemadrid.org ")</f>
        <v xml:space="preserve">gs.valverde@scoutsdemadrid.org </v>
      </c>
      <c r="F21" s="48">
        <f ca="1">IFERROR(__xludf.DUMMYFUNCTION("""COMPUTED_VALUE"""),42199)</f>
        <v>42199</v>
      </c>
      <c r="G21" s="48">
        <f ca="1">IFERROR(__xludf.DUMMYFUNCTION("""COMPUTED_VALUE"""),42215)</f>
        <v>42215</v>
      </c>
      <c r="H21" s="36" t="str">
        <f ca="1">IFERROR(__xludf.DUMMYFUNCTION("""COMPUTED_VALUE"""),"Suesa")</f>
        <v>Suesa</v>
      </c>
      <c r="I21" s="36" t="str">
        <f ca="1">IFERROR(__xludf.DUMMYFUNCTION("""COMPUTED_VALUE"""),"Suesa")</f>
        <v>Suesa</v>
      </c>
      <c r="J21" s="36" t="str">
        <f ca="1">IFERROR(__xludf.DUMMYFUNCTION("""COMPUTED_VALUE"""),"")</f>
        <v/>
      </c>
      <c r="K21" s="36" t="str">
        <f ca="1">IFERROR(__xludf.DUMMYFUNCTION("""COMPUTED_VALUE"""),"43.444868, -3.730115")</f>
        <v>43.444868, -3.730115</v>
      </c>
      <c r="L21" s="36" t="str">
        <f ca="1">IFERROR(__xludf.DUMMYFUNCTION("""COMPUTED_VALUE"""),"")</f>
        <v/>
      </c>
      <c r="M21" s="36" t="str">
        <f ca="1">IFERROR(__xludf.DUMMYFUNCTION("""COMPUTED_VALUE"""),"")</f>
        <v/>
      </c>
      <c r="N21" s="36" t="str">
        <f ca="1">IFERROR(__xludf.DUMMYFUNCTION("""COMPUTED_VALUE"""),"")</f>
        <v/>
      </c>
      <c r="O21" s="36" t="str">
        <f ca="1">IFERROR(__xludf.DUMMYFUNCTION("""COMPUTED_VALUE"""),"")</f>
        <v/>
      </c>
      <c r="P21" s="36" t="str">
        <f ca="1">IFERROR(__xludf.DUMMYFUNCTION("""COMPUTED_VALUE"""),"")</f>
        <v/>
      </c>
      <c r="Q21" s="36" t="str">
        <f ca="1">IFERROR(__xludf.DUMMYFUNCTION("""COMPUTED_VALUE"""),"")</f>
        <v/>
      </c>
      <c r="R21" s="36" t="str">
        <f ca="1">IFERROR(__xludf.DUMMYFUNCTION("""COMPUTED_VALUE"""),"")</f>
        <v/>
      </c>
      <c r="S21" s="36" t="str">
        <f ca="1">IFERROR(__xludf.DUMMYFUNCTION("""COMPUTED_VALUE"""),"")</f>
        <v/>
      </c>
      <c r="T21" s="36" t="str">
        <f ca="1">IFERROR(__xludf.DUMMYFUNCTION("""COMPUTED_VALUE"""),"")</f>
        <v/>
      </c>
      <c r="U21" s="36" t="str">
        <f ca="1">IFERROR(__xludf.DUMMYFUNCTION("""COMPUTED_VALUE"""),"")</f>
        <v/>
      </c>
      <c r="V21" s="36" t="str">
        <f ca="1">IFERROR(__xludf.DUMMYFUNCTION("""COMPUTED_VALUE"""),"")</f>
        <v/>
      </c>
      <c r="W21" s="36" t="str">
        <f ca="1">IFERROR(__xludf.DUMMYFUNCTION("""COMPUTED_VALUE"""),"")</f>
        <v/>
      </c>
      <c r="X21" s="36"/>
      <c r="Y21" s="36"/>
      <c r="Z21" s="36"/>
    </row>
    <row r="22" spans="1:26" ht="12.75" hidden="1">
      <c r="A22" s="36" t="str">
        <f ca="1">IFERROR(__xludf.DUMMYFUNCTION("""COMPUTED_VALUE"""),"Cantabria")</f>
        <v>Cantabria</v>
      </c>
      <c r="B22" s="36" t="str">
        <f ca="1">IFERROR(__xludf.DUMMYFUNCTION("""COMPUTED_VALUE"""),"Cantabria")</f>
        <v>Cantabria</v>
      </c>
      <c r="C22" s="36">
        <f ca="1">IFERROR(__xludf.DUMMYFUNCTION("""COMPUTED_VALUE"""),2016)</f>
        <v>2016</v>
      </c>
      <c r="D22" s="36" t="str">
        <f ca="1">IFERROR(__xludf.DUMMYFUNCTION("""COMPUTED_VALUE"""),"San Agustin")</f>
        <v>San Agustin</v>
      </c>
      <c r="E22" s="36" t="str">
        <f ca="1">IFERROR(__xludf.DUMMYFUNCTION("""COMPUTED_VALUE"""),"gs.sanagustin@scoutsdemadrid.org ")</f>
        <v xml:space="preserve">gs.sanagustin@scoutsdemadrid.org </v>
      </c>
      <c r="F22" s="48">
        <f ca="1">IFERROR(__xludf.DUMMYFUNCTION("""COMPUTED_VALUE"""),42181)</f>
        <v>42181</v>
      </c>
      <c r="G22" s="48">
        <f ca="1">IFERROR(__xludf.DUMMYFUNCTION("""COMPUTED_VALUE"""),42185)</f>
        <v>42185</v>
      </c>
      <c r="H22" s="36" t="str">
        <f ca="1">IFERROR(__xludf.DUMMYFUNCTION("""COMPUTED_VALUE"""),"Bielva")</f>
        <v>Bielva</v>
      </c>
      <c r="I22" s="36" t="str">
        <f ca="1">IFERROR(__xludf.DUMMYFUNCTION("""COMPUTED_VALUE"""),"Puente del Arrudo")</f>
        <v>Puente del Arrudo</v>
      </c>
      <c r="J22" s="36" t="str">
        <f ca="1">IFERROR(__xludf.DUMMYFUNCTION("""COMPUTED_VALUE"""),"")</f>
        <v/>
      </c>
      <c r="K22" s="36" t="str">
        <f ca="1">IFERROR(__xludf.DUMMYFUNCTION("""COMPUTED_VALUE"""),"")</f>
        <v/>
      </c>
      <c r="L22" s="36" t="str">
        <f ca="1">IFERROR(__xludf.DUMMYFUNCTION("""COMPUTED_VALUE"""),"")</f>
        <v/>
      </c>
      <c r="M22" s="36" t="str">
        <f ca="1">IFERROR(__xludf.DUMMYFUNCTION("""COMPUTED_VALUE"""),"")</f>
        <v/>
      </c>
      <c r="N22" s="36" t="str">
        <f ca="1">IFERROR(__xludf.DUMMYFUNCTION("""COMPUTED_VALUE"""),"")</f>
        <v/>
      </c>
      <c r="O22" s="36" t="str">
        <f ca="1">IFERROR(__xludf.DUMMYFUNCTION("""COMPUTED_VALUE"""),"")</f>
        <v/>
      </c>
      <c r="P22" s="36" t="str">
        <f ca="1">IFERROR(__xludf.DUMMYFUNCTION("""COMPUTED_VALUE"""),"")</f>
        <v/>
      </c>
      <c r="Q22" s="36" t="str">
        <f ca="1">IFERROR(__xludf.DUMMYFUNCTION("""COMPUTED_VALUE"""),"")</f>
        <v/>
      </c>
      <c r="R22" s="36" t="str">
        <f ca="1">IFERROR(__xludf.DUMMYFUNCTION("""COMPUTED_VALUE"""),"")</f>
        <v/>
      </c>
      <c r="S22" s="36" t="str">
        <f ca="1">IFERROR(__xludf.DUMMYFUNCTION("""COMPUTED_VALUE"""),"")</f>
        <v/>
      </c>
      <c r="T22" s="36" t="str">
        <f ca="1">IFERROR(__xludf.DUMMYFUNCTION("""COMPUTED_VALUE"""),"")</f>
        <v/>
      </c>
      <c r="U22" s="36" t="str">
        <f ca="1">IFERROR(__xludf.DUMMYFUNCTION("""COMPUTED_VALUE"""),"")</f>
        <v/>
      </c>
      <c r="V22" s="36" t="str">
        <f ca="1">IFERROR(__xludf.DUMMYFUNCTION("""COMPUTED_VALUE"""),"")</f>
        <v/>
      </c>
      <c r="W22" s="36" t="str">
        <f ca="1">IFERROR(__xludf.DUMMYFUNCTION("""COMPUTED_VALUE"""),"")</f>
        <v/>
      </c>
      <c r="X22" s="36"/>
      <c r="Y22" s="36"/>
      <c r="Z22" s="36"/>
    </row>
    <row r="23" spans="1:26" ht="12.75" hidden="1">
      <c r="A23" s="36" t="str">
        <f ca="1">IFERROR(__xludf.DUMMYFUNCTION("""COMPUTED_VALUE"""),"Cantabria")</f>
        <v>Cantabria</v>
      </c>
      <c r="B23" s="36" t="str">
        <f ca="1">IFERROR(__xludf.DUMMYFUNCTION("""COMPUTED_VALUE"""),"Cantabria")</f>
        <v>Cantabria</v>
      </c>
      <c r="C23" s="36">
        <f ca="1">IFERROR(__xludf.DUMMYFUNCTION("""COMPUTED_VALUE"""),2016)</f>
        <v>2016</v>
      </c>
      <c r="D23" s="36" t="str">
        <f ca="1">IFERROR(__xludf.DUMMYFUNCTION("""COMPUTED_VALUE"""),"Monte Nebo")</f>
        <v>Monte Nebo</v>
      </c>
      <c r="E23" s="36" t="str">
        <f ca="1">IFERROR(__xludf.DUMMYFUNCTION("""COMPUTED_VALUE"""),"gs.montenebo@scoutsdemadrid.org ")</f>
        <v xml:space="preserve">gs.montenebo@scoutsdemadrid.org </v>
      </c>
      <c r="F23" s="48">
        <f ca="1">IFERROR(__xludf.DUMMYFUNCTION("""COMPUTED_VALUE"""),42555)</f>
        <v>42555</v>
      </c>
      <c r="G23" s="48">
        <f ca="1">IFERROR(__xludf.DUMMYFUNCTION("""COMPUTED_VALUE"""),42562)</f>
        <v>42562</v>
      </c>
      <c r="H23" s="36" t="str">
        <f ca="1">IFERROR(__xludf.DUMMYFUNCTION("""COMPUTED_VALUE"""),"Alto Campoó, Brañavieja")</f>
        <v>Alto Campoó, Brañavieja</v>
      </c>
      <c r="I23" s="36" t="str">
        <f ca="1">IFERROR(__xludf.DUMMYFUNCTION("""COMPUTED_VALUE"""),"Albergue Juvenil Brañavieja")</f>
        <v>Albergue Juvenil Brañavieja</v>
      </c>
      <c r="J23" s="36" t="str">
        <f ca="1">IFERROR(__xludf.DUMMYFUNCTION("""COMPUTED_VALUE"""),"")</f>
        <v/>
      </c>
      <c r="K23" s="36" t="str">
        <f ca="1">IFERROR(__xludf.DUMMYFUNCTION("""COMPUTED_VALUE"""),"")</f>
        <v/>
      </c>
      <c r="L23" s="36" t="str">
        <f ca="1">IFERROR(__xludf.DUMMYFUNCTION("""COMPUTED_VALUE"""),"Gobierno de Cantabria ")</f>
        <v xml:space="preserve">Gobierno de Cantabria </v>
      </c>
      <c r="M23" s="36" t="str">
        <f ca="1">IFERROR(__xludf.DUMMYFUNCTION("""COMPUTED_VALUE""")," 942 207407")</f>
        <v xml:space="preserve"> 942 207407</v>
      </c>
      <c r="N23" s="36" t="str">
        <f ca="1">IFERROR(__xludf.DUMMYFUNCTION("""COMPUTED_VALUE"""),"jovenmania.albergues@cantabria.es")</f>
        <v>jovenmania.albergues@cantabria.es</v>
      </c>
      <c r="O23" s="36" t="str">
        <f ca="1">IFERROR(__xludf.DUMMYFUNCTION("""COMPUTED_VALUE"""),"13,67 por día con pensión completa y alojamiento. ")</f>
        <v xml:space="preserve">13,67 por día con pensión completa y alojamiento. </v>
      </c>
      <c r="P23" s="36" t="str">
        <f ca="1">IFERROR(__xludf.DUMMYFUNCTION("""COMPUTED_VALUE"""),"X ")</f>
        <v xml:space="preserve">X </v>
      </c>
      <c r="Q23" s="36" t="str">
        <f ca="1">IFERROR(__xludf.DUMMYFUNCTION("""COMPUTED_VALUE"""),"BUENO (Se puede acceder con cualquier coche)")</f>
        <v>BUENO (Se puede acceder con cualquier coche)</v>
      </c>
      <c r="R23" s="36" t="str">
        <f ca="1">IFERROR(__xludf.DUMMYFUNCTION("""COMPUTED_VALUE"""),"Sí")</f>
        <v>Sí</v>
      </c>
      <c r="S23" s="36" t="str">
        <f ca="1">IFERROR(__xludf.DUMMYFUNCTION("""COMPUTED_VALUE"""),"0 metros (dormimos en habitaciones) ")</f>
        <v xml:space="preserve">0 metros (dormimos en habitaciones) </v>
      </c>
      <c r="T23" s="36" t="str">
        <f ca="1">IFERROR(__xludf.DUMMYFUNCTION("""COMPUTED_VALUE"""),"Buena zona acondicionada con vateres y duchas. ")</f>
        <v xml:space="preserve">Buena zona acondicionada con vateres y duchas. </v>
      </c>
      <c r="U23" s="36" t="str">
        <f ca="1">IFERROR(__xludf.DUMMYFUNCTION("""COMPUTED_VALUE"""),"habitaciones, cocina, salas multiusos, rocódromo... ")</f>
        <v xml:space="preserve">habitaciones, cocina, salas multiusos, rocódromo... </v>
      </c>
      <c r="V23" s="36" t="str">
        <f ca="1">IFERROR(__xludf.DUMMYFUNCTION("""COMPUTED_VALUE"""),"sí. ")</f>
        <v xml:space="preserve">sí. </v>
      </c>
      <c r="W23" s="36" t="str">
        <f ca="1">IFERROR(__xludf.DUMMYFUNCTION("""COMPUTED_VALUE"""),"tiene buenas rutas para hacer, ademas de pozas cerca del albergue. ")</f>
        <v xml:space="preserve">tiene buenas rutas para hacer, ademas de pozas cerca del albergue. </v>
      </c>
      <c r="X23" s="36"/>
      <c r="Y23" s="36"/>
      <c r="Z23" s="36"/>
    </row>
    <row r="24" spans="1:26" ht="12.75" hidden="1">
      <c r="A24" s="36" t="str">
        <f ca="1">IFERROR(__xludf.DUMMYFUNCTION("""COMPUTED_VALUE"""),"Cantabria")</f>
        <v>Cantabria</v>
      </c>
      <c r="B24" s="36" t="str">
        <f ca="1">IFERROR(__xludf.DUMMYFUNCTION("""COMPUTED_VALUE"""),"Santander")</f>
        <v>Santander</v>
      </c>
      <c r="C24" s="36">
        <f ca="1">IFERROR(__xludf.DUMMYFUNCTION("""COMPUTED_VALUE"""),2016)</f>
        <v>2016</v>
      </c>
      <c r="D24" s="36" t="str">
        <f ca="1">IFERROR(__xludf.DUMMYFUNCTION("""COMPUTED_VALUE"""),"Tallac")</f>
        <v>Tallac</v>
      </c>
      <c r="E24" s="36" t="str">
        <f ca="1">IFERROR(__xludf.DUMMYFUNCTION("""COMPUTED_VALUE"""),"gs.tallac@scoutsdemadrid.org ")</f>
        <v xml:space="preserve">gs.tallac@scoutsdemadrid.org </v>
      </c>
      <c r="F24" s="48">
        <f ca="1">IFERROR(__xludf.DUMMYFUNCTION("""COMPUTED_VALUE"""),42552)</f>
        <v>42552</v>
      </c>
      <c r="G24" s="48">
        <f ca="1">IFERROR(__xludf.DUMMYFUNCTION("""COMPUTED_VALUE"""),42566)</f>
        <v>42566</v>
      </c>
      <c r="H24" s="36" t="str">
        <f ca="1">IFERROR(__xludf.DUMMYFUNCTION("""COMPUTED_VALUE"""),"Cabezón De Liébana")</f>
        <v>Cabezón De Liébana</v>
      </c>
      <c r="I24" s="36" t="str">
        <f ca="1">IFERROR(__xludf.DUMMYFUNCTION("""COMPUTED_VALUE"""),"El Esgobio ")</f>
        <v xml:space="preserve">El Esgobio </v>
      </c>
      <c r="J24" s="36" t="str">
        <f ca="1">IFERROR(__xludf.DUMMYFUNCTION("""COMPUTED_VALUE"""),"")</f>
        <v/>
      </c>
      <c r="K24" s="36" t="str">
        <f ca="1">IFERROR(__xludf.DUMMYFUNCTION("""COMPUTED_VALUE"""),"")</f>
        <v/>
      </c>
      <c r="L24" s="36" t="str">
        <f ca="1">IFERROR(__xludf.DUMMYFUNCTION("""COMPUTED_VALUE"""),"Tomás Martínez")</f>
        <v>Tomás Martínez</v>
      </c>
      <c r="M24" s="36" t="str">
        <f ca="1">IFERROR(__xludf.DUMMYFUNCTION("""COMPUTED_VALUE"""),"")</f>
        <v/>
      </c>
      <c r="N24" s="36" t="str">
        <f ca="1">IFERROR(__xludf.DUMMYFUNCTION("""COMPUTED_VALUE"""),"")</f>
        <v/>
      </c>
      <c r="O24" s="36" t="str">
        <f ca="1">IFERROR(__xludf.DUMMYFUNCTION("""COMPUTED_VALUE"""),"")</f>
        <v/>
      </c>
      <c r="P24" s="36" t="str">
        <f ca="1">IFERROR(__xludf.DUMMYFUNCTION("""COMPUTED_VALUE"""),"")</f>
        <v/>
      </c>
      <c r="Q24" s="36" t="str">
        <f ca="1">IFERROR(__xludf.DUMMYFUNCTION("""COMPUTED_VALUE"""),"")</f>
        <v/>
      </c>
      <c r="R24" s="36" t="str">
        <f ca="1">IFERROR(__xludf.DUMMYFUNCTION("""COMPUTED_VALUE"""),"")</f>
        <v/>
      </c>
      <c r="S24" s="36" t="str">
        <f ca="1">IFERROR(__xludf.DUMMYFUNCTION("""COMPUTED_VALUE"""),"")</f>
        <v/>
      </c>
      <c r="T24" s="36" t="str">
        <f ca="1">IFERROR(__xludf.DUMMYFUNCTION("""COMPUTED_VALUE"""),"")</f>
        <v/>
      </c>
      <c r="U24" s="36" t="str">
        <f ca="1">IFERROR(__xludf.DUMMYFUNCTION("""COMPUTED_VALUE"""),"")</f>
        <v/>
      </c>
      <c r="V24" s="36" t="str">
        <f ca="1">IFERROR(__xludf.DUMMYFUNCTION("""COMPUTED_VALUE"""),"")</f>
        <v/>
      </c>
      <c r="W24" s="36" t="str">
        <f ca="1">IFERROR(__xludf.DUMMYFUNCTION("""COMPUTED_VALUE"""),"")</f>
        <v/>
      </c>
      <c r="X24" s="36"/>
      <c r="Y24" s="36"/>
      <c r="Z24" s="36"/>
    </row>
    <row r="25" spans="1:26" ht="12.75" hidden="1">
      <c r="A25" s="36" t="str">
        <f ca="1">IFERROR(__xludf.DUMMYFUNCTION("""COMPUTED_VALUE"""),"Cantabria")</f>
        <v>Cantabria</v>
      </c>
      <c r="B25" s="36" t="str">
        <f ca="1">IFERROR(__xludf.DUMMYFUNCTION("""COMPUTED_VALUE"""),"Cantabria")</f>
        <v>Cantabria</v>
      </c>
      <c r="C25" s="36">
        <f ca="1">IFERROR(__xludf.DUMMYFUNCTION("""COMPUTED_VALUE"""),2016)</f>
        <v>2016</v>
      </c>
      <c r="D25" s="36" t="str">
        <f ca="1">IFERROR(__xludf.DUMMYFUNCTION("""COMPUTED_VALUE"""),"San Pablo")</f>
        <v>San Pablo</v>
      </c>
      <c r="E25" s="36" t="str">
        <f ca="1">IFERROR(__xludf.DUMMYFUNCTION("""COMPUTED_VALUE"""),"gs.sanpablo@scoutsdemadrid.org ")</f>
        <v xml:space="preserve">gs.sanpablo@scoutsdemadrid.org </v>
      </c>
      <c r="F25" s="48">
        <f ca="1">IFERROR(__xludf.DUMMYFUNCTION("""COMPUTED_VALUE"""),42566)</f>
        <v>42566</v>
      </c>
      <c r="G25" s="48">
        <f ca="1">IFERROR(__xludf.DUMMYFUNCTION("""COMPUTED_VALUE"""),42581)</f>
        <v>42581</v>
      </c>
      <c r="H25" s="36" t="str">
        <f ca="1">IFERROR(__xludf.DUMMYFUNCTION("""COMPUTED_VALUE"""),"Camaleño")</f>
        <v>Camaleño</v>
      </c>
      <c r="I25" s="36" t="str">
        <f ca="1">IFERROR(__xludf.DUMMYFUNCTION("""COMPUTED_VALUE"""),"Vallinero")</f>
        <v>Vallinero</v>
      </c>
      <c r="J25" s="36" t="str">
        <f ca="1">IFERROR(__xludf.DUMMYFUNCTION("""COMPUTED_VALUE"""),"2493103UN6729S0001AW")</f>
        <v>2493103UN6729S0001AW</v>
      </c>
      <c r="K25" s="36" t="str">
        <f ca="1">IFERROR(__xludf.DUMMYFUNCTION("""COMPUTED_VALUE"""),"X: 362.250 Y:4.779.100")</f>
        <v>X: 362.250 Y:4.779.100</v>
      </c>
      <c r="L25" s="36" t="str">
        <f ca="1">IFERROR(__xludf.DUMMYFUNCTION("""COMPUTED_VALUE"""),"Emeterio Puente Rodriguez")</f>
        <v>Emeterio Puente Rodriguez</v>
      </c>
      <c r="M25" s="36" t="str">
        <f ca="1">IFERROR(__xludf.DUMMYFUNCTION("""COMPUTED_VALUE"""),"")</f>
        <v/>
      </c>
      <c r="N25" s="36" t="str">
        <f ca="1">IFERROR(__xludf.DUMMYFUNCTION("""COMPUTED_VALUE"""),"")</f>
        <v/>
      </c>
      <c r="O25" s="36" t="str">
        <f ca="1">IFERROR(__xludf.DUMMYFUNCTION("""COMPUTED_VALUE"""),"")</f>
        <v/>
      </c>
      <c r="P25" s="36" t="str">
        <f ca="1">IFERROR(__xludf.DUMMYFUNCTION("""COMPUTED_VALUE"""),"")</f>
        <v/>
      </c>
      <c r="Q25" s="36" t="str">
        <f ca="1">IFERROR(__xludf.DUMMYFUNCTION("""COMPUTED_VALUE"""),"BUENO (Se puede acceder con cualquier coche)")</f>
        <v>BUENO (Se puede acceder con cualquier coche)</v>
      </c>
      <c r="R25" s="36" t="str">
        <f ca="1">IFERROR(__xludf.DUMMYFUNCTION("""COMPUTED_VALUE"""),"Sí")</f>
        <v>Sí</v>
      </c>
      <c r="S25" s="36" t="str">
        <f ca="1">IFERROR(__xludf.DUMMYFUNCTION("""COMPUTED_VALUE"""),"Tenemos rio")</f>
        <v>Tenemos rio</v>
      </c>
      <c r="T25" s="36" t="str">
        <f ca="1">IFERROR(__xludf.DUMMYFUNCTION("""COMPUTED_VALUE"""),"Un rio que discurre por un lateral de su campamento")</f>
        <v>Un rio que discurre por un lateral de su campamento</v>
      </c>
      <c r="U25" s="36" t="str">
        <f ca="1">IFERROR(__xludf.DUMMYFUNCTION("""COMPUTED_VALUE"""),"No")</f>
        <v>No</v>
      </c>
      <c r="V25" s="36" t="str">
        <f ca="1">IFERROR(__xludf.DUMMYFUNCTION("""COMPUTED_VALUE"""),"No")</f>
        <v>No</v>
      </c>
      <c r="W25" s="36" t="str">
        <f ca="1">IFERROR(__xludf.DUMMYFUNCTION("""COMPUTED_VALUE"""),"Un prado grande, esta dividido en dos y un riachuelo discurre por la mitad. Se encuentra delante de la queseria de camaleño")</f>
        <v>Un prado grande, esta dividido en dos y un riachuelo discurre por la mitad. Se encuentra delante de la queseria de camaleño</v>
      </c>
      <c r="X25" s="36"/>
      <c r="Y25" s="36"/>
      <c r="Z25" s="36"/>
    </row>
    <row r="26" spans="1:26" ht="12.75" hidden="1">
      <c r="A26" s="36" t="str">
        <f ca="1">IFERROR(__xludf.DUMMYFUNCTION("""COMPUTED_VALUE"""),"Cantabria")</f>
        <v>Cantabria</v>
      </c>
      <c r="B26" s="36" t="str">
        <f ca="1">IFERROR(__xludf.DUMMYFUNCTION("""COMPUTED_VALUE"""),"Cantabria")</f>
        <v>Cantabria</v>
      </c>
      <c r="C26" s="36">
        <f ca="1">IFERROR(__xludf.DUMMYFUNCTION("""COMPUTED_VALUE"""),2017)</f>
        <v>2017</v>
      </c>
      <c r="D26" s="36" t="str">
        <f ca="1">IFERROR(__xludf.DUMMYFUNCTION("""COMPUTED_VALUE"""),"Valverde")</f>
        <v>Valverde</v>
      </c>
      <c r="E26" s="36" t="str">
        <f ca="1">IFERROR(__xludf.DUMMYFUNCTION("""COMPUTED_VALUE"""),"gs.valverde@scoutsdemadrid.org ")</f>
        <v xml:space="preserve">gs.valverde@scoutsdemadrid.org </v>
      </c>
      <c r="F26" s="48">
        <f ca="1">IFERROR(__xludf.DUMMYFUNCTION("""COMPUTED_VALUE"""),42931)</f>
        <v>42931</v>
      </c>
      <c r="G26" s="48">
        <f ca="1">IFERROR(__xludf.DUMMYFUNCTION("""COMPUTED_VALUE"""),42944)</f>
        <v>42944</v>
      </c>
      <c r="H26" s="36" t="str">
        <f ca="1">IFERROR(__xludf.DUMMYFUNCTION("""COMPUTED_VALUE"""),"Camaleño")</f>
        <v>Camaleño</v>
      </c>
      <c r="I26" s="36" t="str">
        <f ca="1">IFERROR(__xludf.DUMMYFUNCTION("""COMPUTED_VALUE"""),"Llamolín")</f>
        <v>Llamolín</v>
      </c>
      <c r="J26" s="36" t="str">
        <f ca="1">IFERROR(__xludf.DUMMYFUNCTION("""COMPUTED_VALUE"""),"Poligono 4 parcela 32")</f>
        <v>Poligono 4 parcela 32</v>
      </c>
      <c r="K26" s="36" t="str">
        <f ca="1">IFERROR(__xludf.DUMMYFUNCTION("""COMPUTED_VALUE"""),"ETRS89 HUSO 30. X 361.961, Y 4.778.480")</f>
        <v>ETRS89 HUSO 30. X 361.961, Y 4.778.480</v>
      </c>
      <c r="L26" s="36" t="str">
        <f ca="1">IFERROR(__xludf.DUMMYFUNCTION("""COMPUTED_VALUE"""),"Jesús Angel Prado González")</f>
        <v>Jesús Angel Prado González</v>
      </c>
      <c r="M26" s="36" t="str">
        <f ca="1">IFERROR(__xludf.DUMMYFUNCTION("""COMPUTED_VALUE"""),"")</f>
        <v/>
      </c>
      <c r="N26" s="36" t="str">
        <f ca="1">IFERROR(__xludf.DUMMYFUNCTION("""COMPUTED_VALUE"""),"")</f>
        <v/>
      </c>
      <c r="O26" s="36" t="str">
        <f ca="1">IFERROR(__xludf.DUMMYFUNCTION("""COMPUTED_VALUE"""),"")</f>
        <v/>
      </c>
      <c r="P26" s="36" t="str">
        <f ca="1">IFERROR(__xludf.DUMMYFUNCTION("""COMPUTED_VALUE"""),"")</f>
        <v/>
      </c>
      <c r="Q26" s="36" t="str">
        <f ca="1">IFERROR(__xludf.DUMMYFUNCTION("""COMPUTED_VALUE"""),"")</f>
        <v/>
      </c>
      <c r="R26" s="36" t="str">
        <f ca="1">IFERROR(__xludf.DUMMYFUNCTION("""COMPUTED_VALUE"""),"Sí")</f>
        <v>Sí</v>
      </c>
      <c r="S26" s="36" t="str">
        <f ca="1">IFERROR(__xludf.DUMMYFUNCTION("""COMPUTED_VALUE"""),"")</f>
        <v/>
      </c>
      <c r="T26" s="36" t="str">
        <f ca="1">IFERROR(__xludf.DUMMYFUNCTION("""COMPUTED_VALUE"""),"")</f>
        <v/>
      </c>
      <c r="U26" s="36" t="str">
        <f ca="1">IFERROR(__xludf.DUMMYFUNCTION("""COMPUTED_VALUE"""),"Luz y agua")</f>
        <v>Luz y agua</v>
      </c>
      <c r="V26" s="36" t="str">
        <f ca="1">IFERROR(__xludf.DUMMYFUNCTION("""COMPUTED_VALUE"""),"")</f>
        <v/>
      </c>
      <c r="W26" s="36" t="str">
        <f ca="1">IFERROR(__xludf.DUMMYFUNCTION("""COMPUTED_VALUE"""),"")</f>
        <v/>
      </c>
      <c r="X26" s="36"/>
      <c r="Y26" s="36"/>
      <c r="Z26" s="36"/>
    </row>
    <row r="27" spans="1:26" ht="12.75" hidden="1">
      <c r="A27" s="36" t="str">
        <f ca="1">IFERROR(__xludf.DUMMYFUNCTION("""COMPUTED_VALUE"""),"Cantabria")</f>
        <v>Cantabria</v>
      </c>
      <c r="B27" s="36" t="str">
        <f ca="1">IFERROR(__xludf.DUMMYFUNCTION("""COMPUTED_VALUE"""),"Cantabria")</f>
        <v>Cantabria</v>
      </c>
      <c r="C27" s="36">
        <f ca="1">IFERROR(__xludf.DUMMYFUNCTION("""COMPUTED_VALUE"""),2017)</f>
        <v>2017</v>
      </c>
      <c r="D27" s="36" t="str">
        <f ca="1">IFERROR(__xludf.DUMMYFUNCTION("""COMPUTED_VALUE"""),"Santa Ana San Rafael")</f>
        <v>Santa Ana San Rafael</v>
      </c>
      <c r="E27" s="36" t="str">
        <f ca="1">IFERROR(__xludf.DUMMYFUNCTION("""COMPUTED_VALUE"""),"gs.sasr@scoutsdemadrid.org ")</f>
        <v xml:space="preserve">gs.sasr@scoutsdemadrid.org </v>
      </c>
      <c r="F27" s="48">
        <f ca="1">IFERROR(__xludf.DUMMYFUNCTION("""COMPUTED_VALUE"""),42929)</f>
        <v>42929</v>
      </c>
      <c r="G27" s="48">
        <f ca="1">IFERROR(__xludf.DUMMYFUNCTION("""COMPUTED_VALUE"""),42946)</f>
        <v>42946</v>
      </c>
      <c r="H27" s="36" t="str">
        <f ca="1">IFERROR(__xludf.DUMMYFUNCTION("""COMPUTED_VALUE"""),"Cosio (Rionansa)")</f>
        <v>Cosio (Rionansa)</v>
      </c>
      <c r="I27" s="36" t="str">
        <f ca="1">IFERROR(__xludf.DUMMYFUNCTION("""COMPUTED_VALUE"""),"La Vega Ciega")</f>
        <v>La Vega Ciega</v>
      </c>
      <c r="J27" s="36" t="str">
        <f ca="1">IFERROR(__xludf.DUMMYFUNCTION("""COMPUTED_VALUE"""),"39063A0 0700246 000ET")</f>
        <v>39063A0 0700246 000ET</v>
      </c>
      <c r="K27" s="36" t="str">
        <f ca="1">IFERROR(__xludf.DUMMYFUNCTION("""COMPUTED_VALUE"""),"4º 24' 10,670'' W 43º 13' 40,907'' N")</f>
        <v>4º 24' 10,670'' W 43º 13' 40,907'' N</v>
      </c>
      <c r="L27" s="36" t="str">
        <f ca="1">IFERROR(__xludf.DUMMYFUNCTION("""COMPUTED_VALUE"""),"María Dolores Gutiérrez González ")</f>
        <v xml:space="preserve">María Dolores Gutiérrez González </v>
      </c>
      <c r="M27" s="36">
        <f ca="1">IFERROR(__xludf.DUMMYFUNCTION("""COMPUTED_VALUE"""),610259490)</f>
        <v>610259490</v>
      </c>
      <c r="N27" s="36" t="str">
        <f ca="1">IFERROR(__xludf.DUMMYFUNCTION("""COMPUTED_VALUE"""),"nacho7070@hotmail.es")</f>
        <v>nacho7070@hotmail.es</v>
      </c>
      <c r="O27" s="36" t="str">
        <f ca="1">IFERROR(__xludf.DUMMYFUNCTION("""COMPUTED_VALUE"""),"800 euros")</f>
        <v>800 euros</v>
      </c>
      <c r="P27" s="36" t="str">
        <f ca="1">IFERROR(__xludf.DUMMYFUNCTION("""COMPUTED_VALUE"""),"1,5021 ha")</f>
        <v>1,5021 ha</v>
      </c>
      <c r="Q27" s="36" t="str">
        <f ca="1">IFERROR(__xludf.DUMMYFUNCTION("""COMPUTED_VALUE"""),"BUENO (Se puede acceder con cualquier coche)")</f>
        <v>BUENO (Se puede acceder con cualquier coche)</v>
      </c>
      <c r="R27" s="36" t="str">
        <f ca="1">IFERROR(__xludf.DUMMYFUNCTION("""COMPUTED_VALUE"""),"Sí")</f>
        <v>Sí</v>
      </c>
      <c r="S27" s="36" t="str">
        <f ca="1">IFERROR(__xludf.DUMMYFUNCTION("""COMPUTED_VALUE"""),"Colindante con un arroyo")</f>
        <v>Colindante con un arroyo</v>
      </c>
      <c r="T27" s="36" t="str">
        <f ca="1">IFERROR(__xludf.DUMMYFUNCTION("""COMPUTED_VALUE"""),"Arroyo con buen acceso")</f>
        <v>Arroyo con buen acceso</v>
      </c>
      <c r="U27" s="36" t="str">
        <f ca="1">IFERROR(__xludf.DUMMYFUNCTION("""COMPUTED_VALUE"""),"No")</f>
        <v>No</v>
      </c>
      <c r="V27" s="36" t="str">
        <f ca="1">IFERROR(__xludf.DUMMYFUNCTION("""COMPUTED_VALUE"""),"Si")</f>
        <v>Si</v>
      </c>
      <c r="W27" s="36" t="str">
        <f ca="1">IFERROR(__xludf.DUMMYFUNCTION("""COMPUTED_VALUE"""),"Finca con sombra, buen acceso y poco desnivel.")</f>
        <v>Finca con sombra, buen acceso y poco desnivel.</v>
      </c>
      <c r="X27" s="36"/>
      <c r="Y27" s="36"/>
      <c r="Z27" s="36"/>
    </row>
    <row r="28" spans="1:26" ht="12.75" hidden="1">
      <c r="A28" s="36" t="str">
        <f ca="1">IFERROR(__xludf.DUMMYFUNCTION("""COMPUTED_VALUE"""),"Cantabria")</f>
        <v>Cantabria</v>
      </c>
      <c r="B28" s="36" t="str">
        <f ca="1">IFERROR(__xludf.DUMMYFUNCTION("""COMPUTED_VALUE"""),"Cantabria")</f>
        <v>Cantabria</v>
      </c>
      <c r="C28" s="36">
        <f ca="1">IFERROR(__xludf.DUMMYFUNCTION("""COMPUTED_VALUE"""),2018)</f>
        <v>2018</v>
      </c>
      <c r="D28" s="36" t="str">
        <f ca="1">IFERROR(__xludf.DUMMYFUNCTION("""COMPUTED_VALUE"""),"Pilar")</f>
        <v>Pilar</v>
      </c>
      <c r="E28" s="36" t="str">
        <f ca="1">IFERROR(__xludf.DUMMYFUNCTION("""COMPUTED_VALUE"""),"gs.pilar@scoutsdemadrid.org ")</f>
        <v xml:space="preserve">gs.pilar@scoutsdemadrid.org </v>
      </c>
      <c r="F28" s="48">
        <f ca="1">IFERROR(__xludf.DUMMYFUNCTION("""COMPUTED_VALUE"""),43299)</f>
        <v>43299</v>
      </c>
      <c r="G28" s="48">
        <f ca="1">IFERROR(__xludf.DUMMYFUNCTION("""COMPUTED_VALUE"""),43310)</f>
        <v>43310</v>
      </c>
      <c r="H28" s="36" t="str">
        <f ca="1">IFERROR(__xludf.DUMMYFUNCTION("""COMPUTED_VALUE"""),"Rioseco (Puentenansa)")</f>
        <v>Rioseco (Puentenansa)</v>
      </c>
      <c r="I28" s="36" t="str">
        <f ca="1">IFERROR(__xludf.DUMMYFUNCTION("""COMPUTED_VALUE"""),"Barcenique")</f>
        <v>Barcenique</v>
      </c>
      <c r="J28" s="36" t="str">
        <f ca="1">IFERROR(__xludf.DUMMYFUNCTION("""COMPUTED_VALUE"""),"39063A016003120000ES  Pol: 16 Parcela: 312")</f>
        <v>39063A016003120000ES  Pol: 16 Parcela: 312</v>
      </c>
      <c r="K28" s="36" t="str">
        <f ca="1">IFERROR(__xludf.DUMMYFUNCTION("""COMPUTED_VALUE"""),"Lat:43º14' 53.58'' N    Long:4º 24' 41.48'' W")</f>
        <v>Lat:43º14' 53.58'' N    Long:4º 24' 41.48'' W</v>
      </c>
      <c r="L28" s="36" t="str">
        <f ca="1">IFERROR(__xludf.DUMMYFUNCTION("""COMPUTED_VALUE"""),"Carmen Fernández Ruiz")</f>
        <v>Carmen Fernández Ruiz</v>
      </c>
      <c r="M28" s="36" t="str">
        <f ca="1">IFERROR(__xludf.DUMMYFUNCTION("""COMPUTED_VALUE"""),"no tiene")</f>
        <v>no tiene</v>
      </c>
      <c r="N28" s="36" t="str">
        <f ca="1">IFERROR(__xludf.DUMMYFUNCTION("""COMPUTED_VALUE"""),"cosiorgema@gmail.com  (es la hija de la dueña)")</f>
        <v>cosiorgema@gmail.com  (es la hija de la dueña)</v>
      </c>
      <c r="O28" s="36" t="str">
        <f ca="1">IFERROR(__xludf.DUMMYFUNCTION("""COMPUTED_VALUE"""),"1000€ por 12 días de alquiler")</f>
        <v>1000€ por 12 días de alquiler</v>
      </c>
      <c r="P28" s="36" t="str">
        <f ca="1">IFERROR(__xludf.DUMMYFUNCTION("""COMPUTED_VALUE"""),"4,9502 ha")</f>
        <v>4,9502 ha</v>
      </c>
      <c r="Q28" s="36" t="str">
        <f ca="1">IFERROR(__xludf.DUMMYFUNCTION("""COMPUTED_VALUE"""),"BUENO (Se puede acceder con cualquier coche)")</f>
        <v>BUENO (Se puede acceder con cualquier coche)</v>
      </c>
      <c r="R28" s="36" t="str">
        <f ca="1">IFERROR(__xludf.DUMMYFUNCTION("""COMPUTED_VALUE"""),"Sí")</f>
        <v>Sí</v>
      </c>
      <c r="S28" s="36" t="str">
        <f ca="1">IFERROR(__xludf.DUMMYFUNCTION("""COMPUTED_VALUE"""),"100 metros")</f>
        <v>100 metros</v>
      </c>
      <c r="T28" s="36" t="str">
        <f ca="1">IFERROR(__xludf.DUMMYFUNCTION("""COMPUTED_VALUE"""),"Existe un río de caudal medio que delimita la finca por uno de sus extremos. Con pozas a muy poca distancia de la campa.")</f>
        <v>Existe un río de caudal medio que delimita la finca por uno de sus extremos. Con pozas a muy poca distancia de la campa.</v>
      </c>
      <c r="U28" s="36" t="str">
        <f ca="1">IFERROR(__xludf.DUMMYFUNCTION("""COMPUTED_VALUE"""),"Si, existe una casa desde la que se nos proporciona agua potable y electricidad pero esta inmediatamente fuera de la finca.")</f>
        <v>Si, existe una casa desde la que se nos proporciona agua potable y electricidad pero esta inmediatamente fuera de la finca.</v>
      </c>
      <c r="V28" s="36" t="str">
        <f ca="1">IFERROR(__xludf.DUMMYFUNCTION("""COMPUTED_VALUE"""),"Si")</f>
        <v>Si</v>
      </c>
      <c r="W28" s="36" t="str">
        <f ca="1">IFERROR(__xludf.DUMMYFUNCTION("""COMPUTED_VALUE"""),"La campa es muy espaciosa para las 100 personas que seremos. Está delimitada por un río y un bosque que proporciona la sombra. Es muy plana con elevaciones solo en sus extremos y pendiente en la zona más próxima al río. Por experiencias previas de grupos "&amp;"que han hecho campamentos en la misma no tiene apenas inconvenientes.")</f>
        <v>La campa es muy espaciosa para las 100 personas que seremos. Está delimitada por un río y un bosque que proporciona la sombra. Es muy plana con elevaciones solo en sus extremos y pendiente en la zona más próxima al río. Por experiencias previas de grupos que han hecho campamentos en la misma no tiene apenas inconvenientes.</v>
      </c>
      <c r="X28" s="36"/>
      <c r="Y28" s="36"/>
      <c r="Z28" s="36"/>
    </row>
    <row r="29" spans="1:26" ht="12.75" hidden="1">
      <c r="A29" s="36" t="str">
        <f ca="1">IFERROR(__xludf.DUMMYFUNCTION("""COMPUTED_VALUE"""),"Cantabria
Asturias")</f>
        <v>Cantabria
Asturias</v>
      </c>
      <c r="B29" s="36" t="str">
        <f ca="1">IFERROR(__xludf.DUMMYFUNCTION("""COMPUTED_VALUE"""),"Cantabria
Asturias")</f>
        <v>Cantabria
Asturias</v>
      </c>
      <c r="C29" s="36">
        <f ca="1">IFERROR(__xludf.DUMMYFUNCTION("""COMPUTED_VALUE"""),2016)</f>
        <v>2016</v>
      </c>
      <c r="D29" s="36" t="str">
        <f ca="1">IFERROR(__xludf.DUMMYFUNCTION("""COMPUTED_VALUE"""),"Amorós")</f>
        <v>Amorós</v>
      </c>
      <c r="E29" s="36" t="str">
        <f ca="1">IFERROR(__xludf.DUMMYFUNCTION("""COMPUTED_VALUE"""),"gs.amoros@scoutsdemadrid.org ")</f>
        <v xml:space="preserve">gs.amoros@scoutsdemadrid.org </v>
      </c>
      <c r="F29" s="48">
        <f ca="1">IFERROR(__xludf.DUMMYFUNCTION("""COMPUTED_VALUE"""),42567)</f>
        <v>42567</v>
      </c>
      <c r="G29" s="48">
        <f ca="1">IFERROR(__xludf.DUMMYFUNCTION("""COMPUTED_VALUE"""),42577)</f>
        <v>42577</v>
      </c>
      <c r="H29" s="36" t="str">
        <f ca="1">IFERROR(__xludf.DUMMYFUNCTION("""COMPUTED_VALUE"""),"Fuente De A Oseja De Sajambre")</f>
        <v>Fuente De A Oseja De Sajambre</v>
      </c>
      <c r="I29" s="36" t="str">
        <f ca="1">IFERROR(__xludf.DUMMYFUNCTION("""COMPUTED_VALUE"""),"Campamento Volante y Campo de trabajo en Oseja de Sajambre en Asturias")</f>
        <v>Campamento Volante y Campo de trabajo en Oseja de Sajambre en Asturias</v>
      </c>
      <c r="J29" s="36" t="str">
        <f ca="1">IFERROR(__xludf.DUMMYFUNCTION("""COMPUTED_VALUE"""),"")</f>
        <v/>
      </c>
      <c r="K29" s="36" t="str">
        <f ca="1">IFERROR(__xludf.DUMMYFUNCTION("""COMPUTED_VALUE"""),"")</f>
        <v/>
      </c>
      <c r="L29" s="36" t="str">
        <f ca="1">IFERROR(__xludf.DUMMYFUNCTION("""COMPUTED_VALUE"""),"")</f>
        <v/>
      </c>
      <c r="M29" s="36" t="str">
        <f ca="1">IFERROR(__xludf.DUMMYFUNCTION("""COMPUTED_VALUE"""),"")</f>
        <v/>
      </c>
      <c r="N29" s="36" t="str">
        <f ca="1">IFERROR(__xludf.DUMMYFUNCTION("""COMPUTED_VALUE"""),"")</f>
        <v/>
      </c>
      <c r="O29" s="36" t="str">
        <f ca="1">IFERROR(__xludf.DUMMYFUNCTION("""COMPUTED_VALUE"""),"")</f>
        <v/>
      </c>
      <c r="P29" s="36" t="str">
        <f ca="1">IFERROR(__xludf.DUMMYFUNCTION("""COMPUTED_VALUE"""),"")</f>
        <v/>
      </c>
      <c r="Q29" s="36" t="str">
        <f ca="1">IFERROR(__xludf.DUMMYFUNCTION("""COMPUTED_VALUE"""),"")</f>
        <v/>
      </c>
      <c r="R29" s="36" t="str">
        <f ca="1">IFERROR(__xludf.DUMMYFUNCTION("""COMPUTED_VALUE"""),"")</f>
        <v/>
      </c>
      <c r="S29" s="36" t="str">
        <f ca="1">IFERROR(__xludf.DUMMYFUNCTION("""COMPUTED_VALUE"""),"")</f>
        <v/>
      </c>
      <c r="T29" s="36" t="str">
        <f ca="1">IFERROR(__xludf.DUMMYFUNCTION("""COMPUTED_VALUE"""),"")</f>
        <v/>
      </c>
      <c r="U29" s="36" t="str">
        <f ca="1">IFERROR(__xludf.DUMMYFUNCTION("""COMPUTED_VALUE"""),"")</f>
        <v/>
      </c>
      <c r="V29" s="36" t="str">
        <f ca="1">IFERROR(__xludf.DUMMYFUNCTION("""COMPUTED_VALUE"""),"")</f>
        <v/>
      </c>
      <c r="W29" s="36" t="str">
        <f ca="1">IFERROR(__xludf.DUMMYFUNCTION("""COMPUTED_VALUE"""),"")</f>
        <v/>
      </c>
      <c r="X29" s="36"/>
      <c r="Y29" s="36"/>
      <c r="Z29" s="36"/>
    </row>
    <row r="30" spans="1:26" ht="12.75" hidden="1">
      <c r="A30" s="36" t="str">
        <f ca="1">IFERROR(__xludf.DUMMYFUNCTION("""COMPUTED_VALUE"""),"Cantabria")</f>
        <v>Cantabria</v>
      </c>
      <c r="B30" s="36" t="str">
        <f ca="1">IFERROR(__xludf.DUMMYFUNCTION("""COMPUTED_VALUE"""),"Cantabria")</f>
        <v>Cantabria</v>
      </c>
      <c r="C30" s="36">
        <f ca="1">IFERROR(__xludf.DUMMYFUNCTION("""COMPUTED_VALUE"""),2012)</f>
        <v>2012</v>
      </c>
      <c r="D30" s="36" t="str">
        <f ca="1">IFERROR(__xludf.DUMMYFUNCTION("""COMPUTED_VALUE"""),"Valverde")</f>
        <v>Valverde</v>
      </c>
      <c r="E30" s="36" t="str">
        <f ca="1">IFERROR(__xludf.DUMMYFUNCTION("""COMPUTED_VALUE"""),"gs.valverde@scoutsdemadrid.org ")</f>
        <v xml:space="preserve">gs.valverde@scoutsdemadrid.org </v>
      </c>
      <c r="F30" s="48">
        <f ca="1">IFERROR(__xludf.DUMMYFUNCTION("""COMPUTED_VALUE"""),41106)</f>
        <v>41106</v>
      </c>
      <c r="G30" s="48">
        <f ca="1">IFERROR(__xludf.DUMMYFUNCTION("""COMPUTED_VALUE"""),41119)</f>
        <v>41119</v>
      </c>
      <c r="H30" s="36" t="str">
        <f ca="1">IFERROR(__xludf.DUMMYFUNCTION("""COMPUTED_VALUE"""),"Suesa")</f>
        <v>Suesa</v>
      </c>
      <c r="I30" s="36" t="str">
        <f ca="1">IFERROR(__xludf.DUMMYFUNCTION("""COMPUTED_VALUE"""),"Monasterio de Suesa")</f>
        <v>Monasterio de Suesa</v>
      </c>
      <c r="J30" s="36" t="str">
        <f ca="1">IFERROR(__xludf.DUMMYFUNCTION("""COMPUTED_VALUE"""),"")</f>
        <v/>
      </c>
      <c r="K30" s="36" t="str">
        <f ca="1">IFERROR(__xludf.DUMMYFUNCTION("""COMPUTED_VALUE"""),"")</f>
        <v/>
      </c>
      <c r="L30" s="36" t="str">
        <f ca="1">IFERROR(__xludf.DUMMYFUNCTION("""COMPUTED_VALUE"""),"")</f>
        <v/>
      </c>
      <c r="M30" s="36" t="str">
        <f ca="1">IFERROR(__xludf.DUMMYFUNCTION("""COMPUTED_VALUE"""),"")</f>
        <v/>
      </c>
      <c r="N30" s="36" t="str">
        <f ca="1">IFERROR(__xludf.DUMMYFUNCTION("""COMPUTED_VALUE"""),"")</f>
        <v/>
      </c>
      <c r="O30" s="36" t="str">
        <f ca="1">IFERROR(__xludf.DUMMYFUNCTION("""COMPUTED_VALUE"""),"")</f>
        <v/>
      </c>
      <c r="P30" s="36" t="str">
        <f ca="1">IFERROR(__xludf.DUMMYFUNCTION("""COMPUTED_VALUE"""),"")</f>
        <v/>
      </c>
      <c r="Q30" s="36" t="str">
        <f ca="1">IFERROR(__xludf.DUMMYFUNCTION("""COMPUTED_VALUE"""),"")</f>
        <v/>
      </c>
      <c r="R30" s="36" t="str">
        <f ca="1">IFERROR(__xludf.DUMMYFUNCTION("""COMPUTED_VALUE"""),"")</f>
        <v/>
      </c>
      <c r="S30" s="36" t="str">
        <f ca="1">IFERROR(__xludf.DUMMYFUNCTION("""COMPUTED_VALUE"""),"")</f>
        <v/>
      </c>
      <c r="T30" s="36" t="str">
        <f ca="1">IFERROR(__xludf.DUMMYFUNCTION("""COMPUTED_VALUE"""),"")</f>
        <v/>
      </c>
      <c r="U30" s="36" t="str">
        <f ca="1">IFERROR(__xludf.DUMMYFUNCTION("""COMPUTED_VALUE"""),"")</f>
        <v/>
      </c>
      <c r="V30" s="36" t="str">
        <f ca="1">IFERROR(__xludf.DUMMYFUNCTION("""COMPUTED_VALUE"""),"")</f>
        <v/>
      </c>
      <c r="W30" s="36" t="str">
        <f ca="1">IFERROR(__xludf.DUMMYFUNCTION("""COMPUTED_VALUE"""),"")</f>
        <v/>
      </c>
      <c r="X30" s="36"/>
      <c r="Y30" s="36"/>
      <c r="Z30" s="36"/>
    </row>
    <row r="31" spans="1:26" ht="12.75" hidden="1">
      <c r="A31" s="36" t="str">
        <f ca="1">IFERROR(__xludf.DUMMYFUNCTION("""COMPUTED_VALUE"""),"Cantabria")</f>
        <v>Cantabria</v>
      </c>
      <c r="B31" s="36" t="str">
        <f ca="1">IFERROR(__xludf.DUMMYFUNCTION("""COMPUTED_VALUE"""),"Cantabria")</f>
        <v>Cantabria</v>
      </c>
      <c r="C31" s="36">
        <f ca="1">IFERROR(__xludf.DUMMYFUNCTION("""COMPUTED_VALUE"""),2019)</f>
        <v>2019</v>
      </c>
      <c r="D31" s="36" t="str">
        <f ca="1">IFERROR(__xludf.DUMMYFUNCTION("""COMPUTED_VALUE"""),"Buen Pastor")</f>
        <v>Buen Pastor</v>
      </c>
      <c r="E31" s="36" t="str">
        <f ca="1">IFERROR(__xludf.DUMMYFUNCTION("""COMPUTED_VALUE"""),"gs.buenpastor@scoutsdemadrid.org")</f>
        <v>gs.buenpastor@scoutsdemadrid.org</v>
      </c>
      <c r="F31" s="48">
        <f ca="1">IFERROR(__xludf.DUMMYFUNCTION("""COMPUTED_VALUE"""),43659)</f>
        <v>43659</v>
      </c>
      <c r="G31" s="48">
        <f ca="1">IFERROR(__xludf.DUMMYFUNCTION("""COMPUTED_VALUE"""),43676)</f>
        <v>43676</v>
      </c>
      <c r="H31" s="36" t="str">
        <f ca="1">IFERROR(__xludf.DUMMYFUNCTION("""COMPUTED_VALUE"""),"Valderredible")</f>
        <v>Valderredible</v>
      </c>
      <c r="I31" s="36" t="str">
        <f ca="1">IFERROR(__xludf.DUMMYFUNCTION("""COMPUTED_VALUE"""),"Alechares del Molino")</f>
        <v>Alechares del Molino</v>
      </c>
      <c r="J31" s="36" t="str">
        <f ca="1">IFERROR(__xludf.DUMMYFUNCTION("""COMPUTED_VALUE"""),"39094A161000010000IP/39094A161050010000IS")</f>
        <v>39094A161000010000IP/39094A161050010000IS</v>
      </c>
      <c r="K31" s="36" t="str">
        <f ca="1">IFERROR(__xludf.DUMMYFUNCTION("""COMPUTED_VALUE"""),"x: 426050,09 ; y: 4741588,6")</f>
        <v>x: 426050,09 ; y: 4741588,6</v>
      </c>
      <c r="L31" s="36" t="str">
        <f ca="1">IFERROR(__xludf.DUMMYFUNCTION("""COMPUTED_VALUE"""),"Yavé Santiago Alonso Arnaiz")</f>
        <v>Yavé Santiago Alonso Arnaiz</v>
      </c>
      <c r="M31" s="36" t="str">
        <f ca="1">IFERROR(__xludf.DUMMYFUNCTION("""COMPUTED_VALUE"""),"677884204/942776346")</f>
        <v>677884204/942776346</v>
      </c>
      <c r="N31" s="36" t="str">
        <f ca="1">IFERROR(__xludf.DUMMYFUNCTION("""COMPUTED_VALUE"""),"losnogalesvillota@hotmail.com")</f>
        <v>losnogalesvillota@hotmail.com</v>
      </c>
      <c r="O31" s="36" t="str">
        <f ca="1">IFERROR(__xludf.DUMMYFUNCTION("""COMPUTED_VALUE"""),"300+100 fianza todo el campa")</f>
        <v>300+100 fianza todo el campa</v>
      </c>
      <c r="P31" s="36" t="str">
        <f ca="1">IFERROR(__xludf.DUMMYFUNCTION("""COMPUTED_VALUE"""),"2.463 m2 + 9.496 m2")</f>
        <v>2.463 m2 + 9.496 m2</v>
      </c>
      <c r="Q31" s="36" t="str">
        <f ca="1">IFERROR(__xludf.DUMMYFUNCTION("""COMPUTED_VALUE"""),"BUENO (Se puede acceder con cualquier coche)")</f>
        <v>BUENO (Se puede acceder con cualquier coche)</v>
      </c>
      <c r="R31" s="36" t="str">
        <f ca="1">IFERROR(__xludf.DUMMYFUNCTION("""COMPUTED_VALUE"""),"Sí")</f>
        <v>Sí</v>
      </c>
      <c r="S31" s="36" t="str">
        <f ca="1">IFERROR(__xludf.DUMMYFUNCTION("""COMPUTED_VALUE"""),"una de las parcelas colinda con el río Ebro")</f>
        <v>una de las parcelas colinda con el río Ebro</v>
      </c>
      <c r="T31" s="36" t="str">
        <f ca="1">IFERROR(__xludf.DUMMYFUNCTION("""COMPUTED_VALUE"""),"Buena aunque cubre poquito")</f>
        <v>Buena aunque cubre poquito</v>
      </c>
      <c r="U31" s="36" t="str">
        <f ca="1">IFERROR(__xludf.DUMMYFUNCTION("""COMPUTED_VALUE"""),"ninguna")</f>
        <v>ninguna</v>
      </c>
      <c r="V31" s="36" t="str">
        <f ca="1">IFERROR(__xludf.DUMMYFUNCTION("""COMPUTED_VALUE"""),"ni idea ")</f>
        <v xml:space="preserve">ni idea </v>
      </c>
      <c r="W31" s="36" t="str">
        <f ca="1">IFERROR(__xludf.DUMMYFUNCTION("""COMPUTED_VALUE"""),"en la finca cercana al río no se pueden poner las tiendas por proximidad al río, y la campa en la que se ponen las tiendas da a la carretera es muy abierta, es algo fea.")</f>
        <v>en la finca cercana al río no se pueden poner las tiendas por proximidad al río, y la campa en la que se ponen las tiendas da a la carretera es muy abierta, es algo fea.</v>
      </c>
      <c r="X31" s="36"/>
      <c r="Y31" s="36"/>
      <c r="Z31" s="36"/>
    </row>
    <row r="32" spans="1:26" ht="12.75" hidden="1">
      <c r="A32" s="36" t="str">
        <f ca="1">IFERROR(__xludf.DUMMYFUNCTION("""COMPUTED_VALUE"""),"Cantabria")</f>
        <v>Cantabria</v>
      </c>
      <c r="B32" s="36" t="str">
        <f ca="1">IFERROR(__xludf.DUMMYFUNCTION("""COMPUTED_VALUE"""),"Cantabria")</f>
        <v>Cantabria</v>
      </c>
      <c r="C32" s="36">
        <f ca="1">IFERROR(__xludf.DUMMYFUNCTION("""COMPUTED_VALUE"""),2019)</f>
        <v>2019</v>
      </c>
      <c r="D32" s="36" t="str">
        <f ca="1">IFERROR(__xludf.DUMMYFUNCTION("""COMPUTED_VALUE"""),"Santa Ana San Rafael")</f>
        <v>Santa Ana San Rafael</v>
      </c>
      <c r="E32" s="36" t="str">
        <f ca="1">IFERROR(__xludf.DUMMYFUNCTION("""COMPUTED_VALUE"""),"gs.sasr@scoutsdemadrid.org ")</f>
        <v xml:space="preserve">gs.sasr@scoutsdemadrid.org </v>
      </c>
      <c r="F32" s="48">
        <f ca="1">IFERROR(__xludf.DUMMYFUNCTION("""COMPUTED_VALUE"""),43659)</f>
        <v>43659</v>
      </c>
      <c r="G32" s="48">
        <f ca="1">IFERROR(__xludf.DUMMYFUNCTION("""COMPUTED_VALUE"""),43676)</f>
        <v>43676</v>
      </c>
      <c r="H32" s="36" t="str">
        <f ca="1">IFERROR(__xludf.DUMMYFUNCTION("""COMPUTED_VALUE"""),"Pesaguero")</f>
        <v>Pesaguero</v>
      </c>
      <c r="I32" s="36" t="str">
        <f ca="1">IFERROR(__xludf.DUMMYFUNCTION("""COMPUTED_VALUE"""),"Finca La Vega")</f>
        <v>Finca La Vega</v>
      </c>
      <c r="J32" s="36" t="str">
        <f ca="1">IFERROR(__xludf.DUMMYFUNCTION("""COMPUTED_VALUE"""),"39050A003004610000OA / 39050A003004620000OB/ 39050A00300471000")</f>
        <v>39050A003004610000OA / 39050A003004620000OB/ 39050A00300471000</v>
      </c>
      <c r="K32" s="36" t="str">
        <f ca="1">IFERROR(__xludf.DUMMYFUNCTION("""COMPUTED_VALUE"""),"X: 374993,71 Y: 4770283,62")</f>
        <v>X: 374993,71 Y: 4770283,62</v>
      </c>
      <c r="L32" s="36" t="str">
        <f ca="1">IFERROR(__xludf.DUMMYFUNCTION("""COMPUTED_VALUE"""),"Juan Luis Salceda Sánchez")</f>
        <v>Juan Luis Salceda Sánchez</v>
      </c>
      <c r="M32" s="36">
        <f ca="1">IFERROR(__xludf.DUMMYFUNCTION("""COMPUTED_VALUE"""),616302131)</f>
        <v>616302131</v>
      </c>
      <c r="N32" s="36" t="str">
        <f ca="1">IFERROR(__xludf.DUMMYFUNCTION("""COMPUTED_VALUE"""),"chushornillos@yahoo.es")</f>
        <v>chushornillos@yahoo.es</v>
      </c>
      <c r="O32" s="36" t="str">
        <f ca="1">IFERROR(__xludf.DUMMYFUNCTION("""COMPUTED_VALUE"""),"700 quince + 200 tasas del ayuntamiento")</f>
        <v>700 quince + 200 tasas del ayuntamiento</v>
      </c>
      <c r="P32" s="36" t="str">
        <f ca="1">IFERROR(__xludf.DUMMYFUNCTION("""COMPUTED_VALUE"""),"1300 m2")</f>
        <v>1300 m2</v>
      </c>
      <c r="Q32" s="36" t="str">
        <f ca="1">IFERROR(__xludf.DUMMYFUNCTION("""COMPUTED_VALUE"""),"BUENO (Se puede acceder con cualquier coche)")</f>
        <v>BUENO (Se puede acceder con cualquier coche)</v>
      </c>
      <c r="R32" s="36" t="str">
        <f ca="1">IFERROR(__xludf.DUMMYFUNCTION("""COMPUTED_VALUE"""),"No")</f>
        <v>No</v>
      </c>
      <c r="S32" s="36" t="str">
        <f ca="1">IFERROR(__xludf.DUMMYFUNCTION("""COMPUTED_VALUE"""),"Hay un río en la finca")</f>
        <v>Hay un río en la finca</v>
      </c>
      <c r="T32" s="36" t="str">
        <f ca="1">IFERROR(__xludf.DUMMYFUNCTION("""COMPUTED_VALUE"""),"El río es poco caudaloso")</f>
        <v>El río es poco caudaloso</v>
      </c>
      <c r="U32" s="36" t="str">
        <f ca="1">IFERROR(__xludf.DUMMYFUNCTION("""COMPUTED_VALUE"""),"No")</f>
        <v>No</v>
      </c>
      <c r="V32" s="36" t="str">
        <f ca="1">IFERROR(__xludf.DUMMYFUNCTION("""COMPUTED_VALUE"""),"Si, en Potes (a 7 km) hay aserradero")</f>
        <v>Si, en Potes (a 7 km) hay aserradero</v>
      </c>
      <c r="W32" s="36" t="str">
        <f ca="1">IFERROR(__xludf.DUMMYFUNCTION("""COMPUTED_VALUE"""),"Hay varias zonas de juego y la zona es bonita y con muchas marchas cerca.Tiene poca sombra y bastante desnivel.")</f>
        <v>Hay varias zonas de juego y la zona es bonita y con muchas marchas cerca.Tiene poca sombra y bastante desnivel.</v>
      </c>
      <c r="X32" s="36"/>
      <c r="Y32" s="36"/>
      <c r="Z32" s="36"/>
    </row>
    <row r="33" spans="1:26" ht="12.75" hidden="1">
      <c r="A33" s="36" t="str">
        <f ca="1">IFERROR(__xludf.DUMMYFUNCTION("""COMPUTED_VALUE"""),"Cantabria")</f>
        <v>Cantabria</v>
      </c>
      <c r="B33" s="36" t="str">
        <f ca="1">IFERROR(__xludf.DUMMYFUNCTION("""COMPUTED_VALUE"""),"Cantabria")</f>
        <v>Cantabria</v>
      </c>
      <c r="C33" s="36">
        <f ca="1">IFERROR(__xludf.DUMMYFUNCTION("""COMPUTED_VALUE"""),2019)</f>
        <v>2019</v>
      </c>
      <c r="D33" s="36" t="str">
        <f ca="1">IFERROR(__xludf.DUMMYFUNCTION("""COMPUTED_VALUE"""),"Claret")</f>
        <v>Claret</v>
      </c>
      <c r="E33" s="36" t="str">
        <f ca="1">IFERROR(__xludf.DUMMYFUNCTION("""COMPUTED_VALUE"""),"gs.claret@scoutsdemadrid.org")</f>
        <v>gs.claret@scoutsdemadrid.org</v>
      </c>
      <c r="F33" s="48">
        <f ca="1">IFERROR(__xludf.DUMMYFUNCTION("""COMPUTED_VALUE"""),43661)</f>
        <v>43661</v>
      </c>
      <c r="G33" s="48">
        <f ca="1">IFERROR(__xludf.DUMMYFUNCTION("""COMPUTED_VALUE"""),43676)</f>
        <v>43676</v>
      </c>
      <c r="H33" s="36" t="str">
        <f ca="1">IFERROR(__xludf.DUMMYFUNCTION("""COMPUTED_VALUE"""),"Puentenansa")</f>
        <v>Puentenansa</v>
      </c>
      <c r="I33" s="36" t="str">
        <f ca="1">IFERROR(__xludf.DUMMYFUNCTION("""COMPUTED_VALUE"""),"Finca Gostobeso")</f>
        <v>Finca Gostobeso</v>
      </c>
      <c r="J33" s="36" t="str">
        <f ca="1">IFERROR(__xludf.DUMMYFUNCTION("""COMPUTED_VALUE"""),"Polígono 4 parcela 235")</f>
        <v>Polígono 4 parcela 235</v>
      </c>
      <c r="K33" s="36" t="str">
        <f ca="1">IFERROR(__xludf.DUMMYFUNCTION("""COMPUTED_VALUE"""),"43º16’9.00"" N 4º24’56.18""W")</f>
        <v>43º16’9.00" N 4º24’56.18"W</v>
      </c>
      <c r="L33" s="36" t="str">
        <f ca="1">IFERROR(__xludf.DUMMYFUNCTION("""COMPUTED_VALUE"""),"Aurora Rubín García")</f>
        <v>Aurora Rubín García</v>
      </c>
      <c r="M33" s="36">
        <f ca="1">IFERROR(__xludf.DUMMYFUNCTION("""COMPUTED_VALUE"""),942727550)</f>
        <v>942727550</v>
      </c>
      <c r="N33" s="36" t="str">
        <f ca="1">IFERROR(__xludf.DUMMYFUNCTION("""COMPUTED_VALUE"""),"No tiene que sepamos")</f>
        <v>No tiene que sepamos</v>
      </c>
      <c r="O33" s="36" t="str">
        <f ca="1">IFERROR(__xludf.DUMMYFUNCTION("""COMPUTED_VALUE"""),"900€ (quincena)")</f>
        <v>900€ (quincena)</v>
      </c>
      <c r="P33" s="36" t="str">
        <f ca="1">IFERROR(__xludf.DUMMYFUNCTION("""COMPUTED_VALUE"""),"2 ha")</f>
        <v>2 ha</v>
      </c>
      <c r="Q33" s="36" t="str">
        <f ca="1">IFERROR(__xludf.DUMMYFUNCTION("""COMPUTED_VALUE"""),"BUENO (Se puede acceder con cualquier coche)")</f>
        <v>BUENO (Se puede acceder con cualquier coche)</v>
      </c>
      <c r="R33" s="36" t="str">
        <f ca="1">IFERROR(__xludf.DUMMYFUNCTION("""COMPUTED_VALUE"""),"Sí")</f>
        <v>Sí</v>
      </c>
      <c r="S33" s="36" t="str">
        <f ca="1">IFERROR(__xludf.DUMMYFUNCTION("""COMPUTED_VALUE"""),"1 km")</f>
        <v>1 km</v>
      </c>
      <c r="T33" s="36" t="str">
        <f ca="1">IFERROR(__xludf.DUMMYFUNCTION("""COMPUTED_VALUE"""),"Río bastante amplio")</f>
        <v>Río bastante amplio</v>
      </c>
      <c r="U33" s="36" t="str">
        <f ca="1">IFERROR(__xludf.DUMMYFUNCTION("""COMPUTED_VALUE"""),"No")</f>
        <v>No</v>
      </c>
      <c r="V33" s="36" t="str">
        <f ca="1">IFERROR(__xludf.DUMMYFUNCTION("""COMPUTED_VALUE"""),"Sí")</f>
        <v>Sí</v>
      </c>
      <c r="W33" s="36" t="str">
        <f ca="1">IFERROR(__xludf.DUMMYFUNCTION("""COMPUTED_VALUE"""),"Bastante llano, buen acceso, toma de agua...")</f>
        <v>Bastante llano, buen acceso, toma de agua...</v>
      </c>
      <c r="X33" s="36"/>
      <c r="Y33" s="36"/>
      <c r="Z33" s="36"/>
    </row>
    <row r="34" spans="1:26" ht="12.75" hidden="1">
      <c r="A34" s="36" t="str">
        <f ca="1">IFERROR(__xludf.DUMMYFUNCTION("""COMPUTED_VALUE"""),"Cantabria")</f>
        <v>Cantabria</v>
      </c>
      <c r="B34" s="36" t="str">
        <f ca="1">IFERROR(__xludf.DUMMYFUNCTION("""COMPUTED_VALUE"""),"Cantabria")</f>
        <v>Cantabria</v>
      </c>
      <c r="C34" s="36">
        <f ca="1">IFERROR(__xludf.DUMMYFUNCTION("""COMPUTED_VALUE"""),2019)</f>
        <v>2019</v>
      </c>
      <c r="D34" s="36" t="str">
        <f ca="1">IFERROR(__xludf.DUMMYFUNCTION("""COMPUTED_VALUE"""),"Amorós")</f>
        <v>Amorós</v>
      </c>
      <c r="E34" s="36" t="str">
        <f ca="1">IFERROR(__xludf.DUMMYFUNCTION("""COMPUTED_VALUE"""),"gs.amoros@scoutsdemadrid.org")</f>
        <v>gs.amoros@scoutsdemadrid.org</v>
      </c>
      <c r="F34" s="48">
        <f ca="1">IFERROR(__xludf.DUMMYFUNCTION("""COMPUTED_VALUE"""),43662)</f>
        <v>43662</v>
      </c>
      <c r="G34" s="48">
        <f ca="1">IFERROR(__xludf.DUMMYFUNCTION("""COMPUTED_VALUE"""),43676)</f>
        <v>43676</v>
      </c>
      <c r="H34" s="36" t="str">
        <f ca="1">IFERROR(__xludf.DUMMYFUNCTION("""COMPUTED_VALUE"""),"Rionansa")</f>
        <v>Rionansa</v>
      </c>
      <c r="I34" s="36" t="str">
        <f ca="1">IFERROR(__xludf.DUMMYFUNCTION("""COMPUTED_VALUE"""),"Las Barcenas")</f>
        <v>Las Barcenas</v>
      </c>
      <c r="J34" s="36" t="str">
        <f ca="1">IFERROR(__xludf.DUMMYFUNCTION("""COMPUTED_VALUE"""),"39063A021001740000EH Y 39063A021001750000EW")</f>
        <v>39063A021001740000EH Y 39063A021001750000EW</v>
      </c>
      <c r="K34" s="36" t="str">
        <f ca="1">IFERROR(__xludf.DUMMYFUNCTION("""COMPUTED_VALUE"""),"384.247,84 Y 4789813,97")</f>
        <v>384.247,84 Y 4789813,97</v>
      </c>
      <c r="L34" s="36" t="str">
        <f ca="1">IFERROR(__xludf.DUMMYFUNCTION("""COMPUTED_VALUE"""),"MARÍA ÁNGELES SÁNCHEZ SÁNCHEZ")</f>
        <v>MARÍA ÁNGELES SÁNCHEZ SÁNCHEZ</v>
      </c>
      <c r="M34" s="36">
        <f ca="1">IFERROR(__xludf.DUMMYFUNCTION("""COMPUTED_VALUE"""),656800040)</f>
        <v>656800040</v>
      </c>
      <c r="N34" s="36" t="str">
        <f ca="1">IFERROR(__xludf.DUMMYFUNCTION("""COMPUTED_VALUE"""),"no dispone")</f>
        <v>no dispone</v>
      </c>
      <c r="O34" s="36" t="str">
        <f ca="1">IFERROR(__xludf.DUMMYFUNCTION("""COMPUTED_VALUE"""),"700€ quincena")</f>
        <v>700€ quincena</v>
      </c>
      <c r="P34" s="36" t="str">
        <f ca="1">IFERROR(__xludf.DUMMYFUNCTION("""COMPUTED_VALUE"""),"9700M2")</f>
        <v>9700M2</v>
      </c>
      <c r="Q34" s="36" t="str">
        <f ca="1">IFERROR(__xludf.DUMMYFUNCTION("""COMPUTED_VALUE"""),"REGULAR (Se puede acceder con un coche normal con dificultad)")</f>
        <v>REGULAR (Se puede acceder con un coche normal con dificultad)</v>
      </c>
      <c r="R34" s="36" t="str">
        <f ca="1">IFERROR(__xludf.DUMMYFUNCTION("""COMPUTED_VALUE"""),"Sí")</f>
        <v>Sí</v>
      </c>
      <c r="S34" s="36" t="str">
        <f ca="1">IFERROR(__xludf.DUMMYFUNCTION("""COMPUTED_VALUE"""),"Contigua")</f>
        <v>Contigua</v>
      </c>
      <c r="T34" s="36" t="str">
        <f ca="1">IFERROR(__xludf.DUMMYFUNCTION("""COMPUTED_VALUE"""),"Depende de caudal, pendiente comprobar en verano")</f>
        <v>Depende de caudal, pendiente comprobar en verano</v>
      </c>
      <c r="U34" s="36" t="str">
        <f ca="1">IFERROR(__xludf.DUMMYFUNCTION("""COMPUTED_VALUE"""),"No")</f>
        <v>No</v>
      </c>
      <c r="V34" s="36" t="str">
        <f ca="1">IFERROR(__xludf.DUMMYFUNCTION("""COMPUTED_VALUE"""),"Cabezón de la sal")</f>
        <v>Cabezón de la sal</v>
      </c>
      <c r="W34" s="36" t="str">
        <f ca="1">IFERROR(__xludf.DUMMYFUNCTION("""COMPUTED_VALUE"""),"Una pista forestal lo divide a la mitad")</f>
        <v>Una pista forestal lo divide a la mitad</v>
      </c>
      <c r="X34" s="36"/>
      <c r="Y34" s="36"/>
      <c r="Z34" s="36"/>
    </row>
    <row r="35" spans="1:26" ht="12.75" hidden="1">
      <c r="A35" s="36" t="str">
        <f ca="1">IFERROR(__xludf.DUMMYFUNCTION("""COMPUTED_VALUE"""),"Castilla y León")</f>
        <v>Castilla y León</v>
      </c>
      <c r="B35" s="36" t="str">
        <f ca="1">IFERROR(__xludf.DUMMYFUNCTION("""COMPUTED_VALUE"""),"Zamora")</f>
        <v>Zamora</v>
      </c>
      <c r="C35" s="36">
        <f ca="1">IFERROR(__xludf.DUMMYFUNCTION("""COMPUTED_VALUE"""),2015)</f>
        <v>2015</v>
      </c>
      <c r="D35" s="36" t="str">
        <f ca="1">IFERROR(__xludf.DUMMYFUNCTION("""COMPUTED_VALUE"""),"Adhara")</f>
        <v>Adhara</v>
      </c>
      <c r="E35" s="36" t="str">
        <f ca="1">IFERROR(__xludf.DUMMYFUNCTION("""COMPUTED_VALUE"""),"gs.adhara@scoutsdemadrid.org")</f>
        <v>gs.adhara@scoutsdemadrid.org</v>
      </c>
      <c r="F35" s="48">
        <f ca="1">IFERROR(__xludf.DUMMYFUNCTION("""COMPUTED_VALUE"""),42201)</f>
        <v>42201</v>
      </c>
      <c r="G35" s="48">
        <f ca="1">IFERROR(__xludf.DUMMYFUNCTION("""COMPUTED_VALUE"""),42215)</f>
        <v>42215</v>
      </c>
      <c r="H35" s="36" t="str">
        <f ca="1">IFERROR(__xludf.DUMMYFUNCTION("""COMPUTED_VALUE"""),"Calzada De Tera")</f>
        <v>Calzada De Tera</v>
      </c>
      <c r="I35" s="36" t="str">
        <f ca="1">IFERROR(__xludf.DUMMYFUNCTION("""COMPUTED_VALUE"""),"Calzada de tera")</f>
        <v>Calzada de tera</v>
      </c>
      <c r="J35" s="36" t="str">
        <f ca="1">IFERROR(__xludf.DUMMYFUNCTION("""COMPUTED_VALUE"""),"")</f>
        <v/>
      </c>
      <c r="K35" s="36" t="str">
        <f ca="1">IFERROR(__xludf.DUMMYFUNCTION("""COMPUTED_VALUE"""),"41°59′09″N -6°04′34″O")</f>
        <v>41°59′09″N -6°04′34″O</v>
      </c>
      <c r="L35" s="36" t="str">
        <f ca="1">IFERROR(__xludf.DUMMYFUNCTION("""COMPUTED_VALUE"""),"")</f>
        <v/>
      </c>
      <c r="M35" s="36" t="str">
        <f ca="1">IFERROR(__xludf.DUMMYFUNCTION("""COMPUTED_VALUE"""),"")</f>
        <v/>
      </c>
      <c r="N35" s="36" t="str">
        <f ca="1">IFERROR(__xludf.DUMMYFUNCTION("""COMPUTED_VALUE"""),"")</f>
        <v/>
      </c>
      <c r="O35" s="36" t="str">
        <f ca="1">IFERROR(__xludf.DUMMYFUNCTION("""COMPUTED_VALUE"""),"")</f>
        <v/>
      </c>
      <c r="P35" s="36" t="str">
        <f ca="1">IFERROR(__xludf.DUMMYFUNCTION("""COMPUTED_VALUE"""),"")</f>
        <v/>
      </c>
      <c r="Q35" s="36" t="str">
        <f ca="1">IFERROR(__xludf.DUMMYFUNCTION("""COMPUTED_VALUE"""),"")</f>
        <v/>
      </c>
      <c r="R35" s="36" t="str">
        <f ca="1">IFERROR(__xludf.DUMMYFUNCTION("""COMPUTED_VALUE"""),"")</f>
        <v/>
      </c>
      <c r="S35" s="36" t="str">
        <f ca="1">IFERROR(__xludf.DUMMYFUNCTION("""COMPUTED_VALUE"""),"")</f>
        <v/>
      </c>
      <c r="T35" s="36" t="str">
        <f ca="1">IFERROR(__xludf.DUMMYFUNCTION("""COMPUTED_VALUE"""),"")</f>
        <v/>
      </c>
      <c r="U35" s="36" t="str">
        <f ca="1">IFERROR(__xludf.DUMMYFUNCTION("""COMPUTED_VALUE"""),"")</f>
        <v/>
      </c>
      <c r="V35" s="36" t="str">
        <f ca="1">IFERROR(__xludf.DUMMYFUNCTION("""COMPUTED_VALUE"""),"")</f>
        <v/>
      </c>
      <c r="W35" s="36" t="str">
        <f ca="1">IFERROR(__xludf.DUMMYFUNCTION("""COMPUTED_VALUE"""),"")</f>
        <v/>
      </c>
      <c r="X35" s="36"/>
      <c r="Y35" s="36"/>
      <c r="Z35" s="36"/>
    </row>
    <row r="36" spans="1:26" ht="12.75" hidden="1">
      <c r="A36" s="36" t="str">
        <f ca="1">IFERROR(__xludf.DUMMYFUNCTION("""COMPUTED_VALUE"""),"Castilla y León")</f>
        <v>Castilla y León</v>
      </c>
      <c r="B36" s="36" t="str">
        <f ca="1">IFERROR(__xludf.DUMMYFUNCTION("""COMPUTED_VALUE"""),"Ávila")</f>
        <v>Ávila</v>
      </c>
      <c r="C36" s="36">
        <f ca="1">IFERROR(__xludf.DUMMYFUNCTION("""COMPUTED_VALUE"""),2017)</f>
        <v>2017</v>
      </c>
      <c r="D36" s="36" t="str">
        <f ca="1">IFERROR(__xludf.DUMMYFUNCTION("""COMPUTED_VALUE"""),"Adhara")</f>
        <v>Adhara</v>
      </c>
      <c r="E36" s="36" t="str">
        <f ca="1">IFERROR(__xludf.DUMMYFUNCTION("""COMPUTED_VALUE"""),"gs.adhara@scoutsdemadrid.org")</f>
        <v>gs.adhara@scoutsdemadrid.org</v>
      </c>
      <c r="F36" s="48">
        <f ca="1">IFERROR(__xludf.DUMMYFUNCTION("""COMPUTED_VALUE"""),42932)</f>
        <v>42932</v>
      </c>
      <c r="G36" s="48">
        <f ca="1">IFERROR(__xludf.DUMMYFUNCTION("""COMPUTED_VALUE"""),42946)</f>
        <v>42946</v>
      </c>
      <c r="H36" s="36" t="str">
        <f ca="1">IFERROR(__xludf.DUMMYFUNCTION("""COMPUTED_VALUE"""),"Hoyos Del Espino")</f>
        <v>Hoyos Del Espino</v>
      </c>
      <c r="I36" s="36" t="str">
        <f ca="1">IFERROR(__xludf.DUMMYFUNCTION("""COMPUTED_VALUE"""),"Campamento Prado Molino")</f>
        <v>Campamento Prado Molino</v>
      </c>
      <c r="J36" s="36" t="str">
        <f ca="1">IFERROR(__xludf.DUMMYFUNCTION("""COMPUTED_VALUE"""),"")</f>
        <v/>
      </c>
      <c r="K36" s="36" t="str">
        <f ca="1">IFERROR(__xludf.DUMMYFUNCTION("""COMPUTED_VALUE"""),"")</f>
        <v/>
      </c>
      <c r="L36" s="36" t="str">
        <f ca="1">IFERROR(__xludf.DUMMYFUNCTION("""COMPUTED_VALUE"""),"Ángal Gónzalez")</f>
        <v>Ángal Gónzalez</v>
      </c>
      <c r="M36" s="36" t="str">
        <f ca="1">IFERROR(__xludf.DUMMYFUNCTION("""COMPUTED_VALUE"""),"")</f>
        <v/>
      </c>
      <c r="N36" s="36" t="str">
        <f ca="1">IFERROR(__xludf.DUMMYFUNCTION("""COMPUTED_VALUE"""),"")</f>
        <v/>
      </c>
      <c r="O36" s="36" t="str">
        <f ca="1">IFERROR(__xludf.DUMMYFUNCTION("""COMPUTED_VALUE"""),"")</f>
        <v/>
      </c>
      <c r="P36" s="36" t="str">
        <f ca="1">IFERROR(__xludf.DUMMYFUNCTION("""COMPUTED_VALUE"""),"")</f>
        <v/>
      </c>
      <c r="Q36" s="36" t="str">
        <f ca="1">IFERROR(__xludf.DUMMYFUNCTION("""COMPUTED_VALUE"""),"BUENO (Se puede acceder con cualquier coche)")</f>
        <v>BUENO (Se puede acceder con cualquier coche)</v>
      </c>
      <c r="R36" s="36" t="str">
        <f ca="1">IFERROR(__xludf.DUMMYFUNCTION("""COMPUTED_VALUE"""),"Sí")</f>
        <v>Sí</v>
      </c>
      <c r="S36" s="36" t="str">
        <f ca="1">IFERROR(__xludf.DUMMYFUNCTION("""COMPUTED_VALUE"""),"")</f>
        <v/>
      </c>
      <c r="T36" s="36" t="str">
        <f ca="1">IFERROR(__xludf.DUMMYFUNCTION("""COMPUTED_VALUE"""),"Piscinas naturales")</f>
        <v>Piscinas naturales</v>
      </c>
      <c r="U36" s="36" t="str">
        <f ca="1">IFERROR(__xludf.DUMMYFUNCTION("""COMPUTED_VALUE"""),"Cocina, comedor, baños")</f>
        <v>Cocina, comedor, baños</v>
      </c>
      <c r="V36" s="36" t="str">
        <f ca="1">IFERROR(__xludf.DUMMYFUNCTION("""COMPUTED_VALUE"""),"No")</f>
        <v>No</v>
      </c>
      <c r="W36" s="36" t="str">
        <f ca="1">IFERROR(__xludf.DUMMYFUNCTION("""COMPUTED_VALUE"""),"")</f>
        <v/>
      </c>
      <c r="X36" s="36"/>
      <c r="Y36" s="36"/>
      <c r="Z36" s="36"/>
    </row>
    <row r="37" spans="1:26" ht="12.75" hidden="1">
      <c r="A37" s="36" t="str">
        <f ca="1">IFERROR(__xludf.DUMMYFUNCTION("""COMPUTED_VALUE"""),"Castilla y León")</f>
        <v>Castilla y León</v>
      </c>
      <c r="B37" s="36" t="str">
        <f ca="1">IFERROR(__xludf.DUMMYFUNCTION("""COMPUTED_VALUE"""),"Ávila")</f>
        <v>Ávila</v>
      </c>
      <c r="C37" s="36">
        <f ca="1">IFERROR(__xludf.DUMMYFUNCTION("""COMPUTED_VALUE"""),2012)</f>
        <v>2012</v>
      </c>
      <c r="D37" s="36" t="str">
        <f ca="1">IFERROR(__xludf.DUMMYFUNCTION("""COMPUTED_VALUE"""),"Águila")</f>
        <v>Águila</v>
      </c>
      <c r="E37" s="36" t="str">
        <f ca="1">IFERROR(__xludf.DUMMYFUNCTION("""COMPUTED_VALUE"""),"gs.aguila@scoutsdemadrid.org ")</f>
        <v xml:space="preserve">gs.aguila@scoutsdemadrid.org </v>
      </c>
      <c r="F37" s="48">
        <f ca="1">IFERROR(__xludf.DUMMYFUNCTION("""COMPUTED_VALUE"""),41104)</f>
        <v>41104</v>
      </c>
      <c r="G37" s="48">
        <f ca="1">IFERROR(__xludf.DUMMYFUNCTION("""COMPUTED_VALUE"""),41119)</f>
        <v>41119</v>
      </c>
      <c r="H37" s="36" t="str">
        <f ca="1">IFERROR(__xludf.DUMMYFUNCTION("""COMPUTED_VALUE"""),"Becedas")</f>
        <v>Becedas</v>
      </c>
      <c r="I37" s="36" t="str">
        <f ca="1">IFERROR(__xludf.DUMMYFUNCTION("""COMPUTED_VALUE"""),"La Cerradilla")</f>
        <v>La Cerradilla</v>
      </c>
      <c r="J37" s="36" t="str">
        <f ca="1">IFERROR(__xludf.DUMMYFUNCTION("""COMPUTED_VALUE"""),"")</f>
        <v/>
      </c>
      <c r="K37" s="49" t="str">
        <f ca="1">IFERROR(__xludf.DUMMYFUNCTION("""COMPUTED_VALUE"""),"http://goo.gl/maps/qMKa")</f>
        <v>http://goo.gl/maps/qMKa</v>
      </c>
      <c r="L37" s="36" t="str">
        <f ca="1">IFERROR(__xludf.DUMMYFUNCTION("""COMPUTED_VALUE"""),"")</f>
        <v/>
      </c>
      <c r="M37" s="36" t="str">
        <f ca="1">IFERROR(__xludf.DUMMYFUNCTION("""COMPUTED_VALUE"""),"")</f>
        <v/>
      </c>
      <c r="N37" s="36" t="str">
        <f ca="1">IFERROR(__xludf.DUMMYFUNCTION("""COMPUTED_VALUE"""),"")</f>
        <v/>
      </c>
      <c r="O37" s="36" t="str">
        <f ca="1">IFERROR(__xludf.DUMMYFUNCTION("""COMPUTED_VALUE"""),"")</f>
        <v/>
      </c>
      <c r="P37" s="36" t="str">
        <f ca="1">IFERROR(__xludf.DUMMYFUNCTION("""COMPUTED_VALUE"""),"")</f>
        <v/>
      </c>
      <c r="Q37" s="36" t="str">
        <f ca="1">IFERROR(__xludf.DUMMYFUNCTION("""COMPUTED_VALUE"""),"")</f>
        <v/>
      </c>
      <c r="R37" s="36" t="str">
        <f ca="1">IFERROR(__xludf.DUMMYFUNCTION("""COMPUTED_VALUE"""),"")</f>
        <v/>
      </c>
      <c r="S37" s="36" t="str">
        <f ca="1">IFERROR(__xludf.DUMMYFUNCTION("""COMPUTED_VALUE"""),"")</f>
        <v/>
      </c>
      <c r="T37" s="36" t="str">
        <f ca="1">IFERROR(__xludf.DUMMYFUNCTION("""COMPUTED_VALUE"""),"")</f>
        <v/>
      </c>
      <c r="U37" s="36" t="str">
        <f ca="1">IFERROR(__xludf.DUMMYFUNCTION("""COMPUTED_VALUE"""),"")</f>
        <v/>
      </c>
      <c r="V37" s="36" t="str">
        <f ca="1">IFERROR(__xludf.DUMMYFUNCTION("""COMPUTED_VALUE"""),"")</f>
        <v/>
      </c>
      <c r="W37" s="36" t="str">
        <f ca="1">IFERROR(__xludf.DUMMYFUNCTION("""COMPUTED_VALUE"""),"")</f>
        <v/>
      </c>
      <c r="X37" s="36"/>
      <c r="Y37" s="36"/>
      <c r="Z37" s="36"/>
    </row>
    <row r="38" spans="1:26" ht="12.75" hidden="1">
      <c r="A38" s="36" t="str">
        <f ca="1">IFERROR(__xludf.DUMMYFUNCTION("""COMPUTED_VALUE"""),"Castilla y León")</f>
        <v>Castilla y León</v>
      </c>
      <c r="B38" s="36" t="str">
        <f ca="1">IFERROR(__xludf.DUMMYFUNCTION("""COMPUTED_VALUE"""),"Ávila")</f>
        <v>Ávila</v>
      </c>
      <c r="C38" s="36">
        <f ca="1">IFERROR(__xludf.DUMMYFUNCTION("""COMPUTED_VALUE"""),2015)</f>
        <v>2015</v>
      </c>
      <c r="D38" s="36" t="str">
        <f ca="1">IFERROR(__xludf.DUMMYFUNCTION("""COMPUTED_VALUE"""),"Águila")</f>
        <v>Águila</v>
      </c>
      <c r="E38" s="36" t="str">
        <f ca="1">IFERROR(__xludf.DUMMYFUNCTION("""COMPUTED_VALUE"""),"gs.aguila@scoutsdemadrid.org ")</f>
        <v xml:space="preserve">gs.aguila@scoutsdemadrid.org </v>
      </c>
      <c r="F38" s="48">
        <f ca="1">IFERROR(__xludf.DUMMYFUNCTION("""COMPUTED_VALUE"""),42200)</f>
        <v>42200</v>
      </c>
      <c r="G38" s="48">
        <f ca="1">IFERROR(__xludf.DUMMYFUNCTION("""COMPUTED_VALUE"""),42215)</f>
        <v>42215</v>
      </c>
      <c r="H38" s="36" t="str">
        <f ca="1">IFERROR(__xludf.DUMMYFUNCTION("""COMPUTED_VALUE"""),"Navalmoral De La Sierra")</f>
        <v>Navalmoral De La Sierra</v>
      </c>
      <c r="I38" s="36" t="str">
        <f ca="1">IFERROR(__xludf.DUMMYFUNCTION("""COMPUTED_VALUE"""),"La Chaparrera")</f>
        <v>La Chaparrera</v>
      </c>
      <c r="J38" s="36" t="str">
        <f ca="1">IFERROR(__xludf.DUMMYFUNCTION("""COMPUTED_VALUE"""),"")</f>
        <v/>
      </c>
      <c r="K38" s="36" t="str">
        <f ca="1">IFERROR(__xludf.DUMMYFUNCTION("""COMPUTED_VALUE"""),"")</f>
        <v/>
      </c>
      <c r="L38" s="36" t="str">
        <f ca="1">IFERROR(__xludf.DUMMYFUNCTION("""COMPUTED_VALUE"""),"")</f>
        <v/>
      </c>
      <c r="M38" s="36" t="str">
        <f ca="1">IFERROR(__xludf.DUMMYFUNCTION("""COMPUTED_VALUE"""),"")</f>
        <v/>
      </c>
      <c r="N38" s="36" t="str">
        <f ca="1">IFERROR(__xludf.DUMMYFUNCTION("""COMPUTED_VALUE"""),"")</f>
        <v/>
      </c>
      <c r="O38" s="36" t="str">
        <f ca="1">IFERROR(__xludf.DUMMYFUNCTION("""COMPUTED_VALUE"""),"")</f>
        <v/>
      </c>
      <c r="P38" s="36" t="str">
        <f ca="1">IFERROR(__xludf.DUMMYFUNCTION("""COMPUTED_VALUE"""),"")</f>
        <v/>
      </c>
      <c r="Q38" s="36" t="str">
        <f ca="1">IFERROR(__xludf.DUMMYFUNCTION("""COMPUTED_VALUE"""),"")</f>
        <v/>
      </c>
      <c r="R38" s="36" t="str">
        <f ca="1">IFERROR(__xludf.DUMMYFUNCTION("""COMPUTED_VALUE"""),"")</f>
        <v/>
      </c>
      <c r="S38" s="36" t="str">
        <f ca="1">IFERROR(__xludf.DUMMYFUNCTION("""COMPUTED_VALUE"""),"")</f>
        <v/>
      </c>
      <c r="T38" s="36" t="str">
        <f ca="1">IFERROR(__xludf.DUMMYFUNCTION("""COMPUTED_VALUE"""),"")</f>
        <v/>
      </c>
      <c r="U38" s="36" t="str">
        <f ca="1">IFERROR(__xludf.DUMMYFUNCTION("""COMPUTED_VALUE"""),"")</f>
        <v/>
      </c>
      <c r="V38" s="36" t="str">
        <f ca="1">IFERROR(__xludf.DUMMYFUNCTION("""COMPUTED_VALUE"""),"")</f>
        <v/>
      </c>
      <c r="W38" s="36" t="str">
        <f ca="1">IFERROR(__xludf.DUMMYFUNCTION("""COMPUTED_VALUE"""),"")</f>
        <v/>
      </c>
      <c r="X38" s="36"/>
      <c r="Y38" s="36"/>
      <c r="Z38" s="36"/>
    </row>
    <row r="39" spans="1:26" ht="12.75" hidden="1">
      <c r="A39" s="36" t="str">
        <f ca="1">IFERROR(__xludf.DUMMYFUNCTION("""COMPUTED_VALUE"""),"Castilla y León")</f>
        <v>Castilla y León</v>
      </c>
      <c r="B39" s="36" t="str">
        <f ca="1">IFERROR(__xludf.DUMMYFUNCTION("""COMPUTED_VALUE"""),"Ávila")</f>
        <v>Ávila</v>
      </c>
      <c r="C39" s="36">
        <f ca="1">IFERROR(__xludf.DUMMYFUNCTION("""COMPUTED_VALUE"""),2015)</f>
        <v>2015</v>
      </c>
      <c r="D39" s="36" t="str">
        <f ca="1">IFERROR(__xludf.DUMMYFUNCTION("""COMPUTED_VALUE"""),"Alud")</f>
        <v>Alud</v>
      </c>
      <c r="E39" s="36" t="str">
        <f ca="1">IFERROR(__xludf.DUMMYFUNCTION("""COMPUTED_VALUE"""),"gs.alud@scoutsdemadrid.org ")</f>
        <v xml:space="preserve">gs.alud@scoutsdemadrid.org </v>
      </c>
      <c r="F39" s="48">
        <f ca="1">IFERROR(__xludf.DUMMYFUNCTION("""COMPUTED_VALUE"""),42201)</f>
        <v>42201</v>
      </c>
      <c r="G39" s="48">
        <f ca="1">IFERROR(__xludf.DUMMYFUNCTION("""COMPUTED_VALUE"""),42215)</f>
        <v>42215</v>
      </c>
      <c r="H39" s="36" t="str">
        <f ca="1">IFERROR(__xludf.DUMMYFUNCTION("""COMPUTED_VALUE"""),"Gavilanes")</f>
        <v>Gavilanes</v>
      </c>
      <c r="I39" s="36" t="str">
        <f ca="1">IFERROR(__xludf.DUMMYFUNCTION("""COMPUTED_VALUE"""),"El Escurialejo")</f>
        <v>El Escurialejo</v>
      </c>
      <c r="J39" s="36" t="str">
        <f ca="1">IFERROR(__xludf.DUMMYFUNCTION("""COMPUTED_VALUE"""),"")</f>
        <v/>
      </c>
      <c r="K39" s="36" t="str">
        <f ca="1">IFERROR(__xludf.DUMMYFUNCTION("""COMPUTED_VALUE"""),"34.19, -4.45")</f>
        <v>34.19, -4.45</v>
      </c>
      <c r="L39" s="36" t="str">
        <f ca="1">IFERROR(__xludf.DUMMYFUNCTION("""COMPUTED_VALUE"""),"")</f>
        <v/>
      </c>
      <c r="M39" s="36" t="str">
        <f ca="1">IFERROR(__xludf.DUMMYFUNCTION("""COMPUTED_VALUE"""),"")</f>
        <v/>
      </c>
      <c r="N39" s="36" t="str">
        <f ca="1">IFERROR(__xludf.DUMMYFUNCTION("""COMPUTED_VALUE"""),"")</f>
        <v/>
      </c>
      <c r="O39" s="36" t="str">
        <f ca="1">IFERROR(__xludf.DUMMYFUNCTION("""COMPUTED_VALUE"""),"")</f>
        <v/>
      </c>
      <c r="P39" s="36" t="str">
        <f ca="1">IFERROR(__xludf.DUMMYFUNCTION("""COMPUTED_VALUE"""),"")</f>
        <v/>
      </c>
      <c r="Q39" s="36" t="str">
        <f ca="1">IFERROR(__xludf.DUMMYFUNCTION("""COMPUTED_VALUE"""),"")</f>
        <v/>
      </c>
      <c r="R39" s="36" t="str">
        <f ca="1">IFERROR(__xludf.DUMMYFUNCTION("""COMPUTED_VALUE"""),"")</f>
        <v/>
      </c>
      <c r="S39" s="36" t="str">
        <f ca="1">IFERROR(__xludf.DUMMYFUNCTION("""COMPUTED_VALUE"""),"")</f>
        <v/>
      </c>
      <c r="T39" s="36" t="str">
        <f ca="1">IFERROR(__xludf.DUMMYFUNCTION("""COMPUTED_VALUE"""),"")</f>
        <v/>
      </c>
      <c r="U39" s="36" t="str">
        <f ca="1">IFERROR(__xludf.DUMMYFUNCTION("""COMPUTED_VALUE"""),"")</f>
        <v/>
      </c>
      <c r="V39" s="36" t="str">
        <f ca="1">IFERROR(__xludf.DUMMYFUNCTION("""COMPUTED_VALUE"""),"")</f>
        <v/>
      </c>
      <c r="W39" s="36" t="str">
        <f ca="1">IFERROR(__xludf.DUMMYFUNCTION("""COMPUTED_VALUE"""),"")</f>
        <v/>
      </c>
      <c r="X39" s="36"/>
      <c r="Y39" s="36"/>
      <c r="Z39" s="36"/>
    </row>
    <row r="40" spans="1:26" ht="12.75" hidden="1">
      <c r="A40" s="36" t="str">
        <f ca="1">IFERROR(__xludf.DUMMYFUNCTION("""COMPUTED_VALUE"""),"Castilla y León")</f>
        <v>Castilla y León</v>
      </c>
      <c r="B40" s="36" t="str">
        <f ca="1">IFERROR(__xludf.DUMMYFUNCTION("""COMPUTED_VALUE"""),"Soria")</f>
        <v>Soria</v>
      </c>
      <c r="C40" s="36">
        <f ca="1">IFERROR(__xludf.DUMMYFUNCTION("""COMPUTED_VALUE"""),2017)</f>
        <v>2017</v>
      </c>
      <c r="D40" s="36" t="str">
        <f ca="1">IFERROR(__xludf.DUMMYFUNCTION("""COMPUTED_VALUE"""),"Alud")</f>
        <v>Alud</v>
      </c>
      <c r="E40" s="36" t="str">
        <f ca="1">IFERROR(__xludf.DUMMYFUNCTION("""COMPUTED_VALUE"""),"gs.alud@scoutsdemadrid.org ")</f>
        <v xml:space="preserve">gs.alud@scoutsdemadrid.org </v>
      </c>
      <c r="F40" s="48">
        <f ca="1">IFERROR(__xludf.DUMMYFUNCTION("""COMPUTED_VALUE"""),42938)</f>
        <v>42938</v>
      </c>
      <c r="G40" s="48">
        <f ca="1">IFERROR(__xludf.DUMMYFUNCTION("""COMPUTED_VALUE"""),42946)</f>
        <v>42946</v>
      </c>
      <c r="H40" s="36" t="str">
        <f ca="1">IFERROR(__xludf.DUMMYFUNCTION("""COMPUTED_VALUE"""),"Covaleda")</f>
        <v>Covaleda</v>
      </c>
      <c r="I40" s="36" t="str">
        <f ca="1">IFERROR(__xludf.DUMMYFUNCTION("""COMPUTED_VALUE"""),"Covaleda")</f>
        <v>Covaleda</v>
      </c>
      <c r="J40" s="36" t="str">
        <f ca="1">IFERROR(__xludf.DUMMYFUNCTION("""COMPUTED_VALUE"""),"")</f>
        <v/>
      </c>
      <c r="K40" s="36" t="str">
        <f ca="1">IFERROR(__xludf.DUMMYFUNCTION("""COMPUTED_VALUE"""),"")</f>
        <v/>
      </c>
      <c r="L40" s="36" t="str">
        <f ca="1">IFERROR(__xludf.DUMMYFUNCTION("""COMPUTED_VALUE"""),"NS/NC (Jamscout)")</f>
        <v>NS/NC (Jamscout)</v>
      </c>
      <c r="M40" s="36" t="str">
        <f ca="1">IFERROR(__xludf.DUMMYFUNCTION("""COMPUTED_VALUE"""),"")</f>
        <v/>
      </c>
      <c r="N40" s="36" t="str">
        <f ca="1">IFERROR(__xludf.DUMMYFUNCTION("""COMPUTED_VALUE"""),"")</f>
        <v/>
      </c>
      <c r="O40" s="36" t="str">
        <f ca="1">IFERROR(__xludf.DUMMYFUNCTION("""COMPUTED_VALUE"""),"")</f>
        <v/>
      </c>
      <c r="P40" s="36" t="str">
        <f ca="1">IFERROR(__xludf.DUMMYFUNCTION("""COMPUTED_VALUE"""),"")</f>
        <v/>
      </c>
      <c r="Q40" s="36" t="str">
        <f ca="1">IFERROR(__xludf.DUMMYFUNCTION("""COMPUTED_VALUE"""),"")</f>
        <v/>
      </c>
      <c r="R40" s="36" t="str">
        <f ca="1">IFERROR(__xludf.DUMMYFUNCTION("""COMPUTED_VALUE"""),"")</f>
        <v/>
      </c>
      <c r="S40" s="36" t="str">
        <f ca="1">IFERROR(__xludf.DUMMYFUNCTION("""COMPUTED_VALUE"""),"")</f>
        <v/>
      </c>
      <c r="T40" s="36" t="str">
        <f ca="1">IFERROR(__xludf.DUMMYFUNCTION("""COMPUTED_VALUE"""),"")</f>
        <v/>
      </c>
      <c r="U40" s="36" t="str">
        <f ca="1">IFERROR(__xludf.DUMMYFUNCTION("""COMPUTED_VALUE"""),"")</f>
        <v/>
      </c>
      <c r="V40" s="36" t="str">
        <f ca="1">IFERROR(__xludf.DUMMYFUNCTION("""COMPUTED_VALUE"""),"")</f>
        <v/>
      </c>
      <c r="W40" s="36" t="str">
        <f ca="1">IFERROR(__xludf.DUMMYFUNCTION("""COMPUTED_VALUE"""),"")</f>
        <v/>
      </c>
      <c r="X40" s="36"/>
      <c r="Y40" s="36"/>
      <c r="Z40" s="36"/>
    </row>
    <row r="41" spans="1:26" ht="12.75" hidden="1">
      <c r="A41" s="36" t="str">
        <f ca="1">IFERROR(__xludf.DUMMYFUNCTION("""COMPUTED_VALUE"""),"Castilla y León")</f>
        <v>Castilla y León</v>
      </c>
      <c r="B41" s="36" t="str">
        <f ca="1">IFERROR(__xludf.DUMMYFUNCTION("""COMPUTED_VALUE"""),"Ávila")</f>
        <v>Ávila</v>
      </c>
      <c r="C41" s="36">
        <f ca="1">IFERROR(__xludf.DUMMYFUNCTION("""COMPUTED_VALUE"""),2018)</f>
        <v>2018</v>
      </c>
      <c r="D41" s="36" t="str">
        <f ca="1">IFERROR(__xludf.DUMMYFUNCTION("""COMPUTED_VALUE"""),"Alud")</f>
        <v>Alud</v>
      </c>
      <c r="E41" s="36" t="str">
        <f ca="1">IFERROR(__xludf.DUMMYFUNCTION("""COMPUTED_VALUE"""),"gs.alud@scoutsdemadrid.org ")</f>
        <v xml:space="preserve">gs.alud@scoutsdemadrid.org </v>
      </c>
      <c r="F41" s="48">
        <f ca="1">IFERROR(__xludf.DUMMYFUNCTION("""COMPUTED_VALUE"""),43297)</f>
        <v>43297</v>
      </c>
      <c r="G41" s="48">
        <f ca="1">IFERROR(__xludf.DUMMYFUNCTION("""COMPUTED_VALUE"""),43311)</f>
        <v>43311</v>
      </c>
      <c r="H41" s="36" t="str">
        <f ca="1">IFERROR(__xludf.DUMMYFUNCTION("""COMPUTED_VALUE"""),"Navaluenga ")</f>
        <v xml:space="preserve">Navaluenga </v>
      </c>
      <c r="I41" s="36" t="str">
        <f ca="1">IFERROR(__xludf.DUMMYFUNCTION("""COMPUTED_VALUE"""),"Albergue Sierra de Gredos")</f>
        <v>Albergue Sierra de Gredos</v>
      </c>
      <c r="J41" s="36" t="str">
        <f ca="1">IFERROR(__xludf.DUMMYFUNCTION("""COMPUTED_VALUE"""),"A la espera de que nos lo faciliten")</f>
        <v>A la espera de que nos lo faciliten</v>
      </c>
      <c r="K41" s="36" t="str">
        <f ca="1">IFERROR(__xludf.DUMMYFUNCTION("""COMPUTED_VALUE"""),"Latitud Norte 40º 24” 55,6. Longitud oeste W 4º 39” 48,0")</f>
        <v>Latitud Norte 40º 24” 55,6. Longitud oeste W 4º 39” 48,0</v>
      </c>
      <c r="L41" s="36" t="str">
        <f ca="1">IFERROR(__xludf.DUMMYFUNCTION("""COMPUTED_VALUE"""),"Montserrat Simón Martín")</f>
        <v>Montserrat Simón Martín</v>
      </c>
      <c r="M41" s="36" t="str">
        <f ca="1">IFERROR(__xludf.DUMMYFUNCTION("""COMPUTED_VALUE"""),"920286393 / 619242999")</f>
        <v>920286393 / 619242999</v>
      </c>
      <c r="N41" s="36" t="str">
        <f ca="1">IFERROR(__xludf.DUMMYFUNCTION("""COMPUTED_VALUE"""),"alberguesierradegredos@yahoo.es")</f>
        <v>alberguesierradegredos@yahoo.es</v>
      </c>
      <c r="O41" s="50">
        <f ca="1">IFERROR(__xludf.DUMMYFUNCTION("""COMPUTED_VALUE"""),364)</f>
        <v>364</v>
      </c>
      <c r="P41" s="36" t="str">
        <f ca="1">IFERROR(__xludf.DUMMYFUNCTION("""COMPUTED_VALUE"""),"A la espera de que nos lo faciliten")</f>
        <v>A la espera de que nos lo faciliten</v>
      </c>
      <c r="Q41" s="36" t="str">
        <f ca="1">IFERROR(__xludf.DUMMYFUNCTION("""COMPUTED_VALUE"""),"BUENO (Se puede acceder con cualquier coche)")</f>
        <v>BUENO (Se puede acceder con cualquier coche)</v>
      </c>
      <c r="R41" s="36" t="str">
        <f ca="1">IFERROR(__xludf.DUMMYFUNCTION("""COMPUTED_VALUE"""),"Sí")</f>
        <v>Sí</v>
      </c>
      <c r="S41" s="36" t="str">
        <f ca="1">IFERROR(__xludf.DUMMYFUNCTION("""COMPUTED_VALUE"""),"50m")</f>
        <v>50m</v>
      </c>
      <c r="T41" s="36" t="str">
        <f ca="1">IFERROR(__xludf.DUMMYFUNCTION("""COMPUTED_VALUE"""),"Fácil acceso ")</f>
        <v xml:space="preserve">Fácil acceso </v>
      </c>
      <c r="U41" s="36" t="str">
        <f ca="1">IFERROR(__xludf.DUMMYFUNCTION("""COMPUTED_VALUE"""),"Baño, cocina, habitaciones, comedor, jardines y aulas")</f>
        <v>Baño, cocina, habitaciones, comedor, jardines y aulas</v>
      </c>
      <c r="V41" s="36" t="str">
        <f ca="1">IFERROR(__xludf.DUMMYFUNCTION("""COMPUTED_VALUE"""),"No necesitamos")</f>
        <v>No necesitamos</v>
      </c>
      <c r="W41" s="36" t="str">
        <f ca="1">IFERROR(__xludf.DUMMYFUNCTION("""COMPUTED_VALUE"""),"Buen aspecto, bien comunicado, proximidad a diferentes zonas de baño y cercanía a Madrid")</f>
        <v>Buen aspecto, bien comunicado, proximidad a diferentes zonas de baño y cercanía a Madrid</v>
      </c>
      <c r="X41" s="36"/>
      <c r="Y41" s="36"/>
      <c r="Z41" s="36"/>
    </row>
    <row r="42" spans="1:26" ht="12.75" hidden="1">
      <c r="A42" s="36" t="str">
        <f ca="1">IFERROR(__xludf.DUMMYFUNCTION("""COMPUTED_VALUE"""),"Castilla y León")</f>
        <v>Castilla y León</v>
      </c>
      <c r="B42" s="36" t="str">
        <f ca="1">IFERROR(__xludf.DUMMYFUNCTION("""COMPUTED_VALUE"""),"Ávila")</f>
        <v>Ávila</v>
      </c>
      <c r="C42" s="36">
        <f ca="1">IFERROR(__xludf.DUMMYFUNCTION("""COMPUTED_VALUE"""),2018)</f>
        <v>2018</v>
      </c>
      <c r="D42" s="36" t="str">
        <f ca="1">IFERROR(__xludf.DUMMYFUNCTION("""COMPUTED_VALUE"""),"Alud")</f>
        <v>Alud</v>
      </c>
      <c r="E42" s="36" t="str">
        <f ca="1">IFERROR(__xludf.DUMMYFUNCTION("""COMPUTED_VALUE"""),"gs.alud@scoutsdemadrid.org ")</f>
        <v xml:space="preserve">gs.alud@scoutsdemadrid.org </v>
      </c>
      <c r="F42" s="48">
        <f ca="1">IFERROR(__xludf.DUMMYFUNCTION("""COMPUTED_VALUE"""),43297)</f>
        <v>43297</v>
      </c>
      <c r="G42" s="48">
        <f ca="1">IFERROR(__xludf.DUMMYFUNCTION("""COMPUTED_VALUE"""),43311)</f>
        <v>43311</v>
      </c>
      <c r="H42" s="36" t="str">
        <f ca="1">IFERROR(__xludf.DUMMYFUNCTION("""COMPUTED_VALUE"""),"Navaluenga ")</f>
        <v xml:space="preserve">Navaluenga </v>
      </c>
      <c r="I42" s="36" t="str">
        <f ca="1">IFERROR(__xludf.DUMMYFUNCTION("""COMPUTED_VALUE"""),"Albergue Sierra de Gredos")</f>
        <v>Albergue Sierra de Gredos</v>
      </c>
      <c r="J42" s="36" t="str">
        <f ca="1">IFERROR(__xludf.DUMMYFUNCTION("""COMPUTED_VALUE"""),"A la espera de que nos lo faciliten")</f>
        <v>A la espera de que nos lo faciliten</v>
      </c>
      <c r="K42" s="36" t="str">
        <f ca="1">IFERROR(__xludf.DUMMYFUNCTION("""COMPUTED_VALUE"""),"Latitud Norte 40º 24” 55,6. Longitud oeste W 4º 39” 48,0")</f>
        <v>Latitud Norte 40º 24” 55,6. Longitud oeste W 4º 39” 48,0</v>
      </c>
      <c r="L42" s="36" t="str">
        <f ca="1">IFERROR(__xludf.DUMMYFUNCTION("""COMPUTED_VALUE"""),"Montserrat Simón Martín")</f>
        <v>Montserrat Simón Martín</v>
      </c>
      <c r="M42" s="36" t="str">
        <f ca="1">IFERROR(__xludf.DUMMYFUNCTION("""COMPUTED_VALUE"""),"920286393 / 619242999")</f>
        <v>920286393 / 619242999</v>
      </c>
      <c r="N42" s="36" t="str">
        <f ca="1">IFERROR(__xludf.DUMMYFUNCTION("""COMPUTED_VALUE"""),"alberguesierradegredos@yahoo.es")</f>
        <v>alberguesierradegredos@yahoo.es</v>
      </c>
      <c r="O42" s="50">
        <f ca="1">IFERROR(__xludf.DUMMYFUNCTION("""COMPUTED_VALUE"""),364)</f>
        <v>364</v>
      </c>
      <c r="P42" s="36" t="str">
        <f ca="1">IFERROR(__xludf.DUMMYFUNCTION("""COMPUTED_VALUE"""),"A la espera de que nos lo faciliten")</f>
        <v>A la espera de que nos lo faciliten</v>
      </c>
      <c r="Q42" s="36" t="str">
        <f ca="1">IFERROR(__xludf.DUMMYFUNCTION("""COMPUTED_VALUE"""),"BUENO (Se puede acceder con cualquier coche)")</f>
        <v>BUENO (Se puede acceder con cualquier coche)</v>
      </c>
      <c r="R42" s="36" t="str">
        <f ca="1">IFERROR(__xludf.DUMMYFUNCTION("""COMPUTED_VALUE"""),"Sí")</f>
        <v>Sí</v>
      </c>
      <c r="S42" s="36" t="str">
        <f ca="1">IFERROR(__xludf.DUMMYFUNCTION("""COMPUTED_VALUE"""),"50m")</f>
        <v>50m</v>
      </c>
      <c r="T42" s="36" t="str">
        <f ca="1">IFERROR(__xludf.DUMMYFUNCTION("""COMPUTED_VALUE"""),"Fácil acceso ")</f>
        <v xml:space="preserve">Fácil acceso </v>
      </c>
      <c r="U42" s="36" t="str">
        <f ca="1">IFERROR(__xludf.DUMMYFUNCTION("""COMPUTED_VALUE"""),"Baño, cocina, habitaciones, comedor, jardines y aulas")</f>
        <v>Baño, cocina, habitaciones, comedor, jardines y aulas</v>
      </c>
      <c r="V42" s="36" t="str">
        <f ca="1">IFERROR(__xludf.DUMMYFUNCTION("""COMPUTED_VALUE"""),"No necesitamos")</f>
        <v>No necesitamos</v>
      </c>
      <c r="W42" s="36" t="str">
        <f ca="1">IFERROR(__xludf.DUMMYFUNCTION("""COMPUTED_VALUE"""),"Buen aspecto, bien comunicado, proximidad a diferentes zonas de baño y cercanía a Madrid")</f>
        <v>Buen aspecto, bien comunicado, proximidad a diferentes zonas de baño y cercanía a Madrid</v>
      </c>
      <c r="X42" s="36"/>
      <c r="Y42" s="36"/>
      <c r="Z42" s="36"/>
    </row>
    <row r="43" spans="1:26" ht="12.75" hidden="1">
      <c r="A43" s="36" t="str">
        <f ca="1">IFERROR(__xludf.DUMMYFUNCTION("""COMPUTED_VALUE"""),"Castilla y León")</f>
        <v>Castilla y León</v>
      </c>
      <c r="B43" s="36" t="str">
        <f ca="1">IFERROR(__xludf.DUMMYFUNCTION("""COMPUTED_VALUE"""),"Palencia")</f>
        <v>Palencia</v>
      </c>
      <c r="C43" s="36">
        <f ca="1">IFERROR(__xludf.DUMMYFUNCTION("""COMPUTED_VALUE"""),2012)</f>
        <v>2012</v>
      </c>
      <c r="D43" s="36" t="str">
        <f ca="1">IFERROR(__xludf.DUMMYFUNCTION("""COMPUTED_VALUE"""),"Amorós")</f>
        <v>Amorós</v>
      </c>
      <c r="E43" s="36" t="str">
        <f ca="1">IFERROR(__xludf.DUMMYFUNCTION("""COMPUTED_VALUE"""),"gs.amoros@scoutsdemadrid.org ")</f>
        <v xml:space="preserve">gs.amoros@scoutsdemadrid.org </v>
      </c>
      <c r="F43" s="48">
        <f ca="1">IFERROR(__xludf.DUMMYFUNCTION("""COMPUTED_VALUE"""),41106)</f>
        <v>41106</v>
      </c>
      <c r="G43" s="48">
        <f ca="1">IFERROR(__xludf.DUMMYFUNCTION("""COMPUTED_VALUE"""),41120)</f>
        <v>41120</v>
      </c>
      <c r="H43" s="36" t="str">
        <f ca="1">IFERROR(__xludf.DUMMYFUNCTION("""COMPUTED_VALUE"""),"La Pernía")</f>
        <v>La Pernía</v>
      </c>
      <c r="I43" s="36" t="str">
        <f ca="1">IFERROR(__xludf.DUMMYFUNCTION("""COMPUTED_VALUE"""),"Los Llazos")</f>
        <v>Los Llazos</v>
      </c>
      <c r="J43" s="36" t="str">
        <f ca="1">IFERROR(__xludf.DUMMYFUNCTION("""COMPUTED_VALUE"""),"")</f>
        <v/>
      </c>
      <c r="K43" s="49" t="str">
        <f ca="1">IFERROR(__xludf.DUMMYFUNCTION("""COMPUTED_VALUE"""),"https://maps.google.es/maps?q=Los+Llazos,+La+Pern%C3%ADa&amp;hl=es&amp;ie=UTF8&amp;ll=42.979841,-4.487325&amp;spn=0.006899,0.016512&amp;sll=40.396764,-3.713379&amp;sspn=14.695835,33.815918&amp;oq=los+llazos&amp;hnear=Los+Llazos,+La+Pern%C3%ADa,+Palencia,+Castilla+y+Le%C3%B3n&amp;t=h&amp;z=17")</f>
        <v>https://maps.google.es/maps?q=Los+Llazos,+La+Pern%C3%ADa&amp;hl=es&amp;ie=UTF8&amp;ll=42.979841,-4.487325&amp;spn=0.006899,0.016512&amp;sll=40.396764,-3.713379&amp;sspn=14.695835,33.815918&amp;oq=los+llazos&amp;hnear=Los+Llazos,+La+Pern%C3%ADa,+Palencia,+Castilla+y+Le%C3%B3n&amp;t=h&amp;z=17</v>
      </c>
      <c r="L43" s="36" t="str">
        <f ca="1">IFERROR(__xludf.DUMMYFUNCTION("""COMPUTED_VALUE"""),"")</f>
        <v/>
      </c>
      <c r="M43" s="36" t="str">
        <f ca="1">IFERROR(__xludf.DUMMYFUNCTION("""COMPUTED_VALUE"""),"")</f>
        <v/>
      </c>
      <c r="N43" s="36" t="str">
        <f ca="1">IFERROR(__xludf.DUMMYFUNCTION("""COMPUTED_VALUE"""),"")</f>
        <v/>
      </c>
      <c r="O43" s="36" t="str">
        <f ca="1">IFERROR(__xludf.DUMMYFUNCTION("""COMPUTED_VALUE"""),"")</f>
        <v/>
      </c>
      <c r="P43" s="36" t="str">
        <f ca="1">IFERROR(__xludf.DUMMYFUNCTION("""COMPUTED_VALUE"""),"")</f>
        <v/>
      </c>
      <c r="Q43" s="36" t="str">
        <f ca="1">IFERROR(__xludf.DUMMYFUNCTION("""COMPUTED_VALUE"""),"")</f>
        <v/>
      </c>
      <c r="R43" s="36" t="str">
        <f ca="1">IFERROR(__xludf.DUMMYFUNCTION("""COMPUTED_VALUE"""),"")</f>
        <v/>
      </c>
      <c r="S43" s="36" t="str">
        <f ca="1">IFERROR(__xludf.DUMMYFUNCTION("""COMPUTED_VALUE"""),"")</f>
        <v/>
      </c>
      <c r="T43" s="36" t="str">
        <f ca="1">IFERROR(__xludf.DUMMYFUNCTION("""COMPUTED_VALUE"""),"")</f>
        <v/>
      </c>
      <c r="U43" s="36" t="str">
        <f ca="1">IFERROR(__xludf.DUMMYFUNCTION("""COMPUTED_VALUE"""),"")</f>
        <v/>
      </c>
      <c r="V43" s="36" t="str">
        <f ca="1">IFERROR(__xludf.DUMMYFUNCTION("""COMPUTED_VALUE"""),"")</f>
        <v/>
      </c>
      <c r="W43" s="36" t="str">
        <f ca="1">IFERROR(__xludf.DUMMYFUNCTION("""COMPUTED_VALUE"""),"")</f>
        <v/>
      </c>
      <c r="X43" s="36"/>
      <c r="Y43" s="36"/>
      <c r="Z43" s="36"/>
    </row>
    <row r="44" spans="1:26" ht="12.75" hidden="1">
      <c r="A44" s="36" t="str">
        <f ca="1">IFERROR(__xludf.DUMMYFUNCTION("""COMPUTED_VALUE"""),"Castilla y León")</f>
        <v>Castilla y León</v>
      </c>
      <c r="B44" s="36" t="str">
        <f ca="1">IFERROR(__xludf.DUMMYFUNCTION("""COMPUTED_VALUE"""),"Burgos")</f>
        <v>Burgos</v>
      </c>
      <c r="C44" s="36">
        <f ca="1">IFERROR(__xludf.DUMMYFUNCTION("""COMPUTED_VALUE"""),2015)</f>
        <v>2015</v>
      </c>
      <c r="D44" s="36" t="str">
        <f ca="1">IFERROR(__xludf.DUMMYFUNCTION("""COMPUTED_VALUE"""),"Amorós")</f>
        <v>Amorós</v>
      </c>
      <c r="E44" s="36" t="str">
        <f ca="1">IFERROR(__xludf.DUMMYFUNCTION("""COMPUTED_VALUE"""),"gs.amoros@scoutsdemadrid.org ")</f>
        <v xml:space="preserve">gs.amoros@scoutsdemadrid.org </v>
      </c>
      <c r="F44" s="48">
        <f ca="1">IFERROR(__xludf.DUMMYFUNCTION("""COMPUTED_VALUE"""),42198)</f>
        <v>42198</v>
      </c>
      <c r="G44" s="48">
        <f ca="1">IFERROR(__xludf.DUMMYFUNCTION("""COMPUTED_VALUE"""),42215)</f>
        <v>42215</v>
      </c>
      <c r="H44" s="36" t="str">
        <f ca="1">IFERROR(__xludf.DUMMYFUNCTION("""COMPUTED_VALUE"""),"Barbadillo Del Pez")</f>
        <v>Barbadillo Del Pez</v>
      </c>
      <c r="I44" s="36" t="str">
        <f ca="1">IFERROR(__xludf.DUMMYFUNCTION("""COMPUTED_VALUE"""),"Prado de Urria")</f>
        <v>Prado de Urria</v>
      </c>
      <c r="J44" s="36" t="str">
        <f ca="1">IFERROR(__xludf.DUMMYFUNCTION("""COMPUTED_VALUE"""),"")</f>
        <v/>
      </c>
      <c r="K44" s="36" t="str">
        <f ca="1">IFERROR(__xludf.DUMMYFUNCTION("""COMPUTED_VALUE"""),"")</f>
        <v/>
      </c>
      <c r="L44" s="36" t="str">
        <f ca="1">IFERROR(__xludf.DUMMYFUNCTION("""COMPUTED_VALUE"""),"")</f>
        <v/>
      </c>
      <c r="M44" s="36" t="str">
        <f ca="1">IFERROR(__xludf.DUMMYFUNCTION("""COMPUTED_VALUE"""),"")</f>
        <v/>
      </c>
      <c r="N44" s="36" t="str">
        <f ca="1">IFERROR(__xludf.DUMMYFUNCTION("""COMPUTED_VALUE"""),"")</f>
        <v/>
      </c>
      <c r="O44" s="36" t="str">
        <f ca="1">IFERROR(__xludf.DUMMYFUNCTION("""COMPUTED_VALUE"""),"")</f>
        <v/>
      </c>
      <c r="P44" s="36" t="str">
        <f ca="1">IFERROR(__xludf.DUMMYFUNCTION("""COMPUTED_VALUE"""),"")</f>
        <v/>
      </c>
      <c r="Q44" s="36" t="str">
        <f ca="1">IFERROR(__xludf.DUMMYFUNCTION("""COMPUTED_VALUE"""),"")</f>
        <v/>
      </c>
      <c r="R44" s="36" t="str">
        <f ca="1">IFERROR(__xludf.DUMMYFUNCTION("""COMPUTED_VALUE"""),"")</f>
        <v/>
      </c>
      <c r="S44" s="36" t="str">
        <f ca="1">IFERROR(__xludf.DUMMYFUNCTION("""COMPUTED_VALUE"""),"")</f>
        <v/>
      </c>
      <c r="T44" s="36" t="str">
        <f ca="1">IFERROR(__xludf.DUMMYFUNCTION("""COMPUTED_VALUE"""),"")</f>
        <v/>
      </c>
      <c r="U44" s="36" t="str">
        <f ca="1">IFERROR(__xludf.DUMMYFUNCTION("""COMPUTED_VALUE"""),"")</f>
        <v/>
      </c>
      <c r="V44" s="36" t="str">
        <f ca="1">IFERROR(__xludf.DUMMYFUNCTION("""COMPUTED_VALUE"""),"")</f>
        <v/>
      </c>
      <c r="W44" s="36" t="str">
        <f ca="1">IFERROR(__xludf.DUMMYFUNCTION("""COMPUTED_VALUE"""),"")</f>
        <v/>
      </c>
      <c r="X44" s="36"/>
      <c r="Y44" s="36"/>
      <c r="Z44" s="36"/>
    </row>
    <row r="45" spans="1:26" ht="12.75" hidden="1">
      <c r="A45" s="36" t="str">
        <f ca="1">IFERROR(__xludf.DUMMYFUNCTION("""COMPUTED_VALUE"""),"Castilla y León")</f>
        <v>Castilla y León</v>
      </c>
      <c r="B45" s="36" t="str">
        <f ca="1">IFERROR(__xludf.DUMMYFUNCTION("""COMPUTED_VALUE"""),"Ávila")</f>
        <v>Ávila</v>
      </c>
      <c r="C45" s="36">
        <f ca="1">IFERROR(__xludf.DUMMYFUNCTION("""COMPUTED_VALUE"""),2017)</f>
        <v>2017</v>
      </c>
      <c r="D45" s="36" t="str">
        <f ca="1">IFERROR(__xludf.DUMMYFUNCTION("""COMPUTED_VALUE"""),"Amorós")</f>
        <v>Amorós</v>
      </c>
      <c r="E45" s="36" t="str">
        <f ca="1">IFERROR(__xludf.DUMMYFUNCTION("""COMPUTED_VALUE"""),"gs.amoros@scoutsdemadrid.org ")</f>
        <v xml:space="preserve">gs.amoros@scoutsdemadrid.org </v>
      </c>
      <c r="F45" s="48">
        <f ca="1">IFERROR(__xludf.DUMMYFUNCTION("""COMPUTED_VALUE"""),42930)</f>
        <v>42930</v>
      </c>
      <c r="G45" s="48">
        <f ca="1">IFERROR(__xludf.DUMMYFUNCTION("""COMPUTED_VALUE"""),42946)</f>
        <v>42946</v>
      </c>
      <c r="H45" s="36" t="str">
        <f ca="1">IFERROR(__xludf.DUMMYFUNCTION("""COMPUTED_VALUE"""),"Zapardiel De La Ribera")</f>
        <v>Zapardiel De La Ribera</v>
      </c>
      <c r="I45" s="36" t="str">
        <f ca="1">IFERROR(__xludf.DUMMYFUNCTION("""COMPUTED_VALUE"""),"Zapardiel De La Ribera")</f>
        <v>Zapardiel De La Ribera</v>
      </c>
      <c r="J45" s="36" t="str">
        <f ca="1">IFERROR(__xludf.DUMMYFUNCTION("""COMPUTED_VALUE"""),"")</f>
        <v/>
      </c>
      <c r="K45" s="36" t="str">
        <f ca="1">IFERROR(__xludf.DUMMYFUNCTION("""COMPUTED_VALUE"""),"")</f>
        <v/>
      </c>
      <c r="L45" s="36" t="str">
        <f ca="1">IFERROR(__xludf.DUMMYFUNCTION("""COMPUTED_VALUE"""),"Ignacio Romero Trillo")</f>
        <v>Ignacio Romero Trillo</v>
      </c>
      <c r="M45" s="36" t="str">
        <f ca="1">IFERROR(__xludf.DUMMYFUNCTION("""COMPUTED_VALUE"""),"")</f>
        <v/>
      </c>
      <c r="N45" s="36" t="str">
        <f ca="1">IFERROR(__xludf.DUMMYFUNCTION("""COMPUTED_VALUE"""),"")</f>
        <v/>
      </c>
      <c r="O45" s="36" t="str">
        <f ca="1">IFERROR(__xludf.DUMMYFUNCTION("""COMPUTED_VALUE"""),"")</f>
        <v/>
      </c>
      <c r="P45" s="36" t="str">
        <f ca="1">IFERROR(__xludf.DUMMYFUNCTION("""COMPUTED_VALUE"""),"")</f>
        <v/>
      </c>
      <c r="Q45" s="36" t="str">
        <f ca="1">IFERROR(__xludf.DUMMYFUNCTION("""COMPUTED_VALUE"""),"")</f>
        <v/>
      </c>
      <c r="R45" s="36" t="str">
        <f ca="1">IFERROR(__xludf.DUMMYFUNCTION("""COMPUTED_VALUE"""),"")</f>
        <v/>
      </c>
      <c r="S45" s="36" t="str">
        <f ca="1">IFERROR(__xludf.DUMMYFUNCTION("""COMPUTED_VALUE"""),"")</f>
        <v/>
      </c>
      <c r="T45" s="36" t="str">
        <f ca="1">IFERROR(__xludf.DUMMYFUNCTION("""COMPUTED_VALUE"""),"")</f>
        <v/>
      </c>
      <c r="U45" s="36" t="str">
        <f ca="1">IFERROR(__xludf.DUMMYFUNCTION("""COMPUTED_VALUE"""),"")</f>
        <v/>
      </c>
      <c r="V45" s="36" t="str">
        <f ca="1">IFERROR(__xludf.DUMMYFUNCTION("""COMPUTED_VALUE"""),"")</f>
        <v/>
      </c>
      <c r="W45" s="36" t="str">
        <f ca="1">IFERROR(__xludf.DUMMYFUNCTION("""COMPUTED_VALUE"""),"")</f>
        <v/>
      </c>
      <c r="X45" s="36"/>
      <c r="Y45" s="36"/>
      <c r="Z45" s="36"/>
    </row>
    <row r="46" spans="1:26" ht="12.75" hidden="1">
      <c r="A46" s="36" t="str">
        <f ca="1">IFERROR(__xludf.DUMMYFUNCTION("""COMPUTED_VALUE"""),"Castilla y León")</f>
        <v>Castilla y León</v>
      </c>
      <c r="B46" s="36" t="str">
        <f ca="1">IFERROR(__xludf.DUMMYFUNCTION("""COMPUTED_VALUE"""),"Soria")</f>
        <v>Soria</v>
      </c>
      <c r="C46" s="36">
        <f ca="1">IFERROR(__xludf.DUMMYFUNCTION("""COMPUTED_VALUE"""),2017)</f>
        <v>2017</v>
      </c>
      <c r="D46" s="36" t="str">
        <f ca="1">IFERROR(__xludf.DUMMYFUNCTION("""COMPUTED_VALUE"""),"Amorós")</f>
        <v>Amorós</v>
      </c>
      <c r="E46" s="36" t="str">
        <f ca="1">IFERROR(__xludf.DUMMYFUNCTION("""COMPUTED_VALUE"""),"gs.amoros@scoutsdemadrid.org ")</f>
        <v xml:space="preserve">gs.amoros@scoutsdemadrid.org </v>
      </c>
      <c r="F46" s="48">
        <f ca="1">IFERROR(__xludf.DUMMYFUNCTION("""COMPUTED_VALUE"""),42932)</f>
        <v>42932</v>
      </c>
      <c r="G46" s="48">
        <f ca="1">IFERROR(__xludf.DUMMYFUNCTION("""COMPUTED_VALUE"""),42946)</f>
        <v>42946</v>
      </c>
      <c r="H46" s="36" t="str">
        <f ca="1">IFERROR(__xludf.DUMMYFUNCTION("""COMPUTED_VALUE"""),"Covaleda")</f>
        <v>Covaleda</v>
      </c>
      <c r="I46" s="36" t="str">
        <f ca="1">IFERROR(__xludf.DUMMYFUNCTION("""COMPUTED_VALUE"""),"Raso de la Nava")</f>
        <v>Raso de la Nava</v>
      </c>
      <c r="J46" s="36" t="str">
        <f ca="1">IFERROR(__xludf.DUMMYFUNCTION("""COMPUTED_VALUE"""),"")</f>
        <v/>
      </c>
      <c r="K46" s="36" t="str">
        <f ca="1">IFERROR(__xludf.DUMMYFUNCTION("""COMPUTED_VALUE"""),"")</f>
        <v/>
      </c>
      <c r="L46" s="36" t="str">
        <f ca="1">IFERROR(__xludf.DUMMYFUNCTION("""COMPUTED_VALUE"""),"MSC")</f>
        <v>MSC</v>
      </c>
      <c r="M46" s="36" t="str">
        <f ca="1">IFERROR(__xludf.DUMMYFUNCTION("""COMPUTED_VALUE"""),"")</f>
        <v/>
      </c>
      <c r="N46" s="36" t="str">
        <f ca="1">IFERROR(__xludf.DUMMYFUNCTION("""COMPUTED_VALUE"""),"")</f>
        <v/>
      </c>
      <c r="O46" s="36" t="str">
        <f ca="1">IFERROR(__xludf.DUMMYFUNCTION("""COMPUTED_VALUE"""),"")</f>
        <v/>
      </c>
      <c r="P46" s="36" t="str">
        <f ca="1">IFERROR(__xludf.DUMMYFUNCTION("""COMPUTED_VALUE"""),"")</f>
        <v/>
      </c>
      <c r="Q46" s="36" t="str">
        <f ca="1">IFERROR(__xludf.DUMMYFUNCTION("""COMPUTED_VALUE"""),"")</f>
        <v/>
      </c>
      <c r="R46" s="36" t="str">
        <f ca="1">IFERROR(__xludf.DUMMYFUNCTION("""COMPUTED_VALUE"""),"")</f>
        <v/>
      </c>
      <c r="S46" s="36" t="str">
        <f ca="1">IFERROR(__xludf.DUMMYFUNCTION("""COMPUTED_VALUE"""),"")</f>
        <v/>
      </c>
      <c r="T46" s="36" t="str">
        <f ca="1">IFERROR(__xludf.DUMMYFUNCTION("""COMPUTED_VALUE"""),"")</f>
        <v/>
      </c>
      <c r="U46" s="36" t="str">
        <f ca="1">IFERROR(__xludf.DUMMYFUNCTION("""COMPUTED_VALUE"""),"")</f>
        <v/>
      </c>
      <c r="V46" s="36" t="str">
        <f ca="1">IFERROR(__xludf.DUMMYFUNCTION("""COMPUTED_VALUE"""),"")</f>
        <v/>
      </c>
      <c r="W46" s="36" t="str">
        <f ca="1">IFERROR(__xludf.DUMMYFUNCTION("""COMPUTED_VALUE"""),"Asistencia al JamScout de MSC con la unidad de Exploradores. Volante por el entorno de Covaleda y el pico Urbión los días previos.")</f>
        <v>Asistencia al JamScout de MSC con la unidad de Exploradores. Volante por el entorno de Covaleda y el pico Urbión los días previos.</v>
      </c>
      <c r="X46" s="36"/>
      <c r="Y46" s="36"/>
      <c r="Z46" s="36"/>
    </row>
    <row r="47" spans="1:26" ht="12.75" hidden="1">
      <c r="A47" s="36" t="str">
        <f ca="1">IFERROR(__xludf.DUMMYFUNCTION("""COMPUTED_VALUE"""),"Castilla y León")</f>
        <v>Castilla y León</v>
      </c>
      <c r="B47" s="36" t="str">
        <f ca="1">IFERROR(__xludf.DUMMYFUNCTION("""COMPUTED_VALUE"""),"Soria")</f>
        <v>Soria</v>
      </c>
      <c r="C47" s="36">
        <f ca="1">IFERROR(__xludf.DUMMYFUNCTION("""COMPUTED_VALUE"""),2018)</f>
        <v>2018</v>
      </c>
      <c r="D47" s="36" t="str">
        <f ca="1">IFERROR(__xludf.DUMMYFUNCTION("""COMPUTED_VALUE"""),"Amorós")</f>
        <v>Amorós</v>
      </c>
      <c r="E47" s="36" t="str">
        <f ca="1">IFERROR(__xludf.DUMMYFUNCTION("""COMPUTED_VALUE"""),"gs.amoros@scoutsdemadrid.org ")</f>
        <v xml:space="preserve">gs.amoros@scoutsdemadrid.org </v>
      </c>
      <c r="F47" s="48">
        <f ca="1">IFERROR(__xludf.DUMMYFUNCTION("""COMPUTED_VALUE"""),43294)</f>
        <v>43294</v>
      </c>
      <c r="G47" s="48">
        <f ca="1">IFERROR(__xludf.DUMMYFUNCTION("""COMPUTED_VALUE"""),43342)</f>
        <v>43342</v>
      </c>
      <c r="H47" s="36" t="str">
        <f ca="1">IFERROR(__xludf.DUMMYFUNCTION("""COMPUTED_VALUE"""),"Soria ")</f>
        <v xml:space="preserve">Soria </v>
      </c>
      <c r="I47" s="36" t="str">
        <f ca="1">IFERROR(__xludf.DUMMYFUNCTION("""COMPUTED_VALUE"""),"LA FUENTE UCERO - Monte nº 132")</f>
        <v>LA FUENTE UCERO - Monte nº 132</v>
      </c>
      <c r="J47" s="36" t="str">
        <f ca="1">IFERROR(__xludf.DUMMYFUNCTION("""COMPUTED_VALUE"""),"tenemos que llamar al ayuntamiento para poder conseguirlo otra vez")</f>
        <v>tenemos que llamar al ayuntamiento para poder conseguirlo otra vez</v>
      </c>
      <c r="K47" s="36" t="str">
        <f ca="1">IFERROR(__xludf.DUMMYFUNCTION("""COMPUTED_VALUE"""),"Datum: ETRS89 Latitud: 41º  58´ 1.34´´ N Longitud: 2º  56´ 28.71´´  Huso UTM: 30 Coord. X: 504.863,32 Coord. Y: 4.646.116,37 Nivel: 16")</f>
        <v>Datum: ETRS89 Latitud: 41º  58´ 1.34´´ N Longitud: 2º  56´ 28.71´´  Huso UTM: 30 Coord. X: 504.863,32 Coord. Y: 4.646.116,37 Nivel: 16</v>
      </c>
      <c r="L47" s="36" t="str">
        <f ca="1">IFERROR(__xludf.DUMMYFUNCTION("""COMPUTED_VALUE"""),"Ayuntamiento")</f>
        <v>Ayuntamiento</v>
      </c>
      <c r="M47" s="36">
        <f ca="1">IFERROR(__xludf.DUMMYFUNCTION("""COMPUTED_VALUE"""),975371250)</f>
        <v>975371250</v>
      </c>
      <c r="N47" s="36" t="str">
        <f ca="1">IFERROR(__xludf.DUMMYFUNCTION("""COMPUTED_VALUE"""),"duruelo@duruelodelasierra.es")</f>
        <v>duruelo@duruelodelasierra.es</v>
      </c>
      <c r="O47" s="51">
        <f ca="1">IFERROR(__xludf.DUMMYFUNCTION("""COMPUTED_VALUE"""),7.8)</f>
        <v>7.8</v>
      </c>
      <c r="P47" s="36" t="str">
        <f ca="1">IFERROR(__xludf.DUMMYFUNCTION("""COMPUTED_VALUE"""),"83.950 m2")</f>
        <v>83.950 m2</v>
      </c>
      <c r="Q47" s="36" t="str">
        <f ca="1">IFERROR(__xludf.DUMMYFUNCTION("""COMPUTED_VALUE"""),"BUENO (Se puede acceder con cualquier coche)")</f>
        <v>BUENO (Se puede acceder con cualquier coche)</v>
      </c>
      <c r="R47" s="36" t="str">
        <f ca="1">IFERROR(__xludf.DUMMYFUNCTION("""COMPUTED_VALUE"""),"Sí")</f>
        <v>Sí</v>
      </c>
      <c r="S47" s="36" t="str">
        <f ca="1">IFERROR(__xludf.DUMMYFUNCTION("""COMPUTED_VALUE"""),"100m")</f>
        <v>100m</v>
      </c>
      <c r="T47" s="36" t="str">
        <f ca="1">IFERROR(__xludf.DUMMYFUNCTION("""COMPUTED_VALUE"""),"tiene un rio con pequeñas pozas ")</f>
        <v xml:space="preserve">tiene un rio con pequeñas pozas </v>
      </c>
      <c r="U47" s="36" t="str">
        <f ca="1">IFERROR(__xludf.DUMMYFUNCTION("""COMPUTED_VALUE"""),"No ")</f>
        <v xml:space="preserve">No </v>
      </c>
      <c r="V47" s="36" t="str">
        <f ca="1">IFERROR(__xludf.DUMMYFUNCTION("""COMPUTED_VALUE"""),"Si ")</f>
        <v xml:space="preserve">Si </v>
      </c>
      <c r="W47" s="36" t="str">
        <f ca="1">IFERROR(__xludf.DUMMYFUNCTION("""COMPUTED_VALUE"""),"Es un pinar tiene mucha zona de sombra y es un terreno muy grande aunque no lo utilizaremos por completo. ")</f>
        <v xml:space="preserve">Es un pinar tiene mucha zona de sombra y es un terreno muy grande aunque no lo utilizaremos por completo. </v>
      </c>
      <c r="X47" s="36"/>
      <c r="Y47" s="36"/>
      <c r="Z47" s="36"/>
    </row>
    <row r="48" spans="1:26" ht="12.75" hidden="1">
      <c r="A48" s="36" t="str">
        <f ca="1">IFERROR(__xludf.DUMMYFUNCTION("""COMPUTED_VALUE"""),"Castilla y León")</f>
        <v>Castilla y León</v>
      </c>
      <c r="B48" s="36" t="str">
        <f ca="1">IFERROR(__xludf.DUMMYFUNCTION("""COMPUTED_VALUE"""),"León")</f>
        <v>León</v>
      </c>
      <c r="C48" s="36">
        <f ca="1">IFERROR(__xludf.DUMMYFUNCTION("""COMPUTED_VALUE"""),2015)</f>
        <v>2015</v>
      </c>
      <c r="D48" s="36" t="str">
        <f ca="1">IFERROR(__xludf.DUMMYFUNCTION("""COMPUTED_VALUE"""),"Buen Pastor")</f>
        <v>Buen Pastor</v>
      </c>
      <c r="E48" s="36" t="str">
        <f ca="1">IFERROR(__xludf.DUMMYFUNCTION("""COMPUTED_VALUE"""),"gs.buenpastor@scoutsdemadrid.org ")</f>
        <v xml:space="preserve">gs.buenpastor@scoutsdemadrid.org </v>
      </c>
      <c r="F48" s="48">
        <f ca="1">IFERROR(__xludf.DUMMYFUNCTION("""COMPUTED_VALUE"""),42186)</f>
        <v>42186</v>
      </c>
      <c r="G48" s="48">
        <f ca="1">IFERROR(__xludf.DUMMYFUNCTION("""COMPUTED_VALUE"""),42169)</f>
        <v>42169</v>
      </c>
      <c r="H48" s="36" t="str">
        <f ca="1">IFERROR(__xludf.DUMMYFUNCTION("""COMPUTED_VALUE"""),"Acebedo")</f>
        <v>Acebedo</v>
      </c>
      <c r="I48" s="36" t="str">
        <f ca="1">IFERROR(__xludf.DUMMYFUNCTION("""COMPUTED_VALUE"""),"Acebedo")</f>
        <v>Acebedo</v>
      </c>
      <c r="J48" s="36" t="str">
        <f ca="1">IFERROR(__xludf.DUMMYFUNCTION("""COMPUTED_VALUE"""),"")</f>
        <v/>
      </c>
      <c r="K48" s="36" t="str">
        <f ca="1">IFERROR(__xludf.DUMMYFUNCTION("""COMPUTED_VALUE"""),"")</f>
        <v/>
      </c>
      <c r="L48" s="36" t="str">
        <f ca="1">IFERROR(__xludf.DUMMYFUNCTION("""COMPUTED_VALUE"""),"")</f>
        <v/>
      </c>
      <c r="M48" s="36" t="str">
        <f ca="1">IFERROR(__xludf.DUMMYFUNCTION("""COMPUTED_VALUE"""),"")</f>
        <v/>
      </c>
      <c r="N48" s="36" t="str">
        <f ca="1">IFERROR(__xludf.DUMMYFUNCTION("""COMPUTED_VALUE"""),"")</f>
        <v/>
      </c>
      <c r="O48" s="36" t="str">
        <f ca="1">IFERROR(__xludf.DUMMYFUNCTION("""COMPUTED_VALUE"""),"")</f>
        <v/>
      </c>
      <c r="P48" s="36" t="str">
        <f ca="1">IFERROR(__xludf.DUMMYFUNCTION("""COMPUTED_VALUE"""),"")</f>
        <v/>
      </c>
      <c r="Q48" s="36" t="str">
        <f ca="1">IFERROR(__xludf.DUMMYFUNCTION("""COMPUTED_VALUE"""),"")</f>
        <v/>
      </c>
      <c r="R48" s="36" t="str">
        <f ca="1">IFERROR(__xludf.DUMMYFUNCTION("""COMPUTED_VALUE"""),"")</f>
        <v/>
      </c>
      <c r="S48" s="36" t="str">
        <f ca="1">IFERROR(__xludf.DUMMYFUNCTION("""COMPUTED_VALUE"""),"")</f>
        <v/>
      </c>
      <c r="T48" s="36" t="str">
        <f ca="1">IFERROR(__xludf.DUMMYFUNCTION("""COMPUTED_VALUE"""),"")</f>
        <v/>
      </c>
      <c r="U48" s="36" t="str">
        <f ca="1">IFERROR(__xludf.DUMMYFUNCTION("""COMPUTED_VALUE"""),"")</f>
        <v/>
      </c>
      <c r="V48" s="36" t="str">
        <f ca="1">IFERROR(__xludf.DUMMYFUNCTION("""COMPUTED_VALUE"""),"")</f>
        <v/>
      </c>
      <c r="W48" s="36" t="str">
        <f ca="1">IFERROR(__xludf.DUMMYFUNCTION("""COMPUTED_VALUE"""),"")</f>
        <v/>
      </c>
      <c r="X48" s="36"/>
      <c r="Y48" s="36"/>
      <c r="Z48" s="36"/>
    </row>
    <row r="49" spans="1:26" ht="12.75" hidden="1">
      <c r="A49" s="36" t="str">
        <f ca="1">IFERROR(__xludf.DUMMYFUNCTION("""COMPUTED_VALUE"""),"Castilla y León")</f>
        <v>Castilla y León</v>
      </c>
      <c r="B49" s="36" t="str">
        <f ca="1">IFERROR(__xludf.DUMMYFUNCTION("""COMPUTED_VALUE"""),"León")</f>
        <v>León</v>
      </c>
      <c r="C49" s="36">
        <f ca="1">IFERROR(__xludf.DUMMYFUNCTION("""COMPUTED_VALUE"""),2018)</f>
        <v>2018</v>
      </c>
      <c r="D49" s="36" t="str">
        <f ca="1">IFERROR(__xludf.DUMMYFUNCTION("""COMPUTED_VALUE"""),"Buen Pastor")</f>
        <v>Buen Pastor</v>
      </c>
      <c r="E49" s="36" t="str">
        <f ca="1">IFERROR(__xludf.DUMMYFUNCTION("""COMPUTED_VALUE"""),"gs.buenpastor@scoutsdemadrid.org ")</f>
        <v xml:space="preserve">gs.buenpastor@scoutsdemadrid.org </v>
      </c>
      <c r="F49" s="48">
        <f ca="1">IFERROR(__xludf.DUMMYFUNCTION("""COMPUTED_VALUE"""),43294)</f>
        <v>43294</v>
      </c>
      <c r="G49" s="48">
        <f ca="1">IFERROR(__xludf.DUMMYFUNCTION("""COMPUTED_VALUE"""),43311)</f>
        <v>43311</v>
      </c>
      <c r="H49" s="36" t="str">
        <f ca="1">IFERROR(__xludf.DUMMYFUNCTION("""COMPUTED_VALUE"""),"Cofiñal")</f>
        <v>Cofiñal</v>
      </c>
      <c r="I49" s="36" t="str">
        <f ca="1">IFERROR(__xludf.DUMMYFUNCTION("""COMPUTED_VALUE"""),"Las Lamas")</f>
        <v>Las Lamas</v>
      </c>
      <c r="J49" s="36" t="str">
        <f ca="1">IFERROR(__xludf.DUMMYFUNCTION("""COMPUTED_VALUE"""),"24124A00200228")</f>
        <v>24124A00200228</v>
      </c>
      <c r="K49" s="36" t="str">
        <f ca="1">IFERROR(__xludf.DUMMYFUNCTION("""COMPUTED_VALUE"""),"N:43º02`59,5'' O:5º16'43,5""")</f>
        <v>N:43º02`59,5'' O:5º16'43,5"</v>
      </c>
      <c r="L49" s="36" t="str">
        <f ca="1">IFERROR(__xludf.DUMMYFUNCTION("""COMPUTED_VALUE"""),"CELESTINO DIEZ ALONSO")</f>
        <v>CELESTINO DIEZ ALONSO</v>
      </c>
      <c r="M49" s="36">
        <f ca="1">IFERROR(__xludf.DUMMYFUNCTION("""COMPUTED_VALUE"""),605670665)</f>
        <v>605670665</v>
      </c>
      <c r="N49" s="36" t="str">
        <f ca="1">IFERROR(__xludf.DUMMYFUNCTION("""COMPUTED_VALUE"""),"-----")</f>
        <v>-----</v>
      </c>
      <c r="O49" s="36" t="str">
        <f ca="1">IFERROR(__xludf.DUMMYFUNCTION("""COMPUTED_VALUE"""),"450€ la quincena")</f>
        <v>450€ la quincena</v>
      </c>
      <c r="P49" s="36" t="str">
        <f ca="1">IFERROR(__xludf.DUMMYFUNCTION("""COMPUTED_VALUE"""),"22.815m2")</f>
        <v>22.815m2</v>
      </c>
      <c r="Q49" s="36" t="str">
        <f ca="1">IFERROR(__xludf.DUMMYFUNCTION("""COMPUTED_VALUE"""),"BUENO (Se puede acceder con cualquier coche)")</f>
        <v>BUENO (Se puede acceder con cualquier coche)</v>
      </c>
      <c r="R49" s="36" t="str">
        <f ca="1">IFERROR(__xludf.DUMMYFUNCTION("""COMPUTED_VALUE"""),"Sí")</f>
        <v>Sí</v>
      </c>
      <c r="S49" s="36" t="str">
        <f ca="1">IFERROR(__xludf.DUMMYFUNCTION("""COMPUTED_VALUE"""),"EL rio pasa por un lateral de la finca")</f>
        <v>EL rio pasa por un lateral de la finca</v>
      </c>
      <c r="T49" s="36" t="str">
        <f ca="1">IFERROR(__xludf.DUMMYFUNCTION("""COMPUTED_VALUE"""),"Desde la propia finca solo se puede acceder para bombear agua. Si se anda unos metros hay pozas moderadamente acondicionadas.")</f>
        <v>Desde la propia finca solo se puede acceder para bombear agua. Si se anda unos metros hay pozas moderadamente acondicionadas.</v>
      </c>
      <c r="U49" s="36" t="str">
        <f ca="1">IFERROR(__xludf.DUMMYFUNCTION("""COMPUTED_VALUE"""),"No. Existe al lado de la finca un antiguo Invernadero que esta cerrado y no es posible su acceso.")</f>
        <v>No. Existe al lado de la finca un antiguo Invernadero que esta cerrado y no es posible su acceso.</v>
      </c>
      <c r="V49" s="36" t="str">
        <f ca="1">IFERROR(__xludf.DUMMYFUNCTION("""COMPUTED_VALUE"""),"Si")</f>
        <v>Si</v>
      </c>
      <c r="W49" s="36" t="str">
        <f ca="1">IFERROR(__xludf.DUMMYFUNCTION("""COMPUTED_VALUE"""),"Es una campa bastante grande, con distintas alturas. Es sencillo conseguir el agua para las instalaciones. Dispone de espacio suficiente para realizar las actividades. El acceso es bueno y el pueblo esta a 2km de la finca.")</f>
        <v>Es una campa bastante grande, con distintas alturas. Es sencillo conseguir el agua para las instalaciones. Dispone de espacio suficiente para realizar las actividades. El acceso es bueno y el pueblo esta a 2km de la finca.</v>
      </c>
      <c r="X49" s="36"/>
      <c r="Y49" s="36"/>
      <c r="Z49" s="36"/>
    </row>
    <row r="50" spans="1:26" ht="12.75" hidden="1">
      <c r="A50" s="36" t="str">
        <f ca="1">IFERROR(__xludf.DUMMYFUNCTION("""COMPUTED_VALUE"""),"Castilla y León")</f>
        <v>Castilla y León</v>
      </c>
      <c r="B50" s="36" t="str">
        <f ca="1">IFERROR(__xludf.DUMMYFUNCTION("""COMPUTED_VALUE"""),"León")</f>
        <v>León</v>
      </c>
      <c r="C50" s="36">
        <f ca="1">IFERROR(__xludf.DUMMYFUNCTION("""COMPUTED_VALUE"""),2019)</f>
        <v>2019</v>
      </c>
      <c r="D50" s="36" t="str">
        <f ca="1">IFERROR(__xludf.DUMMYFUNCTION("""COMPUTED_VALUE"""),"Calasanz Val")</f>
        <v>Calasanz Val</v>
      </c>
      <c r="E50" s="36" t="str">
        <f ca="1">IFERROR(__xludf.DUMMYFUNCTION("""COMPUTED_VALUE"""),"gs.calasanz@scoutsdemadrid.org ")</f>
        <v xml:space="preserve">gs.calasanz@scoutsdemadrid.org </v>
      </c>
      <c r="F50" s="36">
        <f ca="1">IFERROR(__xludf.DUMMYFUNCTION("""COMPUTED_VALUE"""),43647)</f>
        <v>43647</v>
      </c>
      <c r="G50" s="36">
        <f ca="1">IFERROR(__xludf.DUMMYFUNCTION("""COMPUTED_VALUE"""),43661)</f>
        <v>43661</v>
      </c>
      <c r="H50" s="36" t="str">
        <f ca="1">IFERROR(__xludf.DUMMYFUNCTION("""COMPUTED_VALUE"""),"Noceda Del Bierzo")</f>
        <v>Noceda Del Bierzo</v>
      </c>
      <c r="I50" s="36" t="str">
        <f ca="1">IFERROR(__xludf.DUMMYFUNCTION("""COMPUTED_VALUE"""),"Camping Los Chanos")</f>
        <v>Camping Los Chanos</v>
      </c>
      <c r="J50" s="36" t="str">
        <f ca="1">IFERROR(__xludf.DUMMYFUNCTION("""COMPUTED_VALUE""")," 24104A03190307")</f>
        <v xml:space="preserve"> 24104A03190307</v>
      </c>
      <c r="K50" s="36" t="str">
        <f ca="1">IFERROR(__xludf.DUMMYFUNCTION("""COMPUTED_VALUE"""),"42.716139, -6.398513")</f>
        <v>42.716139, -6.398513</v>
      </c>
      <c r="L50" s="36" t="str">
        <f ca="1">IFERROR(__xludf.DUMMYFUNCTION("""COMPUTED_VALUE"""),"Pablo García Moreno - Sportanoe")</f>
        <v>Pablo García Moreno - Sportanoe</v>
      </c>
      <c r="M50" s="36" t="str">
        <f ca="1">IFERROR(__xludf.DUMMYFUNCTION("""COMPUTED_VALUE""")," 687 49 29 23")</f>
        <v xml:space="preserve"> 687 49 29 23</v>
      </c>
      <c r="N50" s="36" t="str">
        <f ca="1">IFERROR(__xludf.DUMMYFUNCTION("""COMPUTED_VALUE"""),"pablogmoreno@sportanoe.com")</f>
        <v>pablogmoreno@sportanoe.com</v>
      </c>
      <c r="O50" s="36" t="str">
        <f ca="1">IFERROR(__xludf.DUMMYFUNCTION("""COMPUTED_VALUE"""),"16 euros/persona")</f>
        <v>16 euros/persona</v>
      </c>
      <c r="P50" s="36" t="str">
        <f ca="1">IFERROR(__xludf.DUMMYFUNCTION("""COMPUTED_VALUE"""),"NS")</f>
        <v>NS</v>
      </c>
      <c r="Q50" s="36" t="str">
        <f ca="1">IFERROR(__xludf.DUMMYFUNCTION("""COMPUTED_VALUE"""),"BUENO (Se puede acceder con cualquier coche)")</f>
        <v>BUENO (Se puede acceder con cualquier coche)</v>
      </c>
      <c r="R50" s="36" t="str">
        <f ca="1">IFERROR(__xludf.DUMMYFUNCTION("""COMPUTED_VALUE"""),"No")</f>
        <v>No</v>
      </c>
      <c r="S50" s="36" t="str">
        <f ca="1">IFERROR(__xludf.DUMMYFUNCTION("""COMPUTED_VALUE"""),"20minutos")</f>
        <v>20minutos</v>
      </c>
      <c r="T50" s="36" t="str">
        <f ca="1">IFERROR(__xludf.DUMMYFUNCTION("""COMPUTED_VALUE"""),"Piscina municipal")</f>
        <v>Piscina municipal</v>
      </c>
      <c r="U50" s="36" t="str">
        <f ca="1">IFERROR(__xludf.DUMMYFUNCTION("""COMPUTED_VALUE"""),"Cocina, baños")</f>
        <v>Cocina, baños</v>
      </c>
      <c r="V50" s="36" t="str">
        <f ca="1">IFERROR(__xludf.DUMMYFUNCTION("""COMPUTED_VALUE"""),"NS")</f>
        <v>NS</v>
      </c>
      <c r="W50" s="36" t="str">
        <f ca="1">IFERROR(__xludf.DUMMYFUNCTION("""COMPUTED_VALUE"""),"Buen trato, te hacen la comida")</f>
        <v>Buen trato, te hacen la comida</v>
      </c>
      <c r="X50" s="36"/>
      <c r="Y50" s="36"/>
      <c r="Z50" s="36"/>
    </row>
    <row r="51" spans="1:26" ht="12.75" hidden="1">
      <c r="A51" s="36" t="str">
        <f ca="1">IFERROR(__xludf.DUMMYFUNCTION("""COMPUTED_VALUE"""),"Castilla y León")</f>
        <v>Castilla y León</v>
      </c>
      <c r="B51" s="36" t="str">
        <f ca="1">IFERROR(__xludf.DUMMYFUNCTION("""COMPUTED_VALUE"""),"Ávila")</f>
        <v>Ávila</v>
      </c>
      <c r="C51" s="36">
        <f ca="1">IFERROR(__xludf.DUMMYFUNCTION("""COMPUTED_VALUE"""),2012)</f>
        <v>2012</v>
      </c>
      <c r="D51" s="36" t="str">
        <f ca="1">IFERROR(__xludf.DUMMYFUNCTION("""COMPUTED_VALUE"""),"Calasanz-Val")</f>
        <v>Calasanz-Val</v>
      </c>
      <c r="E51" s="36" t="str">
        <f ca="1">IFERROR(__xludf.DUMMYFUNCTION("""COMPUTED_VALUE"""),"gs.calasanz@scoutsdemadrid.org ")</f>
        <v xml:space="preserve">gs.calasanz@scoutsdemadrid.org </v>
      </c>
      <c r="F51" s="48">
        <f ca="1">IFERROR(__xludf.DUMMYFUNCTION("""COMPUTED_VALUE"""),41091)</f>
        <v>41091</v>
      </c>
      <c r="G51" s="48">
        <f ca="1">IFERROR(__xludf.DUMMYFUNCTION("""COMPUTED_VALUE"""),41115)</f>
        <v>41115</v>
      </c>
      <c r="H51" s="36" t="str">
        <f ca="1">IFERROR(__xludf.DUMMYFUNCTION("""COMPUTED_VALUE"""),"Llanos De Tormes")</f>
        <v>Llanos De Tormes</v>
      </c>
      <c r="I51" s="36" t="str">
        <f ca="1">IFERROR(__xludf.DUMMYFUNCTION("""COMPUTED_VALUE"""),"Llanos de Tormes")</f>
        <v>Llanos de Tormes</v>
      </c>
      <c r="J51" s="36" t="str">
        <f ca="1">IFERROR(__xludf.DUMMYFUNCTION("""COMPUTED_VALUE"""),"")</f>
        <v/>
      </c>
      <c r="K51" s="36" t="str">
        <f ca="1">IFERROR(__xludf.DUMMYFUNCTION("""COMPUTED_VALUE"""),"")</f>
        <v/>
      </c>
      <c r="L51" s="36" t="str">
        <f ca="1">IFERROR(__xludf.DUMMYFUNCTION("""COMPUTED_VALUE"""),"")</f>
        <v/>
      </c>
      <c r="M51" s="36" t="str">
        <f ca="1">IFERROR(__xludf.DUMMYFUNCTION("""COMPUTED_VALUE"""),"")</f>
        <v/>
      </c>
      <c r="N51" s="36" t="str">
        <f ca="1">IFERROR(__xludf.DUMMYFUNCTION("""COMPUTED_VALUE"""),"")</f>
        <v/>
      </c>
      <c r="O51" s="36" t="str">
        <f ca="1">IFERROR(__xludf.DUMMYFUNCTION("""COMPUTED_VALUE"""),"")</f>
        <v/>
      </c>
      <c r="P51" s="36" t="str">
        <f ca="1">IFERROR(__xludf.DUMMYFUNCTION("""COMPUTED_VALUE"""),"")</f>
        <v/>
      </c>
      <c r="Q51" s="36" t="str">
        <f ca="1">IFERROR(__xludf.DUMMYFUNCTION("""COMPUTED_VALUE"""),"")</f>
        <v/>
      </c>
      <c r="R51" s="36" t="str">
        <f ca="1">IFERROR(__xludf.DUMMYFUNCTION("""COMPUTED_VALUE"""),"")</f>
        <v/>
      </c>
      <c r="S51" s="36" t="str">
        <f ca="1">IFERROR(__xludf.DUMMYFUNCTION("""COMPUTED_VALUE"""),"")</f>
        <v/>
      </c>
      <c r="T51" s="36" t="str">
        <f ca="1">IFERROR(__xludf.DUMMYFUNCTION("""COMPUTED_VALUE"""),"")</f>
        <v/>
      </c>
      <c r="U51" s="36" t="str">
        <f ca="1">IFERROR(__xludf.DUMMYFUNCTION("""COMPUTED_VALUE"""),"")</f>
        <v/>
      </c>
      <c r="V51" s="36" t="str">
        <f ca="1">IFERROR(__xludf.DUMMYFUNCTION("""COMPUTED_VALUE"""),"")</f>
        <v/>
      </c>
      <c r="W51" s="36" t="str">
        <f ca="1">IFERROR(__xludf.DUMMYFUNCTION("""COMPUTED_VALUE"""),"")</f>
        <v/>
      </c>
      <c r="X51" s="36"/>
      <c r="Y51" s="36"/>
      <c r="Z51" s="36"/>
    </row>
    <row r="52" spans="1:26" ht="12.75" hidden="1">
      <c r="A52" s="36" t="str">
        <f ca="1">IFERROR(__xludf.DUMMYFUNCTION("""COMPUTED_VALUE"""),"Castilla y León")</f>
        <v>Castilla y León</v>
      </c>
      <c r="B52" s="36" t="str">
        <f ca="1">IFERROR(__xludf.DUMMYFUNCTION("""COMPUTED_VALUE"""),"Soria")</f>
        <v>Soria</v>
      </c>
      <c r="C52" s="36">
        <f ca="1">IFERROR(__xludf.DUMMYFUNCTION("""COMPUTED_VALUE"""),2016)</f>
        <v>2016</v>
      </c>
      <c r="D52" s="36" t="str">
        <f ca="1">IFERROR(__xludf.DUMMYFUNCTION("""COMPUTED_VALUE"""),"Claret")</f>
        <v>Claret</v>
      </c>
      <c r="E52" s="36" t="str">
        <f ca="1">IFERROR(__xludf.DUMMYFUNCTION("""COMPUTED_VALUE"""),"gs.claret@scoutsdemadrid.org ")</f>
        <v xml:space="preserve">gs.claret@scoutsdemadrid.org </v>
      </c>
      <c r="F52" s="48">
        <f ca="1">IFERROR(__xludf.DUMMYFUNCTION("""COMPUTED_VALUE"""),41101)</f>
        <v>41101</v>
      </c>
      <c r="G52" s="48">
        <f ca="1">IFERROR(__xludf.DUMMYFUNCTION("""COMPUTED_VALUE"""),41120)</f>
        <v>41120</v>
      </c>
      <c r="H52" s="36" t="str">
        <f ca="1">IFERROR(__xludf.DUMMYFUNCTION("""COMPUTED_VALUE"""),"Herreros")</f>
        <v>Herreros</v>
      </c>
      <c r="I52" s="36" t="str">
        <f ca="1">IFERROR(__xludf.DUMMYFUNCTION("""COMPUTED_VALUE"""),"El Ejido")</f>
        <v>El Ejido</v>
      </c>
      <c r="J52" s="36" t="str">
        <f ca="1">IFERROR(__xludf.DUMMYFUNCTION("""COMPUTED_VALUE"""),"")</f>
        <v/>
      </c>
      <c r="K52" s="49" t="str">
        <f ca="1">IFERROR(__xludf.DUMMYFUNCTION("""COMPUTED_VALUE"""),"https://maps.google.es/maps/ms?msid=203418343783550310345.0004c1466ed55533d522c&amp;msa=0&amp;ll=41.834462,-2.743492&amp;spn=0.02785,0.066047")</f>
        <v>https://maps.google.es/maps/ms?msid=203418343783550310345.0004c1466ed55533d522c&amp;msa=0&amp;ll=41.834462,-2.743492&amp;spn=0.02785,0.066047</v>
      </c>
      <c r="L52" s="36" t="str">
        <f ca="1">IFERROR(__xludf.DUMMYFUNCTION("""COMPUTED_VALUE"""),"")</f>
        <v/>
      </c>
      <c r="M52" s="36" t="str">
        <f ca="1">IFERROR(__xludf.DUMMYFUNCTION("""COMPUTED_VALUE"""),"")</f>
        <v/>
      </c>
      <c r="N52" s="36" t="str">
        <f ca="1">IFERROR(__xludf.DUMMYFUNCTION("""COMPUTED_VALUE"""),"")</f>
        <v/>
      </c>
      <c r="O52" s="36" t="str">
        <f ca="1">IFERROR(__xludf.DUMMYFUNCTION("""COMPUTED_VALUE"""),"")</f>
        <v/>
      </c>
      <c r="P52" s="36" t="str">
        <f ca="1">IFERROR(__xludf.DUMMYFUNCTION("""COMPUTED_VALUE"""),"")</f>
        <v/>
      </c>
      <c r="Q52" s="36" t="str">
        <f ca="1">IFERROR(__xludf.DUMMYFUNCTION("""COMPUTED_VALUE"""),"")</f>
        <v/>
      </c>
      <c r="R52" s="36" t="str">
        <f ca="1">IFERROR(__xludf.DUMMYFUNCTION("""COMPUTED_VALUE"""),"")</f>
        <v/>
      </c>
      <c r="S52" s="36" t="str">
        <f ca="1">IFERROR(__xludf.DUMMYFUNCTION("""COMPUTED_VALUE"""),"")</f>
        <v/>
      </c>
      <c r="T52" s="36" t="str">
        <f ca="1">IFERROR(__xludf.DUMMYFUNCTION("""COMPUTED_VALUE"""),"")</f>
        <v/>
      </c>
      <c r="U52" s="36" t="str">
        <f ca="1">IFERROR(__xludf.DUMMYFUNCTION("""COMPUTED_VALUE"""),"")</f>
        <v/>
      </c>
      <c r="V52" s="36" t="str">
        <f ca="1">IFERROR(__xludf.DUMMYFUNCTION("""COMPUTED_VALUE"""),"")</f>
        <v/>
      </c>
      <c r="W52" s="36" t="str">
        <f ca="1">IFERROR(__xludf.DUMMYFUNCTION("""COMPUTED_VALUE"""),"")</f>
        <v/>
      </c>
      <c r="X52" s="36"/>
      <c r="Y52" s="36"/>
      <c r="Z52" s="36"/>
    </row>
    <row r="53" spans="1:26" ht="12.75" hidden="1">
      <c r="A53" s="36" t="str">
        <f ca="1">IFERROR(__xludf.DUMMYFUNCTION("""COMPUTED_VALUE"""),"Castilla y León")</f>
        <v>Castilla y León</v>
      </c>
      <c r="B53" s="36" t="str">
        <f ca="1">IFERROR(__xludf.DUMMYFUNCTION("""COMPUTED_VALUE"""),"León")</f>
        <v>León</v>
      </c>
      <c r="C53" s="36">
        <f ca="1">IFERROR(__xludf.DUMMYFUNCTION("""COMPUTED_VALUE"""),2016)</f>
        <v>2016</v>
      </c>
      <c r="D53" s="36" t="str">
        <f ca="1">IFERROR(__xludf.DUMMYFUNCTION("""COMPUTED_VALUE"""),"Claret")</f>
        <v>Claret</v>
      </c>
      <c r="E53" s="36" t="str">
        <f ca="1">IFERROR(__xludf.DUMMYFUNCTION("""COMPUTED_VALUE"""),"gs.claret@scoutsdemadrid.org ")</f>
        <v xml:space="preserve">gs.claret@scoutsdemadrid.org </v>
      </c>
      <c r="F53" s="48">
        <f ca="1">IFERROR(__xludf.DUMMYFUNCTION("""COMPUTED_VALUE"""),42566)</f>
        <v>42566</v>
      </c>
      <c r="G53" s="48">
        <f ca="1">IFERROR(__xludf.DUMMYFUNCTION("""COMPUTED_VALUE"""),42581)</f>
        <v>42581</v>
      </c>
      <c r="H53" s="36" t="str">
        <f ca="1">IFERROR(__xludf.DUMMYFUNCTION("""COMPUTED_VALUE"""),"Cofiñal (Puebla De Lillo)")</f>
        <v>Cofiñal (Puebla De Lillo)</v>
      </c>
      <c r="I53" s="36" t="str">
        <f ca="1">IFERROR(__xludf.DUMMYFUNCTION("""COMPUTED_VALUE"""),"PRADO DE LAS LERAS")</f>
        <v>PRADO DE LAS LERAS</v>
      </c>
      <c r="J53" s="36" t="str">
        <f ca="1">IFERROR(__xludf.DUMMYFUNCTION("""COMPUTED_VALUE"""),"")</f>
        <v/>
      </c>
      <c r="K53" s="36" t="str">
        <f ca="1">IFERROR(__xludf.DUMMYFUNCTION("""COMPUTED_VALUE"""),"43°2'25.22""N, 5°16'32.00""W")</f>
        <v>43°2'25.22"N, 5°16'32.00"W</v>
      </c>
      <c r="L53" s="36" t="str">
        <f ca="1">IFERROR(__xludf.DUMMYFUNCTION("""COMPUTED_VALUE"""),"CELESTINO DIEZ ALONSO")</f>
        <v>CELESTINO DIEZ ALONSO</v>
      </c>
      <c r="M53" s="36">
        <f ca="1">IFERROR(__xludf.DUMMYFUNCTION("""COMPUTED_VALUE"""),605670665)</f>
        <v>605670665</v>
      </c>
      <c r="N53" s="36" t="str">
        <f ca="1">IFERROR(__xludf.DUMMYFUNCTION("""COMPUTED_VALUE"""),"")</f>
        <v/>
      </c>
      <c r="O53" s="36" t="str">
        <f ca="1">IFERROR(__xludf.DUMMYFUNCTION("""COMPUTED_VALUE"""),"500€ EN TOTAL")</f>
        <v>500€ EN TOTAL</v>
      </c>
      <c r="P53" s="36" t="str">
        <f ca="1">IFERROR(__xludf.DUMMYFUNCTION("""COMPUTED_VALUE"""),"2 ha")</f>
        <v>2 ha</v>
      </c>
      <c r="Q53" s="36" t="str">
        <f ca="1">IFERROR(__xludf.DUMMYFUNCTION("""COMPUTED_VALUE"""),"BUENO (Se puede acceder con cualquier coche)")</f>
        <v>BUENO (Se puede acceder con cualquier coche)</v>
      </c>
      <c r="R53" s="36" t="str">
        <f ca="1">IFERROR(__xludf.DUMMYFUNCTION("""COMPUTED_VALUE"""),"Sí")</f>
        <v>Sí</v>
      </c>
      <c r="S53" s="36" t="str">
        <f ca="1">IFERROR(__xludf.DUMMYFUNCTION("""COMPUTED_VALUE"""),"Atraviesa la finca el río Porma")</f>
        <v>Atraviesa la finca el río Porma</v>
      </c>
      <c r="T53" s="36" t="str">
        <f ca="1">IFERROR(__xludf.DUMMYFUNCTION("""COMPUTED_VALUE"""),"El río cubre por las rodillas")</f>
        <v>El río cubre por las rodillas</v>
      </c>
      <c r="U53" s="36" t="str">
        <f ca="1">IFERROR(__xludf.DUMMYFUNCTION("""COMPUTED_VALUE"""),"NO")</f>
        <v>NO</v>
      </c>
      <c r="V53" s="36" t="str">
        <f ca="1">IFERROR(__xludf.DUMMYFUNCTION("""COMPUTED_VALUE"""),"SI")</f>
        <v>SI</v>
      </c>
      <c r="W53" s="36" t="str">
        <f ca="1">IFERROR(__xludf.DUMMYFUNCTION("""COMPUTED_VALUE"""),"Buen acceso, con sombras, a 1 km de Cofiñal. Terreno llano y agradable.")</f>
        <v>Buen acceso, con sombras, a 1 km de Cofiñal. Terreno llano y agradable.</v>
      </c>
      <c r="X53" s="36"/>
      <c r="Y53" s="36"/>
      <c r="Z53" s="36"/>
    </row>
    <row r="54" spans="1:26" ht="12.75" hidden="1">
      <c r="A54" s="36" t="str">
        <f ca="1">IFERROR(__xludf.DUMMYFUNCTION("""COMPUTED_VALUE"""),"Castilla y León")</f>
        <v>Castilla y León</v>
      </c>
      <c r="B54" s="36" t="str">
        <f ca="1">IFERROR(__xludf.DUMMYFUNCTION("""COMPUTED_VALUE"""),"León")</f>
        <v>León</v>
      </c>
      <c r="C54" s="36">
        <f ca="1">IFERROR(__xludf.DUMMYFUNCTION("""COMPUTED_VALUE"""),2016)</f>
        <v>2016</v>
      </c>
      <c r="D54" s="36" t="str">
        <f ca="1">IFERROR(__xludf.DUMMYFUNCTION("""COMPUTED_VALUE"""),"Claret")</f>
        <v>Claret</v>
      </c>
      <c r="E54" s="36" t="str">
        <f ca="1">IFERROR(__xludf.DUMMYFUNCTION("""COMPUTED_VALUE"""),"gs.claret@scoutsdemadrid.org ")</f>
        <v xml:space="preserve">gs.claret@scoutsdemadrid.org </v>
      </c>
      <c r="F54" s="48">
        <f ca="1">IFERROR(__xludf.DUMMYFUNCTION("""COMPUTED_VALUE"""),42566)</f>
        <v>42566</v>
      </c>
      <c r="G54" s="48">
        <f ca="1">IFERROR(__xludf.DUMMYFUNCTION("""COMPUTED_VALUE"""),42581)</f>
        <v>42581</v>
      </c>
      <c r="H54" s="36" t="str">
        <f ca="1">IFERROR(__xludf.DUMMYFUNCTION("""COMPUTED_VALUE"""),"Cofiñal (Puebla De Lillo)")</f>
        <v>Cofiñal (Puebla De Lillo)</v>
      </c>
      <c r="I54" s="36" t="str">
        <f ca="1">IFERROR(__xludf.DUMMYFUNCTION("""COMPUTED_VALUE"""),"PRADO DE LAS LERAS")</f>
        <v>PRADO DE LAS LERAS</v>
      </c>
      <c r="J54" s="36" t="str">
        <f ca="1">IFERROR(__xludf.DUMMYFUNCTION("""COMPUTED_VALUE"""),"")</f>
        <v/>
      </c>
      <c r="K54" s="36" t="str">
        <f ca="1">IFERROR(__xludf.DUMMYFUNCTION("""COMPUTED_VALUE"""),"43°2'25.22""N, 5°16'32.00""W")</f>
        <v>43°2'25.22"N, 5°16'32.00"W</v>
      </c>
      <c r="L54" s="36" t="str">
        <f ca="1">IFERROR(__xludf.DUMMYFUNCTION("""COMPUTED_VALUE"""),"CELESTINO DIEZ ALONSO")</f>
        <v>CELESTINO DIEZ ALONSO</v>
      </c>
      <c r="M54" s="36">
        <f ca="1">IFERROR(__xludf.DUMMYFUNCTION("""COMPUTED_VALUE"""),605670665)</f>
        <v>605670665</v>
      </c>
      <c r="N54" s="36" t="str">
        <f ca="1">IFERROR(__xludf.DUMMYFUNCTION("""COMPUTED_VALUE"""),"")</f>
        <v/>
      </c>
      <c r="O54" s="36" t="str">
        <f ca="1">IFERROR(__xludf.DUMMYFUNCTION("""COMPUTED_VALUE"""),"500€ EN TOTAL")</f>
        <v>500€ EN TOTAL</v>
      </c>
      <c r="P54" s="36" t="str">
        <f ca="1">IFERROR(__xludf.DUMMYFUNCTION("""COMPUTED_VALUE"""),"2 ha")</f>
        <v>2 ha</v>
      </c>
      <c r="Q54" s="36" t="str">
        <f ca="1">IFERROR(__xludf.DUMMYFUNCTION("""COMPUTED_VALUE"""),"BUENO (Se puede acceder con cualquier coche)")</f>
        <v>BUENO (Se puede acceder con cualquier coche)</v>
      </c>
      <c r="R54" s="36" t="str">
        <f ca="1">IFERROR(__xludf.DUMMYFUNCTION("""COMPUTED_VALUE"""),"Sí")</f>
        <v>Sí</v>
      </c>
      <c r="S54" s="36" t="str">
        <f ca="1">IFERROR(__xludf.DUMMYFUNCTION("""COMPUTED_VALUE"""),"Atraviesa la finca el río Porma")</f>
        <v>Atraviesa la finca el río Porma</v>
      </c>
      <c r="T54" s="36" t="str">
        <f ca="1">IFERROR(__xludf.DUMMYFUNCTION("""COMPUTED_VALUE"""),"El río cubre por las rodillas")</f>
        <v>El río cubre por las rodillas</v>
      </c>
      <c r="U54" s="36" t="str">
        <f ca="1">IFERROR(__xludf.DUMMYFUNCTION("""COMPUTED_VALUE"""),"NO")</f>
        <v>NO</v>
      </c>
      <c r="V54" s="36" t="str">
        <f ca="1">IFERROR(__xludf.DUMMYFUNCTION("""COMPUTED_VALUE"""),"SI")</f>
        <v>SI</v>
      </c>
      <c r="W54" s="36" t="str">
        <f ca="1">IFERROR(__xludf.DUMMYFUNCTION("""COMPUTED_VALUE"""),"Buen acceso, con sombras, a 1 km de Cofiñal. Terreno llano y agradable.")</f>
        <v>Buen acceso, con sombras, a 1 km de Cofiñal. Terreno llano y agradable.</v>
      </c>
      <c r="X54" s="36"/>
      <c r="Y54" s="36"/>
      <c r="Z54" s="36"/>
    </row>
    <row r="55" spans="1:26" ht="12.75" hidden="1">
      <c r="A55" s="36" t="str">
        <f ca="1">IFERROR(__xludf.DUMMYFUNCTION("""COMPUTED_VALUE"""),"Castilla y León")</f>
        <v>Castilla y León</v>
      </c>
      <c r="B55" s="36" t="str">
        <f ca="1">IFERROR(__xludf.DUMMYFUNCTION("""COMPUTED_VALUE"""),"Ávila")</f>
        <v>Ávila</v>
      </c>
      <c r="C55" s="36">
        <f ca="1">IFERROR(__xludf.DUMMYFUNCTION("""COMPUTED_VALUE"""),2017)</f>
        <v>2017</v>
      </c>
      <c r="D55" s="36" t="str">
        <f ca="1">IFERROR(__xludf.DUMMYFUNCTION("""COMPUTED_VALUE"""),"Claret")</f>
        <v>Claret</v>
      </c>
      <c r="E55" s="36" t="str">
        <f ca="1">IFERROR(__xludf.DUMMYFUNCTION("""COMPUTED_VALUE"""),"gs.claret@scoutsdemadrid.org ")</f>
        <v xml:space="preserve">gs.claret@scoutsdemadrid.org </v>
      </c>
      <c r="F55" s="48">
        <f ca="1">IFERROR(__xludf.DUMMYFUNCTION("""COMPUTED_VALUE"""),42931)</f>
        <v>42931</v>
      </c>
      <c r="G55" s="48">
        <f ca="1">IFERROR(__xludf.DUMMYFUNCTION("""COMPUTED_VALUE"""),42916)</f>
        <v>42916</v>
      </c>
      <c r="H55" s="36" t="str">
        <f ca="1">IFERROR(__xludf.DUMMYFUNCTION("""COMPUTED_VALUE"""),"Mijares")</f>
        <v>Mijares</v>
      </c>
      <c r="I55" s="36" t="str">
        <f ca="1">IFERROR(__xludf.DUMMYFUNCTION("""COMPUTED_VALUE"""),"La Ribera")</f>
        <v>La Ribera</v>
      </c>
      <c r="J55" s="36" t="str">
        <f ca="1">IFERROR(__xludf.DUMMYFUNCTION("""COMPUTED_VALUE"""),"Parcela catastral: 30 . Polígono catastral:13")</f>
        <v>Parcela catastral: 30 . Polígono catastral:13</v>
      </c>
      <c r="K55" s="36" t="str">
        <f ca="1">IFERROR(__xludf.DUMMYFUNCTION("""COMPUTED_VALUE"""),"Latitud: 40º 14´  21.99""  Longitud: -4º 50` 31.92""")</f>
        <v>Latitud: 40º 14´  21.99"  Longitud: -4º 50` 31.92"</v>
      </c>
      <c r="L55" s="36" t="str">
        <f ca="1">IFERROR(__xludf.DUMMYFUNCTION("""COMPUTED_VALUE"""),"Jesús Fernández Castro ")</f>
        <v xml:space="preserve">Jesús Fernández Castro </v>
      </c>
      <c r="M55" s="36">
        <f ca="1">IFERROR(__xludf.DUMMYFUNCTION("""COMPUTED_VALUE"""),647711306)</f>
        <v>647711306</v>
      </c>
      <c r="N55" s="36" t="str">
        <f ca="1">IFERROR(__xludf.DUMMYFUNCTION("""COMPUTED_VALUE"""),"")</f>
        <v/>
      </c>
      <c r="O55" s="36" t="str">
        <f ca="1">IFERROR(__xludf.DUMMYFUNCTION("""COMPUTED_VALUE"""),"800 + IVA")</f>
        <v>800 + IVA</v>
      </c>
      <c r="P55" s="36" t="str">
        <f ca="1">IFERROR(__xludf.DUMMYFUNCTION("""COMPUTED_VALUE"""),"1,7 ha")</f>
        <v>1,7 ha</v>
      </c>
      <c r="Q55" s="36" t="str">
        <f ca="1">IFERROR(__xludf.DUMMYFUNCTION("""COMPUTED_VALUE"""),"BUENO (Se puede acceder con cualquier coche)")</f>
        <v>BUENO (Se puede acceder con cualquier coche)</v>
      </c>
      <c r="R55" s="36" t="str">
        <f ca="1">IFERROR(__xludf.DUMMYFUNCTION("""COMPUTED_VALUE"""),"Sí")</f>
        <v>Sí</v>
      </c>
      <c r="S55" s="36" t="str">
        <f ca="1">IFERROR(__xludf.DUMMYFUNCTION("""COMPUTED_VALUE"""),"Se encuentra dentro de la finca")</f>
        <v>Se encuentra dentro de la finca</v>
      </c>
      <c r="T55" s="36" t="str">
        <f ca="1">IFERROR(__xludf.DUMMYFUNCTION("""COMPUTED_VALUE"""),"Es un río pequeño, no muy caudaloso situado en un lateral de la finca")</f>
        <v>Es un río pequeño, no muy caudaloso situado en un lateral de la finca</v>
      </c>
      <c r="U55" s="36" t="str">
        <f ca="1">IFERROR(__xludf.DUMMYFUNCTION("""COMPUTED_VALUE"""),"No")</f>
        <v>No</v>
      </c>
      <c r="V55" s="36" t="str">
        <f ca="1">IFERROR(__xludf.DUMMYFUNCTION("""COMPUTED_VALUE"""),"Sí")</f>
        <v>Sí</v>
      </c>
      <c r="W55" s="36" t="str">
        <f ca="1">IFERROR(__xludf.DUMMYFUNCTION("""COMPUTED_VALUE"""),"Terreno muy llano")</f>
        <v>Terreno muy llano</v>
      </c>
      <c r="X55" s="36"/>
      <c r="Y55" s="36"/>
      <c r="Z55" s="36"/>
    </row>
    <row r="56" spans="1:26" ht="12.75" hidden="1">
      <c r="A56" s="36" t="str">
        <f ca="1">IFERROR(__xludf.DUMMYFUNCTION("""COMPUTED_VALUE"""),"Castilla y León")</f>
        <v>Castilla y León</v>
      </c>
      <c r="B56" s="36" t="str">
        <f ca="1">IFERROR(__xludf.DUMMYFUNCTION("""COMPUTED_VALUE"""),"León")</f>
        <v>León</v>
      </c>
      <c r="C56" s="36">
        <f ca="1">IFERROR(__xludf.DUMMYFUNCTION("""COMPUTED_VALUE"""),2018)</f>
        <v>2018</v>
      </c>
      <c r="D56" s="36" t="str">
        <f ca="1">IFERROR(__xludf.DUMMYFUNCTION("""COMPUTED_VALUE"""),"Claret")</f>
        <v>Claret</v>
      </c>
      <c r="E56" s="36" t="str">
        <f ca="1">IFERROR(__xludf.DUMMYFUNCTION("""COMPUTED_VALUE"""),"gs.claret@scoutsdemadrid.org ")</f>
        <v xml:space="preserve">gs.claret@scoutsdemadrid.org </v>
      </c>
      <c r="F56" s="48">
        <f ca="1">IFERROR(__xludf.DUMMYFUNCTION("""COMPUTED_VALUE"""),43296)</f>
        <v>43296</v>
      </c>
      <c r="G56" s="48">
        <f ca="1">IFERROR(__xludf.DUMMYFUNCTION("""COMPUTED_VALUE"""),43311)</f>
        <v>43311</v>
      </c>
      <c r="H56" s="36" t="str">
        <f ca="1">IFERROR(__xludf.DUMMYFUNCTION("""COMPUTED_VALUE"""),"Valdepielago")</f>
        <v>Valdepielago</v>
      </c>
      <c r="I56" s="36" t="str">
        <f ca="1">IFERROR(__xludf.DUMMYFUNCTION("""COMPUTED_VALUE"""),"Valdoreo")</f>
        <v>Valdoreo</v>
      </c>
      <c r="J56" s="36" t="str">
        <f ca="1">IFERROR(__xludf.DUMMYFUNCTION("""COMPUTED_VALUE"""),"Poligono catastral: 4 Parcela catastral: 8")</f>
        <v>Poligono catastral: 4 Parcela catastral: 8</v>
      </c>
      <c r="K56" s="36" t="str">
        <f ca="1">IFERROR(__xludf.DUMMYFUNCTION("""COMPUTED_VALUE"""),"42° 52' 32.992''")</f>
        <v>42° 52' 32.992''</v>
      </c>
      <c r="L56" s="36" t="str">
        <f ca="1">IFERROR(__xludf.DUMMYFUNCTION("""COMPUTED_VALUE"""),"Felisa Juana Álvarez Suaréz")</f>
        <v>Felisa Juana Álvarez Suaréz</v>
      </c>
      <c r="M56" s="36">
        <f ca="1">IFERROR(__xludf.DUMMYFUNCTION("""COMPUTED_VALUE"""),987741310)</f>
        <v>987741310</v>
      </c>
      <c r="N56" s="36" t="str">
        <f ca="1">IFERROR(__xludf.DUMMYFUNCTION("""COMPUTED_VALUE"""),"No tiene")</f>
        <v>No tiene</v>
      </c>
      <c r="O56" s="36" t="str">
        <f ca="1">IFERROR(__xludf.DUMMYFUNCTION("""COMPUTED_VALUE"""),"Precio fijo de la finca= 400€")</f>
        <v>Precio fijo de la finca= 400€</v>
      </c>
      <c r="P56" s="36">
        <f ca="1">IFERROR(__xludf.DUMMYFUNCTION("""COMPUTED_VALUE"""),1)</f>
        <v>1</v>
      </c>
      <c r="Q56" s="36" t="str">
        <f ca="1">IFERROR(__xludf.DUMMYFUNCTION("""COMPUTED_VALUE"""),"BUENO (Se puede acceder con cualquier coche)")</f>
        <v>BUENO (Se puede acceder con cualquier coche)</v>
      </c>
      <c r="R56" s="36" t="str">
        <f ca="1">IFERROR(__xludf.DUMMYFUNCTION("""COMPUTED_VALUE"""),"Sí")</f>
        <v>Sí</v>
      </c>
      <c r="S56" s="36" t="str">
        <f ca="1">IFERROR(__xludf.DUMMYFUNCTION("""COMPUTED_VALUE"""),"En un extremo de la finca")</f>
        <v>En un extremo de la finca</v>
      </c>
      <c r="T56" s="36" t="str">
        <f ca="1">IFERROR(__xludf.DUMMYFUNCTION("""COMPUTED_VALUE"""),"Rio con facil acceso en una zona")</f>
        <v>Rio con facil acceso en una zona</v>
      </c>
      <c r="U56" s="36" t="str">
        <f ca="1">IFERROR(__xludf.DUMMYFUNCTION("""COMPUTED_VALUE"""),"No")</f>
        <v>No</v>
      </c>
      <c r="V56" s="36" t="str">
        <f ca="1">IFERROR(__xludf.DUMMYFUNCTION("""COMPUTED_VALUE"""),"Si")</f>
        <v>Si</v>
      </c>
      <c r="W56" s="36" t="str">
        <f ca="1">IFERROR(__xludf.DUMMYFUNCTION("""COMPUTED_VALUE"""),"Zona amplia, con sombras y río. Buena finca aunque no dispone de instalaciones.")</f>
        <v>Zona amplia, con sombras y río. Buena finca aunque no dispone de instalaciones.</v>
      </c>
      <c r="X56" s="36"/>
      <c r="Y56" s="36"/>
      <c r="Z56" s="36"/>
    </row>
    <row r="57" spans="1:26" ht="12.75" hidden="1">
      <c r="A57" s="36" t="str">
        <f ca="1">IFERROR(__xludf.DUMMYFUNCTION("""COMPUTED_VALUE"""),"Castilla y León")</f>
        <v>Castilla y León</v>
      </c>
      <c r="B57" s="36" t="str">
        <f ca="1">IFERROR(__xludf.DUMMYFUNCTION("""COMPUTED_VALUE"""),"Soria")</f>
        <v>Soria</v>
      </c>
      <c r="C57" s="36">
        <f ca="1">IFERROR(__xludf.DUMMYFUNCTION("""COMPUTED_VALUE"""),2016)</f>
        <v>2016</v>
      </c>
      <c r="D57" s="36" t="str">
        <f ca="1">IFERROR(__xludf.DUMMYFUNCTION("""COMPUTED_VALUE"""),"El Remolino")</f>
        <v>El Remolino</v>
      </c>
      <c r="E57" s="36" t="str">
        <f ca="1">IFERROR(__xludf.DUMMYFUNCTION("""COMPUTED_VALUE"""),"gs.elremolino@scoutsdemadrid.org ")</f>
        <v xml:space="preserve">gs.elremolino@scoutsdemadrid.org </v>
      </c>
      <c r="F57" s="48">
        <f ca="1">IFERROR(__xludf.DUMMYFUNCTION("""COMPUTED_VALUE"""),42573)</f>
        <v>42573</v>
      </c>
      <c r="G57" s="48">
        <f ca="1">IFERROR(__xludf.DUMMYFUNCTION("""COMPUTED_VALUE"""),42577)</f>
        <v>42577</v>
      </c>
      <c r="H57" s="36" t="str">
        <f ca="1">IFERROR(__xludf.DUMMYFUNCTION("""COMPUTED_VALUE"""),"Covaleda")</f>
        <v>Covaleda</v>
      </c>
      <c r="I57" s="36" t="str">
        <f ca="1">IFERROR(__xludf.DUMMYFUNCTION("""COMPUTED_VALUE"""),"Raso de la Nava")</f>
        <v>Raso de la Nava</v>
      </c>
      <c r="J57" s="36" t="str">
        <f ca="1">IFERROR(__xludf.DUMMYFUNCTION("""COMPUTED_VALUE"""),"")</f>
        <v/>
      </c>
      <c r="K57" s="36" t="str">
        <f ca="1">IFERROR(__xludf.DUMMYFUNCTION("""COMPUTED_VALUE"""),"")</f>
        <v/>
      </c>
      <c r="L57" s="36" t="str">
        <f ca="1">IFERROR(__xludf.DUMMYFUNCTION("""COMPUTED_VALUE"""),"Ayuntamiento de Covaleda")</f>
        <v>Ayuntamiento de Covaleda</v>
      </c>
      <c r="M57" s="36" t="str">
        <f ca="1">IFERROR(__xludf.DUMMYFUNCTION("""COMPUTED_VALUE"""),"")</f>
        <v/>
      </c>
      <c r="N57" s="36" t="str">
        <f ca="1">IFERROR(__xludf.DUMMYFUNCTION("""COMPUTED_VALUE"""),"")</f>
        <v/>
      </c>
      <c r="O57" s="36" t="str">
        <f ca="1">IFERROR(__xludf.DUMMYFUNCTION("""COMPUTED_VALUE"""),"")</f>
        <v/>
      </c>
      <c r="P57" s="36" t="str">
        <f ca="1">IFERROR(__xludf.DUMMYFUNCTION("""COMPUTED_VALUE"""),"")</f>
        <v/>
      </c>
      <c r="Q57" s="36" t="str">
        <f ca="1">IFERROR(__xludf.DUMMYFUNCTION("""COMPUTED_VALUE"""),"BUENO (Se puede acceder con cualquier coche)")</f>
        <v>BUENO (Se puede acceder con cualquier coche)</v>
      </c>
      <c r="R57" s="36" t="str">
        <f ca="1">IFERROR(__xludf.DUMMYFUNCTION("""COMPUTED_VALUE"""),"Sí")</f>
        <v>Sí</v>
      </c>
      <c r="S57" s="36" t="str">
        <f ca="1">IFERROR(__xludf.DUMMYFUNCTION("""COMPUTED_VALUE"""),"")</f>
        <v/>
      </c>
      <c r="T57" s="36" t="str">
        <f ca="1">IFERROR(__xludf.DUMMYFUNCTION("""COMPUTED_VALUE"""),"")</f>
        <v/>
      </c>
      <c r="U57" s="36" t="str">
        <f ca="1">IFERROR(__xludf.DUMMYFUNCTION("""COMPUTED_VALUE"""),"")</f>
        <v/>
      </c>
      <c r="V57" s="36" t="str">
        <f ca="1">IFERROR(__xludf.DUMMYFUNCTION("""COMPUTED_VALUE"""),"")</f>
        <v/>
      </c>
      <c r="W57" s="36" t="str">
        <f ca="1">IFERROR(__xludf.DUMMYFUNCTION("""COMPUTED_VALUE"""),"")</f>
        <v/>
      </c>
      <c r="X57" s="36"/>
      <c r="Y57" s="36"/>
      <c r="Z57" s="36"/>
    </row>
    <row r="58" spans="1:26" ht="12.75" hidden="1">
      <c r="A58" s="36" t="str">
        <f ca="1">IFERROR(__xludf.DUMMYFUNCTION("""COMPUTED_VALUE"""),"Castilla y León")</f>
        <v>Castilla y León</v>
      </c>
      <c r="B58" s="36" t="str">
        <f ca="1">IFERROR(__xludf.DUMMYFUNCTION("""COMPUTED_VALUE"""),"Soria")</f>
        <v>Soria</v>
      </c>
      <c r="C58" s="36">
        <f ca="1">IFERROR(__xludf.DUMMYFUNCTION("""COMPUTED_VALUE"""),2016)</f>
        <v>2016</v>
      </c>
      <c r="D58" s="36" t="str">
        <f ca="1">IFERROR(__xludf.DUMMYFUNCTION("""COMPUTED_VALUE"""),"El Remolino")</f>
        <v>El Remolino</v>
      </c>
      <c r="E58" s="36" t="str">
        <f ca="1">IFERROR(__xludf.DUMMYFUNCTION("""COMPUTED_VALUE"""),"gs.elremolino@scoutsdemadrid.org ")</f>
        <v xml:space="preserve">gs.elremolino@scoutsdemadrid.org </v>
      </c>
      <c r="F58" s="48">
        <f ca="1">IFERROR(__xludf.DUMMYFUNCTION("""COMPUTED_VALUE"""),42573)</f>
        <v>42573</v>
      </c>
      <c r="G58" s="48">
        <f ca="1">IFERROR(__xludf.DUMMYFUNCTION("""COMPUTED_VALUE"""),42577)</f>
        <v>42577</v>
      </c>
      <c r="H58" s="36" t="str">
        <f ca="1">IFERROR(__xludf.DUMMYFUNCTION("""COMPUTED_VALUE"""),"Covaleda")</f>
        <v>Covaleda</v>
      </c>
      <c r="I58" s="36" t="str">
        <f ca="1">IFERROR(__xludf.DUMMYFUNCTION("""COMPUTED_VALUE"""),"Raso de la Nava")</f>
        <v>Raso de la Nava</v>
      </c>
      <c r="J58" s="36" t="str">
        <f ca="1">IFERROR(__xludf.DUMMYFUNCTION("""COMPUTED_VALUE"""),"")</f>
        <v/>
      </c>
      <c r="K58" s="36" t="str">
        <f ca="1">IFERROR(__xludf.DUMMYFUNCTION("""COMPUTED_VALUE"""),"")</f>
        <v/>
      </c>
      <c r="L58" s="36" t="str">
        <f ca="1">IFERROR(__xludf.DUMMYFUNCTION("""COMPUTED_VALUE"""),"Ayuntamiento de Covaleda")</f>
        <v>Ayuntamiento de Covaleda</v>
      </c>
      <c r="M58" s="36" t="str">
        <f ca="1">IFERROR(__xludf.DUMMYFUNCTION("""COMPUTED_VALUE"""),"")</f>
        <v/>
      </c>
      <c r="N58" s="36" t="str">
        <f ca="1">IFERROR(__xludf.DUMMYFUNCTION("""COMPUTED_VALUE"""),"")</f>
        <v/>
      </c>
      <c r="O58" s="36" t="str">
        <f ca="1">IFERROR(__xludf.DUMMYFUNCTION("""COMPUTED_VALUE"""),"")</f>
        <v/>
      </c>
      <c r="P58" s="36" t="str">
        <f ca="1">IFERROR(__xludf.DUMMYFUNCTION("""COMPUTED_VALUE"""),"")</f>
        <v/>
      </c>
      <c r="Q58" s="36" t="str">
        <f ca="1">IFERROR(__xludf.DUMMYFUNCTION("""COMPUTED_VALUE"""),"BUENO (Se puede acceder con cualquier coche)")</f>
        <v>BUENO (Se puede acceder con cualquier coche)</v>
      </c>
      <c r="R58" s="36" t="str">
        <f ca="1">IFERROR(__xludf.DUMMYFUNCTION("""COMPUTED_VALUE"""),"Sí")</f>
        <v>Sí</v>
      </c>
      <c r="S58" s="36" t="str">
        <f ca="1">IFERROR(__xludf.DUMMYFUNCTION("""COMPUTED_VALUE"""),"")</f>
        <v/>
      </c>
      <c r="T58" s="36" t="str">
        <f ca="1">IFERROR(__xludf.DUMMYFUNCTION("""COMPUTED_VALUE"""),"")</f>
        <v/>
      </c>
      <c r="U58" s="36" t="str">
        <f ca="1">IFERROR(__xludf.DUMMYFUNCTION("""COMPUTED_VALUE"""),"")</f>
        <v/>
      </c>
      <c r="V58" s="36" t="str">
        <f ca="1">IFERROR(__xludf.DUMMYFUNCTION("""COMPUTED_VALUE"""),"")</f>
        <v/>
      </c>
      <c r="W58" s="36" t="str">
        <f ca="1">IFERROR(__xludf.DUMMYFUNCTION("""COMPUTED_VALUE"""),"")</f>
        <v/>
      </c>
      <c r="X58" s="36"/>
      <c r="Y58" s="36"/>
      <c r="Z58" s="36"/>
    </row>
    <row r="59" spans="1:26" ht="12.75" hidden="1">
      <c r="A59" s="36" t="str">
        <f ca="1">IFERROR(__xludf.DUMMYFUNCTION("""COMPUTED_VALUE"""),"Castilla y León")</f>
        <v>Castilla y León</v>
      </c>
      <c r="B59" s="36" t="str">
        <f ca="1">IFERROR(__xludf.DUMMYFUNCTION("""COMPUTED_VALUE"""),"Ávila")</f>
        <v>Ávila</v>
      </c>
      <c r="C59" s="36">
        <f ca="1">IFERROR(__xludf.DUMMYFUNCTION("""COMPUTED_VALUE"""),2012)</f>
        <v>2012</v>
      </c>
      <c r="D59" s="36" t="str">
        <f ca="1">IFERROR(__xludf.DUMMYFUNCTION("""COMPUTED_VALUE"""),"Encuentro")</f>
        <v>Encuentro</v>
      </c>
      <c r="E59" s="36" t="str">
        <f ca="1">IFERROR(__xludf.DUMMYFUNCTION("""COMPUTED_VALUE"""),"gs.encuentro@scoutsdemadrid.org ")</f>
        <v xml:space="preserve">gs.encuentro@scoutsdemadrid.org </v>
      </c>
      <c r="F59" s="48">
        <f ca="1">IFERROR(__xludf.DUMMYFUNCTION("""COMPUTED_VALUE"""),41121)</f>
        <v>41121</v>
      </c>
      <c r="G59" s="48">
        <f ca="1">IFERROR(__xludf.DUMMYFUNCTION("""COMPUTED_VALUE"""),41133)</f>
        <v>41133</v>
      </c>
      <c r="H59" s="36" t="str">
        <f ca="1">IFERROR(__xludf.DUMMYFUNCTION("""COMPUTED_VALUE"""),"Barco De Ávila")</f>
        <v>Barco De Ávila</v>
      </c>
      <c r="I59" s="36" t="str">
        <f ca="1">IFERROR(__xludf.DUMMYFUNCTION("""COMPUTED_VALUE"""),"Barco de Ávila")</f>
        <v>Barco de Ávila</v>
      </c>
      <c r="J59" s="36" t="str">
        <f ca="1">IFERROR(__xludf.DUMMYFUNCTION("""COMPUTED_VALUE"""),"")</f>
        <v/>
      </c>
      <c r="K59" s="36" t="str">
        <f ca="1">IFERROR(__xludf.DUMMYFUNCTION("""COMPUTED_VALUE"""),"")</f>
        <v/>
      </c>
      <c r="L59" s="36" t="str">
        <f ca="1">IFERROR(__xludf.DUMMYFUNCTION("""COMPUTED_VALUE"""),"")</f>
        <v/>
      </c>
      <c r="M59" s="36" t="str">
        <f ca="1">IFERROR(__xludf.DUMMYFUNCTION("""COMPUTED_VALUE"""),"")</f>
        <v/>
      </c>
      <c r="N59" s="36" t="str">
        <f ca="1">IFERROR(__xludf.DUMMYFUNCTION("""COMPUTED_VALUE"""),"")</f>
        <v/>
      </c>
      <c r="O59" s="36" t="str">
        <f ca="1">IFERROR(__xludf.DUMMYFUNCTION("""COMPUTED_VALUE"""),"")</f>
        <v/>
      </c>
      <c r="P59" s="36" t="str">
        <f ca="1">IFERROR(__xludf.DUMMYFUNCTION("""COMPUTED_VALUE"""),"")</f>
        <v/>
      </c>
      <c r="Q59" s="36" t="str">
        <f ca="1">IFERROR(__xludf.DUMMYFUNCTION("""COMPUTED_VALUE"""),"")</f>
        <v/>
      </c>
      <c r="R59" s="36" t="str">
        <f ca="1">IFERROR(__xludf.DUMMYFUNCTION("""COMPUTED_VALUE"""),"")</f>
        <v/>
      </c>
      <c r="S59" s="36" t="str">
        <f ca="1">IFERROR(__xludf.DUMMYFUNCTION("""COMPUTED_VALUE"""),"")</f>
        <v/>
      </c>
      <c r="T59" s="36" t="str">
        <f ca="1">IFERROR(__xludf.DUMMYFUNCTION("""COMPUTED_VALUE"""),"")</f>
        <v/>
      </c>
      <c r="U59" s="36" t="str">
        <f ca="1">IFERROR(__xludf.DUMMYFUNCTION("""COMPUTED_VALUE"""),"")</f>
        <v/>
      </c>
      <c r="V59" s="36" t="str">
        <f ca="1">IFERROR(__xludf.DUMMYFUNCTION("""COMPUTED_VALUE"""),"")</f>
        <v/>
      </c>
      <c r="W59" s="36" t="str">
        <f ca="1">IFERROR(__xludf.DUMMYFUNCTION("""COMPUTED_VALUE"""),"")</f>
        <v/>
      </c>
      <c r="X59" s="36"/>
      <c r="Y59" s="36"/>
      <c r="Z59" s="36"/>
    </row>
    <row r="60" spans="1:26" ht="12.75" hidden="1">
      <c r="A60" s="36" t="str">
        <f ca="1">IFERROR(__xludf.DUMMYFUNCTION("""COMPUTED_VALUE"""),"Castilla y León")</f>
        <v>Castilla y León</v>
      </c>
      <c r="B60" s="36" t="str">
        <f ca="1">IFERROR(__xludf.DUMMYFUNCTION("""COMPUTED_VALUE"""),"Burgos")</f>
        <v>Burgos</v>
      </c>
      <c r="C60" s="36">
        <f ca="1">IFERROR(__xludf.DUMMYFUNCTION("""COMPUTED_VALUE"""),2015)</f>
        <v>2015</v>
      </c>
      <c r="D60" s="36" t="str">
        <f ca="1">IFERROR(__xludf.DUMMYFUNCTION("""COMPUTED_VALUE"""),"Encuentro")</f>
        <v>Encuentro</v>
      </c>
      <c r="E60" s="36" t="str">
        <f ca="1">IFERROR(__xludf.DUMMYFUNCTION("""COMPUTED_VALUE"""),"gs.encuentro@scoutsdemadrid.org ")</f>
        <v xml:space="preserve">gs.encuentro@scoutsdemadrid.org </v>
      </c>
      <c r="F60" s="48">
        <f ca="1">IFERROR(__xludf.DUMMYFUNCTION("""COMPUTED_VALUE"""),42219)</f>
        <v>42219</v>
      </c>
      <c r="G60" s="48">
        <f ca="1">IFERROR(__xludf.DUMMYFUNCTION("""COMPUTED_VALUE"""),42232)</f>
        <v>42232</v>
      </c>
      <c r="H60" s="36" t="str">
        <f ca="1">IFERROR(__xludf.DUMMYFUNCTION("""COMPUTED_VALUE"""),"Regumiel De La Sierra")</f>
        <v>Regumiel De La Sierra</v>
      </c>
      <c r="I60" s="36" t="str">
        <f ca="1">IFERROR(__xludf.DUMMYFUNCTION("""COMPUTED_VALUE"""),"Comunero de Revenga")</f>
        <v>Comunero de Revenga</v>
      </c>
      <c r="J60" s="36" t="str">
        <f ca="1">IFERROR(__xludf.DUMMYFUNCTION("""COMPUTED_VALUE"""),"")</f>
        <v/>
      </c>
      <c r="K60" s="36" t="str">
        <f ca="1">IFERROR(__xludf.DUMMYFUNCTION("""COMPUTED_VALUE"""),"41.9573280,-3.0136980")</f>
        <v>41.9573280,-3.0136980</v>
      </c>
      <c r="L60" s="36" t="str">
        <f ca="1">IFERROR(__xludf.DUMMYFUNCTION("""COMPUTED_VALUE"""),"")</f>
        <v/>
      </c>
      <c r="M60" s="36" t="str">
        <f ca="1">IFERROR(__xludf.DUMMYFUNCTION("""COMPUTED_VALUE"""),"")</f>
        <v/>
      </c>
      <c r="N60" s="36" t="str">
        <f ca="1">IFERROR(__xludf.DUMMYFUNCTION("""COMPUTED_VALUE"""),"")</f>
        <v/>
      </c>
      <c r="O60" s="36" t="str">
        <f ca="1">IFERROR(__xludf.DUMMYFUNCTION("""COMPUTED_VALUE"""),"")</f>
        <v/>
      </c>
      <c r="P60" s="36" t="str">
        <f ca="1">IFERROR(__xludf.DUMMYFUNCTION("""COMPUTED_VALUE"""),"")</f>
        <v/>
      </c>
      <c r="Q60" s="36" t="str">
        <f ca="1">IFERROR(__xludf.DUMMYFUNCTION("""COMPUTED_VALUE"""),"")</f>
        <v/>
      </c>
      <c r="R60" s="36" t="str">
        <f ca="1">IFERROR(__xludf.DUMMYFUNCTION("""COMPUTED_VALUE"""),"")</f>
        <v/>
      </c>
      <c r="S60" s="36" t="str">
        <f ca="1">IFERROR(__xludf.DUMMYFUNCTION("""COMPUTED_VALUE"""),"")</f>
        <v/>
      </c>
      <c r="T60" s="36" t="str">
        <f ca="1">IFERROR(__xludf.DUMMYFUNCTION("""COMPUTED_VALUE"""),"")</f>
        <v/>
      </c>
      <c r="U60" s="36" t="str">
        <f ca="1">IFERROR(__xludf.DUMMYFUNCTION("""COMPUTED_VALUE"""),"")</f>
        <v/>
      </c>
      <c r="V60" s="36" t="str">
        <f ca="1">IFERROR(__xludf.DUMMYFUNCTION("""COMPUTED_VALUE"""),"")</f>
        <v/>
      </c>
      <c r="W60" s="36" t="str">
        <f ca="1">IFERROR(__xludf.DUMMYFUNCTION("""COMPUTED_VALUE"""),"")</f>
        <v/>
      </c>
      <c r="X60" s="36"/>
      <c r="Y60" s="36"/>
      <c r="Z60" s="36"/>
    </row>
    <row r="61" spans="1:26" ht="12.75" hidden="1">
      <c r="A61" s="36" t="str">
        <f ca="1">IFERROR(__xludf.DUMMYFUNCTION("""COMPUTED_VALUE"""),"Castilla y León")</f>
        <v>Castilla y León</v>
      </c>
      <c r="B61" s="36" t="str">
        <f ca="1">IFERROR(__xludf.DUMMYFUNCTION("""COMPUTED_VALUE"""),"Ávila")</f>
        <v>Ávila</v>
      </c>
      <c r="C61" s="36">
        <f ca="1">IFERROR(__xludf.DUMMYFUNCTION("""COMPUTED_VALUE"""),2019)</f>
        <v>2019</v>
      </c>
      <c r="D61" s="36" t="str">
        <f ca="1">IFERROR(__xludf.DUMMYFUNCTION("""COMPUTED_VALUE"""),"Encuentro")</f>
        <v>Encuentro</v>
      </c>
      <c r="E61" s="36" t="str">
        <f ca="1">IFERROR(__xludf.DUMMYFUNCTION("""COMPUTED_VALUE"""),"gs.encuentro@scoutsdemadrid.org ")</f>
        <v xml:space="preserve">gs.encuentro@scoutsdemadrid.org </v>
      </c>
      <c r="F61" s="36">
        <f ca="1">IFERROR(__xludf.DUMMYFUNCTION("""COMPUTED_VALUE"""),43679)</f>
        <v>43679</v>
      </c>
      <c r="G61" s="36">
        <f ca="1">IFERROR(__xludf.DUMMYFUNCTION("""COMPUTED_VALUE"""),43688)</f>
        <v>43688</v>
      </c>
      <c r="H61" s="36" t="str">
        <f ca="1">IFERROR(__xludf.DUMMYFUNCTION("""COMPUTED_VALUE"""),"Guisando")</f>
        <v>Guisando</v>
      </c>
      <c r="I61" s="36" t="str">
        <f ca="1">IFERROR(__xludf.DUMMYFUNCTION("""COMPUTED_VALUE"""),"Campamento Luis Manuel López Martínez")</f>
        <v>Campamento Luis Manuel López Martínez</v>
      </c>
      <c r="J61" s="36" t="str">
        <f ca="1">IFERROR(__xludf.DUMMYFUNCTION("""COMPUTED_VALUE"""),"-")</f>
        <v>-</v>
      </c>
      <c r="K61" s="36" t="str">
        <f ca="1">IFERROR(__xludf.DUMMYFUNCTION("""COMPUTED_VALUE"""),"40º13'50,002""N 5º9'33,998""W")</f>
        <v>40º13'50,002"N 5º9'33,998"W</v>
      </c>
      <c r="L61" s="36" t="str">
        <f ca="1">IFERROR(__xludf.DUMMYFUNCTION("""COMPUTED_VALUE"""),"Ayto. de Guisando")</f>
        <v>Ayto. de Guisando</v>
      </c>
      <c r="M61" s="36" t="str">
        <f ca="1">IFERROR(__xludf.DUMMYFUNCTION("""COMPUTED_VALUE"""),"920 37 40 01")</f>
        <v>920 37 40 01</v>
      </c>
      <c r="N61" s="36" t="str">
        <f ca="1">IFERROR(__xludf.DUMMYFUNCTION("""COMPUTED_VALUE"""),"-")</f>
        <v>-</v>
      </c>
      <c r="O61" s="36" t="str">
        <f ca="1">IFERROR(__xludf.DUMMYFUNCTION("""COMPUTED_VALUE"""),"Precio por tiempo estancia")</f>
        <v>Precio por tiempo estancia</v>
      </c>
      <c r="P61" s="36" t="str">
        <f ca="1">IFERROR(__xludf.DUMMYFUNCTION("""COMPUTED_VALUE"""),"Pendiente (suficiente para 80 personas)")</f>
        <v>Pendiente (suficiente para 80 personas)</v>
      </c>
      <c r="Q61" s="36" t="str">
        <f ca="1">IFERROR(__xludf.DUMMYFUNCTION("""COMPUTED_VALUE"""),"BUENO (Se puede acceder con cualquier coche)")</f>
        <v>BUENO (Se puede acceder con cualquier coche)</v>
      </c>
      <c r="R61" s="36" t="str">
        <f ca="1">IFERROR(__xludf.DUMMYFUNCTION("""COMPUTED_VALUE"""),"Sí")</f>
        <v>Sí</v>
      </c>
      <c r="S61" s="36" t="str">
        <f ca="1">IFERROR(__xludf.DUMMYFUNCTION("""COMPUTED_VALUE"""),"1 metro (es salir una valla)")</f>
        <v>1 metro (es salir una valla)</v>
      </c>
      <c r="T61" s="36" t="str">
        <f ca="1">IFERROR(__xludf.DUMMYFUNCTION("""COMPUTED_VALUE"""),"Río/charca integrado en la zona de campa con instalación de tablones para hacer un pequeña poza")</f>
        <v>Río/charca integrado en la zona de campa con instalación de tablones para hacer un pequeña poza</v>
      </c>
      <c r="U61" s="36" t="str">
        <f ca="1">IFERROR(__xludf.DUMMYFUNCTION("""COMPUTED_VALUE"""),"Cocia, comedor,  baños y duchas, almacén")</f>
        <v>Cocia, comedor,  baños y duchas, almacén</v>
      </c>
      <c r="V61" s="36" t="str">
        <f ca="1">IFERROR(__xludf.DUMMYFUNCTION("""COMPUTED_VALUE"""),"No")</f>
        <v>No</v>
      </c>
      <c r="W61" s="36" t="str">
        <f ca="1">IFERROR(__xludf.DUMMYFUNCTION("""COMPUTED_VALUE"""),"Es un sitio muy bien ubicado para subir a la sierra de Gredos. Tiene 6 cabañas grandes tipo tipi de madera para unas 10-15 personas.")</f>
        <v>Es un sitio muy bien ubicado para subir a la sierra de Gredos. Tiene 6 cabañas grandes tipo tipi de madera para unas 10-15 personas.</v>
      </c>
      <c r="X61" s="36"/>
      <c r="Y61" s="36"/>
      <c r="Z61" s="36"/>
    </row>
    <row r="62" spans="1:26" ht="12.75" hidden="1">
      <c r="A62" s="36" t="str">
        <f ca="1">IFERROR(__xludf.DUMMYFUNCTION("""COMPUTED_VALUE"""),"Castilla y León")</f>
        <v>Castilla y León</v>
      </c>
      <c r="B62" s="36" t="str">
        <f ca="1">IFERROR(__xludf.DUMMYFUNCTION("""COMPUTED_VALUE"""),"Ávila")</f>
        <v>Ávila</v>
      </c>
      <c r="C62" s="36">
        <f ca="1">IFERROR(__xludf.DUMMYFUNCTION("""COMPUTED_VALUE"""),2012)</f>
        <v>2012</v>
      </c>
      <c r="D62" s="36" t="str">
        <f ca="1">IFERROR(__xludf.DUMMYFUNCTION("""COMPUTED_VALUE"""),"Fátima")</f>
        <v>Fátima</v>
      </c>
      <c r="E62" s="36" t="str">
        <f ca="1">IFERROR(__xludf.DUMMYFUNCTION("""COMPUTED_VALUE"""),"gs.fatima@scoutsdemadrid.org ")</f>
        <v xml:space="preserve">gs.fatima@scoutsdemadrid.org </v>
      </c>
      <c r="F62" s="36" t="str">
        <f ca="1">IFERROR(__xludf.DUMMYFUNCTION("""COMPUTED_VALUE"""),"")</f>
        <v/>
      </c>
      <c r="G62" s="36" t="str">
        <f ca="1">IFERROR(__xludf.DUMMYFUNCTION("""COMPUTED_VALUE"""),"")</f>
        <v/>
      </c>
      <c r="H62" s="36" t="str">
        <f ca="1">IFERROR(__xludf.DUMMYFUNCTION("""COMPUTED_VALUE"""),"Gavilanes")</f>
        <v>Gavilanes</v>
      </c>
      <c r="I62" s="36" t="str">
        <f ca="1">IFERROR(__xludf.DUMMYFUNCTION("""COMPUTED_VALUE"""),"Gavilanes")</f>
        <v>Gavilanes</v>
      </c>
      <c r="J62" s="36" t="str">
        <f ca="1">IFERROR(__xludf.DUMMYFUNCTION("""COMPUTED_VALUE"""),"")</f>
        <v/>
      </c>
      <c r="K62" s="36" t="str">
        <f ca="1">IFERROR(__xludf.DUMMYFUNCTION("""COMPUTED_VALUE"""),"")</f>
        <v/>
      </c>
      <c r="L62" s="36" t="str">
        <f ca="1">IFERROR(__xludf.DUMMYFUNCTION("""COMPUTED_VALUE"""),"")</f>
        <v/>
      </c>
      <c r="M62" s="36" t="str">
        <f ca="1">IFERROR(__xludf.DUMMYFUNCTION("""COMPUTED_VALUE"""),"")</f>
        <v/>
      </c>
      <c r="N62" s="36" t="str">
        <f ca="1">IFERROR(__xludf.DUMMYFUNCTION("""COMPUTED_VALUE"""),"")</f>
        <v/>
      </c>
      <c r="O62" s="36" t="str">
        <f ca="1">IFERROR(__xludf.DUMMYFUNCTION("""COMPUTED_VALUE"""),"")</f>
        <v/>
      </c>
      <c r="P62" s="36" t="str">
        <f ca="1">IFERROR(__xludf.DUMMYFUNCTION("""COMPUTED_VALUE"""),"")</f>
        <v/>
      </c>
      <c r="Q62" s="36" t="str">
        <f ca="1">IFERROR(__xludf.DUMMYFUNCTION("""COMPUTED_VALUE"""),"")</f>
        <v/>
      </c>
      <c r="R62" s="36" t="str">
        <f ca="1">IFERROR(__xludf.DUMMYFUNCTION("""COMPUTED_VALUE"""),"")</f>
        <v/>
      </c>
      <c r="S62" s="36" t="str">
        <f ca="1">IFERROR(__xludf.DUMMYFUNCTION("""COMPUTED_VALUE"""),"")</f>
        <v/>
      </c>
      <c r="T62" s="36" t="str">
        <f ca="1">IFERROR(__xludf.DUMMYFUNCTION("""COMPUTED_VALUE"""),"")</f>
        <v/>
      </c>
      <c r="U62" s="36" t="str">
        <f ca="1">IFERROR(__xludf.DUMMYFUNCTION("""COMPUTED_VALUE"""),"")</f>
        <v/>
      </c>
      <c r="V62" s="36" t="str">
        <f ca="1">IFERROR(__xludf.DUMMYFUNCTION("""COMPUTED_VALUE"""),"")</f>
        <v/>
      </c>
      <c r="W62" s="36" t="str">
        <f ca="1">IFERROR(__xludf.DUMMYFUNCTION("""COMPUTED_VALUE"""),"")</f>
        <v/>
      </c>
      <c r="X62" s="36"/>
      <c r="Y62" s="36"/>
      <c r="Z62" s="36"/>
    </row>
    <row r="63" spans="1:26" ht="12.75" hidden="1">
      <c r="A63" s="36" t="str">
        <f ca="1">IFERROR(__xludf.DUMMYFUNCTION("""COMPUTED_VALUE"""),"Castilla y León")</f>
        <v>Castilla y León</v>
      </c>
      <c r="B63" s="36" t="str">
        <f ca="1">IFERROR(__xludf.DUMMYFUNCTION("""COMPUTED_VALUE"""),"Ávila")</f>
        <v>Ávila</v>
      </c>
      <c r="C63" s="36">
        <f ca="1">IFERROR(__xludf.DUMMYFUNCTION("""COMPUTED_VALUE"""),2016)</f>
        <v>2016</v>
      </c>
      <c r="D63" s="36" t="str">
        <f ca="1">IFERROR(__xludf.DUMMYFUNCTION("""COMPUTED_VALUE"""),"Fátima")</f>
        <v>Fátima</v>
      </c>
      <c r="E63" s="36" t="str">
        <f ca="1">IFERROR(__xludf.DUMMYFUNCTION("""COMPUTED_VALUE"""),"gs.fatima@scoutsdemadrid.org ")</f>
        <v xml:space="preserve">gs.fatima@scoutsdemadrid.org </v>
      </c>
      <c r="F63" s="48">
        <f ca="1">IFERROR(__xludf.DUMMYFUNCTION("""COMPUTED_VALUE"""),41109)</f>
        <v>41109</v>
      </c>
      <c r="G63" s="48">
        <f ca="1">IFERROR(__xludf.DUMMYFUNCTION("""COMPUTED_VALUE"""),41121)</f>
        <v>41121</v>
      </c>
      <c r="H63" s="36" t="str">
        <f ca="1">IFERROR(__xludf.DUMMYFUNCTION("""COMPUTED_VALUE"""),"Gavilanes")</f>
        <v>Gavilanes</v>
      </c>
      <c r="I63" s="36" t="str">
        <f ca="1">IFERROR(__xludf.DUMMYFUNCTION("""COMPUTED_VALUE"""),"EL REGAJAL")</f>
        <v>EL REGAJAL</v>
      </c>
      <c r="J63" s="36" t="str">
        <f ca="1">IFERROR(__xludf.DUMMYFUNCTION("""COMPUTED_VALUE"""),"")</f>
        <v/>
      </c>
      <c r="K63" s="49" t="str">
        <f ca="1">IFERROR(__xludf.DUMMYFUNCTION("""COMPUTED_VALUE"""),"https://maps.google.es/maps?hl=es")</f>
        <v>https://maps.google.es/maps?hl=es</v>
      </c>
      <c r="L63" s="36" t="str">
        <f ca="1">IFERROR(__xludf.DUMMYFUNCTION("""COMPUTED_VALUE"""),"")</f>
        <v/>
      </c>
      <c r="M63" s="36" t="str">
        <f ca="1">IFERROR(__xludf.DUMMYFUNCTION("""COMPUTED_VALUE"""),"")</f>
        <v/>
      </c>
      <c r="N63" s="36" t="str">
        <f ca="1">IFERROR(__xludf.DUMMYFUNCTION("""COMPUTED_VALUE"""),"")</f>
        <v/>
      </c>
      <c r="O63" s="36" t="str">
        <f ca="1">IFERROR(__xludf.DUMMYFUNCTION("""COMPUTED_VALUE"""),"")</f>
        <v/>
      </c>
      <c r="P63" s="36" t="str">
        <f ca="1">IFERROR(__xludf.DUMMYFUNCTION("""COMPUTED_VALUE"""),"")</f>
        <v/>
      </c>
      <c r="Q63" s="36" t="str">
        <f ca="1">IFERROR(__xludf.DUMMYFUNCTION("""COMPUTED_VALUE"""),"")</f>
        <v/>
      </c>
      <c r="R63" s="36" t="str">
        <f ca="1">IFERROR(__xludf.DUMMYFUNCTION("""COMPUTED_VALUE"""),"")</f>
        <v/>
      </c>
      <c r="S63" s="36" t="str">
        <f ca="1">IFERROR(__xludf.DUMMYFUNCTION("""COMPUTED_VALUE"""),"")</f>
        <v/>
      </c>
      <c r="T63" s="36" t="str">
        <f ca="1">IFERROR(__xludf.DUMMYFUNCTION("""COMPUTED_VALUE"""),"")</f>
        <v/>
      </c>
      <c r="U63" s="36" t="str">
        <f ca="1">IFERROR(__xludf.DUMMYFUNCTION("""COMPUTED_VALUE"""),"")</f>
        <v/>
      </c>
      <c r="V63" s="36" t="str">
        <f ca="1">IFERROR(__xludf.DUMMYFUNCTION("""COMPUTED_VALUE"""),"")</f>
        <v/>
      </c>
      <c r="W63" s="36" t="str">
        <f ca="1">IFERROR(__xludf.DUMMYFUNCTION("""COMPUTED_VALUE"""),"")</f>
        <v/>
      </c>
      <c r="X63" s="36"/>
      <c r="Y63" s="36"/>
      <c r="Z63" s="36"/>
    </row>
    <row r="64" spans="1:26" ht="12.75" hidden="1">
      <c r="A64" s="36" t="str">
        <f ca="1">IFERROR(__xludf.DUMMYFUNCTION("""COMPUTED_VALUE"""),"Castilla y León")</f>
        <v>Castilla y León</v>
      </c>
      <c r="B64" s="36" t="str">
        <f ca="1">IFERROR(__xludf.DUMMYFUNCTION("""COMPUTED_VALUE"""),"Ávila")</f>
        <v>Ávila</v>
      </c>
      <c r="C64" s="36">
        <f ca="1">IFERROR(__xludf.DUMMYFUNCTION("""COMPUTED_VALUE"""),2016)</f>
        <v>2016</v>
      </c>
      <c r="D64" s="36" t="str">
        <f ca="1">IFERROR(__xludf.DUMMYFUNCTION("""COMPUTED_VALUE"""),"Fátima")</f>
        <v>Fátima</v>
      </c>
      <c r="E64" s="36" t="str">
        <f ca="1">IFERROR(__xludf.DUMMYFUNCTION("""COMPUTED_VALUE"""),"gs.fatima@scoutsdemadrid.org ")</f>
        <v xml:space="preserve">gs.fatima@scoutsdemadrid.org </v>
      </c>
      <c r="F64" s="48">
        <f ca="1">IFERROR(__xludf.DUMMYFUNCTION("""COMPUTED_VALUE"""),42554)</f>
        <v>42554</v>
      </c>
      <c r="G64" s="48">
        <f ca="1">IFERROR(__xludf.DUMMYFUNCTION("""COMPUTED_VALUE"""),42566)</f>
        <v>42566</v>
      </c>
      <c r="H64" s="36" t="str">
        <f ca="1">IFERROR(__xludf.DUMMYFUNCTION("""COMPUTED_VALUE"""),"Navalmoral De La Sierra")</f>
        <v>Navalmoral De La Sierra</v>
      </c>
      <c r="I64" s="36" t="str">
        <f ca="1">IFERROR(__xludf.DUMMYFUNCTION("""COMPUTED_VALUE"""),"La chaparrera")</f>
        <v>La chaparrera</v>
      </c>
      <c r="J64" s="36" t="str">
        <f ca="1">IFERROR(__xludf.DUMMYFUNCTION("""COMPUTED_VALUE"""),"polígono 10 parcela 43")</f>
        <v>polígono 10 parcela 43</v>
      </c>
      <c r="K64" s="36" t="str">
        <f ca="1">IFERROR(__xludf.DUMMYFUNCTION("""COMPUTED_VALUE"""),"40º26'41.17'' N - 4º44'45,82'' W")</f>
        <v>40º26'41.17'' N - 4º44'45,82'' W</v>
      </c>
      <c r="L64" s="36" t="str">
        <f ca="1">IFERROR(__xludf.DUMMYFUNCTION("""COMPUTED_VALUE"""),"Manuela García García")</f>
        <v>Manuela García García</v>
      </c>
      <c r="M64" s="36">
        <f ca="1">IFERROR(__xludf.DUMMYFUNCTION("""COMPUTED_VALUE"""),638233456)</f>
        <v>638233456</v>
      </c>
      <c r="N64" s="36" t="str">
        <f ca="1">IFERROR(__xludf.DUMMYFUNCTION("""COMPUTED_VALUE"""),"carlos_g.r@hotmail.com")</f>
        <v>carlos_g.r@hotmail.com</v>
      </c>
      <c r="O64" s="36" t="str">
        <f ca="1">IFERROR(__xludf.DUMMYFUNCTION("""COMPUTED_VALUE"""),"700 quincena")</f>
        <v>700 quincena</v>
      </c>
      <c r="P64" s="36" t="str">
        <f ca="1">IFERROR(__xludf.DUMMYFUNCTION("""COMPUTED_VALUE"""),"3ha")</f>
        <v>3ha</v>
      </c>
      <c r="Q64" s="36" t="str">
        <f ca="1">IFERROR(__xludf.DUMMYFUNCTION("""COMPUTED_VALUE"""),"BUENO (Se puede acceder con cualquier coche)")</f>
        <v>BUENO (Se puede acceder con cualquier coche)</v>
      </c>
      <c r="R64" s="36" t="str">
        <f ca="1">IFERROR(__xludf.DUMMYFUNCTION("""COMPUTED_VALUE"""),"Sí")</f>
        <v>Sí</v>
      </c>
      <c r="S64" s="36" t="str">
        <f ca="1">IFERROR(__xludf.DUMMYFUNCTION("""COMPUTED_VALUE"""),"2km")</f>
        <v>2km</v>
      </c>
      <c r="T64" s="36" t="str">
        <f ca="1">IFERROR(__xludf.DUMMYFUNCTION("""COMPUTED_VALUE"""),"piscina municipal de Navalmoral")</f>
        <v>piscina municipal de Navalmoral</v>
      </c>
      <c r="U64" s="36" t="str">
        <f ca="1">IFERROR(__xludf.DUMMYFUNCTION("""COMPUTED_VALUE"""),"no. de fortuna")</f>
        <v>no. de fortuna</v>
      </c>
      <c r="V64" s="36" t="str">
        <f ca="1">IFERROR(__xludf.DUMMYFUNCTION("""COMPUTED_VALUE"""),"sí, una empresa nos la acerca a la campa")</f>
        <v>sí, una empresa nos la acerca a la campa</v>
      </c>
      <c r="W64" s="36" t="str">
        <f ca="1">IFERROR(__xludf.DUMMYFUNCTION("""COMPUTED_VALUE"""),"Es una campa bastante grande limitada por muro de piedra, utilizada normalmente por grupos scout, con toma de agua (no potable)")</f>
        <v>Es una campa bastante grande limitada por muro de piedra, utilizada normalmente por grupos scout, con toma de agua (no potable)</v>
      </c>
      <c r="X64" s="36"/>
      <c r="Y64" s="36"/>
      <c r="Z64" s="36"/>
    </row>
    <row r="65" spans="1:26" ht="12.75" hidden="1">
      <c r="A65" s="36" t="str">
        <f ca="1">IFERROR(__xludf.DUMMYFUNCTION("""COMPUTED_VALUE"""),"Castilla y León")</f>
        <v>Castilla y León</v>
      </c>
      <c r="B65" s="36" t="str">
        <f ca="1">IFERROR(__xludf.DUMMYFUNCTION("""COMPUTED_VALUE"""),"Ávila")</f>
        <v>Ávila</v>
      </c>
      <c r="C65" s="36">
        <f ca="1">IFERROR(__xludf.DUMMYFUNCTION("""COMPUTED_VALUE"""),2016)</f>
        <v>2016</v>
      </c>
      <c r="D65" s="36" t="str">
        <f ca="1">IFERROR(__xludf.DUMMYFUNCTION("""COMPUTED_VALUE"""),"Fátima")</f>
        <v>Fátima</v>
      </c>
      <c r="E65" s="36" t="str">
        <f ca="1">IFERROR(__xludf.DUMMYFUNCTION("""COMPUTED_VALUE"""),"gs.fatima@scoutsdemadrid.org ")</f>
        <v xml:space="preserve">gs.fatima@scoutsdemadrid.org </v>
      </c>
      <c r="F65" s="48">
        <f ca="1">IFERROR(__xludf.DUMMYFUNCTION("""COMPUTED_VALUE"""),42554)</f>
        <v>42554</v>
      </c>
      <c r="G65" s="48">
        <f ca="1">IFERROR(__xludf.DUMMYFUNCTION("""COMPUTED_VALUE"""),42566)</f>
        <v>42566</v>
      </c>
      <c r="H65" s="36" t="str">
        <f ca="1">IFERROR(__xludf.DUMMYFUNCTION("""COMPUTED_VALUE"""),"Navalmoral De La Sierra")</f>
        <v>Navalmoral De La Sierra</v>
      </c>
      <c r="I65" s="36" t="str">
        <f ca="1">IFERROR(__xludf.DUMMYFUNCTION("""COMPUTED_VALUE"""),"La chaparrera")</f>
        <v>La chaparrera</v>
      </c>
      <c r="J65" s="36" t="str">
        <f ca="1">IFERROR(__xludf.DUMMYFUNCTION("""COMPUTED_VALUE"""),"polígono 10 parcela 43")</f>
        <v>polígono 10 parcela 43</v>
      </c>
      <c r="K65" s="36" t="str">
        <f ca="1">IFERROR(__xludf.DUMMYFUNCTION("""COMPUTED_VALUE"""),"40º26'41.17'' N - 4º44'45,82'' W")</f>
        <v>40º26'41.17'' N - 4º44'45,82'' W</v>
      </c>
      <c r="L65" s="36" t="str">
        <f ca="1">IFERROR(__xludf.DUMMYFUNCTION("""COMPUTED_VALUE"""),"Manuela García García")</f>
        <v>Manuela García García</v>
      </c>
      <c r="M65" s="36">
        <f ca="1">IFERROR(__xludf.DUMMYFUNCTION("""COMPUTED_VALUE"""),638233456)</f>
        <v>638233456</v>
      </c>
      <c r="N65" s="36" t="str">
        <f ca="1">IFERROR(__xludf.DUMMYFUNCTION("""COMPUTED_VALUE"""),"carlos_g.r@hotmail.com")</f>
        <v>carlos_g.r@hotmail.com</v>
      </c>
      <c r="O65" s="36" t="str">
        <f ca="1">IFERROR(__xludf.DUMMYFUNCTION("""COMPUTED_VALUE"""),"700 quincena")</f>
        <v>700 quincena</v>
      </c>
      <c r="P65" s="36" t="str">
        <f ca="1">IFERROR(__xludf.DUMMYFUNCTION("""COMPUTED_VALUE"""),"3ha")</f>
        <v>3ha</v>
      </c>
      <c r="Q65" s="36" t="str">
        <f ca="1">IFERROR(__xludf.DUMMYFUNCTION("""COMPUTED_VALUE"""),"BUENO (Se puede acceder con cualquier coche)")</f>
        <v>BUENO (Se puede acceder con cualquier coche)</v>
      </c>
      <c r="R65" s="36" t="str">
        <f ca="1">IFERROR(__xludf.DUMMYFUNCTION("""COMPUTED_VALUE"""),"Sí")</f>
        <v>Sí</v>
      </c>
      <c r="S65" s="36" t="str">
        <f ca="1">IFERROR(__xludf.DUMMYFUNCTION("""COMPUTED_VALUE"""),"2km")</f>
        <v>2km</v>
      </c>
      <c r="T65" s="36" t="str">
        <f ca="1">IFERROR(__xludf.DUMMYFUNCTION("""COMPUTED_VALUE"""),"piscina municipal de Navalmoral")</f>
        <v>piscina municipal de Navalmoral</v>
      </c>
      <c r="U65" s="36" t="str">
        <f ca="1">IFERROR(__xludf.DUMMYFUNCTION("""COMPUTED_VALUE"""),"no. de fortuna")</f>
        <v>no. de fortuna</v>
      </c>
      <c r="V65" s="36" t="str">
        <f ca="1">IFERROR(__xludf.DUMMYFUNCTION("""COMPUTED_VALUE"""),"sí, una empresa nos la acerca a la campa")</f>
        <v>sí, una empresa nos la acerca a la campa</v>
      </c>
      <c r="W65" s="36" t="str">
        <f ca="1">IFERROR(__xludf.DUMMYFUNCTION("""COMPUTED_VALUE"""),"Es una campa bastante grande limitada por muro de piedra, utilizada normalmente por grupos scout, con toma de agua (no potable)")</f>
        <v>Es una campa bastante grande limitada por muro de piedra, utilizada normalmente por grupos scout, con toma de agua (no potable)</v>
      </c>
      <c r="X65" s="36"/>
      <c r="Y65" s="36"/>
      <c r="Z65" s="36"/>
    </row>
    <row r="66" spans="1:26" ht="12.75" hidden="1">
      <c r="A66" s="36" t="str">
        <f ca="1">IFERROR(__xludf.DUMMYFUNCTION("""COMPUTED_VALUE"""),"Castilla y León")</f>
        <v>Castilla y León</v>
      </c>
      <c r="B66" s="36" t="str">
        <f ca="1">IFERROR(__xludf.DUMMYFUNCTION("""COMPUTED_VALUE"""),"Ávila")</f>
        <v>Ávila</v>
      </c>
      <c r="C66" s="36">
        <f ca="1">IFERROR(__xludf.DUMMYFUNCTION("""COMPUTED_VALUE"""),2018)</f>
        <v>2018</v>
      </c>
      <c r="D66" s="36" t="str">
        <f ca="1">IFERROR(__xludf.DUMMYFUNCTION("""COMPUTED_VALUE"""),"Fátima")</f>
        <v>Fátima</v>
      </c>
      <c r="E66" s="36" t="str">
        <f ca="1">IFERROR(__xludf.DUMMYFUNCTION("""COMPUTED_VALUE"""),"gs.fatima@scoutsdemadrid.org ")</f>
        <v xml:space="preserve">gs.fatima@scoutsdemadrid.org </v>
      </c>
      <c r="F66" s="48">
        <f ca="1">IFERROR(__xludf.DUMMYFUNCTION("""COMPUTED_VALUE"""),43297)</f>
        <v>43297</v>
      </c>
      <c r="G66" s="48">
        <f ca="1">IFERROR(__xludf.DUMMYFUNCTION("""COMPUTED_VALUE"""),43307)</f>
        <v>43307</v>
      </c>
      <c r="H66" s="36" t="str">
        <f ca="1">IFERROR(__xludf.DUMMYFUNCTION("""COMPUTED_VALUE"""),"Gavilanes")</f>
        <v>Gavilanes</v>
      </c>
      <c r="I66" s="36" t="str">
        <f ca="1">IFERROR(__xludf.DUMMYFUNCTION("""COMPUTED_VALUE"""),"Albergue Garganta de  la Chorrera")</f>
        <v>Albergue Garganta de  la Chorrera</v>
      </c>
      <c r="J66" s="36" t="str">
        <f ca="1">IFERROR(__xludf.DUMMYFUNCTION("""COMPUTED_VALUE"""),"no disponible")</f>
        <v>no disponible</v>
      </c>
      <c r="K66" s="36" t="str">
        <f ca="1">IFERROR(__xludf.DUMMYFUNCTION("""COMPUTED_VALUE"""),"40º16'17,1''N  ,4º 51' 41,1'' W")</f>
        <v>40º16'17,1''N  ,4º 51' 41,1'' W</v>
      </c>
      <c r="L66" s="36" t="str">
        <f ca="1">IFERROR(__xludf.DUMMYFUNCTION("""COMPUTED_VALUE"""),"Manuel José Suarez Montequín")</f>
        <v>Manuel José Suarez Montequín</v>
      </c>
      <c r="M66" s="36">
        <f ca="1">IFERROR(__xludf.DUMMYFUNCTION("""COMPUTED_VALUE"""),609212260)</f>
        <v>609212260</v>
      </c>
      <c r="N66" s="36" t="str">
        <f ca="1">IFERROR(__xludf.DUMMYFUNCTION("""COMPUTED_VALUE"""),"info@ceesocio.es")</f>
        <v>info@ceesocio.es</v>
      </c>
      <c r="O66" s="36" t="str">
        <f ca="1">IFERROR(__xludf.DUMMYFUNCTION("""COMPUTED_VALUE"""),"Precio por persona")</f>
        <v>Precio por persona</v>
      </c>
      <c r="P66" s="36" t="str">
        <f ca="1">IFERROR(__xludf.DUMMYFUNCTION("""COMPUTED_VALUE"""),"5ha")</f>
        <v>5ha</v>
      </c>
      <c r="Q66" s="36" t="str">
        <f ca="1">IFERROR(__xludf.DUMMYFUNCTION("""COMPUTED_VALUE"""),"REGULAR (Se puede acceder con un coche normal con dificultad)")</f>
        <v>REGULAR (Se puede acceder con un coche normal con dificultad)</v>
      </c>
      <c r="R66" s="36" t="str">
        <f ca="1">IFERROR(__xludf.DUMMYFUNCTION("""COMPUTED_VALUE"""),"Sí")</f>
        <v>Sí</v>
      </c>
      <c r="S66" s="36" t="str">
        <f ca="1">IFERROR(__xludf.DUMMYFUNCTION("""COMPUTED_VALUE"""),"200 m")</f>
        <v>200 m</v>
      </c>
      <c r="T66" s="36" t="str">
        <f ca="1">IFERROR(__xludf.DUMMYFUNCTION("""COMPUTED_VALUE"""),"Piscina natural")</f>
        <v>Piscina natural</v>
      </c>
      <c r="U66" s="36" t="str">
        <f ca="1">IFERROR(__xludf.DUMMYFUNCTION("""COMPUTED_VALUE"""),"Albergue")</f>
        <v>Albergue</v>
      </c>
      <c r="V66" s="36" t="str">
        <f ca="1">IFERROR(__xludf.DUMMYFUNCTION("""COMPUTED_VALUE"""),"Si")</f>
        <v>Si</v>
      </c>
      <c r="W66" s="36" t="str">
        <f ca="1">IFERROR(__xludf.DUMMYFUNCTION("""COMPUTED_VALUE"""),"Inst. buenas, dueño poco accesible, cambia las condiciones pagada la señal")</f>
        <v>Inst. buenas, dueño poco accesible, cambia las condiciones pagada la señal</v>
      </c>
      <c r="X66" s="36"/>
      <c r="Y66" s="36"/>
      <c r="Z66" s="36"/>
    </row>
    <row r="67" spans="1:26" ht="12.75" hidden="1">
      <c r="A67" s="36" t="str">
        <f ca="1">IFERROR(__xludf.DUMMYFUNCTION("""COMPUTED_VALUE"""),"Castilla y León")</f>
        <v>Castilla y León</v>
      </c>
      <c r="B67" s="36" t="str">
        <f ca="1">IFERROR(__xludf.DUMMYFUNCTION("""COMPUTED_VALUE"""),"León")</f>
        <v>León</v>
      </c>
      <c r="C67" s="36">
        <f ca="1">IFERROR(__xludf.DUMMYFUNCTION("""COMPUTED_VALUE"""),2015)</f>
        <v>2015</v>
      </c>
      <c r="D67" s="36" t="str">
        <f ca="1">IFERROR(__xludf.DUMMYFUNCTION("""COMPUTED_VALUE"""),"G.S. Samasabe-Calasancio")</f>
        <v>G.S. Samasabe-Calasancio</v>
      </c>
      <c r="E67" s="36" t="str">
        <f ca="1">IFERROR(__xludf.DUMMYFUNCTION("""COMPUTED_VALUE"""),"gs.samasabe@scoutsdemadrid.org ")</f>
        <v xml:space="preserve">gs.samasabe@scoutsdemadrid.org </v>
      </c>
      <c r="F67" s="48">
        <f ca="1">IFERROR(__xludf.DUMMYFUNCTION("""COMPUTED_VALUE"""),42201)</f>
        <v>42201</v>
      </c>
      <c r="G67" s="48">
        <f ca="1">IFERROR(__xludf.DUMMYFUNCTION("""COMPUTED_VALUE"""),42216)</f>
        <v>42216</v>
      </c>
      <c r="H67" s="36" t="str">
        <f ca="1">IFERROR(__xludf.DUMMYFUNCTION("""COMPUTED_VALUE"""),"Acebedo")</f>
        <v>Acebedo</v>
      </c>
      <c r="I67" s="36" t="str">
        <f ca="1">IFERROR(__xludf.DUMMYFUNCTION("""COMPUTED_VALUE"""),"Acebedo")</f>
        <v>Acebedo</v>
      </c>
      <c r="J67" s="36" t="str">
        <f ca="1">IFERROR(__xludf.DUMMYFUNCTION("""COMPUTED_VALUE"""),"")</f>
        <v/>
      </c>
      <c r="K67" s="36" t="str">
        <f ca="1">IFERROR(__xludf.DUMMYFUNCTION("""COMPUTED_VALUE"""),"43º 2' 13.58'' N 5º 7' 39.56'' O")</f>
        <v>43º 2' 13.58'' N 5º 7' 39.56'' O</v>
      </c>
      <c r="L67" s="36" t="str">
        <f ca="1">IFERROR(__xludf.DUMMYFUNCTION("""COMPUTED_VALUE"""),"")</f>
        <v/>
      </c>
      <c r="M67" s="36" t="str">
        <f ca="1">IFERROR(__xludf.DUMMYFUNCTION("""COMPUTED_VALUE"""),"")</f>
        <v/>
      </c>
      <c r="N67" s="36" t="str">
        <f ca="1">IFERROR(__xludf.DUMMYFUNCTION("""COMPUTED_VALUE"""),"")</f>
        <v/>
      </c>
      <c r="O67" s="36" t="str">
        <f ca="1">IFERROR(__xludf.DUMMYFUNCTION("""COMPUTED_VALUE"""),"")</f>
        <v/>
      </c>
      <c r="P67" s="36" t="str">
        <f ca="1">IFERROR(__xludf.DUMMYFUNCTION("""COMPUTED_VALUE"""),"")</f>
        <v/>
      </c>
      <c r="Q67" s="36" t="str">
        <f ca="1">IFERROR(__xludf.DUMMYFUNCTION("""COMPUTED_VALUE"""),"")</f>
        <v/>
      </c>
      <c r="R67" s="36" t="str">
        <f ca="1">IFERROR(__xludf.DUMMYFUNCTION("""COMPUTED_VALUE"""),"")</f>
        <v/>
      </c>
      <c r="S67" s="36" t="str">
        <f ca="1">IFERROR(__xludf.DUMMYFUNCTION("""COMPUTED_VALUE"""),"")</f>
        <v/>
      </c>
      <c r="T67" s="36" t="str">
        <f ca="1">IFERROR(__xludf.DUMMYFUNCTION("""COMPUTED_VALUE"""),"")</f>
        <v/>
      </c>
      <c r="U67" s="36" t="str">
        <f ca="1">IFERROR(__xludf.DUMMYFUNCTION("""COMPUTED_VALUE"""),"")</f>
        <v/>
      </c>
      <c r="V67" s="36" t="str">
        <f ca="1">IFERROR(__xludf.DUMMYFUNCTION("""COMPUTED_VALUE"""),"")</f>
        <v/>
      </c>
      <c r="W67" s="36" t="str">
        <f ca="1">IFERROR(__xludf.DUMMYFUNCTION("""COMPUTED_VALUE"""),"")</f>
        <v/>
      </c>
      <c r="X67" s="36"/>
      <c r="Y67" s="36"/>
      <c r="Z67" s="36"/>
    </row>
    <row r="68" spans="1:26" ht="12.75" hidden="1">
      <c r="A68" s="36" t="str">
        <f ca="1">IFERROR(__xludf.DUMMYFUNCTION("""COMPUTED_VALUE"""),"Castilla y León")</f>
        <v>Castilla y León</v>
      </c>
      <c r="B68" s="36" t="str">
        <f ca="1">IFERROR(__xludf.DUMMYFUNCTION("""COMPUTED_VALUE"""),"Burgos")</f>
        <v>Burgos</v>
      </c>
      <c r="C68" s="36">
        <f ca="1">IFERROR(__xludf.DUMMYFUNCTION("""COMPUTED_VALUE"""),2015)</f>
        <v>2015</v>
      </c>
      <c r="D68" s="36" t="str">
        <f ca="1">IFERROR(__xludf.DUMMYFUNCTION("""COMPUTED_VALUE"""),"Goa")</f>
        <v>Goa</v>
      </c>
      <c r="E68" s="36" t="str">
        <f ca="1">IFERROR(__xludf.DUMMYFUNCTION("""COMPUTED_VALUE"""),"gs.goa@scoutsdemadrid.org ")</f>
        <v xml:space="preserve">gs.goa@scoutsdemadrid.org </v>
      </c>
      <c r="F68" s="48">
        <f ca="1">IFERROR(__xludf.DUMMYFUNCTION("""COMPUTED_VALUE"""),42200)</f>
        <v>42200</v>
      </c>
      <c r="G68" s="48">
        <f ca="1">IFERROR(__xludf.DUMMYFUNCTION("""COMPUTED_VALUE"""),42215)</f>
        <v>42215</v>
      </c>
      <c r="H68" s="36" t="str">
        <f ca="1">IFERROR(__xludf.DUMMYFUNCTION("""COMPUTED_VALUE"""),"Quintanilla Del Agua")</f>
        <v>Quintanilla Del Agua</v>
      </c>
      <c r="I68" s="36" t="str">
        <f ca="1">IFERROR(__xludf.DUMMYFUNCTION("""COMPUTED_VALUE"""),"Quintanilla del Agua")</f>
        <v>Quintanilla del Agua</v>
      </c>
      <c r="J68" s="36" t="str">
        <f ca="1">IFERROR(__xludf.DUMMYFUNCTION("""COMPUTED_VALUE"""),"")</f>
        <v/>
      </c>
      <c r="K68" s="36" t="str">
        <f ca="1">IFERROR(__xludf.DUMMYFUNCTION("""COMPUTED_VALUE"""),"N: 42º 1' 22.8'' O: -3º 37' 48''")</f>
        <v>N: 42º 1' 22.8'' O: -3º 37' 48''</v>
      </c>
      <c r="L68" s="36" t="str">
        <f ca="1">IFERROR(__xludf.DUMMYFUNCTION("""COMPUTED_VALUE"""),"")</f>
        <v/>
      </c>
      <c r="M68" s="36" t="str">
        <f ca="1">IFERROR(__xludf.DUMMYFUNCTION("""COMPUTED_VALUE"""),"")</f>
        <v/>
      </c>
      <c r="N68" s="36" t="str">
        <f ca="1">IFERROR(__xludf.DUMMYFUNCTION("""COMPUTED_VALUE"""),"")</f>
        <v/>
      </c>
      <c r="O68" s="36" t="str">
        <f ca="1">IFERROR(__xludf.DUMMYFUNCTION("""COMPUTED_VALUE"""),"")</f>
        <v/>
      </c>
      <c r="P68" s="36" t="str">
        <f ca="1">IFERROR(__xludf.DUMMYFUNCTION("""COMPUTED_VALUE"""),"")</f>
        <v/>
      </c>
      <c r="Q68" s="36" t="str">
        <f ca="1">IFERROR(__xludf.DUMMYFUNCTION("""COMPUTED_VALUE"""),"")</f>
        <v/>
      </c>
      <c r="R68" s="36" t="str">
        <f ca="1">IFERROR(__xludf.DUMMYFUNCTION("""COMPUTED_VALUE"""),"")</f>
        <v/>
      </c>
      <c r="S68" s="36" t="str">
        <f ca="1">IFERROR(__xludf.DUMMYFUNCTION("""COMPUTED_VALUE"""),"")</f>
        <v/>
      </c>
      <c r="T68" s="36" t="str">
        <f ca="1">IFERROR(__xludf.DUMMYFUNCTION("""COMPUTED_VALUE"""),"")</f>
        <v/>
      </c>
      <c r="U68" s="36" t="str">
        <f ca="1">IFERROR(__xludf.DUMMYFUNCTION("""COMPUTED_VALUE"""),"")</f>
        <v/>
      </c>
      <c r="V68" s="36" t="str">
        <f ca="1">IFERROR(__xludf.DUMMYFUNCTION("""COMPUTED_VALUE"""),"")</f>
        <v/>
      </c>
      <c r="W68" s="36" t="str">
        <f ca="1">IFERROR(__xludf.DUMMYFUNCTION("""COMPUTED_VALUE"""),"")</f>
        <v/>
      </c>
      <c r="X68" s="36"/>
      <c r="Y68" s="36"/>
      <c r="Z68" s="36"/>
    </row>
    <row r="69" spans="1:26" ht="12.75" hidden="1">
      <c r="A69" s="36" t="str">
        <f ca="1">IFERROR(__xludf.DUMMYFUNCTION("""COMPUTED_VALUE"""),"Castilla y León")</f>
        <v>Castilla y León</v>
      </c>
      <c r="B69" s="36" t="str">
        <f ca="1">IFERROR(__xludf.DUMMYFUNCTION("""COMPUTED_VALUE"""),"Burgos")</f>
        <v>Burgos</v>
      </c>
      <c r="C69" s="36">
        <f ca="1">IFERROR(__xludf.DUMMYFUNCTION("""COMPUTED_VALUE"""),2015)</f>
        <v>2015</v>
      </c>
      <c r="D69" s="36" t="str">
        <f ca="1">IFERROR(__xludf.DUMMYFUNCTION("""COMPUTED_VALUE"""),"Goa")</f>
        <v>Goa</v>
      </c>
      <c r="E69" s="36" t="str">
        <f ca="1">IFERROR(__xludf.DUMMYFUNCTION("""COMPUTED_VALUE"""),"gs.goa@scoutsdemadrid.org ")</f>
        <v xml:space="preserve">gs.goa@scoutsdemadrid.org </v>
      </c>
      <c r="F69" s="48">
        <f ca="1">IFERROR(__xludf.DUMMYFUNCTION("""COMPUTED_VALUE"""),42201)</f>
        <v>42201</v>
      </c>
      <c r="G69" s="48">
        <f ca="1">IFERROR(__xludf.DUMMYFUNCTION("""COMPUTED_VALUE"""),42215)</f>
        <v>42215</v>
      </c>
      <c r="H69" s="36" t="str">
        <f ca="1">IFERROR(__xludf.DUMMYFUNCTION("""COMPUTED_VALUE"""),"Quintanilla Del Agua ")</f>
        <v xml:space="preserve">Quintanilla Del Agua </v>
      </c>
      <c r="I69" s="36" t="str">
        <f ca="1">IFERROR(__xludf.DUMMYFUNCTION("""COMPUTED_VALUE"""),"Cañal Tabla Angosto")</f>
        <v>Cañal Tabla Angosto</v>
      </c>
      <c r="J69" s="36" t="str">
        <f ca="1">IFERROR(__xludf.DUMMYFUNCTION("""COMPUTED_VALUE"""),"")</f>
        <v/>
      </c>
      <c r="K69" s="36" t="str">
        <f ca="1">IFERROR(__xludf.DUMMYFUNCTION("""COMPUTED_VALUE"""),"")</f>
        <v/>
      </c>
      <c r="L69" s="36" t="str">
        <f ca="1">IFERROR(__xludf.DUMMYFUNCTION("""COMPUTED_VALUE"""),"")</f>
        <v/>
      </c>
      <c r="M69" s="36" t="str">
        <f ca="1">IFERROR(__xludf.DUMMYFUNCTION("""COMPUTED_VALUE"""),"")</f>
        <v/>
      </c>
      <c r="N69" s="36" t="str">
        <f ca="1">IFERROR(__xludf.DUMMYFUNCTION("""COMPUTED_VALUE"""),"")</f>
        <v/>
      </c>
      <c r="O69" s="36" t="str">
        <f ca="1">IFERROR(__xludf.DUMMYFUNCTION("""COMPUTED_VALUE"""),"")</f>
        <v/>
      </c>
      <c r="P69" s="36" t="str">
        <f ca="1">IFERROR(__xludf.DUMMYFUNCTION("""COMPUTED_VALUE"""),"")</f>
        <v/>
      </c>
      <c r="Q69" s="36" t="str">
        <f ca="1">IFERROR(__xludf.DUMMYFUNCTION("""COMPUTED_VALUE"""),"")</f>
        <v/>
      </c>
      <c r="R69" s="36" t="str">
        <f ca="1">IFERROR(__xludf.DUMMYFUNCTION("""COMPUTED_VALUE"""),"")</f>
        <v/>
      </c>
      <c r="S69" s="36" t="str">
        <f ca="1">IFERROR(__xludf.DUMMYFUNCTION("""COMPUTED_VALUE"""),"")</f>
        <v/>
      </c>
      <c r="T69" s="36" t="str">
        <f ca="1">IFERROR(__xludf.DUMMYFUNCTION("""COMPUTED_VALUE"""),"")</f>
        <v/>
      </c>
      <c r="U69" s="36" t="str">
        <f ca="1">IFERROR(__xludf.DUMMYFUNCTION("""COMPUTED_VALUE"""),"")</f>
        <v/>
      </c>
      <c r="V69" s="36" t="str">
        <f ca="1">IFERROR(__xludf.DUMMYFUNCTION("""COMPUTED_VALUE"""),"")</f>
        <v/>
      </c>
      <c r="W69" s="36" t="str">
        <f ca="1">IFERROR(__xludf.DUMMYFUNCTION("""COMPUTED_VALUE"""),"")</f>
        <v/>
      </c>
      <c r="X69" s="36"/>
      <c r="Y69" s="36"/>
      <c r="Z69" s="36"/>
    </row>
    <row r="70" spans="1:26" ht="12.75" hidden="1">
      <c r="A70" s="36" t="str">
        <f ca="1">IFERROR(__xludf.DUMMYFUNCTION("""COMPUTED_VALUE"""),"Castilla y León")</f>
        <v>Castilla y León</v>
      </c>
      <c r="B70" s="36" t="str">
        <f ca="1">IFERROR(__xludf.DUMMYFUNCTION("""COMPUTED_VALUE"""),"León")</f>
        <v>León</v>
      </c>
      <c r="C70" s="36">
        <f ca="1">IFERROR(__xludf.DUMMYFUNCTION("""COMPUTED_VALUE"""),2016)</f>
        <v>2016</v>
      </c>
      <c r="D70" s="36" t="str">
        <f ca="1">IFERROR(__xludf.DUMMYFUNCTION("""COMPUTED_VALUE"""),"Goa")</f>
        <v>Goa</v>
      </c>
      <c r="E70" s="36" t="str">
        <f ca="1">IFERROR(__xludf.DUMMYFUNCTION("""COMPUTED_VALUE"""),"gs.goa@scoutsdemadrid.org ")</f>
        <v xml:space="preserve">gs.goa@scoutsdemadrid.org </v>
      </c>
      <c r="F70" s="48">
        <f ca="1">IFERROR(__xludf.DUMMYFUNCTION("""COMPUTED_VALUE"""),42567)</f>
        <v>42567</v>
      </c>
      <c r="G70" s="48">
        <f ca="1">IFERROR(__xludf.DUMMYFUNCTION("""COMPUTED_VALUE"""),42581)</f>
        <v>42581</v>
      </c>
      <c r="H70" s="36" t="str">
        <f ca="1">IFERROR(__xludf.DUMMYFUNCTION("""COMPUTED_VALUE"""),"Boca De Huérgano")</f>
        <v>Boca De Huérgano</v>
      </c>
      <c r="I70" s="36" t="str">
        <f ca="1">IFERROR(__xludf.DUMMYFUNCTION("""COMPUTED_VALUE"""),"Paraje Sotobanal")</f>
        <v>Paraje Sotobanal</v>
      </c>
      <c r="J70" s="36" t="str">
        <f ca="1">IFERROR(__xludf.DUMMYFUNCTION("""COMPUTED_VALUE"""),"Polígono 32 parcela 519")</f>
        <v>Polígono 32 parcela 519</v>
      </c>
      <c r="K70" s="36" t="str">
        <f ca="1">IFERROR(__xludf.DUMMYFUNCTION("""COMPUTED_VALUE"""),"X: 342.686,55 Y.4.759.230.30")</f>
        <v>X: 342.686,55 Y.4.759.230.30</v>
      </c>
      <c r="L70" s="36" t="str">
        <f ca="1">IFERROR(__xludf.DUMMYFUNCTION("""COMPUTED_VALUE"""),"Ayuntamiento de Boca de Huérgano")</f>
        <v>Ayuntamiento de Boca de Huérgano</v>
      </c>
      <c r="M70" s="36" t="str">
        <f ca="1">IFERROR(__xludf.DUMMYFUNCTION("""COMPUTED_VALUE"""),"")</f>
        <v/>
      </c>
      <c r="N70" s="36" t="str">
        <f ca="1">IFERROR(__xludf.DUMMYFUNCTION("""COMPUTED_VALUE"""),"")</f>
        <v/>
      </c>
      <c r="O70" s="36" t="str">
        <f ca="1">IFERROR(__xludf.DUMMYFUNCTION("""COMPUTED_VALUE"""),"80 € por tasa de basura")</f>
        <v>80 € por tasa de basura</v>
      </c>
      <c r="P70" s="36" t="str">
        <f ca="1">IFERROR(__xludf.DUMMYFUNCTION("""COMPUTED_VALUE"""),"Más de una hectárea")</f>
        <v>Más de una hectárea</v>
      </c>
      <c r="Q70" s="36" t="str">
        <f ca="1">IFERROR(__xludf.DUMMYFUNCTION("""COMPUTED_VALUE"""),"REGULAR (Se puede acceder con un coche normal con dificultad)")</f>
        <v>REGULAR (Se puede acceder con un coche normal con dificultad)</v>
      </c>
      <c r="R70" s="36" t="str">
        <f ca="1">IFERROR(__xludf.DUMMYFUNCTION("""COMPUTED_VALUE"""),"No")</f>
        <v>No</v>
      </c>
      <c r="S70" s="36" t="str">
        <f ca="1">IFERROR(__xludf.DUMMYFUNCTION("""COMPUTED_VALUE"""),"500 metros dentro del prado")</f>
        <v>500 metros dentro del prado</v>
      </c>
      <c r="T70" s="36" t="str">
        <f ca="1">IFERROR(__xludf.DUMMYFUNCTION("""COMPUTED_VALUE"""),"Río de poco profundidad. regular. ")</f>
        <v xml:space="preserve">Río de poco profundidad. regular. </v>
      </c>
      <c r="U70" s="36" t="str">
        <f ca="1">IFERROR(__xludf.DUMMYFUNCTION("""COMPUTED_VALUE"""),"NO")</f>
        <v>NO</v>
      </c>
      <c r="V70" s="36" t="str">
        <f ca="1">IFERROR(__xludf.DUMMYFUNCTION("""COMPUTED_VALUE"""),"Sí")</f>
        <v>Sí</v>
      </c>
      <c r="W70" s="36" t="str">
        <f ca="1">IFERROR(__xludf.DUMMYFUNCTION("""COMPUTED_VALUE"""),"Poca sombra, gran espacio, acceso al río para coger agua regular, entorno maravilloso. Buena acogida en el pueblo.")</f>
        <v>Poca sombra, gran espacio, acceso al río para coger agua regular, entorno maravilloso. Buena acogida en el pueblo.</v>
      </c>
      <c r="X70" s="36"/>
      <c r="Y70" s="36"/>
      <c r="Z70" s="36"/>
    </row>
    <row r="71" spans="1:26" ht="12.75" hidden="1">
      <c r="A71" s="36" t="str">
        <f ca="1">IFERROR(__xludf.DUMMYFUNCTION("""COMPUTED_VALUE"""),"Castilla y León")</f>
        <v>Castilla y León</v>
      </c>
      <c r="B71" s="36" t="str">
        <f ca="1">IFERROR(__xludf.DUMMYFUNCTION("""COMPUTED_VALUE"""),"Ávila")</f>
        <v>Ávila</v>
      </c>
      <c r="C71" s="36">
        <f ca="1">IFERROR(__xludf.DUMMYFUNCTION("""COMPUTED_VALUE"""),2017)</f>
        <v>2017</v>
      </c>
      <c r="D71" s="36" t="str">
        <f ca="1">IFERROR(__xludf.DUMMYFUNCTION("""COMPUTED_VALUE"""),"Goa")</f>
        <v>Goa</v>
      </c>
      <c r="E71" s="36" t="str">
        <f ca="1">IFERROR(__xludf.DUMMYFUNCTION("""COMPUTED_VALUE"""),"gs.goa@scoutsdemadrid.org ")</f>
        <v xml:space="preserve">gs.goa@scoutsdemadrid.org </v>
      </c>
      <c r="F71" s="48">
        <f ca="1">IFERROR(__xludf.DUMMYFUNCTION("""COMPUTED_VALUE"""),42932)</f>
        <v>42932</v>
      </c>
      <c r="G71" s="48">
        <f ca="1">IFERROR(__xludf.DUMMYFUNCTION("""COMPUTED_VALUE"""),42938)</f>
        <v>42938</v>
      </c>
      <c r="H71" s="36" t="str">
        <f ca="1">IFERROR(__xludf.DUMMYFUNCTION("""COMPUTED_VALUE"""),"Bohoyo")</f>
        <v>Bohoyo</v>
      </c>
      <c r="I71" s="36" t="str">
        <f ca="1">IFERROR(__xludf.DUMMYFUNCTION("""COMPUTED_VALUE"""),"Los Chozos de Gredos.")</f>
        <v>Los Chozos de Gredos.</v>
      </c>
      <c r="J71" s="36" t="str">
        <f ca="1">IFERROR(__xludf.DUMMYFUNCTION("""COMPUTED_VALUE"""),"NA")</f>
        <v>NA</v>
      </c>
      <c r="K71" s="36" t="str">
        <f ca="1">IFERROR(__xludf.DUMMYFUNCTION("""COMPUTED_VALUE"""),"")</f>
        <v/>
      </c>
      <c r="L71" s="36" t="str">
        <f ca="1">IFERROR(__xludf.DUMMYFUNCTION("""COMPUTED_VALUE"""),"Cly Más Biomasa")</f>
        <v>Cly Más Biomasa</v>
      </c>
      <c r="M71" s="36">
        <f ca="1">IFERROR(__xludf.DUMMYFUNCTION("""COMPUTED_VALUE"""),630881829)</f>
        <v>630881829</v>
      </c>
      <c r="N71" s="36" t="str">
        <f ca="1">IFERROR(__xludf.DUMMYFUNCTION("""COMPUTED_VALUE"""),"cylmas.biomasa@gmail.com")</f>
        <v>cylmas.biomasa@gmail.com</v>
      </c>
      <c r="O71" s="36" t="str">
        <f ca="1">IFERROR(__xludf.DUMMYFUNCTION("""COMPUTED_VALUE"""),"4 €/persona día (SIN IVA)")</f>
        <v>4 €/persona día (SIN IVA)</v>
      </c>
      <c r="P71" s="36" t="str">
        <f ca="1">IFERROR(__xludf.DUMMYFUNCTION("""COMPUTED_VALUE"""),"1ha ")</f>
        <v xml:space="preserve">1ha </v>
      </c>
      <c r="Q71" s="36" t="str">
        <f ca="1">IFERROR(__xludf.DUMMYFUNCTION("""COMPUTED_VALUE"""),"BUENO (Se puede acceder con cualquier coche)")</f>
        <v>BUENO (Se puede acceder con cualquier coche)</v>
      </c>
      <c r="R71" s="36" t="str">
        <f ca="1">IFERROR(__xludf.DUMMYFUNCTION("""COMPUTED_VALUE"""),"Sí")</f>
        <v>Sí</v>
      </c>
      <c r="S71" s="36" t="str">
        <f ca="1">IFERROR(__xludf.DUMMYFUNCTION("""COMPUTED_VALUE"""),"50 - 100 metros")</f>
        <v>50 - 100 metros</v>
      </c>
      <c r="T71" s="36" t="str">
        <f ca="1">IFERROR(__xludf.DUMMYFUNCTION("""COMPUTED_VALUE"""),"Os lo contamos a la vuelta ")</f>
        <v xml:space="preserve">Os lo contamos a la vuelta </v>
      </c>
      <c r="U71" s="36" t="str">
        <f ca="1">IFERROR(__xludf.DUMMYFUNCTION("""COMPUTED_VALUE"""),"Cocina /Aseos y duchas/ Comedor/ Chozas para dormir y una casita")</f>
        <v>Cocina /Aseos y duchas/ Comedor/ Chozas para dormir y una casita</v>
      </c>
      <c r="V71" s="36" t="str">
        <f ca="1">IFERROR(__xludf.DUMMYFUNCTION("""COMPUTED_VALUE"""),"No lo sabemos, pero seguramente sí. ")</f>
        <v xml:space="preserve">No lo sabemos, pero seguramente sí. </v>
      </c>
      <c r="W71" s="36" t="str">
        <f ca="1">IFERROR(__xludf.DUMMYFUNCTION("""COMPUTED_VALUE"""),"Vamos a unas instalaciones porque este año es especial por el JAM, pero seguro que nos va a encantar. La acogida de los gestores es inmejorable. ")</f>
        <v xml:space="preserve">Vamos a unas instalaciones porque este año es especial por el JAM, pero seguro que nos va a encantar. La acogida de los gestores es inmejorable. </v>
      </c>
      <c r="X71" s="36"/>
      <c r="Y71" s="36"/>
      <c r="Z71" s="36"/>
    </row>
    <row r="72" spans="1:26" ht="12.75" hidden="1">
      <c r="A72" s="36" t="str">
        <f ca="1">IFERROR(__xludf.DUMMYFUNCTION("""COMPUTED_VALUE"""),"Castilla y León")</f>
        <v>Castilla y León</v>
      </c>
      <c r="B72" s="36" t="str">
        <f ca="1">IFERROR(__xludf.DUMMYFUNCTION("""COMPUTED_VALUE"""),"León")</f>
        <v>León</v>
      </c>
      <c r="C72" s="36">
        <f ca="1">IFERROR(__xludf.DUMMYFUNCTION("""COMPUTED_VALUE"""),2018)</f>
        <v>2018</v>
      </c>
      <c r="D72" s="36" t="str">
        <f ca="1">IFERROR(__xludf.DUMMYFUNCTION("""COMPUTED_VALUE"""),"Goa")</f>
        <v>Goa</v>
      </c>
      <c r="E72" s="36" t="str">
        <f ca="1">IFERROR(__xludf.DUMMYFUNCTION("""COMPUTED_VALUE"""),"gs.goa@scoutsdemadrid.org ")</f>
        <v xml:space="preserve">gs.goa@scoutsdemadrid.org </v>
      </c>
      <c r="F72" s="48">
        <f ca="1">IFERROR(__xludf.DUMMYFUNCTION("""COMPUTED_VALUE"""),43297)</f>
        <v>43297</v>
      </c>
      <c r="G72" s="48">
        <f ca="1">IFERROR(__xludf.DUMMYFUNCTION("""COMPUTED_VALUE"""),43311)</f>
        <v>43311</v>
      </c>
      <c r="H72" s="36" t="str">
        <f ca="1">IFERROR(__xludf.DUMMYFUNCTION("""COMPUTED_VALUE"""),"Castrocontrigo")</f>
        <v>Castrocontrigo</v>
      </c>
      <c r="I72" s="36" t="str">
        <f ca="1">IFERROR(__xludf.DUMMYFUNCTION("""COMPUTED_VALUE"""),"Soto de arriba")</f>
        <v>Soto de arriba</v>
      </c>
      <c r="J72" s="36" t="str">
        <f ca="1">IFERROR(__xludf.DUMMYFUNCTION("""COMPUTED_VALUE"""),"Pol 105 Parcela 5050")</f>
        <v>Pol 105 Parcela 5050</v>
      </c>
      <c r="K72" s="36" t="str">
        <f ca="1">IFERROR(__xludf.DUMMYFUNCTION("""COMPUTED_VALUE"""),"X 729.918, 65 ; Y 4.675.028,29")</f>
        <v>X 729.918, 65 ; Y 4.675.028,29</v>
      </c>
      <c r="L72" s="36" t="str">
        <f ca="1">IFERROR(__xludf.DUMMYFUNCTION("""COMPUTED_VALUE"""),"Junta vecinal de Castrocontrigo")</f>
        <v>Junta vecinal de Castrocontrigo</v>
      </c>
      <c r="M72" s="36">
        <f ca="1">IFERROR(__xludf.DUMMYFUNCTION("""COMPUTED_VALUE"""),626749450)</f>
        <v>626749450</v>
      </c>
      <c r="N72" s="36" t="str">
        <f ca="1">IFERROR(__xludf.DUMMYFUNCTION("""COMPUTED_VALUE"""),"info@jvcastrocontrigo.es")</f>
        <v>info@jvcastrocontrigo.es</v>
      </c>
      <c r="O72" s="36" t="str">
        <f ca="1">IFERROR(__xludf.DUMMYFUNCTION("""COMPUTED_VALUE"""),"Gratuito")</f>
        <v>Gratuito</v>
      </c>
      <c r="P72" s="36" t="str">
        <f ca="1">IFERROR(__xludf.DUMMYFUNCTION("""COMPUTED_VALUE"""),"73 ha")</f>
        <v>73 ha</v>
      </c>
      <c r="Q72" s="36" t="str">
        <f ca="1">IFERROR(__xludf.DUMMYFUNCTION("""COMPUTED_VALUE"""),"BUENO (Se puede acceder con cualquier coche)")</f>
        <v>BUENO (Se puede acceder con cualquier coche)</v>
      </c>
      <c r="R72" s="36" t="str">
        <f ca="1">IFERROR(__xludf.DUMMYFUNCTION("""COMPUTED_VALUE"""),"Sí")</f>
        <v>Sí</v>
      </c>
      <c r="S72" s="36" t="str">
        <f ca="1">IFERROR(__xludf.DUMMYFUNCTION("""COMPUTED_VALUE"""),"150 metros")</f>
        <v>150 metros</v>
      </c>
      <c r="T72" s="36" t="str">
        <f ca="1">IFERROR(__xludf.DUMMYFUNCTION("""COMPUTED_VALUE"""),"No fácil acceso a orillas. Profundidad media")</f>
        <v>No fácil acceso a orillas. Profundidad media</v>
      </c>
      <c r="U72" s="36" t="str">
        <f ca="1">IFERROR(__xludf.DUMMYFUNCTION("""COMPUTED_VALUE"""),"No")</f>
        <v>No</v>
      </c>
      <c r="V72" s="36" t="str">
        <f ca="1">IFERROR(__xludf.DUMMYFUNCTION("""COMPUTED_VALUE"""),"Estamos en ello ")</f>
        <v xml:space="preserve">Estamos en ello </v>
      </c>
      <c r="W72" s="36" t="str">
        <f ca="1">IFERROR(__xludf.DUMMYFUNCTION("""COMPUTED_VALUE"""),"Zonas de sol y sombra. Requiere desbroce previo")</f>
        <v>Zonas de sol y sombra. Requiere desbroce previo</v>
      </c>
      <c r="X72" s="36"/>
      <c r="Y72" s="36"/>
      <c r="Z72" s="36"/>
    </row>
    <row r="73" spans="1:26" ht="12.75" hidden="1">
      <c r="A73" s="36" t="str">
        <f ca="1">IFERROR(__xludf.DUMMYFUNCTION("""COMPUTED_VALUE"""),"Castilla y León")</f>
        <v>Castilla y León</v>
      </c>
      <c r="B73" s="36" t="str">
        <f ca="1">IFERROR(__xludf.DUMMYFUNCTION("""COMPUTED_VALUE"""),"León")</f>
        <v>León</v>
      </c>
      <c r="C73" s="36">
        <f ca="1">IFERROR(__xludf.DUMMYFUNCTION("""COMPUTED_VALUE"""),2019)</f>
        <v>2019</v>
      </c>
      <c r="D73" s="36" t="str">
        <f ca="1">IFERROR(__xludf.DUMMYFUNCTION("""COMPUTED_VALUE"""),"Goa")</f>
        <v>Goa</v>
      </c>
      <c r="E73" s="36" t="str">
        <f ca="1">IFERROR(__xludf.DUMMYFUNCTION("""COMPUTED_VALUE"""),"gs.goa@scoutsdemadrid.org ")</f>
        <v xml:space="preserve">gs.goa@scoutsdemadrid.org </v>
      </c>
      <c r="F73" s="36">
        <f ca="1">IFERROR(__xludf.DUMMYFUNCTION("""COMPUTED_VALUE"""),43662)</f>
        <v>43662</v>
      </c>
      <c r="G73" s="36">
        <f ca="1">IFERROR(__xludf.DUMMYFUNCTION("""COMPUTED_VALUE"""),43676)</f>
        <v>43676</v>
      </c>
      <c r="H73" s="36" t="str">
        <f ca="1">IFERROR(__xludf.DUMMYFUNCTION("""COMPUTED_VALUE"""),"Priaranza De La Valduerna")</f>
        <v>Priaranza De La Valduerna</v>
      </c>
      <c r="I73" s="36" t="str">
        <f ca="1">IFERROR(__xludf.DUMMYFUNCTION("""COMPUTED_VALUE"""),"Prado Priaranza de la Valduerna")</f>
        <v>Prado Priaranza de la Valduerna</v>
      </c>
      <c r="J73" s="36" t="str">
        <f ca="1">IFERROR(__xludf.DUMMYFUNCTION("""COMPUTED_VALUE"""),"No consta")</f>
        <v>No consta</v>
      </c>
      <c r="K73" s="36" t="str">
        <f ca="1">IFERROR(__xludf.DUMMYFUNCTION("""COMPUTED_VALUE"""),"42°20'18.9""N 6°11'52.9""W")</f>
        <v>42°20'18.9"N 6°11'52.9"W</v>
      </c>
      <c r="L73" s="36" t="str">
        <f ca="1">IFERROR(__xludf.DUMMYFUNCTION("""COMPUTED_VALUE"""),"Ángel Abajo Lera")</f>
        <v>Ángel Abajo Lera</v>
      </c>
      <c r="M73" s="36">
        <f ca="1">IFERROR(__xludf.DUMMYFUNCTION("""COMPUTED_VALUE"""),645924866)</f>
        <v>645924866</v>
      </c>
      <c r="N73" s="36" t="str">
        <f ca="1">IFERROR(__xludf.DUMMYFUNCTION("""COMPUTED_VALUE"""),"No consta")</f>
        <v>No consta</v>
      </c>
      <c r="O73" s="36" t="str">
        <f ca="1">IFERROR(__xludf.DUMMYFUNCTION("""COMPUTED_VALUE"""),"Gratuito (donación)")</f>
        <v>Gratuito (donación)</v>
      </c>
      <c r="P73" s="36" t="str">
        <f ca="1">IFERROR(__xludf.DUMMYFUNCTION("""COMPUTED_VALUE"""),"11.000 m2")</f>
        <v>11.000 m2</v>
      </c>
      <c r="Q73" s="36" t="str">
        <f ca="1">IFERROR(__xludf.DUMMYFUNCTION("""COMPUTED_VALUE"""),"BUENO (Se puede acceder con cualquier coche)")</f>
        <v>BUENO (Se puede acceder con cualquier coche)</v>
      </c>
      <c r="R73" s="36" t="str">
        <f ca="1">IFERROR(__xludf.DUMMYFUNCTION("""COMPUTED_VALUE"""),"Sí")</f>
        <v>Sí</v>
      </c>
      <c r="S73" s="36" t="str">
        <f ca="1">IFERROR(__xludf.DUMMYFUNCTION("""COMPUTED_VALUE"""),"75 m")</f>
        <v>75 m</v>
      </c>
      <c r="T73" s="36" t="str">
        <f ca="1">IFERROR(__xludf.DUMMYFUNCTION("""COMPUTED_VALUE"""),"Espaciosa y adaptada")</f>
        <v>Espaciosa y adaptada</v>
      </c>
      <c r="U73" s="36" t="str">
        <f ca="1">IFERROR(__xludf.DUMMYFUNCTION("""COMPUTED_VALUE"""),"No")</f>
        <v>No</v>
      </c>
      <c r="V73" s="36" t="str">
        <f ca="1">IFERROR(__xludf.DUMMYFUNCTION("""COMPUTED_VALUE"""),"Sí")</f>
        <v>Sí</v>
      </c>
      <c r="W73" s="36" t="str">
        <f ca="1">IFERROR(__xludf.DUMMYFUNCTION("""COMPUTED_VALUE"""),"Con mucho espacio para distintas zonas. Bien comunicada. Sombreada. M")</f>
        <v>Con mucho espacio para distintas zonas. Bien comunicada. Sombreada. M</v>
      </c>
      <c r="X73" s="36"/>
      <c r="Y73" s="36"/>
      <c r="Z73" s="36"/>
    </row>
    <row r="74" spans="1:26" ht="12.75" hidden="1">
      <c r="A74" s="36" t="str">
        <f ca="1">IFERROR(__xludf.DUMMYFUNCTION("""COMPUTED_VALUE"""),"Castilla y León")</f>
        <v>Castilla y León</v>
      </c>
      <c r="B74" s="36" t="str">
        <f ca="1">IFERROR(__xludf.DUMMYFUNCTION("""COMPUTED_VALUE"""),"Soria")</f>
        <v>Soria</v>
      </c>
      <c r="C74" s="36">
        <f ca="1">IFERROR(__xludf.DUMMYFUNCTION("""COMPUTED_VALUE"""),2016)</f>
        <v>2016</v>
      </c>
      <c r="D74" s="36" t="str">
        <f ca="1">IFERROR(__xludf.DUMMYFUNCTION("""COMPUTED_VALUE"""),"Jamborette Marianista")</f>
        <v>Jamborette Marianista</v>
      </c>
      <c r="E74" s="36" t="str">
        <f ca="1">IFERROR(__xludf.DUMMYFUNCTION("""COMPUTED_VALUE"""),"gs.jamborette@scoutsdemadrid.org ")</f>
        <v xml:space="preserve">gs.jamborette@scoutsdemadrid.org </v>
      </c>
      <c r="F74" s="48">
        <f ca="1">IFERROR(__xludf.DUMMYFUNCTION("""COMPUTED_VALUE"""),42560)</f>
        <v>42560</v>
      </c>
      <c r="G74" s="48">
        <f ca="1">IFERROR(__xludf.DUMMYFUNCTION("""COMPUTED_VALUE"""),42566)</f>
        <v>42566</v>
      </c>
      <c r="H74" s="36" t="str">
        <f ca="1">IFERROR(__xludf.DUMMYFUNCTION("""COMPUTED_VALUE"""),"Covaleda")</f>
        <v>Covaleda</v>
      </c>
      <c r="I74" s="36" t="str">
        <f ca="1">IFERROR(__xludf.DUMMYFUNCTION("""COMPUTED_VALUE"""),"Raso de la Nava")</f>
        <v>Raso de la Nava</v>
      </c>
      <c r="J74" s="36" t="str">
        <f ca="1">IFERROR(__xludf.DUMMYFUNCTION("""COMPUTED_VALUE"""),"")</f>
        <v/>
      </c>
      <c r="K74" s="36" t="str">
        <f ca="1">IFERROR(__xludf.DUMMYFUNCTION("""COMPUTED_VALUE"""),"41.937685, -2.909870")</f>
        <v>41.937685, -2.909870</v>
      </c>
      <c r="L74" s="36" t="str">
        <f ca="1">IFERROR(__xludf.DUMMYFUNCTION("""COMPUTED_VALUE"""),"Ayuntamiento de Covaleda")</f>
        <v>Ayuntamiento de Covaleda</v>
      </c>
      <c r="M74" s="36">
        <f ca="1">IFERROR(__xludf.DUMMYFUNCTION("""COMPUTED_VALUE"""),975370000)</f>
        <v>975370000</v>
      </c>
      <c r="N74" s="36" t="str">
        <f ca="1">IFERROR(__xludf.DUMMYFUNCTION("""COMPUTED_VALUE"""),"")</f>
        <v/>
      </c>
      <c r="O74" s="36" t="str">
        <f ca="1">IFERROR(__xludf.DUMMYFUNCTION("""COMPUTED_VALUE"""),"0,60€por persona")</f>
        <v>0,60€por persona</v>
      </c>
      <c r="P74" s="36" t="str">
        <f ca="1">IFERROR(__xludf.DUMMYFUNCTION("""COMPUTED_VALUE"""),"")</f>
        <v/>
      </c>
      <c r="Q74" s="36" t="str">
        <f ca="1">IFERROR(__xludf.DUMMYFUNCTION("""COMPUTED_VALUE"""),"BUENO (Se puede acceder con cualquier coche)")</f>
        <v>BUENO (Se puede acceder con cualquier coche)</v>
      </c>
      <c r="R74" s="36" t="str">
        <f ca="1">IFERROR(__xludf.DUMMYFUNCTION("""COMPUTED_VALUE"""),"Sí")</f>
        <v>Sí</v>
      </c>
      <c r="S74" s="36" t="str">
        <f ca="1">IFERROR(__xludf.DUMMYFUNCTION("""COMPUTED_VALUE"""),"500 metro")</f>
        <v>500 metro</v>
      </c>
      <c r="T74" s="36" t="str">
        <f ca="1">IFERROR(__xludf.DUMMYFUNCTION("""COMPUTED_VALUE"""),"río con poza")</f>
        <v>río con poza</v>
      </c>
      <c r="U74" s="36" t="str">
        <f ca="1">IFERROR(__xludf.DUMMYFUNCTION("""COMPUTED_VALUE"""),"Si, cocina, almacén, botiquin, salas vacias...")</f>
        <v>Si, cocina, almacén, botiquin, salas vacias...</v>
      </c>
      <c r="V74" s="36" t="str">
        <f ca="1">IFERROR(__xludf.DUMMYFUNCTION("""COMPUTED_VALUE"""),"si")</f>
        <v>si</v>
      </c>
      <c r="W74" s="36" t="str">
        <f ca="1">IFERROR(__xludf.DUMMYFUNCTION("""COMPUTED_VALUE"""),"Muy bueno")</f>
        <v>Muy bueno</v>
      </c>
      <c r="X74" s="36"/>
      <c r="Y74" s="36"/>
      <c r="Z74" s="36"/>
    </row>
    <row r="75" spans="1:26" ht="12.75" hidden="1">
      <c r="A75" s="36" t="str">
        <f ca="1">IFERROR(__xludf.DUMMYFUNCTION("""COMPUTED_VALUE"""),"Castilla y León")</f>
        <v>Castilla y León</v>
      </c>
      <c r="B75" s="36" t="str">
        <f ca="1">IFERROR(__xludf.DUMMYFUNCTION("""COMPUTED_VALUE"""),"Burgos")</f>
        <v>Burgos</v>
      </c>
      <c r="C75" s="36">
        <f ca="1">IFERROR(__xludf.DUMMYFUNCTION("""COMPUTED_VALUE"""),2015)</f>
        <v>2015</v>
      </c>
      <c r="D75" s="36" t="str">
        <f ca="1">IFERROR(__xludf.DUMMYFUNCTION("""COMPUTED_VALUE"""),"La Merced")</f>
        <v>La Merced</v>
      </c>
      <c r="E75" s="36" t="str">
        <f ca="1">IFERROR(__xludf.DUMMYFUNCTION("""COMPUTED_VALUE"""),"gs.lamerced@scoutsdemadrid.org ")</f>
        <v xml:space="preserve">gs.lamerced@scoutsdemadrid.org </v>
      </c>
      <c r="F75" s="48">
        <f ca="1">IFERROR(__xludf.DUMMYFUNCTION("""COMPUTED_VALUE"""),42189)</f>
        <v>42189</v>
      </c>
      <c r="G75" s="48">
        <f ca="1">IFERROR(__xludf.DUMMYFUNCTION("""COMPUTED_VALUE"""),42197)</f>
        <v>42197</v>
      </c>
      <c r="H75" s="36" t="str">
        <f ca="1">IFERROR(__xludf.DUMMYFUNCTION("""COMPUTED_VALUE"""),"Espinosa De Los Monteros")</f>
        <v>Espinosa De Los Monteros</v>
      </c>
      <c r="I75" s="36" t="str">
        <f ca="1">IFERROR(__xludf.DUMMYFUNCTION("""COMPUTED_VALUE"""),"la edilla. campamento juvenil espinosa de los monteros")</f>
        <v>la edilla. campamento juvenil espinosa de los monteros</v>
      </c>
      <c r="J75" s="36" t="str">
        <f ca="1">IFERROR(__xludf.DUMMYFUNCTION("""COMPUTED_VALUE"""),"")</f>
        <v/>
      </c>
      <c r="K75" s="36" t="str">
        <f ca="1">IFERROR(__xludf.DUMMYFUNCTION("""COMPUTED_VALUE"""),"")</f>
        <v/>
      </c>
      <c r="L75" s="36" t="str">
        <f ca="1">IFERROR(__xludf.DUMMYFUNCTION("""COMPUTED_VALUE"""),"")</f>
        <v/>
      </c>
      <c r="M75" s="36" t="str">
        <f ca="1">IFERROR(__xludf.DUMMYFUNCTION("""COMPUTED_VALUE"""),"")</f>
        <v/>
      </c>
      <c r="N75" s="36" t="str">
        <f ca="1">IFERROR(__xludf.DUMMYFUNCTION("""COMPUTED_VALUE"""),"")</f>
        <v/>
      </c>
      <c r="O75" s="36" t="str">
        <f ca="1">IFERROR(__xludf.DUMMYFUNCTION("""COMPUTED_VALUE"""),"")</f>
        <v/>
      </c>
      <c r="P75" s="36" t="str">
        <f ca="1">IFERROR(__xludf.DUMMYFUNCTION("""COMPUTED_VALUE"""),"")</f>
        <v/>
      </c>
      <c r="Q75" s="36" t="str">
        <f ca="1">IFERROR(__xludf.DUMMYFUNCTION("""COMPUTED_VALUE"""),"")</f>
        <v/>
      </c>
      <c r="R75" s="36" t="str">
        <f ca="1">IFERROR(__xludf.DUMMYFUNCTION("""COMPUTED_VALUE"""),"")</f>
        <v/>
      </c>
      <c r="S75" s="36" t="str">
        <f ca="1">IFERROR(__xludf.DUMMYFUNCTION("""COMPUTED_VALUE"""),"")</f>
        <v/>
      </c>
      <c r="T75" s="36" t="str">
        <f ca="1">IFERROR(__xludf.DUMMYFUNCTION("""COMPUTED_VALUE"""),"")</f>
        <v/>
      </c>
      <c r="U75" s="36" t="str">
        <f ca="1">IFERROR(__xludf.DUMMYFUNCTION("""COMPUTED_VALUE"""),"")</f>
        <v/>
      </c>
      <c r="V75" s="36" t="str">
        <f ca="1">IFERROR(__xludf.DUMMYFUNCTION("""COMPUTED_VALUE"""),"")</f>
        <v/>
      </c>
      <c r="W75" s="36" t="str">
        <f ca="1">IFERROR(__xludf.DUMMYFUNCTION("""COMPUTED_VALUE"""),"")</f>
        <v/>
      </c>
      <c r="X75" s="36"/>
      <c r="Y75" s="36"/>
      <c r="Z75" s="36"/>
    </row>
    <row r="76" spans="1:26" ht="12.75" hidden="1">
      <c r="A76" s="36" t="str">
        <f ca="1">IFERROR(__xludf.DUMMYFUNCTION("""COMPUTED_VALUE"""),"Castilla y León")</f>
        <v>Castilla y León</v>
      </c>
      <c r="B76" s="36" t="str">
        <f ca="1">IFERROR(__xludf.DUMMYFUNCTION("""COMPUTED_VALUE"""),"Ávila")</f>
        <v>Ávila</v>
      </c>
      <c r="C76" s="36">
        <f ca="1">IFERROR(__xludf.DUMMYFUNCTION("""COMPUTED_VALUE"""),2018)</f>
        <v>2018</v>
      </c>
      <c r="D76" s="36" t="str">
        <f ca="1">IFERROR(__xludf.DUMMYFUNCTION("""COMPUTED_VALUE"""),"La Merced")</f>
        <v>La Merced</v>
      </c>
      <c r="E76" s="36" t="str">
        <f ca="1">IFERROR(__xludf.DUMMYFUNCTION("""COMPUTED_VALUE"""),"gs.lamerced@scoutsdemadrid.org ")</f>
        <v xml:space="preserve">gs.lamerced@scoutsdemadrid.org </v>
      </c>
      <c r="F76" s="48">
        <f ca="1">IFERROR(__xludf.DUMMYFUNCTION("""COMPUTED_VALUE"""),43281)</f>
        <v>43281</v>
      </c>
      <c r="G76" s="48">
        <f ca="1">IFERROR(__xludf.DUMMYFUNCTION("""COMPUTED_VALUE"""),43289)</f>
        <v>43289</v>
      </c>
      <c r="H76" s="36" t="str">
        <f ca="1">IFERROR(__xludf.DUMMYFUNCTION("""COMPUTED_VALUE"""),"Bohoyo")</f>
        <v>Bohoyo</v>
      </c>
      <c r="I76" s="36" t="str">
        <f ca="1">IFERROR(__xludf.DUMMYFUNCTION("""COMPUTED_VALUE"""),"Los Chozos de Gredos")</f>
        <v>Los Chozos de Gredos</v>
      </c>
      <c r="J76" s="36" t="str">
        <f ca="1">IFERROR(__xludf.DUMMYFUNCTION("""COMPUTED_VALUE"""),"05226A006004950000ST")</f>
        <v>05226A006004950000ST</v>
      </c>
      <c r="K76" s="36" t="str">
        <f ca="1">IFERROR(__xludf.DUMMYFUNCTION("""COMPUTED_VALUE"""),"40.3099;-5,4256")</f>
        <v>40.3099;-5,4256</v>
      </c>
      <c r="L76" s="36" t="str">
        <f ca="1">IFERROR(__xludf.DUMMYFUNCTION("""COMPUTED_VALUE"""),"cylmas BiomasaSL")</f>
        <v>cylmas BiomasaSL</v>
      </c>
      <c r="M76" s="36">
        <f ca="1">IFERROR(__xludf.DUMMYFUNCTION("""COMPUTED_VALUE"""),630881829)</f>
        <v>630881829</v>
      </c>
      <c r="N76" s="36" t="str">
        <f ca="1">IFERROR(__xludf.DUMMYFUNCTION("""COMPUTED_VALUE"""),"cylmas.biomasa@gmail.com ")</f>
        <v xml:space="preserve">cylmas.biomasa@gmail.com </v>
      </c>
      <c r="O76" s="36" t="str">
        <f ca="1">IFERROR(__xludf.DUMMYFUNCTION("""COMPUTED_VALUE"""),"16 € persona /día con pensión completa.")</f>
        <v>16 € persona /día con pensión completa.</v>
      </c>
      <c r="P76" s="36" t="str">
        <f ca="1">IFERROR(__xludf.DUMMYFUNCTION("""COMPUTED_VALUE"""),"10000 metros")</f>
        <v>10000 metros</v>
      </c>
      <c r="Q76" s="36" t="str">
        <f ca="1">IFERROR(__xludf.DUMMYFUNCTION("""COMPUTED_VALUE"""),"BUENO (Se puede acceder con cualquier coche)")</f>
        <v>BUENO (Se puede acceder con cualquier coche)</v>
      </c>
      <c r="R76" s="36" t="str">
        <f ca="1">IFERROR(__xludf.DUMMYFUNCTION("""COMPUTED_VALUE"""),"Sí")</f>
        <v>Sí</v>
      </c>
      <c r="S76" s="36" t="str">
        <f ca="1">IFERROR(__xludf.DUMMYFUNCTION("""COMPUTED_VALUE"""),"500 metros")</f>
        <v>500 metros</v>
      </c>
      <c r="T76" s="36" t="str">
        <f ca="1">IFERROR(__xludf.DUMMYFUNCTION("""COMPUTED_VALUE"""),"Accesible y tranquila")</f>
        <v>Accesible y tranquila</v>
      </c>
      <c r="U76" s="36" t="str">
        <f ca="1">IFERROR(__xludf.DUMMYFUNCTION("""COMPUTED_VALUE"""),"Comedor, cocina, duchas y aseos completos y chozos.")</f>
        <v>Comedor, cocina, duchas y aseos completos y chozos.</v>
      </c>
      <c r="V76" s="36" t="str">
        <f ca="1">IFERROR(__xludf.DUMMYFUNCTION("""COMPUTED_VALUE"""),"Sí")</f>
        <v>Sí</v>
      </c>
      <c r="W76" s="36" t="str">
        <f ca="1">IFERROR(__xludf.DUMMYFUNCTION("""COMPUTED_VALUE"""),"Cuidada y bien mantenida. Recinto cerrado.")</f>
        <v>Cuidada y bien mantenida. Recinto cerrado.</v>
      </c>
      <c r="X76" s="36"/>
      <c r="Y76" s="36"/>
      <c r="Z76" s="36"/>
    </row>
    <row r="77" spans="1:26" ht="12.75" hidden="1">
      <c r="A77" s="36" t="str">
        <f ca="1">IFERROR(__xludf.DUMMYFUNCTION("""COMPUTED_VALUE"""),"Castilla y León")</f>
        <v>Castilla y León</v>
      </c>
      <c r="B77" s="36" t="str">
        <f ca="1">IFERROR(__xludf.DUMMYFUNCTION("""COMPUTED_VALUE"""),"Ávila")</f>
        <v>Ávila</v>
      </c>
      <c r="C77" s="36">
        <f ca="1">IFERROR(__xludf.DUMMYFUNCTION("""COMPUTED_VALUE"""),2019)</f>
        <v>2019</v>
      </c>
      <c r="D77" s="36" t="str">
        <f ca="1">IFERROR(__xludf.DUMMYFUNCTION("""COMPUTED_VALUE"""),"La Merced")</f>
        <v>La Merced</v>
      </c>
      <c r="E77" s="36" t="str">
        <f ca="1">IFERROR(__xludf.DUMMYFUNCTION("""COMPUTED_VALUE"""),"gs.lamerced@scoutsdemadrid.org ")</f>
        <v xml:space="preserve">gs.lamerced@scoutsdemadrid.org </v>
      </c>
      <c r="F77" s="36">
        <f ca="1">IFERROR(__xludf.DUMMYFUNCTION("""COMPUTED_VALUE"""),43652)</f>
        <v>43652</v>
      </c>
      <c r="G77" s="36">
        <f ca="1">IFERROR(__xludf.DUMMYFUNCTION("""COMPUTED_VALUE"""),43660)</f>
        <v>43660</v>
      </c>
      <c r="H77" s="36" t="str">
        <f ca="1">IFERROR(__xludf.DUMMYFUNCTION("""COMPUTED_VALUE"""),"Bohoyo")</f>
        <v>Bohoyo</v>
      </c>
      <c r="I77" s="36" t="str">
        <f ca="1">IFERROR(__xludf.DUMMYFUNCTION("""COMPUTED_VALUE"""),"Los Chozos de Gredos")</f>
        <v>Los Chozos de Gredos</v>
      </c>
      <c r="J77" s="36" t="str">
        <f ca="1">IFERROR(__xludf.DUMMYFUNCTION("""COMPUTED_VALUE"""),"Ni idea")</f>
        <v>Ni idea</v>
      </c>
      <c r="K77" s="36" t="str">
        <f ca="1">IFERROR(__xludf.DUMMYFUNCTION("""COMPUTED_VALUE"""),"N: 40o 18' 40.529''   O: 5o 25' 44.825''")</f>
        <v>N: 40o 18' 40.529''   O: 5o 25' 44.825''</v>
      </c>
      <c r="L77" s="36" t="str">
        <f ca="1">IFERROR(__xludf.DUMMYFUNCTION("""COMPUTED_VALUE""")," CYL MAS BIOMASA SL-Jóse Ignacio Romero Trillo")</f>
        <v xml:space="preserve"> CYL MAS BIOMASA SL-Jóse Ignacio Romero Trillo</v>
      </c>
      <c r="M77" s="36">
        <f ca="1">IFERROR(__xludf.DUMMYFUNCTION("""COMPUTED_VALUE"""),630881829)</f>
        <v>630881829</v>
      </c>
      <c r="N77" s="36" t="str">
        <f ca="1">IFERROR(__xludf.DUMMYFUNCTION("""COMPUTED_VALUE"""),"cyl mas &lt;cylmas.biomasa@gmail.com&gt;")</f>
        <v>cyl mas &lt;cylmas.biomasa@gmail.com&gt;</v>
      </c>
      <c r="O77" s="36" t="str">
        <f ca="1">IFERROR(__xludf.DUMMYFUNCTION("""COMPUTED_VALUE"""),"17 € persona/ día")</f>
        <v>17 € persona/ día</v>
      </c>
      <c r="P77" s="36" t="str">
        <f ca="1">IFERROR(__xludf.DUMMYFUNCTION("""COMPUTED_VALUE"""),"Aproximadamente una hectárea.")</f>
        <v>Aproximadamente una hectárea.</v>
      </c>
      <c r="Q77" s="36" t="str">
        <f ca="1">IFERROR(__xludf.DUMMYFUNCTION("""COMPUTED_VALUE"""),"REGULAR (Se puede acceder con un coche normal con dificultad)")</f>
        <v>REGULAR (Se puede acceder con un coche normal con dificultad)</v>
      </c>
      <c r="R77" s="36" t="str">
        <f ca="1">IFERROR(__xludf.DUMMYFUNCTION("""COMPUTED_VALUE"""),"Sí")</f>
        <v>Sí</v>
      </c>
      <c r="S77" s="36" t="str">
        <f ca="1">IFERROR(__xludf.DUMMYFUNCTION("""COMPUTED_VALUE"""),"1 km")</f>
        <v>1 km</v>
      </c>
      <c r="T77" s="36" t="str">
        <f ca="1">IFERROR(__xludf.DUMMYFUNCTION("""COMPUTED_VALUE"""),"Acceso bueno por carretera. Se puede atajar por el campo pero se pueden resbalar con la arenilla. El verano pasado tuvimos un esquincepor esta causa.")</f>
        <v>Acceso bueno por carretera. Se puede atajar por el campo pero se pueden resbalar con la arenilla. El verano pasado tuvimos un esquincepor esta causa.</v>
      </c>
      <c r="U77" s="36" t="str">
        <f ca="1">IFERROR(__xludf.DUMMYFUNCTION("""COMPUTED_VALUE"""),"Sí. Comedor, cocina y baños completos.")</f>
        <v>Sí. Comedor, cocina y baños completos.</v>
      </c>
      <c r="V77" s="36" t="str">
        <f ca="1">IFERROR(__xludf.DUMMYFUNCTION("""COMPUTED_VALUE"""),"A través del propietario.")</f>
        <v>A través del propietario.</v>
      </c>
      <c r="W77" s="36" t="str">
        <f ca="1">IFERROR(__xludf.DUMMYFUNCTION("""COMPUTED_VALUE"""),"Hay 6 chozos para poder guardar el material o dormir. Sitio para instalar tiendas de campaña. Recinto cerrado. Bien cuidado. Trato amable.")</f>
        <v>Hay 6 chozos para poder guardar el material o dormir. Sitio para instalar tiendas de campaña. Recinto cerrado. Bien cuidado. Trato amable.</v>
      </c>
      <c r="X77" s="36"/>
      <c r="Y77" s="36"/>
      <c r="Z77" s="36"/>
    </row>
    <row r="78" spans="1:26" ht="12.75" hidden="1">
      <c r="A78" s="36" t="str">
        <f ca="1">IFERROR(__xludf.DUMMYFUNCTION("""COMPUTED_VALUE"""),"Castilla y León")</f>
        <v>Castilla y León</v>
      </c>
      <c r="B78" s="36" t="str">
        <f ca="1">IFERROR(__xludf.DUMMYFUNCTION("""COMPUTED_VALUE"""),"Zamora")</f>
        <v>Zamora</v>
      </c>
      <c r="C78" s="36">
        <f ca="1">IFERROR(__xludf.DUMMYFUNCTION("""COMPUTED_VALUE"""),2017)</f>
        <v>2017</v>
      </c>
      <c r="D78" s="36" t="str">
        <f ca="1">IFERROR(__xludf.DUMMYFUNCTION("""COMPUTED_VALUE"""),"Libertas")</f>
        <v>Libertas</v>
      </c>
      <c r="E78" s="36" t="str">
        <f ca="1">IFERROR(__xludf.DUMMYFUNCTION("""COMPUTED_VALUE"""),"gs.libertas@scoutsdemadrid.org")</f>
        <v>gs.libertas@scoutsdemadrid.org</v>
      </c>
      <c r="F78" s="48">
        <f ca="1">IFERROR(__xludf.DUMMYFUNCTION("""COMPUTED_VALUE"""),42932)</f>
        <v>42932</v>
      </c>
      <c r="G78" s="48">
        <f ca="1">IFERROR(__xludf.DUMMYFUNCTION("""COMPUTED_VALUE"""),42946)</f>
        <v>42946</v>
      </c>
      <c r="H78" s="36" t="str">
        <f ca="1">IFERROR(__xludf.DUMMYFUNCTION("""COMPUTED_VALUE"""),"Fariza")</f>
        <v>Fariza</v>
      </c>
      <c r="I78" s="36" t="str">
        <f ca="1">IFERROR(__xludf.DUMMYFUNCTION("""COMPUTED_VALUE"""),"Albergue La Rueca")</f>
        <v>Albergue La Rueca</v>
      </c>
      <c r="J78" s="36" t="str">
        <f ca="1">IFERROR(__xludf.DUMMYFUNCTION("""COMPUTED_VALUE"""),"")</f>
        <v/>
      </c>
      <c r="K78" s="36" t="str">
        <f ca="1">IFERROR(__xludf.DUMMYFUNCTION("""COMPUTED_VALUE"""),"")</f>
        <v/>
      </c>
      <c r="L78" s="36" t="str">
        <f ca="1">IFERROR(__xludf.DUMMYFUNCTION("""COMPUTED_VALUE"""),"Ayuntamiento de Fariza \ Ekoactivo Experiencia")</f>
        <v>Ayuntamiento de Fariza \ Ekoactivo Experiencia</v>
      </c>
      <c r="M78" s="36" t="str">
        <f ca="1">IFERROR(__xludf.DUMMYFUNCTION("""COMPUTED_VALUE"""),"")</f>
        <v/>
      </c>
      <c r="N78" s="36" t="str">
        <f ca="1">IFERROR(__xludf.DUMMYFUNCTION("""COMPUTED_VALUE"""),"")</f>
        <v/>
      </c>
      <c r="O78" s="36" t="str">
        <f ca="1">IFERROR(__xludf.DUMMYFUNCTION("""COMPUTED_VALUE"""),"Precio por persona \ dia")</f>
        <v>Precio por persona \ dia</v>
      </c>
      <c r="P78" s="36" t="str">
        <f ca="1">IFERROR(__xludf.DUMMYFUNCTION("""COMPUTED_VALUE"""),"")</f>
        <v/>
      </c>
      <c r="Q78" s="36" t="str">
        <f ca="1">IFERROR(__xludf.DUMMYFUNCTION("""COMPUTED_VALUE"""),"BUENO (Se puede acceder con cualquier coche)")</f>
        <v>BUENO (Se puede acceder con cualquier coche)</v>
      </c>
      <c r="R78" s="36" t="str">
        <f ca="1">IFERROR(__xludf.DUMMYFUNCTION("""COMPUTED_VALUE"""),"No")</f>
        <v>No</v>
      </c>
      <c r="S78" s="36" t="str">
        <f ca="1">IFERROR(__xludf.DUMMYFUNCTION("""COMPUTED_VALUE"""),"Muy lejana. Mas de 10 km")</f>
        <v>Muy lejana. Mas de 10 km</v>
      </c>
      <c r="T78" s="36" t="str">
        <f ca="1">IFERROR(__xludf.DUMMYFUNCTION("""COMPUTED_VALUE"""),"")</f>
        <v/>
      </c>
      <c r="U78" s="36" t="str">
        <f ca="1">IFERROR(__xludf.DUMMYFUNCTION("""COMPUTED_VALUE"""),"Albergue completo nuevo y en buen estado. Cocina, baños, comedor, habitacioens")</f>
        <v>Albergue completo nuevo y en buen estado. Cocina, baños, comedor, habitacioens</v>
      </c>
      <c r="V78" s="36" t="str">
        <f ca="1">IFERROR(__xludf.DUMMYFUNCTION("""COMPUTED_VALUE"""),"Ns nc")</f>
        <v>Ns nc</v>
      </c>
      <c r="W78" s="36" t="str">
        <f ca="1">IFERROR(__xludf.DUMMYFUNCTION("""COMPUTED_VALUE"""),"Buena ubicación, en la reserva natural de los Arribes del Duero.
La empresa gestora es llevada por scouts.
Apoyo grande del ayuntamiento para la utilización de espacios...")</f>
        <v>Buena ubicación, en la reserva natural de los Arribes del Duero.
La empresa gestora es llevada por scouts.
Apoyo grande del ayuntamiento para la utilización de espacios...</v>
      </c>
      <c r="X78" s="36"/>
      <c r="Y78" s="36"/>
      <c r="Z78" s="36"/>
    </row>
    <row r="79" spans="1:26" ht="12.75" hidden="1">
      <c r="A79" s="36" t="str">
        <f ca="1">IFERROR(__xludf.DUMMYFUNCTION("""COMPUTED_VALUE"""),"Castilla y León")</f>
        <v>Castilla y León</v>
      </c>
      <c r="B79" s="36" t="str">
        <f ca="1">IFERROR(__xludf.DUMMYFUNCTION("""COMPUTED_VALUE"""),"León")</f>
        <v>León</v>
      </c>
      <c r="C79" s="36">
        <f ca="1">IFERROR(__xludf.DUMMYFUNCTION("""COMPUTED_VALUE"""),2018)</f>
        <v>2018</v>
      </c>
      <c r="D79" s="36" t="str">
        <f ca="1">IFERROR(__xludf.DUMMYFUNCTION("""COMPUTED_VALUE"""),"Libertas")</f>
        <v>Libertas</v>
      </c>
      <c r="E79" s="36" t="str">
        <f ca="1">IFERROR(__xludf.DUMMYFUNCTION("""COMPUTED_VALUE"""),"gs.libertas@scoutsdemadrid.org")</f>
        <v>gs.libertas@scoutsdemadrid.org</v>
      </c>
      <c r="F79" s="48">
        <f ca="1">IFERROR(__xludf.DUMMYFUNCTION("""COMPUTED_VALUE"""),43297)</f>
        <v>43297</v>
      </c>
      <c r="G79" s="48">
        <f ca="1">IFERROR(__xludf.DUMMYFUNCTION("""COMPUTED_VALUE"""),43311)</f>
        <v>43311</v>
      </c>
      <c r="H79" s="36" t="str">
        <f ca="1">IFERROR(__xludf.DUMMYFUNCTION("""COMPUTED_VALUE"""),"La Vecilla De Curueño")</f>
        <v>La Vecilla De Curueño</v>
      </c>
      <c r="I79" s="36" t="str">
        <f ca="1">IFERROR(__xludf.DUMMYFUNCTION("""COMPUTED_VALUE"""),"El Molino")</f>
        <v>El Molino</v>
      </c>
      <c r="J79" s="36" t="str">
        <f ca="1">IFERROR(__xludf.DUMMYFUNCTION("""COMPUTED_VALUE"""),"24182A011000880000WY")</f>
        <v>24182A011000880000WY</v>
      </c>
      <c r="K79" s="36" t="str">
        <f ca="1">IFERROR(__xludf.DUMMYFUNCTION("""COMPUTED_VALUE"""),"Latitud: 42º51'24.862'' Longitud: -5º24'10.282''")</f>
        <v>Latitud: 42º51'24.862'' Longitud: -5º24'10.282''</v>
      </c>
      <c r="L79" s="36" t="str">
        <f ca="1">IFERROR(__xludf.DUMMYFUNCTION("""COMPUTED_VALUE"""),"Asociación La Quintana - Escuela de A.J. y T.L. Caracuel")</f>
        <v>Asociación La Quintana - Escuela de A.J. y T.L. Caracuel</v>
      </c>
      <c r="M79" s="36" t="str">
        <f ca="1">IFERROR(__xludf.DUMMYFUNCTION("""COMPUTED_VALUE"""),"84.10.60.90 - 985.46.43.61")</f>
        <v>84.10.60.90 - 985.46.43.61</v>
      </c>
      <c r="N79" s="36" t="str">
        <f ca="1">IFERROR(__xludf.DUMMYFUNCTION("""COMPUTED_VALUE"""),"info@campamentoscaracuel.com")</f>
        <v>info@campamentoscaracuel.com</v>
      </c>
      <c r="O79" s="36" t="str">
        <f ca="1">IFERROR(__xludf.DUMMYFUNCTION("""COMPUTED_VALUE"""),"15 €/día")</f>
        <v>15 €/día</v>
      </c>
      <c r="P79" s="36" t="str">
        <f ca="1">IFERROR(__xludf.DUMMYFUNCTION("""COMPUTED_VALUE"""),"434 m2")</f>
        <v>434 m2</v>
      </c>
      <c r="Q79" s="36" t="str">
        <f ca="1">IFERROR(__xludf.DUMMYFUNCTION("""COMPUTED_VALUE"""),"REGULAR (Se puede acceder con un coche normal con dificultad)")</f>
        <v>REGULAR (Se puede acceder con un coche normal con dificultad)</v>
      </c>
      <c r="R79" s="36" t="str">
        <f ca="1">IFERROR(__xludf.DUMMYFUNCTION("""COMPUTED_VALUE"""),"Sí")</f>
        <v>Sí</v>
      </c>
      <c r="S79" s="36" t="str">
        <f ca="1">IFERROR(__xludf.DUMMYFUNCTION("""COMPUTED_VALUE"""),"800 m")</f>
        <v>800 m</v>
      </c>
      <c r="T79" s="36" t="str">
        <f ca="1">IFERROR(__xludf.DUMMYFUNCTION("""COMPUTED_VALUE"""),"Río con zona arbolada, con sombras. Muy concurrido en fines de semana")</f>
        <v>Río con zona arbolada, con sombras. Muy concurrido en fines de semana</v>
      </c>
      <c r="U79" s="36" t="str">
        <f ca="1">IFERROR(__xludf.DUMMYFUNCTION("""COMPUTED_VALUE"""),"Baños, cocina, salón y barracones con literas")</f>
        <v>Baños, cocina, salón y barracones con literas</v>
      </c>
      <c r="V79" s="36" t="str">
        <f ca="1">IFERROR(__xludf.DUMMYFUNCTION("""COMPUTED_VALUE"""),"Si")</f>
        <v>Si</v>
      </c>
      <c r="W79" s="36" t="str">
        <f ca="1">IFERROR(__xludf.DUMMYFUNCTION("""COMPUTED_VALUE"""),"Campamento para 80 personas. Tiene posibilidad de montar tiendas de campaña y hacer construcciones.")</f>
        <v>Campamento para 80 personas. Tiene posibilidad de montar tiendas de campaña y hacer construcciones.</v>
      </c>
      <c r="X79" s="36"/>
      <c r="Y79" s="36"/>
      <c r="Z79" s="36"/>
    </row>
    <row r="80" spans="1:26" ht="12.75" hidden="1">
      <c r="A80" s="36" t="str">
        <f ca="1">IFERROR(__xludf.DUMMYFUNCTION("""COMPUTED_VALUE"""),"Castilla y León")</f>
        <v>Castilla y León</v>
      </c>
      <c r="B80" s="36" t="str">
        <f ca="1">IFERROR(__xludf.DUMMYFUNCTION("""COMPUTED_VALUE"""),"León")</f>
        <v>León</v>
      </c>
      <c r="C80" s="36">
        <f ca="1">IFERROR(__xludf.DUMMYFUNCTION("""COMPUTED_VALUE"""),2015)</f>
        <v>2015</v>
      </c>
      <c r="D80" s="36" t="str">
        <f ca="1">IFERROR(__xludf.DUMMYFUNCTION("""COMPUTED_VALUE"""),"Lince San Gregorio")</f>
        <v>Lince San Gregorio</v>
      </c>
      <c r="E80" s="36" t="str">
        <f ca="1">IFERROR(__xludf.DUMMYFUNCTION("""COMPUTED_VALUE"""),"gs.lincesangregorio@scoutsdemadrid.org ")</f>
        <v xml:space="preserve">gs.lincesangregorio@scoutsdemadrid.org </v>
      </c>
      <c r="F80" s="48">
        <f ca="1">IFERROR(__xludf.DUMMYFUNCTION("""COMPUTED_VALUE"""),42201)</f>
        <v>42201</v>
      </c>
      <c r="G80" s="48">
        <f ca="1">IFERROR(__xludf.DUMMYFUNCTION("""COMPUTED_VALUE"""),42215)</f>
        <v>42215</v>
      </c>
      <c r="H80" s="36" t="str">
        <f ca="1">IFERROR(__xludf.DUMMYFUNCTION("""COMPUTED_VALUE"""),"Puebla De Lillo")</f>
        <v>Puebla De Lillo</v>
      </c>
      <c r="I80" s="36" t="str">
        <f ca="1">IFERROR(__xludf.DUMMYFUNCTION("""COMPUTED_VALUE"""),"Cofiñal")</f>
        <v>Cofiñal</v>
      </c>
      <c r="J80" s="36" t="str">
        <f ca="1">IFERROR(__xludf.DUMMYFUNCTION("""COMPUTED_VALUE"""),"")</f>
        <v/>
      </c>
      <c r="K80" s="36" t="str">
        <f ca="1">IFERROR(__xludf.DUMMYFUNCTION("""COMPUTED_VALUE"""),"")</f>
        <v/>
      </c>
      <c r="L80" s="36" t="str">
        <f ca="1">IFERROR(__xludf.DUMMYFUNCTION("""COMPUTED_VALUE"""),"")</f>
        <v/>
      </c>
      <c r="M80" s="36" t="str">
        <f ca="1">IFERROR(__xludf.DUMMYFUNCTION("""COMPUTED_VALUE"""),"")</f>
        <v/>
      </c>
      <c r="N80" s="36" t="str">
        <f ca="1">IFERROR(__xludf.DUMMYFUNCTION("""COMPUTED_VALUE"""),"")</f>
        <v/>
      </c>
      <c r="O80" s="36" t="str">
        <f ca="1">IFERROR(__xludf.DUMMYFUNCTION("""COMPUTED_VALUE"""),"")</f>
        <v/>
      </c>
      <c r="P80" s="36" t="str">
        <f ca="1">IFERROR(__xludf.DUMMYFUNCTION("""COMPUTED_VALUE"""),"")</f>
        <v/>
      </c>
      <c r="Q80" s="36" t="str">
        <f ca="1">IFERROR(__xludf.DUMMYFUNCTION("""COMPUTED_VALUE"""),"")</f>
        <v/>
      </c>
      <c r="R80" s="36" t="str">
        <f ca="1">IFERROR(__xludf.DUMMYFUNCTION("""COMPUTED_VALUE"""),"")</f>
        <v/>
      </c>
      <c r="S80" s="36" t="str">
        <f ca="1">IFERROR(__xludf.DUMMYFUNCTION("""COMPUTED_VALUE"""),"")</f>
        <v/>
      </c>
      <c r="T80" s="36" t="str">
        <f ca="1">IFERROR(__xludf.DUMMYFUNCTION("""COMPUTED_VALUE"""),"")</f>
        <v/>
      </c>
      <c r="U80" s="36" t="str">
        <f ca="1">IFERROR(__xludf.DUMMYFUNCTION("""COMPUTED_VALUE"""),"")</f>
        <v/>
      </c>
      <c r="V80" s="36" t="str">
        <f ca="1">IFERROR(__xludf.DUMMYFUNCTION("""COMPUTED_VALUE"""),"")</f>
        <v/>
      </c>
      <c r="W80" s="36" t="str">
        <f ca="1">IFERROR(__xludf.DUMMYFUNCTION("""COMPUTED_VALUE"""),"")</f>
        <v/>
      </c>
      <c r="X80" s="36"/>
      <c r="Y80" s="36"/>
      <c r="Z80" s="36"/>
    </row>
    <row r="81" spans="1:26" ht="12.75" hidden="1">
      <c r="A81" s="36" t="str">
        <f ca="1">IFERROR(__xludf.DUMMYFUNCTION("""COMPUTED_VALUE"""),"Castilla y León")</f>
        <v>Castilla y León</v>
      </c>
      <c r="B81" s="36" t="str">
        <f ca="1">IFERROR(__xludf.DUMMYFUNCTION("""COMPUTED_VALUE"""),"Soria")</f>
        <v>Soria</v>
      </c>
      <c r="C81" s="36">
        <f ca="1">IFERROR(__xludf.DUMMYFUNCTION("""COMPUTED_VALUE"""),2016)</f>
        <v>2016</v>
      </c>
      <c r="D81" s="36" t="str">
        <f ca="1">IFERROR(__xludf.DUMMYFUNCTION("""COMPUTED_VALUE"""),"Lince San Gregorio")</f>
        <v>Lince San Gregorio</v>
      </c>
      <c r="E81" s="36" t="str">
        <f ca="1">IFERROR(__xludf.DUMMYFUNCTION("""COMPUTED_VALUE"""),"gs.lincesangregorio@scoutsdemadrid.org ")</f>
        <v xml:space="preserve">gs.lincesangregorio@scoutsdemadrid.org </v>
      </c>
      <c r="F81" s="48">
        <f ca="1">IFERROR(__xludf.DUMMYFUNCTION("""COMPUTED_VALUE"""),42567)</f>
        <v>42567</v>
      </c>
      <c r="G81" s="48">
        <f ca="1">IFERROR(__xludf.DUMMYFUNCTION("""COMPUTED_VALUE"""),42581)</f>
        <v>42581</v>
      </c>
      <c r="H81" s="36" t="str">
        <f ca="1">IFERROR(__xludf.DUMMYFUNCTION("""COMPUTED_VALUE"""),"Covaleda")</f>
        <v>Covaleda</v>
      </c>
      <c r="I81" s="36" t="str">
        <f ca="1">IFERROR(__xludf.DUMMYFUNCTION("""COMPUTED_VALUE"""),"Raso de la Nava")</f>
        <v>Raso de la Nava</v>
      </c>
      <c r="J81" s="36" t="str">
        <f ca="1">IFERROR(__xludf.DUMMYFUNCTION("""COMPUTED_VALUE"""),"")</f>
        <v/>
      </c>
      <c r="K81" s="36" t="str">
        <f ca="1">IFERROR(__xludf.DUMMYFUNCTION("""COMPUTED_VALUE"""),"")</f>
        <v/>
      </c>
      <c r="L81" s="36" t="str">
        <f ca="1">IFERROR(__xludf.DUMMYFUNCTION("""COMPUTED_VALUE"""),"Ayuntamiento de Covaleda")</f>
        <v>Ayuntamiento de Covaleda</v>
      </c>
      <c r="M81" s="36" t="str">
        <f ca="1">IFERROR(__xludf.DUMMYFUNCTION("""COMPUTED_VALUE"""),"")</f>
        <v/>
      </c>
      <c r="N81" s="36" t="str">
        <f ca="1">IFERROR(__xludf.DUMMYFUNCTION("""COMPUTED_VALUE"""),"")</f>
        <v/>
      </c>
      <c r="O81" s="36" t="str">
        <f ca="1">IFERROR(__xludf.DUMMYFUNCTION("""COMPUTED_VALUE"""),"")</f>
        <v/>
      </c>
      <c r="P81" s="36" t="str">
        <f ca="1">IFERROR(__xludf.DUMMYFUNCTION("""COMPUTED_VALUE"""),"")</f>
        <v/>
      </c>
      <c r="Q81" s="36" t="str">
        <f ca="1">IFERROR(__xludf.DUMMYFUNCTION("""COMPUTED_VALUE"""),"BUENO (Se puede acceder con cualquier coche)")</f>
        <v>BUENO (Se puede acceder con cualquier coche)</v>
      </c>
      <c r="R81" s="36" t="str">
        <f ca="1">IFERROR(__xludf.DUMMYFUNCTION("""COMPUTED_VALUE"""),"Sí")</f>
        <v>Sí</v>
      </c>
      <c r="S81" s="36" t="str">
        <f ca="1">IFERROR(__xludf.DUMMYFUNCTION("""COMPUTED_VALUE"""),"")</f>
        <v/>
      </c>
      <c r="T81" s="36" t="str">
        <f ca="1">IFERROR(__xludf.DUMMYFUNCTION("""COMPUTED_VALUE"""),"")</f>
        <v/>
      </c>
      <c r="U81" s="36" t="str">
        <f ca="1">IFERROR(__xludf.DUMMYFUNCTION("""COMPUTED_VALUE"""),"")</f>
        <v/>
      </c>
      <c r="V81" s="36" t="str">
        <f ca="1">IFERROR(__xludf.DUMMYFUNCTION("""COMPUTED_VALUE"""),"")</f>
        <v/>
      </c>
      <c r="W81" s="36" t="str">
        <f ca="1">IFERROR(__xludf.DUMMYFUNCTION("""COMPUTED_VALUE"""),"")</f>
        <v/>
      </c>
      <c r="X81" s="36"/>
      <c r="Y81" s="36"/>
      <c r="Z81" s="36"/>
    </row>
    <row r="82" spans="1:26" ht="12.75" hidden="1">
      <c r="A82" s="36" t="str">
        <f ca="1">IFERROR(__xludf.DUMMYFUNCTION("""COMPUTED_VALUE"""),"Castilla y León")</f>
        <v>Castilla y León</v>
      </c>
      <c r="B82" s="36" t="str">
        <f ca="1">IFERROR(__xludf.DUMMYFUNCTION("""COMPUTED_VALUE"""),"Ávila")</f>
        <v>Ávila</v>
      </c>
      <c r="C82" s="36">
        <f ca="1">IFERROR(__xludf.DUMMYFUNCTION("""COMPUTED_VALUE"""),2019)</f>
        <v>2019</v>
      </c>
      <c r="D82" s="36" t="str">
        <f ca="1">IFERROR(__xludf.DUMMYFUNCTION("""COMPUTED_VALUE"""),"Lince San Gregorio")</f>
        <v>Lince San Gregorio</v>
      </c>
      <c r="E82" s="36" t="str">
        <f ca="1">IFERROR(__xludf.DUMMYFUNCTION("""COMPUTED_VALUE"""),"gs.lincesangregorio@scoutsdemadrid.org ")</f>
        <v xml:space="preserve">gs.lincesangregorio@scoutsdemadrid.org </v>
      </c>
      <c r="F82" s="36">
        <f ca="1">IFERROR(__xludf.DUMMYFUNCTION("""COMPUTED_VALUE"""),43658)</f>
        <v>43658</v>
      </c>
      <c r="G82" s="36">
        <f ca="1">IFERROR(__xludf.DUMMYFUNCTION("""COMPUTED_VALUE"""),43676)</f>
        <v>43676</v>
      </c>
      <c r="H82" s="36" t="str">
        <f ca="1">IFERROR(__xludf.DUMMYFUNCTION("""COMPUTED_VALUE"""),"Barco De Ávila")</f>
        <v>Barco De Ávila</v>
      </c>
      <c r="I82" s="36" t="str">
        <f ca="1">IFERROR(__xludf.DUMMYFUNCTION("""COMPUTED_VALUE"""),"Navalamediana/ Prado vega")</f>
        <v>Navalamediana/ Prado vega</v>
      </c>
      <c r="J82" s="36" t="str">
        <f ca="1">IFERROR(__xludf.DUMMYFUNCTION("""COMPUTED_VALUE"""),"05113A012000070000YF")</f>
        <v>05113A012000070000YF</v>
      </c>
      <c r="K82" s="36" t="str">
        <f ca="1">IFERROR(__xludf.DUMMYFUNCTION("""COMPUTED_VALUE"""),"X293542,17 Y446699,53")</f>
        <v>X293542,17 Y446699,53</v>
      </c>
      <c r="L82" s="36" t="str">
        <f ca="1">IFERROR(__xludf.DUMMYFUNCTION("""COMPUTED_VALUE"""),"Daniel  Martín Bermejo")</f>
        <v>Daniel  Martín Bermejo</v>
      </c>
      <c r="M82" s="36">
        <f ca="1">IFERROR(__xludf.DUMMYFUNCTION("""COMPUTED_VALUE"""),920207441)</f>
        <v>920207441</v>
      </c>
      <c r="N82" s="36" t="str">
        <f ca="1">IFERROR(__xludf.DUMMYFUNCTION("""COMPUTED_VALUE"""),"evadematias@clinicagredos.es")</f>
        <v>evadematias@clinicagredos.es</v>
      </c>
      <c r="O82" s="36" t="str">
        <f ca="1">IFERROR(__xludf.DUMMYFUNCTION("""COMPUTED_VALUE"""),"1.200€ quincena")</f>
        <v>1.200€ quincena</v>
      </c>
      <c r="P82" s="36">
        <f ca="1">IFERROR(__xludf.DUMMYFUNCTION("""COMPUTED_VALUE"""),14)</f>
        <v>14</v>
      </c>
      <c r="Q82" s="36" t="str">
        <f ca="1">IFERROR(__xludf.DUMMYFUNCTION("""COMPUTED_VALUE"""),"BUENO (Se puede acceder con cualquier coche)")</f>
        <v>BUENO (Se puede acceder con cualquier coche)</v>
      </c>
      <c r="R82" s="36" t="str">
        <f ca="1">IFERROR(__xludf.DUMMYFUNCTION("""COMPUTED_VALUE"""),"Sí")</f>
        <v>Sí</v>
      </c>
      <c r="S82" s="36" t="str">
        <f ca="1">IFERROR(__xludf.DUMMYFUNCTION("""COMPUTED_VALUE"""),"100 m")</f>
        <v>100 m</v>
      </c>
      <c r="T82" s="36" t="str">
        <f ca="1">IFERROR(__xludf.DUMMYFUNCTION("""COMPUTED_VALUE"""),"Excelente")</f>
        <v>Excelente</v>
      </c>
      <c r="U82" s="36" t="str">
        <f ca="1">IFERROR(__xludf.DUMMYFUNCTION("""COMPUTED_VALUE"""),"No")</f>
        <v>No</v>
      </c>
      <c r="V82" s="36" t="str">
        <f ca="1">IFERROR(__xludf.DUMMYFUNCTION("""COMPUTED_VALUE"""),"Sí, nos la cede el propietario")</f>
        <v>Sí, nos la cede el propietario</v>
      </c>
      <c r="W82" s="36" t="str">
        <f ca="1">IFERROR(__xludf.DUMMYFUNCTION("""COMPUTED_VALUE"""),"Es una fincs espectacular")</f>
        <v>Es una fincs espectacular</v>
      </c>
      <c r="X82" s="36"/>
      <c r="Y82" s="36"/>
      <c r="Z82" s="36"/>
    </row>
    <row r="83" spans="1:26" ht="12.75" hidden="1">
      <c r="A83" s="36" t="str">
        <f ca="1">IFERROR(__xludf.DUMMYFUNCTION("""COMPUTED_VALUE"""),"Castilla y León")</f>
        <v>Castilla y León</v>
      </c>
      <c r="B83" s="36" t="str">
        <f ca="1">IFERROR(__xludf.DUMMYFUNCTION("""COMPUTED_VALUE"""),"Ávila")</f>
        <v>Ávila</v>
      </c>
      <c r="C83" s="36">
        <f ca="1">IFERROR(__xludf.DUMMYFUNCTION("""COMPUTED_VALUE"""),2019)</f>
        <v>2019</v>
      </c>
      <c r="D83" s="36" t="str">
        <f ca="1">IFERROR(__xludf.DUMMYFUNCTION("""COMPUTED_VALUE"""),"Madre Del Rosario")</f>
        <v>Madre Del Rosario</v>
      </c>
      <c r="E83" s="36" t="str">
        <f ca="1">IFERROR(__xludf.DUMMYFUNCTION("""COMPUTED_VALUE"""),"gs.madredelrosario@scoutsdemadrid.org ")</f>
        <v xml:space="preserve">gs.madredelrosario@scoutsdemadrid.org </v>
      </c>
      <c r="F83" s="36">
        <f ca="1">IFERROR(__xludf.DUMMYFUNCTION("""COMPUTED_VALUE"""),43639)</f>
        <v>43639</v>
      </c>
      <c r="G83" s="36">
        <f ca="1">IFERROR(__xludf.DUMMYFUNCTION("""COMPUTED_VALUE"""),43645)</f>
        <v>43645</v>
      </c>
      <c r="H83" s="36" t="str">
        <f ca="1">IFERROR(__xludf.DUMMYFUNCTION("""COMPUTED_VALUE"""),"Santa María De La Alameda")</f>
        <v>Santa María De La Alameda</v>
      </c>
      <c r="I83" s="36" t="str">
        <f ca="1">IFERROR(__xludf.DUMMYFUNCTION("""COMPUTED_VALUE"""),"Camping Valle Enmedio SL")</f>
        <v>Camping Valle Enmedio SL</v>
      </c>
      <c r="J83" s="36" t="str">
        <f ca="1">IFERROR(__xludf.DUMMYFUNCTION("""COMPUTED_VALUE"""),"8214601UL9081S001HX")</f>
        <v>8214601UL9081S001HX</v>
      </c>
      <c r="K83" s="36" t="str">
        <f ca="1">IFERROR(__xludf.DUMMYFUNCTION("""COMPUTED_VALUE"""),"(40.6569275, -4.2025870)")</f>
        <v>(40.6569275, -4.2025870)</v>
      </c>
      <c r="L83" s="36" t="str">
        <f ca="1">IFERROR(__xludf.DUMMYFUNCTION("""COMPUTED_VALUE"""),"Ayuntamiento de Santa María de la Alameda")</f>
        <v>Ayuntamiento de Santa María de la Alameda</v>
      </c>
      <c r="M83" s="36">
        <f ca="1">IFERROR(__xludf.DUMMYFUNCTION("""COMPUTED_VALUE"""),918983176)</f>
        <v>918983176</v>
      </c>
      <c r="N83" s="36" t="str">
        <f ca="1">IFERROR(__xludf.DUMMYFUNCTION("""COMPUTED_VALUE"""),"reservas@vallenmedio.com")</f>
        <v>reservas@vallenmedio.com</v>
      </c>
      <c r="O83" s="36" t="str">
        <f ca="1">IFERROR(__xludf.DUMMYFUNCTION("""COMPUTED_VALUE"""),"Precio por persona")</f>
        <v>Precio por persona</v>
      </c>
      <c r="P83" s="36">
        <f ca="1">IFERROR(__xludf.DUMMYFUNCTION("""COMPUTED_VALUE"""),9)</f>
        <v>9</v>
      </c>
      <c r="Q83" s="36" t="str">
        <f ca="1">IFERROR(__xludf.DUMMYFUNCTION("""COMPUTED_VALUE"""),"BUENO (Se puede acceder con cualquier coche)")</f>
        <v>BUENO (Se puede acceder con cualquier coche)</v>
      </c>
      <c r="R83" s="36" t="str">
        <f ca="1">IFERROR(__xludf.DUMMYFUNCTION("""COMPUTED_VALUE"""),"Sí")</f>
        <v>Sí</v>
      </c>
      <c r="S83" s="36" t="str">
        <f ca="1">IFERROR(__xludf.DUMMYFUNCTION("""COMPUTED_VALUE"""),"100 m")</f>
        <v>100 m</v>
      </c>
      <c r="T83" s="36" t="str">
        <f ca="1">IFERROR(__xludf.DUMMYFUNCTION("""COMPUTED_VALUE"""),"WC + Lavabos")</f>
        <v>WC + Lavabos</v>
      </c>
      <c r="U83" s="36" t="str">
        <f ca="1">IFERROR(__xludf.DUMMYFUNCTION("""COMPUTED_VALUE"""),"Tienda, recepción, restaurante, lavaderos, wc")</f>
        <v>Tienda, recepción, restaurante, lavaderos, wc</v>
      </c>
      <c r="V83" s="36" t="str">
        <f ca="1">IFERROR(__xludf.DUMMYFUNCTION("""COMPUTED_VALUE"""),"Si, Materiales Barsega (Las Navas del Marqués)")</f>
        <v>Si, Materiales Barsega (Las Navas del Marqués)</v>
      </c>
      <c r="W83" s="36" t="str">
        <f ca="1">IFERROR(__xludf.DUMMYFUNCTION("""COMPUTED_VALUE"""),"Muy buena zona de acampada con instalaciones")</f>
        <v>Muy buena zona de acampada con instalaciones</v>
      </c>
      <c r="X83" s="36"/>
      <c r="Y83" s="36"/>
      <c r="Z83" s="36"/>
    </row>
    <row r="84" spans="1:26" ht="12.75" hidden="1">
      <c r="A84" s="36" t="str">
        <f ca="1">IFERROR(__xludf.DUMMYFUNCTION("""COMPUTED_VALUE"""),"Castilla y León")</f>
        <v>Castilla y León</v>
      </c>
      <c r="B84" s="36" t="str">
        <f ca="1">IFERROR(__xludf.DUMMYFUNCTION("""COMPUTED_VALUE"""),"Ávila")</f>
        <v>Ávila</v>
      </c>
      <c r="C84" s="36">
        <f ca="1">IFERROR(__xludf.DUMMYFUNCTION("""COMPUTED_VALUE"""),2012)</f>
        <v>2012</v>
      </c>
      <c r="D84" s="36" t="str">
        <f ca="1">IFERROR(__xludf.DUMMYFUNCTION("""COMPUTED_VALUE"""),"Orion")</f>
        <v>Orion</v>
      </c>
      <c r="E84" s="36" t="str">
        <f ca="1">IFERROR(__xludf.DUMMYFUNCTION("""COMPUTED_VALUE"""),"gs.orion@scoutsdemadrid.org ")</f>
        <v xml:space="preserve">gs.orion@scoutsdemadrid.org </v>
      </c>
      <c r="F84" s="48">
        <f ca="1">IFERROR(__xludf.DUMMYFUNCTION("""COMPUTED_VALUE"""),41106)</f>
        <v>41106</v>
      </c>
      <c r="G84" s="48">
        <f ca="1">IFERROR(__xludf.DUMMYFUNCTION("""COMPUTED_VALUE"""),41117)</f>
        <v>41117</v>
      </c>
      <c r="H84" s="36" t="str">
        <f ca="1">IFERROR(__xludf.DUMMYFUNCTION("""COMPUTED_VALUE"""),"Burgohondo")</f>
        <v>Burgohondo</v>
      </c>
      <c r="I84" s="36" t="str">
        <f ca="1">IFERROR(__xludf.DUMMYFUNCTION("""COMPUTED_VALUE"""),"LA MATA - EL PINAR")</f>
        <v>LA MATA - EL PINAR</v>
      </c>
      <c r="J84" s="36" t="str">
        <f ca="1">IFERROR(__xludf.DUMMYFUNCTION("""COMPUTED_VALUE"""),"")</f>
        <v/>
      </c>
      <c r="K84" s="49" t="str">
        <f ca="1">IFERROR(__xludf.DUMMYFUNCTION("""COMPUTED_VALUE"""),"http://goo.gl/maps/I4zW")</f>
        <v>http://goo.gl/maps/I4zW</v>
      </c>
      <c r="L84" s="36" t="str">
        <f ca="1">IFERROR(__xludf.DUMMYFUNCTION("""COMPUTED_VALUE"""),"")</f>
        <v/>
      </c>
      <c r="M84" s="36" t="str">
        <f ca="1">IFERROR(__xludf.DUMMYFUNCTION("""COMPUTED_VALUE"""),"")</f>
        <v/>
      </c>
      <c r="N84" s="36" t="str">
        <f ca="1">IFERROR(__xludf.DUMMYFUNCTION("""COMPUTED_VALUE"""),"")</f>
        <v/>
      </c>
      <c r="O84" s="36" t="str">
        <f ca="1">IFERROR(__xludf.DUMMYFUNCTION("""COMPUTED_VALUE"""),"")</f>
        <v/>
      </c>
      <c r="P84" s="36" t="str">
        <f ca="1">IFERROR(__xludf.DUMMYFUNCTION("""COMPUTED_VALUE"""),"")</f>
        <v/>
      </c>
      <c r="Q84" s="36" t="str">
        <f ca="1">IFERROR(__xludf.DUMMYFUNCTION("""COMPUTED_VALUE"""),"")</f>
        <v/>
      </c>
      <c r="R84" s="36" t="str">
        <f ca="1">IFERROR(__xludf.DUMMYFUNCTION("""COMPUTED_VALUE"""),"")</f>
        <v/>
      </c>
      <c r="S84" s="36" t="str">
        <f ca="1">IFERROR(__xludf.DUMMYFUNCTION("""COMPUTED_VALUE"""),"")</f>
        <v/>
      </c>
      <c r="T84" s="36" t="str">
        <f ca="1">IFERROR(__xludf.DUMMYFUNCTION("""COMPUTED_VALUE"""),"")</f>
        <v/>
      </c>
      <c r="U84" s="36" t="str">
        <f ca="1">IFERROR(__xludf.DUMMYFUNCTION("""COMPUTED_VALUE"""),"")</f>
        <v/>
      </c>
      <c r="V84" s="36" t="str">
        <f ca="1">IFERROR(__xludf.DUMMYFUNCTION("""COMPUTED_VALUE"""),"")</f>
        <v/>
      </c>
      <c r="W84" s="36" t="str">
        <f ca="1">IFERROR(__xludf.DUMMYFUNCTION("""COMPUTED_VALUE"""),"")</f>
        <v/>
      </c>
      <c r="X84" s="36"/>
      <c r="Y84" s="36"/>
      <c r="Z84" s="36"/>
    </row>
    <row r="85" spans="1:26" ht="12.75" hidden="1">
      <c r="A85" s="36" t="str">
        <f ca="1">IFERROR(__xludf.DUMMYFUNCTION("""COMPUTED_VALUE"""),"Castilla y León")</f>
        <v>Castilla y León</v>
      </c>
      <c r="B85" s="36" t="str">
        <f ca="1">IFERROR(__xludf.DUMMYFUNCTION("""COMPUTED_VALUE"""),"Ávila")</f>
        <v>Ávila</v>
      </c>
      <c r="C85" s="36">
        <f ca="1">IFERROR(__xludf.DUMMYFUNCTION("""COMPUTED_VALUE"""),2017)</f>
        <v>2017</v>
      </c>
      <c r="D85" s="36" t="str">
        <f ca="1">IFERROR(__xludf.DUMMYFUNCTION("""COMPUTED_VALUE"""),"Orión")</f>
        <v>Orión</v>
      </c>
      <c r="E85" s="36" t="str">
        <f ca="1">IFERROR(__xludf.DUMMYFUNCTION("""COMPUTED_VALUE"""),"gs.orion@scoutsdemadrid.org ")</f>
        <v xml:space="preserve">gs.orion@scoutsdemadrid.org </v>
      </c>
      <c r="F85" s="48">
        <f ca="1">IFERROR(__xludf.DUMMYFUNCTION("""COMPUTED_VALUE"""),42933)</f>
        <v>42933</v>
      </c>
      <c r="G85" s="48">
        <f ca="1">IFERROR(__xludf.DUMMYFUNCTION("""COMPUTED_VALUE"""),42946)</f>
        <v>42946</v>
      </c>
      <c r="H85" s="36" t="str">
        <f ca="1">IFERROR(__xludf.DUMMYFUNCTION("""COMPUTED_VALUE"""),"Mombeltrán")</f>
        <v>Mombeltrán</v>
      </c>
      <c r="I85" s="36" t="str">
        <f ca="1">IFERROR(__xludf.DUMMYFUNCTION("""COMPUTED_VALUE"""),"Prados Abiertos")</f>
        <v>Prados Abiertos</v>
      </c>
      <c r="J85" s="36" t="str">
        <f ca="1">IFERROR(__xludf.DUMMYFUNCTION("""COMPUTED_VALUE"""),"")</f>
        <v/>
      </c>
      <c r="K85" s="36" t="str">
        <f ca="1">IFERROR(__xludf.DUMMYFUNCTION("""COMPUTED_VALUE"""),"N 40º 13´ 54´´ - W 5º 2´ 1´´ ")</f>
        <v xml:space="preserve">N 40º 13´ 54´´ - W 5º 2´ 1´´ </v>
      </c>
      <c r="L85" s="36" t="str">
        <f ca="1">IFERROR(__xludf.DUMMYFUNCTION("""COMPUTED_VALUE"""),"Camping Prados Abiertos")</f>
        <v>Camping Prados Abiertos</v>
      </c>
      <c r="M85" s="36">
        <f ca="1">IFERROR(__xludf.DUMMYFUNCTION("""COMPUTED_VALUE"""),920386061)</f>
        <v>920386061</v>
      </c>
      <c r="N85" s="36" t="str">
        <f ca="1">IFERROR(__xludf.DUMMYFUNCTION("""COMPUTED_VALUE"""),"info@pradosabiertos.com")</f>
        <v>info@pradosabiertos.com</v>
      </c>
      <c r="O85" s="36" t="str">
        <f ca="1">IFERROR(__xludf.DUMMYFUNCTION("""COMPUTED_VALUE"""),"60 € / quincena y persona")</f>
        <v>60 € / quincena y persona</v>
      </c>
      <c r="P85" s="36" t="str">
        <f ca="1">IFERROR(__xludf.DUMMYFUNCTION("""COMPUTED_VALUE"""),"")</f>
        <v/>
      </c>
      <c r="Q85" s="36" t="str">
        <f ca="1">IFERROR(__xludf.DUMMYFUNCTION("""COMPUTED_VALUE"""),"BUENO (Se puede acceder con cualquier coche)")</f>
        <v>BUENO (Se puede acceder con cualquier coche)</v>
      </c>
      <c r="R85" s="36" t="str">
        <f ca="1">IFERROR(__xludf.DUMMYFUNCTION("""COMPUTED_VALUE"""),"Sí")</f>
        <v>Sí</v>
      </c>
      <c r="S85" s="36" t="str">
        <f ca="1">IFERROR(__xludf.DUMMYFUNCTION("""COMPUTED_VALUE"""),"50 metros")</f>
        <v>50 metros</v>
      </c>
      <c r="T85" s="36" t="str">
        <f ca="1">IFERROR(__xludf.DUMMYFUNCTION("""COMPUTED_VALUE"""),"Piscina")</f>
        <v>Piscina</v>
      </c>
      <c r="U85" s="36" t="str">
        <f ca="1">IFERROR(__xludf.DUMMYFUNCTION("""COMPUTED_VALUE"""),"Comedor, cocina, wc, duchas, piscina")</f>
        <v>Comedor, cocina, wc, duchas, piscina</v>
      </c>
      <c r="V85" s="36" t="str">
        <f ca="1">IFERROR(__xludf.DUMMYFUNCTION("""COMPUTED_VALUE"""),"Sí")</f>
        <v>Sí</v>
      </c>
      <c r="W85" s="36" t="str">
        <f ca="1">IFERROR(__xludf.DUMMYFUNCTION("""COMPUTED_VALUE"""),"Zona de campamento independiente, con muchas sombras, explanadas, piscina, instalaciones")</f>
        <v>Zona de campamento independiente, con muchas sombras, explanadas, piscina, instalaciones</v>
      </c>
      <c r="X85" s="36"/>
      <c r="Y85" s="36"/>
      <c r="Z85" s="36"/>
    </row>
    <row r="86" spans="1:26" ht="12.75" hidden="1">
      <c r="A86" s="36" t="str">
        <f ca="1">IFERROR(__xludf.DUMMYFUNCTION("""COMPUTED_VALUE"""),"Castilla y León")</f>
        <v>Castilla y León</v>
      </c>
      <c r="B86" s="36" t="str">
        <f ca="1">IFERROR(__xludf.DUMMYFUNCTION("""COMPUTED_VALUE"""),"Zamora")</f>
        <v>Zamora</v>
      </c>
      <c r="C86" s="36">
        <f ca="1">IFERROR(__xludf.DUMMYFUNCTION("""COMPUTED_VALUE"""),2015)</f>
        <v>2015</v>
      </c>
      <c r="D86" s="36" t="str">
        <f ca="1">IFERROR(__xludf.DUMMYFUNCTION("""COMPUTED_VALUE"""),"Paz")</f>
        <v>Paz</v>
      </c>
      <c r="E86" s="36" t="str">
        <f ca="1">IFERROR(__xludf.DUMMYFUNCTION("""COMPUTED_VALUE"""),"")</f>
        <v/>
      </c>
      <c r="F86" s="48">
        <f ca="1">IFERROR(__xludf.DUMMYFUNCTION("""COMPUTED_VALUE"""),42201)</f>
        <v>42201</v>
      </c>
      <c r="G86" s="48">
        <f ca="1">IFERROR(__xludf.DUMMYFUNCTION("""COMPUTED_VALUE"""),42215)</f>
        <v>42215</v>
      </c>
      <c r="H86" s="36" t="str">
        <f ca="1">IFERROR(__xludf.DUMMYFUNCTION("""COMPUTED_VALUE"""),"Galende")</f>
        <v>Galende</v>
      </c>
      <c r="I86" s="36" t="str">
        <f ca="1">IFERROR(__xludf.DUMMYFUNCTION("""COMPUTED_VALUE"""),"Peña Gullón")</f>
        <v>Peña Gullón</v>
      </c>
      <c r="J86" s="36" t="str">
        <f ca="1">IFERROR(__xludf.DUMMYFUNCTION("""COMPUTED_VALUE"""),"")</f>
        <v/>
      </c>
      <c r="K86" s="36" t="str">
        <f ca="1">IFERROR(__xludf.DUMMYFUNCTION("""COMPUTED_VALUE"""),"N 42º 07' 04"" / O 6º 41' 29""")</f>
        <v>N 42º 07' 04" / O 6º 41' 29"</v>
      </c>
      <c r="L86" s="36" t="str">
        <f ca="1">IFERROR(__xludf.DUMMYFUNCTION("""COMPUTED_VALUE"""),"")</f>
        <v/>
      </c>
      <c r="M86" s="36" t="str">
        <f ca="1">IFERROR(__xludf.DUMMYFUNCTION("""COMPUTED_VALUE"""),"")</f>
        <v/>
      </c>
      <c r="N86" s="36" t="str">
        <f ca="1">IFERROR(__xludf.DUMMYFUNCTION("""COMPUTED_VALUE"""),"")</f>
        <v/>
      </c>
      <c r="O86" s="36" t="str">
        <f ca="1">IFERROR(__xludf.DUMMYFUNCTION("""COMPUTED_VALUE"""),"")</f>
        <v/>
      </c>
      <c r="P86" s="36" t="str">
        <f ca="1">IFERROR(__xludf.DUMMYFUNCTION("""COMPUTED_VALUE"""),"")</f>
        <v/>
      </c>
      <c r="Q86" s="36" t="str">
        <f ca="1">IFERROR(__xludf.DUMMYFUNCTION("""COMPUTED_VALUE"""),"")</f>
        <v/>
      </c>
      <c r="R86" s="36" t="str">
        <f ca="1">IFERROR(__xludf.DUMMYFUNCTION("""COMPUTED_VALUE"""),"")</f>
        <v/>
      </c>
      <c r="S86" s="36" t="str">
        <f ca="1">IFERROR(__xludf.DUMMYFUNCTION("""COMPUTED_VALUE"""),"")</f>
        <v/>
      </c>
      <c r="T86" s="36" t="str">
        <f ca="1">IFERROR(__xludf.DUMMYFUNCTION("""COMPUTED_VALUE"""),"")</f>
        <v/>
      </c>
      <c r="U86" s="36" t="str">
        <f ca="1">IFERROR(__xludf.DUMMYFUNCTION("""COMPUTED_VALUE"""),"")</f>
        <v/>
      </c>
      <c r="V86" s="36" t="str">
        <f ca="1">IFERROR(__xludf.DUMMYFUNCTION("""COMPUTED_VALUE"""),"")</f>
        <v/>
      </c>
      <c r="W86" s="36" t="str">
        <f ca="1">IFERROR(__xludf.DUMMYFUNCTION("""COMPUTED_VALUE"""),"")</f>
        <v/>
      </c>
      <c r="X86" s="36"/>
      <c r="Y86" s="36"/>
      <c r="Z86" s="36"/>
    </row>
    <row r="87" spans="1:26" ht="12.75" hidden="1">
      <c r="A87" s="36" t="str">
        <f ca="1">IFERROR(__xludf.DUMMYFUNCTION("""COMPUTED_VALUE"""),"Castilla y León")</f>
        <v>Castilla y León</v>
      </c>
      <c r="B87" s="36" t="str">
        <f ca="1">IFERROR(__xludf.DUMMYFUNCTION("""COMPUTED_VALUE"""),"Segovia")</f>
        <v>Segovia</v>
      </c>
      <c r="C87" s="36">
        <f ca="1">IFERROR(__xludf.DUMMYFUNCTION("""COMPUTED_VALUE"""),2016)</f>
        <v>2016</v>
      </c>
      <c r="D87" s="36" t="str">
        <f ca="1">IFERROR(__xludf.DUMMYFUNCTION("""COMPUTED_VALUE"""),"Paz")</f>
        <v>Paz</v>
      </c>
      <c r="E87" s="36" t="str">
        <f ca="1">IFERROR(__xludf.DUMMYFUNCTION("""COMPUTED_VALUE"""),"")</f>
        <v/>
      </c>
      <c r="F87" s="48">
        <f ca="1">IFERROR(__xludf.DUMMYFUNCTION("""COMPUTED_VALUE"""),42567)</f>
        <v>42567</v>
      </c>
      <c r="G87" s="48">
        <f ca="1">IFERROR(__xludf.DUMMYFUNCTION("""COMPUTED_VALUE"""),42581)</f>
        <v>42581</v>
      </c>
      <c r="H87" s="36" t="str">
        <f ca="1">IFERROR(__xludf.DUMMYFUNCTION("""COMPUTED_VALUE"""),"San Pedro De Gaíllos")</f>
        <v>San Pedro De Gaíllos</v>
      </c>
      <c r="I87" s="36" t="str">
        <f ca="1">IFERROR(__xludf.DUMMYFUNCTION("""COMPUTED_VALUE"""),"""Cazada 6435""")</f>
        <v>"Cazada 6435"</v>
      </c>
      <c r="J87" s="36" t="str">
        <f ca="1">IFERROR(__xludf.DUMMYFUNCTION("""COMPUTED_VALUE"""),"")</f>
        <v/>
      </c>
      <c r="K87" s="36" t="str">
        <f ca="1">IFERROR(__xludf.DUMMYFUNCTION("""COMPUTED_VALUE"""),"N: 41º 13' 37""; O: 3º 48' 33""")</f>
        <v>N: 41º 13' 37"; O: 3º 48' 33"</v>
      </c>
      <c r="L87" s="36" t="str">
        <f ca="1">IFERROR(__xludf.DUMMYFUNCTION("""COMPUTED_VALUE"""),"Ayuntamiento de San Pedro de Gaíllos")</f>
        <v>Ayuntamiento de San Pedro de Gaíllos</v>
      </c>
      <c r="M87" s="36">
        <f ca="1">IFERROR(__xludf.DUMMYFUNCTION("""COMPUTED_VALUE"""),620870024)</f>
        <v>620870024</v>
      </c>
      <c r="N87" s="36" t="str">
        <f ca="1">IFERROR(__xludf.DUMMYFUNCTION("""COMPUTED_VALUE"""),"aytospedro@gmail.com")</f>
        <v>aytospedro@gmail.com</v>
      </c>
      <c r="O87" s="36" t="str">
        <f ca="1">IFERROR(__xludf.DUMMYFUNCTION("""COMPUTED_VALUE"""),"")</f>
        <v/>
      </c>
      <c r="P87" s="36" t="str">
        <f ca="1">IFERROR(__xludf.DUMMYFUNCTION("""COMPUTED_VALUE"""),"")</f>
        <v/>
      </c>
      <c r="Q87" s="36" t="str">
        <f ca="1">IFERROR(__xludf.DUMMYFUNCTION("""COMPUTED_VALUE"""),"BUENO (Se puede acceder con cualquier coche)")</f>
        <v>BUENO (Se puede acceder con cualquier coche)</v>
      </c>
      <c r="R87" s="36" t="str">
        <f ca="1">IFERROR(__xludf.DUMMYFUNCTION("""COMPUTED_VALUE"""),"Sí")</f>
        <v>Sí</v>
      </c>
      <c r="S87" s="36" t="str">
        <f ca="1">IFERROR(__xludf.DUMMYFUNCTION("""COMPUTED_VALUE"""),"a 1km escaso (se encuentra en el pueblo)")</f>
        <v>a 1km escaso (se encuentra en el pueblo)</v>
      </c>
      <c r="T87" s="36" t="str">
        <f ca="1">IFERROR(__xludf.DUMMYFUNCTION("""COMPUTED_VALUE"""),"Es la piscina municipal")</f>
        <v>Es la piscina municipal</v>
      </c>
      <c r="U87" s="36" t="str">
        <f ca="1">IFERROR(__xludf.DUMMYFUNCTION("""COMPUTED_VALUE"""),"Cuenta con baños y un kiosko")</f>
        <v>Cuenta con baños y un kiosko</v>
      </c>
      <c r="V87" s="36" t="str">
        <f ca="1">IFERROR(__xludf.DUMMYFUNCTION("""COMPUTED_VALUE"""),"Nunca lo hemos necesitado, no sé")</f>
        <v>Nunca lo hemos necesitado, no sé</v>
      </c>
      <c r="W87" s="36" t="str">
        <f ca="1">IFERROR(__xludf.DUMMYFUNCTION("""COMPUTED_VALUE"""),"Para nosotros que somos un grupo pequeño es muy cómodo. Tiene baños, fregaderos y una pequeña casita con nevera. Para grupos grandes puede resultar demasiado pequeño")</f>
        <v>Para nosotros que somos un grupo pequeño es muy cómodo. Tiene baños, fregaderos y una pequeña casita con nevera. Para grupos grandes puede resultar demasiado pequeño</v>
      </c>
      <c r="X87" s="36"/>
      <c r="Y87" s="36"/>
      <c r="Z87" s="36"/>
    </row>
    <row r="88" spans="1:26" ht="12.75" hidden="1">
      <c r="A88" s="36" t="str">
        <f ca="1">IFERROR(__xludf.DUMMYFUNCTION("""COMPUTED_VALUE"""),"Castilla y León")</f>
        <v>Castilla y León</v>
      </c>
      <c r="B88" s="36" t="str">
        <f ca="1">IFERROR(__xludf.DUMMYFUNCTION("""COMPUTED_VALUE"""),"Segovia")</f>
        <v>Segovia</v>
      </c>
      <c r="C88" s="36">
        <f ca="1">IFERROR(__xludf.DUMMYFUNCTION("""COMPUTED_VALUE"""),2016)</f>
        <v>2016</v>
      </c>
      <c r="D88" s="36" t="str">
        <f ca="1">IFERROR(__xludf.DUMMYFUNCTION("""COMPUTED_VALUE"""),"Paz")</f>
        <v>Paz</v>
      </c>
      <c r="E88" s="36" t="str">
        <f ca="1">IFERROR(__xludf.DUMMYFUNCTION("""COMPUTED_VALUE"""),"")</f>
        <v/>
      </c>
      <c r="F88" s="48">
        <f ca="1">IFERROR(__xludf.DUMMYFUNCTION("""COMPUTED_VALUE"""),42567)</f>
        <v>42567</v>
      </c>
      <c r="G88" s="48">
        <f ca="1">IFERROR(__xludf.DUMMYFUNCTION("""COMPUTED_VALUE"""),42581)</f>
        <v>42581</v>
      </c>
      <c r="H88" s="36" t="str">
        <f ca="1">IFERROR(__xludf.DUMMYFUNCTION("""COMPUTED_VALUE"""),"San Pedro De Gaíllos")</f>
        <v>San Pedro De Gaíllos</v>
      </c>
      <c r="I88" s="36" t="str">
        <f ca="1">IFERROR(__xludf.DUMMYFUNCTION("""COMPUTED_VALUE"""),"""Cazada 6435""")</f>
        <v>"Cazada 6435"</v>
      </c>
      <c r="J88" s="36" t="str">
        <f ca="1">IFERROR(__xludf.DUMMYFUNCTION("""COMPUTED_VALUE"""),"")</f>
        <v/>
      </c>
      <c r="K88" s="36" t="str">
        <f ca="1">IFERROR(__xludf.DUMMYFUNCTION("""COMPUTED_VALUE"""),"N: 41º 13' 37""; O: 3º 48' 33""")</f>
        <v>N: 41º 13' 37"; O: 3º 48' 33"</v>
      </c>
      <c r="L88" s="36" t="str">
        <f ca="1">IFERROR(__xludf.DUMMYFUNCTION("""COMPUTED_VALUE"""),"Ayuntamiento de San Pedro de Gaíllos")</f>
        <v>Ayuntamiento de San Pedro de Gaíllos</v>
      </c>
      <c r="M88" s="36">
        <f ca="1">IFERROR(__xludf.DUMMYFUNCTION("""COMPUTED_VALUE"""),620870024)</f>
        <v>620870024</v>
      </c>
      <c r="N88" s="36" t="str">
        <f ca="1">IFERROR(__xludf.DUMMYFUNCTION("""COMPUTED_VALUE"""),"aytospedro@gmail.com")</f>
        <v>aytospedro@gmail.com</v>
      </c>
      <c r="O88" s="36" t="str">
        <f ca="1">IFERROR(__xludf.DUMMYFUNCTION("""COMPUTED_VALUE"""),"")</f>
        <v/>
      </c>
      <c r="P88" s="36" t="str">
        <f ca="1">IFERROR(__xludf.DUMMYFUNCTION("""COMPUTED_VALUE"""),"")</f>
        <v/>
      </c>
      <c r="Q88" s="36" t="str">
        <f ca="1">IFERROR(__xludf.DUMMYFUNCTION("""COMPUTED_VALUE"""),"BUENO (Se puede acceder con cualquier coche)")</f>
        <v>BUENO (Se puede acceder con cualquier coche)</v>
      </c>
      <c r="R88" s="36" t="str">
        <f ca="1">IFERROR(__xludf.DUMMYFUNCTION("""COMPUTED_VALUE"""),"Sí")</f>
        <v>Sí</v>
      </c>
      <c r="S88" s="36" t="str">
        <f ca="1">IFERROR(__xludf.DUMMYFUNCTION("""COMPUTED_VALUE"""),"a 1km escaso (se encuentra en el pueblo)")</f>
        <v>a 1km escaso (se encuentra en el pueblo)</v>
      </c>
      <c r="T88" s="36" t="str">
        <f ca="1">IFERROR(__xludf.DUMMYFUNCTION("""COMPUTED_VALUE"""),"Es la piscina municipal")</f>
        <v>Es la piscina municipal</v>
      </c>
      <c r="U88" s="36" t="str">
        <f ca="1">IFERROR(__xludf.DUMMYFUNCTION("""COMPUTED_VALUE"""),"Cuenta con baños y un kiosko")</f>
        <v>Cuenta con baños y un kiosko</v>
      </c>
      <c r="V88" s="36" t="str">
        <f ca="1">IFERROR(__xludf.DUMMYFUNCTION("""COMPUTED_VALUE"""),"Nunca lo hemos necesitado, no sé")</f>
        <v>Nunca lo hemos necesitado, no sé</v>
      </c>
      <c r="W88" s="36" t="str">
        <f ca="1">IFERROR(__xludf.DUMMYFUNCTION("""COMPUTED_VALUE"""),"Para nosotros que somos un grupo pequeño es muy cómodo. Tiene baños, fregaderos y una pequeña casita con nevera. Para grupos grandes puede resultar demasiado pequeño")</f>
        <v>Para nosotros que somos un grupo pequeño es muy cómodo. Tiene baños, fregaderos y una pequeña casita con nevera. Para grupos grandes puede resultar demasiado pequeño</v>
      </c>
      <c r="X88" s="36"/>
      <c r="Y88" s="36"/>
      <c r="Z88" s="36"/>
    </row>
    <row r="89" spans="1:26" ht="12.75" hidden="1">
      <c r="A89" s="36" t="str">
        <f ca="1">IFERROR(__xludf.DUMMYFUNCTION("""COMPUTED_VALUE"""),"Castilla y León")</f>
        <v>Castilla y León</v>
      </c>
      <c r="B89" s="36" t="str">
        <f ca="1">IFERROR(__xludf.DUMMYFUNCTION("""COMPUTED_VALUE"""),"Ávila")</f>
        <v>Ávila</v>
      </c>
      <c r="C89" s="36">
        <f ca="1">IFERROR(__xludf.DUMMYFUNCTION("""COMPUTED_VALUE"""),2017)</f>
        <v>2017</v>
      </c>
      <c r="D89" s="36" t="str">
        <f ca="1">IFERROR(__xludf.DUMMYFUNCTION("""COMPUTED_VALUE"""),"Paz")</f>
        <v>Paz</v>
      </c>
      <c r="E89" s="36" t="str">
        <f ca="1">IFERROR(__xludf.DUMMYFUNCTION("""COMPUTED_VALUE"""),"")</f>
        <v/>
      </c>
      <c r="F89" s="48">
        <f ca="1">IFERROR(__xludf.DUMMYFUNCTION("""COMPUTED_VALUE"""),42932)</f>
        <v>42932</v>
      </c>
      <c r="G89" s="48">
        <f ca="1">IFERROR(__xludf.DUMMYFUNCTION("""COMPUTED_VALUE"""),42946)</f>
        <v>42946</v>
      </c>
      <c r="H89" s="36" t="str">
        <f ca="1">IFERROR(__xludf.DUMMYFUNCTION("""COMPUTED_VALUE"""),"Hoyos Del Espino")</f>
        <v>Hoyos Del Espino</v>
      </c>
      <c r="I89" s="36" t="str">
        <f ca="1">IFERROR(__xludf.DUMMYFUNCTION("""COMPUTED_VALUE"""),"Las Cepedillas 2")</f>
        <v>Las Cepedillas 2</v>
      </c>
      <c r="J89" s="36" t="str">
        <f ca="1">IFERROR(__xludf.DUMMYFUNCTION("""COMPUTED_VALUE"""),"")</f>
        <v/>
      </c>
      <c r="K89" s="36" t="str">
        <f ca="1">IFERROR(__xludf.DUMMYFUNCTION("""COMPUTED_VALUE"""),"")</f>
        <v/>
      </c>
      <c r="L89" s="36" t="str">
        <f ca="1">IFERROR(__xludf.DUMMYFUNCTION("""COMPUTED_VALUE"""),"Salvador")</f>
        <v>Salvador</v>
      </c>
      <c r="M89" s="36">
        <f ca="1">IFERROR(__xludf.DUMMYFUNCTION("""COMPUTED_VALUE"""),607909418)</f>
        <v>607909418</v>
      </c>
      <c r="N89" s="36" t="str">
        <f ca="1">IFERROR(__xludf.DUMMYFUNCTION("""COMPUTED_VALUE"""),"rumbospromocionactividades@gmail.com")</f>
        <v>rumbospromocionactividades@gmail.com</v>
      </c>
      <c r="O89" s="36" t="str">
        <f ca="1">IFERROR(__xludf.DUMMYFUNCTION("""COMPUTED_VALUE"""),"")</f>
        <v/>
      </c>
      <c r="P89" s="36" t="str">
        <f ca="1">IFERROR(__xludf.DUMMYFUNCTION("""COMPUTED_VALUE"""),"")</f>
        <v/>
      </c>
      <c r="Q89" s="36" t="str">
        <f ca="1">IFERROR(__xludf.DUMMYFUNCTION("""COMPUTED_VALUE"""),"BUENO (Se puede acceder con cualquier coche)")</f>
        <v>BUENO (Se puede acceder con cualquier coche)</v>
      </c>
      <c r="R89" s="36" t="str">
        <f ca="1">IFERROR(__xludf.DUMMYFUNCTION("""COMPUTED_VALUE"""),"Sí")</f>
        <v>Sí</v>
      </c>
      <c r="S89" s="36" t="str">
        <f ca="1">IFERROR(__xludf.DUMMYFUNCTION("""COMPUTED_VALUE"""),"10 minutos andando")</f>
        <v>10 minutos andando</v>
      </c>
      <c r="T89" s="36" t="str">
        <f ca="1">IFERROR(__xludf.DUMMYFUNCTION("""COMPUTED_VALUE"""),"pozas con muy buena accesibilidad, tranquilas son mucha corriente")</f>
        <v>pozas con muy buena accesibilidad, tranquilas son mucha corriente</v>
      </c>
      <c r="U89" s="36" t="str">
        <f ca="1">IFERROR(__xludf.DUMMYFUNCTION("""COMPUTED_VALUE"""),"baños, duchas, comedor, cocina y fregaderos")</f>
        <v>baños, duchas, comedor, cocina y fregaderos</v>
      </c>
      <c r="V89" s="36" t="str">
        <f ca="1">IFERROR(__xludf.DUMMYFUNCTION("""COMPUTED_VALUE"""),"")</f>
        <v/>
      </c>
      <c r="W89" s="36" t="str">
        <f ca="1">IFERROR(__xludf.DUMMYFUNCTION("""COMPUTED_VALUE"""),"Muy buena zona de acampada y zona natural magnifica")</f>
        <v>Muy buena zona de acampada y zona natural magnifica</v>
      </c>
      <c r="X89" s="36"/>
      <c r="Y89" s="36"/>
      <c r="Z89" s="36"/>
    </row>
    <row r="90" spans="1:26" ht="12.75" hidden="1">
      <c r="A90" s="36" t="str">
        <f ca="1">IFERROR(__xludf.DUMMYFUNCTION("""COMPUTED_VALUE"""),"Castilla y León")</f>
        <v>Castilla y León</v>
      </c>
      <c r="B90" s="36" t="str">
        <f ca="1">IFERROR(__xludf.DUMMYFUNCTION("""COMPUTED_VALUE"""),"Palencia")</f>
        <v>Palencia</v>
      </c>
      <c r="C90" s="36">
        <f ca="1">IFERROR(__xludf.DUMMYFUNCTION("""COMPUTED_VALUE"""),2018)</f>
        <v>2018</v>
      </c>
      <c r="D90" s="36" t="str">
        <f ca="1">IFERROR(__xludf.DUMMYFUNCTION("""COMPUTED_VALUE"""),"Paz")</f>
        <v>Paz</v>
      </c>
      <c r="E90" s="36" t="str">
        <f ca="1">IFERROR(__xludf.DUMMYFUNCTION("""COMPUTED_VALUE"""),"")</f>
        <v/>
      </c>
      <c r="F90" s="48">
        <f ca="1">IFERROR(__xludf.DUMMYFUNCTION("""COMPUTED_VALUE"""),43297)</f>
        <v>43297</v>
      </c>
      <c r="G90" s="48">
        <f ca="1">IFERROR(__xludf.DUMMYFUNCTION("""COMPUTED_VALUE"""),43311)</f>
        <v>43311</v>
      </c>
      <c r="H90" s="36" t="str">
        <f ca="1">IFERROR(__xludf.DUMMYFUNCTION("""COMPUTED_VALUE"""),"Aguilar De Campoo")</f>
        <v>Aguilar De Campoo</v>
      </c>
      <c r="I90" s="36" t="str">
        <f ca="1">IFERROR(__xludf.DUMMYFUNCTION("""COMPUTED_VALUE"""),"Camping Monte Royal")</f>
        <v>Camping Monte Royal</v>
      </c>
      <c r="J90" s="36" t="str">
        <f ca="1">IFERROR(__xludf.DUMMYFUNCTION("""COMPUTED_VALUE"""),"001901100UN93G")</f>
        <v>001901100UN93G</v>
      </c>
      <c r="K90" s="36" t="str">
        <f ca="1">IFERROR(__xludf.DUMMYFUNCTION("""COMPUTED_VALUE"""),"42º47'11.04"" Latitud/ -4º18'3.348"" Longitud")</f>
        <v>42º47'11.04" Latitud/ -4º18'3.348" Longitud</v>
      </c>
      <c r="L90" s="36" t="str">
        <f ca="1">IFERROR(__xludf.DUMMYFUNCTION("""COMPUTED_VALUE"""),"Alberto Fuentevilla Estrada")</f>
        <v>Alberto Fuentevilla Estrada</v>
      </c>
      <c r="M90" s="36">
        <f ca="1">IFERROR(__xludf.DUMMYFUNCTION("""COMPUTED_VALUE"""),632724526)</f>
        <v>632724526</v>
      </c>
      <c r="N90" s="36" t="str">
        <f ca="1">IFERROR(__xludf.DUMMYFUNCTION("""COMPUTED_VALUE"""),"info@campingmonteroyal.com")</f>
        <v>info@campingmonteroyal.com</v>
      </c>
      <c r="O90" s="36" t="str">
        <f ca="1">IFERROR(__xludf.DUMMYFUNCTION("""COMPUTED_VALUE"""),"4 euros por día y persona")</f>
        <v>4 euros por día y persona</v>
      </c>
      <c r="P90" s="36" t="str">
        <f ca="1">IFERROR(__xludf.DUMMYFUNCTION("""COMPUTED_VALUE"""),"No nos consta")</f>
        <v>No nos consta</v>
      </c>
      <c r="Q90" s="36" t="str">
        <f ca="1">IFERROR(__xludf.DUMMYFUNCTION("""COMPUTED_VALUE"""),"BUENO (Se puede acceder con cualquier coche)")</f>
        <v>BUENO (Se puede acceder con cualquier coche)</v>
      </c>
      <c r="R90" s="36" t="str">
        <f ca="1">IFERROR(__xludf.DUMMYFUNCTION("""COMPUTED_VALUE"""),"Sí")</f>
        <v>Sí</v>
      </c>
      <c r="S90" s="36" t="str">
        <f ca="1">IFERROR(__xludf.DUMMYFUNCTION("""COMPUTED_VALUE"""),"menos de 1 kilometro")</f>
        <v>menos de 1 kilometro</v>
      </c>
      <c r="T90" s="36" t="str">
        <f ca="1">IFERROR(__xludf.DUMMYFUNCTION("""COMPUTED_VALUE"""),"Menos de 1 kilometro")</f>
        <v>Menos de 1 kilometro</v>
      </c>
      <c r="U90" s="36" t="str">
        <f ca="1">IFERROR(__xludf.DUMMYFUNCTION("""COMPUTED_VALUE"""),"Edificio de Baños con duchas y fregaderos")</f>
        <v>Edificio de Baños con duchas y fregaderos</v>
      </c>
      <c r="V90" s="36" t="str">
        <f ca="1">IFERROR(__xludf.DUMMYFUNCTION("""COMPUTED_VALUE"""),"Sí")</f>
        <v>Sí</v>
      </c>
      <c r="W90" s="36" t="str">
        <f ca="1">IFERROR(__xludf.DUMMYFUNCTION("""COMPUTED_VALUE"""),"Es una zona preciosa y muy tranquila, no demasiado grande. Que el embalse esté tan cerca es genial.")</f>
        <v>Es una zona preciosa y muy tranquila, no demasiado grande. Que el embalse esté tan cerca es genial.</v>
      </c>
      <c r="X90" s="36"/>
      <c r="Y90" s="36"/>
      <c r="Z90" s="36"/>
    </row>
    <row r="91" spans="1:26" ht="12.75" hidden="1">
      <c r="A91" s="36" t="str">
        <f ca="1">IFERROR(__xludf.DUMMYFUNCTION("""COMPUTED_VALUE"""),"Castilla y León")</f>
        <v>Castilla y León</v>
      </c>
      <c r="B91" s="36" t="str">
        <f ca="1">IFERROR(__xludf.DUMMYFUNCTION("""COMPUTED_VALUE"""),"León")</f>
        <v>León</v>
      </c>
      <c r="C91" s="36">
        <f ca="1">IFERROR(__xludf.DUMMYFUNCTION("""COMPUTED_VALUE"""),2015)</f>
        <v>2015</v>
      </c>
      <c r="D91" s="36" t="str">
        <f ca="1">IFERROR(__xludf.DUMMYFUNCTION("""COMPUTED_VALUE"""),"Pilar")</f>
        <v>Pilar</v>
      </c>
      <c r="E91" s="36" t="str">
        <f ca="1">IFERROR(__xludf.DUMMYFUNCTION("""COMPUTED_VALUE"""),"gs.pilar@scoutsdemadrid.org ")</f>
        <v xml:space="preserve">gs.pilar@scoutsdemadrid.org </v>
      </c>
      <c r="F91" s="48">
        <f ca="1">IFERROR(__xludf.DUMMYFUNCTION("""COMPUTED_VALUE"""),42201)</f>
        <v>42201</v>
      </c>
      <c r="G91" s="48">
        <f ca="1">IFERROR(__xludf.DUMMYFUNCTION("""COMPUTED_VALUE"""),42212)</f>
        <v>42212</v>
      </c>
      <c r="H91" s="36" t="str">
        <f ca="1">IFERROR(__xludf.DUMMYFUNCTION("""COMPUTED_VALUE"""),"Riello")</f>
        <v>Riello</v>
      </c>
      <c r="I91" s="36" t="str">
        <f ca="1">IFERROR(__xludf.DUMMYFUNCTION("""COMPUTED_VALUE"""),"Trascastro de Luna")</f>
        <v>Trascastro de Luna</v>
      </c>
      <c r="J91" s="36" t="str">
        <f ca="1">IFERROR(__xludf.DUMMYFUNCTION("""COMPUTED_VALUE"""),"")</f>
        <v/>
      </c>
      <c r="K91" s="36" t="str">
        <f ca="1">IFERROR(__xludf.DUMMYFUNCTION("""COMPUTED_VALUE"""),"")</f>
        <v/>
      </c>
      <c r="L91" s="36" t="str">
        <f ca="1">IFERROR(__xludf.DUMMYFUNCTION("""COMPUTED_VALUE"""),"")</f>
        <v/>
      </c>
      <c r="M91" s="36" t="str">
        <f ca="1">IFERROR(__xludf.DUMMYFUNCTION("""COMPUTED_VALUE"""),"")</f>
        <v/>
      </c>
      <c r="N91" s="36" t="str">
        <f ca="1">IFERROR(__xludf.DUMMYFUNCTION("""COMPUTED_VALUE"""),"")</f>
        <v/>
      </c>
      <c r="O91" s="36" t="str">
        <f ca="1">IFERROR(__xludf.DUMMYFUNCTION("""COMPUTED_VALUE"""),"")</f>
        <v/>
      </c>
      <c r="P91" s="36" t="str">
        <f ca="1">IFERROR(__xludf.DUMMYFUNCTION("""COMPUTED_VALUE"""),"")</f>
        <v/>
      </c>
      <c r="Q91" s="36" t="str">
        <f ca="1">IFERROR(__xludf.DUMMYFUNCTION("""COMPUTED_VALUE"""),"")</f>
        <v/>
      </c>
      <c r="R91" s="36" t="str">
        <f ca="1">IFERROR(__xludf.DUMMYFUNCTION("""COMPUTED_VALUE"""),"")</f>
        <v/>
      </c>
      <c r="S91" s="36" t="str">
        <f ca="1">IFERROR(__xludf.DUMMYFUNCTION("""COMPUTED_VALUE"""),"")</f>
        <v/>
      </c>
      <c r="T91" s="36" t="str">
        <f ca="1">IFERROR(__xludf.DUMMYFUNCTION("""COMPUTED_VALUE"""),"")</f>
        <v/>
      </c>
      <c r="U91" s="36" t="str">
        <f ca="1">IFERROR(__xludf.DUMMYFUNCTION("""COMPUTED_VALUE"""),"")</f>
        <v/>
      </c>
      <c r="V91" s="36" t="str">
        <f ca="1">IFERROR(__xludf.DUMMYFUNCTION("""COMPUTED_VALUE"""),"")</f>
        <v/>
      </c>
      <c r="W91" s="36" t="str">
        <f ca="1">IFERROR(__xludf.DUMMYFUNCTION("""COMPUTED_VALUE"""),"")</f>
        <v/>
      </c>
      <c r="X91" s="36"/>
      <c r="Y91" s="36"/>
      <c r="Z91" s="36"/>
    </row>
    <row r="92" spans="1:26" ht="12.75" hidden="1">
      <c r="A92" s="36" t="str">
        <f ca="1">IFERROR(__xludf.DUMMYFUNCTION("""COMPUTED_VALUE"""),"Castilla y León")</f>
        <v>Castilla y León</v>
      </c>
      <c r="B92" s="36" t="str">
        <f ca="1">IFERROR(__xludf.DUMMYFUNCTION("""COMPUTED_VALUE"""),"León")</f>
        <v>León</v>
      </c>
      <c r="C92" s="36">
        <f ca="1">IFERROR(__xludf.DUMMYFUNCTION("""COMPUTED_VALUE"""),2012)</f>
        <v>2012</v>
      </c>
      <c r="D92" s="36" t="str">
        <f ca="1">IFERROR(__xludf.DUMMYFUNCTION("""COMPUTED_VALUE"""),"Pinar")</f>
        <v>Pinar</v>
      </c>
      <c r="E92" s="36" t="str">
        <f ca="1">IFERROR(__xludf.DUMMYFUNCTION("""COMPUTED_VALUE"""),"")</f>
        <v/>
      </c>
      <c r="F92" s="48">
        <f ca="1">IFERROR(__xludf.DUMMYFUNCTION("""COMPUTED_VALUE"""),41105)</f>
        <v>41105</v>
      </c>
      <c r="G92" s="48">
        <f ca="1">IFERROR(__xludf.DUMMYFUNCTION("""COMPUTED_VALUE"""),41120)</f>
        <v>41120</v>
      </c>
      <c r="H92" s="36" t="str">
        <f ca="1">IFERROR(__xludf.DUMMYFUNCTION("""COMPUTED_VALUE"""),"Acebedo")</f>
        <v>Acebedo</v>
      </c>
      <c r="I92" s="36" t="str">
        <f ca="1">IFERROR(__xludf.DUMMYFUNCTION("""COMPUTED_VALUE"""),"Finca ayuntamiento acebedo")</f>
        <v>Finca ayuntamiento acebedo</v>
      </c>
      <c r="J92" s="36" t="str">
        <f ca="1">IFERROR(__xludf.DUMMYFUNCTION("""COMPUTED_VALUE"""),"")</f>
        <v/>
      </c>
      <c r="K92" s="36" t="str">
        <f ca="1">IFERROR(__xludf.DUMMYFUNCTION("""COMPUTED_VALUE"""),"")</f>
        <v/>
      </c>
      <c r="L92" s="36" t="str">
        <f ca="1">IFERROR(__xludf.DUMMYFUNCTION("""COMPUTED_VALUE"""),"")</f>
        <v/>
      </c>
      <c r="M92" s="36" t="str">
        <f ca="1">IFERROR(__xludf.DUMMYFUNCTION("""COMPUTED_VALUE"""),"")</f>
        <v/>
      </c>
      <c r="N92" s="36" t="str">
        <f ca="1">IFERROR(__xludf.DUMMYFUNCTION("""COMPUTED_VALUE"""),"")</f>
        <v/>
      </c>
      <c r="O92" s="36" t="str">
        <f ca="1">IFERROR(__xludf.DUMMYFUNCTION("""COMPUTED_VALUE"""),"")</f>
        <v/>
      </c>
      <c r="P92" s="36" t="str">
        <f ca="1">IFERROR(__xludf.DUMMYFUNCTION("""COMPUTED_VALUE"""),"")</f>
        <v/>
      </c>
      <c r="Q92" s="36" t="str">
        <f ca="1">IFERROR(__xludf.DUMMYFUNCTION("""COMPUTED_VALUE"""),"")</f>
        <v/>
      </c>
      <c r="R92" s="36" t="str">
        <f ca="1">IFERROR(__xludf.DUMMYFUNCTION("""COMPUTED_VALUE"""),"")</f>
        <v/>
      </c>
      <c r="S92" s="36" t="str">
        <f ca="1">IFERROR(__xludf.DUMMYFUNCTION("""COMPUTED_VALUE"""),"")</f>
        <v/>
      </c>
      <c r="T92" s="36" t="str">
        <f ca="1">IFERROR(__xludf.DUMMYFUNCTION("""COMPUTED_VALUE"""),"")</f>
        <v/>
      </c>
      <c r="U92" s="36" t="str">
        <f ca="1">IFERROR(__xludf.DUMMYFUNCTION("""COMPUTED_VALUE"""),"")</f>
        <v/>
      </c>
      <c r="V92" s="36" t="str">
        <f ca="1">IFERROR(__xludf.DUMMYFUNCTION("""COMPUTED_VALUE"""),"")</f>
        <v/>
      </c>
      <c r="W92" s="36" t="str">
        <f ca="1">IFERROR(__xludf.DUMMYFUNCTION("""COMPUTED_VALUE"""),"")</f>
        <v/>
      </c>
      <c r="X92" s="36"/>
      <c r="Y92" s="36"/>
      <c r="Z92" s="36"/>
    </row>
    <row r="93" spans="1:26" ht="12.75" hidden="1">
      <c r="A93" s="36" t="str">
        <f ca="1">IFERROR(__xludf.DUMMYFUNCTION("""COMPUTED_VALUE"""),"Castilla y León")</f>
        <v>Castilla y León</v>
      </c>
      <c r="B93" s="36" t="str">
        <f ca="1">IFERROR(__xludf.DUMMYFUNCTION("""COMPUTED_VALUE"""),"Zamora")</f>
        <v>Zamora</v>
      </c>
      <c r="C93" s="36">
        <f ca="1">IFERROR(__xludf.DUMMYFUNCTION("""COMPUTED_VALUE"""),2015)</f>
        <v>2015</v>
      </c>
      <c r="D93" s="36" t="str">
        <f ca="1">IFERROR(__xludf.DUMMYFUNCTION("""COMPUTED_VALUE"""),"Quetzal")</f>
        <v>Quetzal</v>
      </c>
      <c r="E93" s="36" t="str">
        <f ca="1">IFERROR(__xludf.DUMMYFUNCTION("""COMPUTED_VALUE"""),"gs.quetzal@scoutsdemadrid.org ")</f>
        <v xml:space="preserve">gs.quetzal@scoutsdemadrid.org </v>
      </c>
      <c r="F93" s="48">
        <f ca="1">IFERROR(__xludf.DUMMYFUNCTION("""COMPUTED_VALUE"""),42204)</f>
        <v>42204</v>
      </c>
      <c r="G93" s="48">
        <f ca="1">IFERROR(__xludf.DUMMYFUNCTION("""COMPUTED_VALUE"""),42218)</f>
        <v>42218</v>
      </c>
      <c r="H93" s="36" t="str">
        <f ca="1">IFERROR(__xludf.DUMMYFUNCTION("""COMPUTED_VALUE"""),"Muelas De Los Caballeros")</f>
        <v>Muelas De Los Caballeros</v>
      </c>
      <c r="I93" s="36" t="str">
        <f ca="1">IFERROR(__xludf.DUMMYFUNCTION("""COMPUTED_VALUE"""),"Peña La Vega")</f>
        <v>Peña La Vega</v>
      </c>
      <c r="J93" s="36" t="str">
        <f ca="1">IFERROR(__xludf.DUMMYFUNCTION("""COMPUTED_VALUE"""),"")</f>
        <v/>
      </c>
      <c r="K93" s="36" t="str">
        <f ca="1">IFERROR(__xludf.DUMMYFUNCTION("""COMPUTED_VALUE"""),"")</f>
        <v/>
      </c>
      <c r="L93" s="36" t="str">
        <f ca="1">IFERROR(__xludf.DUMMYFUNCTION("""COMPUTED_VALUE"""),"")</f>
        <v/>
      </c>
      <c r="M93" s="36" t="str">
        <f ca="1">IFERROR(__xludf.DUMMYFUNCTION("""COMPUTED_VALUE"""),"")</f>
        <v/>
      </c>
      <c r="N93" s="36" t="str">
        <f ca="1">IFERROR(__xludf.DUMMYFUNCTION("""COMPUTED_VALUE"""),"")</f>
        <v/>
      </c>
      <c r="O93" s="36" t="str">
        <f ca="1">IFERROR(__xludf.DUMMYFUNCTION("""COMPUTED_VALUE"""),"")</f>
        <v/>
      </c>
      <c r="P93" s="36" t="str">
        <f ca="1">IFERROR(__xludf.DUMMYFUNCTION("""COMPUTED_VALUE"""),"")</f>
        <v/>
      </c>
      <c r="Q93" s="36" t="str">
        <f ca="1">IFERROR(__xludf.DUMMYFUNCTION("""COMPUTED_VALUE"""),"")</f>
        <v/>
      </c>
      <c r="R93" s="36" t="str">
        <f ca="1">IFERROR(__xludf.DUMMYFUNCTION("""COMPUTED_VALUE"""),"")</f>
        <v/>
      </c>
      <c r="S93" s="36" t="str">
        <f ca="1">IFERROR(__xludf.DUMMYFUNCTION("""COMPUTED_VALUE"""),"")</f>
        <v/>
      </c>
      <c r="T93" s="36" t="str">
        <f ca="1">IFERROR(__xludf.DUMMYFUNCTION("""COMPUTED_VALUE"""),"")</f>
        <v/>
      </c>
      <c r="U93" s="36" t="str">
        <f ca="1">IFERROR(__xludf.DUMMYFUNCTION("""COMPUTED_VALUE"""),"")</f>
        <v/>
      </c>
      <c r="V93" s="36" t="str">
        <f ca="1">IFERROR(__xludf.DUMMYFUNCTION("""COMPUTED_VALUE"""),"")</f>
        <v/>
      </c>
      <c r="W93" s="36" t="str">
        <f ca="1">IFERROR(__xludf.DUMMYFUNCTION("""COMPUTED_VALUE"""),"")</f>
        <v/>
      </c>
      <c r="X93" s="36"/>
      <c r="Y93" s="36"/>
      <c r="Z93" s="36"/>
    </row>
    <row r="94" spans="1:26" ht="12.75" hidden="1">
      <c r="A94" s="36" t="str">
        <f ca="1">IFERROR(__xludf.DUMMYFUNCTION("""COMPUTED_VALUE"""),"Castilla y León")</f>
        <v>Castilla y León</v>
      </c>
      <c r="B94" s="36" t="str">
        <f ca="1">IFERROR(__xludf.DUMMYFUNCTION("""COMPUTED_VALUE"""),"Soria")</f>
        <v>Soria</v>
      </c>
      <c r="C94" s="36">
        <f ca="1">IFERROR(__xludf.DUMMYFUNCTION("""COMPUTED_VALUE"""),2016)</f>
        <v>2016</v>
      </c>
      <c r="D94" s="36" t="str">
        <f ca="1">IFERROR(__xludf.DUMMYFUNCTION("""COMPUTED_VALUE"""),"Samasabe-Calasancio")</f>
        <v>Samasabe-Calasancio</v>
      </c>
      <c r="E94" s="36" t="str">
        <f ca="1">IFERROR(__xludf.DUMMYFUNCTION("""COMPUTED_VALUE"""),"gs.samasabecalasancio@scoutsdemadrid.org ")</f>
        <v xml:space="preserve">gs.samasabecalasancio@scoutsdemadrid.org </v>
      </c>
      <c r="F94" s="48">
        <f ca="1">IFERROR(__xludf.DUMMYFUNCTION("""COMPUTED_VALUE"""),42568)</f>
        <v>42568</v>
      </c>
      <c r="G94" s="48">
        <f ca="1">IFERROR(__xludf.DUMMYFUNCTION("""COMPUTED_VALUE"""),42581)</f>
        <v>42581</v>
      </c>
      <c r="H94" s="36" t="str">
        <f ca="1">IFERROR(__xludf.DUMMYFUNCTION("""COMPUTED_VALUE"""),"Vinuesa")</f>
        <v>Vinuesa</v>
      </c>
      <c r="I94" s="36" t="str">
        <f ca="1">IFERROR(__xludf.DUMMYFUNCTION("""COMPUTED_VALUE"""),"Vinuesa")</f>
        <v>Vinuesa</v>
      </c>
      <c r="J94" s="36" t="str">
        <f ca="1">IFERROR(__xludf.DUMMYFUNCTION("""COMPUTED_VALUE"""),"")</f>
        <v/>
      </c>
      <c r="K94" s="36" t="str">
        <f ca="1">IFERROR(__xludf.DUMMYFUNCTION("""COMPUTED_VALUE"""),"41°56'02.5""N 2°46'02.3""W")</f>
        <v>41°56'02.5"N 2°46'02.3"W</v>
      </c>
      <c r="L94" s="36" t="str">
        <f ca="1">IFERROR(__xludf.DUMMYFUNCTION("""COMPUTED_VALUE"""),"Ayuntamiento de Vinuesa")</f>
        <v>Ayuntamiento de Vinuesa</v>
      </c>
      <c r="M94" s="36" t="str">
        <f ca="1">IFERROR(__xludf.DUMMYFUNCTION("""COMPUTED_VALUE"""),"")</f>
        <v/>
      </c>
      <c r="N94" s="36" t="str">
        <f ca="1">IFERROR(__xludf.DUMMYFUNCTION("""COMPUTED_VALUE"""),"")</f>
        <v/>
      </c>
      <c r="O94" s="36" t="str">
        <f ca="1">IFERROR(__xludf.DUMMYFUNCTION("""COMPUTED_VALUE"""),"")</f>
        <v/>
      </c>
      <c r="P94" s="36" t="str">
        <f ca="1">IFERROR(__xludf.DUMMYFUNCTION("""COMPUTED_VALUE"""),"")</f>
        <v/>
      </c>
      <c r="Q94" s="36" t="str">
        <f ca="1">IFERROR(__xludf.DUMMYFUNCTION("""COMPUTED_VALUE"""),"BUENO (Se puede acceder con cualquier coche)")</f>
        <v>BUENO (Se puede acceder con cualquier coche)</v>
      </c>
      <c r="R94" s="36" t="str">
        <f ca="1">IFERROR(__xludf.DUMMYFUNCTION("""COMPUTED_VALUE"""),"Sí")</f>
        <v>Sí</v>
      </c>
      <c r="S94" s="36" t="str">
        <f ca="1">IFERROR(__xludf.DUMMYFUNCTION("""COMPUTED_VALUE"""),"")</f>
        <v/>
      </c>
      <c r="T94" s="36" t="str">
        <f ca="1">IFERROR(__xludf.DUMMYFUNCTION("""COMPUTED_VALUE"""),"")</f>
        <v/>
      </c>
      <c r="U94" s="36" t="str">
        <f ca="1">IFERROR(__xludf.DUMMYFUNCTION("""COMPUTED_VALUE"""),"No")</f>
        <v>No</v>
      </c>
      <c r="V94" s="36" t="str">
        <f ca="1">IFERROR(__xludf.DUMMYFUNCTION("""COMPUTED_VALUE"""),"")</f>
        <v/>
      </c>
      <c r="W94" s="36" t="str">
        <f ca="1">IFERROR(__xludf.DUMMYFUNCTION("""COMPUTED_VALUE"""),"")</f>
        <v/>
      </c>
      <c r="X94" s="36"/>
      <c r="Y94" s="36"/>
      <c r="Z94" s="36"/>
    </row>
    <row r="95" spans="1:26" ht="12.75" hidden="1">
      <c r="A95" s="36" t="str">
        <f ca="1">IFERROR(__xludf.DUMMYFUNCTION("""COMPUTED_VALUE"""),"Castilla y León")</f>
        <v>Castilla y León</v>
      </c>
      <c r="B95" s="36" t="str">
        <f ca="1">IFERROR(__xludf.DUMMYFUNCTION("""COMPUTED_VALUE"""),"Ávila")</f>
        <v>Ávila</v>
      </c>
      <c r="C95" s="36">
        <f ca="1">IFERROR(__xludf.DUMMYFUNCTION("""COMPUTED_VALUE"""),2018)</f>
        <v>2018</v>
      </c>
      <c r="D95" s="36" t="str">
        <f ca="1">IFERROR(__xludf.DUMMYFUNCTION("""COMPUTED_VALUE"""),"Samasabe-Calasancio")</f>
        <v>Samasabe-Calasancio</v>
      </c>
      <c r="E95" s="36" t="str">
        <f ca="1">IFERROR(__xludf.DUMMYFUNCTION("""COMPUTED_VALUE"""),"gs.samasabecalasancio@scoutsdemadrid.org ")</f>
        <v xml:space="preserve">gs.samasabecalasancio@scoutsdemadrid.org </v>
      </c>
      <c r="F95" s="48">
        <f ca="1">IFERROR(__xludf.DUMMYFUNCTION("""COMPUTED_VALUE"""),43294)</f>
        <v>43294</v>
      </c>
      <c r="G95" s="48">
        <f ca="1">IFERROR(__xludf.DUMMYFUNCTION("""COMPUTED_VALUE"""),43310)</f>
        <v>43310</v>
      </c>
      <c r="H95" s="36" t="str">
        <f ca="1">IFERROR(__xludf.DUMMYFUNCTION("""COMPUTED_VALUE"""),"Los Llanos De Tormes")</f>
        <v>Los Llanos De Tormes</v>
      </c>
      <c r="I95" s="36" t="str">
        <f ca="1">IFERROR(__xludf.DUMMYFUNCTION("""COMPUTED_VALUE"""),"PRADO DE LA VEGA")</f>
        <v>PRADO DE LA VEGA</v>
      </c>
      <c r="J95" s="36" t="str">
        <f ca="1">IFERROR(__xludf.DUMMYFUNCTION("""COMPUTED_VALUE"""),"05113A012000070000YF")</f>
        <v>05113A012000070000YF</v>
      </c>
      <c r="K95" s="36" t="str">
        <f ca="1">IFERROR(__xludf.DUMMYFUNCTION("""COMPUTED_VALUE"""),"X:293.520,20 Y:4.467.284,67")</f>
        <v>X:293.520,20 Y:4.467.284,67</v>
      </c>
      <c r="L95" s="36" t="str">
        <f ca="1">IFERROR(__xludf.DUMMYFUNCTION("""COMPUTED_VALUE"""),"DANIEL MARTIN BERMEJO ")</f>
        <v xml:space="preserve">DANIEL MARTIN BERMEJO </v>
      </c>
      <c r="M95" s="36">
        <f ca="1">IFERROR(__xludf.DUMMYFUNCTION("""COMPUTED_VALUE"""),696635580)</f>
        <v>696635580</v>
      </c>
      <c r="N95" s="36" t="str">
        <f ca="1">IFERROR(__xludf.DUMMYFUNCTION("""COMPUTED_VALUE"""),"NO TIENE")</f>
        <v>NO TIENE</v>
      </c>
      <c r="O95" s="36" t="str">
        <f ca="1">IFERROR(__xludf.DUMMYFUNCTION("""COMPUTED_VALUE"""),"1100€/QUINCENA")</f>
        <v>1100€/QUINCENA</v>
      </c>
      <c r="P95" s="36" t="str">
        <f ca="1">IFERROR(__xludf.DUMMYFUNCTION("""COMPUTED_VALUE"""),"6,5 Ha")</f>
        <v>6,5 Ha</v>
      </c>
      <c r="Q95" s="36" t="str">
        <f ca="1">IFERROR(__xludf.DUMMYFUNCTION("""COMPUTED_VALUE"""),"BUENO (Se puede acceder con cualquier coche)")</f>
        <v>BUENO (Se puede acceder con cualquier coche)</v>
      </c>
      <c r="R95" s="36" t="str">
        <f ca="1">IFERROR(__xludf.DUMMYFUNCTION("""COMPUTED_VALUE"""),"Sí")</f>
        <v>Sí</v>
      </c>
      <c r="S95" s="36" t="str">
        <f ca="1">IFERROR(__xludf.DUMMYFUNCTION("""COMPUTED_VALUE"""),"ZONA BAÑO:EL RIO TORMES PASA A POCA DISTANCIA DEL CAMPAMENTO, POR UN LATERAL DE LA CAMPA, MARCANDO EL LÍMITE DE ESTA")</f>
        <v>ZONA BAÑO:EL RIO TORMES PASA A POCA DISTANCIA DEL CAMPAMENTO, POR UN LATERAL DE LA CAMPA, MARCANDO EL LÍMITE DE ESTA</v>
      </c>
      <c r="T95" s="36" t="str">
        <f ca="1">IFERROR(__xludf.DUMMYFUNCTION("""COMPUTED_VALUE"""),"EL CAMPAMENTO TIENE AMPLIAS ZONAS DE BAÑO EN LAS ORILLAS DEL RIO.")</f>
        <v>EL CAMPAMENTO TIENE AMPLIAS ZONAS DE BAÑO EN LAS ORILLAS DEL RIO.</v>
      </c>
      <c r="U95" s="36" t="str">
        <f ca="1">IFERROR(__xludf.DUMMYFUNCTION("""COMPUTED_VALUE"""),"NO")</f>
        <v>NO</v>
      </c>
      <c r="V95" s="36" t="str">
        <f ca="1">IFERROR(__xludf.DUMMYFUNCTION("""COMPUTED_VALUE"""),"SI")</f>
        <v>SI</v>
      </c>
      <c r="W95" s="36" t="str">
        <f ca="1">IFERROR(__xludf.DUMMYFUNCTION("""COMPUTED_VALUE"""),"CAMPA MUY AMPLIA, EN MUCHA PARTE LLANA Y DIAFANA, OTRA PARTE CON UN PEQUEÑO ROBLEDAL QUE PROPORCIONA SOMBRA. PASA EL RIO TORMES CERCA DE LA CAMPA, POR LO QUE TIENE AMPLIAS ZONAS DE BAÑO.")</f>
        <v>CAMPA MUY AMPLIA, EN MUCHA PARTE LLANA Y DIAFANA, OTRA PARTE CON UN PEQUEÑO ROBLEDAL QUE PROPORCIONA SOMBRA. PASA EL RIO TORMES CERCA DE LA CAMPA, POR LO QUE TIENE AMPLIAS ZONAS DE BAÑO.</v>
      </c>
      <c r="X95" s="36"/>
      <c r="Y95" s="36"/>
      <c r="Z95" s="36"/>
    </row>
    <row r="96" spans="1:26" ht="12.75" hidden="1">
      <c r="A96" s="36" t="str">
        <f ca="1">IFERROR(__xludf.DUMMYFUNCTION("""COMPUTED_VALUE"""),"Castilla y León")</f>
        <v>Castilla y León</v>
      </c>
      <c r="B96" s="36" t="str">
        <f ca="1">IFERROR(__xludf.DUMMYFUNCTION("""COMPUTED_VALUE"""),"Ávila")</f>
        <v>Ávila</v>
      </c>
      <c r="C96" s="36">
        <f ca="1">IFERROR(__xludf.DUMMYFUNCTION("""COMPUTED_VALUE"""),2019)</f>
        <v>2019</v>
      </c>
      <c r="D96" s="36" t="str">
        <f ca="1">IFERROR(__xludf.DUMMYFUNCTION("""COMPUTED_VALUE"""),"Samasabe-Calasancio")</f>
        <v>Samasabe-Calasancio</v>
      </c>
      <c r="E96" s="36" t="str">
        <f ca="1">IFERROR(__xludf.DUMMYFUNCTION("""COMPUTED_VALUE"""),"gs.samasabecalasancio@scoutsdemadrid.org ")</f>
        <v xml:space="preserve">gs.samasabecalasancio@scoutsdemadrid.org </v>
      </c>
      <c r="F96" s="36">
        <f ca="1">IFERROR(__xludf.DUMMYFUNCTION("""COMPUTED_VALUE"""),43666)</f>
        <v>43666</v>
      </c>
      <c r="G96" s="36">
        <f ca="1">IFERROR(__xludf.DUMMYFUNCTION("""COMPUTED_VALUE"""),43675)</f>
        <v>43675</v>
      </c>
      <c r="H96" s="36" t="str">
        <f ca="1">IFERROR(__xludf.DUMMYFUNCTION("""COMPUTED_VALUE"""),"Peguerinos")</f>
        <v>Peguerinos</v>
      </c>
      <c r="I96" s="36" t="str">
        <f ca="1">IFERROR(__xludf.DUMMYFUNCTION("""COMPUTED_VALUE"""),"Campamento Peñas Blancas")</f>
        <v>Campamento Peñas Blancas</v>
      </c>
      <c r="J96" s="36" t="str">
        <f ca="1">IFERROR(__xludf.DUMMYFUNCTION("""COMPUTED_VALUE"""),"(Enviaremos la información cuando tengamos el dato)")</f>
        <v>(Enviaremos la información cuando tengamos el dato)</v>
      </c>
      <c r="K96" s="36" t="str">
        <f ca="1">IFERROR(__xludf.DUMMYFUNCTION("""COMPUTED_VALUE"""),"40 °   38 '   47.371 '' Latitud     -4 °   10 '   45.001 '' Longitud")</f>
        <v>40 °   38 '   47.371 '' Latitud     -4 °   10 '   45.001 '' Longitud</v>
      </c>
      <c r="L96" s="36" t="str">
        <f ca="1">IFERROR(__xludf.DUMMYFUNCTION("""COMPUTED_VALUE"""),"Campamentos Peñas Blancas")</f>
        <v>Campamentos Peñas Blancas</v>
      </c>
      <c r="M96" s="36" t="str">
        <f ca="1">IFERROR(__xludf.DUMMYFUNCTION("""COMPUTED_VALUE"""),"91 701 01 31 / 659 81 42 58")</f>
        <v>91 701 01 31 / 659 81 42 58</v>
      </c>
      <c r="N96" s="36" t="str">
        <f ca="1">IFERROR(__xludf.DUMMYFUNCTION("""COMPUTED_VALUE"""),"campamento@penasblancas.net")</f>
        <v>campamento@penasblancas.net</v>
      </c>
      <c r="O96" s="36" t="str">
        <f ca="1">IFERROR(__xludf.DUMMYFUNCTION("""COMPUTED_VALUE"""),"15,5€ día por persona pensión completa")</f>
        <v>15,5€ día por persona pensión completa</v>
      </c>
      <c r="P96" s="36" t="str">
        <f ca="1">IFERROR(__xludf.DUMMYFUNCTION("""COMPUTED_VALUE"""),"21 hectáreas")</f>
        <v>21 hectáreas</v>
      </c>
      <c r="Q96" s="36" t="str">
        <f ca="1">IFERROR(__xludf.DUMMYFUNCTION("""COMPUTED_VALUE"""),"BUENO (Se puede acceder con cualquier coche)")</f>
        <v>BUENO (Se puede acceder con cualquier coche)</v>
      </c>
      <c r="R96" s="36" t="str">
        <f ca="1">IFERROR(__xludf.DUMMYFUNCTION("""COMPUTED_VALUE"""),"Sí")</f>
        <v>Sí</v>
      </c>
      <c r="S96" s="36" t="str">
        <f ca="1">IFERROR(__xludf.DUMMYFUNCTION("""COMPUTED_VALUE"""),"Piscina de 12,5 * 25 metros")</f>
        <v>Piscina de 12,5 * 25 metros</v>
      </c>
      <c r="T96" s="36" t="str">
        <f ca="1">IFERROR(__xludf.DUMMYFUNCTION("""COMPUTED_VALUE"""),"Piscina con su correspondiente depuradora y zona de uso con pradera y vallada. Socorrista permanentemente.")</f>
        <v>Piscina con su correspondiente depuradora y zona de uso con pradera y vallada. Socorrista permanentemente.</v>
      </c>
      <c r="U96" s="36" t="str">
        <f ca="1">IFERROR(__xludf.DUMMYFUNCTION("""COMPUTED_VALUE"""),"Baños, duchas, cocina, comedor, sala de audición y biblioteca-")</f>
        <v>Baños, duchas, cocina, comedor, sala de audición y biblioteca-</v>
      </c>
      <c r="V96" s="36" t="str">
        <f ca="1">IFERROR(__xludf.DUMMYFUNCTION("""COMPUTED_VALUE"""),"Sí")</f>
        <v>Sí</v>
      </c>
      <c r="W96" s="36" t="str">
        <f ca="1">IFERROR(__xludf.DUMMYFUNCTION("""COMPUTED_VALUE"""),"Explanada amplia con sombra y disponibilidad de plantar tiendas. Cuenta con pensión completa, servicio sanitario 24h")</f>
        <v>Explanada amplia con sombra y disponibilidad de plantar tiendas. Cuenta con pensión completa, servicio sanitario 24h</v>
      </c>
      <c r="X96" s="36"/>
      <c r="Y96" s="36"/>
      <c r="Z96" s="36"/>
    </row>
    <row r="97" spans="1:26" ht="12.75" hidden="1">
      <c r="A97" s="36" t="str">
        <f ca="1">IFERROR(__xludf.DUMMYFUNCTION("""COMPUTED_VALUE"""),"Castilla y León")</f>
        <v>Castilla y León</v>
      </c>
      <c r="B97" s="36" t="str">
        <f ca="1">IFERROR(__xludf.DUMMYFUNCTION("""COMPUTED_VALUE"""),"Burgos")</f>
        <v>Burgos</v>
      </c>
      <c r="C97" s="36">
        <f ca="1">IFERROR(__xludf.DUMMYFUNCTION("""COMPUTED_VALUE"""),2018)</f>
        <v>2018</v>
      </c>
      <c r="D97" s="36" t="str">
        <f ca="1">IFERROR(__xludf.DUMMYFUNCTION("""COMPUTED_VALUE"""),"San Agustín")</f>
        <v>San Agustín</v>
      </c>
      <c r="E97" s="36" t="str">
        <f ca="1">IFERROR(__xludf.DUMMYFUNCTION("""COMPUTED_VALUE"""),"gs.sanagustin@scoutsdemadrid.org ")</f>
        <v xml:space="preserve">gs.sanagustin@scoutsdemadrid.org </v>
      </c>
      <c r="F97" s="48">
        <f ca="1">IFERROR(__xludf.DUMMYFUNCTION("""COMPUTED_VALUE"""),43277)</f>
        <v>43277</v>
      </c>
      <c r="G97" s="48">
        <f ca="1">IFERROR(__xludf.DUMMYFUNCTION("""COMPUTED_VALUE"""),43281)</f>
        <v>43281</v>
      </c>
      <c r="H97" s="36" t="str">
        <f ca="1">IFERROR(__xludf.DUMMYFUNCTION("""COMPUTED_VALUE"""),"Butrera")</f>
        <v>Butrera</v>
      </c>
      <c r="I97" s="36" t="str">
        <f ca="1">IFERROR(__xludf.DUMMYFUNCTION("""COMPUTED_VALUE"""),"Campamento Molino de Butrera")</f>
        <v>Campamento Molino de Butrera</v>
      </c>
      <c r="J97" s="36" t="str">
        <f ca="1">IFERROR(__xludf.DUMMYFUNCTION("""COMPUTED_VALUE"""),"se desconoce")</f>
        <v>se desconoce</v>
      </c>
      <c r="K97" s="36" t="str">
        <f ca="1">IFERROR(__xludf.DUMMYFUNCTION("""COMPUTED_VALUE"""),"se desconoce")</f>
        <v>se desconoce</v>
      </c>
      <c r="L97" s="36" t="str">
        <f ca="1">IFERROR(__xludf.DUMMYFUNCTION("""COMPUTED_VALUE"""),"Campamento Molino de Butrera SL")</f>
        <v>Campamento Molino de Butrera SL</v>
      </c>
      <c r="M97" s="36">
        <f ca="1">IFERROR(__xludf.DUMMYFUNCTION("""COMPUTED_VALUE"""),947131168)</f>
        <v>947131168</v>
      </c>
      <c r="N97" s="36" t="str">
        <f ca="1">IFERROR(__xludf.DUMMYFUNCTION("""COMPUTED_VALUE"""),"molino@butrera.es")</f>
        <v>molino@butrera.es</v>
      </c>
      <c r="O97" s="36" t="str">
        <f ca="1">IFERROR(__xludf.DUMMYFUNCTION("""COMPUTED_VALUE"""),"15 € persona/dia")</f>
        <v>15 € persona/dia</v>
      </c>
      <c r="P97" s="36" t="str">
        <f ca="1">IFERROR(__xludf.DUMMYFUNCTION("""COMPUTED_VALUE"""),"2 ha")</f>
        <v>2 ha</v>
      </c>
      <c r="Q97" s="36" t="str">
        <f ca="1">IFERROR(__xludf.DUMMYFUNCTION("""COMPUTED_VALUE"""),"BUENO (Se puede acceder con cualquier coche)")</f>
        <v>BUENO (Se puede acceder con cualquier coche)</v>
      </c>
      <c r="R97" s="36" t="str">
        <f ca="1">IFERROR(__xludf.DUMMYFUNCTION("""COMPUTED_VALUE"""),"Sí")</f>
        <v>Sí</v>
      </c>
      <c r="S97" s="36" t="str">
        <f ca="1">IFERROR(__xludf.DUMMYFUNCTION("""COMPUTED_VALUE"""),"100 metros")</f>
        <v>100 metros</v>
      </c>
      <c r="T97" s="36" t="str">
        <f ca="1">IFERROR(__xludf.DUMMYFUNCTION("""COMPUTED_VALUE"""),"canal y rio con zonas accesibles ")</f>
        <v xml:space="preserve">canal y rio con zonas accesibles </v>
      </c>
      <c r="U97" s="36" t="str">
        <f ca="1">IFERROR(__xludf.DUMMYFUNCTION("""COMPUTED_VALUE"""),"baños , duchas comedor ,zona deportiva y salas de usos multiples")</f>
        <v>baños , duchas comedor ,zona deportiva y salas de usos multiples</v>
      </c>
      <c r="V97" s="36" t="str">
        <f ca="1">IFERROR(__xludf.DUMMYFUNCTION("""COMPUTED_VALUE"""),"no ")</f>
        <v xml:space="preserve">no </v>
      </c>
      <c r="W97" s="36" t="str">
        <f ca="1">IFERROR(__xludf.DUMMYFUNCTION("""COMPUTED_VALUE"""),"muy agradables y aspecto excelente ,en pagina web , se comparte con otros grupos tienen tambien cabañas ")</f>
        <v xml:space="preserve">muy agradables y aspecto excelente ,en pagina web , se comparte con otros grupos tienen tambien cabañas </v>
      </c>
      <c r="X97" s="36"/>
      <c r="Y97" s="36"/>
      <c r="Z97" s="36"/>
    </row>
    <row r="98" spans="1:26" ht="12.75" hidden="1">
      <c r="A98" s="36" t="str">
        <f ca="1">IFERROR(__xludf.DUMMYFUNCTION("""COMPUTED_VALUE"""),"Castilla y León")</f>
        <v>Castilla y León</v>
      </c>
      <c r="B98" s="36" t="str">
        <f ca="1">IFERROR(__xludf.DUMMYFUNCTION("""COMPUTED_VALUE"""),"Ávila")</f>
        <v>Ávila</v>
      </c>
      <c r="C98" s="36">
        <f ca="1">IFERROR(__xludf.DUMMYFUNCTION("""COMPUTED_VALUE"""),2017)</f>
        <v>2017</v>
      </c>
      <c r="D98" s="36" t="str">
        <f ca="1">IFERROR(__xludf.DUMMYFUNCTION("""COMPUTED_VALUE"""),"San Gabriel")</f>
        <v>San Gabriel</v>
      </c>
      <c r="E98" s="36" t="str">
        <f ca="1">IFERROR(__xludf.DUMMYFUNCTION("""COMPUTED_VALUE"""),"gs.sangabriel@scoutsdemadrid.org ")</f>
        <v xml:space="preserve">gs.sangabriel@scoutsdemadrid.org </v>
      </c>
      <c r="F98" s="48">
        <f ca="1">IFERROR(__xludf.DUMMYFUNCTION("""COMPUTED_VALUE"""),42936)</f>
        <v>42936</v>
      </c>
      <c r="G98" s="48">
        <f ca="1">IFERROR(__xludf.DUMMYFUNCTION("""COMPUTED_VALUE"""),42946)</f>
        <v>42946</v>
      </c>
      <c r="H98" s="36" t="str">
        <f ca="1">IFERROR(__xludf.DUMMYFUNCTION("""COMPUTED_VALUE"""),"Navarredonda De Gredos")</f>
        <v>Navarredonda De Gredos</v>
      </c>
      <c r="I98" s="36" t="str">
        <f ca="1">IFERROR(__xludf.DUMMYFUNCTION("""COMPUTED_VALUE"""),"Navatormes")</f>
        <v>Navatormes</v>
      </c>
      <c r="J98" s="36" t="str">
        <f ca="1">IFERROR(__xludf.DUMMYFUNCTION("""COMPUTED_VALUE"""),"")</f>
        <v/>
      </c>
      <c r="K98" s="36" t="str">
        <f ca="1">IFERROR(__xludf.DUMMYFUNCTION("""COMPUTED_VALUE"""),"")</f>
        <v/>
      </c>
      <c r="L98" s="36" t="str">
        <f ca="1">IFERROR(__xludf.DUMMYFUNCTION("""COMPUTED_VALUE"""),"Ayuntamiento de Navarredonda de Gredos")</f>
        <v>Ayuntamiento de Navarredonda de Gredos</v>
      </c>
      <c r="M98" s="36" t="str">
        <f ca="1">IFERROR(__xludf.DUMMYFUNCTION("""COMPUTED_VALUE"""),"")</f>
        <v/>
      </c>
      <c r="N98" s="36" t="str">
        <f ca="1">IFERROR(__xludf.DUMMYFUNCTION("""COMPUTED_VALUE"""),"")</f>
        <v/>
      </c>
      <c r="O98" s="36" t="str">
        <f ca="1">IFERROR(__xludf.DUMMYFUNCTION("""COMPUTED_VALUE"""),"")</f>
        <v/>
      </c>
      <c r="P98" s="36" t="str">
        <f ca="1">IFERROR(__xludf.DUMMYFUNCTION("""COMPUTED_VALUE"""),"")</f>
        <v/>
      </c>
      <c r="Q98" s="36" t="str">
        <f ca="1">IFERROR(__xludf.DUMMYFUNCTION("""COMPUTED_VALUE"""),"BUENO (Se puede acceder con cualquier coche)")</f>
        <v>BUENO (Se puede acceder con cualquier coche)</v>
      </c>
      <c r="R98" s="36" t="str">
        <f ca="1">IFERROR(__xludf.DUMMYFUNCTION("""COMPUTED_VALUE"""),"Sí")</f>
        <v>Sí</v>
      </c>
      <c r="S98" s="36">
        <f ca="1">IFERROR(__xludf.DUMMYFUNCTION("""COMPUTED_VALUE"""),50)</f>
        <v>50</v>
      </c>
      <c r="T98" s="36" t="str">
        <f ca="1">IFERROR(__xludf.DUMMYFUNCTION("""COMPUTED_VALUE"""),"Zona de nacimiento del rio Tormes")</f>
        <v>Zona de nacimiento del rio Tormes</v>
      </c>
      <c r="U98" s="36" t="str">
        <f ca="1">IFERROR(__xludf.DUMMYFUNCTION("""COMPUTED_VALUE"""),"Si. Cocina, baños,comedor y cercado alrededor de la finca")</f>
        <v>Si. Cocina, baños,comedor y cercado alrededor de la finca</v>
      </c>
      <c r="V98" s="36" t="str">
        <f ca="1">IFERROR(__xludf.DUMMYFUNCTION("""COMPUTED_VALUE"""),"Si")</f>
        <v>Si</v>
      </c>
      <c r="W98" s="36" t="str">
        <f ca="1">IFERROR(__xludf.DUMMYFUNCTION("""COMPUTED_VALUE"""),"")</f>
        <v/>
      </c>
      <c r="X98" s="36"/>
      <c r="Y98" s="36"/>
      <c r="Z98" s="36"/>
    </row>
    <row r="99" spans="1:26" ht="12.75" hidden="1">
      <c r="A99" s="36" t="str">
        <f ca="1">IFERROR(__xludf.DUMMYFUNCTION("""COMPUTED_VALUE"""),"Castilla y León")</f>
        <v>Castilla y León</v>
      </c>
      <c r="B99" s="36" t="str">
        <f ca="1">IFERROR(__xludf.DUMMYFUNCTION("""COMPUTED_VALUE"""),"Ávila")</f>
        <v>Ávila</v>
      </c>
      <c r="C99" s="36">
        <f ca="1">IFERROR(__xludf.DUMMYFUNCTION("""COMPUTED_VALUE"""),2017)</f>
        <v>2017</v>
      </c>
      <c r="D99" s="36" t="str">
        <f ca="1">IFERROR(__xludf.DUMMYFUNCTION("""COMPUTED_VALUE"""),"San Gabriel")</f>
        <v>San Gabriel</v>
      </c>
      <c r="E99" s="36" t="str">
        <f ca="1">IFERROR(__xludf.DUMMYFUNCTION("""COMPUTED_VALUE"""),"gs.sangabriel@scoutsdemadrid.org ")</f>
        <v xml:space="preserve">gs.sangabriel@scoutsdemadrid.org </v>
      </c>
      <c r="F99" s="48">
        <f ca="1">IFERROR(__xludf.DUMMYFUNCTION("""COMPUTED_VALUE"""),42936)</f>
        <v>42936</v>
      </c>
      <c r="G99" s="48">
        <f ca="1">IFERROR(__xludf.DUMMYFUNCTION("""COMPUTED_VALUE"""),42946)</f>
        <v>42946</v>
      </c>
      <c r="H99" s="36" t="str">
        <f ca="1">IFERROR(__xludf.DUMMYFUNCTION("""COMPUTED_VALUE"""),"Navarredonda De Gredos")</f>
        <v>Navarredonda De Gredos</v>
      </c>
      <c r="I99" s="36" t="str">
        <f ca="1">IFERROR(__xludf.DUMMYFUNCTION("""COMPUTED_VALUE"""),"Navatormes")</f>
        <v>Navatormes</v>
      </c>
      <c r="J99" s="36" t="str">
        <f ca="1">IFERROR(__xludf.DUMMYFUNCTION("""COMPUTED_VALUE"""),"")</f>
        <v/>
      </c>
      <c r="K99" s="36" t="str">
        <f ca="1">IFERROR(__xludf.DUMMYFUNCTION("""COMPUTED_VALUE"""),"")</f>
        <v/>
      </c>
      <c r="L99" s="36" t="str">
        <f ca="1">IFERROR(__xludf.DUMMYFUNCTION("""COMPUTED_VALUE"""),"Ayuntamiento de Navarredonda de Gredos")</f>
        <v>Ayuntamiento de Navarredonda de Gredos</v>
      </c>
      <c r="M99" s="36" t="str">
        <f ca="1">IFERROR(__xludf.DUMMYFUNCTION("""COMPUTED_VALUE"""),"")</f>
        <v/>
      </c>
      <c r="N99" s="36" t="str">
        <f ca="1">IFERROR(__xludf.DUMMYFUNCTION("""COMPUTED_VALUE"""),"")</f>
        <v/>
      </c>
      <c r="O99" s="36" t="str">
        <f ca="1">IFERROR(__xludf.DUMMYFUNCTION("""COMPUTED_VALUE"""),"")</f>
        <v/>
      </c>
      <c r="P99" s="36" t="str">
        <f ca="1">IFERROR(__xludf.DUMMYFUNCTION("""COMPUTED_VALUE"""),"")</f>
        <v/>
      </c>
      <c r="Q99" s="36" t="str">
        <f ca="1">IFERROR(__xludf.DUMMYFUNCTION("""COMPUTED_VALUE"""),"BUENO (Se puede acceder con cualquier coche)")</f>
        <v>BUENO (Se puede acceder con cualquier coche)</v>
      </c>
      <c r="R99" s="36" t="str">
        <f ca="1">IFERROR(__xludf.DUMMYFUNCTION("""COMPUTED_VALUE"""),"Sí")</f>
        <v>Sí</v>
      </c>
      <c r="S99" s="36">
        <f ca="1">IFERROR(__xludf.DUMMYFUNCTION("""COMPUTED_VALUE"""),50)</f>
        <v>50</v>
      </c>
      <c r="T99" s="36" t="str">
        <f ca="1">IFERROR(__xludf.DUMMYFUNCTION("""COMPUTED_VALUE"""),"Zona de nacimiento del rio Tormes")</f>
        <v>Zona de nacimiento del rio Tormes</v>
      </c>
      <c r="U99" s="36" t="str">
        <f ca="1">IFERROR(__xludf.DUMMYFUNCTION("""COMPUTED_VALUE"""),"Si. Cocina, baños,comedor y cercado alrededor de la finca")</f>
        <v>Si. Cocina, baños,comedor y cercado alrededor de la finca</v>
      </c>
      <c r="V99" s="36" t="str">
        <f ca="1">IFERROR(__xludf.DUMMYFUNCTION("""COMPUTED_VALUE"""),"Si")</f>
        <v>Si</v>
      </c>
      <c r="W99" s="36" t="str">
        <f ca="1">IFERROR(__xludf.DUMMYFUNCTION("""COMPUTED_VALUE"""),"")</f>
        <v/>
      </c>
      <c r="X99" s="36"/>
      <c r="Y99" s="36"/>
      <c r="Z99" s="36"/>
    </row>
    <row r="100" spans="1:26" ht="12.75" hidden="1">
      <c r="A100" s="36" t="str">
        <f ca="1">IFERROR(__xludf.DUMMYFUNCTION("""COMPUTED_VALUE"""),"Castilla y León")</f>
        <v>Castilla y León</v>
      </c>
      <c r="B100" s="36" t="str">
        <f ca="1">IFERROR(__xludf.DUMMYFUNCTION("""COMPUTED_VALUE"""),"Ávila")</f>
        <v>Ávila</v>
      </c>
      <c r="C100" s="36">
        <f ca="1">IFERROR(__xludf.DUMMYFUNCTION("""COMPUTED_VALUE"""),2019)</f>
        <v>2019</v>
      </c>
      <c r="D100" s="36" t="str">
        <f ca="1">IFERROR(__xludf.DUMMYFUNCTION("""COMPUTED_VALUE"""),"San Gabriel")</f>
        <v>San Gabriel</v>
      </c>
      <c r="E100" s="36" t="str">
        <f ca="1">IFERROR(__xludf.DUMMYFUNCTION("""COMPUTED_VALUE"""),"gs.sangabriel@scoutsdemadrid.org ")</f>
        <v xml:space="preserve">gs.sangabriel@scoutsdemadrid.org </v>
      </c>
      <c r="F100" s="36">
        <f ca="1">IFERROR(__xludf.DUMMYFUNCTION("""COMPUTED_VALUE"""),43666)</f>
        <v>43666</v>
      </c>
      <c r="G100" s="36">
        <f ca="1">IFERROR(__xludf.DUMMYFUNCTION("""COMPUTED_VALUE"""),43676)</f>
        <v>43676</v>
      </c>
      <c r="H100" s="36" t="str">
        <f ca="1">IFERROR(__xludf.DUMMYFUNCTION("""COMPUTED_VALUE"""),"Bohoyo")</f>
        <v>Bohoyo</v>
      </c>
      <c r="I100" s="36" t="str">
        <f ca="1">IFERROR(__xludf.DUMMYFUNCTION("""COMPUTED_VALUE"""),"Las piezas de GREDOS")</f>
        <v>Las piezas de GREDOS</v>
      </c>
      <c r="J100" s="36" t="str">
        <f ca="1">IFERROR(__xludf.DUMMYFUNCTION("""COMPUTED_VALUE"""),"05037A005110000BT")</f>
        <v>05037A005110000BT</v>
      </c>
      <c r="K100" s="36" t="str">
        <f ca="1">IFERROR(__xludf.DUMMYFUNCTION("""COMPUTED_VALUE"""),"LATITUD: 40º18´50,87´´ LONGITUD: 5º25´55,98´´")</f>
        <v>LATITUD: 40º18´50,87´´ LONGITUD: 5º25´55,98´´</v>
      </c>
      <c r="L100" s="36" t="str">
        <f ca="1">IFERROR(__xludf.DUMMYFUNCTION("""COMPUTED_VALUE"""),"ASOCIACIÓN LAS PIEZAS DE GREDOS")</f>
        <v>ASOCIACIÓN LAS PIEZAS DE GREDOS</v>
      </c>
      <c r="M100" s="36">
        <f ca="1">IFERROR(__xludf.DUMMYFUNCTION("""COMPUTED_VALUE"""),666688206)</f>
        <v>666688206</v>
      </c>
      <c r="N100" s="36" t="str">
        <f ca="1">IFERROR(__xludf.DUMMYFUNCTION("""COMPUTED_VALUE"""),"laspiezasdegredos@gmail.com")</f>
        <v>laspiezasdegredos@gmail.com</v>
      </c>
      <c r="O100" s="36" t="str">
        <f ca="1">IFERROR(__xludf.DUMMYFUNCTION("""COMPUTED_VALUE"""),"4€persona/dia")</f>
        <v>4€persona/dia</v>
      </c>
      <c r="P100" s="36" t="str">
        <f ca="1">IFERROR(__xludf.DUMMYFUNCTION("""COMPUTED_VALUE"""),"70 áreas")</f>
        <v>70 áreas</v>
      </c>
      <c r="Q100" s="36" t="str">
        <f ca="1">IFERROR(__xludf.DUMMYFUNCTION("""COMPUTED_VALUE"""),"BUENO (Se puede acceder con cualquier coche)")</f>
        <v>BUENO (Se puede acceder con cualquier coche)</v>
      </c>
      <c r="R100" s="36" t="str">
        <f ca="1">IFERROR(__xludf.DUMMYFUNCTION("""COMPUTED_VALUE"""),"Sí")</f>
        <v>Sí</v>
      </c>
      <c r="S100" s="36" t="str">
        <f ca="1">IFERROR(__xludf.DUMMYFUNCTION("""COMPUTED_VALUE"""),"200m")</f>
        <v>200m</v>
      </c>
      <c r="T100" s="36" t="str">
        <f ca="1">IFERROR(__xludf.DUMMYFUNCTION("""COMPUTED_VALUE"""),"garganta de bohoyo (río tormes)")</f>
        <v>garganta de bohoyo (río tormes)</v>
      </c>
      <c r="U100" s="36" t="str">
        <f ca="1">IFERROR(__xludf.DUMMYFUNCTION("""COMPUTED_VALUE"""),"baños, cocina, comedor")</f>
        <v>baños, cocina, comedor</v>
      </c>
      <c r="V100" s="36" t="str">
        <f ca="1">IFERROR(__xludf.DUMMYFUNCTION("""COMPUTED_VALUE"""),"Sí, en Barco de ÁVILA")</f>
        <v>Sí, en Barco de ÁVILA</v>
      </c>
      <c r="W100" s="36" t="str">
        <f ca="1">IFERROR(__xludf.DUMMYFUNCTION("""COMPUTED_VALUE"""),"Campa del grupo scout Calasanz de Salamanca. Buenas instalaciones y gestionado por una asociación con antiguos scouts.")</f>
        <v>Campa del grupo scout Calasanz de Salamanca. Buenas instalaciones y gestionado por una asociación con antiguos scouts.</v>
      </c>
      <c r="X100" s="36"/>
      <c r="Y100" s="36"/>
      <c r="Z100" s="36"/>
    </row>
    <row r="101" spans="1:26" ht="12.75" hidden="1">
      <c r="A101" s="36" t="str">
        <f ca="1">IFERROR(__xludf.DUMMYFUNCTION("""COMPUTED_VALUE"""),"Castilla y León")</f>
        <v>Castilla y León</v>
      </c>
      <c r="B101" s="36" t="str">
        <f ca="1">IFERROR(__xludf.DUMMYFUNCTION("""COMPUTED_VALUE"""),"Zamora")</f>
        <v>Zamora</v>
      </c>
      <c r="C101" s="36">
        <f ca="1">IFERROR(__xludf.DUMMYFUNCTION("""COMPUTED_VALUE"""),2016)</f>
        <v>2016</v>
      </c>
      <c r="D101" s="36" t="str">
        <f ca="1">IFERROR(__xludf.DUMMYFUNCTION("""COMPUTED_VALUE"""),"San Jorge")</f>
        <v>San Jorge</v>
      </c>
      <c r="E101" s="36" t="str">
        <f ca="1">IFERROR(__xludf.DUMMYFUNCTION("""COMPUTED_VALUE"""),"gs.sanjorge@scoutsdemadrid.org")</f>
        <v>gs.sanjorge@scoutsdemadrid.org</v>
      </c>
      <c r="F101" s="48">
        <f ca="1">IFERROR(__xludf.DUMMYFUNCTION("""COMPUTED_VALUE"""),42566)</f>
        <v>42566</v>
      </c>
      <c r="G101" s="48">
        <f ca="1">IFERROR(__xludf.DUMMYFUNCTION("""COMPUTED_VALUE"""),42581)</f>
        <v>42581</v>
      </c>
      <c r="H101" s="36" t="str">
        <f ca="1">IFERROR(__xludf.DUMMYFUNCTION("""COMPUTED_VALUE"""),"Manzanal De Arriba")</f>
        <v>Manzanal De Arriba</v>
      </c>
      <c r="I101" s="36" t="str">
        <f ca="1">IFERROR(__xludf.DUMMYFUNCTION("""COMPUTED_VALUE"""),"Manzanal De Arriba")</f>
        <v>Manzanal De Arriba</v>
      </c>
      <c r="J101" s="36" t="str">
        <f ca="1">IFERROR(__xludf.DUMMYFUNCTION("""COMPUTED_VALUE"""),"")</f>
        <v/>
      </c>
      <c r="K101" s="36" t="str">
        <f ca="1">IFERROR(__xludf.DUMMYFUNCTION("""COMPUTED_VALUE"""),"")</f>
        <v/>
      </c>
      <c r="L101" s="36" t="str">
        <f ca="1">IFERROR(__xludf.DUMMYFUNCTION("""COMPUTED_VALUE"""),"Ayuntamiento de Manzanal de Arriba")</f>
        <v>Ayuntamiento de Manzanal de Arriba</v>
      </c>
      <c r="M101" s="36" t="str">
        <f ca="1">IFERROR(__xludf.DUMMYFUNCTION("""COMPUTED_VALUE"""),"")</f>
        <v/>
      </c>
      <c r="N101" s="36" t="str">
        <f ca="1">IFERROR(__xludf.DUMMYFUNCTION("""COMPUTED_VALUE"""),"")</f>
        <v/>
      </c>
      <c r="O101" s="36" t="str">
        <f ca="1">IFERROR(__xludf.DUMMYFUNCTION("""COMPUTED_VALUE"""),"")</f>
        <v/>
      </c>
      <c r="P101" s="36" t="str">
        <f ca="1">IFERROR(__xludf.DUMMYFUNCTION("""COMPUTED_VALUE"""),"")</f>
        <v/>
      </c>
      <c r="Q101" s="36" t="str">
        <f ca="1">IFERROR(__xludf.DUMMYFUNCTION("""COMPUTED_VALUE"""),"BUENO (Se puede acceder con cualquier coche)")</f>
        <v>BUENO (Se puede acceder con cualquier coche)</v>
      </c>
      <c r="R101" s="36" t="str">
        <f ca="1">IFERROR(__xludf.DUMMYFUNCTION("""COMPUTED_VALUE"""),"Sí")</f>
        <v>Sí</v>
      </c>
      <c r="S101" s="36" t="str">
        <f ca="1">IFERROR(__xludf.DUMMYFUNCTION("""COMPUTED_VALUE"""),"100 metros")</f>
        <v>100 metros</v>
      </c>
      <c r="T101" s="36" t="str">
        <f ca="1">IFERROR(__xludf.DUMMYFUNCTION("""COMPUTED_VALUE"""),"es un embalse con bastante seguridad en el acceso")</f>
        <v>es un embalse con bastante seguridad en el acceso</v>
      </c>
      <c r="U101" s="36" t="str">
        <f ca="1">IFERROR(__xludf.DUMMYFUNCTION("""COMPUTED_VALUE"""),"no")</f>
        <v>no</v>
      </c>
      <c r="V101" s="36" t="str">
        <f ca="1">IFERROR(__xludf.DUMMYFUNCTION("""COMPUTED_VALUE"""),"sí")</f>
        <v>sí</v>
      </c>
      <c r="W101" s="36" t="str">
        <f ca="1">IFERROR(__xludf.DUMMYFUNCTION("""COMPUTED_VALUE"""),"")</f>
        <v/>
      </c>
      <c r="X101" s="36"/>
      <c r="Y101" s="36"/>
      <c r="Z101" s="36"/>
    </row>
    <row r="102" spans="1:26" ht="12.75" hidden="1">
      <c r="A102" s="36" t="str">
        <f ca="1">IFERROR(__xludf.DUMMYFUNCTION("""COMPUTED_VALUE"""),"Castilla y León")</f>
        <v>Castilla y León</v>
      </c>
      <c r="B102" s="36" t="str">
        <f ca="1">IFERROR(__xludf.DUMMYFUNCTION("""COMPUTED_VALUE"""),"Zamora")</f>
        <v>Zamora</v>
      </c>
      <c r="C102" s="36">
        <f ca="1">IFERROR(__xludf.DUMMYFUNCTION("""COMPUTED_VALUE"""),2016)</f>
        <v>2016</v>
      </c>
      <c r="D102" s="36" t="str">
        <f ca="1">IFERROR(__xludf.DUMMYFUNCTION("""COMPUTED_VALUE"""),"San Jorge")</f>
        <v>San Jorge</v>
      </c>
      <c r="E102" s="36" t="str">
        <f ca="1">IFERROR(__xludf.DUMMYFUNCTION("""COMPUTED_VALUE"""),"gs.sanjorge@scoutsdemadrid.org")</f>
        <v>gs.sanjorge@scoutsdemadrid.org</v>
      </c>
      <c r="F102" s="48">
        <f ca="1">IFERROR(__xludf.DUMMYFUNCTION("""COMPUTED_VALUE"""),42566)</f>
        <v>42566</v>
      </c>
      <c r="G102" s="48">
        <f ca="1">IFERROR(__xludf.DUMMYFUNCTION("""COMPUTED_VALUE"""),42581)</f>
        <v>42581</v>
      </c>
      <c r="H102" s="36" t="str">
        <f ca="1">IFERROR(__xludf.DUMMYFUNCTION("""COMPUTED_VALUE"""),"Manzanal De Arriba")</f>
        <v>Manzanal De Arriba</v>
      </c>
      <c r="I102" s="36" t="str">
        <f ca="1">IFERROR(__xludf.DUMMYFUNCTION("""COMPUTED_VALUE"""),"La Ñalsa")</f>
        <v>La Ñalsa</v>
      </c>
      <c r="J102" s="36" t="str">
        <f ca="1">IFERROR(__xludf.DUMMYFUNCTION("""COMPUTED_VALUE"""),"41, 9793232-6, 3678770")</f>
        <v>41, 9793232-6, 3678770</v>
      </c>
      <c r="K102" s="36" t="str">
        <f ca="1">IFERROR(__xludf.DUMMYFUNCTION("""COMPUTED_VALUE"""),"")</f>
        <v/>
      </c>
      <c r="L102" s="36" t="str">
        <f ca="1">IFERROR(__xludf.DUMMYFUNCTION("""COMPUTED_VALUE"""),"Ayuntamiento de Manzanal de Arriba")</f>
        <v>Ayuntamiento de Manzanal de Arriba</v>
      </c>
      <c r="M102" s="36">
        <f ca="1">IFERROR(__xludf.DUMMYFUNCTION("""COMPUTED_VALUE"""),660166209)</f>
        <v>660166209</v>
      </c>
      <c r="N102" s="36" t="str">
        <f ca="1">IFERROR(__xludf.DUMMYFUNCTION("""COMPUTED_VALUE"""),"Abel Lorenzo Sotelo")</f>
        <v>Abel Lorenzo Sotelo</v>
      </c>
      <c r="O102" s="36" t="str">
        <f ca="1">IFERROR(__xludf.DUMMYFUNCTION("""COMPUTED_VALUE"""),"")</f>
        <v/>
      </c>
      <c r="P102" s="36" t="str">
        <f ca="1">IFERROR(__xludf.DUMMYFUNCTION("""COMPUTED_VALUE"""),"1 hectárea y media aproximadamente")</f>
        <v>1 hectárea y media aproximadamente</v>
      </c>
      <c r="Q102" s="36" t="str">
        <f ca="1">IFERROR(__xludf.DUMMYFUNCTION("""COMPUTED_VALUE"""),"BUENO (Se puede acceder con cualquier coche)")</f>
        <v>BUENO (Se puede acceder con cualquier coche)</v>
      </c>
      <c r="R102" s="36" t="str">
        <f ca="1">IFERROR(__xludf.DUMMYFUNCTION("""COMPUTED_VALUE"""),"Sí")</f>
        <v>Sí</v>
      </c>
      <c r="S102" s="36" t="str">
        <f ca="1">IFERROR(__xludf.DUMMYFUNCTION("""COMPUTED_VALUE"""),"100 metros")</f>
        <v>100 metros</v>
      </c>
      <c r="T102" s="36" t="str">
        <f ca="1">IFERROR(__xludf.DUMMYFUNCTION("""COMPUTED_VALUE"""),"es un embalse con bastante seguridad en el acceso")</f>
        <v>es un embalse con bastante seguridad en el acceso</v>
      </c>
      <c r="U102" s="36" t="str">
        <f ca="1">IFERROR(__xludf.DUMMYFUNCTION("""COMPUTED_VALUE"""),"no")</f>
        <v>no</v>
      </c>
      <c r="V102" s="36" t="str">
        <f ca="1">IFERROR(__xludf.DUMMYFUNCTION("""COMPUTED_VALUE"""),"sí")</f>
        <v>sí</v>
      </c>
      <c r="W102" s="36" t="str">
        <f ca="1">IFERROR(__xludf.DUMMYFUNCTION("""COMPUTED_VALUE"""),"")</f>
        <v/>
      </c>
      <c r="X102" s="36"/>
      <c r="Y102" s="36"/>
      <c r="Z102" s="36"/>
    </row>
    <row r="103" spans="1:26" ht="12.75" hidden="1">
      <c r="A103" s="36" t="str">
        <f ca="1">IFERROR(__xludf.DUMMYFUNCTION("""COMPUTED_VALUE"""),"Castilla y León")</f>
        <v>Castilla y León</v>
      </c>
      <c r="B103" s="36" t="str">
        <f ca="1">IFERROR(__xludf.DUMMYFUNCTION("""COMPUTED_VALUE"""),"Ávila")</f>
        <v>Ávila</v>
      </c>
      <c r="C103" s="36">
        <f ca="1">IFERROR(__xludf.DUMMYFUNCTION("""COMPUTED_VALUE"""),2018)</f>
        <v>2018</v>
      </c>
      <c r="D103" s="36" t="str">
        <f ca="1">IFERROR(__xludf.DUMMYFUNCTION("""COMPUTED_VALUE"""),"San Jorge")</f>
        <v>San Jorge</v>
      </c>
      <c r="E103" s="36" t="str">
        <f ca="1">IFERROR(__xludf.DUMMYFUNCTION("""COMPUTED_VALUE"""),"gs.sanjorge@scoutsdemadrid.org")</f>
        <v>gs.sanjorge@scoutsdemadrid.org</v>
      </c>
      <c r="F103" s="48">
        <f ca="1">IFERROR(__xludf.DUMMYFUNCTION("""COMPUTED_VALUE"""),43295)</f>
        <v>43295</v>
      </c>
      <c r="G103" s="48">
        <f ca="1">IFERROR(__xludf.DUMMYFUNCTION("""COMPUTED_VALUE"""),43309)</f>
        <v>43309</v>
      </c>
      <c r="H103" s="36" t="str">
        <f ca="1">IFERROR(__xludf.DUMMYFUNCTION("""COMPUTED_VALUE"""),"Gavilanes")</f>
        <v>Gavilanes</v>
      </c>
      <c r="I103" s="36" t="str">
        <f ca="1">IFERROR(__xludf.DUMMYFUNCTION("""COMPUTED_VALUE"""),"La Riviera")</f>
        <v>La Riviera</v>
      </c>
      <c r="J103" s="36" t="str">
        <f ca="1">IFERROR(__xludf.DUMMYFUNCTION("""COMPUTED_VALUE"""),"No se")</f>
        <v>No se</v>
      </c>
      <c r="K103" s="36" t="str">
        <f ca="1">IFERROR(__xludf.DUMMYFUNCTION("""COMPUTED_VALUE"""),"N: 40º 14' 13.758'' ' O: 4º 50' 21.12''")</f>
        <v>N: 40º 14' 13.758'' ' O: 4º 50' 21.12''</v>
      </c>
      <c r="L103" s="36" t="str">
        <f ca="1">IFERROR(__xludf.DUMMYFUNCTION("""COMPUTED_VALUE"""),"JESUS FERNANDEZ VARA,")</f>
        <v>JESUS FERNANDEZ VARA,</v>
      </c>
      <c r="M103" s="36">
        <f ca="1">IFERROR(__xludf.DUMMYFUNCTION("""COMPUTED_VALUE"""),647711306)</f>
        <v>647711306</v>
      </c>
      <c r="N103" s="36" t="str">
        <f ca="1">IFERROR(__xludf.DUMMYFUNCTION("""COMPUTED_VALUE"""),"jramon@informaticasil.com")</f>
        <v>jramon@informaticasil.com</v>
      </c>
      <c r="O103" s="36" t="str">
        <f ca="1">IFERROR(__xludf.DUMMYFUNCTION("""COMPUTED_VALUE"""),"800 + 10%")</f>
        <v>800 + 10%</v>
      </c>
      <c r="P103" s="36" t="str">
        <f ca="1">IFERROR(__xludf.DUMMYFUNCTION("""COMPUTED_VALUE"""),"grande")</f>
        <v>grande</v>
      </c>
      <c r="Q103" s="36" t="str">
        <f ca="1">IFERROR(__xludf.DUMMYFUNCTION("""COMPUTED_VALUE"""),"BUENO (Se puede acceder con cualquier coche)")</f>
        <v>BUENO (Se puede acceder con cualquier coche)</v>
      </c>
      <c r="R103" s="36" t="str">
        <f ca="1">IFERROR(__xludf.DUMMYFUNCTION("""COMPUTED_VALUE"""),"Sí")</f>
        <v>Sí</v>
      </c>
      <c r="S103" s="36">
        <f ca="1">IFERROR(__xludf.DUMMYFUNCTION("""COMPUTED_VALUE"""),500)</f>
        <v>500</v>
      </c>
      <c r="T103" s="36" t="str">
        <f ca="1">IFERROR(__xludf.DUMMYFUNCTION("""COMPUTED_VALUE"""),"rio")</f>
        <v>rio</v>
      </c>
      <c r="U103" s="36" t="str">
        <f ca="1">IFERROR(__xludf.DUMMYFUNCTION("""COMPUTED_VALUE"""),"no")</f>
        <v>no</v>
      </c>
      <c r="V103" s="36" t="str">
        <f ca="1">IFERROR(__xludf.DUMMYFUNCTION("""COMPUTED_VALUE"""),"si")</f>
        <v>si</v>
      </c>
      <c r="W103" s="36" t="str">
        <f ca="1">IFERROR(__xludf.DUMMYFUNCTION("""COMPUTED_VALUE"""),"bueno")</f>
        <v>bueno</v>
      </c>
      <c r="X103" s="36"/>
      <c r="Y103" s="36"/>
      <c r="Z103" s="36"/>
    </row>
    <row r="104" spans="1:26" ht="12.75" hidden="1">
      <c r="A104" s="36" t="str">
        <f ca="1">IFERROR(__xludf.DUMMYFUNCTION("""COMPUTED_VALUE"""),"Castilla y León")</f>
        <v>Castilla y León</v>
      </c>
      <c r="B104" s="36" t="str">
        <f ca="1">IFERROR(__xludf.DUMMYFUNCTION("""COMPUTED_VALUE"""),"Palencia")</f>
        <v>Palencia</v>
      </c>
      <c r="C104" s="36">
        <f ca="1">IFERROR(__xludf.DUMMYFUNCTION("""COMPUTED_VALUE"""),2017)</f>
        <v>2017</v>
      </c>
      <c r="D104" s="36" t="str">
        <f ca="1">IFERROR(__xludf.DUMMYFUNCTION("""COMPUTED_VALUE"""),"San Pablo")</f>
        <v>San Pablo</v>
      </c>
      <c r="E104" s="36" t="str">
        <f ca="1">IFERROR(__xludf.DUMMYFUNCTION("""COMPUTED_VALUE"""),"gs.sanpablo@scoutsdemadrid.org ")</f>
        <v xml:space="preserve">gs.sanpablo@scoutsdemadrid.org </v>
      </c>
      <c r="F104" s="48">
        <f ca="1">IFERROR(__xludf.DUMMYFUNCTION("""COMPUTED_VALUE"""),42931)</f>
        <v>42931</v>
      </c>
      <c r="G104" s="48">
        <f ca="1">IFERROR(__xludf.DUMMYFUNCTION("""COMPUTED_VALUE"""),42946)</f>
        <v>42946</v>
      </c>
      <c r="H104" s="36" t="str">
        <f ca="1">IFERROR(__xludf.DUMMYFUNCTION("""COMPUTED_VALUE"""),"Ruesga")</f>
        <v>Ruesga</v>
      </c>
      <c r="I104" s="36" t="str">
        <f ca="1">IFERROR(__xludf.DUMMYFUNCTION("""COMPUTED_VALUE"""),"La Valleja")</f>
        <v>La Valleja</v>
      </c>
      <c r="J104" s="36" t="str">
        <f ca="1">IFERROR(__xludf.DUMMYFUNCTION("""COMPUTED_VALUE"""),"")</f>
        <v/>
      </c>
      <c r="K104" s="36" t="str">
        <f ca="1">IFERROR(__xludf.DUMMYFUNCTION("""COMPUTED_VALUE"""),"42°51'50.8""N 4°32'20.0""W")</f>
        <v>42°51'50.8"N 4°32'20.0"W</v>
      </c>
      <c r="L104" s="36" t="str">
        <f ca="1">IFERROR(__xludf.DUMMYFUNCTION("""COMPUTED_VALUE"""),"Ángel Simal")</f>
        <v>Ángel Simal</v>
      </c>
      <c r="M104" s="36" t="str">
        <f ca="1">IFERROR(__xludf.DUMMYFUNCTION("""COMPUTED_VALUE"""),"")</f>
        <v/>
      </c>
      <c r="N104" s="36" t="str">
        <f ca="1">IFERROR(__xludf.DUMMYFUNCTION("""COMPUTED_VALUE"""),"")</f>
        <v/>
      </c>
      <c r="O104" s="36" t="str">
        <f ca="1">IFERROR(__xludf.DUMMYFUNCTION("""COMPUTED_VALUE"""),"")</f>
        <v/>
      </c>
      <c r="P104" s="36" t="str">
        <f ca="1">IFERROR(__xludf.DUMMYFUNCTION("""COMPUTED_VALUE"""),"")</f>
        <v/>
      </c>
      <c r="Q104" s="36" t="str">
        <f ca="1">IFERROR(__xludf.DUMMYFUNCTION("""COMPUTED_VALUE"""),"REGULAR (Se puede acceder con un coche normal con dificultad)")</f>
        <v>REGULAR (Se puede acceder con un coche normal con dificultad)</v>
      </c>
      <c r="R104" s="36" t="str">
        <f ca="1">IFERROR(__xludf.DUMMYFUNCTION("""COMPUTED_VALUE"""),"Sí")</f>
        <v>Sí</v>
      </c>
      <c r="S104" s="36" t="str">
        <f ca="1">IFERROR(__xludf.DUMMYFUNCTION("""COMPUTED_VALUE"""),"100m")</f>
        <v>100m</v>
      </c>
      <c r="T104" s="36" t="str">
        <f ca="1">IFERROR(__xludf.DUMMYFUNCTION("""COMPUTED_VALUE"""),"Embalse de Ruesga")</f>
        <v>Embalse de Ruesga</v>
      </c>
      <c r="U104" s="36" t="str">
        <f ca="1">IFERROR(__xludf.DUMMYFUNCTION("""COMPUTED_VALUE"""),"")</f>
        <v/>
      </c>
      <c r="V104" s="36" t="str">
        <f ca="1">IFERROR(__xludf.DUMMYFUNCTION("""COMPUTED_VALUE"""),"")</f>
        <v/>
      </c>
      <c r="W104" s="36" t="str">
        <f ca="1">IFERROR(__xludf.DUMMYFUNCTION("""COMPUTED_VALUE"""),"")</f>
        <v/>
      </c>
      <c r="X104" s="36"/>
      <c r="Y104" s="36"/>
      <c r="Z104" s="36"/>
    </row>
    <row r="105" spans="1:26" ht="12.75" hidden="1">
      <c r="A105" s="36" t="str">
        <f ca="1">IFERROR(__xludf.DUMMYFUNCTION("""COMPUTED_VALUE"""),"Castilla y León")</f>
        <v>Castilla y León</v>
      </c>
      <c r="B105" s="36" t="str">
        <f ca="1">IFERROR(__xludf.DUMMYFUNCTION("""COMPUTED_VALUE"""),"León")</f>
        <v>León</v>
      </c>
      <c r="C105" s="36">
        <f ca="1">IFERROR(__xludf.DUMMYFUNCTION("""COMPUTED_VALUE"""),2019)</f>
        <v>2019</v>
      </c>
      <c r="D105" s="36" t="str">
        <f ca="1">IFERROR(__xludf.DUMMYFUNCTION("""COMPUTED_VALUE"""),"San Pablo")</f>
        <v>San Pablo</v>
      </c>
      <c r="E105" s="36" t="str">
        <f ca="1">IFERROR(__xludf.DUMMYFUNCTION("""COMPUTED_VALUE"""),"gs.sanpablo@scoutsdemadrid.org ")</f>
        <v xml:space="preserve">gs.sanpablo@scoutsdemadrid.org </v>
      </c>
      <c r="F105" s="36">
        <f ca="1">IFERROR(__xludf.DUMMYFUNCTION("""COMPUTED_VALUE"""),43662)</f>
        <v>43662</v>
      </c>
      <c r="G105" s="36">
        <f ca="1">IFERROR(__xludf.DUMMYFUNCTION("""COMPUTED_VALUE"""),43677)</f>
        <v>43677</v>
      </c>
      <c r="H105" s="36" t="str">
        <f ca="1">IFERROR(__xludf.DUMMYFUNCTION("""COMPUTED_VALUE"""),"La Cueta")</f>
        <v>La Cueta</v>
      </c>
      <c r="I105" s="36" t="str">
        <f ca="1">IFERROR(__xludf.DUMMYFUNCTION("""COMPUTED_VALUE"""),"Trescueñas")</f>
        <v>Trescueñas</v>
      </c>
      <c r="J105" s="36" t="str">
        <f ca="1">IFERROR(__xludf.DUMMYFUNCTION("""COMPUTED_VALUE"""),"24030A023002260000EY")</f>
        <v>24030A023002260000EY</v>
      </c>
      <c r="K105" s="36" t="str">
        <f ca="1">IFERROR(__xludf.DUMMYFUNCTION("""COMPUTED_VALUE"""),"42°59'10.9""N 6°12'27.1""W")</f>
        <v>42°59'10.9"N 6°12'27.1"W</v>
      </c>
      <c r="L105" s="36" t="str">
        <f ca="1">IFERROR(__xludf.DUMMYFUNCTION("""COMPUTED_VALUE"""),"Rufino Blanco")</f>
        <v>Rufino Blanco</v>
      </c>
      <c r="M105" s="36">
        <f ca="1">IFERROR(__xludf.DUMMYFUNCTION("""COMPUTED_VALUE"""),987488364)</f>
        <v>987488364</v>
      </c>
      <c r="N105" s="36" t="str">
        <f ca="1">IFERROR(__xludf.DUMMYFUNCTION("""COMPUTED_VALUE"""),"No tiene")</f>
        <v>No tiene</v>
      </c>
      <c r="O105" s="36">
        <f ca="1">IFERROR(__xludf.DUMMYFUNCTION("""COMPUTED_VALUE"""),600)</f>
        <v>600</v>
      </c>
      <c r="P105" s="36" t="str">
        <f ca="1">IFERROR(__xludf.DUMMYFUNCTION("""COMPUTED_VALUE"""),"1,12 ha")</f>
        <v>1,12 ha</v>
      </c>
      <c r="Q105" s="36" t="str">
        <f ca="1">IFERROR(__xludf.DUMMYFUNCTION("""COMPUTED_VALUE"""),"REGULAR (Se puede acceder con un coche normal con dificultad)")</f>
        <v>REGULAR (Se puede acceder con un coche normal con dificultad)</v>
      </c>
      <c r="R105" s="36" t="str">
        <f ca="1">IFERROR(__xludf.DUMMYFUNCTION("""COMPUTED_VALUE"""),"Sí")</f>
        <v>Sí</v>
      </c>
      <c r="S105" s="36" t="str">
        <f ca="1">IFERROR(__xludf.DUMMYFUNCTION("""COMPUTED_VALUE"""),"No hay")</f>
        <v>No hay</v>
      </c>
      <c r="T105" s="36" t="str">
        <f ca="1">IFERROR(__xludf.DUMMYFUNCTION("""COMPUTED_VALUE"""),"No hay")</f>
        <v>No hay</v>
      </c>
      <c r="U105" s="36" t="str">
        <f ca="1">IFERROR(__xludf.DUMMYFUNCTION("""COMPUTED_VALUE"""),"No")</f>
        <v>No</v>
      </c>
      <c r="V105" s="36" t="str">
        <f ca="1">IFERROR(__xludf.DUMMYFUNCTION("""COMPUTED_VALUE"""),"No lo sabemos")</f>
        <v>No lo sabemos</v>
      </c>
      <c r="W105" s="36" t="str">
        <f ca="1">IFERROR(__xludf.DUMMYFUNCTION("""COMPUTED_VALUE"""),"No sabemos si el dueño está de acuerdo en compartir sus datos de contacto. La campa no tiene zona de baño, está cerca del río Sil pero no cubre mucho en esa zona. No hay mucha sombra en la zona, en la campa hay algunos árboles")</f>
        <v>No sabemos si el dueño está de acuerdo en compartir sus datos de contacto. La campa no tiene zona de baño, está cerca del río Sil pero no cubre mucho en esa zona. No hay mucha sombra en la zona, en la campa hay algunos árboles</v>
      </c>
      <c r="X105" s="36"/>
      <c r="Y105" s="36"/>
      <c r="Z105" s="36"/>
    </row>
    <row r="106" spans="1:26" ht="12.75" hidden="1">
      <c r="A106" s="36" t="str">
        <f ca="1">IFERROR(__xludf.DUMMYFUNCTION("""COMPUTED_VALUE"""),"Castilla y León")</f>
        <v>Castilla y León</v>
      </c>
      <c r="B106" s="36" t="str">
        <f ca="1">IFERROR(__xludf.DUMMYFUNCTION("""COMPUTED_VALUE"""),"Ávila")</f>
        <v>Ávila</v>
      </c>
      <c r="C106" s="36">
        <f ca="1">IFERROR(__xludf.DUMMYFUNCTION("""COMPUTED_VALUE"""),2016)</f>
        <v>2016</v>
      </c>
      <c r="D106" s="36" t="str">
        <f ca="1">IFERROR(__xludf.DUMMYFUNCTION("""COMPUTED_VALUE"""),"San Pedro")</f>
        <v>San Pedro</v>
      </c>
      <c r="E106" s="36" t="str">
        <f ca="1">IFERROR(__xludf.DUMMYFUNCTION("""COMPUTED_VALUE"""),"")</f>
        <v/>
      </c>
      <c r="F106" s="48">
        <f ca="1">IFERROR(__xludf.DUMMYFUNCTION("""COMPUTED_VALUE"""),42569)</f>
        <v>42569</v>
      </c>
      <c r="G106" s="48">
        <f ca="1">IFERROR(__xludf.DUMMYFUNCTION("""COMPUTED_VALUE"""),42582)</f>
        <v>42582</v>
      </c>
      <c r="H106" s="36" t="str">
        <f ca="1">IFERROR(__xludf.DUMMYFUNCTION("""COMPUTED_VALUE"""),"Mombeltran ")</f>
        <v xml:space="preserve">Mombeltran </v>
      </c>
      <c r="I106" s="36" t="str">
        <f ca="1">IFERROR(__xludf.DUMMYFUNCTION("""COMPUTED_VALUE"""),"campamento los sauces ")</f>
        <v xml:space="preserve">campamento los sauces </v>
      </c>
      <c r="J106" s="36" t="str">
        <f ca="1">IFERROR(__xludf.DUMMYFUNCTION("""COMPUTED_VALUE"""),"")</f>
        <v/>
      </c>
      <c r="K106" s="36" t="str">
        <f ca="1">IFERROR(__xludf.DUMMYFUNCTION("""COMPUTED_VALUE"""),"")</f>
        <v/>
      </c>
      <c r="L106" s="36" t="str">
        <f ca="1">IFERROR(__xludf.DUMMYFUNCTION("""COMPUTED_VALUE"""),"juan carlos gomez sanchez ")</f>
        <v xml:space="preserve">juan carlos gomez sanchez </v>
      </c>
      <c r="M106" s="36" t="str">
        <f ca="1">IFERROR(__xludf.DUMMYFUNCTION("""COMPUTED_VALUE"""),"")</f>
        <v/>
      </c>
      <c r="N106" s="36" t="str">
        <f ca="1">IFERROR(__xludf.DUMMYFUNCTION("""COMPUTED_VALUE""")," mariapidal@act-educo.com")</f>
        <v xml:space="preserve"> mariapidal@act-educo.com</v>
      </c>
      <c r="O106" s="36" t="str">
        <f ca="1">IFERROR(__xludf.DUMMYFUNCTION("""COMPUTED_VALUE"""),"")</f>
        <v/>
      </c>
      <c r="P106" s="36" t="str">
        <f ca="1">IFERROR(__xludf.DUMMYFUNCTION("""COMPUTED_VALUE"""),"")</f>
        <v/>
      </c>
      <c r="Q106" s="36" t="str">
        <f ca="1">IFERROR(__xludf.DUMMYFUNCTION("""COMPUTED_VALUE"""),"BUENO (Se puede acceder con cualquier coche)")</f>
        <v>BUENO (Se puede acceder con cualquier coche)</v>
      </c>
      <c r="R106" s="36" t="str">
        <f ca="1">IFERROR(__xludf.DUMMYFUNCTION("""COMPUTED_VALUE"""),"Sí")</f>
        <v>Sí</v>
      </c>
      <c r="S106" s="36" t="str">
        <f ca="1">IFERROR(__xludf.DUMMYFUNCTION("""COMPUTED_VALUE"""),"")</f>
        <v/>
      </c>
      <c r="T106" s="36" t="str">
        <f ca="1">IFERROR(__xludf.DUMMYFUNCTION("""COMPUTED_VALUE"""),"")</f>
        <v/>
      </c>
      <c r="U106" s="36" t="str">
        <f ca="1">IFERROR(__xludf.DUMMYFUNCTION("""COMPUTED_VALUE"""),"")</f>
        <v/>
      </c>
      <c r="V106" s="36" t="str">
        <f ca="1">IFERROR(__xludf.DUMMYFUNCTION("""COMPUTED_VALUE"""),"")</f>
        <v/>
      </c>
      <c r="W106" s="36" t="str">
        <f ca="1">IFERROR(__xludf.DUMMYFUNCTION("""COMPUTED_VALUE"""),"")</f>
        <v/>
      </c>
      <c r="X106" s="36"/>
      <c r="Y106" s="36"/>
      <c r="Z106" s="36"/>
    </row>
    <row r="107" spans="1:26" ht="12.75" hidden="1">
      <c r="A107" s="36" t="str">
        <f ca="1">IFERROR(__xludf.DUMMYFUNCTION("""COMPUTED_VALUE"""),"Castilla y León")</f>
        <v>Castilla y León</v>
      </c>
      <c r="B107" s="36" t="str">
        <f ca="1">IFERROR(__xludf.DUMMYFUNCTION("""COMPUTED_VALUE"""),"Ávila")</f>
        <v>Ávila</v>
      </c>
      <c r="C107" s="36">
        <f ca="1">IFERROR(__xludf.DUMMYFUNCTION("""COMPUTED_VALUE"""),2016)</f>
        <v>2016</v>
      </c>
      <c r="D107" s="36" t="str">
        <f ca="1">IFERROR(__xludf.DUMMYFUNCTION("""COMPUTED_VALUE"""),"San Pedro")</f>
        <v>San Pedro</v>
      </c>
      <c r="E107" s="36" t="str">
        <f ca="1">IFERROR(__xludf.DUMMYFUNCTION("""COMPUTED_VALUE"""),"")</f>
        <v/>
      </c>
      <c r="F107" s="48">
        <f ca="1">IFERROR(__xludf.DUMMYFUNCTION("""COMPUTED_VALUE"""),42569)</f>
        <v>42569</v>
      </c>
      <c r="G107" s="48">
        <f ca="1">IFERROR(__xludf.DUMMYFUNCTION("""COMPUTED_VALUE"""),42582)</f>
        <v>42582</v>
      </c>
      <c r="H107" s="36" t="str">
        <f ca="1">IFERROR(__xludf.DUMMYFUNCTION("""COMPUTED_VALUE"""),"Mombeltran ")</f>
        <v xml:space="preserve">Mombeltran </v>
      </c>
      <c r="I107" s="36" t="str">
        <f ca="1">IFERROR(__xludf.DUMMYFUNCTION("""COMPUTED_VALUE"""),"campamento los sauces ")</f>
        <v xml:space="preserve">campamento los sauces </v>
      </c>
      <c r="J107" s="36" t="str">
        <f ca="1">IFERROR(__xludf.DUMMYFUNCTION("""COMPUTED_VALUE"""),"")</f>
        <v/>
      </c>
      <c r="K107" s="36" t="str">
        <f ca="1">IFERROR(__xludf.DUMMYFUNCTION("""COMPUTED_VALUE"""),"")</f>
        <v/>
      </c>
      <c r="L107" s="36" t="str">
        <f ca="1">IFERROR(__xludf.DUMMYFUNCTION("""COMPUTED_VALUE"""),"juan carlos gomez sanchez ")</f>
        <v xml:space="preserve">juan carlos gomez sanchez </v>
      </c>
      <c r="M107" s="36" t="str">
        <f ca="1">IFERROR(__xludf.DUMMYFUNCTION("""COMPUTED_VALUE"""),"")</f>
        <v/>
      </c>
      <c r="N107" s="36" t="str">
        <f ca="1">IFERROR(__xludf.DUMMYFUNCTION("""COMPUTED_VALUE""")," mariapidal@act-educo.com")</f>
        <v xml:space="preserve"> mariapidal@act-educo.com</v>
      </c>
      <c r="O107" s="36" t="str">
        <f ca="1">IFERROR(__xludf.DUMMYFUNCTION("""COMPUTED_VALUE"""),"")</f>
        <v/>
      </c>
      <c r="P107" s="36" t="str">
        <f ca="1">IFERROR(__xludf.DUMMYFUNCTION("""COMPUTED_VALUE"""),"")</f>
        <v/>
      </c>
      <c r="Q107" s="36" t="str">
        <f ca="1">IFERROR(__xludf.DUMMYFUNCTION("""COMPUTED_VALUE"""),"BUENO (Se puede acceder con cualquier coche)")</f>
        <v>BUENO (Se puede acceder con cualquier coche)</v>
      </c>
      <c r="R107" s="36" t="str">
        <f ca="1">IFERROR(__xludf.DUMMYFUNCTION("""COMPUTED_VALUE"""),"Sí")</f>
        <v>Sí</v>
      </c>
      <c r="S107" s="36" t="str">
        <f ca="1">IFERROR(__xludf.DUMMYFUNCTION("""COMPUTED_VALUE"""),"")</f>
        <v/>
      </c>
      <c r="T107" s="36" t="str">
        <f ca="1">IFERROR(__xludf.DUMMYFUNCTION("""COMPUTED_VALUE"""),"")</f>
        <v/>
      </c>
      <c r="U107" s="36" t="str">
        <f ca="1">IFERROR(__xludf.DUMMYFUNCTION("""COMPUTED_VALUE"""),"")</f>
        <v/>
      </c>
      <c r="V107" s="36" t="str">
        <f ca="1">IFERROR(__xludf.DUMMYFUNCTION("""COMPUTED_VALUE"""),"")</f>
        <v/>
      </c>
      <c r="W107" s="36" t="str">
        <f ca="1">IFERROR(__xludf.DUMMYFUNCTION("""COMPUTED_VALUE"""),"")</f>
        <v/>
      </c>
      <c r="X107" s="36"/>
      <c r="Y107" s="36"/>
      <c r="Z107" s="36"/>
    </row>
    <row r="108" spans="1:26" ht="12.75" hidden="1">
      <c r="A108" s="36" t="str">
        <f ca="1">IFERROR(__xludf.DUMMYFUNCTION("""COMPUTED_VALUE"""),"Castilla y León")</f>
        <v>Castilla y León</v>
      </c>
      <c r="B108" s="36" t="str">
        <f ca="1">IFERROR(__xludf.DUMMYFUNCTION("""COMPUTED_VALUE"""),"Ávila")</f>
        <v>Ávila</v>
      </c>
      <c r="C108" s="36">
        <f ca="1">IFERROR(__xludf.DUMMYFUNCTION("""COMPUTED_VALUE"""),2012)</f>
        <v>2012</v>
      </c>
      <c r="D108" s="36" t="str">
        <f ca="1">IFERROR(__xludf.DUMMYFUNCTION("""COMPUTED_VALUE"""),"San Viator")</f>
        <v>San Viator</v>
      </c>
      <c r="E108" s="36" t="str">
        <f ca="1">IFERROR(__xludf.DUMMYFUNCTION("""COMPUTED_VALUE"""),"")</f>
        <v/>
      </c>
      <c r="F108" s="48">
        <f ca="1">IFERROR(__xludf.DUMMYFUNCTION("""COMPUTED_VALUE"""),41091)</f>
        <v>41091</v>
      </c>
      <c r="G108" s="48">
        <f ca="1">IFERROR(__xludf.DUMMYFUNCTION("""COMPUTED_VALUE"""),41105)</f>
        <v>41105</v>
      </c>
      <c r="H108" s="36" t="str">
        <f ca="1">IFERROR(__xludf.DUMMYFUNCTION("""COMPUTED_VALUE"""),"Casavieja")</f>
        <v>Casavieja</v>
      </c>
      <c r="I108" s="36" t="str">
        <f ca="1">IFERROR(__xludf.DUMMYFUNCTION("""COMPUTED_VALUE""")," Pradera de los Orcos")</f>
        <v xml:space="preserve"> Pradera de los Orcos</v>
      </c>
      <c r="J108" s="36" t="str">
        <f ca="1">IFERROR(__xludf.DUMMYFUNCTION("""COMPUTED_VALUE"""),"")</f>
        <v/>
      </c>
      <c r="K108" s="49" t="str">
        <f ca="1">IFERROR(__xludf.DUMMYFUNCTION("""COMPUTED_VALUE"""),"https://maps.google.es/maps?q=pradera+de+los+orcos+casavieja&amp;ie=UTF-8&amp;hl=es")</f>
        <v>https://maps.google.es/maps?q=pradera+de+los+orcos+casavieja&amp;ie=UTF-8&amp;hl=es</v>
      </c>
      <c r="L108" s="36" t="str">
        <f ca="1">IFERROR(__xludf.DUMMYFUNCTION("""COMPUTED_VALUE"""),"")</f>
        <v/>
      </c>
      <c r="M108" s="36" t="str">
        <f ca="1">IFERROR(__xludf.DUMMYFUNCTION("""COMPUTED_VALUE"""),"")</f>
        <v/>
      </c>
      <c r="N108" s="36" t="str">
        <f ca="1">IFERROR(__xludf.DUMMYFUNCTION("""COMPUTED_VALUE"""),"")</f>
        <v/>
      </c>
      <c r="O108" s="36" t="str">
        <f ca="1">IFERROR(__xludf.DUMMYFUNCTION("""COMPUTED_VALUE"""),"")</f>
        <v/>
      </c>
      <c r="P108" s="36" t="str">
        <f ca="1">IFERROR(__xludf.DUMMYFUNCTION("""COMPUTED_VALUE"""),"")</f>
        <v/>
      </c>
      <c r="Q108" s="36" t="str">
        <f ca="1">IFERROR(__xludf.DUMMYFUNCTION("""COMPUTED_VALUE"""),"")</f>
        <v/>
      </c>
      <c r="R108" s="36" t="str">
        <f ca="1">IFERROR(__xludf.DUMMYFUNCTION("""COMPUTED_VALUE"""),"")</f>
        <v/>
      </c>
      <c r="S108" s="36" t="str">
        <f ca="1">IFERROR(__xludf.DUMMYFUNCTION("""COMPUTED_VALUE"""),"")</f>
        <v/>
      </c>
      <c r="T108" s="36" t="str">
        <f ca="1">IFERROR(__xludf.DUMMYFUNCTION("""COMPUTED_VALUE"""),"")</f>
        <v/>
      </c>
      <c r="U108" s="36" t="str">
        <f ca="1">IFERROR(__xludf.DUMMYFUNCTION("""COMPUTED_VALUE"""),"")</f>
        <v/>
      </c>
      <c r="V108" s="36" t="str">
        <f ca="1">IFERROR(__xludf.DUMMYFUNCTION("""COMPUTED_VALUE"""),"")</f>
        <v/>
      </c>
      <c r="W108" s="36" t="str">
        <f ca="1">IFERROR(__xludf.DUMMYFUNCTION("""COMPUTED_VALUE"""),"")</f>
        <v/>
      </c>
      <c r="X108" s="36"/>
      <c r="Y108" s="36"/>
      <c r="Z108" s="36"/>
    </row>
    <row r="109" spans="1:26" ht="12.75" hidden="1">
      <c r="A109" s="36" t="str">
        <f ca="1">IFERROR(__xludf.DUMMYFUNCTION("""COMPUTED_VALUE"""),"Castilla y León")</f>
        <v>Castilla y León</v>
      </c>
      <c r="B109" s="36" t="str">
        <f ca="1">IFERROR(__xludf.DUMMYFUNCTION("""COMPUTED_VALUE"""),"Soria")</f>
        <v>Soria</v>
      </c>
      <c r="C109" s="36">
        <f ca="1">IFERROR(__xludf.DUMMYFUNCTION("""COMPUTED_VALUE"""),2012)</f>
        <v>2012</v>
      </c>
      <c r="D109" s="36" t="str">
        <f ca="1">IFERROR(__xludf.DUMMYFUNCTION("""COMPUTED_VALUE"""),"Santa María Del Pilar")</f>
        <v>Santa María Del Pilar</v>
      </c>
      <c r="E109" s="36" t="str">
        <f ca="1">IFERROR(__xludf.DUMMYFUNCTION("""COMPUTED_VALUE"""),"gs.santamariadelpilar@scoutsdemadrid.org")</f>
        <v>gs.santamariadelpilar@scoutsdemadrid.org</v>
      </c>
      <c r="F109" s="48">
        <f ca="1">IFERROR(__xludf.DUMMYFUNCTION("""COMPUTED_VALUE"""),41099)</f>
        <v>41099</v>
      </c>
      <c r="G109" s="48">
        <f ca="1">IFERROR(__xludf.DUMMYFUNCTION("""COMPUTED_VALUE"""),369836)</f>
        <v>369836</v>
      </c>
      <c r="H109" s="36" t="str">
        <f ca="1">IFERROR(__xludf.DUMMYFUNCTION("""COMPUTED_VALUE"""),"Abejar")</f>
        <v>Abejar</v>
      </c>
      <c r="I109" s="36" t="str">
        <f ca="1">IFERROR(__xludf.DUMMYFUNCTION("""COMPUTED_VALUE"""),"Pinar Grande - Agua Buena")</f>
        <v>Pinar Grande - Agua Buena</v>
      </c>
      <c r="J109" s="36" t="str">
        <f ca="1">IFERROR(__xludf.DUMMYFUNCTION("""COMPUTED_VALUE"""),"")</f>
        <v/>
      </c>
      <c r="K109" s="49" t="str">
        <f ca="1">IFERROR(__xludf.DUMMYFUNCTION("""COMPUTED_VALUE"""),"http://goo.gl/maps/mxab")</f>
        <v>http://goo.gl/maps/mxab</v>
      </c>
      <c r="L109" s="36" t="str">
        <f ca="1">IFERROR(__xludf.DUMMYFUNCTION("""COMPUTED_VALUE"""),"")</f>
        <v/>
      </c>
      <c r="M109" s="36" t="str">
        <f ca="1">IFERROR(__xludf.DUMMYFUNCTION("""COMPUTED_VALUE"""),"")</f>
        <v/>
      </c>
      <c r="N109" s="36" t="str">
        <f ca="1">IFERROR(__xludf.DUMMYFUNCTION("""COMPUTED_VALUE"""),"")</f>
        <v/>
      </c>
      <c r="O109" s="36" t="str">
        <f ca="1">IFERROR(__xludf.DUMMYFUNCTION("""COMPUTED_VALUE"""),"")</f>
        <v/>
      </c>
      <c r="P109" s="36" t="str">
        <f ca="1">IFERROR(__xludf.DUMMYFUNCTION("""COMPUTED_VALUE"""),"")</f>
        <v/>
      </c>
      <c r="Q109" s="36" t="str">
        <f ca="1">IFERROR(__xludf.DUMMYFUNCTION("""COMPUTED_VALUE"""),"")</f>
        <v/>
      </c>
      <c r="R109" s="36" t="str">
        <f ca="1">IFERROR(__xludf.DUMMYFUNCTION("""COMPUTED_VALUE"""),"")</f>
        <v/>
      </c>
      <c r="S109" s="36" t="str">
        <f ca="1">IFERROR(__xludf.DUMMYFUNCTION("""COMPUTED_VALUE"""),"")</f>
        <v/>
      </c>
      <c r="T109" s="36" t="str">
        <f ca="1">IFERROR(__xludf.DUMMYFUNCTION("""COMPUTED_VALUE"""),"")</f>
        <v/>
      </c>
      <c r="U109" s="36" t="str">
        <f ca="1">IFERROR(__xludf.DUMMYFUNCTION("""COMPUTED_VALUE"""),"")</f>
        <v/>
      </c>
      <c r="V109" s="36" t="str">
        <f ca="1">IFERROR(__xludf.DUMMYFUNCTION("""COMPUTED_VALUE"""),"")</f>
        <v/>
      </c>
      <c r="W109" s="36" t="str">
        <f ca="1">IFERROR(__xludf.DUMMYFUNCTION("""COMPUTED_VALUE"""),"")</f>
        <v/>
      </c>
      <c r="X109" s="36"/>
      <c r="Y109" s="36"/>
      <c r="Z109" s="36"/>
    </row>
    <row r="110" spans="1:26" ht="12.75" hidden="1">
      <c r="A110" s="36" t="str">
        <f ca="1">IFERROR(__xludf.DUMMYFUNCTION("""COMPUTED_VALUE"""),"Castilla y León")</f>
        <v>Castilla y León</v>
      </c>
      <c r="B110" s="36" t="str">
        <f ca="1">IFERROR(__xludf.DUMMYFUNCTION("""COMPUTED_VALUE"""),"Soria")</f>
        <v>Soria</v>
      </c>
      <c r="C110" s="36">
        <f ca="1">IFERROR(__xludf.DUMMYFUNCTION("""COMPUTED_VALUE"""),2015)</f>
        <v>2015</v>
      </c>
      <c r="D110" s="36" t="str">
        <f ca="1">IFERROR(__xludf.DUMMYFUNCTION("""COMPUTED_VALUE"""),"Santa María Del Pilar")</f>
        <v>Santa María Del Pilar</v>
      </c>
      <c r="E110" s="36" t="str">
        <f ca="1">IFERROR(__xludf.DUMMYFUNCTION("""COMPUTED_VALUE"""),"gs.santamariadelpilar@scoutsdemadrid.org")</f>
        <v>gs.santamariadelpilar@scoutsdemadrid.org</v>
      </c>
      <c r="F110" s="48">
        <f ca="1">IFERROR(__xludf.DUMMYFUNCTION("""COMPUTED_VALUE"""),42189)</f>
        <v>42189</v>
      </c>
      <c r="G110" s="48">
        <f ca="1">IFERROR(__xludf.DUMMYFUNCTION("""COMPUTED_VALUE"""),42210)</f>
        <v>42210</v>
      </c>
      <c r="H110" s="36" t="str">
        <f ca="1">IFERROR(__xludf.DUMMYFUNCTION("""COMPUTED_VALUE"""),"Navaleno")</f>
        <v>Navaleno</v>
      </c>
      <c r="I110" s="36" t="str">
        <f ca="1">IFERROR(__xludf.DUMMYFUNCTION("""COMPUTED_VALUE"""),"AguaBuena")</f>
        <v>AguaBuena</v>
      </c>
      <c r="J110" s="36" t="str">
        <f ca="1">IFERROR(__xludf.DUMMYFUNCTION("""COMPUTED_VALUE"""),"")</f>
        <v/>
      </c>
      <c r="K110" s="36" t="str">
        <f ca="1">IFERROR(__xludf.DUMMYFUNCTION("""COMPUTED_VALUE"""),"41.864789,-2.861678")</f>
        <v>41.864789,-2.861678</v>
      </c>
      <c r="L110" s="36" t="str">
        <f ca="1">IFERROR(__xludf.DUMMYFUNCTION("""COMPUTED_VALUE"""),"")</f>
        <v/>
      </c>
      <c r="M110" s="36" t="str">
        <f ca="1">IFERROR(__xludf.DUMMYFUNCTION("""COMPUTED_VALUE"""),"")</f>
        <v/>
      </c>
      <c r="N110" s="36" t="str">
        <f ca="1">IFERROR(__xludf.DUMMYFUNCTION("""COMPUTED_VALUE"""),"")</f>
        <v/>
      </c>
      <c r="O110" s="36" t="str">
        <f ca="1">IFERROR(__xludf.DUMMYFUNCTION("""COMPUTED_VALUE"""),"")</f>
        <v/>
      </c>
      <c r="P110" s="36" t="str">
        <f ca="1">IFERROR(__xludf.DUMMYFUNCTION("""COMPUTED_VALUE"""),"")</f>
        <v/>
      </c>
      <c r="Q110" s="36" t="str">
        <f ca="1">IFERROR(__xludf.DUMMYFUNCTION("""COMPUTED_VALUE"""),"")</f>
        <v/>
      </c>
      <c r="R110" s="36" t="str">
        <f ca="1">IFERROR(__xludf.DUMMYFUNCTION("""COMPUTED_VALUE"""),"")</f>
        <v/>
      </c>
      <c r="S110" s="36" t="str">
        <f ca="1">IFERROR(__xludf.DUMMYFUNCTION("""COMPUTED_VALUE"""),"")</f>
        <v/>
      </c>
      <c r="T110" s="36" t="str">
        <f ca="1">IFERROR(__xludf.DUMMYFUNCTION("""COMPUTED_VALUE"""),"")</f>
        <v/>
      </c>
      <c r="U110" s="36" t="str">
        <f ca="1">IFERROR(__xludf.DUMMYFUNCTION("""COMPUTED_VALUE"""),"")</f>
        <v/>
      </c>
      <c r="V110" s="36" t="str">
        <f ca="1">IFERROR(__xludf.DUMMYFUNCTION("""COMPUTED_VALUE"""),"")</f>
        <v/>
      </c>
      <c r="W110" s="36" t="str">
        <f ca="1">IFERROR(__xludf.DUMMYFUNCTION("""COMPUTED_VALUE"""),"")</f>
        <v/>
      </c>
      <c r="X110" s="36"/>
      <c r="Y110" s="36"/>
      <c r="Z110" s="36"/>
    </row>
    <row r="111" spans="1:26" ht="12.75" hidden="1">
      <c r="A111" s="36" t="str">
        <f ca="1">IFERROR(__xludf.DUMMYFUNCTION("""COMPUTED_VALUE"""),"Castilla y León")</f>
        <v>Castilla y León</v>
      </c>
      <c r="B111" s="36" t="str">
        <f ca="1">IFERROR(__xludf.DUMMYFUNCTION("""COMPUTED_VALUE"""),"Burgos")</f>
        <v>Burgos</v>
      </c>
      <c r="C111" s="36">
        <f ca="1">IFERROR(__xludf.DUMMYFUNCTION("""COMPUTED_VALUE"""),2016)</f>
        <v>2016</v>
      </c>
      <c r="D111" s="36" t="str">
        <f ca="1">IFERROR(__xludf.DUMMYFUNCTION("""COMPUTED_VALUE"""),"Santa María Del Pilar")</f>
        <v>Santa María Del Pilar</v>
      </c>
      <c r="E111" s="36" t="str">
        <f ca="1">IFERROR(__xludf.DUMMYFUNCTION("""COMPUTED_VALUE"""),"gs.santamariadelpilar@scoutsdemadrid.org")</f>
        <v>gs.santamariadelpilar@scoutsdemadrid.org</v>
      </c>
      <c r="F111" s="48">
        <f ca="1">IFERROR(__xludf.DUMMYFUNCTION("""COMPUTED_VALUE"""),42565)</f>
        <v>42565</v>
      </c>
      <c r="G111" s="48">
        <f ca="1">IFERROR(__xludf.DUMMYFUNCTION("""COMPUTED_VALUE"""),42582)</f>
        <v>42582</v>
      </c>
      <c r="H111" s="36" t="str">
        <f ca="1">IFERROR(__xludf.DUMMYFUNCTION("""COMPUTED_VALUE"""),"Tolbaños De Abajo")</f>
        <v>Tolbaños De Abajo</v>
      </c>
      <c r="I111" s="36" t="str">
        <f ca="1">IFERROR(__xludf.DUMMYFUNCTION("""COMPUTED_VALUE"""),"La Tejera")</f>
        <v>La Tejera</v>
      </c>
      <c r="J111" s="36" t="str">
        <f ca="1">IFERROR(__xludf.DUMMYFUNCTION("""COMPUTED_VALUE"""),"")</f>
        <v/>
      </c>
      <c r="K111" s="36" t="str">
        <f ca="1">IFERROR(__xludf.DUMMYFUNCTION("""COMPUTED_VALUE"""),"42.087925,-3.127658")</f>
        <v>42.087925,-3.127658</v>
      </c>
      <c r="L111" s="36" t="str">
        <f ca="1">IFERROR(__xludf.DUMMYFUNCTION("""COMPUTED_VALUE"""),"José María Burgos de Pablo")</f>
        <v>José María Burgos de Pablo</v>
      </c>
      <c r="M111" s="36">
        <f ca="1">IFERROR(__xludf.DUMMYFUNCTION("""COMPUTED_VALUE"""),622363650)</f>
        <v>622363650</v>
      </c>
      <c r="N111" s="36" t="str">
        <f ca="1">IFERROR(__xludf.DUMMYFUNCTION("""COMPUTED_VALUE"""),"valledevaldelaguna@diputaciondeburgos.net")</f>
        <v>valledevaldelaguna@diputaciondeburgos.net</v>
      </c>
      <c r="O111" s="50">
        <f ca="1">IFERROR(__xludf.DUMMYFUNCTION("""COMPUTED_VALUE"""),1000)</f>
        <v>1000</v>
      </c>
      <c r="P111" s="36" t="str">
        <f ca="1">IFERROR(__xludf.DUMMYFUNCTION("""COMPUTED_VALUE"""),"")</f>
        <v/>
      </c>
      <c r="Q111" s="36" t="str">
        <f ca="1">IFERROR(__xludf.DUMMYFUNCTION("""COMPUTED_VALUE"""),"BUENO (Se puede acceder con cualquier coche)")</f>
        <v>BUENO (Se puede acceder con cualquier coche)</v>
      </c>
      <c r="R111" s="36" t="str">
        <f ca="1">IFERROR(__xludf.DUMMYFUNCTION("""COMPUTED_VALUE"""),"Sí")</f>
        <v>Sí</v>
      </c>
      <c r="S111" s="36" t="str">
        <f ca="1">IFERROR(__xludf.DUMMYFUNCTION("""COMPUTED_VALUE"""),"50 m")</f>
        <v>50 m</v>
      </c>
      <c r="T111" s="36" t="str">
        <f ca="1">IFERROR(__xludf.DUMMYFUNCTION("""COMPUTED_VALUE"""),"Presa manual que inunda una zona que sirve como poza")</f>
        <v>Presa manual que inunda una zona que sirve como poza</v>
      </c>
      <c r="U111" s="36" t="str">
        <f ca="1">IFERROR(__xludf.DUMMYFUNCTION("""COMPUTED_VALUE"""),"No")</f>
        <v>No</v>
      </c>
      <c r="V111" s="36" t="str">
        <f ca="1">IFERROR(__xludf.DUMMYFUNCTION("""COMPUTED_VALUE"""),"Sí")</f>
        <v>Sí</v>
      </c>
      <c r="W111" s="36" t="str">
        <f ca="1">IFERROR(__xludf.DUMMYFUNCTION("""COMPUTED_VALUE"""),"")</f>
        <v/>
      </c>
      <c r="X111" s="36"/>
      <c r="Y111" s="36"/>
      <c r="Z111" s="36"/>
    </row>
    <row r="112" spans="1:26" ht="12.75" hidden="1">
      <c r="A112" s="36" t="str">
        <f ca="1">IFERROR(__xludf.DUMMYFUNCTION("""COMPUTED_VALUE"""),"Castilla y León")</f>
        <v>Castilla y León</v>
      </c>
      <c r="B112" s="36" t="str">
        <f ca="1">IFERROR(__xludf.DUMMYFUNCTION("""COMPUTED_VALUE"""),"Burgos")</f>
        <v>Burgos</v>
      </c>
      <c r="C112" s="36">
        <f ca="1">IFERROR(__xludf.DUMMYFUNCTION("""COMPUTED_VALUE"""),2016)</f>
        <v>2016</v>
      </c>
      <c r="D112" s="36" t="str">
        <f ca="1">IFERROR(__xludf.DUMMYFUNCTION("""COMPUTED_VALUE"""),"Santa María Del Pilar")</f>
        <v>Santa María Del Pilar</v>
      </c>
      <c r="E112" s="36" t="str">
        <f ca="1">IFERROR(__xludf.DUMMYFUNCTION("""COMPUTED_VALUE"""),"gs.santamariadelpilar@scoutsdemadrid.org")</f>
        <v>gs.santamariadelpilar@scoutsdemadrid.org</v>
      </c>
      <c r="F112" s="48">
        <f ca="1">IFERROR(__xludf.DUMMYFUNCTION("""COMPUTED_VALUE"""),42565)</f>
        <v>42565</v>
      </c>
      <c r="G112" s="48">
        <f ca="1">IFERROR(__xludf.DUMMYFUNCTION("""COMPUTED_VALUE"""),42582)</f>
        <v>42582</v>
      </c>
      <c r="H112" s="36" t="str">
        <f ca="1">IFERROR(__xludf.DUMMYFUNCTION("""COMPUTED_VALUE"""),"Tolbaños De Abajo")</f>
        <v>Tolbaños De Abajo</v>
      </c>
      <c r="I112" s="36" t="str">
        <f ca="1">IFERROR(__xludf.DUMMYFUNCTION("""COMPUTED_VALUE"""),"La Tejera")</f>
        <v>La Tejera</v>
      </c>
      <c r="J112" s="36" t="str">
        <f ca="1">IFERROR(__xludf.DUMMYFUNCTION("""COMPUTED_VALUE"""),"")</f>
        <v/>
      </c>
      <c r="K112" s="36" t="str">
        <f ca="1">IFERROR(__xludf.DUMMYFUNCTION("""COMPUTED_VALUE"""),"42.087925,-3.127658")</f>
        <v>42.087925,-3.127658</v>
      </c>
      <c r="L112" s="36" t="str">
        <f ca="1">IFERROR(__xludf.DUMMYFUNCTION("""COMPUTED_VALUE"""),"José María Burgos de Pablo")</f>
        <v>José María Burgos de Pablo</v>
      </c>
      <c r="M112" s="36">
        <f ca="1">IFERROR(__xludf.DUMMYFUNCTION("""COMPUTED_VALUE"""),622363650)</f>
        <v>622363650</v>
      </c>
      <c r="N112" s="36" t="str">
        <f ca="1">IFERROR(__xludf.DUMMYFUNCTION("""COMPUTED_VALUE"""),"valledevaldelaguna@diputaciondeburgos.net")</f>
        <v>valledevaldelaguna@diputaciondeburgos.net</v>
      </c>
      <c r="O112" s="50">
        <f ca="1">IFERROR(__xludf.DUMMYFUNCTION("""COMPUTED_VALUE"""),1000)</f>
        <v>1000</v>
      </c>
      <c r="P112" s="36" t="str">
        <f ca="1">IFERROR(__xludf.DUMMYFUNCTION("""COMPUTED_VALUE"""),"")</f>
        <v/>
      </c>
      <c r="Q112" s="36" t="str">
        <f ca="1">IFERROR(__xludf.DUMMYFUNCTION("""COMPUTED_VALUE"""),"BUENO (Se puede acceder con cualquier coche)")</f>
        <v>BUENO (Se puede acceder con cualquier coche)</v>
      </c>
      <c r="R112" s="36" t="str">
        <f ca="1">IFERROR(__xludf.DUMMYFUNCTION("""COMPUTED_VALUE"""),"Sí")</f>
        <v>Sí</v>
      </c>
      <c r="S112" s="36" t="str">
        <f ca="1">IFERROR(__xludf.DUMMYFUNCTION("""COMPUTED_VALUE"""),"50 m")</f>
        <v>50 m</v>
      </c>
      <c r="T112" s="36" t="str">
        <f ca="1">IFERROR(__xludf.DUMMYFUNCTION("""COMPUTED_VALUE"""),"Presa manual que inunda una zona que sirve como poza")</f>
        <v>Presa manual que inunda una zona que sirve como poza</v>
      </c>
      <c r="U112" s="36" t="str">
        <f ca="1">IFERROR(__xludf.DUMMYFUNCTION("""COMPUTED_VALUE"""),"No")</f>
        <v>No</v>
      </c>
      <c r="V112" s="36" t="str">
        <f ca="1">IFERROR(__xludf.DUMMYFUNCTION("""COMPUTED_VALUE"""),"Sí")</f>
        <v>Sí</v>
      </c>
      <c r="W112" s="36" t="str">
        <f ca="1">IFERROR(__xludf.DUMMYFUNCTION("""COMPUTED_VALUE"""),"")</f>
        <v/>
      </c>
      <c r="X112" s="36"/>
      <c r="Y112" s="36"/>
      <c r="Z112" s="36"/>
    </row>
    <row r="113" spans="1:26" ht="12.75" hidden="1">
      <c r="A113" s="36" t="str">
        <f ca="1">IFERROR(__xludf.DUMMYFUNCTION("""COMPUTED_VALUE"""),"Castilla y León")</f>
        <v>Castilla y León</v>
      </c>
      <c r="B113" s="36" t="str">
        <f ca="1">IFERROR(__xludf.DUMMYFUNCTION("""COMPUTED_VALUE"""),"Soria")</f>
        <v>Soria</v>
      </c>
      <c r="C113" s="36">
        <f ca="1">IFERROR(__xludf.DUMMYFUNCTION("""COMPUTED_VALUE"""),2016)</f>
        <v>2016</v>
      </c>
      <c r="D113" s="36" t="str">
        <f ca="1">IFERROR(__xludf.DUMMYFUNCTION("""COMPUTED_VALUE"""),"Santa María Del Pilar")</f>
        <v>Santa María Del Pilar</v>
      </c>
      <c r="E113" s="36" t="str">
        <f ca="1">IFERROR(__xludf.DUMMYFUNCTION("""COMPUTED_VALUE"""),"gs.santamariadelpilar@scoutsdemadrid.org")</f>
        <v>gs.santamariadelpilar@scoutsdemadrid.org</v>
      </c>
      <c r="F113" s="48">
        <f ca="1">IFERROR(__xludf.DUMMYFUNCTION("""COMPUTED_VALUE"""),42560)</f>
        <v>42560</v>
      </c>
      <c r="G113" s="48">
        <f ca="1">IFERROR(__xludf.DUMMYFUNCTION("""COMPUTED_VALUE"""),42566)</f>
        <v>42566</v>
      </c>
      <c r="H113" s="36" t="str">
        <f ca="1">IFERROR(__xludf.DUMMYFUNCTION("""COMPUTED_VALUE"""),"Covaleda")</f>
        <v>Covaleda</v>
      </c>
      <c r="I113" s="36" t="str">
        <f ca="1">IFERROR(__xludf.DUMMYFUNCTION("""COMPUTED_VALUE"""),"Raso de la Nava")</f>
        <v>Raso de la Nava</v>
      </c>
      <c r="J113" s="36" t="str">
        <f ca="1">IFERROR(__xludf.DUMMYFUNCTION("""COMPUTED_VALUE"""),"")</f>
        <v/>
      </c>
      <c r="K113" s="36" t="str">
        <f ca="1">IFERROR(__xludf.DUMMYFUNCTION("""COMPUTED_VALUE"""),"41.937685, -2.909870")</f>
        <v>41.937685, -2.909870</v>
      </c>
      <c r="L113" s="36" t="str">
        <f ca="1">IFERROR(__xludf.DUMMYFUNCTION("""COMPUTED_VALUE"""),"Ayuntamiento de Covaleda")</f>
        <v>Ayuntamiento de Covaleda</v>
      </c>
      <c r="M113" s="36">
        <f ca="1">IFERROR(__xludf.DUMMYFUNCTION("""COMPUTED_VALUE"""),975370000)</f>
        <v>975370000</v>
      </c>
      <c r="N113" s="36" t="str">
        <f ca="1">IFERROR(__xludf.DUMMYFUNCTION("""COMPUTED_VALUE"""),"")</f>
        <v/>
      </c>
      <c r="O113" s="36" t="str">
        <f ca="1">IFERROR(__xludf.DUMMYFUNCTION("""COMPUTED_VALUE"""),"0,60€por persona")</f>
        <v>0,60€por persona</v>
      </c>
      <c r="P113" s="36" t="str">
        <f ca="1">IFERROR(__xludf.DUMMYFUNCTION("""COMPUTED_VALUE"""),"")</f>
        <v/>
      </c>
      <c r="Q113" s="36" t="str">
        <f ca="1">IFERROR(__xludf.DUMMYFUNCTION("""COMPUTED_VALUE"""),"BUENO (Se puede acceder con cualquier coche)")</f>
        <v>BUENO (Se puede acceder con cualquier coche)</v>
      </c>
      <c r="R113" s="36" t="str">
        <f ca="1">IFERROR(__xludf.DUMMYFUNCTION("""COMPUTED_VALUE"""),"Sí")</f>
        <v>Sí</v>
      </c>
      <c r="S113" s="36" t="str">
        <f ca="1">IFERROR(__xludf.DUMMYFUNCTION("""COMPUTED_VALUE"""),"500 metro")</f>
        <v>500 metro</v>
      </c>
      <c r="T113" s="36" t="str">
        <f ca="1">IFERROR(__xludf.DUMMYFUNCTION("""COMPUTED_VALUE"""),"río con poza")</f>
        <v>río con poza</v>
      </c>
      <c r="U113" s="36" t="str">
        <f ca="1">IFERROR(__xludf.DUMMYFUNCTION("""COMPUTED_VALUE"""),"Si, cocina, almacén, botiquin, salas vacias...")</f>
        <v>Si, cocina, almacén, botiquin, salas vacias...</v>
      </c>
      <c r="V113" s="36" t="str">
        <f ca="1">IFERROR(__xludf.DUMMYFUNCTION("""COMPUTED_VALUE"""),"si")</f>
        <v>si</v>
      </c>
      <c r="W113" s="36" t="str">
        <f ca="1">IFERROR(__xludf.DUMMYFUNCTION("""COMPUTED_VALUE"""),"Muy bueno")</f>
        <v>Muy bueno</v>
      </c>
      <c r="X113" s="36"/>
      <c r="Y113" s="36"/>
      <c r="Z113" s="36"/>
    </row>
    <row r="114" spans="1:26" ht="12.75" hidden="1">
      <c r="A114" s="36" t="str">
        <f ca="1">IFERROR(__xludf.DUMMYFUNCTION("""COMPUTED_VALUE"""),"Castilla y León")</f>
        <v>Castilla y León</v>
      </c>
      <c r="B114" s="36" t="str">
        <f ca="1">IFERROR(__xludf.DUMMYFUNCTION("""COMPUTED_VALUE"""),"Soria")</f>
        <v>Soria</v>
      </c>
      <c r="C114" s="36">
        <f ca="1">IFERROR(__xludf.DUMMYFUNCTION("""COMPUTED_VALUE"""),2017)</f>
        <v>2017</v>
      </c>
      <c r="D114" s="36" t="str">
        <f ca="1">IFERROR(__xludf.DUMMYFUNCTION("""COMPUTED_VALUE"""),"Santa María Del Pilar")</f>
        <v>Santa María Del Pilar</v>
      </c>
      <c r="E114" s="36" t="str">
        <f ca="1">IFERROR(__xludf.DUMMYFUNCTION("""COMPUTED_VALUE"""),"gs.santamariadelpilar@scoutsdemadrid.org")</f>
        <v>gs.santamariadelpilar@scoutsdemadrid.org</v>
      </c>
      <c r="F114" s="48">
        <f ca="1">IFERROR(__xludf.DUMMYFUNCTION("""COMPUTED_VALUE"""),42929)</f>
        <v>42929</v>
      </c>
      <c r="G114" s="48">
        <f ca="1">IFERROR(__xludf.DUMMYFUNCTION("""COMPUTED_VALUE"""),42935)</f>
        <v>42935</v>
      </c>
      <c r="H114" s="36" t="str">
        <f ca="1">IFERROR(__xludf.DUMMYFUNCTION("""COMPUTED_VALUE"""),"Aguabuena")</f>
        <v>Aguabuena</v>
      </c>
      <c r="I114" s="36" t="str">
        <f ca="1">IFERROR(__xludf.DUMMYFUNCTION("""COMPUTED_VALUE"""),"Pinar Grande, Aguabuena")</f>
        <v>Pinar Grande, Aguabuena</v>
      </c>
      <c r="J114" s="36" t="str">
        <f ca="1">IFERROR(__xludf.DUMMYFUNCTION("""COMPUTED_VALUE"""),"")</f>
        <v/>
      </c>
      <c r="K114" s="36" t="str">
        <f ca="1">IFERROR(__xludf.DUMMYFUNCTION("""COMPUTED_VALUE"""),"41.865080, -2.861275")</f>
        <v>41.865080, -2.861275</v>
      </c>
      <c r="L114" s="36" t="str">
        <f ca="1">IFERROR(__xludf.DUMMYFUNCTION("""COMPUTED_VALUE"""),"Mancomunidad de los 150 pueblos")</f>
        <v>Mancomunidad de los 150 pueblos</v>
      </c>
      <c r="M114" s="36" t="str">
        <f ca="1">IFERROR(__xludf.DUMMYFUNCTION("""COMPUTED_VALUE"""),"")</f>
        <v/>
      </c>
      <c r="N114" s="36" t="str">
        <f ca="1">IFERROR(__xludf.DUMMYFUNCTION("""COMPUTED_VALUE"""),"")</f>
        <v/>
      </c>
      <c r="O114" s="36" t="str">
        <f ca="1">IFERROR(__xludf.DUMMYFUNCTION("""COMPUTED_VALUE"""),"")</f>
        <v/>
      </c>
      <c r="P114" s="36" t="str">
        <f ca="1">IFERROR(__xludf.DUMMYFUNCTION("""COMPUTED_VALUE"""),"")</f>
        <v/>
      </c>
      <c r="Q114" s="36" t="str">
        <f ca="1">IFERROR(__xludf.DUMMYFUNCTION("""COMPUTED_VALUE"""),"BUENO (Se puede acceder con cualquier coche)")</f>
        <v>BUENO (Se puede acceder con cualquier coche)</v>
      </c>
      <c r="R114" s="36" t="str">
        <f ca="1">IFERROR(__xludf.DUMMYFUNCTION("""COMPUTED_VALUE"""),"Sí")</f>
        <v>Sí</v>
      </c>
      <c r="S114" s="36" t="str">
        <f ca="1">IFERROR(__xludf.DUMMYFUNCTION("""COMPUTED_VALUE"""),"100km")</f>
        <v>100km</v>
      </c>
      <c r="T114" s="36" t="str">
        <f ca="1">IFERROR(__xludf.DUMMYFUNCTION("""COMPUTED_VALUE"""),"Por el campamento pasa un rio pequeño. A 7km está el embalse cuerda del pozo que está muy bien para bañarse")</f>
        <v>Por el campamento pasa un rio pequeño. A 7km está el embalse cuerda del pozo que está muy bien para bañarse</v>
      </c>
      <c r="U114" s="36" t="str">
        <f ca="1">IFERROR(__xludf.DUMMYFUNCTION("""COMPUTED_VALUE"""),"un refugio cercano")</f>
        <v>un refugio cercano</v>
      </c>
      <c r="V114" s="36" t="str">
        <f ca="1">IFERROR(__xludf.DUMMYFUNCTION("""COMPUTED_VALUE"""),"si, gran pinar")</f>
        <v>si, gran pinar</v>
      </c>
      <c r="W114" s="36" t="str">
        <f ca="1">IFERROR(__xludf.DUMMYFUNCTION("""COMPUTED_VALUE"""),"")</f>
        <v/>
      </c>
      <c r="X114" s="36"/>
      <c r="Y114" s="36"/>
      <c r="Z114" s="36"/>
    </row>
    <row r="115" spans="1:26" ht="12.75" hidden="1">
      <c r="A115" s="36" t="str">
        <f ca="1">IFERROR(__xludf.DUMMYFUNCTION("""COMPUTED_VALUE"""),"Castilla y León")</f>
        <v>Castilla y León</v>
      </c>
      <c r="B115" s="36" t="str">
        <f ca="1">IFERROR(__xludf.DUMMYFUNCTION("""COMPUTED_VALUE"""),"Soria")</f>
        <v>Soria</v>
      </c>
      <c r="C115" s="36">
        <f ca="1">IFERROR(__xludf.DUMMYFUNCTION("""COMPUTED_VALUE"""),2018)</f>
        <v>2018</v>
      </c>
      <c r="D115" s="36" t="str">
        <f ca="1">IFERROR(__xludf.DUMMYFUNCTION("""COMPUTED_VALUE"""),"Santa María Del Pilar")</f>
        <v>Santa María Del Pilar</v>
      </c>
      <c r="E115" s="36" t="str">
        <f ca="1">IFERROR(__xludf.DUMMYFUNCTION("""COMPUTED_VALUE"""),"gs.santamariadelpilar@scoutsdemadrid.org")</f>
        <v>gs.santamariadelpilar@scoutsdemadrid.org</v>
      </c>
      <c r="F115" s="48">
        <f ca="1">IFERROR(__xludf.DUMMYFUNCTION("""COMPUTED_VALUE"""),43293)</f>
        <v>43293</v>
      </c>
      <c r="G115" s="48">
        <f ca="1">IFERROR(__xludf.DUMMYFUNCTION("""COMPUTED_VALUE"""),43309)</f>
        <v>43309</v>
      </c>
      <c r="H115" s="36" t="str">
        <f ca="1">IFERROR(__xludf.DUMMYFUNCTION("""COMPUTED_VALUE"""),"Abejar")</f>
        <v>Abejar</v>
      </c>
      <c r="I115" s="36" t="str">
        <f ca="1">IFERROR(__xludf.DUMMYFUNCTION("""COMPUTED_VALUE"""),"Agua Buena")</f>
        <v>Agua Buena</v>
      </c>
      <c r="J115" s="36">
        <f ca="1">IFERROR(__xludf.DUMMYFUNCTION("""COMPUTED_VALUE"""),0)</f>
        <v>0</v>
      </c>
      <c r="K115" s="36" t="str">
        <f ca="1">IFERROR(__xludf.DUMMYFUNCTION("""COMPUTED_VALUE"""),"41.865052, -2.861503")</f>
        <v>41.865052, -2.861503</v>
      </c>
      <c r="L115" s="36" t="str">
        <f ca="1">IFERROR(__xludf.DUMMYFUNCTION("""COMPUTED_VALUE"""),"Ayuntamiento de Soria")</f>
        <v>Ayuntamiento de Soria</v>
      </c>
      <c r="M115" s="36" t="str">
        <f ca="1">IFERROR(__xludf.DUMMYFUNCTION("""COMPUTED_VALUE"""),"975 234 100")</f>
        <v>975 234 100</v>
      </c>
      <c r="N115" s="36" t="str">
        <f ca="1">IFERROR(__xludf.DUMMYFUNCTION("""COMPUTED_VALUE"""),"d")</f>
        <v>d</v>
      </c>
      <c r="O115" s="50">
        <f ca="1">IFERROR(__xludf.DUMMYFUNCTION("""COMPUTED_VALUE"""),2018)</f>
        <v>2018</v>
      </c>
      <c r="P115" s="36">
        <f ca="1">IFERROR(__xludf.DUMMYFUNCTION("""COMPUTED_VALUE"""),2)</f>
        <v>2</v>
      </c>
      <c r="Q115" s="36" t="str">
        <f ca="1">IFERROR(__xludf.DUMMYFUNCTION("""COMPUTED_VALUE"""),"BUENO (Se puede acceder con cualquier coche)")</f>
        <v>BUENO (Se puede acceder con cualquier coche)</v>
      </c>
      <c r="R115" s="36" t="str">
        <f ca="1">IFERROR(__xludf.DUMMYFUNCTION("""COMPUTED_VALUE"""),"Sí")</f>
        <v>Sí</v>
      </c>
      <c r="S115" s="36" t="str">
        <f ca="1">IFERROR(__xludf.DUMMYFUNCTION("""COMPUTED_VALUE"""),"300 m")</f>
        <v>300 m</v>
      </c>
      <c r="T115" s="36" t="str">
        <f ca="1">IFERROR(__xludf.DUMMYFUNCTION("""COMPUTED_VALUE"""),"-")</f>
        <v>-</v>
      </c>
      <c r="U115" s="36" t="str">
        <f ca="1">IFERROR(__xludf.DUMMYFUNCTION("""COMPUTED_VALUE"""),"No")</f>
        <v>No</v>
      </c>
      <c r="V115" s="36" t="str">
        <f ca="1">IFERROR(__xludf.DUMMYFUNCTION("""COMPUTED_VALUE"""),"Sí")</f>
        <v>Sí</v>
      </c>
      <c r="W115" s="36" t="str">
        <f ca="1">IFERROR(__xludf.DUMMYFUNCTION("""COMPUTED_VALUE"""),"-")</f>
        <v>-</v>
      </c>
      <c r="X115" s="36"/>
      <c r="Y115" s="36"/>
      <c r="Z115" s="36"/>
    </row>
    <row r="116" spans="1:26" ht="12.75" hidden="1">
      <c r="A116" s="36" t="str">
        <f ca="1">IFERROR(__xludf.DUMMYFUNCTION("""COMPUTED_VALUE"""),"Castilla y León")</f>
        <v>Castilla y León</v>
      </c>
      <c r="B116" s="36" t="str">
        <f ca="1">IFERROR(__xludf.DUMMYFUNCTION("""COMPUTED_VALUE"""),"Soria")</f>
        <v>Soria</v>
      </c>
      <c r="C116" s="36">
        <f ca="1">IFERROR(__xludf.DUMMYFUNCTION("""COMPUTED_VALUE"""),2019)</f>
        <v>2019</v>
      </c>
      <c r="D116" s="36" t="str">
        <f ca="1">IFERROR(__xludf.DUMMYFUNCTION("""COMPUTED_VALUE"""),"Santa María Del Pilar")</f>
        <v>Santa María Del Pilar</v>
      </c>
      <c r="E116" s="36" t="str">
        <f ca="1">IFERROR(__xludf.DUMMYFUNCTION("""COMPUTED_VALUE"""),"gs.santamariadelpilar@scoutsdemadrid.org")</f>
        <v>gs.santamariadelpilar@scoutsdemadrid.org</v>
      </c>
      <c r="F116" s="36">
        <f ca="1">IFERROR(__xludf.DUMMYFUNCTION("""COMPUTED_VALUE"""),43657)</f>
        <v>43657</v>
      </c>
      <c r="G116" s="48">
        <f ca="1">IFERROR(__xludf.DUMMYFUNCTION("""COMPUTED_VALUE"""),43673)</f>
        <v>43673</v>
      </c>
      <c r="H116" s="36" t="str">
        <f ca="1">IFERROR(__xludf.DUMMYFUNCTION("""COMPUTED_VALUE"""),"Abejar")</f>
        <v>Abejar</v>
      </c>
      <c r="I116" s="36" t="str">
        <f ca="1">IFERROR(__xludf.DUMMYFUNCTION("""COMPUTED_VALUE"""),"Monte 172 Pinar Grande, Agua buena")</f>
        <v>Monte 172 Pinar Grande, Agua buena</v>
      </c>
      <c r="J116" s="36" t="str">
        <f ca="1">IFERROR(__xludf.DUMMYFUNCTION("""COMPUTED_VALUE"""),"Monte 172")</f>
        <v>Monte 172</v>
      </c>
      <c r="K116" s="36" t="str">
        <f ca="1">IFERROR(__xludf.DUMMYFUNCTION("""COMPUTED_VALUE"""),"41.865008, -2.861885")</f>
        <v>41.865008, -2.861885</v>
      </c>
      <c r="L116" s="36" t="str">
        <f ca="1">IFERROR(__xludf.DUMMYFUNCTION("""COMPUTED_VALUE"""),"Ayuntamiento de Soria, Mancomunidad de los 150 pueblos de Soria")</f>
        <v>Ayuntamiento de Soria, Mancomunidad de los 150 pueblos de Soria</v>
      </c>
      <c r="M116" s="36">
        <f ca="1">IFERROR(__xludf.DUMMYFUNCTION("""COMPUTED_VALUE"""),975226634)</f>
        <v>975226634</v>
      </c>
      <c r="N116" s="36" t="str">
        <f ca="1">IFERROR(__xludf.DUMMYFUNCTION("""COMPUTED_VALUE"""),"administracion@casadelatierra.com")</f>
        <v>administracion@casadelatierra.com</v>
      </c>
      <c r="O116" s="36" t="str">
        <f ca="1">IFERROR(__xludf.DUMMYFUNCTION("""COMPUTED_VALUE"""),"2090 € por 158 acampados")</f>
        <v>2090 € por 158 acampados</v>
      </c>
      <c r="P116" s="36" t="str">
        <f ca="1">IFERROR(__xludf.DUMMYFUNCTION("""COMPUTED_VALUE"""),"30.000 m2")</f>
        <v>30.000 m2</v>
      </c>
      <c r="Q116" s="36" t="str">
        <f ca="1">IFERROR(__xludf.DUMMYFUNCTION("""COMPUTED_VALUE"""),"BUENO (Se puede acceder con cualquier coche)")</f>
        <v>BUENO (Se puede acceder con cualquier coche)</v>
      </c>
      <c r="R116" s="36" t="str">
        <f ca="1">IFERROR(__xludf.DUMMYFUNCTION("""COMPUTED_VALUE"""),"Sí")</f>
        <v>Sí</v>
      </c>
      <c r="S116" s="36" t="str">
        <f ca="1">IFERROR(__xludf.DUMMYFUNCTION("""COMPUTED_VALUE"""),"20m")</f>
        <v>20m</v>
      </c>
      <c r="T116" s="36" t="str">
        <f ca="1">IFERROR(__xludf.DUMMYFUNCTION("""COMPUTED_VALUE"""),"Rio poco caudaoloso")</f>
        <v>Rio poco caudaoloso</v>
      </c>
      <c r="U116" s="36" t="str">
        <f ca="1">IFERROR(__xludf.DUMMYFUNCTION("""COMPUTED_VALUE"""),"No")</f>
        <v>No</v>
      </c>
      <c r="V116" s="36" t="str">
        <f ca="1">IFERROR(__xludf.DUMMYFUNCTION("""COMPUTED_VALUE"""),"Sí")</f>
        <v>Sí</v>
      </c>
      <c r="W116" s="36" t="str">
        <f ca="1">IFERROR(__xludf.DUMMYFUNCTION("""COMPUTED_VALUE"""),"Llana")</f>
        <v>Llana</v>
      </c>
      <c r="X116" s="36"/>
      <c r="Y116" s="36"/>
      <c r="Z116" s="36"/>
    </row>
    <row r="117" spans="1:26" ht="12.75" hidden="1">
      <c r="A117" s="36" t="str">
        <f ca="1">IFERROR(__xludf.DUMMYFUNCTION("""COMPUTED_VALUE"""),"Castilla y León")</f>
        <v>Castilla y León</v>
      </c>
      <c r="B117" s="36" t="str">
        <f ca="1">IFERROR(__xludf.DUMMYFUNCTION("""COMPUTED_VALUE"""),"Ávila")</f>
        <v>Ávila</v>
      </c>
      <c r="C117" s="36">
        <f ca="1">IFERROR(__xludf.DUMMYFUNCTION("""COMPUTED_VALUE"""),2015)</f>
        <v>2015</v>
      </c>
      <c r="D117" s="36" t="str">
        <f ca="1">IFERROR(__xludf.DUMMYFUNCTION("""COMPUTED_VALUE"""),"Santa María La Blanca")</f>
        <v>Santa María La Blanca</v>
      </c>
      <c r="E117" s="36" t="str">
        <f ca="1">IFERROR(__xludf.DUMMYFUNCTION("""COMPUTED_VALUE"""),"gs.santamarialablanca@scoutsdemadrid.org ")</f>
        <v xml:space="preserve">gs.santamarialablanca@scoutsdemadrid.org </v>
      </c>
      <c r="F117" s="48">
        <f ca="1">IFERROR(__xludf.DUMMYFUNCTION("""COMPUTED_VALUE"""),42188)</f>
        <v>42188</v>
      </c>
      <c r="G117" s="48">
        <f ca="1">IFERROR(__xludf.DUMMYFUNCTION("""COMPUTED_VALUE"""),42197)</f>
        <v>42197</v>
      </c>
      <c r="H117" s="36" t="str">
        <f ca="1">IFERROR(__xludf.DUMMYFUNCTION("""COMPUTED_VALUE"""),"El Hoyo De Pinares")</f>
        <v>El Hoyo De Pinares</v>
      </c>
      <c r="I117" s="36" t="str">
        <f ca="1">IFERROR(__xludf.DUMMYFUNCTION("""COMPUTED_VALUE"""),"El Hoyo de Pinares")</f>
        <v>El Hoyo de Pinares</v>
      </c>
      <c r="J117" s="36" t="str">
        <f ca="1">IFERROR(__xludf.DUMMYFUNCTION("""COMPUTED_VALUE"""),"")</f>
        <v/>
      </c>
      <c r="K117" s="36" t="str">
        <f ca="1">IFERROR(__xludf.DUMMYFUNCTION("""COMPUTED_VALUE"""),"")</f>
        <v/>
      </c>
      <c r="L117" s="36" t="str">
        <f ca="1">IFERROR(__xludf.DUMMYFUNCTION("""COMPUTED_VALUE"""),"")</f>
        <v/>
      </c>
      <c r="M117" s="36" t="str">
        <f ca="1">IFERROR(__xludf.DUMMYFUNCTION("""COMPUTED_VALUE"""),"")</f>
        <v/>
      </c>
      <c r="N117" s="36" t="str">
        <f ca="1">IFERROR(__xludf.DUMMYFUNCTION("""COMPUTED_VALUE"""),"")</f>
        <v/>
      </c>
      <c r="O117" s="36" t="str">
        <f ca="1">IFERROR(__xludf.DUMMYFUNCTION("""COMPUTED_VALUE"""),"")</f>
        <v/>
      </c>
      <c r="P117" s="36" t="str">
        <f ca="1">IFERROR(__xludf.DUMMYFUNCTION("""COMPUTED_VALUE"""),"")</f>
        <v/>
      </c>
      <c r="Q117" s="36" t="str">
        <f ca="1">IFERROR(__xludf.DUMMYFUNCTION("""COMPUTED_VALUE"""),"")</f>
        <v/>
      </c>
      <c r="R117" s="36" t="str">
        <f ca="1">IFERROR(__xludf.DUMMYFUNCTION("""COMPUTED_VALUE"""),"")</f>
        <v/>
      </c>
      <c r="S117" s="36" t="str">
        <f ca="1">IFERROR(__xludf.DUMMYFUNCTION("""COMPUTED_VALUE"""),"")</f>
        <v/>
      </c>
      <c r="T117" s="36" t="str">
        <f ca="1">IFERROR(__xludf.DUMMYFUNCTION("""COMPUTED_VALUE"""),"")</f>
        <v/>
      </c>
      <c r="U117" s="36" t="str">
        <f ca="1">IFERROR(__xludf.DUMMYFUNCTION("""COMPUTED_VALUE"""),"")</f>
        <v/>
      </c>
      <c r="V117" s="36" t="str">
        <f ca="1">IFERROR(__xludf.DUMMYFUNCTION("""COMPUTED_VALUE"""),"")</f>
        <v/>
      </c>
      <c r="W117" s="36" t="str">
        <f ca="1">IFERROR(__xludf.DUMMYFUNCTION("""COMPUTED_VALUE"""),"")</f>
        <v/>
      </c>
      <c r="X117" s="36"/>
      <c r="Y117" s="36"/>
      <c r="Z117" s="36"/>
    </row>
    <row r="118" spans="1:26" ht="12.75" hidden="1">
      <c r="A118" s="36" t="str">
        <f ca="1">IFERROR(__xludf.DUMMYFUNCTION("""COMPUTED_VALUE"""),"Castilla y León")</f>
        <v>Castilla y León</v>
      </c>
      <c r="B118" s="36" t="str">
        <f ca="1">IFERROR(__xludf.DUMMYFUNCTION("""COMPUTED_VALUE"""),"Soria")</f>
        <v>Soria</v>
      </c>
      <c r="C118" s="36">
        <f ca="1">IFERROR(__xludf.DUMMYFUNCTION("""COMPUTED_VALUE"""),2012)</f>
        <v>2012</v>
      </c>
      <c r="D118" s="36" t="str">
        <f ca="1">IFERROR(__xludf.DUMMYFUNCTION("""COMPUTED_VALUE"""),"Tallac")</f>
        <v>Tallac</v>
      </c>
      <c r="E118" s="36" t="str">
        <f ca="1">IFERROR(__xludf.DUMMYFUNCTION("""COMPUTED_VALUE"""),"gs.tallac@scoutsdemadrid.org ")</f>
        <v xml:space="preserve">gs.tallac@scoutsdemadrid.org </v>
      </c>
      <c r="F118" s="48">
        <f ca="1">IFERROR(__xludf.DUMMYFUNCTION("""COMPUTED_VALUE"""),41091)</f>
        <v>41091</v>
      </c>
      <c r="G118" s="48">
        <f ca="1">IFERROR(__xludf.DUMMYFUNCTION("""COMPUTED_VALUE"""),41105)</f>
        <v>41105</v>
      </c>
      <c r="H118" s="36" t="str">
        <f ca="1">IFERROR(__xludf.DUMMYFUNCTION("""COMPUTED_VALUE"""),"Duruelo De La Sierra")</f>
        <v>Duruelo De La Sierra</v>
      </c>
      <c r="I118" s="36" t="str">
        <f ca="1">IFERROR(__xludf.DUMMYFUNCTION("""COMPUTED_VALUE"""),"EL CERRILLO")</f>
        <v>EL CERRILLO</v>
      </c>
      <c r="J118" s="36" t="str">
        <f ca="1">IFERROR(__xludf.DUMMYFUNCTION("""COMPUTED_VALUE"""),"")</f>
        <v/>
      </c>
      <c r="K118" s="49" t="str">
        <f ca="1">IFERROR(__xludf.DUMMYFUNCTION("""COMPUTED_VALUE"""),"https://maps.google.es/maps?hl=es&amp;authuser=0")</f>
        <v>https://maps.google.es/maps?hl=es&amp;authuser=0</v>
      </c>
      <c r="L118" s="36" t="str">
        <f ca="1">IFERROR(__xludf.DUMMYFUNCTION("""COMPUTED_VALUE"""),"")</f>
        <v/>
      </c>
      <c r="M118" s="36" t="str">
        <f ca="1">IFERROR(__xludf.DUMMYFUNCTION("""COMPUTED_VALUE"""),"")</f>
        <v/>
      </c>
      <c r="N118" s="36" t="str">
        <f ca="1">IFERROR(__xludf.DUMMYFUNCTION("""COMPUTED_VALUE"""),"")</f>
        <v/>
      </c>
      <c r="O118" s="36" t="str">
        <f ca="1">IFERROR(__xludf.DUMMYFUNCTION("""COMPUTED_VALUE"""),"")</f>
        <v/>
      </c>
      <c r="P118" s="36" t="str">
        <f ca="1">IFERROR(__xludf.DUMMYFUNCTION("""COMPUTED_VALUE"""),"")</f>
        <v/>
      </c>
      <c r="Q118" s="36" t="str">
        <f ca="1">IFERROR(__xludf.DUMMYFUNCTION("""COMPUTED_VALUE"""),"")</f>
        <v/>
      </c>
      <c r="R118" s="36" t="str">
        <f ca="1">IFERROR(__xludf.DUMMYFUNCTION("""COMPUTED_VALUE"""),"")</f>
        <v/>
      </c>
      <c r="S118" s="36" t="str">
        <f ca="1">IFERROR(__xludf.DUMMYFUNCTION("""COMPUTED_VALUE"""),"")</f>
        <v/>
      </c>
      <c r="T118" s="36" t="str">
        <f ca="1">IFERROR(__xludf.DUMMYFUNCTION("""COMPUTED_VALUE"""),"")</f>
        <v/>
      </c>
      <c r="U118" s="36" t="str">
        <f ca="1">IFERROR(__xludf.DUMMYFUNCTION("""COMPUTED_VALUE"""),"")</f>
        <v/>
      </c>
      <c r="V118" s="36" t="str">
        <f ca="1">IFERROR(__xludf.DUMMYFUNCTION("""COMPUTED_VALUE"""),"")</f>
        <v/>
      </c>
      <c r="W118" s="36" t="str">
        <f ca="1">IFERROR(__xludf.DUMMYFUNCTION("""COMPUTED_VALUE"""),"")</f>
        <v/>
      </c>
      <c r="X118" s="36"/>
      <c r="Y118" s="36"/>
      <c r="Z118" s="36"/>
    </row>
    <row r="119" spans="1:26" ht="12.75" hidden="1">
      <c r="A119" s="36" t="str">
        <f ca="1">IFERROR(__xludf.DUMMYFUNCTION("""COMPUTED_VALUE"""),"Castilla y León")</f>
        <v>Castilla y León</v>
      </c>
      <c r="B119" s="36" t="str">
        <f ca="1">IFERROR(__xludf.DUMMYFUNCTION("""COMPUTED_VALUE"""),"León")</f>
        <v>León</v>
      </c>
      <c r="C119" s="36">
        <f ca="1">IFERROR(__xludf.DUMMYFUNCTION("""COMPUTED_VALUE"""),2019)</f>
        <v>2019</v>
      </c>
      <c r="D119" s="36" t="str">
        <f ca="1">IFERROR(__xludf.DUMMYFUNCTION("""COMPUTED_VALUE"""),"Tallac")</f>
        <v>Tallac</v>
      </c>
      <c r="E119" s="36" t="str">
        <f ca="1">IFERROR(__xludf.DUMMYFUNCTION("""COMPUTED_VALUE"""),"gs.tallac@scoutsdemadrid.org ")</f>
        <v xml:space="preserve">gs.tallac@scoutsdemadrid.org </v>
      </c>
      <c r="F119" s="36">
        <f ca="1">IFERROR(__xludf.DUMMYFUNCTION("""COMPUTED_VALUE"""),43647)</f>
        <v>43647</v>
      </c>
      <c r="G119" s="48">
        <f ca="1">IFERROR(__xludf.DUMMYFUNCTION("""COMPUTED_VALUE"""),43661)</f>
        <v>43661</v>
      </c>
      <c r="H119" s="36" t="str">
        <f ca="1">IFERROR(__xludf.DUMMYFUNCTION("""COMPUTED_VALUE"""),"León")</f>
        <v>León</v>
      </c>
      <c r="I119" s="36" t="str">
        <f ca="1">IFERROR(__xludf.DUMMYFUNCTION("""COMPUTED_VALUE"""),"Finca rústica")</f>
        <v>Finca rústica</v>
      </c>
      <c r="J119" s="36" t="str">
        <f ca="1">IFERROR(__xludf.DUMMYFUNCTION("""COMPUTED_VALUE"""),"24124A00200217 - 24124A00200293")</f>
        <v>24124A00200217 - 24124A00200293</v>
      </c>
      <c r="K119" s="36" t="str">
        <f ca="1">IFERROR(__xludf.DUMMYFUNCTION("""COMPUTED_VALUE"""),"43.048087,-5.278349")</f>
        <v>43.048087,-5.278349</v>
      </c>
      <c r="L119" s="36" t="str">
        <f ca="1">IFERROR(__xludf.DUMMYFUNCTION("""COMPUTED_VALUE"""),"Andrés Bayón González")</f>
        <v>Andrés Bayón González</v>
      </c>
      <c r="M119" s="36" t="str">
        <f ca="1">IFERROR(__xludf.DUMMYFUNCTION("""COMPUTED_VALUE"""),"653 59 67 14")</f>
        <v>653 59 67 14</v>
      </c>
      <c r="N119" s="36" t="str">
        <f ca="1">IFERROR(__xludf.DUMMYFUNCTION("""COMPUTED_VALUE"""),"no tiene")</f>
        <v>no tiene</v>
      </c>
      <c r="O119" s="36">
        <f ca="1">IFERROR(__xludf.DUMMYFUNCTION("""COMPUTED_VALUE"""),260)</f>
        <v>260</v>
      </c>
      <c r="P119" s="36" t="str">
        <f ca="1">IFERROR(__xludf.DUMMYFUNCTION("""COMPUTED_VALUE"""),"1,5 hectáreas ")</f>
        <v xml:space="preserve">1,5 hectáreas </v>
      </c>
      <c r="Q119" s="36" t="str">
        <f ca="1">IFERROR(__xludf.DUMMYFUNCTION("""COMPUTED_VALUE"""),"BUENO (Se puede acceder con cualquier coche)")</f>
        <v>BUENO (Se puede acceder con cualquier coche)</v>
      </c>
      <c r="R119" s="36" t="str">
        <f ca="1">IFERROR(__xludf.DUMMYFUNCTION("""COMPUTED_VALUE"""),"No")</f>
        <v>No</v>
      </c>
      <c r="S119" s="36" t="str">
        <f ca="1">IFERROR(__xludf.DUMMYFUNCTION("""COMPUTED_VALUE"""),"50m")</f>
        <v>50m</v>
      </c>
      <c r="T119" s="36" t="str">
        <f ca="1">IFERROR(__xludf.DUMMYFUNCTION("""COMPUTED_VALUE"""),"Río Porma con pequeño paso para su entrada.")</f>
        <v>Río Porma con pequeño paso para su entrada.</v>
      </c>
      <c r="U119" s="36" t="str">
        <f ca="1">IFERROR(__xludf.DUMMYFUNCTION("""COMPUTED_VALUE"""),"No")</f>
        <v>No</v>
      </c>
      <c r="V119" s="36" t="str">
        <f ca="1">IFERROR(__xludf.DUMMYFUNCTION("""COMPUTED_VALUE"""),"No")</f>
        <v>No</v>
      </c>
      <c r="W119" s="36" t="str">
        <f ca="1">IFERROR(__xludf.DUMMYFUNCTION("""COMPUTED_VALUE"""),"Prado sin ningún tipo de instalación rodeado por el arroyo Tronisco y el Río Porma, acceso a la LE-333. Dispone de una pequeña colina donde hay un pequeño bosque.")</f>
        <v>Prado sin ningún tipo de instalación rodeado por el arroyo Tronisco y el Río Porma, acceso a la LE-333. Dispone de una pequeña colina donde hay un pequeño bosque.</v>
      </c>
      <c r="X119" s="36"/>
      <c r="Y119" s="36"/>
      <c r="Z119" s="36"/>
    </row>
    <row r="120" spans="1:26" ht="12.75" hidden="1">
      <c r="A120" s="36" t="str">
        <f ca="1">IFERROR(__xludf.DUMMYFUNCTION("""COMPUTED_VALUE"""),"Castilla y León")</f>
        <v>Castilla y León</v>
      </c>
      <c r="B120" s="36" t="str">
        <f ca="1">IFERROR(__xludf.DUMMYFUNCTION("""COMPUTED_VALUE"""),"Ávila")</f>
        <v>Ávila</v>
      </c>
      <c r="C120" s="36">
        <f ca="1">IFERROR(__xludf.DUMMYFUNCTION("""COMPUTED_VALUE"""),2017)</f>
        <v>2017</v>
      </c>
      <c r="D120" s="36" t="str">
        <f ca="1">IFERROR(__xludf.DUMMYFUNCTION("""COMPUTED_VALUE"""),"Ultreya")</f>
        <v>Ultreya</v>
      </c>
      <c r="E120" s="36" t="str">
        <f ca="1">IFERROR(__xludf.DUMMYFUNCTION("""COMPUTED_VALUE"""),"gs.ultreya@scoutsdemadrid.org ")</f>
        <v xml:space="preserve">gs.ultreya@scoutsdemadrid.org </v>
      </c>
      <c r="F120" s="48">
        <f ca="1">IFERROR(__xludf.DUMMYFUNCTION("""COMPUTED_VALUE"""),42924)</f>
        <v>42924</v>
      </c>
      <c r="G120" s="48">
        <f ca="1">IFERROR(__xludf.DUMMYFUNCTION("""COMPUTED_VALUE"""),42932)</f>
        <v>42932</v>
      </c>
      <c r="H120" s="36" t="str">
        <f ca="1">IFERROR(__xludf.DUMMYFUNCTION("""COMPUTED_VALUE"""),"Mombeltrán")</f>
        <v>Mombeltrán</v>
      </c>
      <c r="I120" s="36" t="str">
        <f ca="1">IFERROR(__xludf.DUMMYFUNCTION("""COMPUTED_VALUE"""),"Campamento los Sauces")</f>
        <v>Campamento los Sauces</v>
      </c>
      <c r="J120" s="36" t="str">
        <f ca="1">IFERROR(__xludf.DUMMYFUNCTION("""COMPUTED_VALUE"""),"")</f>
        <v/>
      </c>
      <c r="K120" s="36" t="str">
        <f ca="1">IFERROR(__xludf.DUMMYFUNCTION("""COMPUTED_VALUE"""),"")</f>
        <v/>
      </c>
      <c r="L120" s="36" t="str">
        <f ca="1">IFERROR(__xludf.DUMMYFUNCTION("""COMPUTED_VALUE"""),"EDUCO")</f>
        <v>EDUCO</v>
      </c>
      <c r="M120" s="36" t="str">
        <f ca="1">IFERROR(__xludf.DUMMYFUNCTION("""COMPUTED_VALUE"""),"")</f>
        <v/>
      </c>
      <c r="N120" s="36" t="str">
        <f ca="1">IFERROR(__xludf.DUMMYFUNCTION("""COMPUTED_VALUE"""),"")</f>
        <v/>
      </c>
      <c r="O120" s="36" t="str">
        <f ca="1">IFERROR(__xludf.DUMMYFUNCTION("""COMPUTED_VALUE"""),"")</f>
        <v/>
      </c>
      <c r="P120" s="36" t="str">
        <f ca="1">IFERROR(__xludf.DUMMYFUNCTION("""COMPUTED_VALUE"""),"")</f>
        <v/>
      </c>
      <c r="Q120" s="36" t="str">
        <f ca="1">IFERROR(__xludf.DUMMYFUNCTION("""COMPUTED_VALUE"""),"BUENO (Se puede acceder con cualquier coche)")</f>
        <v>BUENO (Se puede acceder con cualquier coche)</v>
      </c>
      <c r="R120" s="36" t="str">
        <f ca="1">IFERROR(__xludf.DUMMYFUNCTION("""COMPUTED_VALUE"""),"Sí")</f>
        <v>Sí</v>
      </c>
      <c r="S120" s="36" t="str">
        <f ca="1">IFERROR(__xludf.DUMMYFUNCTION("""COMPUTED_VALUE"""),"100 METROS")</f>
        <v>100 METROS</v>
      </c>
      <c r="T120" s="36" t="str">
        <f ca="1">IFERROR(__xludf.DUMMYFUNCTION("""COMPUTED_VALUE"""),"")</f>
        <v/>
      </c>
      <c r="U120" s="36" t="str">
        <f ca="1">IFERROR(__xludf.DUMMYFUNCTION("""COMPUTED_VALUE"""),"COCINA, COMEDOR, BAÑOS")</f>
        <v>COCINA, COMEDOR, BAÑOS</v>
      </c>
      <c r="V120" s="36" t="str">
        <f ca="1">IFERROR(__xludf.DUMMYFUNCTION("""COMPUTED_VALUE"""),"SI ")</f>
        <v xml:space="preserve">SI </v>
      </c>
      <c r="W120" s="36" t="str">
        <f ca="1">IFERROR(__xludf.DUMMYFUNCTION("""COMPUTED_VALUE"""),"")</f>
        <v/>
      </c>
      <c r="X120" s="36"/>
      <c r="Y120" s="36"/>
      <c r="Z120" s="36"/>
    </row>
    <row r="121" spans="1:26" ht="12.75" hidden="1">
      <c r="A121" s="36" t="str">
        <f ca="1">IFERROR(__xludf.DUMMYFUNCTION("""COMPUTED_VALUE"""),"Castilla y León")</f>
        <v>Castilla y León</v>
      </c>
      <c r="B121" s="36" t="str">
        <f ca="1">IFERROR(__xludf.DUMMYFUNCTION("""COMPUTED_VALUE"""),"Salamanca")</f>
        <v>Salamanca</v>
      </c>
      <c r="C121" s="36">
        <f ca="1">IFERROR(__xludf.DUMMYFUNCTION("""COMPUTED_VALUE"""),2018)</f>
        <v>2018</v>
      </c>
      <c r="D121" s="36" t="str">
        <f ca="1">IFERROR(__xludf.DUMMYFUNCTION("""COMPUTED_VALUE"""),"Ultreya")</f>
        <v>Ultreya</v>
      </c>
      <c r="E121" s="36" t="str">
        <f ca="1">IFERROR(__xludf.DUMMYFUNCTION("""COMPUTED_VALUE"""),"gs.ultreya@scoutsdemadrid.org ")</f>
        <v xml:space="preserve">gs.ultreya@scoutsdemadrid.org </v>
      </c>
      <c r="F121" s="48">
        <f ca="1">IFERROR(__xludf.DUMMYFUNCTION("""COMPUTED_VALUE"""),43282)</f>
        <v>43282</v>
      </c>
      <c r="G121" s="48">
        <f ca="1">IFERROR(__xludf.DUMMYFUNCTION("""COMPUTED_VALUE"""),43288)</f>
        <v>43288</v>
      </c>
      <c r="H121" s="36" t="str">
        <f ca="1">IFERROR(__xludf.DUMMYFUNCTION("""COMPUTED_VALUE"""),"Candelario")</f>
        <v>Candelario</v>
      </c>
      <c r="I121" s="36" t="str">
        <f ca="1">IFERROR(__xludf.DUMMYFUNCTION("""COMPUTED_VALUE"""),"LA DEHESA")</f>
        <v>LA DEHESA</v>
      </c>
      <c r="J121" s="36">
        <f ca="1">IFERROR(__xludf.DUMMYFUNCTION("""COMPUTED_VALUE"""),0)</f>
        <v>0</v>
      </c>
      <c r="K121" s="36" t="str">
        <f ca="1">IFERROR(__xludf.DUMMYFUNCTION("""COMPUTED_VALUE"""),"40º 22' 4.966''  5º 44' 40.225''")</f>
        <v>40º 22' 4.966''  5º 44' 40.225''</v>
      </c>
      <c r="L121" s="36" t="str">
        <f ca="1">IFERROR(__xludf.DUMMYFUNCTION("""COMPUTED_VALUE"""),"Delegación Territorial de Salamanca Dirección General de Calidad y Sostenibilidad Ambiental")</f>
        <v>Delegación Territorial de Salamanca Dirección General de Calidad y Sostenibilidad Ambiental</v>
      </c>
      <c r="M121" s="36" t="str">
        <f ca="1">IFERROR(__xludf.DUMMYFUNCTION("""COMPUTED_VALUE"""),"923 296 026. Ext. 851724")</f>
        <v>923 296 026. Ext. 851724</v>
      </c>
      <c r="N121" s="36" t="str">
        <f ca="1">IFERROR(__xludf.DUMMYFUNCTION("""COMPUTED_VALUE"""),"JuaAlcJa@jcyl.es")</f>
        <v>JuaAlcJa@jcyl.es</v>
      </c>
      <c r="O121" s="36" t="str">
        <f ca="1">IFERROR(__xludf.DUMMYFUNCTION("""COMPUTED_VALUE"""),"20 € persona/quincena")</f>
        <v>20 € persona/quincena</v>
      </c>
      <c r="P121" s="36" t="str">
        <f ca="1">IFERROR(__xludf.DUMMYFUNCTION("""COMPUTED_VALUE"""),"2 ha")</f>
        <v>2 ha</v>
      </c>
      <c r="Q121" s="36" t="str">
        <f ca="1">IFERROR(__xludf.DUMMYFUNCTION("""COMPUTED_VALUE"""),"MALO (Solo se puede acceder con todoterreno)")</f>
        <v>MALO (Solo se puede acceder con todoterreno)</v>
      </c>
      <c r="R121" s="36" t="str">
        <f ca="1">IFERROR(__xludf.DUMMYFUNCTION("""COMPUTED_VALUE"""),"Sí")</f>
        <v>Sí</v>
      </c>
      <c r="S121" s="36" t="str">
        <f ca="1">IFERROR(__xludf.DUMMYFUNCTION("""COMPUTED_VALUE"""),"500 metros")</f>
        <v>500 metros</v>
      </c>
      <c r="T121" s="36" t="str">
        <f ca="1">IFERROR(__xludf.DUMMYFUNCTION("""COMPUTED_VALUE"""),"regular")</f>
        <v>regular</v>
      </c>
      <c r="U121" s="36" t="str">
        <f ca="1">IFERROR(__xludf.DUMMYFUNCTION("""COMPUTED_VALUE"""),"Baños, cocina y comedor")</f>
        <v>Baños, cocina y comedor</v>
      </c>
      <c r="V121" s="36" t="str">
        <f ca="1">IFERROR(__xludf.DUMMYFUNCTION("""COMPUTED_VALUE"""),"no")</f>
        <v>no</v>
      </c>
      <c r="W121" s="36" t="str">
        <f ca="1">IFERROR(__xludf.DUMMYFUNCTION("""COMPUTED_VALUE"""),"Bastante sombra, tiene un generador")</f>
        <v>Bastante sombra, tiene un generador</v>
      </c>
      <c r="X121" s="36"/>
      <c r="Y121" s="36"/>
      <c r="Z121" s="36"/>
    </row>
    <row r="122" spans="1:26" ht="12.75" hidden="1">
      <c r="A122" s="36" t="str">
        <f ca="1">IFERROR(__xludf.DUMMYFUNCTION("""COMPUTED_VALUE"""),"Castilla y León")</f>
        <v>Castilla y León</v>
      </c>
      <c r="B122" s="36" t="str">
        <f ca="1">IFERROR(__xludf.DUMMYFUNCTION("""COMPUTED_VALUE"""),"Salamanca")</f>
        <v>Salamanca</v>
      </c>
      <c r="C122" s="36">
        <f ca="1">IFERROR(__xludf.DUMMYFUNCTION("""COMPUTED_VALUE"""),2019)</f>
        <v>2019</v>
      </c>
      <c r="D122" s="36" t="str">
        <f ca="1">IFERROR(__xludf.DUMMYFUNCTION("""COMPUTED_VALUE"""),"Ultreya")</f>
        <v>Ultreya</v>
      </c>
      <c r="E122" s="36" t="str">
        <f ca="1">IFERROR(__xludf.DUMMYFUNCTION("""COMPUTED_VALUE"""),"gs.ultreya@scoutsdemadrid.org ")</f>
        <v xml:space="preserve">gs.ultreya@scoutsdemadrid.org </v>
      </c>
      <c r="F122" s="36">
        <f ca="1">IFERROR(__xludf.DUMMYFUNCTION("""COMPUTED_VALUE"""),43646)</f>
        <v>43646</v>
      </c>
      <c r="G122" s="48">
        <f ca="1">IFERROR(__xludf.DUMMYFUNCTION("""COMPUTED_VALUE"""),43650)</f>
        <v>43650</v>
      </c>
      <c r="H122" s="36" t="str">
        <f ca="1">IFERROR(__xludf.DUMMYFUNCTION("""COMPUTED_VALUE"""),"Lagunilla")</f>
        <v>Lagunilla</v>
      </c>
      <c r="I122" s="36" t="str">
        <f ca="1">IFERROR(__xludf.DUMMYFUNCTION("""COMPUTED_VALUE"""),"Vallejo La Mata")</f>
        <v>Vallejo La Mata</v>
      </c>
      <c r="J122" s="36" t="str">
        <f ca="1">IFERROR(__xludf.DUMMYFUNCTION("""COMPUTED_VALUE"""),"37169A01710001")</f>
        <v>37169A01710001</v>
      </c>
      <c r="K122" s="36" t="str">
        <f ca="1">IFERROR(__xludf.DUMMYFUNCTION("""COMPUTED_VALUE"""),"40.319624, -5.972947")</f>
        <v>40.319624, -5.972947</v>
      </c>
      <c r="L122" s="36" t="str">
        <f ca="1">IFERROR(__xludf.DUMMYFUNCTION("""COMPUTED_VALUE"""),"Ayuntamiento Lagunilla")</f>
        <v>Ayuntamiento Lagunilla</v>
      </c>
      <c r="M122" s="36" t="str">
        <f ca="1">IFERROR(__xludf.DUMMYFUNCTION("""COMPUTED_VALUE"""),"923 41 77 57")</f>
        <v>923 41 77 57</v>
      </c>
      <c r="N122" s="36" t="str">
        <f ca="1">IFERROR(__xludf.DUMMYFUNCTION("""COMPUTED_VALUE"""),"ayuntamientolagunilla@hotmail.com")</f>
        <v>ayuntamientolagunilla@hotmail.com</v>
      </c>
      <c r="O122" s="36" t="str">
        <f ca="1">IFERROR(__xludf.DUMMYFUNCTION("""COMPUTED_VALUE"""),"15 € x persona x quincena")</f>
        <v>15 € x persona x quincena</v>
      </c>
      <c r="P122" s="36" t="str">
        <f ca="1">IFERROR(__xludf.DUMMYFUNCTION("""COMPUTED_VALUE"""),"2 ha")</f>
        <v>2 ha</v>
      </c>
      <c r="Q122" s="36" t="str">
        <f ca="1">IFERROR(__xludf.DUMMYFUNCTION("""COMPUTED_VALUE"""),"BUENO (Se puede acceder con cualquier coche)")</f>
        <v>BUENO (Se puede acceder con cualquier coche)</v>
      </c>
      <c r="R122" s="36" t="str">
        <f ca="1">IFERROR(__xludf.DUMMYFUNCTION("""COMPUTED_VALUE"""),"Sí")</f>
        <v>Sí</v>
      </c>
      <c r="S122" s="36" t="str">
        <f ca="1">IFERROR(__xludf.DUMMYFUNCTION("""COMPUTED_VALUE"""),"no tiene")</f>
        <v>no tiene</v>
      </c>
      <c r="T122" s="36" t="str">
        <f ca="1">IFERROR(__xludf.DUMMYFUNCTION("""COMPUTED_VALUE"""),"no tiene")</f>
        <v>no tiene</v>
      </c>
      <c r="U122" s="36" t="str">
        <f ca="1">IFERROR(__xludf.DUMMYFUNCTION("""COMPUTED_VALUE"""),"cocina y baños")</f>
        <v>cocina y baños</v>
      </c>
      <c r="V122" s="36" t="str">
        <f ca="1">IFERROR(__xludf.DUMMYFUNCTION("""COMPUTED_VALUE"""),"si")</f>
        <v>si</v>
      </c>
      <c r="W122" s="36" t="str">
        <f ca="1">IFERROR(__xludf.DUMMYFUNCTION("""COMPUTED_VALUE"""),"zona robledal con cocina y baños ")</f>
        <v xml:space="preserve">zona robledal con cocina y baños </v>
      </c>
      <c r="X122" s="36"/>
      <c r="Y122" s="36"/>
      <c r="Z122" s="36"/>
    </row>
    <row r="123" spans="1:26" ht="12.75" hidden="1">
      <c r="A123" s="36" t="str">
        <f ca="1">IFERROR(__xludf.DUMMYFUNCTION("""COMPUTED_VALUE"""),"Castilla y León")</f>
        <v>Castilla y León</v>
      </c>
      <c r="B123" s="36" t="str">
        <f ca="1">IFERROR(__xludf.DUMMYFUNCTION("""COMPUTED_VALUE"""),"Ávila")</f>
        <v>Ávila</v>
      </c>
      <c r="C123" s="36">
        <f ca="1">IFERROR(__xludf.DUMMYFUNCTION("""COMPUTED_VALUE"""),2016)</f>
        <v>2016</v>
      </c>
      <c r="D123" s="36" t="str">
        <f ca="1">IFERROR(__xludf.DUMMYFUNCTION("""COMPUTED_VALUE"""),"Valverde")</f>
        <v>Valverde</v>
      </c>
      <c r="E123" s="36" t="str">
        <f ca="1">IFERROR(__xludf.DUMMYFUNCTION("""COMPUTED_VALUE"""),"gs.valverde@scoutsdemadrid.org ")</f>
        <v xml:space="preserve">gs.valverde@scoutsdemadrid.org </v>
      </c>
      <c r="F123" s="48">
        <f ca="1">IFERROR(__xludf.DUMMYFUNCTION("""COMPUTED_VALUE"""),42564)</f>
        <v>42564</v>
      </c>
      <c r="G123" s="48">
        <f ca="1">IFERROR(__xludf.DUMMYFUNCTION("""COMPUTED_VALUE"""),42581)</f>
        <v>42581</v>
      </c>
      <c r="H123" s="36" t="str">
        <f ca="1">IFERROR(__xludf.DUMMYFUNCTION("""COMPUTED_VALUE"""),"Navalmoral De La Sierra")</f>
        <v>Navalmoral De La Sierra</v>
      </c>
      <c r="I123" s="36" t="str">
        <f ca="1">IFERROR(__xludf.DUMMYFUNCTION("""COMPUTED_VALUE"""),"La Chaparrera")</f>
        <v>La Chaparrera</v>
      </c>
      <c r="J123" s="36">
        <f ca="1">IFERROR(__xludf.DUMMYFUNCTION("""COMPUTED_VALUE"""),1043)</f>
        <v>1043</v>
      </c>
      <c r="K123" s="36" t="str">
        <f ca="1">IFERROR(__xludf.DUMMYFUNCTION("""COMPUTED_VALUE"""),"latitud: 40º 26' 41,17'' longitud:4º 44' 45,82''")</f>
        <v>latitud: 40º 26' 41,17'' longitud:4º 44' 45,82''</v>
      </c>
      <c r="L123" s="36" t="str">
        <f ca="1">IFERROR(__xludf.DUMMYFUNCTION("""COMPUTED_VALUE"""),"Manuela Garcia Garcia")</f>
        <v>Manuela Garcia Garcia</v>
      </c>
      <c r="M123" s="36">
        <f ca="1">IFERROR(__xludf.DUMMYFUNCTION("""COMPUTED_VALUE"""),638233456)</f>
        <v>638233456</v>
      </c>
      <c r="N123" s="36" t="str">
        <f ca="1">IFERROR(__xludf.DUMMYFUNCTION("""COMPUTED_VALUE"""),"carlos_g.r@hotmail.com")</f>
        <v>carlos_g.r@hotmail.com</v>
      </c>
      <c r="O123" s="36" t="str">
        <f ca="1">IFERROR(__xludf.DUMMYFUNCTION("""COMPUTED_VALUE"""),"Por quincena 700 euros")</f>
        <v>Por quincena 700 euros</v>
      </c>
      <c r="P123" s="36" t="str">
        <f ca="1">IFERROR(__xludf.DUMMYFUNCTION("""COMPUTED_VALUE"""),"10 Ha")</f>
        <v>10 Ha</v>
      </c>
      <c r="Q123" s="36" t="str">
        <f ca="1">IFERROR(__xludf.DUMMYFUNCTION("""COMPUTED_VALUE"""),"BUENO (Se puede acceder con cualquier coche)")</f>
        <v>BUENO (Se puede acceder con cualquier coche)</v>
      </c>
      <c r="R123" s="36" t="str">
        <f ca="1">IFERROR(__xludf.DUMMYFUNCTION("""COMPUTED_VALUE"""),"Sí")</f>
        <v>Sí</v>
      </c>
      <c r="S123" s="36" t="str">
        <f ca="1">IFERROR(__xludf.DUMMYFUNCTION("""COMPUTED_VALUE"""),"3 km")</f>
        <v>3 km</v>
      </c>
      <c r="T123" s="36" t="str">
        <f ca="1">IFERROR(__xludf.DUMMYFUNCTION("""COMPUTED_VALUE"""),"Piscina del pueblo")</f>
        <v>Piscina del pueblo</v>
      </c>
      <c r="U123" s="36" t="str">
        <f ca="1">IFERROR(__xludf.DUMMYFUNCTION("""COMPUTED_VALUE"""),"Fregadero")</f>
        <v>Fregadero</v>
      </c>
      <c r="V123" s="36" t="str">
        <f ca="1">IFERROR(__xludf.DUMMYFUNCTION("""COMPUTED_VALUE"""),"No")</f>
        <v>No</v>
      </c>
      <c r="W123" s="36" t="str">
        <f ca="1">IFERROR(__xludf.DUMMYFUNCTION("""COMPUTED_VALUE"""),"")</f>
        <v/>
      </c>
      <c r="X123" s="36"/>
      <c r="Y123" s="36"/>
      <c r="Z123" s="36"/>
    </row>
    <row r="124" spans="1:26" ht="12.75" hidden="1">
      <c r="A124" s="36" t="str">
        <f ca="1">IFERROR(__xludf.DUMMYFUNCTION("""COMPUTED_VALUE"""),"Castilla y León")</f>
        <v>Castilla y León</v>
      </c>
      <c r="B124" s="36" t="str">
        <f ca="1">IFERROR(__xludf.DUMMYFUNCTION("""COMPUTED_VALUE"""),"Ávila")</f>
        <v>Ávila</v>
      </c>
      <c r="C124" s="36">
        <f ca="1">IFERROR(__xludf.DUMMYFUNCTION("""COMPUTED_VALUE"""),2016)</f>
        <v>2016</v>
      </c>
      <c r="D124" s="36" t="str">
        <f ca="1">IFERROR(__xludf.DUMMYFUNCTION("""COMPUTED_VALUE"""),"Valverde")</f>
        <v>Valverde</v>
      </c>
      <c r="E124" s="36" t="str">
        <f ca="1">IFERROR(__xludf.DUMMYFUNCTION("""COMPUTED_VALUE"""),"gs.valverde@scoutsdemadrid.org ")</f>
        <v xml:space="preserve">gs.valverde@scoutsdemadrid.org </v>
      </c>
      <c r="F124" s="48">
        <f ca="1">IFERROR(__xludf.DUMMYFUNCTION("""COMPUTED_VALUE"""),42564)</f>
        <v>42564</v>
      </c>
      <c r="G124" s="48">
        <f ca="1">IFERROR(__xludf.DUMMYFUNCTION("""COMPUTED_VALUE"""),42581)</f>
        <v>42581</v>
      </c>
      <c r="H124" s="36" t="str">
        <f ca="1">IFERROR(__xludf.DUMMYFUNCTION("""COMPUTED_VALUE"""),"Navalmoral De La Sierra")</f>
        <v>Navalmoral De La Sierra</v>
      </c>
      <c r="I124" s="36" t="str">
        <f ca="1">IFERROR(__xludf.DUMMYFUNCTION("""COMPUTED_VALUE"""),"La Chaparrera")</f>
        <v>La Chaparrera</v>
      </c>
      <c r="J124" s="36">
        <f ca="1">IFERROR(__xludf.DUMMYFUNCTION("""COMPUTED_VALUE"""),1043)</f>
        <v>1043</v>
      </c>
      <c r="K124" s="36" t="str">
        <f ca="1">IFERROR(__xludf.DUMMYFUNCTION("""COMPUTED_VALUE"""),"latitud: 40º 26' 41,17'' longitud:4º 44' 45,82''")</f>
        <v>latitud: 40º 26' 41,17'' longitud:4º 44' 45,82''</v>
      </c>
      <c r="L124" s="36" t="str">
        <f ca="1">IFERROR(__xludf.DUMMYFUNCTION("""COMPUTED_VALUE"""),"Manuela Garcia Garcia")</f>
        <v>Manuela Garcia Garcia</v>
      </c>
      <c r="M124" s="36">
        <f ca="1">IFERROR(__xludf.DUMMYFUNCTION("""COMPUTED_VALUE"""),638233456)</f>
        <v>638233456</v>
      </c>
      <c r="N124" s="36" t="str">
        <f ca="1">IFERROR(__xludf.DUMMYFUNCTION("""COMPUTED_VALUE"""),"carlos_g.r@hotmail.com")</f>
        <v>carlos_g.r@hotmail.com</v>
      </c>
      <c r="O124" s="36" t="str">
        <f ca="1">IFERROR(__xludf.DUMMYFUNCTION("""COMPUTED_VALUE"""),"Por quincena 700 euros")</f>
        <v>Por quincena 700 euros</v>
      </c>
      <c r="P124" s="36" t="str">
        <f ca="1">IFERROR(__xludf.DUMMYFUNCTION("""COMPUTED_VALUE"""),"10 Ha")</f>
        <v>10 Ha</v>
      </c>
      <c r="Q124" s="36" t="str">
        <f ca="1">IFERROR(__xludf.DUMMYFUNCTION("""COMPUTED_VALUE"""),"BUENO (Se puede acceder con cualquier coche)")</f>
        <v>BUENO (Se puede acceder con cualquier coche)</v>
      </c>
      <c r="R124" s="36" t="str">
        <f ca="1">IFERROR(__xludf.DUMMYFUNCTION("""COMPUTED_VALUE"""),"Sí")</f>
        <v>Sí</v>
      </c>
      <c r="S124" s="36" t="str">
        <f ca="1">IFERROR(__xludf.DUMMYFUNCTION("""COMPUTED_VALUE"""),"3 km")</f>
        <v>3 km</v>
      </c>
      <c r="T124" s="36" t="str">
        <f ca="1">IFERROR(__xludf.DUMMYFUNCTION("""COMPUTED_VALUE"""),"Piscina del pueblo")</f>
        <v>Piscina del pueblo</v>
      </c>
      <c r="U124" s="36" t="str">
        <f ca="1">IFERROR(__xludf.DUMMYFUNCTION("""COMPUTED_VALUE"""),"Fregadero")</f>
        <v>Fregadero</v>
      </c>
      <c r="V124" s="36" t="str">
        <f ca="1">IFERROR(__xludf.DUMMYFUNCTION("""COMPUTED_VALUE"""),"No")</f>
        <v>No</v>
      </c>
      <c r="W124" s="36" t="str">
        <f ca="1">IFERROR(__xludf.DUMMYFUNCTION("""COMPUTED_VALUE"""),"")</f>
        <v/>
      </c>
      <c r="X124" s="36"/>
      <c r="Y124" s="36"/>
      <c r="Z124" s="36"/>
    </row>
    <row r="125" spans="1:26" ht="12.75" hidden="1">
      <c r="A125" s="36" t="str">
        <f ca="1">IFERROR(__xludf.DUMMYFUNCTION("""COMPUTED_VALUE"""),"Castilla y León")</f>
        <v>Castilla y León</v>
      </c>
      <c r="B125" s="36" t="str">
        <f ca="1">IFERROR(__xludf.DUMMYFUNCTION("""COMPUTED_VALUE"""),"Ávila")</f>
        <v>Ávila</v>
      </c>
      <c r="C125" s="36">
        <f ca="1">IFERROR(__xludf.DUMMYFUNCTION("""COMPUTED_VALUE"""),2015)</f>
        <v>2015</v>
      </c>
      <c r="D125" s="36" t="str">
        <f ca="1">IFERROR(__xludf.DUMMYFUNCTION("""COMPUTED_VALUE"""),"Vedruna")</f>
        <v>Vedruna</v>
      </c>
      <c r="E125" s="36" t="str">
        <f ca="1">IFERROR(__xludf.DUMMYFUNCTION("""COMPUTED_VALUE"""),"gs.vedruna@scoutsdemadrid.org ")</f>
        <v xml:space="preserve">gs.vedruna@scoutsdemadrid.org </v>
      </c>
      <c r="F125" s="48">
        <f ca="1">IFERROR(__xludf.DUMMYFUNCTION("""COMPUTED_VALUE"""),42188)</f>
        <v>42188</v>
      </c>
      <c r="G125" s="48">
        <f ca="1">IFERROR(__xludf.DUMMYFUNCTION("""COMPUTED_VALUE"""),42199)</f>
        <v>42199</v>
      </c>
      <c r="H125" s="36" t="str">
        <f ca="1">IFERROR(__xludf.DUMMYFUNCTION("""COMPUTED_VALUE"""),"Guisando")</f>
        <v>Guisando</v>
      </c>
      <c r="I125" s="36" t="str">
        <f ca="1">IFERROR(__xludf.DUMMYFUNCTION("""COMPUTED_VALUE"""),"La Casilla (Sierra de Gredos)")</f>
        <v>La Casilla (Sierra de Gredos)</v>
      </c>
      <c r="J125" s="36" t="str">
        <f ca="1">IFERROR(__xludf.DUMMYFUNCTION("""COMPUTED_VALUE"""),"")</f>
        <v/>
      </c>
      <c r="K125" s="36" t="str">
        <f ca="1">IFERROR(__xludf.DUMMYFUNCTION("""COMPUTED_VALUE"""),"N: 40º 14' 19'' O: -5º 7' 50''")</f>
        <v>N: 40º 14' 19'' O: -5º 7' 50''</v>
      </c>
      <c r="L125" s="36" t="str">
        <f ca="1">IFERROR(__xludf.DUMMYFUNCTION("""COMPUTED_VALUE"""),"")</f>
        <v/>
      </c>
      <c r="M125" s="36" t="str">
        <f ca="1">IFERROR(__xludf.DUMMYFUNCTION("""COMPUTED_VALUE"""),"")</f>
        <v/>
      </c>
      <c r="N125" s="36" t="str">
        <f ca="1">IFERROR(__xludf.DUMMYFUNCTION("""COMPUTED_VALUE"""),"")</f>
        <v/>
      </c>
      <c r="O125" s="36" t="str">
        <f ca="1">IFERROR(__xludf.DUMMYFUNCTION("""COMPUTED_VALUE"""),"")</f>
        <v/>
      </c>
      <c r="P125" s="36" t="str">
        <f ca="1">IFERROR(__xludf.DUMMYFUNCTION("""COMPUTED_VALUE"""),"")</f>
        <v/>
      </c>
      <c r="Q125" s="36" t="str">
        <f ca="1">IFERROR(__xludf.DUMMYFUNCTION("""COMPUTED_VALUE"""),"")</f>
        <v/>
      </c>
      <c r="R125" s="36" t="str">
        <f ca="1">IFERROR(__xludf.DUMMYFUNCTION("""COMPUTED_VALUE"""),"")</f>
        <v/>
      </c>
      <c r="S125" s="36" t="str">
        <f ca="1">IFERROR(__xludf.DUMMYFUNCTION("""COMPUTED_VALUE"""),"")</f>
        <v/>
      </c>
      <c r="T125" s="36" t="str">
        <f ca="1">IFERROR(__xludf.DUMMYFUNCTION("""COMPUTED_VALUE"""),"")</f>
        <v/>
      </c>
      <c r="U125" s="36" t="str">
        <f ca="1">IFERROR(__xludf.DUMMYFUNCTION("""COMPUTED_VALUE"""),"")</f>
        <v/>
      </c>
      <c r="V125" s="36" t="str">
        <f ca="1">IFERROR(__xludf.DUMMYFUNCTION("""COMPUTED_VALUE"""),"")</f>
        <v/>
      </c>
      <c r="W125" s="36" t="str">
        <f ca="1">IFERROR(__xludf.DUMMYFUNCTION("""COMPUTED_VALUE"""),"")</f>
        <v/>
      </c>
      <c r="X125" s="36"/>
      <c r="Y125" s="36"/>
      <c r="Z125" s="36"/>
    </row>
    <row r="126" spans="1:26" ht="12.75" hidden="1">
      <c r="A126" s="36" t="str">
        <f ca="1">IFERROR(__xludf.DUMMYFUNCTION("""COMPUTED_VALUE"""),"Castilla y León")</f>
        <v>Castilla y León</v>
      </c>
      <c r="B126" s="36" t="str">
        <f ca="1">IFERROR(__xludf.DUMMYFUNCTION("""COMPUTED_VALUE"""),"Ávila")</f>
        <v>Ávila</v>
      </c>
      <c r="C126" s="36">
        <f ca="1">IFERROR(__xludf.DUMMYFUNCTION("""COMPUTED_VALUE"""),2017)</f>
        <v>2017</v>
      </c>
      <c r="D126" s="36" t="str">
        <f ca="1">IFERROR(__xludf.DUMMYFUNCTION("""COMPUTED_VALUE"""),"Vedruna")</f>
        <v>Vedruna</v>
      </c>
      <c r="E126" s="36" t="str">
        <f ca="1">IFERROR(__xludf.DUMMYFUNCTION("""COMPUTED_VALUE"""),"gs.vedruna@scoutsdemadrid.org ")</f>
        <v xml:space="preserve">gs.vedruna@scoutsdemadrid.org </v>
      </c>
      <c r="F126" s="48">
        <f ca="1">IFERROR(__xludf.DUMMYFUNCTION("""COMPUTED_VALUE"""),42938)</f>
        <v>42938</v>
      </c>
      <c r="G126" s="48">
        <f ca="1">IFERROR(__xludf.DUMMYFUNCTION("""COMPUTED_VALUE"""),42946)</f>
        <v>42946</v>
      </c>
      <c r="H126" s="36" t="str">
        <f ca="1">IFERROR(__xludf.DUMMYFUNCTION("""COMPUTED_VALUE"""),"Bohoyo")</f>
        <v>Bohoyo</v>
      </c>
      <c r="I126" s="36" t="str">
        <f ca="1">IFERROR(__xludf.DUMMYFUNCTION("""COMPUTED_VALUE"""),"La Tortuga de los chozos de Gredos")</f>
        <v>La Tortuga de los chozos de Gredos</v>
      </c>
      <c r="J126" s="36" t="str">
        <f ca="1">IFERROR(__xludf.DUMMYFUNCTION("""COMPUTED_VALUE"""),"")</f>
        <v/>
      </c>
      <c r="K126" s="36" t="str">
        <f ca="1">IFERROR(__xludf.DUMMYFUNCTION("""COMPUTED_VALUE"""),"")</f>
        <v/>
      </c>
      <c r="L126" s="36" t="str">
        <f ca="1">IFERROR(__xludf.DUMMYFUNCTION("""COMPUTED_VALUE"""),"José Ignacio Romero Trillo")</f>
        <v>José Ignacio Romero Trillo</v>
      </c>
      <c r="M126" s="36">
        <f ca="1">IFERROR(__xludf.DUMMYFUNCTION("""COMPUTED_VALUE"""),630881829)</f>
        <v>630881829</v>
      </c>
      <c r="N126" s="36" t="str">
        <f ca="1">IFERROR(__xludf.DUMMYFUNCTION("""COMPUTED_VALUE"""),"")</f>
        <v/>
      </c>
      <c r="O126" s="36" t="str">
        <f ca="1">IFERROR(__xludf.DUMMYFUNCTION("""COMPUTED_VALUE"""),"")</f>
        <v/>
      </c>
      <c r="P126" s="36" t="str">
        <f ca="1">IFERROR(__xludf.DUMMYFUNCTION("""COMPUTED_VALUE"""),"")</f>
        <v/>
      </c>
      <c r="Q126" s="36" t="str">
        <f ca="1">IFERROR(__xludf.DUMMYFUNCTION("""COMPUTED_VALUE"""),"BUENO (Se puede acceder con cualquier coche)")</f>
        <v>BUENO (Se puede acceder con cualquier coche)</v>
      </c>
      <c r="R126" s="36" t="str">
        <f ca="1">IFERROR(__xludf.DUMMYFUNCTION("""COMPUTED_VALUE"""),"Sí")</f>
        <v>Sí</v>
      </c>
      <c r="S126" s="36" t="str">
        <f ca="1">IFERROR(__xludf.DUMMYFUNCTION("""COMPUTED_VALUE"""),"300m")</f>
        <v>300m</v>
      </c>
      <c r="T126" s="36" t="str">
        <f ca="1">IFERROR(__xludf.DUMMYFUNCTION("""COMPUTED_VALUE"""),"")</f>
        <v/>
      </c>
      <c r="U126" s="36" t="str">
        <f ca="1">IFERROR(__xludf.DUMMYFUNCTION("""COMPUTED_VALUE"""),"Cocina equipada, baños con agua caliente, comedor techado y acristalado, edificio diáfano, 6 chozas")</f>
        <v>Cocina equipada, baños con agua caliente, comedor techado y acristalado, edificio diáfano, 6 chozas</v>
      </c>
      <c r="V126" s="36" t="str">
        <f ca="1">IFERROR(__xludf.DUMMYFUNCTION("""COMPUTED_VALUE"""),"")</f>
        <v/>
      </c>
      <c r="W126" s="36" t="str">
        <f ca="1">IFERROR(__xludf.DUMMYFUNCTION("""COMPUTED_VALUE"""),"")</f>
        <v/>
      </c>
      <c r="X126" s="36"/>
      <c r="Y126" s="36"/>
      <c r="Z126" s="36"/>
    </row>
    <row r="127" spans="1:26" ht="12.75" hidden="1">
      <c r="A127" s="36" t="str">
        <f ca="1">IFERROR(__xludf.DUMMYFUNCTION("""COMPUTED_VALUE"""),"Castilla y León")</f>
        <v>Castilla y León</v>
      </c>
      <c r="B127" s="36" t="str">
        <f ca="1">IFERROR(__xludf.DUMMYFUNCTION("""COMPUTED_VALUE"""),"Ávila")</f>
        <v>Ávila</v>
      </c>
      <c r="C127" s="36">
        <f ca="1">IFERROR(__xludf.DUMMYFUNCTION("""COMPUTED_VALUE"""),2018)</f>
        <v>2018</v>
      </c>
      <c r="D127" s="36" t="str">
        <f ca="1">IFERROR(__xludf.DUMMYFUNCTION("""COMPUTED_VALUE"""),"Vedruna")</f>
        <v>Vedruna</v>
      </c>
      <c r="E127" s="36" t="str">
        <f ca="1">IFERROR(__xludf.DUMMYFUNCTION("""COMPUTED_VALUE"""),"gs.vedruna@scoutsdemadrid.org ")</f>
        <v xml:space="preserve">gs.vedruna@scoutsdemadrid.org </v>
      </c>
      <c r="F127" s="48">
        <f ca="1">IFERROR(__xludf.DUMMYFUNCTION("""COMPUTED_VALUE"""),43281)</f>
        <v>43281</v>
      </c>
      <c r="G127" s="48">
        <f ca="1">IFERROR(__xludf.DUMMYFUNCTION("""COMPUTED_VALUE"""),43289)</f>
        <v>43289</v>
      </c>
      <c r="H127" s="36" t="str">
        <f ca="1">IFERROR(__xludf.DUMMYFUNCTION("""COMPUTED_VALUE"""),"Guisando")</f>
        <v>Guisando</v>
      </c>
      <c r="I127" s="36" t="str">
        <f ca="1">IFERROR(__xludf.DUMMYFUNCTION("""COMPUTED_VALUE"""),"LA CASILLA")</f>
        <v>LA CASILLA</v>
      </c>
      <c r="J127" s="36" t="str">
        <f ca="1">IFERROR(__xludf.DUMMYFUNCTION("""COMPUTED_VALUE"""),"POL.10 PARCELA 112/106")</f>
        <v>POL.10 PARCELA 112/106</v>
      </c>
      <c r="K127" s="36" t="str">
        <f ca="1">IFERROR(__xludf.DUMMYFUNCTION("""COMPUTED_VALUE"""),"40º 13´33366""N 5º7`58019 O")</f>
        <v>40º 13´33366"N 5º7`58019 O</v>
      </c>
      <c r="L127" s="36" t="str">
        <f ca="1">IFERROR(__xludf.DUMMYFUNCTION("""COMPUTED_VALUE"""),"PEDRO JOSÉ SÁNCHEZ SÁEZ")</f>
        <v>PEDRO JOSÉ SÁNCHEZ SÁEZ</v>
      </c>
      <c r="M127" s="36">
        <f ca="1">IFERROR(__xludf.DUMMYFUNCTION("""COMPUTED_VALUE"""),920374030)</f>
        <v>920374030</v>
      </c>
      <c r="N127" s="36" t="str">
        <f ca="1">IFERROR(__xludf.DUMMYFUNCTION("""COMPUTED_VALUE"""),"no tenemos")</f>
        <v>no tenemos</v>
      </c>
      <c r="O127" s="36">
        <f ca="1">IFERROR(__xludf.DUMMYFUNCTION("""COMPUTED_VALUE"""),70)</f>
        <v>70</v>
      </c>
      <c r="P127" s="36" t="str">
        <f ca="1">IFERROR(__xludf.DUMMYFUNCTION("""COMPUTED_VALUE"""),"1 hectária aprox")</f>
        <v>1 hectária aprox</v>
      </c>
      <c r="Q127" s="36" t="str">
        <f ca="1">IFERROR(__xludf.DUMMYFUNCTION("""COMPUTED_VALUE"""),"BUENO (Se puede acceder con cualquier coche)")</f>
        <v>BUENO (Se puede acceder con cualquier coche)</v>
      </c>
      <c r="R127" s="36" t="str">
        <f ca="1">IFERROR(__xludf.DUMMYFUNCTION("""COMPUTED_VALUE"""),"Sí")</f>
        <v>Sí</v>
      </c>
      <c r="S127" s="36" t="str">
        <f ca="1">IFERROR(__xludf.DUMMYFUNCTION("""COMPUTED_VALUE"""),"200m")</f>
        <v>200m</v>
      </c>
      <c r="T127" s="36" t="str">
        <f ca="1">IFERROR(__xludf.DUMMYFUNCTION("""COMPUTED_VALUE"""),"poza ")</f>
        <v xml:space="preserve">poza </v>
      </c>
      <c r="U127" s="36" t="str">
        <f ca="1">IFERROR(__xludf.DUMMYFUNCTION("""COMPUTED_VALUE"""),"cocina almacen duchas baños")</f>
        <v>cocina almacen duchas baños</v>
      </c>
      <c r="V127" s="36" t="str">
        <f ca="1">IFERROR(__xludf.DUMMYFUNCTION("""COMPUTED_VALUE"""),"si")</f>
        <v>si</v>
      </c>
      <c r="W127" s="36" t="str">
        <f ca="1">IFERROR(__xludf.DUMMYFUNCTION("""COMPUTED_VALUE"""),"Entorno con muchas posiblidades")</f>
        <v>Entorno con muchas posiblidades</v>
      </c>
      <c r="X127" s="36"/>
      <c r="Y127" s="36"/>
      <c r="Z127" s="36"/>
    </row>
    <row r="128" spans="1:26" ht="12.75" hidden="1">
      <c r="A128" s="36" t="str">
        <f ca="1">IFERROR(__xludf.DUMMYFUNCTION("""COMPUTED_VALUE"""),"Castilla-La Mancha")</f>
        <v>Castilla-La Mancha</v>
      </c>
      <c r="B128" s="36" t="str">
        <f ca="1">IFERROR(__xludf.DUMMYFUNCTION("""COMPUTED_VALUE"""),"Albacete")</f>
        <v>Albacete</v>
      </c>
      <c r="C128" s="36">
        <f ca="1">IFERROR(__xludf.DUMMYFUNCTION("""COMPUTED_VALUE"""),2016)</f>
        <v>2016</v>
      </c>
      <c r="D128" s="36" t="str">
        <f ca="1">IFERROR(__xludf.DUMMYFUNCTION("""COMPUTED_VALUE"""),"Calasanz Val")</f>
        <v>Calasanz Val</v>
      </c>
      <c r="E128" s="36" t="str">
        <f ca="1">IFERROR(__xludf.DUMMYFUNCTION("""COMPUTED_VALUE"""),"gs.calasanzval@scoutsdemadrid.org ")</f>
        <v xml:space="preserve">gs.calasanzval@scoutsdemadrid.org </v>
      </c>
      <c r="F128" s="48">
        <f ca="1">IFERROR(__xludf.DUMMYFUNCTION("""COMPUTED_VALUE"""),42552)</f>
        <v>42552</v>
      </c>
      <c r="G128" s="48">
        <f ca="1">IFERROR(__xludf.DUMMYFUNCTION("""COMPUTED_VALUE"""),42566)</f>
        <v>42566</v>
      </c>
      <c r="H128" s="36" t="str">
        <f ca="1">IFERROR(__xludf.DUMMYFUNCTION("""COMPUTED_VALUE"""),"Peñascosa")</f>
        <v>Peñascosa</v>
      </c>
      <c r="I128" s="36" t="str">
        <f ca="1">IFERROR(__xludf.DUMMYFUNCTION("""COMPUTED_VALUE"""),"Camping Peñascosa")</f>
        <v>Camping Peñascosa</v>
      </c>
      <c r="J128" s="36" t="str">
        <f ca="1">IFERROR(__xludf.DUMMYFUNCTION("""COMPUTED_VALUE"""),"")</f>
        <v/>
      </c>
      <c r="K128" s="36" t="str">
        <f ca="1">IFERROR(__xludf.DUMMYFUNCTION("""COMPUTED_VALUE"""),"38º 40' 25.00""; -2º 24' 18.00""")</f>
        <v>38º 40' 25.00"; -2º 24' 18.00"</v>
      </c>
      <c r="L128" s="36" t="str">
        <f ca="1">IFERROR(__xludf.DUMMYFUNCTION("""COMPUTED_VALUE"""),"Angel ")</f>
        <v xml:space="preserve">Angel </v>
      </c>
      <c r="M128" s="36">
        <f ca="1">IFERROR(__xludf.DUMMYFUNCTION("""COMPUTED_VALUE"""),967382521)</f>
        <v>967382521</v>
      </c>
      <c r="N128" s="36" t="str">
        <f ca="1">IFERROR(__xludf.DUMMYFUNCTION("""COMPUTED_VALUE"""),"")</f>
        <v/>
      </c>
      <c r="O128" s="36" t="str">
        <f ca="1">IFERROR(__xludf.DUMMYFUNCTION("""COMPUTED_VALUE"""),"4 euros/ persona/ dia")</f>
        <v>4 euros/ persona/ dia</v>
      </c>
      <c r="P128" s="36" t="str">
        <f ca="1">IFERROR(__xludf.DUMMYFUNCTION("""COMPUTED_VALUE"""),"")</f>
        <v/>
      </c>
      <c r="Q128" s="36" t="str">
        <f ca="1">IFERROR(__xludf.DUMMYFUNCTION("""COMPUTED_VALUE"""),"BUENO (Se puede acceder con cualquier coche)")</f>
        <v>BUENO (Se puede acceder con cualquier coche)</v>
      </c>
      <c r="R128" s="36" t="str">
        <f ca="1">IFERROR(__xludf.DUMMYFUNCTION("""COMPUTED_VALUE"""),"Sí")</f>
        <v>Sí</v>
      </c>
      <c r="S128" s="36" t="str">
        <f ca="1">IFERROR(__xludf.DUMMYFUNCTION("""COMPUTED_VALUE"""),"200 metros")</f>
        <v>200 metros</v>
      </c>
      <c r="T128" s="36" t="str">
        <f ca="1">IFERROR(__xludf.DUMMYFUNCTION("""COMPUTED_VALUE"""),"piscina artificial")</f>
        <v>piscina artificial</v>
      </c>
      <c r="U128" s="36" t="str">
        <f ca="1">IFERROR(__xludf.DUMMYFUNCTION("""COMPUTED_VALUE"""),"Baños, duchas y fregaderos")</f>
        <v>Baños, duchas y fregaderos</v>
      </c>
      <c r="V128" s="36" t="str">
        <f ca="1">IFERROR(__xludf.DUMMYFUNCTION("""COMPUTED_VALUE"""),"Si")</f>
        <v>Si</v>
      </c>
      <c r="W128" s="36" t="str">
        <f ca="1">IFERROR(__xludf.DUMMYFUNCTION("""COMPUTED_VALUE"""),"")</f>
        <v/>
      </c>
      <c r="X128" s="36"/>
      <c r="Y128" s="36"/>
      <c r="Z128" s="36"/>
    </row>
    <row r="129" spans="1:26" ht="12.75" hidden="1">
      <c r="A129" s="36" t="str">
        <f ca="1">IFERROR(__xludf.DUMMYFUNCTION("""COMPUTED_VALUE"""),"Castilla-La Mancha")</f>
        <v>Castilla-La Mancha</v>
      </c>
      <c r="B129" s="36" t="str">
        <f ca="1">IFERROR(__xludf.DUMMYFUNCTION("""COMPUTED_VALUE"""),"Albacete")</f>
        <v>Albacete</v>
      </c>
      <c r="C129" s="36">
        <f ca="1">IFERROR(__xludf.DUMMYFUNCTION("""COMPUTED_VALUE"""),2017)</f>
        <v>2017</v>
      </c>
      <c r="D129" s="36" t="str">
        <f ca="1">IFERROR(__xludf.DUMMYFUNCTION("""COMPUTED_VALUE"""),"Calasanz Val")</f>
        <v>Calasanz Val</v>
      </c>
      <c r="E129" s="36" t="str">
        <f ca="1">IFERROR(__xludf.DUMMYFUNCTION("""COMPUTED_VALUE"""),"gs.calasanzval@scoutsdemadrid.org ")</f>
        <v xml:space="preserve">gs.calasanzval@scoutsdemadrid.org </v>
      </c>
      <c r="F129" s="48">
        <f ca="1">IFERROR(__xludf.DUMMYFUNCTION("""COMPUTED_VALUE"""),42917)</f>
        <v>42917</v>
      </c>
      <c r="G129" s="48">
        <f ca="1">IFERROR(__xludf.DUMMYFUNCTION("""COMPUTED_VALUE"""),42931)</f>
        <v>42931</v>
      </c>
      <c r="H129" s="36" t="str">
        <f ca="1">IFERROR(__xludf.DUMMYFUNCTION("""COMPUTED_VALUE"""),"Peñascosa")</f>
        <v>Peñascosa</v>
      </c>
      <c r="I129" s="36" t="str">
        <f ca="1">IFERROR(__xludf.DUMMYFUNCTION("""COMPUTED_VALUE"""),"Camping Peñascosa")</f>
        <v>Camping Peñascosa</v>
      </c>
      <c r="J129" s="36" t="str">
        <f ca="1">IFERROR(__xludf.DUMMYFUNCTION("""COMPUTED_VALUE"""),"")</f>
        <v/>
      </c>
      <c r="K129" s="36" t="str">
        <f ca="1">IFERROR(__xludf.DUMMYFUNCTION("""COMPUTED_VALUE"""),"")</f>
        <v/>
      </c>
      <c r="L129" s="36" t="str">
        <f ca="1">IFERROR(__xludf.DUMMYFUNCTION("""COMPUTED_VALUE"""),"Camping Peñascosa")</f>
        <v>Camping Peñascosa</v>
      </c>
      <c r="M129" s="36">
        <f ca="1">IFERROR(__xludf.DUMMYFUNCTION("""COMPUTED_VALUE"""),639374495)</f>
        <v>639374495</v>
      </c>
      <c r="N129" s="36" t="str">
        <f ca="1">IFERROR(__xludf.DUMMYFUNCTION("""COMPUTED_VALUE"""),"informacion@campingpenascosa.com")</f>
        <v>informacion@campingpenascosa.com</v>
      </c>
      <c r="O129" s="36" t="str">
        <f ca="1">IFERROR(__xludf.DUMMYFUNCTION("""COMPUTED_VALUE"""),"4.5€ / persona /día")</f>
        <v>4.5€ / persona /día</v>
      </c>
      <c r="P129" s="36" t="str">
        <f ca="1">IFERROR(__xludf.DUMMYFUNCTION("""COMPUTED_VALUE"""),"")</f>
        <v/>
      </c>
      <c r="Q129" s="36" t="str">
        <f ca="1">IFERROR(__xludf.DUMMYFUNCTION("""COMPUTED_VALUE"""),"BUENO (Se puede acceder con cualquier coche)")</f>
        <v>BUENO (Se puede acceder con cualquier coche)</v>
      </c>
      <c r="R129" s="36" t="str">
        <f ca="1">IFERROR(__xludf.DUMMYFUNCTION("""COMPUTED_VALUE"""),"Sí")</f>
        <v>Sí</v>
      </c>
      <c r="S129" s="36" t="str">
        <f ca="1">IFERROR(__xludf.DUMMYFUNCTION("""COMPUTED_VALUE"""),"Tiene piscina")</f>
        <v>Tiene piscina</v>
      </c>
      <c r="T129" s="36" t="str">
        <f ca="1">IFERROR(__xludf.DUMMYFUNCTION("""COMPUTED_VALUE"""),"")</f>
        <v/>
      </c>
      <c r="U129" s="36" t="str">
        <f ca="1">IFERROR(__xludf.DUMMYFUNCTION("""COMPUTED_VALUE"""),"Es un camping")</f>
        <v>Es un camping</v>
      </c>
      <c r="V129" s="36" t="str">
        <f ca="1">IFERROR(__xludf.DUMMYFUNCTION("""COMPUTED_VALUE"""),"No")</f>
        <v>No</v>
      </c>
      <c r="W129" s="36" t="str">
        <f ca="1">IFERROR(__xludf.DUMMYFUNCTION("""COMPUTED_VALUE"""),"Buen camping, no muy poblado, agua caliente en baño y duchas, y con cafetería que da comidas si las contratas.")</f>
        <v>Buen camping, no muy poblado, agua caliente en baño y duchas, y con cafetería que da comidas si las contratas.</v>
      </c>
      <c r="X129" s="36"/>
      <c r="Y129" s="36"/>
      <c r="Z129" s="36"/>
    </row>
    <row r="130" spans="1:26" ht="12.75" hidden="1">
      <c r="A130" s="36" t="str">
        <f ca="1">IFERROR(__xludf.DUMMYFUNCTION("""COMPUTED_VALUE"""),"Castilla-La Mancha")</f>
        <v>Castilla-La Mancha</v>
      </c>
      <c r="B130" s="36" t="str">
        <f ca="1">IFERROR(__xludf.DUMMYFUNCTION("""COMPUTED_VALUE"""),"Guadalajara")</f>
        <v>Guadalajara</v>
      </c>
      <c r="C130" s="36">
        <f ca="1">IFERROR(__xludf.DUMMYFUNCTION("""COMPUTED_VALUE"""),2018)</f>
        <v>2018</v>
      </c>
      <c r="D130" s="36" t="str">
        <f ca="1">IFERROR(__xludf.DUMMYFUNCTION("""COMPUTED_VALUE"""),"Chamberí")</f>
        <v>Chamberí</v>
      </c>
      <c r="E130" s="36" t="str">
        <f ca="1">IFERROR(__xludf.DUMMYFUNCTION("""COMPUTED_VALUE"""),"gs.chamberi@scoutsdemadrid.org ")</f>
        <v xml:space="preserve">gs.chamberi@scoutsdemadrid.org </v>
      </c>
      <c r="F130" s="48">
        <f ca="1">IFERROR(__xludf.DUMMYFUNCTION("""COMPUTED_VALUE"""),43297)</f>
        <v>43297</v>
      </c>
      <c r="G130" s="48">
        <f ca="1">IFERROR(__xludf.DUMMYFUNCTION("""COMPUTED_VALUE"""),43311)</f>
        <v>43311</v>
      </c>
      <c r="H130" s="36" t="str">
        <f ca="1">IFERROR(__xludf.DUMMYFUNCTION("""COMPUTED_VALUE"""),"Atienza")</f>
        <v>Atienza</v>
      </c>
      <c r="I130" s="36" t="str">
        <f ca="1">IFERROR(__xludf.DUMMYFUNCTION("""COMPUTED_VALUE"""),"La Estrella")</f>
        <v>La Estrella</v>
      </c>
      <c r="J130" s="36" t="str">
        <f ca="1">IFERROR(__xludf.DUMMYFUNCTION("""COMPUTED_VALUE"""),"19051A012000810000PR y 19051A012100810000PH")</f>
        <v>19051A012000810000PR y 19051A012100810000PH</v>
      </c>
      <c r="K130" s="36" t="str">
        <f ca="1">IFERROR(__xludf.DUMMYFUNCTION("""COMPUTED_VALUE"""),"41.206743-2.854343")</f>
        <v>41.206743-2.854343</v>
      </c>
      <c r="L130" s="36" t="str">
        <f ca="1">IFERROR(__xludf.DUMMYFUNCTION("""COMPUTED_VALUE"""),"Ayuntamiento de Atienza")</f>
        <v>Ayuntamiento de Atienza</v>
      </c>
      <c r="M130" s="36">
        <f ca="1">IFERROR(__xludf.DUMMYFUNCTION("""COMPUTED_VALUE"""),638618753)</f>
        <v>638618753</v>
      </c>
      <c r="N130" s="36" t="str">
        <f ca="1">IFERROR(__xludf.DUMMYFUNCTION("""COMPUTED_VALUE"""),"aytoatien@hotmail.com")</f>
        <v>aytoatien@hotmail.com</v>
      </c>
      <c r="O130" s="36">
        <f ca="1">IFERROR(__xludf.DUMMYFUNCTION("""COMPUTED_VALUE"""),0)</f>
        <v>0</v>
      </c>
      <c r="P130" s="36" t="str">
        <f ca="1">IFERROR(__xludf.DUMMYFUNCTION("""COMPUTED_VALUE"""),"1.54")</f>
        <v>1.54</v>
      </c>
      <c r="Q130" s="36" t="str">
        <f ca="1">IFERROR(__xludf.DUMMYFUNCTION("""COMPUTED_VALUE"""),"BUENO (Se puede acceder con cualquier coche)")</f>
        <v>BUENO (Se puede acceder con cualquier coche)</v>
      </c>
      <c r="R130" s="36" t="str">
        <f ca="1">IFERROR(__xludf.DUMMYFUNCTION("""COMPUTED_VALUE"""),"Sí")</f>
        <v>Sí</v>
      </c>
      <c r="S130" s="36" t="str">
        <f ca="1">IFERROR(__xludf.DUMMYFUNCTION("""COMPUTED_VALUE"""),"1 km/1.5 km")</f>
        <v>1 km/1.5 km</v>
      </c>
      <c r="T130" s="36" t="str">
        <f ca="1">IFERROR(__xludf.DUMMYFUNCTION("""COMPUTED_VALUE"""),"piscina municipal")</f>
        <v>piscina municipal</v>
      </c>
      <c r="U130" s="36" t="str">
        <f ca="1">IFERROR(__xludf.DUMMYFUNCTION("""COMPUTED_VALUE"""),"no")</f>
        <v>no</v>
      </c>
      <c r="V130" s="36" t="str">
        <f ca="1">IFERROR(__xludf.DUMMYFUNCTION("""COMPUTED_VALUE"""),"si")</f>
        <v>si</v>
      </c>
      <c r="W130" s="36" t="str">
        <f ca="1">IFERROR(__xludf.DUMMYFUNCTION("""COMPUTED_VALUE"""),"Cedida por el ayuntamiento de Atienza")</f>
        <v>Cedida por el ayuntamiento de Atienza</v>
      </c>
      <c r="X130" s="36"/>
      <c r="Y130" s="36"/>
      <c r="Z130" s="36"/>
    </row>
    <row r="131" spans="1:26" ht="12.75" hidden="1">
      <c r="A131" s="36" t="str">
        <f ca="1">IFERROR(__xludf.DUMMYFUNCTION("""COMPUTED_VALUE"""),"Castilla-La Mancha")</f>
        <v>Castilla-La Mancha</v>
      </c>
      <c r="B131" s="36" t="str">
        <f ca="1">IFERROR(__xludf.DUMMYFUNCTION("""COMPUTED_VALUE"""),"Cuenca")</f>
        <v>Cuenca</v>
      </c>
      <c r="C131" s="36">
        <f ca="1">IFERROR(__xludf.DUMMYFUNCTION("""COMPUTED_VALUE"""),2019)</f>
        <v>2019</v>
      </c>
      <c r="D131" s="36" t="str">
        <f ca="1">IFERROR(__xludf.DUMMYFUNCTION("""COMPUTED_VALUE"""),"Chamberí")</f>
        <v>Chamberí</v>
      </c>
      <c r="E131" s="36" t="str">
        <f ca="1">IFERROR(__xludf.DUMMYFUNCTION("""COMPUTED_VALUE"""),"gs.chamberi@scoutsdemadrid.org ")</f>
        <v xml:space="preserve">gs.chamberi@scoutsdemadrid.org </v>
      </c>
      <c r="F131" s="48">
        <f ca="1">IFERROR(__xludf.DUMMYFUNCTION("""COMPUTED_VALUE"""),43647)</f>
        <v>43647</v>
      </c>
      <c r="G131" s="48">
        <f ca="1">IFERROR(__xludf.DUMMYFUNCTION("""COMPUTED_VALUE"""),43661)</f>
        <v>43661</v>
      </c>
      <c r="H131" s="36" t="str">
        <f ca="1">IFERROR(__xludf.DUMMYFUNCTION("""COMPUTED_VALUE"""),"Tragacete")</f>
        <v>Tragacete</v>
      </c>
      <c r="I131" s="36" t="str">
        <f ca="1">IFERROR(__xludf.DUMMYFUNCTION("""COMPUTED_VALUE"""),"Finca Campamento La Veredilla")</f>
        <v>Finca Campamento La Veredilla</v>
      </c>
      <c r="J131" s="36" t="str">
        <f ca="1">IFERROR(__xludf.DUMMYFUNCTION("""COMPUTED_VALUE"""),"dato desconocido")</f>
        <v>dato desconocido</v>
      </c>
      <c r="K131" s="36" t="str">
        <f ca="1">IFERROR(__xludf.DUMMYFUNCTION("""COMPUTED_VALUE"""),"(40.3718476,-1.8825093)")</f>
        <v>(40.3718476,-1.8825093)</v>
      </c>
      <c r="L131" s="36" t="str">
        <f ca="1">IFERROR(__xludf.DUMMYFUNCTION("""COMPUTED_VALUE"""),"Ayuntamiento de Tragacete")</f>
        <v>Ayuntamiento de Tragacete</v>
      </c>
      <c r="M131" s="36" t="str">
        <f ca="1">IFERROR(__xludf.DUMMYFUNCTION("""COMPUTED_VALUE"""),"969 289 002")</f>
        <v>969 289 002</v>
      </c>
      <c r="N131" s="36" t="str">
        <f ca="1">IFERROR(__xludf.DUMMYFUNCTION("""COMPUTED_VALUE"""),"ayuntamientotragacete@hotmail.com")</f>
        <v>ayuntamientotragacete@hotmail.com</v>
      </c>
      <c r="O131" s="36" t="str">
        <f ca="1">IFERROR(__xludf.DUMMYFUNCTION("""COMPUTED_VALUE"""),"2 euros por persona y dia")</f>
        <v>2 euros por persona y dia</v>
      </c>
      <c r="P131" s="36" t="str">
        <f ca="1">IFERROR(__xludf.DUMMYFUNCTION("""COMPUTED_VALUE"""),"Dato desconocido")</f>
        <v>Dato desconocido</v>
      </c>
      <c r="Q131" s="36" t="str">
        <f ca="1">IFERROR(__xludf.DUMMYFUNCTION("""COMPUTED_VALUE"""),"BUENO (Se puede acceder con cualquier coche)")</f>
        <v>BUENO (Se puede acceder con cualquier coche)</v>
      </c>
      <c r="R131" s="36" t="str">
        <f ca="1">IFERROR(__xludf.DUMMYFUNCTION("""COMPUTED_VALUE"""),"Sí")</f>
        <v>Sí</v>
      </c>
      <c r="S131" s="36" t="str">
        <f ca="1">IFERROR(__xludf.DUMMYFUNCTION("""COMPUTED_VALUE"""),"500 metros")</f>
        <v>500 metros</v>
      </c>
      <c r="T131" s="36" t="str">
        <f ca="1">IFERROR(__xludf.DUMMYFUNCTION("""COMPUTED_VALUE"""),"rio pequeño y con poco caudal pero perfecto para pegarte un pequeño chapuzón")</f>
        <v>rio pequeño y con poco caudal pero perfecto para pegarte un pequeño chapuzón</v>
      </c>
      <c r="U131" s="36" t="str">
        <f ca="1">IFERROR(__xludf.DUMMYFUNCTION("""COMPUTED_VALUE"""),"Edificación-Barbacoa. Edificación de 42,90 metros cuadrados de piedra, cerrada con cuatro paredes, cubie de teja y cuatro entradas abiertas. Consta de cuatro barbacoas, cuatro leñeras, dos mesas de piedra, dos muros de pie para asientos y chimenea con mat"&amp;"achispas. Tiene un grifo exterior adosado a uno de los muros -    Fuente. Construida en piedra con dos senos y un caño. -    Nave lavaderos y baños .Edificación de nueva construcción en piedra y madera de 55,44 metros cuadrados, la que se incluyen los sig"&amp;"uientes elementos: - 2 vestuarios (cada uno con tres duchas, tres retretes, tres lavabos y un termo de ag caliente, todos con sus respectivas puertas). - 1 vestuario adicional adaptado para minusválidos. - 3 ventanas de doble hoja con doble acristalamient"&amp;"o tipo climalit. - 2 ventanales en la parte trasera del edificio de similares características. - zona abierta en el exterior destinada a lavadero con cinco fregaderos. -  Almacén. Habitáculo ubicado en la misma construcción de lavaderos y baños. Dos puert"&amp;"as metálicas. - Carpa multiusos. Se trata de una zona de 151,59  metros  cuadrados para uso recreativo. Abierta, c tejado  de estructura  de madera  y cubierta  de teja  de cerámica  curva. Completa construcción  un solado  de  hormigón  armado  y encacha"&amp;"do  de  piedra  que  rodea instalación. -  Módulo de ocultación de contenedores.  Dos módulos de madera para ocultación de los contenedores de recogida selectiva basuras. -  Dispositivo de tratamiento de aguas residuales.   Dispone  de  un separador  prev"&amp;"io  de  grasas  y de  un decantador-digestor  con fil biológico. -  Hidrantes.Dos unidades de hidrante tipo acera de fundición. - Otros  (pozos  de  regulación,  red  de  abastecimiento  y saneamiento  de  aguas, etc…) Cuenta con un grupo electrógeno que "&amp;"suministra energía eléctrica a la zona. Se cede su uso cargado de gasóleo; las sucesivas cargas correrán de cuenta de los beneficiarios. ")</f>
        <v xml:space="preserve">Edificación-Barbacoa. Edificación de 42,90 metros cuadrados de piedra, cerrada con cuatro paredes, cubie de teja y cuatro entradas abiertas. Consta de cuatro barbacoas, cuatro leñeras, dos mesas de piedra, dos muros de pie para asientos y chimenea con matachispas. Tiene un grifo exterior adosado a uno de los muros -    Fuente. Construida en piedra con dos senos y un caño. -    Nave lavaderos y baños .Edificación de nueva construcción en piedra y madera de 55,44 metros cuadrados, la que se incluyen los siguientes elementos: - 2 vestuarios (cada uno con tres duchas, tres retretes, tres lavabos y un termo de ag caliente, todos con sus respectivas puertas). - 1 vestuario adicional adaptado para minusválidos. - 3 ventanas de doble hoja con doble acristalamiento tipo climalit. - 2 ventanales en la parte trasera del edificio de similares características. - zona abierta en el exterior destinada a lavadero con cinco fregaderos. -  Almacén. Habitáculo ubicado en la misma construcción de lavaderos y baños. Dos puertas metálicas. - Carpa multiusos. Se trata de una zona de 151,59  metros  cuadrados para uso recreativo. Abierta, c tejado  de estructura  de madera  y cubierta  de teja  de cerámica  curva. Completa construcción  un solado  de  hormigón  armado  y encachado  de  piedra  que  rodea instalación. -  Módulo de ocultación de contenedores.  Dos módulos de madera para ocultación de los contenedores de recogida selectiva basuras. -  Dispositivo de tratamiento de aguas residuales.   Dispone  de  un separador  previo  de  grasas  y de  un decantador-digestor  con fil biológico. -  Hidrantes.Dos unidades de hidrante tipo acera de fundición. - Otros  (pozos  de  regulación,  red  de  abastecimiento  y saneamiento  de  aguas, etc…) Cuenta con un grupo electrógeno que suministra energía eléctrica a la zona. Se cede su uso cargado de gasóleo; las sucesivas cargas correrán de cuenta de los beneficiarios. </v>
      </c>
      <c r="V131" s="36" t="str">
        <f ca="1">IFERROR(__xludf.DUMMYFUNCTION("""COMPUTED_VALUE"""),"No lo sabemos")</f>
        <v>No lo sabemos</v>
      </c>
      <c r="W131" s="36" t="str">
        <f ca="1">IFERROR(__xludf.DUMMYFUNCTION("""COMPUTED_VALUE"""),"Zona bastante buena de campamentos, habilitada para ello y con espacio para un gran número de personas. Ofrecen la finca en exclusividad pero por un elevado coste.
Ubicada en el parque natural de la serrania de cuenca lo que ofrece una gran variedad de op"&amp;"ciones de cara a rutas.
El pueblo está muy cerca con todos los servicio mínimos necesarios.")</f>
        <v>Zona bastante buena de campamentos, habilitada para ello y con espacio para un gran número de personas. Ofrecen la finca en exclusividad pero por un elevado coste.
Ubicada en el parque natural de la serrania de cuenca lo que ofrece una gran variedad de opciones de cara a rutas.
El pueblo está muy cerca con todos los servicio mínimos necesarios.</v>
      </c>
      <c r="X131" s="36"/>
      <c r="Y131" s="36"/>
      <c r="Z131" s="36"/>
    </row>
    <row r="132" spans="1:26" ht="12.75" hidden="1">
      <c r="A132" s="36" t="str">
        <f ca="1">IFERROR(__xludf.DUMMYFUNCTION("""COMPUTED_VALUE"""),"Castilla-La Mancha")</f>
        <v>Castilla-La Mancha</v>
      </c>
      <c r="B132" s="36" t="str">
        <f ca="1">IFERROR(__xludf.DUMMYFUNCTION("""COMPUTED_VALUE"""),"Guadalajara")</f>
        <v>Guadalajara</v>
      </c>
      <c r="C132" s="36">
        <f ca="1">IFERROR(__xludf.DUMMYFUNCTION("""COMPUTED_VALUE"""),2019)</f>
        <v>2019</v>
      </c>
      <c r="D132" s="36" t="str">
        <f ca="1">IFERROR(__xludf.DUMMYFUNCTION("""COMPUTED_VALUE"""),"Don Quijote")</f>
        <v>Don Quijote</v>
      </c>
      <c r="E132" s="36" t="str">
        <f ca="1">IFERROR(__xludf.DUMMYFUNCTION("""COMPUTED_VALUE"""),"gs.donquijote@scoutsdemadrid.org ")</f>
        <v xml:space="preserve">gs.donquijote@scoutsdemadrid.org </v>
      </c>
      <c r="F132" s="48">
        <f ca="1">IFERROR(__xludf.DUMMYFUNCTION("""COMPUTED_VALUE"""),43639)</f>
        <v>43639</v>
      </c>
      <c r="G132" s="48">
        <f ca="1">IFERROR(__xludf.DUMMYFUNCTION("""COMPUTED_VALUE"""),43646)</f>
        <v>43646</v>
      </c>
      <c r="H132" s="36" t="str">
        <f ca="1">IFERROR(__xludf.DUMMYFUNCTION("""COMPUTED_VALUE"""),"Almonacid De Zorita")</f>
        <v>Almonacid De Zorita</v>
      </c>
      <c r="I132" s="36" t="str">
        <f ca="1">IFERROR(__xludf.DUMMYFUNCTION("""COMPUTED_VALUE"""),"Ermita de san Anton")</f>
        <v>Ermita de san Anton</v>
      </c>
      <c r="J132" s="36" t="str">
        <f ca="1">IFERROR(__xludf.DUMMYFUNCTION("""COMPUTED_VALUE"""),"lo desconozco")</f>
        <v>lo desconozco</v>
      </c>
      <c r="K132" s="36" t="str">
        <f ca="1">IFERROR(__xludf.DUMMYFUNCTION("""COMPUTED_VALUE"""),"Guadalajara")</f>
        <v>Guadalajara</v>
      </c>
      <c r="L132" s="36" t="str">
        <f ca="1">IFERROR(__xludf.DUMMYFUNCTION("""COMPUTED_VALUE"""),"Ayuntamiento de Almonacid.")</f>
        <v>Ayuntamiento de Almonacid.</v>
      </c>
      <c r="M132" s="36" t="str">
        <f ca="1">IFERROR(__xludf.DUMMYFUNCTION("""COMPUTED_VALUE"""),"949376201/949821645")</f>
        <v>949376201/949821645</v>
      </c>
      <c r="N132" s="36" t="str">
        <f ca="1">IFERROR(__xludf.DUMMYFUNCTION("""COMPUTED_VALUE"""),"")</f>
        <v/>
      </c>
      <c r="O132" s="36" t="str">
        <f ca="1">IFERROR(__xludf.DUMMYFUNCTION("""COMPUTED_VALUE"""),"no pagaremos nada,mas que la voluntad")</f>
        <v>no pagaremos nada,mas que la voluntad</v>
      </c>
      <c r="P132" s="36" t="str">
        <f ca="1">IFERROR(__xludf.DUMMYFUNCTION("""COMPUTED_VALUE"""),"1000 hectareas")</f>
        <v>1000 hectareas</v>
      </c>
      <c r="Q132" s="36" t="str">
        <f ca="1">IFERROR(__xludf.DUMMYFUNCTION("""COMPUTED_VALUE"""),"BUENO (Se puede acceder con cualquier coche)")</f>
        <v>BUENO (Se puede acceder con cualquier coche)</v>
      </c>
      <c r="R132" s="36" t="str">
        <f ca="1">IFERROR(__xludf.DUMMYFUNCTION("""COMPUTED_VALUE"""),"Sí")</f>
        <v>Sí</v>
      </c>
      <c r="S132" s="36" t="str">
        <f ca="1">IFERROR(__xludf.DUMMYFUNCTION("""COMPUTED_VALUE"""),"3 km")</f>
        <v>3 km</v>
      </c>
      <c r="T132" s="36" t="str">
        <f ca="1">IFERROR(__xludf.DUMMYFUNCTION("""COMPUTED_VALUE"""),"Tiene un rio que le llaman playa hay que pagar para entrar y tiene socoristas")</f>
        <v>Tiene un rio que le llaman playa hay que pagar para entrar y tiene socoristas</v>
      </c>
      <c r="U132" s="36" t="str">
        <f ca="1">IFERROR(__xludf.DUMMYFUNCTION("""COMPUTED_VALUE"""),"baños de obra")</f>
        <v>baños de obra</v>
      </c>
      <c r="V132" s="36" t="str">
        <f ca="1">IFERROR(__xludf.DUMMYFUNCTION("""COMPUTED_VALUE"""),"no")</f>
        <v>no</v>
      </c>
      <c r="W132" s="36" t="str">
        <f ca="1">IFERROR(__xludf.DUMMYFUNCTION("""COMPUTED_VALUE"""),"buena")</f>
        <v>buena</v>
      </c>
      <c r="X132" s="36"/>
      <c r="Y132" s="36"/>
      <c r="Z132" s="36"/>
    </row>
    <row r="133" spans="1:26" ht="12.75" hidden="1">
      <c r="A133" s="36" t="str">
        <f ca="1">IFERROR(__xludf.DUMMYFUNCTION("""COMPUTED_VALUE"""),"Castilla-La Mancha")</f>
        <v>Castilla-La Mancha</v>
      </c>
      <c r="B133" s="36" t="str">
        <f ca="1">IFERROR(__xludf.DUMMYFUNCTION("""COMPUTED_VALUE"""),"Cuenca")</f>
        <v>Cuenca</v>
      </c>
      <c r="C133" s="36">
        <f ca="1">IFERROR(__xludf.DUMMYFUNCTION("""COMPUTED_VALUE"""),2019)</f>
        <v>2019</v>
      </c>
      <c r="D133" s="36" t="str">
        <f ca="1">IFERROR(__xludf.DUMMYFUNCTION("""COMPUTED_VALUE"""),"Fátima")</f>
        <v>Fátima</v>
      </c>
      <c r="E133" s="36" t="str">
        <f ca="1">IFERROR(__xludf.DUMMYFUNCTION("""COMPUTED_VALUE"""),"gs.fatima@scoutsdemadrid.org ")</f>
        <v xml:space="preserve">gs.fatima@scoutsdemadrid.org </v>
      </c>
      <c r="F133" s="48">
        <f ca="1">IFERROR(__xludf.DUMMYFUNCTION("""COMPUTED_VALUE"""),43661)</f>
        <v>43661</v>
      </c>
      <c r="G133" s="48">
        <f ca="1">IFERROR(__xludf.DUMMYFUNCTION("""COMPUTED_VALUE"""),43674)</f>
        <v>43674</v>
      </c>
      <c r="H133" s="36" t="str">
        <f ca="1">IFERROR(__xludf.DUMMYFUNCTION("""COMPUTED_VALUE"""),"Boniches")</f>
        <v>Boniches</v>
      </c>
      <c r="I133" s="36" t="str">
        <f ca="1">IFERROR(__xludf.DUMMYFUNCTION("""COMPUTED_VALUE"""),"Fuentes del Cabriel")</f>
        <v>Fuentes del Cabriel</v>
      </c>
      <c r="J133" s="36" t="str">
        <f ca="1">IFERROR(__xludf.DUMMYFUNCTION("""COMPUTED_VALUE"""),"16037A028001340000WU y 16037A028001460000WL")</f>
        <v>16037A028001340000WU y 16037A028001460000WL</v>
      </c>
      <c r="K133" s="36" t="str">
        <f ca="1">IFERROR(__xludf.DUMMYFUNCTION("""COMPUTED_VALUE"""),"39º57'55.4''N 1º36'30.2'' W")</f>
        <v>39º57'55.4''N 1º36'30.2'' W</v>
      </c>
      <c r="L133" s="36" t="str">
        <f ca="1">IFERROR(__xludf.DUMMYFUNCTION("""COMPUTED_VALUE"""),"Jesús Mayordomo Moreno")</f>
        <v>Jesús Mayordomo Moreno</v>
      </c>
      <c r="M133" s="36">
        <f ca="1">IFERROR(__xludf.DUMMYFUNCTION("""COMPUTED_VALUE"""),635864030)</f>
        <v>635864030</v>
      </c>
      <c r="N133" s="36" t="str">
        <f ca="1">IFERROR(__xludf.DUMMYFUNCTION("""COMPUTED_VALUE"""),"mmboniches@hotmail.com")</f>
        <v>mmboniches@hotmail.com</v>
      </c>
      <c r="O133" s="36" t="str">
        <f ca="1">IFERROR(__xludf.DUMMYFUNCTION("""COMPUTED_VALUE"""),"2900+IVA/quincena")</f>
        <v>2900+IVA/quincena</v>
      </c>
      <c r="P133" s="36" t="str">
        <f ca="1">IFERROR(__xludf.DUMMYFUNCTION("""COMPUTED_VALUE"""),"6189 m2")</f>
        <v>6189 m2</v>
      </c>
      <c r="Q133" s="36" t="str">
        <f ca="1">IFERROR(__xludf.DUMMYFUNCTION("""COMPUTED_VALUE"""),"REGULAR (Se puede acceder con un coche normal con dificultad)")</f>
        <v>REGULAR (Se puede acceder con un coche normal con dificultad)</v>
      </c>
      <c r="R133" s="36" t="str">
        <f ca="1">IFERROR(__xludf.DUMMYFUNCTION("""COMPUTED_VALUE"""),"Sí")</f>
        <v>Sí</v>
      </c>
      <c r="S133" s="36" t="str">
        <f ca="1">IFERROR(__xludf.DUMMYFUNCTION("""COMPUTED_VALUE"""),"1 km")</f>
        <v>1 km</v>
      </c>
      <c r="T133" s="36" t="str">
        <f ca="1">IFERROR(__xludf.DUMMYFUNCTION("""COMPUTED_VALUE"""),"Poza no muy grande ni muy profunda")</f>
        <v>Poza no muy grande ni muy profunda</v>
      </c>
      <c r="U133" s="36" t="str">
        <f ca="1">IFERROR(__xludf.DUMMYFUNCTION("""COMPUTED_VALUE"""),"Sí: albergue con 2 habitaciones, salón con chimenea,  cocina de butano,  4 servicios,  comedor exterior con toldo para 70-80 personas con mesas y sillas, fregaderos,  luz con placas solares, y grupo generador, agua potable de la red municipal")</f>
        <v>Sí: albergue con 2 habitaciones, salón con chimenea,  cocina de butano,  4 servicios,  comedor exterior con toldo para 70-80 personas con mesas y sillas, fregaderos,  luz con placas solares, y grupo generador, agua potable de la red municipal</v>
      </c>
      <c r="V133" s="36" t="str">
        <f ca="1">IFERROR(__xludf.DUMMYFUNCTION("""COMPUTED_VALUE"""),"Sí")</f>
        <v>Sí</v>
      </c>
      <c r="W133" s="36" t="str">
        <f ca="1">IFERROR(__xludf.DUMMYFUNCTION("""COMPUTED_VALUE"""),"Muy amplia con zonas de sombra.")</f>
        <v>Muy amplia con zonas de sombra.</v>
      </c>
      <c r="X133" s="36"/>
      <c r="Y133" s="36"/>
      <c r="Z133" s="36"/>
    </row>
    <row r="134" spans="1:26" ht="12.75" hidden="1">
      <c r="A134" s="36" t="str">
        <f ca="1">IFERROR(__xludf.DUMMYFUNCTION("""COMPUTED_VALUE"""),"Castilla-La Mancha")</f>
        <v>Castilla-La Mancha</v>
      </c>
      <c r="B134" s="36" t="str">
        <f ca="1">IFERROR(__xludf.DUMMYFUNCTION("""COMPUTED_VALUE"""),"Cuenca")</f>
        <v>Cuenca</v>
      </c>
      <c r="C134" s="36">
        <f ca="1">IFERROR(__xludf.DUMMYFUNCTION("""COMPUTED_VALUE"""),2015)</f>
        <v>2015</v>
      </c>
      <c r="D134" s="36" t="str">
        <f ca="1">IFERROR(__xludf.DUMMYFUNCTION("""COMPUTED_VALUE"""),"Orion")</f>
        <v>Orion</v>
      </c>
      <c r="E134" s="36" t="str">
        <f ca="1">IFERROR(__xludf.DUMMYFUNCTION("""COMPUTED_VALUE"""),"gs.orion@scoutsdemadrid.org ")</f>
        <v xml:space="preserve">gs.orion@scoutsdemadrid.org </v>
      </c>
      <c r="F134" s="48">
        <f ca="1">IFERROR(__xludf.DUMMYFUNCTION("""COMPUTED_VALUE"""),42203)</f>
        <v>42203</v>
      </c>
      <c r="G134" s="48">
        <f ca="1">IFERROR(__xludf.DUMMYFUNCTION("""COMPUTED_VALUE"""),42215)</f>
        <v>42215</v>
      </c>
      <c r="H134" s="36" t="str">
        <f ca="1">IFERROR(__xludf.DUMMYFUNCTION("""COMPUTED_VALUE"""),"Arcas")</f>
        <v>Arcas</v>
      </c>
      <c r="I134" s="36" t="str">
        <f ca="1">IFERROR(__xludf.DUMMYFUNCTION("""COMPUTED_VALUE"""),"Campamento Arcas")</f>
        <v>Campamento Arcas</v>
      </c>
      <c r="J134" s="36" t="str">
        <f ca="1">IFERROR(__xludf.DUMMYFUNCTION("""COMPUTED_VALUE"""),"")</f>
        <v/>
      </c>
      <c r="K134" s="36" t="str">
        <f ca="1">IFERROR(__xludf.DUMMYFUNCTION("""COMPUTED_VALUE"""),"")</f>
        <v/>
      </c>
      <c r="L134" s="36" t="str">
        <f ca="1">IFERROR(__xludf.DUMMYFUNCTION("""COMPUTED_VALUE"""),"")</f>
        <v/>
      </c>
      <c r="M134" s="36" t="str">
        <f ca="1">IFERROR(__xludf.DUMMYFUNCTION("""COMPUTED_VALUE"""),"")</f>
        <v/>
      </c>
      <c r="N134" s="36" t="str">
        <f ca="1">IFERROR(__xludf.DUMMYFUNCTION("""COMPUTED_VALUE"""),"")</f>
        <v/>
      </c>
      <c r="O134" s="36" t="str">
        <f ca="1">IFERROR(__xludf.DUMMYFUNCTION("""COMPUTED_VALUE"""),"")</f>
        <v/>
      </c>
      <c r="P134" s="36" t="str">
        <f ca="1">IFERROR(__xludf.DUMMYFUNCTION("""COMPUTED_VALUE"""),"")</f>
        <v/>
      </c>
      <c r="Q134" s="36" t="str">
        <f ca="1">IFERROR(__xludf.DUMMYFUNCTION("""COMPUTED_VALUE"""),"")</f>
        <v/>
      </c>
      <c r="R134" s="36" t="str">
        <f ca="1">IFERROR(__xludf.DUMMYFUNCTION("""COMPUTED_VALUE"""),"")</f>
        <v/>
      </c>
      <c r="S134" s="36" t="str">
        <f ca="1">IFERROR(__xludf.DUMMYFUNCTION("""COMPUTED_VALUE"""),"")</f>
        <v/>
      </c>
      <c r="T134" s="36" t="str">
        <f ca="1">IFERROR(__xludf.DUMMYFUNCTION("""COMPUTED_VALUE"""),"")</f>
        <v/>
      </c>
      <c r="U134" s="36" t="str">
        <f ca="1">IFERROR(__xludf.DUMMYFUNCTION("""COMPUTED_VALUE"""),"")</f>
        <v/>
      </c>
      <c r="V134" s="36" t="str">
        <f ca="1">IFERROR(__xludf.DUMMYFUNCTION("""COMPUTED_VALUE"""),"")</f>
        <v/>
      </c>
      <c r="W134" s="36" t="str">
        <f ca="1">IFERROR(__xludf.DUMMYFUNCTION("""COMPUTED_VALUE"""),"")</f>
        <v/>
      </c>
      <c r="X134" s="36"/>
      <c r="Y134" s="36"/>
      <c r="Z134" s="36"/>
    </row>
    <row r="135" spans="1:26" ht="12.75" hidden="1">
      <c r="A135" s="36" t="str">
        <f ca="1">IFERROR(__xludf.DUMMYFUNCTION("""COMPUTED_VALUE"""),"Castilla-La Mancha")</f>
        <v>Castilla-La Mancha</v>
      </c>
      <c r="B135" s="36" t="str">
        <f ca="1">IFERROR(__xludf.DUMMYFUNCTION("""COMPUTED_VALUE"""),"Guadalajara")</f>
        <v>Guadalajara</v>
      </c>
      <c r="C135" s="36">
        <f ca="1">IFERROR(__xludf.DUMMYFUNCTION("""COMPUTED_VALUE"""),2016)</f>
        <v>2016</v>
      </c>
      <c r="D135" s="36" t="str">
        <f ca="1">IFERROR(__xludf.DUMMYFUNCTION("""COMPUTED_VALUE"""),"Orión")</f>
        <v>Orión</v>
      </c>
      <c r="E135" s="36" t="str">
        <f ca="1">IFERROR(__xludf.DUMMYFUNCTION("""COMPUTED_VALUE"""),"gs.orion@scoutsdemadrid.org ")</f>
        <v xml:space="preserve">gs.orion@scoutsdemadrid.org </v>
      </c>
      <c r="F135" s="48">
        <f ca="1">IFERROR(__xludf.DUMMYFUNCTION("""COMPUTED_VALUE"""),42568)</f>
        <v>42568</v>
      </c>
      <c r="G135" s="48">
        <f ca="1">IFERROR(__xludf.DUMMYFUNCTION("""COMPUTED_VALUE"""),42581)</f>
        <v>42581</v>
      </c>
      <c r="H135" s="36" t="str">
        <f ca="1">IFERROR(__xludf.DUMMYFUNCTION("""COMPUTED_VALUE"""),"Luzaga")</f>
        <v>Luzaga</v>
      </c>
      <c r="I135" s="36" t="str">
        <f ca="1">IFERROR(__xludf.DUMMYFUNCTION("""COMPUTED_VALUE"""),"Campamento juvenil Luzaga")</f>
        <v>Campamento juvenil Luzaga</v>
      </c>
      <c r="J135" s="36" t="str">
        <f ca="1">IFERROR(__xludf.DUMMYFUNCTION("""COMPUTED_VALUE"""),"NS/NC")</f>
        <v>NS/NC</v>
      </c>
      <c r="K135" s="36" t="str">
        <f ca="1">IFERROR(__xludf.DUMMYFUNCTION("""COMPUTED_VALUE"""),"40º 59´ 12,59´´ N 2º 25´45,14´´ W")</f>
        <v>40º 59´ 12,59´´ N 2º 25´45,14´´ W</v>
      </c>
      <c r="L135" s="36" t="str">
        <f ca="1">IFERROR(__xludf.DUMMYFUNCTION("""COMPUTED_VALUE"""),"Fundación Scouts en Acción")</f>
        <v>Fundación Scouts en Acción</v>
      </c>
      <c r="M135" s="36">
        <f ca="1">IFERROR(__xludf.DUMMYFUNCTION("""COMPUTED_VALUE"""),637464385)</f>
        <v>637464385</v>
      </c>
      <c r="N135" s="36" t="str">
        <f ca="1">IFERROR(__xludf.DUMMYFUNCTION("""COMPUTED_VALUE"""),"fundacion@fsc-clm.org")</f>
        <v>fundacion@fsc-clm.org</v>
      </c>
      <c r="O135" s="36" t="str">
        <f ca="1">IFERROR(__xludf.DUMMYFUNCTION("""COMPUTED_VALUE"""),"4,40 € pax/noche")</f>
        <v>4,40 € pax/noche</v>
      </c>
      <c r="P135" s="36" t="str">
        <f ca="1">IFERROR(__xludf.DUMMYFUNCTION("""COMPUTED_VALUE"""),"NS/NC")</f>
        <v>NS/NC</v>
      </c>
      <c r="Q135" s="36" t="str">
        <f ca="1">IFERROR(__xludf.DUMMYFUNCTION("""COMPUTED_VALUE"""),"BUENO (Se puede acceder con cualquier coche)")</f>
        <v>BUENO (Se puede acceder con cualquier coche)</v>
      </c>
      <c r="R135" s="36" t="str">
        <f ca="1">IFERROR(__xludf.DUMMYFUNCTION("""COMPUTED_VALUE"""),"Sí")</f>
        <v>Sí</v>
      </c>
      <c r="S135" s="36">
        <f ca="1">IFERROR(__xludf.DUMMYFUNCTION("""COMPUTED_VALUE"""),0)</f>
        <v>0</v>
      </c>
      <c r="T135" s="36" t="str">
        <f ca="1">IFERROR(__xludf.DUMMYFUNCTION("""COMPUTED_VALUE"""),"Piscina")</f>
        <v>Piscina</v>
      </c>
      <c r="U135" s="36" t="str">
        <f ca="1">IFERROR(__xludf.DUMMYFUNCTION("""COMPUTED_VALUE"""),"Comedor, piscina, cocina, baños, duchas, fregaderos")</f>
        <v>Comedor, piscina, cocina, baños, duchas, fregaderos</v>
      </c>
      <c r="V135" s="36" t="str">
        <f ca="1">IFERROR(__xludf.DUMMYFUNCTION("""COMPUTED_VALUE"""),"NS/NC")</f>
        <v>NS/NC</v>
      </c>
      <c r="W135" s="36" t="str">
        <f ca="1">IFERROR(__xludf.DUMMYFUNCTION("""COMPUTED_VALUE"""),"")</f>
        <v/>
      </c>
      <c r="X135" s="36"/>
      <c r="Y135" s="36"/>
      <c r="Z135" s="36"/>
    </row>
    <row r="136" spans="1:26" ht="12.75" hidden="1">
      <c r="A136" s="36" t="str">
        <f ca="1">IFERROR(__xludf.DUMMYFUNCTION("""COMPUTED_VALUE"""),"Castilla-La Mancha")</f>
        <v>Castilla-La Mancha</v>
      </c>
      <c r="B136" s="36" t="str">
        <f ca="1">IFERROR(__xludf.DUMMYFUNCTION("""COMPUTED_VALUE"""),"Cuenca")</f>
        <v>Cuenca</v>
      </c>
      <c r="C136" s="36">
        <f ca="1">IFERROR(__xludf.DUMMYFUNCTION("""COMPUTED_VALUE"""),2019)</f>
        <v>2019</v>
      </c>
      <c r="D136" s="36" t="str">
        <f ca="1">IFERROR(__xludf.DUMMYFUNCTION("""COMPUTED_VALUE"""),"Orión")</f>
        <v>Orión</v>
      </c>
      <c r="E136" s="36" t="str">
        <f ca="1">IFERROR(__xludf.DUMMYFUNCTION("""COMPUTED_VALUE"""),"gs.orion@scoutsdemadrid.org ")</f>
        <v xml:space="preserve">gs.orion@scoutsdemadrid.org </v>
      </c>
      <c r="F136" s="48">
        <f ca="1">IFERROR(__xludf.DUMMYFUNCTION("""COMPUTED_VALUE"""),43662)</f>
        <v>43662</v>
      </c>
      <c r="G136" s="48">
        <f ca="1">IFERROR(__xludf.DUMMYFUNCTION("""COMPUTED_VALUE"""),43676)</f>
        <v>43676</v>
      </c>
      <c r="H136" s="36" t="str">
        <f ca="1">IFERROR(__xludf.DUMMYFUNCTION("""COMPUTED_VALUE"""),"Vega Del Codorno")</f>
        <v>Vega Del Codorno</v>
      </c>
      <c r="I136" s="36" t="str">
        <f ca="1">IFERROR(__xludf.DUMMYFUNCTION("""COMPUTED_VALUE"""),"Camping Río Cuervo")</f>
        <v>Camping Río Cuervo</v>
      </c>
      <c r="J136" s="36" t="str">
        <f ca="1">IFERROR(__xludf.DUMMYFUNCTION("""COMPUTED_VALUE"""),"AHAQJHJHDGYHDTGFY")</f>
        <v>AHAQJHJHDGYHDTGFY</v>
      </c>
      <c r="K136" s="36" t="str">
        <f ca="1">IFERROR(__xludf.DUMMYFUNCTION("""COMPUTED_VALUE"""),"40.450056, -1.954502")</f>
        <v>40.450056, -1.954502</v>
      </c>
      <c r="L136" s="36" t="str">
        <f ca="1">IFERROR(__xludf.DUMMYFUNCTION("""COMPUTED_VALUE"""),"Alfredo Castillejo González")</f>
        <v>Alfredo Castillejo González</v>
      </c>
      <c r="M136" s="36">
        <f ca="1">IFERROR(__xludf.DUMMYFUNCTION("""COMPUTED_VALUE"""),639828628)</f>
        <v>639828628</v>
      </c>
      <c r="N136" s="36" t="str">
        <f ca="1">IFERROR(__xludf.DUMMYFUNCTION("""COMPUTED_VALUE"""),"no tiene")</f>
        <v>no tiene</v>
      </c>
      <c r="O136" s="36" t="str">
        <f ca="1">IFERROR(__xludf.DUMMYFUNCTION("""COMPUTED_VALUE"""),"3 €/persona día")</f>
        <v>3 €/persona día</v>
      </c>
      <c r="P136" s="36" t="str">
        <f ca="1">IFERROR(__xludf.DUMMYFUNCTION("""COMPUTED_VALUE"""),"3 ha")</f>
        <v>3 ha</v>
      </c>
      <c r="Q136" s="36" t="str">
        <f ca="1">IFERROR(__xludf.DUMMYFUNCTION("""COMPUTED_VALUE"""),"BUENO (Se puede acceder con cualquier coche)")</f>
        <v>BUENO (Se puede acceder con cualquier coche)</v>
      </c>
      <c r="R136" s="36" t="str">
        <f ca="1">IFERROR(__xludf.DUMMYFUNCTION("""COMPUTED_VALUE"""),"Sí")</f>
        <v>Sí</v>
      </c>
      <c r="S136" s="36" t="str">
        <f ca="1">IFERROR(__xludf.DUMMYFUNCTION("""COMPUTED_VALUE"""),"2 km")</f>
        <v>2 km</v>
      </c>
      <c r="T136" s="36" t="str">
        <f ca="1">IFERROR(__xludf.DUMMYFUNCTION("""COMPUTED_VALUE"""),"Buena")</f>
        <v>Buena</v>
      </c>
      <c r="U136" s="36" t="str">
        <f ca="1">IFERROR(__xludf.DUMMYFUNCTION("""COMPUTED_VALUE"""),"Todas")</f>
        <v>Todas</v>
      </c>
      <c r="V136" s="36" t="str">
        <f ca="1">IFERROR(__xludf.DUMMYFUNCTION("""COMPUTED_VALUE"""),"Sí")</f>
        <v>Sí</v>
      </c>
      <c r="W136" s="36" t="str">
        <f ca="1">IFERROR(__xludf.DUMMYFUNCTION("""COMPUTED_VALUE"""),"Todo bien")</f>
        <v>Todo bien</v>
      </c>
      <c r="X136" s="36"/>
      <c r="Y136" s="36"/>
      <c r="Z136" s="36"/>
    </row>
    <row r="137" spans="1:26" ht="12.75" hidden="1">
      <c r="A137" s="36" t="str">
        <f ca="1">IFERROR(__xludf.DUMMYFUNCTION("""COMPUTED_VALUE"""),"Castilla-La Mancha")</f>
        <v>Castilla-La Mancha</v>
      </c>
      <c r="B137" s="36" t="str">
        <f ca="1">IFERROR(__xludf.DUMMYFUNCTION("""COMPUTED_VALUE"""),"Cuenca")</f>
        <v>Cuenca</v>
      </c>
      <c r="C137" s="36">
        <f ca="1">IFERROR(__xludf.DUMMYFUNCTION("""COMPUTED_VALUE"""),2019)</f>
        <v>2019</v>
      </c>
      <c r="D137" s="36" t="str">
        <f ca="1">IFERROR(__xludf.DUMMYFUNCTION("""COMPUTED_VALUE"""),"San Agustín")</f>
        <v>San Agustín</v>
      </c>
      <c r="E137" s="36" t="str">
        <f ca="1">IFERROR(__xludf.DUMMYFUNCTION("""COMPUTED_VALUE"""),"gs.sanagustin@scoutsdemadrid.org ")</f>
        <v xml:space="preserve">gs.sanagustin@scoutsdemadrid.org </v>
      </c>
      <c r="F137" s="48">
        <f ca="1">IFERROR(__xludf.DUMMYFUNCTION("""COMPUTED_VALUE"""),43640)</f>
        <v>43640</v>
      </c>
      <c r="G137" s="48">
        <f ca="1">IFERROR(__xludf.DUMMYFUNCTION("""COMPUTED_VALUE"""),43644)</f>
        <v>43644</v>
      </c>
      <c r="H137" s="36" t="str">
        <f ca="1">IFERROR(__xludf.DUMMYFUNCTION("""COMPUTED_VALUE"""),"Poyatos")</f>
        <v>Poyatos</v>
      </c>
      <c r="I137" s="36" t="str">
        <f ca="1">IFERROR(__xludf.DUMMYFUNCTION("""COMPUTED_VALUE"""),"Albergue paraje de tejadillos")</f>
        <v>Albergue paraje de tejadillos</v>
      </c>
      <c r="J137" s="36" t="str">
        <f ca="1">IFERROR(__xludf.DUMMYFUNCTION("""COMPUTED_VALUE"""),"desconocido")</f>
        <v>desconocido</v>
      </c>
      <c r="K137" s="36" t="str">
        <f ca="1">IFERROR(__xludf.DUMMYFUNCTION("""COMPUTED_VALUE"""),"desconocido")</f>
        <v>desconocido</v>
      </c>
      <c r="L137" s="36" t="str">
        <f ca="1">IFERROR(__xludf.DUMMYFUNCTION("""COMPUTED_VALUE"""),"Alberto Quilez")</f>
        <v>Alberto Quilez</v>
      </c>
      <c r="M137" s="36">
        <f ca="1">IFERROR(__xludf.DUMMYFUNCTION("""COMPUTED_VALUE"""),605897209)</f>
        <v>605897209</v>
      </c>
      <c r="N137" s="36" t="str">
        <f ca="1">IFERROR(__xludf.DUMMYFUNCTION("""COMPUTED_VALUE"""),"alberguetejadillos@gmail.com")</f>
        <v>alberguetejadillos@gmail.com</v>
      </c>
      <c r="O137" s="36" t="str">
        <f ca="1">IFERROR(__xludf.DUMMYFUNCTION("""COMPUTED_VALUE"""),"24 € persona /dia")</f>
        <v>24 € persona /dia</v>
      </c>
      <c r="P137" s="36" t="str">
        <f ca="1">IFERROR(__xludf.DUMMYFUNCTION("""COMPUTED_VALUE"""),"2 ha")</f>
        <v>2 ha</v>
      </c>
      <c r="Q137" s="36" t="str">
        <f ca="1">IFERROR(__xludf.DUMMYFUNCTION("""COMPUTED_VALUE"""),"BUENO (Se puede acceder con cualquier coche)")</f>
        <v>BUENO (Se puede acceder con cualquier coche)</v>
      </c>
      <c r="R137" s="36" t="str">
        <f ca="1">IFERROR(__xludf.DUMMYFUNCTION("""COMPUTED_VALUE"""),"Sí")</f>
        <v>Sí</v>
      </c>
      <c r="S137" s="36" t="str">
        <f ca="1">IFERROR(__xludf.DUMMYFUNCTION("""COMPUTED_VALUE"""),"100 metros")</f>
        <v>100 metros</v>
      </c>
      <c r="T137" s="36" t="str">
        <f ca="1">IFERROR(__xludf.DUMMYFUNCTION("""COMPUTED_VALUE"""),"rio escabas fresco y con aguas cristalinas")</f>
        <v>rio escabas fresco y con aguas cristalinas</v>
      </c>
      <c r="U137" s="36" t="str">
        <f ca="1">IFERROR(__xludf.DUMMYFUNCTION("""COMPUTED_VALUE"""),"si ,zona de acampada y albergue con ducha comedor salas")</f>
        <v>si ,zona de acampada y albergue con ducha comedor salas</v>
      </c>
      <c r="V137" s="36" t="str">
        <f ca="1">IFERROR(__xludf.DUMMYFUNCTION("""COMPUTED_VALUE"""),"si hay mucha madera cerca  gratis")</f>
        <v>si hay mucha madera cerca  gratis</v>
      </c>
      <c r="W137" s="36" t="str">
        <f ca="1">IFERROR(__xludf.DUMMYFUNCTION("""COMPUTED_VALUE"""),"Instalaciones nuevas , lugar con mucho bosque , y ríos cercano")</f>
        <v>Instalaciones nuevas , lugar con mucho bosque , y ríos cercano</v>
      </c>
      <c r="X137" s="36"/>
      <c r="Y137" s="36"/>
      <c r="Z137" s="36"/>
    </row>
    <row r="138" spans="1:26" ht="12.75" hidden="1">
      <c r="A138" s="36" t="str">
        <f ca="1">IFERROR(__xludf.DUMMYFUNCTION("""COMPUTED_VALUE"""),"Castilla-La Mancha")</f>
        <v>Castilla-La Mancha</v>
      </c>
      <c r="B138" s="36" t="str">
        <f ca="1">IFERROR(__xludf.DUMMYFUNCTION("""COMPUTED_VALUE"""),"Guadalajara")</f>
        <v>Guadalajara</v>
      </c>
      <c r="C138" s="36">
        <f ca="1">IFERROR(__xludf.DUMMYFUNCTION("""COMPUTED_VALUE"""),2018)</f>
        <v>2018</v>
      </c>
      <c r="D138" s="36" t="str">
        <f ca="1">IFERROR(__xludf.DUMMYFUNCTION("""COMPUTED_VALUE"""),"San Gabriel")</f>
        <v>San Gabriel</v>
      </c>
      <c r="E138" s="36" t="str">
        <f ca="1">IFERROR(__xludf.DUMMYFUNCTION("""COMPUTED_VALUE"""),"gs.sangabriel@scoutsdemadrid.org ")</f>
        <v xml:space="preserve">gs.sangabriel@scoutsdemadrid.org </v>
      </c>
      <c r="F138" s="48">
        <f ca="1">IFERROR(__xludf.DUMMYFUNCTION("""COMPUTED_VALUE"""),43301)</f>
        <v>43301</v>
      </c>
      <c r="G138" s="48">
        <f ca="1">IFERROR(__xludf.DUMMYFUNCTION("""COMPUTED_VALUE"""),43311)</f>
        <v>43311</v>
      </c>
      <c r="H138" s="36" t="str">
        <f ca="1">IFERROR(__xludf.DUMMYFUNCTION("""COMPUTED_VALUE"""),"Poveda De La Sierra")</f>
        <v>Poveda De La Sierra</v>
      </c>
      <c r="I138" s="36" t="str">
        <f ca="1">IFERROR(__xludf.DUMMYFUNCTION("""COMPUTED_VALUE"""),"Campamento AGUABUENA")</f>
        <v>Campamento AGUABUENA</v>
      </c>
      <c r="J138" s="36" t="str">
        <f ca="1">IFERROR(__xludf.DUMMYFUNCTION("""COMPUTED_VALUE"""),"2398202WK8929N0001HO")</f>
        <v>2398202WK8929N0001HO</v>
      </c>
      <c r="K138" s="36" t="str">
        <f ca="1">IFERROR(__xludf.DUMMYFUNCTION("""COMPUTED_VALUE"""),"40,672235 - -2,035936")</f>
        <v>40,672235 - -2,035936</v>
      </c>
      <c r="L138" s="36" t="str">
        <f ca="1">IFERROR(__xludf.DUMMYFUNCTION("""COMPUTED_VALUE"""),"Ayuntamiento de Poveda de la Sierra")</f>
        <v>Ayuntamiento de Poveda de la Sierra</v>
      </c>
      <c r="M138" s="36" t="str">
        <f ca="1">IFERROR(__xludf.DUMMYFUNCTION("""COMPUTED_VALUE"""),"949 23 65 16")</f>
        <v>949 23 65 16</v>
      </c>
      <c r="N138" s="36" t="str">
        <f ca="1">IFERROR(__xludf.DUMMYFUNCTION("""COMPUTED_VALUE"""),"secretaria@aytopoveda.es")</f>
        <v>secretaria@aytopoveda.es</v>
      </c>
      <c r="O138" s="36" t="str">
        <f ca="1">IFERROR(__xludf.DUMMYFUNCTION("""COMPUTED_VALUE"""),"2300 €/quincena")</f>
        <v>2300 €/quincena</v>
      </c>
      <c r="P138" s="36">
        <f ca="1">IFERROR(__xludf.DUMMYFUNCTION("""COMPUTED_VALUE"""),500)</f>
        <v>500</v>
      </c>
      <c r="Q138" s="36" t="str">
        <f ca="1">IFERROR(__xludf.DUMMYFUNCTION("""COMPUTED_VALUE"""),"BUENO (Se puede acceder con cualquier coche)")</f>
        <v>BUENO (Se puede acceder con cualquier coche)</v>
      </c>
      <c r="R138" s="36" t="str">
        <f ca="1">IFERROR(__xludf.DUMMYFUNCTION("""COMPUTED_VALUE"""),"Sí")</f>
        <v>Sí</v>
      </c>
      <c r="S138" s="36" t="str">
        <f ca="1">IFERROR(__xludf.DUMMYFUNCTION("""COMPUTED_VALUE"""),"500m")</f>
        <v>500m</v>
      </c>
      <c r="T138" s="36" t="str">
        <f ca="1">IFERROR(__xludf.DUMMYFUNCTION("""COMPUTED_VALUE"""),"Río Tajo: amplio y con zonas de balsa poco profundas")</f>
        <v>Río Tajo: amplio y con zonas de balsa poco profundas</v>
      </c>
      <c r="U138" s="36" t="str">
        <f ca="1">IFERROR(__xludf.DUMMYFUNCTION("""COMPUTED_VALUE"""),"Cocina, comedor, baños almacén")</f>
        <v>Cocina, comedor, baños almacén</v>
      </c>
      <c r="V138" s="36" t="str">
        <f ca="1">IFERROR(__xludf.DUMMYFUNCTION("""COMPUTED_VALUE"""),"Sí")</f>
        <v>Sí</v>
      </c>
      <c r="W138" s="36" t="str">
        <f ca="1">IFERROR(__xludf.DUMMYFUNCTION("""COMPUTED_VALUE"""),"Está rodeada de otros campamentos del ayuntamiento. Se encuentra dentro del parque natural del alto Tajo.")</f>
        <v>Está rodeada de otros campamentos del ayuntamiento. Se encuentra dentro del parque natural del alto Tajo.</v>
      </c>
      <c r="X138" s="36"/>
      <c r="Y138" s="36"/>
      <c r="Z138" s="36"/>
    </row>
    <row r="139" spans="1:26" ht="12.75" hidden="1">
      <c r="A139" s="36" t="str">
        <f ca="1">IFERROR(__xludf.DUMMYFUNCTION("""COMPUTED_VALUE"""),"Castilla-La Mancha")</f>
        <v>Castilla-La Mancha</v>
      </c>
      <c r="B139" s="36" t="str">
        <f ca="1">IFERROR(__xludf.DUMMYFUNCTION("""COMPUTED_VALUE"""),"Guadalajara")</f>
        <v>Guadalajara</v>
      </c>
      <c r="C139" s="36">
        <f ca="1">IFERROR(__xludf.DUMMYFUNCTION("""COMPUTED_VALUE"""),2019)</f>
        <v>2019</v>
      </c>
      <c r="D139" s="36" t="str">
        <f ca="1">IFERROR(__xludf.DUMMYFUNCTION("""COMPUTED_VALUE"""),"Santo Domingo")</f>
        <v>Santo Domingo</v>
      </c>
      <c r="E139" s="36" t="str">
        <f ca="1">IFERROR(__xludf.DUMMYFUNCTION("""COMPUTED_VALUE"""),"gs.santodomingo@scoutsdemadrid.org ")</f>
        <v xml:space="preserve">gs.santodomingo@scoutsdemadrid.org </v>
      </c>
      <c r="F139" s="48">
        <f ca="1">IFERROR(__xludf.DUMMYFUNCTION("""COMPUTED_VALUE"""),43658)</f>
        <v>43658</v>
      </c>
      <c r="G139" s="48">
        <f ca="1">IFERROR(__xludf.DUMMYFUNCTION("""COMPUTED_VALUE"""),43675)</f>
        <v>43675</v>
      </c>
      <c r="H139" s="36" t="str">
        <f ca="1">IFERROR(__xludf.DUMMYFUNCTION("""COMPUTED_VALUE"""),"Checa")</f>
        <v>Checa</v>
      </c>
      <c r="I139" s="36" t="str">
        <f ca="1">IFERROR(__xludf.DUMMYFUNCTION("""COMPUTED_VALUE"""),"Prado de la Becea")</f>
        <v>Prado de la Becea</v>
      </c>
      <c r="J139" s="36" t="str">
        <f ca="1">IFERROR(__xludf.DUMMYFUNCTION("""COMPUTED_VALUE"""),"023")</f>
        <v>023</v>
      </c>
      <c r="K139" s="36" t="str">
        <f ca="1">IFERROR(__xludf.DUMMYFUNCTION("""COMPUTED_VALUE"""),"x: 601,835,126 y: 4,495,664,13")</f>
        <v>x: 601,835,126 y: 4,495,664,13</v>
      </c>
      <c r="L139" s="36" t="str">
        <f ca="1">IFERROR(__xludf.DUMMYFUNCTION("""COMPUTED_VALUE"""),"Ayuntamiento de Checa")</f>
        <v>Ayuntamiento de Checa</v>
      </c>
      <c r="M139" s="36">
        <f ca="1">IFERROR(__xludf.DUMMYFUNCTION("""COMPUTED_VALUE"""),645782663)</f>
        <v>645782663</v>
      </c>
      <c r="N139" s="49" t="str">
        <f ca="1">IFERROR(__xludf.DUMMYFUNCTION("""COMPUTED_VALUE"""),"ayuntamientocheca42gmail.com")</f>
        <v>ayuntamientocheca42gmail.com</v>
      </c>
      <c r="O139" s="36" t="str">
        <f ca="1">IFERROR(__xludf.DUMMYFUNCTION("""COMPUTED_VALUE"""),"-")</f>
        <v>-</v>
      </c>
      <c r="P139" s="36" t="str">
        <f ca="1">IFERROR(__xludf.DUMMYFUNCTION("""COMPUTED_VALUE"""),"5 hectareas aprox")</f>
        <v>5 hectareas aprox</v>
      </c>
      <c r="Q139" s="36" t="str">
        <f ca="1">IFERROR(__xludf.DUMMYFUNCTION("""COMPUTED_VALUE"""),"BUENO (Se puede acceder con cualquier coche)")</f>
        <v>BUENO (Se puede acceder con cualquier coche)</v>
      </c>
      <c r="R139" s="36" t="str">
        <f ca="1">IFERROR(__xludf.DUMMYFUNCTION("""COMPUTED_VALUE"""),"Sí")</f>
        <v>Sí</v>
      </c>
      <c r="S139" s="36" t="str">
        <f ca="1">IFERROR(__xludf.DUMMYFUNCTION("""COMPUTED_VALUE"""),"800m")</f>
        <v>800m</v>
      </c>
      <c r="T139" s="36" t="str">
        <f ca="1">IFERROR(__xludf.DUMMYFUNCTION("""COMPUTED_VALUE"""),"pozas de rio")</f>
        <v>pozas de rio</v>
      </c>
      <c r="U139" s="36" t="str">
        <f ca="1">IFERROR(__xludf.DUMMYFUNCTION("""COMPUTED_VALUE"""),"no")</f>
        <v>no</v>
      </c>
      <c r="V139" s="36" t="str">
        <f ca="1">IFERROR(__xludf.DUMMYFUNCTION("""COMPUTED_VALUE"""),"si")</f>
        <v>si</v>
      </c>
      <c r="W139" s="36" t="str">
        <f ca="1">IFERROR(__xludf.DUMMYFUNCTION("""COMPUTED_VALUE"""),"muy adecuado")</f>
        <v>muy adecuado</v>
      </c>
      <c r="X139" s="36"/>
      <c r="Y139" s="36"/>
      <c r="Z139" s="36"/>
    </row>
    <row r="140" spans="1:26" ht="12.75" hidden="1">
      <c r="A140" s="36" t="str">
        <f ca="1">IFERROR(__xludf.DUMMYFUNCTION("""COMPUTED_VALUE"""),"Castilla-La Mancha")</f>
        <v>Castilla-La Mancha</v>
      </c>
      <c r="B140" s="36" t="str">
        <f ca="1">IFERROR(__xludf.DUMMYFUNCTION("""COMPUTED_VALUE"""),"Cuenca")</f>
        <v>Cuenca</v>
      </c>
      <c r="C140" s="36">
        <f ca="1">IFERROR(__xludf.DUMMYFUNCTION("""COMPUTED_VALUE"""),2018)</f>
        <v>2018</v>
      </c>
      <c r="D140" s="36" t="str">
        <f ca="1">IFERROR(__xludf.DUMMYFUNCTION("""COMPUTED_VALUE"""),"Tallac")</f>
        <v>Tallac</v>
      </c>
      <c r="E140" s="36" t="str">
        <f ca="1">IFERROR(__xludf.DUMMYFUNCTION("""COMPUTED_VALUE"""),"gs.tallac@scoutsdemadrid.org ")</f>
        <v xml:space="preserve">gs.tallac@scoutsdemadrid.org </v>
      </c>
      <c r="F140" s="48">
        <f ca="1">IFERROR(__xludf.DUMMYFUNCTION("""COMPUTED_VALUE"""),43282)</f>
        <v>43282</v>
      </c>
      <c r="G140" s="48">
        <f ca="1">IFERROR(__xludf.DUMMYFUNCTION("""COMPUTED_VALUE"""),43296)</f>
        <v>43296</v>
      </c>
      <c r="H140" s="36" t="str">
        <f ca="1">IFERROR(__xludf.DUMMYFUNCTION("""COMPUTED_VALUE"""),"Vega Del Codorno")</f>
        <v>Vega Del Codorno</v>
      </c>
      <c r="I140" s="36" t="str">
        <f ca="1">IFERROR(__xludf.DUMMYFUNCTION("""COMPUTED_VALUE"""),"Camping Río Cuervo")</f>
        <v>Camping Río Cuervo</v>
      </c>
      <c r="J140" s="36" t="str">
        <f ca="1">IFERROR(__xludf.DUMMYFUNCTION("""COMPUTED_VALUE"""),"no ")</f>
        <v xml:space="preserve">no </v>
      </c>
      <c r="K140" s="36" t="str">
        <f ca="1">IFERROR(__xludf.DUMMYFUNCTION("""COMPUTED_VALUE"""),"40.449666 - 1.955221")</f>
        <v>40.449666 - 1.955221</v>
      </c>
      <c r="L140" s="36" t="str">
        <f ca="1">IFERROR(__xludf.DUMMYFUNCTION("""COMPUTED_VALUE"""),"Camping Rio Cuervo - Alfred")</f>
        <v>Camping Rio Cuervo - Alfred</v>
      </c>
      <c r="M140" s="36">
        <f ca="1">IFERROR(__xludf.DUMMYFUNCTION("""COMPUTED_VALUE"""),639828628)</f>
        <v>639828628</v>
      </c>
      <c r="N140" s="36" t="str">
        <f ca="1">IFERROR(__xludf.DUMMYFUNCTION("""COMPUTED_VALUE"""),"no")</f>
        <v>no</v>
      </c>
      <c r="O140" s="54">
        <f ca="1">IFERROR(__xludf.DUMMYFUNCTION("""COMPUTED_VALUE"""),2500)</f>
        <v>2500</v>
      </c>
      <c r="P140" s="36" t="str">
        <f ca="1">IFERROR(__xludf.DUMMYFUNCTION("""COMPUTED_VALUE"""),"20 ha")</f>
        <v>20 ha</v>
      </c>
      <c r="Q140" s="36" t="str">
        <f ca="1">IFERROR(__xludf.DUMMYFUNCTION("""COMPUTED_VALUE"""),"BUENO (Se puede acceder con cualquier coche)")</f>
        <v>BUENO (Se puede acceder con cualquier coche)</v>
      </c>
      <c r="R140" s="36" t="str">
        <f ca="1">IFERROR(__xludf.DUMMYFUNCTION("""COMPUTED_VALUE"""),"Sí")</f>
        <v>Sí</v>
      </c>
      <c r="S140" s="36" t="str">
        <f ca="1">IFERROR(__xludf.DUMMYFUNCTION("""COMPUTED_VALUE"""),"500 metros")</f>
        <v>500 metros</v>
      </c>
      <c r="T140" s="36" t="str">
        <f ca="1">IFERROR(__xludf.DUMMYFUNCTION("""COMPUTED_VALUE"""),"Pozas muy buenas")</f>
        <v>Pozas muy buenas</v>
      </c>
      <c r="U140" s="36" t="str">
        <f ca="1">IFERROR(__xludf.DUMMYFUNCTION("""COMPUTED_VALUE"""),"Baños, duchas, cocina, comedor ")</f>
        <v xml:space="preserve">Baños, duchas, cocina, comedor </v>
      </c>
      <c r="V140" s="36" t="str">
        <f ca="1">IFERROR(__xludf.DUMMYFUNCTION("""COMPUTED_VALUE"""),"El dueño tiene palos para construcciones")</f>
        <v>El dueño tiene palos para construcciones</v>
      </c>
      <c r="W140" s="36" t="str">
        <f ca="1">IFERROR(__xludf.DUMMYFUNCTION("""COMPUTED_VALUE"""),"Lugar abandonado que vamos a intentar reconstruir. ")</f>
        <v xml:space="preserve">Lugar abandonado que vamos a intentar reconstruir. </v>
      </c>
      <c r="X140" s="36"/>
      <c r="Y140" s="36"/>
      <c r="Z140" s="36"/>
    </row>
    <row r="141" spans="1:26" ht="12.75" hidden="1">
      <c r="A141" s="36" t="str">
        <f ca="1">IFERROR(__xludf.DUMMYFUNCTION("""COMPUTED_VALUE"""),"Castilla-La Mancha")</f>
        <v>Castilla-La Mancha</v>
      </c>
      <c r="B141" s="36" t="str">
        <f ca="1">IFERROR(__xludf.DUMMYFUNCTION("""COMPUTED_VALUE"""),"Cuenca")</f>
        <v>Cuenca</v>
      </c>
      <c r="C141" s="36">
        <f ca="1">IFERROR(__xludf.DUMMYFUNCTION("""COMPUTED_VALUE"""),2016)</f>
        <v>2016</v>
      </c>
      <c r="D141" s="36" t="str">
        <f ca="1">IFERROR(__xludf.DUMMYFUNCTION("""COMPUTED_VALUE"""),"Ultreya")</f>
        <v>Ultreya</v>
      </c>
      <c r="E141" s="36" t="str">
        <f ca="1">IFERROR(__xludf.DUMMYFUNCTION("""COMPUTED_VALUE"""),"gs.ultreya@scoutsdemadrid.org ")</f>
        <v xml:space="preserve">gs.ultreya@scoutsdemadrid.org </v>
      </c>
      <c r="F141" s="48">
        <f ca="1">IFERROR(__xludf.DUMMYFUNCTION("""COMPUTED_VALUE"""),42553)</f>
        <v>42553</v>
      </c>
      <c r="G141" s="48">
        <f ca="1">IFERROR(__xludf.DUMMYFUNCTION("""COMPUTED_VALUE"""),42561)</f>
        <v>42561</v>
      </c>
      <c r="H141" s="36" t="str">
        <f ca="1">IFERROR(__xludf.DUMMYFUNCTION("""COMPUTED_VALUE"""),"Uña")</f>
        <v>Uña</v>
      </c>
      <c r="I141" s="36" t="str">
        <f ca="1">IFERROR(__xludf.DUMMYFUNCTION("""COMPUTED_VALUE"""),"ALBERGUE LA CAÑADILLA")</f>
        <v>ALBERGUE LA CAÑADILLA</v>
      </c>
      <c r="J141" s="36" t="str">
        <f ca="1">IFERROR(__xludf.DUMMYFUNCTION("""COMPUTED_VALUE"""),"")</f>
        <v/>
      </c>
      <c r="K141" s="36" t="str">
        <f ca="1">IFERROR(__xludf.DUMMYFUNCTION("""COMPUTED_VALUE"""),"40°13'16.1""N 1°58'31.4""W")</f>
        <v>40°13'16.1"N 1°58'31.4"W</v>
      </c>
      <c r="L141" s="36" t="str">
        <f ca="1">IFERROR(__xludf.DUMMYFUNCTION("""COMPUTED_VALUE"""),"UÑAVENTURA")</f>
        <v>UÑAVENTURA</v>
      </c>
      <c r="M141" s="36" t="str">
        <f ca="1">IFERROR(__xludf.DUMMYFUNCTION("""COMPUTED_VALUE"""),"")</f>
        <v/>
      </c>
      <c r="N141" s="36" t="str">
        <f ca="1">IFERROR(__xludf.DUMMYFUNCTION("""COMPUTED_VALUE"""),"")</f>
        <v/>
      </c>
      <c r="O141" s="36" t="str">
        <f ca="1">IFERROR(__xludf.DUMMYFUNCTION("""COMPUTED_VALUE"""),"")</f>
        <v/>
      </c>
      <c r="P141" s="36" t="str">
        <f ca="1">IFERROR(__xludf.DUMMYFUNCTION("""COMPUTED_VALUE"""),"")</f>
        <v/>
      </c>
      <c r="Q141" s="36" t="str">
        <f ca="1">IFERROR(__xludf.DUMMYFUNCTION("""COMPUTED_VALUE"""),"")</f>
        <v/>
      </c>
      <c r="R141" s="36" t="str">
        <f ca="1">IFERROR(__xludf.DUMMYFUNCTION("""COMPUTED_VALUE"""),"")</f>
        <v/>
      </c>
      <c r="S141" s="36" t="str">
        <f ca="1">IFERROR(__xludf.DUMMYFUNCTION("""COMPUTED_VALUE"""),"")</f>
        <v/>
      </c>
      <c r="T141" s="36" t="str">
        <f ca="1">IFERROR(__xludf.DUMMYFUNCTION("""COMPUTED_VALUE"""),"")</f>
        <v/>
      </c>
      <c r="U141" s="36" t="str">
        <f ca="1">IFERROR(__xludf.DUMMYFUNCTION("""COMPUTED_VALUE"""),"")</f>
        <v/>
      </c>
      <c r="V141" s="36" t="str">
        <f ca="1">IFERROR(__xludf.DUMMYFUNCTION("""COMPUTED_VALUE"""),"")</f>
        <v/>
      </c>
      <c r="W141" s="36" t="str">
        <f ca="1">IFERROR(__xludf.DUMMYFUNCTION("""COMPUTED_VALUE"""),"")</f>
        <v/>
      </c>
      <c r="X141" s="36"/>
      <c r="Y141" s="36"/>
      <c r="Z141" s="36"/>
    </row>
    <row r="142" spans="1:26" ht="12.75" hidden="1">
      <c r="A142" s="36" t="str">
        <f ca="1">IFERROR(__xludf.DUMMYFUNCTION("""COMPUTED_VALUE"""),"Cataluña")</f>
        <v>Cataluña</v>
      </c>
      <c r="B142" s="36" t="str">
        <f ca="1">IFERROR(__xludf.DUMMYFUNCTION("""COMPUTED_VALUE"""),"Lleida")</f>
        <v>Lleida</v>
      </c>
      <c r="C142" s="36">
        <f ca="1">IFERROR(__xludf.DUMMYFUNCTION("""COMPUTED_VALUE"""),2019)</f>
        <v>2019</v>
      </c>
      <c r="D142" s="36" t="str">
        <f ca="1">IFERROR(__xludf.DUMMYFUNCTION("""COMPUTED_VALUE"""),"San Jorge")</f>
        <v>San Jorge</v>
      </c>
      <c r="E142" s="36" t="str">
        <f ca="1">IFERROR(__xludf.DUMMYFUNCTION("""COMPUTED_VALUE"""),"gs.sanjorge@scoutsdemadrid.org")</f>
        <v>gs.sanjorge@scoutsdemadrid.org</v>
      </c>
      <c r="F142" s="48">
        <f ca="1">IFERROR(__xludf.DUMMYFUNCTION("""COMPUTED_VALUE"""),43659)</f>
        <v>43659</v>
      </c>
      <c r="G142" s="48">
        <f ca="1">IFERROR(__xludf.DUMMYFUNCTION("""COMPUTED_VALUE"""),43677)</f>
        <v>43677</v>
      </c>
      <c r="H142" s="36" t="str">
        <f ca="1">IFERROR(__xludf.DUMMYFUNCTION("""COMPUTED_VALUE"""),"Cerbi")</f>
        <v>Cerbi</v>
      </c>
      <c r="I142" s="36" t="str">
        <f ca="1">IFERROR(__xludf.DUMMYFUNCTION("""COMPUTED_VALUE"""),"Artoballa")</f>
        <v>Artoballa</v>
      </c>
      <c r="J142" s="36" t="str">
        <f ca="1">IFERROR(__xludf.DUMMYFUNCTION("""COMPUTED_VALUE"""),"no se")</f>
        <v>no se</v>
      </c>
      <c r="K142" s="36" t="str">
        <f ca="1">IFERROR(__xludf.DUMMYFUNCTION("""COMPUTED_VALUE"""),"E 348609, N 4723247")</f>
        <v>E 348609, N 4723247</v>
      </c>
      <c r="L142" s="36" t="str">
        <f ca="1">IFERROR(__xludf.DUMMYFUNCTION("""COMPUTED_VALUE"""),"Palmira Gabernet")</f>
        <v>Palmira Gabernet</v>
      </c>
      <c r="M142" s="36">
        <f ca="1">IFERROR(__xludf.DUMMYFUNCTION("""COMPUTED_VALUE"""),649339377)</f>
        <v>649339377</v>
      </c>
      <c r="N142" s="36" t="str">
        <f ca="1">IFERROR(__xludf.DUMMYFUNCTION("""COMPUTED_VALUE"""),"palmiragabernet@gmail.com")</f>
        <v>palmiragabernet@gmail.com</v>
      </c>
      <c r="O142" s="36">
        <f ca="1">IFERROR(__xludf.DUMMYFUNCTION("""COMPUTED_VALUE"""),2700)</f>
        <v>2700</v>
      </c>
      <c r="P142" s="36" t="str">
        <f ca="1">IFERROR(__xludf.DUMMYFUNCTION("""COMPUTED_VALUE"""),"13 500m²")</f>
        <v>13 500m²</v>
      </c>
      <c r="Q142" s="36" t="str">
        <f ca="1">IFERROR(__xludf.DUMMYFUNCTION("""COMPUTED_VALUE"""),"REGULAR (Se puede acceder con un coche normal con dificultad)")</f>
        <v>REGULAR (Se puede acceder con un coche normal con dificultad)</v>
      </c>
      <c r="R142" s="36" t="str">
        <f ca="1">IFERROR(__xludf.DUMMYFUNCTION("""COMPUTED_VALUE"""),"Sí")</f>
        <v>Sí</v>
      </c>
      <c r="S142" s="36" t="str">
        <f ca="1">IFERROR(__xludf.DUMMYFUNCTION("""COMPUTED_VALUE"""),"500 A 1000 metros")</f>
        <v>500 A 1000 metros</v>
      </c>
      <c r="T142" s="36" t="str">
        <f ca="1">IFERROR(__xludf.DUMMYFUNCTION("""COMPUTED_VALUE"""),"regular")</f>
        <v>regular</v>
      </c>
      <c r="U142" s="36" t="str">
        <f ca="1">IFERROR(__xludf.DUMMYFUNCTION("""COMPUTED_VALUE"""),"WC SECO")</f>
        <v>WC SECO</v>
      </c>
      <c r="V142" s="36" t="str">
        <f ca="1">IFERROR(__xludf.DUMMYFUNCTION("""COMPUTED_VALUE"""),"SI")</f>
        <v>SI</v>
      </c>
      <c r="W142" s="36" t="str">
        <f ca="1">IFERROR(__xludf.DUMMYFUNCTION("""COMPUTED_VALUE"""),"normal")</f>
        <v>normal</v>
      </c>
      <c r="X142" s="36"/>
      <c r="Y142" s="36"/>
      <c r="Z142" s="36"/>
    </row>
    <row r="143" spans="1:26" ht="12.75" hidden="1">
      <c r="A143" s="36" t="str">
        <f ca="1">IFERROR(__xludf.DUMMYFUNCTION("""COMPUTED_VALUE"""),"Extremadura")</f>
        <v>Extremadura</v>
      </c>
      <c r="B143" s="36" t="str">
        <f ca="1">IFERROR(__xludf.DUMMYFUNCTION("""COMPUTED_VALUE"""),"Cáceres")</f>
        <v>Cáceres</v>
      </c>
      <c r="C143" s="36">
        <f ca="1">IFERROR(__xludf.DUMMYFUNCTION("""COMPUTED_VALUE"""),2015)</f>
        <v>2015</v>
      </c>
      <c r="D143" s="36" t="str">
        <f ca="1">IFERROR(__xludf.DUMMYFUNCTION("""COMPUTED_VALUE"""),"Fátima")</f>
        <v>Fátima</v>
      </c>
      <c r="E143" s="36" t="str">
        <f ca="1">IFERROR(__xludf.DUMMYFUNCTION("""COMPUTED_VALUE"""),"gs.fatima@scoutsdemadrid.org ")</f>
        <v xml:space="preserve">gs.fatima@scoutsdemadrid.org </v>
      </c>
      <c r="F143" s="48">
        <f ca="1">IFERROR(__xludf.DUMMYFUNCTION("""COMPUTED_VALUE"""),42188)</f>
        <v>42188</v>
      </c>
      <c r="G143" s="48">
        <f ca="1">IFERROR(__xludf.DUMMYFUNCTION("""COMPUTED_VALUE"""),42200)</f>
        <v>42200</v>
      </c>
      <c r="H143" s="36" t="str">
        <f ca="1">IFERROR(__xludf.DUMMYFUNCTION("""COMPUTED_VALUE"""),"Piornal")</f>
        <v>Piornal</v>
      </c>
      <c r="I143" s="36" t="str">
        <f ca="1">IFERROR(__xludf.DUMMYFUNCTION("""COMPUTED_VALUE"""),"Piornal (la ermita)")</f>
        <v>Piornal (la ermita)</v>
      </c>
      <c r="J143" s="36" t="str">
        <f ca="1">IFERROR(__xludf.DUMMYFUNCTION("""COMPUTED_VALUE"""),"")</f>
        <v/>
      </c>
      <c r="K143" s="36" t="str">
        <f ca="1">IFERROR(__xludf.DUMMYFUNCTION("""COMPUTED_VALUE"""),"")</f>
        <v/>
      </c>
      <c r="L143" s="36" t="str">
        <f ca="1">IFERROR(__xludf.DUMMYFUNCTION("""COMPUTED_VALUE"""),"")</f>
        <v/>
      </c>
      <c r="M143" s="36" t="str">
        <f ca="1">IFERROR(__xludf.DUMMYFUNCTION("""COMPUTED_VALUE"""),"")</f>
        <v/>
      </c>
      <c r="N143" s="36" t="str">
        <f ca="1">IFERROR(__xludf.DUMMYFUNCTION("""COMPUTED_VALUE"""),"")</f>
        <v/>
      </c>
      <c r="O143" s="36" t="str">
        <f ca="1">IFERROR(__xludf.DUMMYFUNCTION("""COMPUTED_VALUE"""),"")</f>
        <v/>
      </c>
      <c r="P143" s="36" t="str">
        <f ca="1">IFERROR(__xludf.DUMMYFUNCTION("""COMPUTED_VALUE"""),"")</f>
        <v/>
      </c>
      <c r="Q143" s="36" t="str">
        <f ca="1">IFERROR(__xludf.DUMMYFUNCTION("""COMPUTED_VALUE"""),"")</f>
        <v/>
      </c>
      <c r="R143" s="36" t="str">
        <f ca="1">IFERROR(__xludf.DUMMYFUNCTION("""COMPUTED_VALUE"""),"")</f>
        <v/>
      </c>
      <c r="S143" s="36" t="str">
        <f ca="1">IFERROR(__xludf.DUMMYFUNCTION("""COMPUTED_VALUE"""),"")</f>
        <v/>
      </c>
      <c r="T143" s="36" t="str">
        <f ca="1">IFERROR(__xludf.DUMMYFUNCTION("""COMPUTED_VALUE"""),"")</f>
        <v/>
      </c>
      <c r="U143" s="36" t="str">
        <f ca="1">IFERROR(__xludf.DUMMYFUNCTION("""COMPUTED_VALUE"""),"")</f>
        <v/>
      </c>
      <c r="V143" s="36" t="str">
        <f ca="1">IFERROR(__xludf.DUMMYFUNCTION("""COMPUTED_VALUE"""),"")</f>
        <v/>
      </c>
      <c r="W143" s="36" t="str">
        <f ca="1">IFERROR(__xludf.DUMMYFUNCTION("""COMPUTED_VALUE"""),"")</f>
        <v/>
      </c>
      <c r="X143" s="36"/>
      <c r="Y143" s="36"/>
      <c r="Z143" s="36"/>
    </row>
    <row r="144" spans="1:26" ht="12.75" hidden="1">
      <c r="A144" s="36" t="str">
        <f ca="1">IFERROR(__xludf.DUMMYFUNCTION("""COMPUTED_VALUE"""),"Extremadura")</f>
        <v>Extremadura</v>
      </c>
      <c r="B144" s="36" t="str">
        <f ca="1">IFERROR(__xludf.DUMMYFUNCTION("""COMPUTED_VALUE"""),"Cáceres")</f>
        <v>Cáceres</v>
      </c>
      <c r="C144" s="36">
        <f ca="1">IFERROR(__xludf.DUMMYFUNCTION("""COMPUTED_VALUE"""),2019)</f>
        <v>2019</v>
      </c>
      <c r="D144" s="36" t="str">
        <f ca="1">IFERROR(__xludf.DUMMYFUNCTION("""COMPUTED_VALUE"""),"Vedruna")</f>
        <v>Vedruna</v>
      </c>
      <c r="E144" s="36" t="str">
        <f ca="1">IFERROR(__xludf.DUMMYFUNCTION("""COMPUTED_VALUE"""),"gs.vedruna@scoutsdemadrid.org")</f>
        <v>gs.vedruna@scoutsdemadrid.org</v>
      </c>
      <c r="F144" s="48">
        <f ca="1">IFERROR(__xludf.DUMMYFUNCTION("""COMPUTED_VALUE"""),43647)</f>
        <v>43647</v>
      </c>
      <c r="G144" s="48">
        <f ca="1">IFERROR(__xludf.DUMMYFUNCTION("""COMPUTED_VALUE"""),43660)</f>
        <v>43660</v>
      </c>
      <c r="H144" s="36" t="str">
        <f ca="1">IFERROR(__xludf.DUMMYFUNCTION("""COMPUTED_VALUE"""),"Piornal")</f>
        <v>Piornal</v>
      </c>
      <c r="I144" s="36" t="str">
        <f ca="1">IFERROR(__xludf.DUMMYFUNCTION("""COMPUTED_VALUE"""),"Campamento Peña Negra Piornal Valle del Jerte")</f>
        <v>Campamento Peña Negra Piornal Valle del Jerte</v>
      </c>
      <c r="J144" s="36" t="str">
        <f ca="1">IFERROR(__xludf.DUMMYFUNCTION("""COMPUTED_VALUE"""),"10150A00300576")</f>
        <v>10150A00300576</v>
      </c>
      <c r="K144" s="49" t="str">
        <f ca="1">IFERROR(__xludf.DUMMYFUNCTION("""COMPUTED_VALUE"""),"https://www.google.com/maps/place/Campamento+Pe%C3%B1a+Negra+Piornal+Valle+del+Jerte/@40.1198892,-5.8320074,274m/data=!3m1!1e3!4m13!1m7!3m6!1s0xd3e36f986235c13:0xed87a1ddaa04f7cb!2s10615+Piornal,+C%C3%A1ceres!3b1!8m2!3d40.1164877!4d-5.8471434!3m4!1s0xd3e3"&amp;"7317e7923b9:0x56703321a10940d0!8m2!3d40.1199673!4d-5.8311908")</f>
        <v>https://www.google.com/maps/place/Campamento+Pe%C3%B1a+Negra+Piornal+Valle+del+Jerte/@40.1198892,-5.8320074,274m/data=!3m1!1e3!4m13!1m7!3m6!1s0xd3e36f986235c13:0xed87a1ddaa04f7cb!2s10615+Piornal,+C%C3%A1ceres!3b1!8m2!3d40.1164877!4d-5.8471434!3m4!1s0xd3e37317e7923b9:0x56703321a10940d0!8m2!3d40.1199673!4d-5.8311908</v>
      </c>
      <c r="L144" s="36" t="str">
        <f ca="1">IFERROR(__xludf.DUMMYFUNCTION("""COMPUTED_VALUE"""),"Jorge Rojo Ramos/ Gekco Turismo activo y formacion")</f>
        <v>Jorge Rojo Ramos/ Gekco Turismo activo y formacion</v>
      </c>
      <c r="M144" s="36">
        <f ca="1">IFERROR(__xludf.DUMMYFUNCTION("""COMPUTED_VALUE"""),661093233)</f>
        <v>661093233</v>
      </c>
      <c r="N144" s="36" t="str">
        <f ca="1">IFERROR(__xludf.DUMMYFUNCTION("""COMPUTED_VALUE"""),"info@aventurajerte.es")</f>
        <v>info@aventurajerte.es</v>
      </c>
      <c r="O144" s="36">
        <f ca="1">IFERROR(__xludf.DUMMYFUNCTION("""COMPUTED_VALUE"""),235)</f>
        <v>235</v>
      </c>
      <c r="P144" s="36" t="str">
        <f ca="1">IFERROR(__xludf.DUMMYFUNCTION("""COMPUTED_VALUE"""),"15.763 m2")</f>
        <v>15.763 m2</v>
      </c>
      <c r="Q144" s="36" t="str">
        <f ca="1">IFERROR(__xludf.DUMMYFUNCTION("""COMPUTED_VALUE"""),"BUENO (Se puede acceder con cualquier coche)")</f>
        <v>BUENO (Se puede acceder con cualquier coche)</v>
      </c>
      <c r="R144" s="36" t="str">
        <f ca="1">IFERROR(__xludf.DUMMYFUNCTION("""COMPUTED_VALUE"""),"Sí")</f>
        <v>Sí</v>
      </c>
      <c r="S144" s="36" t="str">
        <f ca="1">IFERROR(__xludf.DUMMYFUNCTION("""COMPUTED_VALUE"""),"Dentro del campamento")</f>
        <v>Dentro del campamento</v>
      </c>
      <c r="T144" s="36" t="str">
        <f ca="1">IFERROR(__xludf.DUMMYFUNCTION("""COMPUTED_VALUE"""),"Tiene una pequeña piscina en el interior del campamento, vallado para evitar caidas")</f>
        <v>Tiene una pequeña piscina en el interior del campamento, vallado para evitar caidas</v>
      </c>
      <c r="U144" s="36" t="str">
        <f ca="1">IFERROR(__xludf.DUMMYFUNCTION("""COMPUTED_VALUE"""),"Cocina, baños, comedor techado y cerrado, dos habitaciones con literas que se usaran para guardar el material")</f>
        <v>Cocina, baños, comedor techado y cerrado, dos habitaciones con literas que se usaran para guardar el material</v>
      </c>
      <c r="V144" s="36" t="str">
        <f ca="1">IFERROR(__xludf.DUMMYFUNCTION("""COMPUTED_VALUE"""),"Se desconoce")</f>
        <v>Se desconoce</v>
      </c>
      <c r="W144" s="36" t="str">
        <f ca="1">IFERROR(__xludf.DUMMYFUNCTION("""COMPUTED_VALUE"""),"La campa no es muy grande pero si tiene zonas de sombra y zona para montar tiendas de campaña, baños separados con duchas. Ademas de una edificacion con barbacoas y fregadderos")</f>
        <v>La campa no es muy grande pero si tiene zonas de sombra y zona para montar tiendas de campaña, baños separados con duchas. Ademas de una edificacion con barbacoas y fregadderos</v>
      </c>
      <c r="X144" s="36"/>
      <c r="Y144" s="36"/>
      <c r="Z144" s="36"/>
    </row>
    <row r="145" spans="1:26" ht="12.75" hidden="1">
      <c r="A145" s="36" t="str">
        <f ca="1">IFERROR(__xludf.DUMMYFUNCTION("""COMPUTED_VALUE"""),"Pais Vasco")</f>
        <v>Pais Vasco</v>
      </c>
      <c r="B145" s="36" t="str">
        <f ca="1">IFERROR(__xludf.DUMMYFUNCTION("""COMPUTED_VALUE"""),"Vizcaya")</f>
        <v>Vizcaya</v>
      </c>
      <c r="C145" s="36">
        <f ca="1">IFERROR(__xludf.DUMMYFUNCTION("""COMPUTED_VALUE"""),2017)</f>
        <v>2017</v>
      </c>
      <c r="D145" s="36" t="str">
        <f ca="1">IFERROR(__xludf.DUMMYFUNCTION("""COMPUTED_VALUE"""),"San Jorge")</f>
        <v>San Jorge</v>
      </c>
      <c r="E145" s="36" t="str">
        <f ca="1">IFERROR(__xludf.DUMMYFUNCTION("""COMPUTED_VALUE"""),"gs.sanjorge@scoutsdemadrid.org ")</f>
        <v xml:space="preserve">gs.sanjorge@scoutsdemadrid.org </v>
      </c>
      <c r="F145" s="48">
        <f ca="1">IFERROR(__xludf.DUMMYFUNCTION("""COMPUTED_VALUE"""),42931)</f>
        <v>42931</v>
      </c>
      <c r="G145" s="48">
        <f ca="1">IFERROR(__xludf.DUMMYFUNCTION("""COMPUTED_VALUE"""),42938)</f>
        <v>42938</v>
      </c>
      <c r="H145" s="36" t="str">
        <f ca="1">IFERROR(__xludf.DUMMYFUNCTION("""COMPUTED_VALUE"""),"Lanestosa")</f>
        <v>Lanestosa</v>
      </c>
      <c r="I145" s="36" t="str">
        <f ca="1">IFERROR(__xludf.DUMMYFUNCTION("""COMPUTED_VALUE"""),"")</f>
        <v/>
      </c>
      <c r="J145" s="36" t="str">
        <f ca="1">IFERROR(__xludf.DUMMYFUNCTION("""COMPUTED_VALUE"""),"")</f>
        <v/>
      </c>
      <c r="K145" s="36" t="str">
        <f ca="1">IFERROR(__xludf.DUMMYFUNCTION("""COMPUTED_VALUE"""),"")</f>
        <v/>
      </c>
      <c r="L145" s="36" t="str">
        <f ca="1">IFERROR(__xludf.DUMMYFUNCTION("""COMPUTED_VALUE"""),"Jose Angel Ranero Santisteban")</f>
        <v>Jose Angel Ranero Santisteban</v>
      </c>
      <c r="M145" s="36" t="str">
        <f ca="1">IFERROR(__xludf.DUMMYFUNCTION("""COMPUTED_VALUE"""),"")</f>
        <v/>
      </c>
      <c r="N145" s="36" t="str">
        <f ca="1">IFERROR(__xludf.DUMMYFUNCTION("""COMPUTED_VALUE"""),"")</f>
        <v/>
      </c>
      <c r="O145" s="36" t="str">
        <f ca="1">IFERROR(__xludf.DUMMYFUNCTION("""COMPUTED_VALUE"""),"")</f>
        <v/>
      </c>
      <c r="P145" s="36" t="str">
        <f ca="1">IFERROR(__xludf.DUMMYFUNCTION("""COMPUTED_VALUE"""),"")</f>
        <v/>
      </c>
      <c r="Q145" s="36" t="str">
        <f ca="1">IFERROR(__xludf.DUMMYFUNCTION("""COMPUTED_VALUE"""),"BUENO (Se puede acceder con cualquier coche)")</f>
        <v>BUENO (Se puede acceder con cualquier coche)</v>
      </c>
      <c r="R145" s="36" t="str">
        <f ca="1">IFERROR(__xludf.DUMMYFUNCTION("""COMPUTED_VALUE"""),"Sí")</f>
        <v>Sí</v>
      </c>
      <c r="S145" s="36" t="str">
        <f ca="1">IFERROR(__xludf.DUMMYFUNCTION("""COMPUTED_VALUE"""),"")</f>
        <v/>
      </c>
      <c r="T145" s="36" t="str">
        <f ca="1">IFERROR(__xludf.DUMMYFUNCTION("""COMPUTED_VALUE"""),"")</f>
        <v/>
      </c>
      <c r="U145" s="36" t="str">
        <f ca="1">IFERROR(__xludf.DUMMYFUNCTION("""COMPUTED_VALUE"""),"")</f>
        <v/>
      </c>
      <c r="V145" s="36" t="str">
        <f ca="1">IFERROR(__xludf.DUMMYFUNCTION("""COMPUTED_VALUE"""),"")</f>
        <v/>
      </c>
      <c r="W145" s="36" t="str">
        <f ca="1">IFERROR(__xludf.DUMMYFUNCTION("""COMPUTED_VALUE"""),"")</f>
        <v/>
      </c>
      <c r="X145" s="36"/>
      <c r="Y145" s="36"/>
      <c r="Z145" s="36"/>
    </row>
    <row r="146" spans="1:26" ht="12.75" hidden="1">
      <c r="A146" s="36" t="str">
        <f ca="1">IFERROR(__xludf.DUMMYFUNCTION("""COMPUTED_VALUE"""),"Pais Vasco")</f>
        <v>Pais Vasco</v>
      </c>
      <c r="B146" s="36" t="str">
        <f ca="1">IFERROR(__xludf.DUMMYFUNCTION("""COMPUTED_VALUE"""),"Álava")</f>
        <v>Álava</v>
      </c>
      <c r="C146" s="36">
        <f ca="1">IFERROR(__xludf.DUMMYFUNCTION("""COMPUTED_VALUE"""),2012)</f>
        <v>2012</v>
      </c>
      <c r="D146" s="36" t="str">
        <f ca="1">IFERROR(__xludf.DUMMYFUNCTION("""COMPUTED_VALUE"""),"Lince")</f>
        <v>Lince</v>
      </c>
      <c r="E146" s="36" t="str">
        <f ca="1">IFERROR(__xludf.DUMMYFUNCTION("""COMPUTED_VALUE"""),"gs.lince@scoutsdemadrid.org ")</f>
        <v xml:space="preserve">gs.lince@scoutsdemadrid.org </v>
      </c>
      <c r="F146" s="48">
        <f ca="1">IFERROR(__xludf.DUMMYFUNCTION("""COMPUTED_VALUE"""),41106)</f>
        <v>41106</v>
      </c>
      <c r="G146" s="48">
        <f ca="1">IFERROR(__xludf.DUMMYFUNCTION("""COMPUTED_VALUE"""),41120)</f>
        <v>41120</v>
      </c>
      <c r="H146" s="36" t="str">
        <f ca="1">IFERROR(__xludf.DUMMYFUNCTION("""COMPUTED_VALUE"""),"Lantarón")</f>
        <v>Lantarón</v>
      </c>
      <c r="I146" s="36" t="str">
        <f ca="1">IFERROR(__xludf.DUMMYFUNCTION("""COMPUTED_VALUE"""),"El encinar - Fontecha")</f>
        <v>El encinar - Fontecha</v>
      </c>
      <c r="J146" s="36" t="str">
        <f ca="1">IFERROR(__xludf.DUMMYFUNCTION("""COMPUTED_VALUE"""),"")</f>
        <v/>
      </c>
      <c r="K146" s="49" t="str">
        <f ca="1">IFERROR(__xludf.DUMMYFUNCTION("""COMPUTED_VALUE"""),"https://maps.google.es/maps?q=Fontecha,+Lantar%C3%B3n&amp;hl=es&amp;ie=UTF8&amp;ll=42.738975,-3.038508&amp;spn=0.002372,0.004823&amp;sll=42.909999,-2.698387&amp;sspn=1.211015,2.469177&amp;oq=Fontecha&amp;t=h&amp;hnear=Fontecha,+Lantar%C3%B3n,+%C3%81lava,+Pa%C3%ADs+Vasco&amp;z=18")</f>
        <v>https://maps.google.es/maps?q=Fontecha,+Lantar%C3%B3n&amp;hl=es&amp;ie=UTF8&amp;ll=42.738975,-3.038508&amp;spn=0.002372,0.004823&amp;sll=42.909999,-2.698387&amp;sspn=1.211015,2.469177&amp;oq=Fontecha&amp;t=h&amp;hnear=Fontecha,+Lantar%C3%B3n,+%C3%81lava,+Pa%C3%ADs+Vasco&amp;z=18</v>
      </c>
      <c r="L146" s="36" t="str">
        <f ca="1">IFERROR(__xludf.DUMMYFUNCTION("""COMPUTED_VALUE"""),"")</f>
        <v/>
      </c>
      <c r="M146" s="36" t="str">
        <f ca="1">IFERROR(__xludf.DUMMYFUNCTION("""COMPUTED_VALUE"""),"")</f>
        <v/>
      </c>
      <c r="N146" s="36" t="str">
        <f ca="1">IFERROR(__xludf.DUMMYFUNCTION("""COMPUTED_VALUE"""),"")</f>
        <v/>
      </c>
      <c r="O146" s="36" t="str">
        <f ca="1">IFERROR(__xludf.DUMMYFUNCTION("""COMPUTED_VALUE"""),"")</f>
        <v/>
      </c>
      <c r="P146" s="36" t="str">
        <f ca="1">IFERROR(__xludf.DUMMYFUNCTION("""COMPUTED_VALUE"""),"")</f>
        <v/>
      </c>
      <c r="Q146" s="36" t="str">
        <f ca="1">IFERROR(__xludf.DUMMYFUNCTION("""COMPUTED_VALUE"""),"")</f>
        <v/>
      </c>
      <c r="R146" s="36" t="str">
        <f ca="1">IFERROR(__xludf.DUMMYFUNCTION("""COMPUTED_VALUE"""),"")</f>
        <v/>
      </c>
      <c r="S146" s="36" t="str">
        <f ca="1">IFERROR(__xludf.DUMMYFUNCTION("""COMPUTED_VALUE"""),"")</f>
        <v/>
      </c>
      <c r="T146" s="36" t="str">
        <f ca="1">IFERROR(__xludf.DUMMYFUNCTION("""COMPUTED_VALUE"""),"")</f>
        <v/>
      </c>
      <c r="U146" s="36" t="str">
        <f ca="1">IFERROR(__xludf.DUMMYFUNCTION("""COMPUTED_VALUE"""),"")</f>
        <v/>
      </c>
      <c r="V146" s="36" t="str">
        <f ca="1">IFERROR(__xludf.DUMMYFUNCTION("""COMPUTED_VALUE"""),"")</f>
        <v/>
      </c>
      <c r="W146" s="36" t="str">
        <f ca="1">IFERROR(__xludf.DUMMYFUNCTION("""COMPUTED_VALUE"""),"")</f>
        <v/>
      </c>
      <c r="X146" s="36"/>
      <c r="Y146" s="36"/>
      <c r="Z146" s="36"/>
    </row>
    <row r="147" spans="1:26" ht="12.75" hidden="1">
      <c r="A147" s="36" t="str">
        <f ca="1">IFERROR(__xludf.DUMMYFUNCTION("""COMPUTED_VALUE"""),"Pais Vasco")</f>
        <v>Pais Vasco</v>
      </c>
      <c r="B147" s="36" t="str">
        <f ca="1">IFERROR(__xludf.DUMMYFUNCTION("""COMPUTED_VALUE"""),"Álava")</f>
        <v>Álava</v>
      </c>
      <c r="C147" s="36">
        <f ca="1">IFERROR(__xludf.DUMMYFUNCTION("""COMPUTED_VALUE"""),2018)</f>
        <v>2018</v>
      </c>
      <c r="D147" s="36" t="str">
        <f ca="1">IFERROR(__xludf.DUMMYFUNCTION("""COMPUTED_VALUE"""),"Lince San Gregorio")</f>
        <v>Lince San Gregorio</v>
      </c>
      <c r="E147" s="36" t="str">
        <f ca="1">IFERROR(__xludf.DUMMYFUNCTION("""COMPUTED_VALUE"""),"gs.lince@scoutsdemadrid.org ")</f>
        <v xml:space="preserve">gs.lince@scoutsdemadrid.org </v>
      </c>
      <c r="F147" s="48">
        <f ca="1">IFERROR(__xludf.DUMMYFUNCTION("""COMPUTED_VALUE"""),43293)</f>
        <v>43293</v>
      </c>
      <c r="G147" s="48">
        <f ca="1">IFERROR(__xludf.DUMMYFUNCTION("""COMPUTED_VALUE"""),43311)</f>
        <v>43311</v>
      </c>
      <c r="H147" s="36" t="str">
        <f ca="1">IFERROR(__xludf.DUMMYFUNCTION("""COMPUTED_VALUE"""),"Andagoia")</f>
        <v>Andagoia</v>
      </c>
      <c r="I147" s="36" t="str">
        <f ca="1">IFERROR(__xludf.DUMMYFUNCTION("""COMPUTED_VALUE"""),"Isasando")</f>
        <v>Isasando</v>
      </c>
      <c r="J147" s="36" t="str">
        <f ca="1">IFERROR(__xludf.DUMMYFUNCTION("""COMPUTED_VALUE"""),"1_20_2_302")</f>
        <v>1_20_2_302</v>
      </c>
      <c r="K147" s="36" t="str">
        <f ca="1">IFERROR(__xludf.DUMMYFUNCTION("""COMPUTED_VALUE"""),"42º 55’ 31” N 2º 54’ 31” W")</f>
        <v>42º 55’ 31” N 2º 54’ 31” W</v>
      </c>
      <c r="L147" s="36" t="str">
        <f ca="1">IFERROR(__xludf.DUMMYFUNCTION("""COMPUTED_VALUE"""),"Santiago Ibañez Maquinez")</f>
        <v>Santiago Ibañez Maquinez</v>
      </c>
      <c r="M147" s="36" t="str">
        <f ca="1">IFERROR(__xludf.DUMMYFUNCTION("""COMPUTED_VALUE"""),"+34 686 27 31 45")</f>
        <v>+34 686 27 31 45</v>
      </c>
      <c r="N147" s="36" t="str">
        <f ca="1">IFERROR(__xludf.DUMMYFUNCTION("""COMPUTED_VALUE"""),"No hay mail")</f>
        <v>No hay mail</v>
      </c>
      <c r="O147" s="50">
        <f ca="1">IFERROR(__xludf.DUMMYFUNCTION("""COMPUTED_VALUE"""),500)</f>
        <v>500</v>
      </c>
      <c r="P147" s="36" t="str">
        <f ca="1">IFERROR(__xludf.DUMMYFUNCTION("""COMPUTED_VALUE"""),"2,8 Ha")</f>
        <v>2,8 Ha</v>
      </c>
      <c r="Q147" s="36" t="str">
        <f ca="1">IFERROR(__xludf.DUMMYFUNCTION("""COMPUTED_VALUE"""),"BUENO (Se puede acceder con cualquier coche)")</f>
        <v>BUENO (Se puede acceder con cualquier coche)</v>
      </c>
      <c r="R147" s="36" t="str">
        <f ca="1">IFERROR(__xludf.DUMMYFUNCTION("""COMPUTED_VALUE"""),"Sí")</f>
        <v>Sí</v>
      </c>
      <c r="S147" s="36" t="str">
        <f ca="1">IFERROR(__xludf.DUMMYFUNCTION("""COMPUTED_VALUE"""),"100 m")</f>
        <v>100 m</v>
      </c>
      <c r="T147" s="36" t="str">
        <f ca="1">IFERROR(__xludf.DUMMYFUNCTION("""COMPUTED_VALUE"""),"Rio Vadillo")</f>
        <v>Rio Vadillo</v>
      </c>
      <c r="U147" s="36" t="str">
        <f ca="1">IFERROR(__xludf.DUMMYFUNCTION("""COMPUTED_VALUE"""),"No")</f>
        <v>No</v>
      </c>
      <c r="V147" s="36" t="str">
        <f ca="1">IFERROR(__xludf.DUMMYFUNCTION("""COMPUTED_VALUE"""),"Si")</f>
        <v>Si</v>
      </c>
      <c r="W147" s="36" t="str">
        <f ca="1">IFERROR(__xludf.DUMMYFUNCTION("""COMPUTED_VALUE"""),"Bien situada, el rio vadillo es de cauce aceptable y el acceso al pueblo es sencillo para hacer compras")</f>
        <v>Bien situada, el rio vadillo es de cauce aceptable y el acceso al pueblo es sencillo para hacer compras</v>
      </c>
      <c r="X147" s="36"/>
      <c r="Y147" s="36"/>
      <c r="Z147" s="36"/>
    </row>
    <row r="148" spans="1:26" ht="12.75" hidden="1">
      <c r="A148" s="36" t="str">
        <f ca="1">IFERROR(__xludf.DUMMYFUNCTION("""COMPUTED_VALUE"""),"Galicia")</f>
        <v>Galicia</v>
      </c>
      <c r="B148" s="36" t="str">
        <f ca="1">IFERROR(__xludf.DUMMYFUNCTION("""COMPUTED_VALUE"""),"Lugo")</f>
        <v>Lugo</v>
      </c>
      <c r="C148" s="36">
        <f ca="1">IFERROR(__xludf.DUMMYFUNCTION("""COMPUTED_VALUE"""),2016)</f>
        <v>2016</v>
      </c>
      <c r="D148" s="36" t="str">
        <f ca="1">IFERROR(__xludf.DUMMYFUNCTION("""COMPUTED_VALUE"""),"Águila")</f>
        <v>Águila</v>
      </c>
      <c r="E148" s="36" t="str">
        <f ca="1">IFERROR(__xludf.DUMMYFUNCTION("""COMPUTED_VALUE"""),"gs.aguila@scoutsdemadrid.org ")</f>
        <v xml:space="preserve">gs.aguila@scoutsdemadrid.org </v>
      </c>
      <c r="F148" s="48">
        <f ca="1">IFERROR(__xludf.DUMMYFUNCTION("""COMPUTED_VALUE"""),42566)</f>
        <v>42566</v>
      </c>
      <c r="G148" s="48">
        <f ca="1">IFERROR(__xludf.DUMMYFUNCTION("""COMPUTED_VALUE"""),42581)</f>
        <v>42581</v>
      </c>
      <c r="H148" s="36" t="str">
        <f ca="1">IFERROR(__xludf.DUMMYFUNCTION("""COMPUTED_VALUE"""),"Begonte")</f>
        <v>Begonte</v>
      </c>
      <c r="I148" s="36" t="str">
        <f ca="1">IFERROR(__xludf.DUMMYFUNCTION("""COMPUTED_VALUE"""),"Carral")</f>
        <v>Carral</v>
      </c>
      <c r="J148" s="36" t="str">
        <f ca="1">IFERROR(__xludf.DUMMYFUNCTION("""COMPUTED_VALUE"""),"")</f>
        <v/>
      </c>
      <c r="K148" s="36" t="str">
        <f ca="1">IFERROR(__xludf.DUMMYFUNCTION("""COMPUTED_VALUE"""),"43.136874, -7.671896")</f>
        <v>43.136874, -7.671896</v>
      </c>
      <c r="L148" s="36" t="str">
        <f ca="1">IFERROR(__xludf.DUMMYFUNCTION("""COMPUTED_VALUE""")," Jesús Teijeiro")</f>
        <v xml:space="preserve"> Jesús Teijeiro</v>
      </c>
      <c r="M148" s="36">
        <f ca="1">IFERROR(__xludf.DUMMYFUNCTION("""COMPUTED_VALUE"""),982390306)</f>
        <v>982390306</v>
      </c>
      <c r="N148" s="36" t="str">
        <f ca="1">IFERROR(__xludf.DUMMYFUNCTION("""COMPUTED_VALUE"""),"")</f>
        <v/>
      </c>
      <c r="O148" s="36" t="str">
        <f ca="1">IFERROR(__xludf.DUMMYFUNCTION("""COMPUTED_VALUE"""),"235 € primer hermano. Descuentos al segundo y al tercero")</f>
        <v>235 € primer hermano. Descuentos al segundo y al tercero</v>
      </c>
      <c r="P148" s="36" t="str">
        <f ca="1">IFERROR(__xludf.DUMMYFUNCTION("""COMPUTED_VALUE"""),"")</f>
        <v/>
      </c>
      <c r="Q148" s="36" t="str">
        <f ca="1">IFERROR(__xludf.DUMMYFUNCTION("""COMPUTED_VALUE"""),"BUENO (Se puede acceder con cualquier coche)")</f>
        <v>BUENO (Se puede acceder con cualquier coche)</v>
      </c>
      <c r="R148" s="36" t="str">
        <f ca="1">IFERROR(__xludf.DUMMYFUNCTION("""COMPUTED_VALUE"""),"Sí")</f>
        <v>Sí</v>
      </c>
      <c r="S148" s="36" t="str">
        <f ca="1">IFERROR(__xludf.DUMMYFUNCTION("""COMPUTED_VALUE"""),"100 Metros")</f>
        <v>100 Metros</v>
      </c>
      <c r="T148" s="36" t="str">
        <f ca="1">IFERROR(__xludf.DUMMYFUNCTION("""COMPUTED_VALUE"""),"Excelente. Playa de rio")</f>
        <v>Excelente. Playa de rio</v>
      </c>
      <c r="U148" s="36" t="str">
        <f ca="1">IFERROR(__xludf.DUMMYFUNCTION("""COMPUTED_VALUE"""),"")</f>
        <v/>
      </c>
      <c r="V148" s="36" t="str">
        <f ca="1">IFERROR(__xludf.DUMMYFUNCTION("""COMPUTED_VALUE"""),"")</f>
        <v/>
      </c>
      <c r="W148" s="36" t="str">
        <f ca="1">IFERROR(__xludf.DUMMYFUNCTION("""COMPUTED_VALUE"""),"")</f>
        <v/>
      </c>
      <c r="X148" s="36"/>
      <c r="Y148" s="36"/>
      <c r="Z148" s="36"/>
    </row>
    <row r="149" spans="1:26" ht="12.75" hidden="1">
      <c r="A149" s="36" t="str">
        <f ca="1">IFERROR(__xludf.DUMMYFUNCTION("""COMPUTED_VALUE"""),"Galicia")</f>
        <v>Galicia</v>
      </c>
      <c r="B149" s="36" t="str">
        <f ca="1">IFERROR(__xludf.DUMMYFUNCTION("""COMPUTED_VALUE"""),"Lugo y A Coruña")</f>
        <v>Lugo y A Coruña</v>
      </c>
      <c r="C149" s="36">
        <f ca="1">IFERROR(__xludf.DUMMYFUNCTION("""COMPUTED_VALUE"""),2017)</f>
        <v>2017</v>
      </c>
      <c r="D149" s="36" t="str">
        <f ca="1">IFERROR(__xludf.DUMMYFUNCTION("""COMPUTED_VALUE"""),"Amorós")</f>
        <v>Amorós</v>
      </c>
      <c r="E149" s="36" t="str">
        <f ca="1">IFERROR(__xludf.DUMMYFUNCTION("""COMPUTED_VALUE"""),"gs.amoros@scoutsdemadrid.org ")</f>
        <v xml:space="preserve">gs.amoros@scoutsdemadrid.org </v>
      </c>
      <c r="F149" s="48">
        <f ca="1">IFERROR(__xludf.DUMMYFUNCTION("""COMPUTED_VALUE"""),42931)</f>
        <v>42931</v>
      </c>
      <c r="G149" s="48">
        <f ca="1">IFERROR(__xludf.DUMMYFUNCTION("""COMPUTED_VALUE"""),42946)</f>
        <v>42946</v>
      </c>
      <c r="H149" s="36" t="str">
        <f ca="1">IFERROR(__xludf.DUMMYFUNCTION("""COMPUTED_VALUE"""),"12")</f>
        <v>12</v>
      </c>
      <c r="I149" s="36" t="str">
        <f ca="1">IFERROR(__xludf.DUMMYFUNCTION("""COMPUTED_VALUE"""),"")</f>
        <v/>
      </c>
      <c r="J149" s="36" t="str">
        <f ca="1">IFERROR(__xludf.DUMMYFUNCTION("""COMPUTED_VALUE"""),"")</f>
        <v/>
      </c>
      <c r="K149" s="36" t="str">
        <f ca="1">IFERROR(__xludf.DUMMYFUNCTION("""COMPUTED_VALUE"""),"")</f>
        <v/>
      </c>
      <c r="L149" s="36" t="str">
        <f ca="1">IFERROR(__xludf.DUMMYFUNCTION("""COMPUTED_VALUE"""),"---")</f>
        <v>---</v>
      </c>
      <c r="M149" s="36" t="str">
        <f ca="1">IFERROR(__xludf.DUMMYFUNCTION("""COMPUTED_VALUE"""),"")</f>
        <v/>
      </c>
      <c r="N149" s="36" t="str">
        <f ca="1">IFERROR(__xludf.DUMMYFUNCTION("""COMPUTED_VALUE"""),"")</f>
        <v/>
      </c>
      <c r="O149" s="36" t="str">
        <f ca="1">IFERROR(__xludf.DUMMYFUNCTION("""COMPUTED_VALUE"""),"")</f>
        <v/>
      </c>
      <c r="P149" s="36" t="str">
        <f ca="1">IFERROR(__xludf.DUMMYFUNCTION("""COMPUTED_VALUE"""),"")</f>
        <v/>
      </c>
      <c r="Q149" s="36" t="str">
        <f ca="1">IFERROR(__xludf.DUMMYFUNCTION("""COMPUTED_VALUE"""),"")</f>
        <v/>
      </c>
      <c r="R149" s="36" t="str">
        <f ca="1">IFERROR(__xludf.DUMMYFUNCTION("""COMPUTED_VALUE"""),"")</f>
        <v/>
      </c>
      <c r="S149" s="36" t="str">
        <f ca="1">IFERROR(__xludf.DUMMYFUNCTION("""COMPUTED_VALUE"""),"")</f>
        <v/>
      </c>
      <c r="T149" s="36" t="str">
        <f ca="1">IFERROR(__xludf.DUMMYFUNCTION("""COMPUTED_VALUE"""),"")</f>
        <v/>
      </c>
      <c r="U149" s="36" t="str">
        <f ca="1">IFERROR(__xludf.DUMMYFUNCTION("""COMPUTED_VALUE"""),"")</f>
        <v/>
      </c>
      <c r="V149" s="36" t="str">
        <f ca="1">IFERROR(__xludf.DUMMYFUNCTION("""COMPUTED_VALUE"""),"")</f>
        <v/>
      </c>
      <c r="W149" s="36" t="str">
        <f ca="1">IFERROR(__xludf.DUMMYFUNCTION("""COMPUTED_VALUE"""),"El campa que aquí se expone es el de la rama pioneros y será volante. Primero estaremos cerca de Sarria en el Proyecto O Couso. Luego nos iremos  a Santiago e iniciaremos la ruta hasta Finisterre. Los Pueblos por los que pasamos son Negreira, Vilaserio, O"&amp;"logoso, Corcubión, para terminar unos dias en el camping de finisterre")</f>
        <v>El campa que aquí se expone es el de la rama pioneros y será volante. Primero estaremos cerca de Sarria en el Proyecto O Couso. Luego nos iremos  a Santiago e iniciaremos la ruta hasta Finisterre. Los Pueblos por los que pasamos son Negreira, Vilaserio, Ologoso, Corcubión, para terminar unos dias en el camping de finisterre</v>
      </c>
      <c r="X149" s="36"/>
      <c r="Y149" s="36"/>
      <c r="Z149" s="36"/>
    </row>
    <row r="150" spans="1:26" ht="12.75" hidden="1">
      <c r="A150" s="36" t="str">
        <f ca="1">IFERROR(__xludf.DUMMYFUNCTION("""COMPUTED_VALUE"""),"Galicia")</f>
        <v>Galicia</v>
      </c>
      <c r="B150" s="36" t="str">
        <f ca="1">IFERROR(__xludf.DUMMYFUNCTION("""COMPUTED_VALUE"""),"Orense")</f>
        <v>Orense</v>
      </c>
      <c r="C150" s="36">
        <f ca="1">IFERROR(__xludf.DUMMYFUNCTION("""COMPUTED_VALUE"""),2017)</f>
        <v>2017</v>
      </c>
      <c r="D150" s="36" t="str">
        <f ca="1">IFERROR(__xludf.DUMMYFUNCTION("""COMPUTED_VALUE"""),"Pilar")</f>
        <v>Pilar</v>
      </c>
      <c r="E150" s="36" t="str">
        <f ca="1">IFERROR(__xludf.DUMMYFUNCTION("""COMPUTED_VALUE"""),"gs.amoros@scoutsdemadrid.org ")</f>
        <v xml:space="preserve">gs.amoros@scoutsdemadrid.org </v>
      </c>
      <c r="F150" s="48">
        <f ca="1">IFERROR(__xludf.DUMMYFUNCTION("""COMPUTED_VALUE"""),42935)</f>
        <v>42935</v>
      </c>
      <c r="G150" s="48">
        <f ca="1">IFERROR(__xludf.DUMMYFUNCTION("""COMPUTED_VALUE"""),42946)</f>
        <v>42946</v>
      </c>
      <c r="H150" s="36" t="str">
        <f ca="1">IFERROR(__xludf.DUMMYFUNCTION("""COMPUTED_VALUE"""),"Valfarto")</f>
        <v>Valfarto</v>
      </c>
      <c r="I150" s="36" t="str">
        <f ca="1">IFERROR(__xludf.DUMMYFUNCTION("""COMPUTED_VALUE"""),"")</f>
        <v/>
      </c>
      <c r="J150" s="36" t="str">
        <f ca="1">IFERROR(__xludf.DUMMYFUNCTION("""COMPUTED_VALUE"""),"")</f>
        <v/>
      </c>
      <c r="K150" s="36" t="str">
        <f ca="1">IFERROR(__xludf.DUMMYFUNCTION("""COMPUTED_VALUE"""),"41.997361, -7.282167")</f>
        <v>41.997361, -7.282167</v>
      </c>
      <c r="L150" s="36" t="str">
        <f ca="1">IFERROR(__xludf.DUMMYFUNCTION("""COMPUTED_VALUE"""),"Celso Dominguez López")</f>
        <v>Celso Dominguez López</v>
      </c>
      <c r="M150" s="36" t="str">
        <f ca="1">IFERROR(__xludf.DUMMYFUNCTION("""COMPUTED_VALUE"""),"")</f>
        <v/>
      </c>
      <c r="N150" s="36" t="str">
        <f ca="1">IFERROR(__xludf.DUMMYFUNCTION("""COMPUTED_VALUE"""),"alcaldia@concelloderios.com")</f>
        <v>alcaldia@concelloderios.com</v>
      </c>
      <c r="O150" s="36" t="str">
        <f ca="1">IFERROR(__xludf.DUMMYFUNCTION("""COMPUTED_VALUE"""),"gratuito")</f>
        <v>gratuito</v>
      </c>
      <c r="P150" s="36" t="str">
        <f ca="1">IFERROR(__xludf.DUMMYFUNCTION("""COMPUTED_VALUE"""),"1 ha")</f>
        <v>1 ha</v>
      </c>
      <c r="Q150" s="36" t="str">
        <f ca="1">IFERROR(__xludf.DUMMYFUNCTION("""COMPUTED_VALUE"""),"BUENO (Se puede acceder con cualquier coche)")</f>
        <v>BUENO (Se puede acceder con cualquier coche)</v>
      </c>
      <c r="R150" s="36" t="str">
        <f ca="1">IFERROR(__xludf.DUMMYFUNCTION("""COMPUTED_VALUE"""),"No")</f>
        <v>No</v>
      </c>
      <c r="S150" s="36" t="str">
        <f ca="1">IFERROR(__xludf.DUMMYFUNCTION("""COMPUTED_VALUE"""),"0m")</f>
        <v>0m</v>
      </c>
      <c r="T150" s="36" t="str">
        <f ca="1">IFERROR(__xludf.DUMMYFUNCTION("""COMPUTED_VALUE"""),"")</f>
        <v/>
      </c>
      <c r="U150" s="36" t="str">
        <f ca="1">IFERROR(__xludf.DUMMYFUNCTION("""COMPUTED_VALUE"""),"no")</f>
        <v>no</v>
      </c>
      <c r="V150" s="36" t="str">
        <f ca="1">IFERROR(__xludf.DUMMYFUNCTION("""COMPUTED_VALUE"""),"")</f>
        <v/>
      </c>
      <c r="W150" s="36" t="str">
        <f ca="1">IFERROR(__xludf.DUMMYFUNCTION("""COMPUTED_VALUE"""),"")</f>
        <v/>
      </c>
      <c r="X150" s="36"/>
      <c r="Y150" s="36"/>
      <c r="Z150" s="36"/>
    </row>
    <row r="151" spans="1:26" ht="12.75" hidden="1">
      <c r="A151" s="36" t="str">
        <f ca="1">IFERROR(__xludf.DUMMYFUNCTION("""COMPUTED_VALUE"""),"Galicia")</f>
        <v>Galicia</v>
      </c>
      <c r="B151" s="36" t="str">
        <f ca="1">IFERROR(__xludf.DUMMYFUNCTION("""COMPUTED_VALUE"""),"Lugo")</f>
        <v>Lugo</v>
      </c>
      <c r="C151" s="36">
        <f ca="1">IFERROR(__xludf.DUMMYFUNCTION("""COMPUTED_VALUE"""),2016)</f>
        <v>2016</v>
      </c>
      <c r="D151" s="36" t="str">
        <f ca="1">IFERROR(__xludf.DUMMYFUNCTION("""COMPUTED_VALUE"""),"Águila")</f>
        <v>Águila</v>
      </c>
      <c r="E151" s="36" t="str">
        <f ca="1">IFERROR(__xludf.DUMMYFUNCTION("""COMPUTED_VALUE"""),"gs.aguila@scoutsdemadrid.org ")</f>
        <v xml:space="preserve">gs.aguila@scoutsdemadrid.org </v>
      </c>
      <c r="F151" s="48">
        <f ca="1">IFERROR(__xludf.DUMMYFUNCTION("""COMPUTED_VALUE"""),42566)</f>
        <v>42566</v>
      </c>
      <c r="G151" s="48">
        <f ca="1">IFERROR(__xludf.DUMMYFUNCTION("""COMPUTED_VALUE"""),42581)</f>
        <v>42581</v>
      </c>
      <c r="H151" s="36" t="str">
        <f ca="1">IFERROR(__xludf.DUMMYFUNCTION("""COMPUTED_VALUE"""),"Begonte")</f>
        <v>Begonte</v>
      </c>
      <c r="I151" s="36" t="str">
        <f ca="1">IFERROR(__xludf.DUMMYFUNCTION("""COMPUTED_VALUE"""),"Carral")</f>
        <v>Carral</v>
      </c>
      <c r="J151" s="36" t="str">
        <f ca="1">IFERROR(__xludf.DUMMYFUNCTION("""COMPUTED_VALUE"""),"")</f>
        <v/>
      </c>
      <c r="K151" s="36" t="str">
        <f ca="1">IFERROR(__xludf.DUMMYFUNCTION("""COMPUTED_VALUE"""),"43.136874, -7.671896")</f>
        <v>43.136874, -7.671896</v>
      </c>
      <c r="L151" s="36" t="str">
        <f ca="1">IFERROR(__xludf.DUMMYFUNCTION("""COMPUTED_VALUE""")," Jesús Teijeiro")</f>
        <v xml:space="preserve"> Jesús Teijeiro</v>
      </c>
      <c r="M151" s="36">
        <f ca="1">IFERROR(__xludf.DUMMYFUNCTION("""COMPUTED_VALUE"""),982390306)</f>
        <v>982390306</v>
      </c>
      <c r="N151" s="36" t="str">
        <f ca="1">IFERROR(__xludf.DUMMYFUNCTION("""COMPUTED_VALUE"""),"")</f>
        <v/>
      </c>
      <c r="O151" s="36" t="str">
        <f ca="1">IFERROR(__xludf.DUMMYFUNCTION("""COMPUTED_VALUE"""),"235 € primer hermano. Descuentos al segundo y al tercero")</f>
        <v>235 € primer hermano. Descuentos al segundo y al tercero</v>
      </c>
      <c r="P151" s="36" t="str">
        <f ca="1">IFERROR(__xludf.DUMMYFUNCTION("""COMPUTED_VALUE"""),"")</f>
        <v/>
      </c>
      <c r="Q151" s="36" t="str">
        <f ca="1">IFERROR(__xludf.DUMMYFUNCTION("""COMPUTED_VALUE"""),"BUENO (Se puede acceder con cualquier coche)")</f>
        <v>BUENO (Se puede acceder con cualquier coche)</v>
      </c>
      <c r="R151" s="36" t="str">
        <f ca="1">IFERROR(__xludf.DUMMYFUNCTION("""COMPUTED_VALUE"""),"Sí")</f>
        <v>Sí</v>
      </c>
      <c r="S151" s="36" t="str">
        <f ca="1">IFERROR(__xludf.DUMMYFUNCTION("""COMPUTED_VALUE"""),"100 Metros")</f>
        <v>100 Metros</v>
      </c>
      <c r="T151" s="36" t="str">
        <f ca="1">IFERROR(__xludf.DUMMYFUNCTION("""COMPUTED_VALUE"""),"Excelente. Playa de rio")</f>
        <v>Excelente. Playa de rio</v>
      </c>
      <c r="U151" s="36" t="str">
        <f ca="1">IFERROR(__xludf.DUMMYFUNCTION("""COMPUTED_VALUE"""),"")</f>
        <v/>
      </c>
      <c r="V151" s="36" t="str">
        <f ca="1">IFERROR(__xludf.DUMMYFUNCTION("""COMPUTED_VALUE"""),"")</f>
        <v/>
      </c>
      <c r="W151" s="36" t="str">
        <f ca="1">IFERROR(__xludf.DUMMYFUNCTION("""COMPUTED_VALUE"""),"")</f>
        <v/>
      </c>
      <c r="X151" s="36"/>
      <c r="Y151" s="36"/>
      <c r="Z151" s="36"/>
    </row>
    <row r="152" spans="1:26" ht="12.75" hidden="1">
      <c r="A152" s="36" t="str">
        <f ca="1">IFERROR(__xludf.DUMMYFUNCTION("""COMPUTED_VALUE"""),"Galicia")</f>
        <v>Galicia</v>
      </c>
      <c r="B152" s="36" t="str">
        <f ca="1">IFERROR(__xludf.DUMMYFUNCTION("""COMPUTED_VALUE"""),"Orense")</f>
        <v>Orense</v>
      </c>
      <c r="C152" s="36">
        <f ca="1">IFERROR(__xludf.DUMMYFUNCTION("""COMPUTED_VALUE"""),2016)</f>
        <v>2016</v>
      </c>
      <c r="D152" s="36" t="str">
        <f ca="1">IFERROR(__xludf.DUMMYFUNCTION("""COMPUTED_VALUE"""),"Annapurna")</f>
        <v>Annapurna</v>
      </c>
      <c r="E152" s="36" t="str">
        <f ca="1">IFERROR(__xludf.DUMMYFUNCTION("""COMPUTED_VALUE"""),"gsannapurna@gmail.com")</f>
        <v>gsannapurna@gmail.com</v>
      </c>
      <c r="F152" s="48">
        <f ca="1">IFERROR(__xludf.DUMMYFUNCTION("""COMPUTED_VALUE"""),42567)</f>
        <v>42567</v>
      </c>
      <c r="G152" s="48">
        <f ca="1">IFERROR(__xludf.DUMMYFUNCTION("""COMPUTED_VALUE"""),42582)</f>
        <v>42582</v>
      </c>
      <c r="H152" s="36" t="str">
        <f ca="1">IFERROR(__xludf.DUMMYFUNCTION("""COMPUTED_VALUE"""),"Orense")</f>
        <v>Orense</v>
      </c>
      <c r="I152" s="36" t="str">
        <f ca="1">IFERROR(__xludf.DUMMYFUNCTION("""COMPUTED_VALUE"""),"")</f>
        <v/>
      </c>
      <c r="J152" s="36" t="str">
        <f ca="1">IFERROR(__xludf.DUMMYFUNCTION("""COMPUTED_VALUE"""),"")</f>
        <v/>
      </c>
      <c r="K152" s="36" t="str">
        <f ca="1">IFERROR(__xludf.DUMMYFUNCTION("""COMPUTED_VALUE"""),"")</f>
        <v/>
      </c>
      <c r="L152" s="36" t="str">
        <f ca="1">IFERROR(__xludf.DUMMYFUNCTION("""COMPUTED_VALUE"""),"EDUARDO MARÍN")</f>
        <v>EDUARDO MARÍN</v>
      </c>
      <c r="M152" s="36" t="str">
        <f ca="1">IFERROR(__xludf.DUMMYFUNCTION("""COMPUTED_VALUE"""),"")</f>
        <v/>
      </c>
      <c r="N152" s="36" t="str">
        <f ca="1">IFERROR(__xludf.DUMMYFUNCTION("""COMPUTED_VALUE"""),"")</f>
        <v/>
      </c>
      <c r="O152" s="36" t="str">
        <f ca="1">IFERROR(__xludf.DUMMYFUNCTION("""COMPUTED_VALUE"""),"")</f>
        <v/>
      </c>
      <c r="P152" s="36" t="str">
        <f ca="1">IFERROR(__xludf.DUMMYFUNCTION("""COMPUTED_VALUE"""),"")</f>
        <v/>
      </c>
      <c r="Q152" s="36" t="str">
        <f ca="1">IFERROR(__xludf.DUMMYFUNCTION("""COMPUTED_VALUE"""),"")</f>
        <v/>
      </c>
      <c r="R152" s="36" t="str">
        <f ca="1">IFERROR(__xludf.DUMMYFUNCTION("""COMPUTED_VALUE"""),"")</f>
        <v/>
      </c>
      <c r="S152" s="36" t="str">
        <f ca="1">IFERROR(__xludf.DUMMYFUNCTION("""COMPUTED_VALUE"""),"")</f>
        <v/>
      </c>
      <c r="T152" s="36" t="str">
        <f ca="1">IFERROR(__xludf.DUMMYFUNCTION("""COMPUTED_VALUE"""),"")</f>
        <v/>
      </c>
      <c r="U152" s="36" t="str">
        <f ca="1">IFERROR(__xludf.DUMMYFUNCTION("""COMPUTED_VALUE"""),"")</f>
        <v/>
      </c>
      <c r="V152" s="36" t="str">
        <f ca="1">IFERROR(__xludf.DUMMYFUNCTION("""COMPUTED_VALUE"""),"")</f>
        <v/>
      </c>
      <c r="W152" s="36" t="str">
        <f ca="1">IFERROR(__xludf.DUMMYFUNCTION("""COMPUTED_VALUE"""),"")</f>
        <v/>
      </c>
      <c r="X152" s="36"/>
      <c r="Y152" s="36"/>
      <c r="Z152" s="36"/>
    </row>
    <row r="153" spans="1:26" ht="12.75" hidden="1">
      <c r="A153" s="36" t="str">
        <f ca="1">IFERROR(__xludf.DUMMYFUNCTION("""COMPUTED_VALUE"""),"Galicia")</f>
        <v>Galicia</v>
      </c>
      <c r="B153" s="36" t="str">
        <f ca="1">IFERROR(__xludf.DUMMYFUNCTION("""COMPUTED_VALUE"""),"Orense")</f>
        <v>Orense</v>
      </c>
      <c r="C153" s="36">
        <f ca="1">IFERROR(__xludf.DUMMYFUNCTION("""COMPUTED_VALUE"""),2016)</f>
        <v>2016</v>
      </c>
      <c r="D153" s="36" t="str">
        <f ca="1">IFERROR(__xludf.DUMMYFUNCTION("""COMPUTED_VALUE"""),"Annapurna")</f>
        <v>Annapurna</v>
      </c>
      <c r="E153" s="36" t="str">
        <f ca="1">IFERROR(__xludf.DUMMYFUNCTION("""COMPUTED_VALUE"""),"gsannapurna@gmail.com")</f>
        <v>gsannapurna@gmail.com</v>
      </c>
      <c r="F153" s="48">
        <f ca="1">IFERROR(__xludf.DUMMYFUNCTION("""COMPUTED_VALUE"""),42567)</f>
        <v>42567</v>
      </c>
      <c r="G153" s="48">
        <f ca="1">IFERROR(__xludf.DUMMYFUNCTION("""COMPUTED_VALUE"""),42582)</f>
        <v>42582</v>
      </c>
      <c r="H153" s="36" t="str">
        <f ca="1">IFERROR(__xludf.DUMMYFUNCTION("""COMPUTED_VALUE"""),"Orense")</f>
        <v>Orense</v>
      </c>
      <c r="I153" s="36" t="str">
        <f ca="1">IFERROR(__xludf.DUMMYFUNCTION("""COMPUTED_VALUE"""),"Entre Arces")</f>
        <v>Entre Arces</v>
      </c>
      <c r="J153" s="36" t="str">
        <f ca="1">IFERROR(__xludf.DUMMYFUNCTION("""COMPUTED_VALUE"""),"")</f>
        <v/>
      </c>
      <c r="K153" s="36" t="str">
        <f ca="1">IFERROR(__xludf.DUMMYFUNCTION("""COMPUTED_VALUE"""),"")</f>
        <v/>
      </c>
      <c r="L153" s="36" t="str">
        <f ca="1">IFERROR(__xludf.DUMMYFUNCTION("""COMPUTED_VALUE"""),"EDUARDO MARÍN")</f>
        <v>EDUARDO MARÍN</v>
      </c>
      <c r="M153" s="36" t="str">
        <f ca="1">IFERROR(__xludf.DUMMYFUNCTION("""COMPUTED_VALUE"""),"")</f>
        <v/>
      </c>
      <c r="N153" s="36" t="str">
        <f ca="1">IFERROR(__xludf.DUMMYFUNCTION("""COMPUTED_VALUE"""),"")</f>
        <v/>
      </c>
      <c r="O153" s="36" t="str">
        <f ca="1">IFERROR(__xludf.DUMMYFUNCTION("""COMPUTED_VALUE"""),"")</f>
        <v/>
      </c>
      <c r="P153" s="36" t="str">
        <f ca="1">IFERROR(__xludf.DUMMYFUNCTION("""COMPUTED_VALUE"""),"")</f>
        <v/>
      </c>
      <c r="Q153" s="36" t="str">
        <f ca="1">IFERROR(__xludf.DUMMYFUNCTION("""COMPUTED_VALUE"""),"")</f>
        <v/>
      </c>
      <c r="R153" s="36" t="str">
        <f ca="1">IFERROR(__xludf.DUMMYFUNCTION("""COMPUTED_VALUE"""),"")</f>
        <v/>
      </c>
      <c r="S153" s="36" t="str">
        <f ca="1">IFERROR(__xludf.DUMMYFUNCTION("""COMPUTED_VALUE"""),"")</f>
        <v/>
      </c>
      <c r="T153" s="36" t="str">
        <f ca="1">IFERROR(__xludf.DUMMYFUNCTION("""COMPUTED_VALUE"""),"")</f>
        <v/>
      </c>
      <c r="U153" s="36" t="str">
        <f ca="1">IFERROR(__xludf.DUMMYFUNCTION("""COMPUTED_VALUE"""),"")</f>
        <v/>
      </c>
      <c r="V153" s="36" t="str">
        <f ca="1">IFERROR(__xludf.DUMMYFUNCTION("""COMPUTED_VALUE"""),"")</f>
        <v/>
      </c>
      <c r="W153" s="36" t="str">
        <f ca="1">IFERROR(__xludf.DUMMYFUNCTION("""COMPUTED_VALUE"""),"")</f>
        <v/>
      </c>
      <c r="X153" s="36"/>
      <c r="Y153" s="36"/>
      <c r="Z153" s="36"/>
    </row>
    <row r="154" spans="1:26" ht="12.75" hidden="1">
      <c r="A154" s="36" t="str">
        <f ca="1">IFERROR(__xludf.DUMMYFUNCTION("""COMPUTED_VALUE"""),"Galicia")</f>
        <v>Galicia</v>
      </c>
      <c r="B154" s="36" t="str">
        <f ca="1">IFERROR(__xludf.DUMMYFUNCTION("""COMPUTED_VALUE"""),"Orense")</f>
        <v>Orense</v>
      </c>
      <c r="C154" s="36">
        <f ca="1">IFERROR(__xludf.DUMMYFUNCTION("""COMPUTED_VALUE"""),2012)</f>
        <v>2012</v>
      </c>
      <c r="D154" s="36" t="str">
        <f ca="1">IFERROR(__xludf.DUMMYFUNCTION("""COMPUTED_VALUE"""),"Santa Ana Y San Rafael")</f>
        <v>Santa Ana Y San Rafael</v>
      </c>
      <c r="E154" s="36" t="str">
        <f ca="1">IFERROR(__xludf.DUMMYFUNCTION("""COMPUTED_VALUE"""),"gssantanaysanlafael@scoutsdemadrid.org  ")</f>
        <v xml:space="preserve">gssantanaysanlafael@scoutsdemadrid.org  </v>
      </c>
      <c r="F154" s="48">
        <f ca="1">IFERROR(__xludf.DUMMYFUNCTION("""COMPUTED_VALUE"""),41106)</f>
        <v>41106</v>
      </c>
      <c r="G154" s="48">
        <f ca="1">IFERROR(__xludf.DUMMYFUNCTION("""COMPUTED_VALUE"""),41120)</f>
        <v>41120</v>
      </c>
      <c r="H154" s="36" t="str">
        <f ca="1">IFERROR(__xludf.DUMMYFUNCTION("""COMPUTED_VALUE"""),"Laza")</f>
        <v>Laza</v>
      </c>
      <c r="I154" s="36" t="str">
        <f ca="1">IFERROR(__xludf.DUMMYFUNCTION("""COMPUTED_VALUE"""),"Laza")</f>
        <v>Laza</v>
      </c>
      <c r="J154" s="36" t="str">
        <f ca="1">IFERROR(__xludf.DUMMYFUNCTION("""COMPUTED_VALUE"""),"")</f>
        <v/>
      </c>
      <c r="K154" s="36" t="str">
        <f ca="1">IFERROR(__xludf.DUMMYFUNCTION("""COMPUTED_VALUE"""),"")</f>
        <v/>
      </c>
      <c r="L154" s="36" t="str">
        <f ca="1">IFERROR(__xludf.DUMMYFUNCTION("""COMPUTED_VALUE"""),"")</f>
        <v/>
      </c>
      <c r="M154" s="36" t="str">
        <f ca="1">IFERROR(__xludf.DUMMYFUNCTION("""COMPUTED_VALUE"""),"")</f>
        <v/>
      </c>
      <c r="N154" s="36" t="str">
        <f ca="1">IFERROR(__xludf.DUMMYFUNCTION("""COMPUTED_VALUE"""),"")</f>
        <v/>
      </c>
      <c r="O154" s="36" t="str">
        <f ca="1">IFERROR(__xludf.DUMMYFUNCTION("""COMPUTED_VALUE"""),"")</f>
        <v/>
      </c>
      <c r="P154" s="36" t="str">
        <f ca="1">IFERROR(__xludf.DUMMYFUNCTION("""COMPUTED_VALUE"""),"")</f>
        <v/>
      </c>
      <c r="Q154" s="36" t="str">
        <f ca="1">IFERROR(__xludf.DUMMYFUNCTION("""COMPUTED_VALUE"""),"")</f>
        <v/>
      </c>
      <c r="R154" s="36" t="str">
        <f ca="1">IFERROR(__xludf.DUMMYFUNCTION("""COMPUTED_VALUE"""),"")</f>
        <v/>
      </c>
      <c r="S154" s="36" t="str">
        <f ca="1">IFERROR(__xludf.DUMMYFUNCTION("""COMPUTED_VALUE"""),"")</f>
        <v/>
      </c>
      <c r="T154" s="36" t="str">
        <f ca="1">IFERROR(__xludf.DUMMYFUNCTION("""COMPUTED_VALUE"""),"")</f>
        <v/>
      </c>
      <c r="U154" s="36" t="str">
        <f ca="1">IFERROR(__xludf.DUMMYFUNCTION("""COMPUTED_VALUE"""),"")</f>
        <v/>
      </c>
      <c r="V154" s="36" t="str">
        <f ca="1">IFERROR(__xludf.DUMMYFUNCTION("""COMPUTED_VALUE"""),"")</f>
        <v/>
      </c>
      <c r="W154" s="36" t="str">
        <f ca="1">IFERROR(__xludf.DUMMYFUNCTION("""COMPUTED_VALUE"""),"")</f>
        <v/>
      </c>
      <c r="X154" s="36"/>
      <c r="Y154" s="36"/>
      <c r="Z154" s="36"/>
    </row>
    <row r="155" spans="1:26" ht="12.75" hidden="1">
      <c r="A155" s="36" t="str">
        <f ca="1">IFERROR(__xludf.DUMMYFUNCTION("""COMPUTED_VALUE"""),"Galicia")</f>
        <v>Galicia</v>
      </c>
      <c r="B155" s="36" t="str">
        <f ca="1">IFERROR(__xludf.DUMMYFUNCTION("""COMPUTED_VALUE"""),"Lugo")</f>
        <v>Lugo</v>
      </c>
      <c r="C155" s="36">
        <f ca="1">IFERROR(__xludf.DUMMYFUNCTION("""COMPUTED_VALUE"""),2018)</f>
        <v>2018</v>
      </c>
      <c r="D155" s="36" t="str">
        <f ca="1">IFERROR(__xludf.DUMMYFUNCTION("""COMPUTED_VALUE"""),"Santa Ana San Rafael")</f>
        <v>Santa Ana San Rafael</v>
      </c>
      <c r="E155" s="36" t="str">
        <f ca="1">IFERROR(__xludf.DUMMYFUNCTION("""COMPUTED_VALUE"""),"gssantanaysanlafael@scoutsdemadrid.org  ")</f>
        <v xml:space="preserve">gssantanaysanlafael@scoutsdemadrid.org  </v>
      </c>
      <c r="F155" s="48">
        <f ca="1">IFERROR(__xludf.DUMMYFUNCTION("""COMPUTED_VALUE"""),43295)</f>
        <v>43295</v>
      </c>
      <c r="G155" s="48">
        <f ca="1">IFERROR(__xludf.DUMMYFUNCTION("""COMPUTED_VALUE"""),43311)</f>
        <v>43311</v>
      </c>
      <c r="H155" s="36" t="str">
        <f ca="1">IFERROR(__xludf.DUMMYFUNCTION("""COMPUTED_VALUE"""),"A Pobra De San Xiao (Láncara)")</f>
        <v>A Pobra De San Xiao (Láncara)</v>
      </c>
      <c r="I155" s="36" t="str">
        <f ca="1">IFERROR(__xludf.DUMMYFUNCTION("""COMPUTED_VALUE"""),"Valdiz, Praia Fluvial y FN Valdiz")</f>
        <v>Valdiz, Praia Fluvial y FN Valdiz</v>
      </c>
      <c r="J155" s="36" t="str">
        <f ca="1">IFERROR(__xludf.DUMMYFUNCTION("""COMPUTED_VALUE"""),"27026A003000110000ZW / 27026A001004470000ZQ / 7874280PH2477S0001MM")</f>
        <v>27026A003000110000ZW / 27026A001004470000ZQ / 7874280PH2477S0001MM</v>
      </c>
      <c r="K155" s="36" t="str">
        <f ca="1">IFERROR(__xludf.DUMMYFUNCTION("""COMPUTED_VALUE"""),"X 627.417,42 Y 4.747.550,49")</f>
        <v>X 627.417,42 Y 4.747.550,49</v>
      </c>
      <c r="L155" s="36" t="str">
        <f ca="1">IFERROR(__xludf.DUMMYFUNCTION("""COMPUTED_VALUE"""),"Ayuntamiento de Láncara")</f>
        <v>Ayuntamiento de Láncara</v>
      </c>
      <c r="M155" s="36">
        <f ca="1">IFERROR(__xludf.DUMMYFUNCTION("""COMPUTED_VALUE"""),982543066)</f>
        <v>982543066</v>
      </c>
      <c r="N155" s="36" t="str">
        <f ca="1">IFERROR(__xludf.DUMMYFUNCTION("""COMPUTED_VALUE"""),"sancualv@gmail.com")</f>
        <v>sancualv@gmail.com</v>
      </c>
      <c r="O155" s="36" t="str">
        <f ca="1">IFERROR(__xludf.DUMMYFUNCTION("""COMPUTED_VALUE"""),"Gratuito")</f>
        <v>Gratuito</v>
      </c>
      <c r="P155" s="36" t="str">
        <f ca="1">IFERROR(__xludf.DUMMYFUNCTION("""COMPUTED_VALUE"""),"2.776 /3.216 / 32.220 m2")</f>
        <v>2.776 /3.216 / 32.220 m2</v>
      </c>
      <c r="Q155" s="36" t="str">
        <f ca="1">IFERROR(__xludf.DUMMYFUNCTION("""COMPUTED_VALUE"""),"REGULAR (Se puede acceder con un coche normal con dificultad)")</f>
        <v>REGULAR (Se puede acceder con un coche normal con dificultad)</v>
      </c>
      <c r="R155" s="36" t="str">
        <f ca="1">IFERROR(__xludf.DUMMYFUNCTION("""COMPUTED_VALUE"""),"Sí")</f>
        <v>Sí</v>
      </c>
      <c r="S155" s="36" t="str">
        <f ca="1">IFERROR(__xludf.DUMMYFUNCTION("""COMPUTED_VALUE"""),"Río entre las dos fincas")</f>
        <v>Río entre las dos fincas</v>
      </c>
      <c r="T155" s="36" t="str">
        <f ca="1">IFERROR(__xludf.DUMMYFUNCTION("""COMPUTED_VALUE"""),"Se trata de una finca utilizada como área recreativa y zona de baño, buen acceso")</f>
        <v>Se trata de una finca utilizada como área recreativa y zona de baño, buen acceso</v>
      </c>
      <c r="U155" s="36" t="str">
        <f ca="1">IFERROR(__xludf.DUMMYFUNCTION("""COMPUTED_VALUE"""),"No ")</f>
        <v xml:space="preserve">No </v>
      </c>
      <c r="V155" s="36" t="str">
        <f ca="1">IFERROR(__xludf.DUMMYFUNCTION("""COMPUTED_VALUE"""),"Si")</f>
        <v>Si</v>
      </c>
      <c r="W155" s="36" t="str">
        <f ca="1">IFERROR(__xludf.DUMMYFUNCTION("""COMPUTED_VALUE"""),"Realizaremos el campamento con el Grupo Scout San Juan Rivera. El ayuntamiento nos ha cedido tres fincas para realizar el campamento.")</f>
        <v>Realizaremos el campamento con el Grupo Scout San Juan Rivera. El ayuntamiento nos ha cedido tres fincas para realizar el campamento.</v>
      </c>
      <c r="X155" s="36"/>
      <c r="Y155" s="36"/>
      <c r="Z155" s="36"/>
    </row>
    <row r="156" spans="1:26" ht="12.75" hidden="1">
      <c r="A156" s="36" t="str">
        <f ca="1">IFERROR(__xludf.DUMMYFUNCTION("""COMPUTED_VALUE"""),"Galicia")</f>
        <v>Galicia</v>
      </c>
      <c r="B156" s="36" t="str">
        <f ca="1">IFERROR(__xludf.DUMMYFUNCTION("""COMPUTED_VALUE"""),"A Coruña")</f>
        <v>A Coruña</v>
      </c>
      <c r="C156" s="36">
        <f ca="1">IFERROR(__xludf.DUMMYFUNCTION("""COMPUTED_VALUE"""),2019)</f>
        <v>2019</v>
      </c>
      <c r="D156" s="36" t="str">
        <f ca="1">IFERROR(__xludf.DUMMYFUNCTION("""COMPUTED_VALUE"""),"Adhara")</f>
        <v>Adhara</v>
      </c>
      <c r="E156" s="36" t="str">
        <f ca="1">IFERROR(__xludf.DUMMYFUNCTION("""COMPUTED_VALUE"""),"gs.adhara@scoutsdemadrid.org")</f>
        <v>gs.adhara@scoutsdemadrid.org</v>
      </c>
      <c r="F156" s="48">
        <f ca="1">IFERROR(__xludf.DUMMYFUNCTION("""COMPUTED_VALUE"""),43662)</f>
        <v>43662</v>
      </c>
      <c r="G156" s="48">
        <f ca="1">IFERROR(__xludf.DUMMYFUNCTION("""COMPUTED_VALUE"""),43676)</f>
        <v>43676</v>
      </c>
      <c r="H156" s="36" t="str">
        <f ca="1">IFERROR(__xludf.DUMMYFUNCTION("""COMPUTED_VALUE"""),"Concello San Sadurniño")</f>
        <v>Concello San Sadurniño</v>
      </c>
      <c r="I156" s="36" t="str">
        <f ca="1">IFERROR(__xludf.DUMMYFUNCTION("""COMPUTED_VALUE"""),"CONCELLO DE SAN SADURNIÑO")</f>
        <v>CONCELLO DE SAN SADURNIÑO</v>
      </c>
      <c r="J156" s="36" t="str">
        <f ca="1">IFERROR(__xludf.DUMMYFUNCTION("""COMPUTED_VALUE"""),"xxx")</f>
        <v>xxx</v>
      </c>
      <c r="K156" s="36" t="str">
        <f ca="1">IFERROR(__xludf.DUMMYFUNCTION("""COMPUTED_VALUE"""),"+43° 29' 40.10"", -8° 4' 5.26")</f>
        <v>+43° 29' 40.10", -8° 4' 5.26</v>
      </c>
      <c r="L156" s="36" t="str">
        <f ca="1">IFERROR(__xludf.DUMMYFUNCTION("""COMPUTED_VALUE"""),"JONÁS MARTÍN")</f>
        <v>JONÁS MARTÍN</v>
      </c>
      <c r="M156" s="36">
        <f ca="1">IFERROR(__xludf.DUMMYFUNCTION("""COMPUTED_VALUE"""),654474999)</f>
        <v>654474999</v>
      </c>
      <c r="N156" s="36" t="str">
        <f ca="1">IFERROR(__xludf.DUMMYFUNCTION("""COMPUTED_VALUE"""),"dafogestiontiempolibre@gmail.com")</f>
        <v>dafogestiontiempolibre@gmail.com</v>
      </c>
      <c r="O156" s="36">
        <f ca="1">IFERROR(__xludf.DUMMYFUNCTION("""COMPUTED_VALUE"""),3339.6)</f>
        <v>3339.6</v>
      </c>
      <c r="P156" s="36" t="str">
        <f ca="1">IFERROR(__xludf.DUMMYFUNCTION("""COMPUTED_VALUE"""),"6.000 m2")</f>
        <v>6.000 m2</v>
      </c>
      <c r="Q156" s="36" t="str">
        <f ca="1">IFERROR(__xludf.DUMMYFUNCTION("""COMPUTED_VALUE"""),"BUENO (Se puede acceder con cualquier coche)")</f>
        <v>BUENO (Se puede acceder con cualquier coche)</v>
      </c>
      <c r="R156" s="36" t="str">
        <f ca="1">IFERROR(__xludf.DUMMYFUNCTION("""COMPUTED_VALUE"""),"Sí")</f>
        <v>Sí</v>
      </c>
      <c r="S156" s="36" t="str">
        <f ca="1">IFERROR(__xludf.DUMMYFUNCTION("""COMPUTED_VALUE"""),"50 METROS")</f>
        <v>50 METROS</v>
      </c>
      <c r="T156" s="36" t="str">
        <f ca="1">IFERROR(__xludf.DUMMYFUNCTION("""COMPUTED_VALUE"""),"pequeño río")</f>
        <v>pequeño río</v>
      </c>
      <c r="U156" s="36" t="str">
        <f ca="1">IFERROR(__xludf.DUMMYFUNCTION("""COMPUTED_VALUE"""),"Casetas de madera para tener la cocina, baños y duchas")</f>
        <v>Casetas de madera para tener la cocina, baños y duchas</v>
      </c>
      <c r="V156" s="36" t="str">
        <f ca="1">IFERROR(__xludf.DUMMYFUNCTION("""COMPUTED_VALUE"""),"Sí")</f>
        <v>Sí</v>
      </c>
      <c r="W156" s="36" t="str">
        <f ca="1">IFERROR(__xludf.DUMMYFUNCTION("""COMPUTED_VALUE"""),"Terreno muy grande ")</f>
        <v xml:space="preserve">Terreno muy grande </v>
      </c>
      <c r="X156" s="36"/>
      <c r="Y156" s="36"/>
      <c r="Z156" s="36"/>
    </row>
    <row r="157" spans="1:26" ht="12.75" hidden="1">
      <c r="A157" s="36" t="str">
        <f ca="1">IFERROR(__xludf.DUMMYFUNCTION("""COMPUTED_VALUE"""),"La Rioja")</f>
        <v>La Rioja</v>
      </c>
      <c r="B157" s="36" t="str">
        <f ca="1">IFERROR(__xludf.DUMMYFUNCTION("""COMPUTED_VALUE"""),"La Rioja")</f>
        <v>La Rioja</v>
      </c>
      <c r="C157" s="36">
        <f ca="1">IFERROR(__xludf.DUMMYFUNCTION("""COMPUTED_VALUE"""),2017)</f>
        <v>2017</v>
      </c>
      <c r="D157" s="36" t="str">
        <f ca="1">IFERROR(__xludf.DUMMYFUNCTION("""COMPUTED_VALUE"""),"Annapurna")</f>
        <v>Annapurna</v>
      </c>
      <c r="E157" s="36" t="str">
        <f ca="1">IFERROR(__xludf.DUMMYFUNCTION("""COMPUTED_VALUE"""),"gs.annapurna@scoutsdemadrid.org ")</f>
        <v xml:space="preserve">gs.annapurna@scoutsdemadrid.org </v>
      </c>
      <c r="F157" s="48">
        <f ca="1">IFERROR(__xludf.DUMMYFUNCTION("""COMPUTED_VALUE"""),42932)</f>
        <v>42932</v>
      </c>
      <c r="G157" s="48">
        <f ca="1">IFERROR(__xludf.DUMMYFUNCTION("""COMPUTED_VALUE"""),42947)</f>
        <v>42947</v>
      </c>
      <c r="H157" s="36" t="str">
        <f ca="1">IFERROR(__xludf.DUMMYFUNCTION("""COMPUTED_VALUE"""),"Ventrosa")</f>
        <v>Ventrosa</v>
      </c>
      <c r="I157" s="36" t="str">
        <f ca="1">IFERROR(__xludf.DUMMYFUNCTION("""COMPUTED_VALUE"""),"")</f>
        <v/>
      </c>
      <c r="J157" s="36" t="str">
        <f ca="1">IFERROR(__xludf.DUMMYFUNCTION("""COMPUTED_VALUE"""),"")</f>
        <v/>
      </c>
      <c r="K157" s="36" t="str">
        <f ca="1">IFERROR(__xludf.DUMMYFUNCTION("""COMPUTED_VALUE"""),"")</f>
        <v/>
      </c>
      <c r="L157" s="36" t="str">
        <f ca="1">IFERROR(__xludf.DUMMYFUNCTION("""COMPUTED_VALUE"""),"Hilario Andrés López")</f>
        <v>Hilario Andrés López</v>
      </c>
      <c r="M157" s="36" t="str">
        <f ca="1">IFERROR(__xludf.DUMMYFUNCTION("""COMPUTED_VALUE"""),"")</f>
        <v/>
      </c>
      <c r="N157" s="36" t="str">
        <f ca="1">IFERROR(__xludf.DUMMYFUNCTION("""COMPUTED_VALUE"""),"reservas@alberguesdelarioja.es")</f>
        <v>reservas@alberguesdelarioja.es</v>
      </c>
      <c r="O157" s="36" t="str">
        <f ca="1">IFERROR(__xludf.DUMMYFUNCTION("""COMPUTED_VALUE"""),"")</f>
        <v/>
      </c>
      <c r="P157" s="36" t="str">
        <f ca="1">IFERROR(__xludf.DUMMYFUNCTION("""COMPUTED_VALUE"""),"")</f>
        <v/>
      </c>
      <c r="Q157" s="36" t="str">
        <f ca="1">IFERROR(__xludf.DUMMYFUNCTION("""COMPUTED_VALUE"""),"BUENO (Se puede acceder con cualquier coche)")</f>
        <v>BUENO (Se puede acceder con cualquier coche)</v>
      </c>
      <c r="R157" s="36" t="str">
        <f ca="1">IFERROR(__xludf.DUMMYFUNCTION("""COMPUTED_VALUE"""),"Sí")</f>
        <v>Sí</v>
      </c>
      <c r="S157" s="36" t="str">
        <f ca="1">IFERROR(__xludf.DUMMYFUNCTION("""COMPUTED_VALUE"""),"")</f>
        <v/>
      </c>
      <c r="T157" s="36" t="str">
        <f ca="1">IFERROR(__xludf.DUMMYFUNCTION("""COMPUTED_VALUE"""),"")</f>
        <v/>
      </c>
      <c r="U157" s="36" t="str">
        <f ca="1">IFERROR(__xludf.DUMMYFUNCTION("""COMPUTED_VALUE"""),"")</f>
        <v/>
      </c>
      <c r="V157" s="36" t="str">
        <f ca="1">IFERROR(__xludf.DUMMYFUNCTION("""COMPUTED_VALUE"""),"")</f>
        <v/>
      </c>
      <c r="W157" s="36" t="str">
        <f ca="1">IFERROR(__xludf.DUMMYFUNCTION("""COMPUTED_VALUE"""),"")</f>
        <v/>
      </c>
      <c r="X157" s="36"/>
      <c r="Y157" s="36"/>
      <c r="Z157" s="36"/>
    </row>
    <row r="158" spans="1:26" ht="12.75" hidden="1">
      <c r="A158" s="36" t="str">
        <f ca="1">IFERROR(__xludf.DUMMYFUNCTION("""COMPUTED_VALUE"""),"La Rioja")</f>
        <v>La Rioja</v>
      </c>
      <c r="B158" s="36" t="str">
        <f ca="1">IFERROR(__xludf.DUMMYFUNCTION("""COMPUTED_VALUE"""),"Logroño")</f>
        <v>Logroño</v>
      </c>
      <c r="C158" s="36">
        <f ca="1">IFERROR(__xludf.DUMMYFUNCTION("""COMPUTED_VALUE"""),2015)</f>
        <v>2015</v>
      </c>
      <c r="D158" s="36" t="str">
        <f ca="1">IFERROR(__xludf.DUMMYFUNCTION("""COMPUTED_VALUE"""),"Chamberi")</f>
        <v>Chamberi</v>
      </c>
      <c r="E158" s="36" t="str">
        <f ca="1">IFERROR(__xludf.DUMMYFUNCTION("""COMPUTED_VALUE"""),"gs.chamberi@scoutsdemadrid.org ")</f>
        <v xml:space="preserve">gs.chamberi@scoutsdemadrid.org </v>
      </c>
      <c r="F158" s="48">
        <f ca="1">IFERROR(__xludf.DUMMYFUNCTION("""COMPUTED_VALUE"""),42186)</f>
        <v>42186</v>
      </c>
      <c r="G158" s="48">
        <f ca="1">IFERROR(__xludf.DUMMYFUNCTION("""COMPUTED_VALUE"""),42200)</f>
        <v>42200</v>
      </c>
      <c r="H158" s="36" t="str">
        <f ca="1">IFERROR(__xludf.DUMMYFUNCTION("""COMPUTED_VALUE"""),"Ortigosa De Cameros")</f>
        <v>Ortigosa De Cameros</v>
      </c>
      <c r="I158" s="36" t="str">
        <f ca="1">IFERROR(__xludf.DUMMYFUNCTION("""COMPUTED_VALUE"""),"Las Tenadas")</f>
        <v>Las Tenadas</v>
      </c>
      <c r="J158" s="36" t="str">
        <f ca="1">IFERROR(__xludf.DUMMYFUNCTION("""COMPUTED_VALUE"""),"")</f>
        <v/>
      </c>
      <c r="K158" s="36" t="str">
        <f ca="1">IFERROR(__xludf.DUMMYFUNCTION("""COMPUTED_VALUE"""),"")</f>
        <v/>
      </c>
      <c r="L158" s="36" t="str">
        <f ca="1">IFERROR(__xludf.DUMMYFUNCTION("""COMPUTED_VALUE"""),"")</f>
        <v/>
      </c>
      <c r="M158" s="36" t="str">
        <f ca="1">IFERROR(__xludf.DUMMYFUNCTION("""COMPUTED_VALUE"""),"")</f>
        <v/>
      </c>
      <c r="N158" s="36" t="str">
        <f ca="1">IFERROR(__xludf.DUMMYFUNCTION("""COMPUTED_VALUE"""),"")</f>
        <v/>
      </c>
      <c r="O158" s="36" t="str">
        <f ca="1">IFERROR(__xludf.DUMMYFUNCTION("""COMPUTED_VALUE"""),"")</f>
        <v/>
      </c>
      <c r="P158" s="36" t="str">
        <f ca="1">IFERROR(__xludf.DUMMYFUNCTION("""COMPUTED_VALUE"""),"")</f>
        <v/>
      </c>
      <c r="Q158" s="36" t="str">
        <f ca="1">IFERROR(__xludf.DUMMYFUNCTION("""COMPUTED_VALUE"""),"")</f>
        <v/>
      </c>
      <c r="R158" s="36" t="str">
        <f ca="1">IFERROR(__xludf.DUMMYFUNCTION("""COMPUTED_VALUE"""),"")</f>
        <v/>
      </c>
      <c r="S158" s="36" t="str">
        <f ca="1">IFERROR(__xludf.DUMMYFUNCTION("""COMPUTED_VALUE"""),"")</f>
        <v/>
      </c>
      <c r="T158" s="36" t="str">
        <f ca="1">IFERROR(__xludf.DUMMYFUNCTION("""COMPUTED_VALUE"""),"")</f>
        <v/>
      </c>
      <c r="U158" s="36" t="str">
        <f ca="1">IFERROR(__xludf.DUMMYFUNCTION("""COMPUTED_VALUE"""),"")</f>
        <v/>
      </c>
      <c r="V158" s="36" t="str">
        <f ca="1">IFERROR(__xludf.DUMMYFUNCTION("""COMPUTED_VALUE"""),"")</f>
        <v/>
      </c>
      <c r="W158" s="36" t="str">
        <f ca="1">IFERROR(__xludf.DUMMYFUNCTION("""COMPUTED_VALUE"""),"")</f>
        <v/>
      </c>
      <c r="X158" s="36"/>
      <c r="Y158" s="36"/>
      <c r="Z158" s="36"/>
    </row>
    <row r="159" spans="1:26" ht="12.75" hidden="1">
      <c r="A159" s="36" t="str">
        <f ca="1">IFERROR(__xludf.DUMMYFUNCTION("""COMPUTED_VALUE"""),"Madrid, Comunidad De")</f>
        <v>Madrid, Comunidad De</v>
      </c>
      <c r="B159" s="36" t="str">
        <f ca="1">IFERROR(__xludf.DUMMYFUNCTION("""COMPUTED_VALUE"""),"Madrid")</f>
        <v>Madrid</v>
      </c>
      <c r="C159" s="36">
        <f ca="1">IFERROR(__xludf.DUMMYFUNCTION("""COMPUTED_VALUE"""),2017)</f>
        <v>2017</v>
      </c>
      <c r="D159" s="36" t="str">
        <f ca="1">IFERROR(__xludf.DUMMYFUNCTION("""COMPUTED_VALUE"""),"Altaira")</f>
        <v>Altaira</v>
      </c>
      <c r="E159" s="36" t="str">
        <f ca="1">IFERROR(__xludf.DUMMYFUNCTION("""COMPUTED_VALUE"""),"gs.altaira@scoutsdemadrid.org ")</f>
        <v xml:space="preserve">gs.altaira@scoutsdemadrid.org </v>
      </c>
      <c r="F159" s="48">
        <f ca="1">IFERROR(__xludf.DUMMYFUNCTION("""COMPUTED_VALUE"""),42921)</f>
        <v>42921</v>
      </c>
      <c r="G159" s="48">
        <f ca="1">IFERROR(__xludf.DUMMYFUNCTION("""COMPUTED_VALUE"""),42931)</f>
        <v>42931</v>
      </c>
      <c r="H159" s="36" t="str">
        <f ca="1">IFERROR(__xludf.DUMMYFUNCTION("""COMPUTED_VALUE"""),"La Acebeda")</f>
        <v>La Acebeda</v>
      </c>
      <c r="I159" s="36" t="str">
        <f ca="1">IFERROR(__xludf.DUMMYFUNCTION("""COMPUTED_VALUE"""),"Camping municipal de La Acebeda")</f>
        <v>Camping municipal de La Acebeda</v>
      </c>
      <c r="J159" s="36" t="str">
        <f ca="1">IFERROR(__xludf.DUMMYFUNCTION("""COMPUTED_VALUE"""),"")</f>
        <v/>
      </c>
      <c r="K159" s="36" t="str">
        <f ca="1">IFERROR(__xludf.DUMMYFUNCTION("""COMPUTED_VALUE"""),"")</f>
        <v/>
      </c>
      <c r="L159" s="36" t="str">
        <f ca="1">IFERROR(__xludf.DUMMYFUNCTION("""COMPUTED_VALUE"""),"Jose Luis")</f>
        <v>Jose Luis</v>
      </c>
      <c r="M159" s="36" t="str">
        <f ca="1">IFERROR(__xludf.DUMMYFUNCTION("""COMPUTED_VALUE"""),"")</f>
        <v/>
      </c>
      <c r="N159" s="36" t="str">
        <f ca="1">IFERROR(__xludf.DUMMYFUNCTION("""COMPUTED_VALUE"""),"")</f>
        <v/>
      </c>
      <c r="O159" s="36" t="str">
        <f ca="1">IFERROR(__xludf.DUMMYFUNCTION("""COMPUTED_VALUE"""),"")</f>
        <v/>
      </c>
      <c r="P159" s="36" t="str">
        <f ca="1">IFERROR(__xludf.DUMMYFUNCTION("""COMPUTED_VALUE"""),"")</f>
        <v/>
      </c>
      <c r="Q159" s="36" t="str">
        <f ca="1">IFERROR(__xludf.DUMMYFUNCTION("""COMPUTED_VALUE"""),"BUENO (Se puede acceder con cualquier coche)")</f>
        <v>BUENO (Se puede acceder con cualquier coche)</v>
      </c>
      <c r="R159" s="36" t="str">
        <f ca="1">IFERROR(__xludf.DUMMYFUNCTION("""COMPUTED_VALUE"""),"Sí")</f>
        <v>Sí</v>
      </c>
      <c r="S159" s="36" t="str">
        <f ca="1">IFERROR(__xludf.DUMMYFUNCTION("""COMPUTED_VALUE"""),"Piscina")</f>
        <v>Piscina</v>
      </c>
      <c r="T159" s="36" t="str">
        <f ca="1">IFERROR(__xludf.DUMMYFUNCTION("""COMPUTED_VALUE"""),"bien")</f>
        <v>bien</v>
      </c>
      <c r="U159" s="36" t="str">
        <f ca="1">IFERROR(__xludf.DUMMYFUNCTION("""COMPUTED_VALUE"""),"Básicas, cocina, baños,")</f>
        <v>Básicas, cocina, baños,</v>
      </c>
      <c r="V159" s="36" t="str">
        <f ca="1">IFERROR(__xludf.DUMMYFUNCTION("""COMPUTED_VALUE"""),"no")</f>
        <v>no</v>
      </c>
      <c r="W159" s="36" t="str">
        <f ca="1">IFERROR(__xludf.DUMMYFUNCTION("""COMPUTED_VALUE"""),"Para nuestro grupo pequeño perfecto")</f>
        <v>Para nuestro grupo pequeño perfecto</v>
      </c>
      <c r="X159" s="36"/>
      <c r="Y159" s="36"/>
      <c r="Z159" s="36"/>
    </row>
    <row r="160" spans="1:26" ht="12.75" hidden="1">
      <c r="A160" s="36" t="str">
        <f ca="1">IFERROR(__xludf.DUMMYFUNCTION("""COMPUTED_VALUE"""),"Madrid, Comunidad De")</f>
        <v>Madrid, Comunidad De</v>
      </c>
      <c r="B160" s="36" t="str">
        <f ca="1">IFERROR(__xludf.DUMMYFUNCTION("""COMPUTED_VALUE"""),"Madrid")</f>
        <v>Madrid</v>
      </c>
      <c r="C160" s="36">
        <f ca="1">IFERROR(__xludf.DUMMYFUNCTION("""COMPUTED_VALUE"""),2015)</f>
        <v>2015</v>
      </c>
      <c r="D160" s="36" t="str">
        <f ca="1">IFERROR(__xludf.DUMMYFUNCTION("""COMPUTED_VALUE"""),"Altaira")</f>
        <v>Altaira</v>
      </c>
      <c r="E160" s="36" t="str">
        <f ca="1">IFERROR(__xludf.DUMMYFUNCTION("""COMPUTED_VALUE"""),"gs.altaira@scoutsdemadrid.org ")</f>
        <v xml:space="preserve">gs.altaira@scoutsdemadrid.org </v>
      </c>
      <c r="F160" s="48">
        <f ca="1">IFERROR(__xludf.DUMMYFUNCTION("""COMPUTED_VALUE"""),42188)</f>
        <v>42188</v>
      </c>
      <c r="G160" s="48">
        <f ca="1">IFERROR(__xludf.DUMMYFUNCTION("""COMPUTED_VALUE"""),42197)</f>
        <v>42197</v>
      </c>
      <c r="H160" s="36" t="str">
        <f ca="1">IFERROR(__xludf.DUMMYFUNCTION("""COMPUTED_VALUE"""),"La Acebeda")</f>
        <v>La Acebeda</v>
      </c>
      <c r="I160" s="36" t="str">
        <f ca="1">IFERROR(__xludf.DUMMYFUNCTION("""COMPUTED_VALUE"""),"Camping La Acebeda")</f>
        <v>Camping La Acebeda</v>
      </c>
      <c r="J160" s="36" t="str">
        <f ca="1">IFERROR(__xludf.DUMMYFUNCTION("""COMPUTED_VALUE"""),"")</f>
        <v/>
      </c>
      <c r="K160" s="36" t="str">
        <f ca="1">IFERROR(__xludf.DUMMYFUNCTION("""COMPUTED_VALUE"""),"")</f>
        <v/>
      </c>
      <c r="L160" s="36" t="str">
        <f ca="1">IFERROR(__xludf.DUMMYFUNCTION("""COMPUTED_VALUE"""),"")</f>
        <v/>
      </c>
      <c r="M160" s="36" t="str">
        <f ca="1">IFERROR(__xludf.DUMMYFUNCTION("""COMPUTED_VALUE"""),"")</f>
        <v/>
      </c>
      <c r="N160" s="36" t="str">
        <f ca="1">IFERROR(__xludf.DUMMYFUNCTION("""COMPUTED_VALUE"""),"")</f>
        <v/>
      </c>
      <c r="O160" s="36" t="str">
        <f ca="1">IFERROR(__xludf.DUMMYFUNCTION("""COMPUTED_VALUE"""),"")</f>
        <v/>
      </c>
      <c r="P160" s="36" t="str">
        <f ca="1">IFERROR(__xludf.DUMMYFUNCTION("""COMPUTED_VALUE"""),"")</f>
        <v/>
      </c>
      <c r="Q160" s="36" t="str">
        <f ca="1">IFERROR(__xludf.DUMMYFUNCTION("""COMPUTED_VALUE"""),"")</f>
        <v/>
      </c>
      <c r="R160" s="36" t="str">
        <f ca="1">IFERROR(__xludf.DUMMYFUNCTION("""COMPUTED_VALUE"""),"")</f>
        <v/>
      </c>
      <c r="S160" s="36" t="str">
        <f ca="1">IFERROR(__xludf.DUMMYFUNCTION("""COMPUTED_VALUE"""),"")</f>
        <v/>
      </c>
      <c r="T160" s="36" t="str">
        <f ca="1">IFERROR(__xludf.DUMMYFUNCTION("""COMPUTED_VALUE"""),"")</f>
        <v/>
      </c>
      <c r="U160" s="36" t="str">
        <f ca="1">IFERROR(__xludf.DUMMYFUNCTION("""COMPUTED_VALUE"""),"")</f>
        <v/>
      </c>
      <c r="V160" s="36" t="str">
        <f ca="1">IFERROR(__xludf.DUMMYFUNCTION("""COMPUTED_VALUE"""),"")</f>
        <v/>
      </c>
      <c r="W160" s="36" t="str">
        <f ca="1">IFERROR(__xludf.DUMMYFUNCTION("""COMPUTED_VALUE"""),"")</f>
        <v/>
      </c>
      <c r="X160" s="36"/>
      <c r="Y160" s="36"/>
      <c r="Z160" s="36"/>
    </row>
    <row r="161" spans="1:26" ht="12.75" hidden="1">
      <c r="A161" s="36" t="str">
        <f ca="1">IFERROR(__xludf.DUMMYFUNCTION("""COMPUTED_VALUE"""),"Madrid, Comunidad De")</f>
        <v>Madrid, Comunidad De</v>
      </c>
      <c r="B161" s="36" t="str">
        <f ca="1">IFERROR(__xludf.DUMMYFUNCTION("""COMPUTED_VALUE"""),"Madrid")</f>
        <v>Madrid</v>
      </c>
      <c r="C161" s="36">
        <f ca="1">IFERROR(__xludf.DUMMYFUNCTION("""COMPUTED_VALUE"""),2018)</f>
        <v>2018</v>
      </c>
      <c r="D161" s="36" t="str">
        <f ca="1">IFERROR(__xludf.DUMMYFUNCTION("""COMPUTED_VALUE"""),"Altaira")</f>
        <v>Altaira</v>
      </c>
      <c r="E161" s="36" t="str">
        <f ca="1">IFERROR(__xludf.DUMMYFUNCTION("""COMPUTED_VALUE"""),"gs.altaira@scoutsdemadrid.org ")</f>
        <v xml:space="preserve">gs.altaira@scoutsdemadrid.org </v>
      </c>
      <c r="F161" s="55">
        <f ca="1">IFERROR(__xludf.DUMMYFUNCTION("""COMPUTED_VALUE"""),42557)</f>
        <v>42557</v>
      </c>
      <c r="G161" s="55">
        <f ca="1">IFERROR(__xludf.DUMMYFUNCTION("""COMPUTED_VALUE"""),42566)</f>
        <v>42566</v>
      </c>
      <c r="H161" s="36" t="str">
        <f ca="1">IFERROR(__xludf.DUMMYFUNCTION("""COMPUTED_VALUE"""),"La Acebeda")</f>
        <v>La Acebeda</v>
      </c>
      <c r="I161" s="36" t="str">
        <f ca="1">IFERROR(__xludf.DUMMYFUNCTION("""COMPUTED_VALUE"""),"Camping La Acebeda")</f>
        <v>Camping La Acebeda</v>
      </c>
      <c r="J161" s="36" t="str">
        <f ca="1">IFERROR(__xludf.DUMMYFUNCTION("""COMPUTED_VALUE"""),"")</f>
        <v/>
      </c>
      <c r="K161" s="36" t="str">
        <f ca="1">IFERROR(__xludf.DUMMYFUNCTION("""COMPUTED_VALUE"""),"")</f>
        <v/>
      </c>
      <c r="L161" s="36" t="str">
        <f ca="1">IFERROR(__xludf.DUMMYFUNCTION("""COMPUTED_VALUE"""),"")</f>
        <v/>
      </c>
      <c r="M161" s="36">
        <f ca="1">IFERROR(__xludf.DUMMYFUNCTION("""COMPUTED_VALUE"""),659729841)</f>
        <v>659729841</v>
      </c>
      <c r="N161" s="36" t="str">
        <f ca="1">IFERROR(__xludf.DUMMYFUNCTION("""COMPUTED_VALUE"""),"info@campinglaacebeda.com")</f>
        <v>info@campinglaacebeda.com</v>
      </c>
      <c r="O161" s="36" t="str">
        <f ca="1">IFERROR(__xludf.DUMMYFUNCTION("""COMPUTED_VALUE"""),"")</f>
        <v/>
      </c>
      <c r="P161" s="36" t="str">
        <f ca="1">IFERROR(__xludf.DUMMYFUNCTION("""COMPUTED_VALUE"""),"")</f>
        <v/>
      </c>
      <c r="Q161" s="36" t="str">
        <f ca="1">IFERROR(__xludf.DUMMYFUNCTION("""COMPUTED_VALUE"""),"BUENO (Se puede acceder con cualquier coche)")</f>
        <v>BUENO (Se puede acceder con cualquier coche)</v>
      </c>
      <c r="R161" s="36" t="str">
        <f ca="1">IFERROR(__xludf.DUMMYFUNCTION("""COMPUTED_VALUE"""),"Sí")</f>
        <v>Sí</v>
      </c>
      <c r="S161" s="36" t="str">
        <f ca="1">IFERROR(__xludf.DUMMYFUNCTION("""COMPUTED_VALUE"""),"Piscina")</f>
        <v>Piscina</v>
      </c>
      <c r="T161" s="36" t="str">
        <f ca="1">IFERROR(__xludf.DUMMYFUNCTION("""COMPUTED_VALUE"""),"piscina artificial")</f>
        <v>piscina artificial</v>
      </c>
      <c r="U161" s="36" t="str">
        <f ca="1">IFERROR(__xludf.DUMMYFUNCTION("""COMPUTED_VALUE"""),"Cocina, baños, aseos, duchas y comedor")</f>
        <v>Cocina, baños, aseos, duchas y comedor</v>
      </c>
      <c r="V161" s="36" t="str">
        <f ca="1">IFERROR(__xludf.DUMMYFUNCTION("""COMPUTED_VALUE"""),"no")</f>
        <v>no</v>
      </c>
      <c r="W161" s="36" t="str">
        <f ca="1">IFERROR(__xludf.DUMMYFUNCTION("""COMPUTED_VALUE"""),"")</f>
        <v/>
      </c>
      <c r="X161" s="36"/>
      <c r="Y161" s="36"/>
      <c r="Z161" s="36"/>
    </row>
    <row r="162" spans="1:26" ht="12.75" hidden="1">
      <c r="A162" s="36" t="str">
        <f ca="1">IFERROR(__xludf.DUMMYFUNCTION("""COMPUTED_VALUE"""),"Madrid, Comunidad De")</f>
        <v>Madrid, Comunidad De</v>
      </c>
      <c r="B162" s="36" t="str">
        <f ca="1">IFERROR(__xludf.DUMMYFUNCTION("""COMPUTED_VALUE"""),"Madrid")</f>
        <v>Madrid</v>
      </c>
      <c r="C162" s="36">
        <f ca="1">IFERROR(__xludf.DUMMYFUNCTION("""COMPUTED_VALUE"""),2018)</f>
        <v>2018</v>
      </c>
      <c r="D162" s="36" t="str">
        <f ca="1">IFERROR(__xludf.DUMMYFUNCTION("""COMPUTED_VALUE"""),"Altaira")</f>
        <v>Altaira</v>
      </c>
      <c r="E162" s="36" t="str">
        <f ca="1">IFERROR(__xludf.DUMMYFUNCTION("""COMPUTED_VALUE"""),"gs.altaira@scoutsdemadrid.org ")</f>
        <v xml:space="preserve">gs.altaira@scoutsdemadrid.org </v>
      </c>
      <c r="F162" s="48">
        <f ca="1">IFERROR(__xludf.DUMMYFUNCTION("""COMPUTED_VALUE"""),43286)</f>
        <v>43286</v>
      </c>
      <c r="G162" s="48">
        <f ca="1">IFERROR(__xludf.DUMMYFUNCTION("""COMPUTED_VALUE"""),43296)</f>
        <v>43296</v>
      </c>
      <c r="H162" s="36" t="str">
        <f ca="1">IFERROR(__xludf.DUMMYFUNCTION("""COMPUTED_VALUE"""),"Los Molinos")</f>
        <v>Los Molinos</v>
      </c>
      <c r="I162" s="36" t="str">
        <f ca="1">IFERROR(__xludf.DUMMYFUNCTION("""COMPUTED_VALUE"""),"Albergue San José")</f>
        <v>Albergue San José</v>
      </c>
      <c r="J162" s="36" t="str">
        <f ca="1">IFERROR(__xludf.DUMMYFUNCTION("""COMPUTED_VALUE"""),"No lo sé")</f>
        <v>No lo sé</v>
      </c>
      <c r="K162" s="36" t="str">
        <f ca="1">IFERROR(__xludf.DUMMYFUNCTION("""COMPUTED_VALUE"""),"No lo sé")</f>
        <v>No lo sé</v>
      </c>
      <c r="L162" s="36" t="str">
        <f ca="1">IFERROR(__xludf.DUMMYFUNCTION("""COMPUTED_VALUE"""),"Hermano Jose Antonio")</f>
        <v>Hermano Jose Antonio</v>
      </c>
      <c r="M162" s="36">
        <f ca="1">IFERROR(__xludf.DUMMYFUNCTION("""COMPUTED_VALUE"""),918550004)</f>
        <v>918550004</v>
      </c>
      <c r="N162" s="36" t="str">
        <f ca="1">IFERROR(__xludf.DUMMYFUNCTION("""COMPUTED_VALUE"""),"hmlosmolinos@maristasiberica.es")</f>
        <v>hmlosmolinos@maristasiberica.es</v>
      </c>
      <c r="O162" s="36" t="str">
        <f ca="1">IFERROR(__xludf.DUMMYFUNCTION("""COMPUTED_VALUE"""),"80 Euros")</f>
        <v>80 Euros</v>
      </c>
      <c r="P162" s="36" t="str">
        <f ca="1">IFERROR(__xludf.DUMMYFUNCTION("""COMPUTED_VALUE"""),"Espacios comunes compartidos")</f>
        <v>Espacios comunes compartidos</v>
      </c>
      <c r="Q162" s="36" t="str">
        <f ca="1">IFERROR(__xludf.DUMMYFUNCTION("""COMPUTED_VALUE"""),"BUENO (Se puede acceder con cualquier coche)")</f>
        <v>BUENO (Se puede acceder con cualquier coche)</v>
      </c>
      <c r="R162" s="36" t="str">
        <f ca="1">IFERROR(__xludf.DUMMYFUNCTION("""COMPUTED_VALUE"""),"Sí")</f>
        <v>Sí</v>
      </c>
      <c r="S162" s="36" t="str">
        <f ca="1">IFERROR(__xludf.DUMMYFUNCTION("""COMPUTED_VALUE"""),"Piscina municipal")</f>
        <v>Piscina municipal</v>
      </c>
      <c r="T162" s="36" t="str">
        <f ca="1">IFERROR(__xludf.DUMMYFUNCTION("""COMPUTED_VALUE"""),"Buena")</f>
        <v>Buena</v>
      </c>
      <c r="U162" s="36" t="str">
        <f ca="1">IFERROR(__xludf.DUMMYFUNCTION("""COMPUTED_VALUE"""),"Albergue")</f>
        <v>Albergue</v>
      </c>
      <c r="V162" s="36" t="str">
        <f ca="1">IFERROR(__xludf.DUMMYFUNCTION("""COMPUTED_VALUE"""),"no")</f>
        <v>no</v>
      </c>
      <c r="W162" s="36" t="str">
        <f ca="1">IFERROR(__xludf.DUMMYFUNCTION("""COMPUTED_VALUE"""),"Bueno")</f>
        <v>Bueno</v>
      </c>
      <c r="X162" s="36"/>
      <c r="Y162" s="36"/>
      <c r="Z162" s="36"/>
    </row>
    <row r="163" spans="1:26" ht="12.75" hidden="1">
      <c r="A163" s="36" t="str">
        <f ca="1">IFERROR(__xludf.DUMMYFUNCTION("""COMPUTED_VALUE"""),"Madrid, Comunidad De")</f>
        <v>Madrid, Comunidad De</v>
      </c>
      <c r="B163" s="36" t="str">
        <f ca="1">IFERROR(__xludf.DUMMYFUNCTION("""COMPUTED_VALUE"""),"Madrid")</f>
        <v>Madrid</v>
      </c>
      <c r="C163" s="36">
        <f ca="1">IFERROR(__xludf.DUMMYFUNCTION("""COMPUTED_VALUE"""),2018)</f>
        <v>2018</v>
      </c>
      <c r="D163" s="36" t="str">
        <f ca="1">IFERROR(__xludf.DUMMYFUNCTION("""COMPUTED_VALUE"""),"Orión")</f>
        <v>Orión</v>
      </c>
      <c r="E163" s="36" t="str">
        <f ca="1">IFERROR(__xludf.DUMMYFUNCTION("""COMPUTED_VALUE"""),"gs.orion@scoutsdemadrid.org ")</f>
        <v xml:space="preserve">gs.orion@scoutsdemadrid.org </v>
      </c>
      <c r="F163" s="48">
        <f ca="1">IFERROR(__xludf.DUMMYFUNCTION("""COMPUTED_VALUE"""),43298)</f>
        <v>43298</v>
      </c>
      <c r="G163" s="48">
        <f ca="1">IFERROR(__xludf.DUMMYFUNCTION("""COMPUTED_VALUE"""),43311)</f>
        <v>43311</v>
      </c>
      <c r="H163" s="36" t="str">
        <f ca="1">IFERROR(__xludf.DUMMYFUNCTION("""COMPUTED_VALUE"""),"Navalagamella")</f>
        <v>Navalagamella</v>
      </c>
      <c r="I163" s="36" t="str">
        <f ca="1">IFERROR(__xludf.DUMMYFUNCTION("""COMPUTED_VALUE"""),"Albergue La Frontera")</f>
        <v>Albergue La Frontera</v>
      </c>
      <c r="J163" s="36" t="str">
        <f ca="1">IFERROR(__xludf.DUMMYFUNCTION("""COMPUTED_VALUE"""),"001100100VK08B0001RE")</f>
        <v>001100100VK08B0001RE</v>
      </c>
      <c r="K163" s="36" t="str">
        <f ca="1">IFERROR(__xludf.DUMMYFUNCTION("""COMPUTED_VALUE"""),"40°28'35.4""N 4°06'42.8""W")</f>
        <v>40°28'35.4"N 4°06'42.8"W</v>
      </c>
      <c r="L163" s="36" t="str">
        <f ca="1">IFERROR(__xludf.DUMMYFUNCTION("""COMPUTED_VALUE"""),"Asociación La Frontera")</f>
        <v>Asociación La Frontera</v>
      </c>
      <c r="M163" s="36">
        <f ca="1">IFERROR(__xludf.DUMMYFUNCTION("""COMPUTED_VALUE"""),917384740)</f>
        <v>917384740</v>
      </c>
      <c r="N163" s="36" t="str">
        <f ca="1">IFERROR(__xludf.DUMMYFUNCTION("""COMPUTED_VALUE"""),"reservas@alberguelafrontera.es")</f>
        <v>reservas@alberguelafrontera.es</v>
      </c>
      <c r="O163" s="36" t="str">
        <f ca="1">IFERROR(__xludf.DUMMYFUNCTION("""COMPUTED_VALUE"""),"60 € /pax /quincena")</f>
        <v>60 € /pax /quincena</v>
      </c>
      <c r="P163" s="36" t="str">
        <f ca="1">IFERROR(__xludf.DUMMYFUNCTION("""COMPUTED_VALUE"""),"6 ha")</f>
        <v>6 ha</v>
      </c>
      <c r="Q163" s="36" t="str">
        <f ca="1">IFERROR(__xludf.DUMMYFUNCTION("""COMPUTED_VALUE"""),"BUENO (Se puede acceder con cualquier coche)")</f>
        <v>BUENO (Se puede acceder con cualquier coche)</v>
      </c>
      <c r="R163" s="36" t="str">
        <f ca="1">IFERROR(__xludf.DUMMYFUNCTION("""COMPUTED_VALUE"""),"Sí")</f>
        <v>Sí</v>
      </c>
      <c r="S163" s="36" t="str">
        <f ca="1">IFERROR(__xludf.DUMMYFUNCTION("""COMPUTED_VALUE"""),"1,5 km")</f>
        <v>1,5 km</v>
      </c>
      <c r="T163" s="36" t="str">
        <f ca="1">IFERROR(__xludf.DUMMYFUNCTION("""COMPUTED_VALUE"""),"Piscina a 1,5 km")</f>
        <v>Piscina a 1,5 km</v>
      </c>
      <c r="U163" s="36" t="str">
        <f ca="1">IFERROR(__xludf.DUMMYFUNCTION("""COMPUTED_VALUE"""),"Cocina, comedor, aseos, wc, duchas, salas, almacén")</f>
        <v>Cocina, comedor, aseos, wc, duchas, salas, almacén</v>
      </c>
      <c r="V163" s="36" t="str">
        <f ca="1">IFERROR(__xludf.DUMMYFUNCTION("""COMPUTED_VALUE"""),"Sí")</f>
        <v>Sí</v>
      </c>
      <c r="W163" s="36" t="str">
        <f ca="1">IFERROR(__xludf.DUMMYFUNCTION("""COMPUTED_VALUE"""),"Bien")</f>
        <v>Bien</v>
      </c>
      <c r="X163" s="36"/>
      <c r="Y163" s="36"/>
      <c r="Z163" s="36"/>
    </row>
    <row r="164" spans="1:26" ht="12.75" hidden="1">
      <c r="A164" s="36" t="str">
        <f ca="1">IFERROR(__xludf.DUMMYFUNCTION("""COMPUTED_VALUE"""),"Madrid, Comunidad De")</f>
        <v>Madrid, Comunidad De</v>
      </c>
      <c r="B164" s="36" t="str">
        <f ca="1">IFERROR(__xludf.DUMMYFUNCTION("""COMPUTED_VALUE"""),"Madrid")</f>
        <v>Madrid</v>
      </c>
      <c r="C164" s="36">
        <f ca="1">IFERROR(__xludf.DUMMYFUNCTION("""COMPUTED_VALUE"""),2018)</f>
        <v>2018</v>
      </c>
      <c r="D164" s="36" t="str">
        <f ca="1">IFERROR(__xludf.DUMMYFUNCTION("""COMPUTED_VALUE"""),"Calasanz Val")</f>
        <v>Calasanz Val</v>
      </c>
      <c r="E164" s="36" t="str">
        <f ca="1">IFERROR(__xludf.DUMMYFUNCTION("""COMPUTED_VALUE"""),"gs.calasanzval@scoutsdemadrid.org  ")</f>
        <v xml:space="preserve">gs.calasanzval@scoutsdemadrid.org  </v>
      </c>
      <c r="F164" s="48">
        <f ca="1">IFERROR(__xludf.DUMMYFUNCTION("""COMPUTED_VALUE"""),43282)</f>
        <v>43282</v>
      </c>
      <c r="G164" s="48">
        <f ca="1">IFERROR(__xludf.DUMMYFUNCTION("""COMPUTED_VALUE"""),43296)</f>
        <v>43296</v>
      </c>
      <c r="H164" s="36" t="str">
        <f ca="1">IFERROR(__xludf.DUMMYFUNCTION("""COMPUTED_VALUE"""),"Alcalá De Henares")</f>
        <v>Alcalá De Henares</v>
      </c>
      <c r="I164" s="36" t="str">
        <f ca="1">IFERROR(__xludf.DUMMYFUNCTION("""COMPUTED_VALUE"""),"Albergue la Fuente Fría")</f>
        <v>Albergue la Fuente Fría</v>
      </c>
      <c r="J164" s="36" t="str">
        <f ca="1">IFERROR(__xludf.DUMMYFUNCTION("""COMPUTED_VALUE"""),"No lo sé")</f>
        <v>No lo sé</v>
      </c>
      <c r="K164" s="36" t="str">
        <f ca="1">IFERROR(__xludf.DUMMYFUNCTION("""COMPUTED_VALUE"""),"Latitud 40.142987 Longitud: -4.703189")</f>
        <v>Latitud 40.142987 Longitud: -4.703189</v>
      </c>
      <c r="L164" s="36" t="str">
        <f ca="1">IFERROR(__xludf.DUMMYFUNCTION("""COMPUTED_VALUE"""),"Viriato Naturaventur S.L.")</f>
        <v>Viriato Naturaventur S.L.</v>
      </c>
      <c r="M164" s="36">
        <f ca="1">IFERROR(__xludf.DUMMYFUNCTION("""COMPUTED_VALUE"""),618826205)</f>
        <v>618826205</v>
      </c>
      <c r="N164" s="36" t="str">
        <f ca="1">IFERROR(__xludf.DUMMYFUNCTION("""COMPUTED_VALUE"""),"info@alberguefuentefria.com")</f>
        <v>info@alberguefuentefria.com</v>
      </c>
      <c r="O164" s="36" t="str">
        <f ca="1">IFERROR(__xludf.DUMMYFUNCTION("""COMPUTED_VALUE"""),"5 euros por persona por día")</f>
        <v>5 euros por persona por día</v>
      </c>
      <c r="P164" s="36" t="str">
        <f ca="1">IFERROR(__xludf.DUMMYFUNCTION("""COMPUTED_VALUE"""),"2 hectareas")</f>
        <v>2 hectareas</v>
      </c>
      <c r="Q164" s="36" t="str">
        <f ca="1">IFERROR(__xludf.DUMMYFUNCTION("""COMPUTED_VALUE"""),"REGULAR (Se puede acceder con un coche normal con dificultad)")</f>
        <v>REGULAR (Se puede acceder con un coche normal con dificultad)</v>
      </c>
      <c r="R164" s="36" t="str">
        <f ca="1">IFERROR(__xludf.DUMMYFUNCTION("""COMPUTED_VALUE"""),"Sí")</f>
        <v>Sí</v>
      </c>
      <c r="S164" s="36" t="str">
        <f ca="1">IFERROR(__xludf.DUMMYFUNCTION("""COMPUTED_VALUE"""),"1,3 km")</f>
        <v>1,3 km</v>
      </c>
      <c r="T164" s="36" t="str">
        <f ca="1">IFERROR(__xludf.DUMMYFUNCTION("""COMPUTED_VALUE"""),"Es una piscina municipal")</f>
        <v>Es una piscina municipal</v>
      </c>
      <c r="U164" s="36" t="str">
        <f ca="1">IFERROR(__xludf.DUMMYFUNCTION("""COMPUTED_VALUE"""),"Tiene albergue, cocina, baños, comedor, sala multiusos")</f>
        <v>Tiene albergue, cocina, baños, comedor, sala multiusos</v>
      </c>
      <c r="V164" s="36" t="str">
        <f ca="1">IFERROR(__xludf.DUMMYFUNCTION("""COMPUTED_VALUE"""),"No lo sé")</f>
        <v>No lo sé</v>
      </c>
      <c r="W164" s="36" t="str">
        <f ca="1">IFERROR(__xludf.DUMMYFUNCTION("""COMPUTED_VALUE"""),"Buen precio y buen trato")</f>
        <v>Buen precio y buen trato</v>
      </c>
      <c r="X164" s="36"/>
      <c r="Y164" s="36"/>
      <c r="Z164" s="36"/>
    </row>
    <row r="165" spans="1:26" ht="12.75" hidden="1">
      <c r="A165" s="36" t="str">
        <f ca="1">IFERROR(__xludf.DUMMYFUNCTION("""COMPUTED_VALUE"""),"Madrid, Comunidad De")</f>
        <v>Madrid, Comunidad De</v>
      </c>
      <c r="B165" s="36" t="str">
        <f ca="1">IFERROR(__xludf.DUMMYFUNCTION("""COMPUTED_VALUE"""),"Madrid")</f>
        <v>Madrid</v>
      </c>
      <c r="C165" s="36">
        <f ca="1">IFERROR(__xludf.DUMMYFUNCTION("""COMPUTED_VALUE"""),2019)</f>
        <v>2019</v>
      </c>
      <c r="D165" s="36" t="str">
        <f ca="1">IFERROR(__xludf.DUMMYFUNCTION("""COMPUTED_VALUE"""),"Madre Del Rosario")</f>
        <v>Madre Del Rosario</v>
      </c>
      <c r="E165" s="36" t="str">
        <f ca="1">IFERROR(__xludf.DUMMYFUNCTION("""COMPUTED_VALUE"""),"gs.madredelrosario@scoutsdemadrid.org ")</f>
        <v xml:space="preserve">gs.madredelrosario@scoutsdemadrid.org </v>
      </c>
      <c r="F165" s="48">
        <f ca="1">IFERROR(__xludf.DUMMYFUNCTION("""COMPUTED_VALUE"""),43639)</f>
        <v>43639</v>
      </c>
      <c r="G165" s="48">
        <f ca="1">IFERROR(__xludf.DUMMYFUNCTION("""COMPUTED_VALUE"""),43644)</f>
        <v>43644</v>
      </c>
      <c r="H165" s="36" t="str">
        <f ca="1">IFERROR(__xludf.DUMMYFUNCTION("""COMPUTED_VALUE"""),"Navalagamella")</f>
        <v>Navalagamella</v>
      </c>
      <c r="I165" s="36" t="str">
        <f ca="1">IFERROR(__xludf.DUMMYFUNCTION("""COMPUTED_VALUE"""),"Campamento- Albergue ""La Frontera""")</f>
        <v>Campamento- Albergue "La Frontera"</v>
      </c>
      <c r="J165" s="36" t="str">
        <f ca="1">IFERROR(__xludf.DUMMYFUNCTION("""COMPUTED_VALUE"""),"-")</f>
        <v>-</v>
      </c>
      <c r="K165" s="36" t="str">
        <f ca="1">IFERROR(__xludf.DUMMYFUNCTION("""COMPUTED_VALUE"""),"(40.4746557, -4.1107207)")</f>
        <v>(40.4746557, -4.1107207)</v>
      </c>
      <c r="L165" s="36" t="str">
        <f ca="1">IFERROR(__xludf.DUMMYFUNCTION("""COMPUTED_VALUE"""),"Asociación ""La Frontera""")</f>
        <v>Asociación "La Frontera"</v>
      </c>
      <c r="M165" s="36" t="str">
        <f ca="1">IFERROR(__xludf.DUMMYFUNCTION("""COMPUTED_VALUE"""),"910642219 - 646199243")</f>
        <v>910642219 - 646199243</v>
      </c>
      <c r="N165" s="36" t="str">
        <f ca="1">IFERROR(__xludf.DUMMYFUNCTION("""COMPUTED_VALUE"""),"reservas@alberguelafrontera.es")</f>
        <v>reservas@alberguelafrontera.es</v>
      </c>
      <c r="O165" s="36" t="str">
        <f ca="1">IFERROR(__xludf.DUMMYFUNCTION("""COMPUTED_VALUE"""),"Precio por persona")</f>
        <v>Precio por persona</v>
      </c>
      <c r="P165" s="36">
        <f ca="1">IFERROR(__xludf.DUMMYFUNCTION("""COMPUTED_VALUE"""),5)</f>
        <v>5</v>
      </c>
      <c r="Q165" s="36" t="str">
        <f ca="1">IFERROR(__xludf.DUMMYFUNCTION("""COMPUTED_VALUE"""),"BUENO (Se puede acceder con cualquier coche)")</f>
        <v>BUENO (Se puede acceder con cualquier coche)</v>
      </c>
      <c r="R165" s="36" t="str">
        <f ca="1">IFERROR(__xludf.DUMMYFUNCTION("""COMPUTED_VALUE"""),"Sí")</f>
        <v>Sí</v>
      </c>
      <c r="S165" s="36">
        <f ca="1">IFERROR(__xludf.DUMMYFUNCTION("""COMPUTED_VALUE"""),0)</f>
        <v>0</v>
      </c>
      <c r="T165" s="36" t="str">
        <f ca="1">IFERROR(__xludf.DUMMYFUNCTION("""COMPUTED_VALUE"""),"WC con duchas")</f>
        <v>WC con duchas</v>
      </c>
      <c r="U165" s="36" t="str">
        <f ca="1">IFERROR(__xludf.DUMMYFUNCTION("""COMPUTED_VALUE"""),"Si, cocina, comedor, salas.")</f>
        <v>Si, cocina, comedor, salas.</v>
      </c>
      <c r="V165" s="36" t="str">
        <f ca="1">IFERROR(__xludf.DUMMYFUNCTION("""COMPUTED_VALUE"""),"No")</f>
        <v>No</v>
      </c>
      <c r="W165" s="36" t="str">
        <f ca="1">IFERROR(__xludf.DUMMYFUNCTION("""COMPUTED_VALUE"""),"Albergue completo")</f>
        <v>Albergue completo</v>
      </c>
      <c r="X165" s="36"/>
      <c r="Y165" s="36"/>
      <c r="Z165" s="36"/>
    </row>
    <row r="166" spans="1:26" ht="12.75" hidden="1">
      <c r="A166" s="36" t="str">
        <f ca="1">IFERROR(__xludf.DUMMYFUNCTION("""COMPUTED_VALUE"""),"Madrid, Comunidad De")</f>
        <v>Madrid, Comunidad De</v>
      </c>
      <c r="B166" s="36" t="str">
        <f ca="1">IFERROR(__xludf.DUMMYFUNCTION("""COMPUTED_VALUE"""),"Madrid")</f>
        <v>Madrid</v>
      </c>
      <c r="C166" s="36">
        <f ca="1">IFERROR(__xludf.DUMMYFUNCTION("""COMPUTED_VALUE"""),2019)</f>
        <v>2019</v>
      </c>
      <c r="D166" s="36" t="str">
        <f ca="1">IFERROR(__xludf.DUMMYFUNCTION("""COMPUTED_VALUE"""),"Altaira")</f>
        <v>Altaira</v>
      </c>
      <c r="E166" s="36" t="str">
        <f ca="1">IFERROR(__xludf.DUMMYFUNCTION("""COMPUTED_VALUE"""),"gs.altaira@scoutsdemadrid.org ")</f>
        <v xml:space="preserve">gs.altaira@scoutsdemadrid.org </v>
      </c>
      <c r="F166" s="48">
        <f ca="1">IFERROR(__xludf.DUMMYFUNCTION("""COMPUTED_VALUE"""),43650)</f>
        <v>43650</v>
      </c>
      <c r="G166" s="48">
        <f ca="1">IFERROR(__xludf.DUMMYFUNCTION("""COMPUTED_VALUE"""),43660)</f>
        <v>43660</v>
      </c>
      <c r="H166" s="36" t="str">
        <f ca="1">IFERROR(__xludf.DUMMYFUNCTION("""COMPUTED_VALUE"""),"Los Molinos")</f>
        <v>Los Molinos</v>
      </c>
      <c r="I166" s="36" t="str">
        <f ca="1">IFERROR(__xludf.DUMMYFUNCTION("""COMPUTED_VALUE"""),"Albergue Marista San José")</f>
        <v>Albergue Marista San José</v>
      </c>
      <c r="J166" s="36" t="str">
        <f ca="1">IFERROR(__xludf.DUMMYFUNCTION("""COMPUTED_VALUE"""),"No lo se")</f>
        <v>No lo se</v>
      </c>
      <c r="K166" s="36" t="str">
        <f ca="1">IFERROR(__xludf.DUMMYFUNCTION("""COMPUTED_VALUE"""),"No lo se")</f>
        <v>No lo se</v>
      </c>
      <c r="L166" s="36" t="str">
        <f ca="1">IFERROR(__xludf.DUMMYFUNCTION("""COMPUTED_VALUE"""),"Maristas San José")</f>
        <v>Maristas San José</v>
      </c>
      <c r="M166" s="36">
        <f ca="1">IFERROR(__xludf.DUMMYFUNCTION("""COMPUTED_VALUE"""),918550004)</f>
        <v>918550004</v>
      </c>
      <c r="N166" s="36" t="str">
        <f ca="1">IFERROR(__xludf.DUMMYFUNCTION("""COMPUTED_VALUE"""),"hmlosmolinos@maristasiberica.es")</f>
        <v>hmlosmolinos@maristasiberica.es</v>
      </c>
      <c r="O166" s="36">
        <f ca="1">IFERROR(__xludf.DUMMYFUNCTION("""COMPUTED_VALUE"""),10)</f>
        <v>10</v>
      </c>
      <c r="P166" s="36" t="str">
        <f ca="1">IFERROR(__xludf.DUMMYFUNCTION("""COMPUTED_VALUE"""),"Albergue")</f>
        <v>Albergue</v>
      </c>
      <c r="Q166" s="36" t="str">
        <f ca="1">IFERROR(__xludf.DUMMYFUNCTION("""COMPUTED_VALUE"""),"BUENO (Se puede acceder con cualquier coche)")</f>
        <v>BUENO (Se puede acceder con cualquier coche)</v>
      </c>
      <c r="R166" s="36" t="str">
        <f ca="1">IFERROR(__xludf.DUMMYFUNCTION("""COMPUTED_VALUE"""),"Sí")</f>
        <v>Sí</v>
      </c>
      <c r="S166" s="36" t="str">
        <f ca="1">IFERROR(__xludf.DUMMYFUNCTION("""COMPUTED_VALUE"""),"2 Km")</f>
        <v>2 Km</v>
      </c>
      <c r="T166" s="36" t="str">
        <f ca="1">IFERROR(__xludf.DUMMYFUNCTION("""COMPUTED_VALUE"""),"Piscina municipal")</f>
        <v>Piscina municipal</v>
      </c>
      <c r="U166" s="36" t="str">
        <f ca="1">IFERROR(__xludf.DUMMYFUNCTION("""COMPUTED_VALUE"""),"cancha baloncesto y futbol")</f>
        <v>cancha baloncesto y futbol</v>
      </c>
      <c r="V166" s="36" t="str">
        <f ca="1">IFERROR(__xludf.DUMMYFUNCTION("""COMPUTED_VALUE"""),"no")</f>
        <v>no</v>
      </c>
      <c r="W166" s="36" t="str">
        <f ca="1">IFERROR(__xludf.DUMMYFUNCTION("""COMPUTED_VALUE"""),"Bien")</f>
        <v>Bien</v>
      </c>
      <c r="X166" s="36"/>
      <c r="Y166" s="36"/>
      <c r="Z166" s="36"/>
    </row>
    <row r="167" spans="1:26" ht="12.75" hidden="1">
      <c r="A167" s="36" t="str">
        <f ca="1">IFERROR(__xludf.DUMMYFUNCTION("""COMPUTED_VALUE"""),"Madrid, Comunidad De")</f>
        <v>Madrid, Comunidad De</v>
      </c>
      <c r="B167" s="36" t="str">
        <f ca="1">IFERROR(__xludf.DUMMYFUNCTION("""COMPUTED_VALUE"""),"Madrid")</f>
        <v>Madrid</v>
      </c>
      <c r="C167" s="36">
        <f ca="1">IFERROR(__xludf.DUMMYFUNCTION("""COMPUTED_VALUE"""),2019)</f>
        <v>2019</v>
      </c>
      <c r="D167" s="36" t="str">
        <f ca="1">IFERROR(__xludf.DUMMYFUNCTION("""COMPUTED_VALUE"""),"El Remolino")</f>
        <v>El Remolino</v>
      </c>
      <c r="E167" s="36" t="str">
        <f ca="1">IFERROR(__xludf.DUMMYFUNCTION("""COMPUTED_VALUE"""),"gs.elremolino@scoutsdemadrid.org ")</f>
        <v xml:space="preserve">gs.elremolino@scoutsdemadrid.org </v>
      </c>
      <c r="F167" s="48">
        <f ca="1">IFERROR(__xludf.DUMMYFUNCTION("""COMPUTED_VALUE"""),43680)</f>
        <v>43680</v>
      </c>
      <c r="G167" s="48">
        <f ca="1">IFERROR(__xludf.DUMMYFUNCTION("""COMPUTED_VALUE"""),43686)</f>
        <v>43686</v>
      </c>
      <c r="H167" s="36" t="str">
        <f ca="1">IFERROR(__xludf.DUMMYFUNCTION("""COMPUTED_VALUE"""),"Canencia")</f>
        <v>Canencia</v>
      </c>
      <c r="I167" s="36" t="str">
        <f ca="1">IFERROR(__xludf.DUMMYFUNCTION("""COMPUTED_VALUE"""),"La Cabaña de Luis Pinilla")</f>
        <v>La Cabaña de Luis Pinilla</v>
      </c>
      <c r="J167" s="36" t="str">
        <f ca="1">IFERROR(__xludf.DUMMYFUNCTION("""COMPUTED_VALUE"""),"Lo desconozco")</f>
        <v>Lo desconozco</v>
      </c>
      <c r="K167" s="36" t="str">
        <f ca="1">IFERROR(__xludf.DUMMYFUNCTION("""COMPUTED_VALUE"""),"M 629, PK 18,200")</f>
        <v>M 629, PK 18,200</v>
      </c>
      <c r="L167" s="36" t="str">
        <f ca="1">IFERROR(__xludf.DUMMYFUNCTION("""COMPUTED_VALUE"""),"Misión Juventud")</f>
        <v>Misión Juventud</v>
      </c>
      <c r="M167" s="36">
        <f ca="1">IFERROR(__xludf.DUMMYFUNCTION("""COMPUTED_VALUE"""),609275172)</f>
        <v>609275172</v>
      </c>
      <c r="N167" s="36" t="str">
        <f ca="1">IFERROR(__xludf.DUMMYFUNCTION("""COMPUTED_VALUE"""),"gracianomar@gmail.com")</f>
        <v>gracianomar@gmail.com</v>
      </c>
      <c r="O167" s="36" t="str">
        <f ca="1">IFERROR(__xludf.DUMMYFUNCTION("""COMPUTED_VALUE"""),"8 a 12 € por persona y día")</f>
        <v>8 a 12 € por persona y día</v>
      </c>
      <c r="P167" s="36">
        <f ca="1">IFERROR(__xludf.DUMMYFUNCTION("""COMPUTED_VALUE"""),5000)</f>
        <v>5000</v>
      </c>
      <c r="Q167" s="36" t="str">
        <f ca="1">IFERROR(__xludf.DUMMYFUNCTION("""COMPUTED_VALUE"""),"BUENO (Se puede acceder con cualquier coche)")</f>
        <v>BUENO (Se puede acceder con cualquier coche)</v>
      </c>
      <c r="R167" s="36" t="str">
        <f ca="1">IFERROR(__xludf.DUMMYFUNCTION("""COMPUTED_VALUE"""),"Sí")</f>
        <v>Sí</v>
      </c>
      <c r="S167" s="36" t="str">
        <f ca="1">IFERROR(__xludf.DUMMYFUNCTION("""COMPUTED_VALUE"""),"4 km")</f>
        <v>4 km</v>
      </c>
      <c r="T167" s="36" t="str">
        <f ca="1">IFERROR(__xludf.DUMMYFUNCTION("""COMPUTED_VALUE"""),"Buena zona de baño pero carece de sombra")</f>
        <v>Buena zona de baño pero carece de sombra</v>
      </c>
      <c r="U167" s="36" t="str">
        <f ca="1">IFERROR(__xludf.DUMMYFUNCTION("""COMPUTED_VALUE"""),"2 duchas, 2 baños, una cocina equipada, salón, porche con mesas, 3 habitaciones ( una con 13 camas y 2 con 2 camas), zona de juego, un salón")</f>
        <v>2 duchas, 2 baños, una cocina equipada, salón, porche con mesas, 3 habitaciones ( una con 13 camas y 2 con 2 camas), zona de juego, un salón</v>
      </c>
      <c r="V167" s="36" t="str">
        <f ca="1">IFERROR(__xludf.DUMMYFUNCTION("""COMPUTED_VALUE"""),"No sé")</f>
        <v>No sé</v>
      </c>
      <c r="W167" s="36" t="str">
        <f ca="1">IFERROR(__xludf.DUMMYFUNCTION("""COMPUTED_VALUE"""),"La zona para jugar es amplia. Apto para grupos pequeños o acampadas de rama.")</f>
        <v>La zona para jugar es amplia. Apto para grupos pequeños o acampadas de rama.</v>
      </c>
      <c r="X167" s="36"/>
      <c r="Y167" s="36"/>
      <c r="Z167" s="36"/>
    </row>
    <row r="168" spans="1:26" ht="12.75" hidden="1">
      <c r="A168" s="36" t="str">
        <f ca="1">IFERROR(__xludf.DUMMYFUNCTION("""COMPUTED_VALUE"""),"Comunidad Valenciana")</f>
        <v>Comunidad Valenciana</v>
      </c>
      <c r="B168" s="36" t="str">
        <f ca="1">IFERROR(__xludf.DUMMYFUNCTION("""COMPUTED_VALUE"""),"Valencia")</f>
        <v>Valencia</v>
      </c>
      <c r="C168" s="36">
        <f ca="1">IFERROR(__xludf.DUMMYFUNCTION("""COMPUTED_VALUE"""),2016)</f>
        <v>2016</v>
      </c>
      <c r="D168" s="36" t="str">
        <f ca="1">IFERROR(__xludf.DUMMYFUNCTION("""COMPUTED_VALUE"""),"Alud")</f>
        <v>Alud</v>
      </c>
      <c r="E168" s="36" t="str">
        <f ca="1">IFERROR(__xludf.DUMMYFUNCTION("""COMPUTED_VALUE"""),"gs.alud@scoutsdemadrid.org ")</f>
        <v xml:space="preserve">gs.alud@scoutsdemadrid.org </v>
      </c>
      <c r="F168" s="48">
        <f ca="1">IFERROR(__xludf.DUMMYFUNCTION("""COMPUTED_VALUE"""),42567)</f>
        <v>42567</v>
      </c>
      <c r="G168" s="48">
        <f ca="1">IFERROR(__xludf.DUMMYFUNCTION("""COMPUTED_VALUE"""),42581)</f>
        <v>42581</v>
      </c>
      <c r="H168" s="36" t="str">
        <f ca="1">IFERROR(__xludf.DUMMYFUNCTION("""COMPUTED_VALUE"""),"Lénova")</f>
        <v>Lénova</v>
      </c>
      <c r="I168" s="36" t="str">
        <f ca="1">IFERROR(__xludf.DUMMYFUNCTION("""COMPUTED_VALUE"""),"Entrenaranjos")</f>
        <v>Entrenaranjos</v>
      </c>
      <c r="J168" s="36" t="str">
        <f ca="1">IFERROR(__xludf.DUMMYFUNCTION("""COMPUTED_VALUE"""),"")</f>
        <v/>
      </c>
      <c r="K168" s="36" t="str">
        <f ca="1">IFERROR(__xludf.DUMMYFUNCTION("""COMPUTED_VALUE"""),"")</f>
        <v/>
      </c>
      <c r="L168" s="36" t="str">
        <f ca="1">IFERROR(__xludf.DUMMYFUNCTION("""COMPUTED_VALUE"""),"Jesús Quereda")</f>
        <v>Jesús Quereda</v>
      </c>
      <c r="M168" s="36">
        <f ca="1">IFERROR(__xludf.DUMMYFUNCTION("""COMPUTED_VALUE"""),687733692)</f>
        <v>687733692</v>
      </c>
      <c r="N168" s="36" t="str">
        <f ca="1">IFERROR(__xludf.DUMMYFUNCTION("""COMPUTED_VALUE"""),"sered8@yahoo.es")</f>
        <v>sered8@yahoo.es</v>
      </c>
      <c r="O168" s="36" t="str">
        <f ca="1">IFERROR(__xludf.DUMMYFUNCTION("""COMPUTED_VALUE"""),"")</f>
        <v/>
      </c>
      <c r="P168" s="36" t="str">
        <f ca="1">IFERROR(__xludf.DUMMYFUNCTION("""COMPUTED_VALUE"""),"")</f>
        <v/>
      </c>
      <c r="Q168" s="36" t="str">
        <f ca="1">IFERROR(__xludf.DUMMYFUNCTION("""COMPUTED_VALUE"""),"BUENO (Se puede acceder con cualquier coche)")</f>
        <v>BUENO (Se puede acceder con cualquier coche)</v>
      </c>
      <c r="R168" s="36" t="str">
        <f ca="1">IFERROR(__xludf.DUMMYFUNCTION("""COMPUTED_VALUE"""),"Sí")</f>
        <v>Sí</v>
      </c>
      <c r="S168" s="36" t="str">
        <f ca="1">IFERROR(__xludf.DUMMYFUNCTION("""COMPUTED_VALUE"""),"50 m")</f>
        <v>50 m</v>
      </c>
      <c r="T168" s="36" t="str">
        <f ca="1">IFERROR(__xludf.DUMMYFUNCTION("""COMPUTED_VALUE"""),"Piscina ")</f>
        <v xml:space="preserve">Piscina </v>
      </c>
      <c r="U168" s="36" t="str">
        <f ca="1">IFERROR(__xludf.DUMMYFUNCTION("""COMPUTED_VALUE"""),"Piscina, comedor cubierto, cocina, baños (aseos y duchas)")</f>
        <v>Piscina, comedor cubierto, cocina, baños (aseos y duchas)</v>
      </c>
      <c r="V168" s="36" t="str">
        <f ca="1">IFERROR(__xludf.DUMMYFUNCTION("""COMPUTED_VALUE"""),"")</f>
        <v/>
      </c>
      <c r="W168" s="36" t="str">
        <f ca="1">IFERROR(__xludf.DUMMYFUNCTION("""COMPUTED_VALUE"""),"Instalaciones muy completas, nos han preparado la zona de acampada bastante  bien")</f>
        <v>Instalaciones muy completas, nos han preparado la zona de acampada bastante  bien</v>
      </c>
      <c r="X168" s="36"/>
      <c r="Y168" s="36"/>
      <c r="Z168" s="36"/>
    </row>
    <row r="169" spans="1:26" ht="12.75" hidden="1">
      <c r="A169" s="36" t="str">
        <f ca="1">IFERROR(__xludf.DUMMYFUNCTION("""COMPUTED_VALUE"""),"Comunidad Valenciana")</f>
        <v>Comunidad Valenciana</v>
      </c>
      <c r="B169" s="36" t="str">
        <f ca="1">IFERROR(__xludf.DUMMYFUNCTION("""COMPUTED_VALUE"""),"Valencia")</f>
        <v>Valencia</v>
      </c>
      <c r="C169" s="36">
        <f ca="1">IFERROR(__xludf.DUMMYFUNCTION("""COMPUTED_VALUE"""),2015)</f>
        <v>2015</v>
      </c>
      <c r="D169" s="36" t="str">
        <f ca="1">IFERROR(__xludf.DUMMYFUNCTION("""COMPUTED_VALUE"""),"San Pedro")</f>
        <v>San Pedro</v>
      </c>
      <c r="E169" s="36" t="str">
        <f ca="1">IFERROR(__xludf.DUMMYFUNCTION("""COMPUTED_VALUE"""),"gs.sanpedro@scoutsdemadrid.org  ")</f>
        <v xml:space="preserve">gs.sanpedro@scoutsdemadrid.org  </v>
      </c>
      <c r="F169" s="48">
        <f ca="1">IFERROR(__xludf.DUMMYFUNCTION("""COMPUTED_VALUE"""),42202)</f>
        <v>42202</v>
      </c>
      <c r="G169" s="48">
        <f ca="1">IFERROR(__xludf.DUMMYFUNCTION("""COMPUTED_VALUE"""),42216)</f>
        <v>42216</v>
      </c>
      <c r="H169" s="36" t="str">
        <f ca="1">IFERROR(__xludf.DUMMYFUNCTION("""COMPUTED_VALUE"""),"Bétera")</f>
        <v>Bétera</v>
      </c>
      <c r="I169" s="36" t="str">
        <f ca="1">IFERROR(__xludf.DUMMYFUNCTION("""COMPUTED_VALUE"""),"Centro scout LA MORERÍA")</f>
        <v>Centro scout LA MORERÍA</v>
      </c>
      <c r="J169" s="36" t="str">
        <f ca="1">IFERROR(__xludf.DUMMYFUNCTION("""COMPUTED_VALUE"""),"")</f>
        <v/>
      </c>
      <c r="K169" s="36" t="str">
        <f ca="1">IFERROR(__xludf.DUMMYFUNCTION("""COMPUTED_VALUE"""),"39°42'07.6""N 0°28'08.7""W")</f>
        <v>39°42'07.6"N 0°28'08.7"W</v>
      </c>
      <c r="L169" s="36" t="str">
        <f ca="1">IFERROR(__xludf.DUMMYFUNCTION("""COMPUTED_VALUE"""),"")</f>
        <v/>
      </c>
      <c r="M169" s="36" t="str">
        <f ca="1">IFERROR(__xludf.DUMMYFUNCTION("""COMPUTED_VALUE"""),"")</f>
        <v/>
      </c>
      <c r="N169" s="36" t="str">
        <f ca="1">IFERROR(__xludf.DUMMYFUNCTION("""COMPUTED_VALUE"""),"")</f>
        <v/>
      </c>
      <c r="O169" s="36" t="str">
        <f ca="1">IFERROR(__xludf.DUMMYFUNCTION("""COMPUTED_VALUE"""),"")</f>
        <v/>
      </c>
      <c r="P169" s="36" t="str">
        <f ca="1">IFERROR(__xludf.DUMMYFUNCTION("""COMPUTED_VALUE"""),"")</f>
        <v/>
      </c>
      <c r="Q169" s="36" t="str">
        <f ca="1">IFERROR(__xludf.DUMMYFUNCTION("""COMPUTED_VALUE"""),"")</f>
        <v/>
      </c>
      <c r="R169" s="36" t="str">
        <f ca="1">IFERROR(__xludf.DUMMYFUNCTION("""COMPUTED_VALUE"""),"")</f>
        <v/>
      </c>
      <c r="S169" s="36" t="str">
        <f ca="1">IFERROR(__xludf.DUMMYFUNCTION("""COMPUTED_VALUE"""),"")</f>
        <v/>
      </c>
      <c r="T169" s="36" t="str">
        <f ca="1">IFERROR(__xludf.DUMMYFUNCTION("""COMPUTED_VALUE"""),"")</f>
        <v/>
      </c>
      <c r="U169" s="36" t="str">
        <f ca="1">IFERROR(__xludf.DUMMYFUNCTION("""COMPUTED_VALUE"""),"")</f>
        <v/>
      </c>
      <c r="V169" s="36" t="str">
        <f ca="1">IFERROR(__xludf.DUMMYFUNCTION("""COMPUTED_VALUE"""),"")</f>
        <v/>
      </c>
      <c r="W169" s="36" t="str">
        <f ca="1">IFERROR(__xludf.DUMMYFUNCTION("""COMPUTED_VALUE"""),"")</f>
        <v/>
      </c>
      <c r="X169" s="36"/>
      <c r="Y169" s="36"/>
      <c r="Z169" s="36"/>
    </row>
    <row r="170" spans="1:26" ht="12.75" hidden="1">
      <c r="A170" s="36" t="str">
        <f ca="1">IFERROR(__xludf.DUMMYFUNCTION("""COMPUTED_VALUE"""),"Comunidad Valenciana")</f>
        <v>Comunidad Valenciana</v>
      </c>
      <c r="B170" s="36" t="str">
        <f ca="1">IFERROR(__xludf.DUMMYFUNCTION("""COMPUTED_VALUE"""),"Valencia")</f>
        <v>Valencia</v>
      </c>
      <c r="C170" s="36">
        <f ca="1">IFERROR(__xludf.DUMMYFUNCTION("""COMPUTED_VALUE"""),2015)</f>
        <v>2015</v>
      </c>
      <c r="D170" s="36" t="str">
        <f ca="1">IFERROR(__xludf.DUMMYFUNCTION("""COMPUTED_VALUE"""),"Tallac")</f>
        <v>Tallac</v>
      </c>
      <c r="E170" s="36" t="str">
        <f ca="1">IFERROR(__xludf.DUMMYFUNCTION("""COMPUTED_VALUE"""),"gs.tallac@scoutsdemadrid.org ")</f>
        <v xml:space="preserve">gs.tallac@scoutsdemadrid.org </v>
      </c>
      <c r="F170" s="48">
        <f ca="1">IFERROR(__xludf.DUMMYFUNCTION("""COMPUTED_VALUE"""),42186)</f>
        <v>42186</v>
      </c>
      <c r="G170" s="48">
        <f ca="1">IFERROR(__xludf.DUMMYFUNCTION("""COMPUTED_VALUE"""),42200)</f>
        <v>42200</v>
      </c>
      <c r="H170" s="36" t="str">
        <f ca="1">IFERROR(__xludf.DUMMYFUNCTION("""COMPUTED_VALUE"""),"Aras De Los Olmos")</f>
        <v>Aras De Los Olmos</v>
      </c>
      <c r="I170" s="36" t="str">
        <f ca="1">IFERROR(__xludf.DUMMYFUNCTION("""COMPUTED_VALUE"""),"Los Rubiales")</f>
        <v>Los Rubiales</v>
      </c>
      <c r="J170" s="36" t="str">
        <f ca="1">IFERROR(__xludf.DUMMYFUNCTION("""COMPUTED_VALUE"""),"")</f>
        <v/>
      </c>
      <c r="K170" s="36" t="str">
        <f ca="1">IFERROR(__xludf.DUMMYFUNCTION("""COMPUTED_VALUE"""),"x = 654329  y = 4420945 ")</f>
        <v xml:space="preserve">x = 654329  y = 4420945 </v>
      </c>
      <c r="L170" s="36" t="str">
        <f ca="1">IFERROR(__xludf.DUMMYFUNCTION("""COMPUTED_VALUE"""),"")</f>
        <v/>
      </c>
      <c r="M170" s="36" t="str">
        <f ca="1">IFERROR(__xludf.DUMMYFUNCTION("""COMPUTED_VALUE"""),"")</f>
        <v/>
      </c>
      <c r="N170" s="36" t="str">
        <f ca="1">IFERROR(__xludf.DUMMYFUNCTION("""COMPUTED_VALUE"""),"")</f>
        <v/>
      </c>
      <c r="O170" s="36" t="str">
        <f ca="1">IFERROR(__xludf.DUMMYFUNCTION("""COMPUTED_VALUE"""),"")</f>
        <v/>
      </c>
      <c r="P170" s="36" t="str">
        <f ca="1">IFERROR(__xludf.DUMMYFUNCTION("""COMPUTED_VALUE"""),"")</f>
        <v/>
      </c>
      <c r="Q170" s="36" t="str">
        <f ca="1">IFERROR(__xludf.DUMMYFUNCTION("""COMPUTED_VALUE"""),"")</f>
        <v/>
      </c>
      <c r="R170" s="36" t="str">
        <f ca="1">IFERROR(__xludf.DUMMYFUNCTION("""COMPUTED_VALUE"""),"")</f>
        <v/>
      </c>
      <c r="S170" s="36" t="str">
        <f ca="1">IFERROR(__xludf.DUMMYFUNCTION("""COMPUTED_VALUE"""),"")</f>
        <v/>
      </c>
      <c r="T170" s="36" t="str">
        <f ca="1">IFERROR(__xludf.DUMMYFUNCTION("""COMPUTED_VALUE"""),"")</f>
        <v/>
      </c>
      <c r="U170" s="36" t="str">
        <f ca="1">IFERROR(__xludf.DUMMYFUNCTION("""COMPUTED_VALUE"""),"")</f>
        <v/>
      </c>
      <c r="V170" s="36" t="str">
        <f ca="1">IFERROR(__xludf.DUMMYFUNCTION("""COMPUTED_VALUE"""),"")</f>
        <v/>
      </c>
      <c r="W170" s="36" t="str">
        <f ca="1">IFERROR(__xludf.DUMMYFUNCTION("""COMPUTED_VALUE"""),"")</f>
        <v/>
      </c>
      <c r="X170" s="36"/>
      <c r="Y170" s="36"/>
      <c r="Z170" s="36"/>
    </row>
    <row r="171" spans="1:26" ht="12.75" hidden="1">
      <c r="A171" s="36" t="str">
        <f ca="1">IFERROR(__xludf.DUMMYFUNCTION("""COMPUTED_VALUE"""),"Comunidad Valenciana")</f>
        <v>Comunidad Valenciana</v>
      </c>
      <c r="B171" s="36" t="str">
        <f ca="1">IFERROR(__xludf.DUMMYFUNCTION("""COMPUTED_VALUE"""),"Valencia")</f>
        <v>Valencia</v>
      </c>
      <c r="C171" s="36">
        <f ca="1">IFERROR(__xludf.DUMMYFUNCTION("""COMPUTED_VALUE"""),2015)</f>
        <v>2015</v>
      </c>
      <c r="D171" s="36" t="str">
        <f ca="1">IFERROR(__xludf.DUMMYFUNCTION("""COMPUTED_VALUE"""),"Tallac")</f>
        <v>Tallac</v>
      </c>
      <c r="E171" s="36" t="str">
        <f ca="1">IFERROR(__xludf.DUMMYFUNCTION("""COMPUTED_VALUE"""),"gs.tallac@scoutsdemadrid.org ")</f>
        <v xml:space="preserve">gs.tallac@scoutsdemadrid.org </v>
      </c>
      <c r="F171" s="48">
        <f ca="1">IFERROR(__xludf.DUMMYFUNCTION("""COMPUTED_VALUE"""),42186)</f>
        <v>42186</v>
      </c>
      <c r="G171" s="48">
        <f ca="1">IFERROR(__xludf.DUMMYFUNCTION("""COMPUTED_VALUE"""),42200)</f>
        <v>42200</v>
      </c>
      <c r="H171" s="36" t="str">
        <f ca="1">IFERROR(__xludf.DUMMYFUNCTION("""COMPUTED_VALUE"""),"Aras De Los Olmos")</f>
        <v>Aras De Los Olmos</v>
      </c>
      <c r="I171" s="36" t="str">
        <f ca="1">IFERROR(__xludf.DUMMYFUNCTION("""COMPUTED_VALUE"""),"Los Rubiales")</f>
        <v>Los Rubiales</v>
      </c>
      <c r="J171" s="36" t="str">
        <f ca="1">IFERROR(__xludf.DUMMYFUNCTION("""COMPUTED_VALUE"""),"")</f>
        <v/>
      </c>
      <c r="K171" s="36" t="str">
        <f ca="1">IFERROR(__xludf.DUMMYFUNCTION("""COMPUTED_VALUE"""),"")</f>
        <v/>
      </c>
      <c r="L171" s="36" t="str">
        <f ca="1">IFERROR(__xludf.DUMMYFUNCTION("""COMPUTED_VALUE"""),"")</f>
        <v/>
      </c>
      <c r="M171" s="36" t="str">
        <f ca="1">IFERROR(__xludf.DUMMYFUNCTION("""COMPUTED_VALUE"""),"")</f>
        <v/>
      </c>
      <c r="N171" s="36" t="str">
        <f ca="1">IFERROR(__xludf.DUMMYFUNCTION("""COMPUTED_VALUE"""),"")</f>
        <v/>
      </c>
      <c r="O171" s="36" t="str">
        <f ca="1">IFERROR(__xludf.DUMMYFUNCTION("""COMPUTED_VALUE"""),"")</f>
        <v/>
      </c>
      <c r="P171" s="36" t="str">
        <f ca="1">IFERROR(__xludf.DUMMYFUNCTION("""COMPUTED_VALUE"""),"")</f>
        <v/>
      </c>
      <c r="Q171" s="36" t="str">
        <f ca="1">IFERROR(__xludf.DUMMYFUNCTION("""COMPUTED_VALUE"""),"")</f>
        <v/>
      </c>
      <c r="R171" s="36" t="str">
        <f ca="1">IFERROR(__xludf.DUMMYFUNCTION("""COMPUTED_VALUE"""),"")</f>
        <v/>
      </c>
      <c r="S171" s="36" t="str">
        <f ca="1">IFERROR(__xludf.DUMMYFUNCTION("""COMPUTED_VALUE"""),"")</f>
        <v/>
      </c>
      <c r="T171" s="36" t="str">
        <f ca="1">IFERROR(__xludf.DUMMYFUNCTION("""COMPUTED_VALUE"""),"")</f>
        <v/>
      </c>
      <c r="U171" s="36" t="str">
        <f ca="1">IFERROR(__xludf.DUMMYFUNCTION("""COMPUTED_VALUE"""),"")</f>
        <v/>
      </c>
      <c r="V171" s="36" t="str">
        <f ca="1">IFERROR(__xludf.DUMMYFUNCTION("""COMPUTED_VALUE"""),"")</f>
        <v/>
      </c>
      <c r="W171" s="36" t="str">
        <f ca="1">IFERROR(__xludf.DUMMYFUNCTION("""COMPUTED_VALUE"""),"")</f>
        <v/>
      </c>
      <c r="X171" s="36"/>
      <c r="Y171" s="36"/>
      <c r="Z171" s="36"/>
    </row>
    <row r="172" spans="1:26" ht="12.75" hidden="1">
      <c r="A172" s="36" t="str">
        <f ca="1">IFERROR(__xludf.DUMMYFUNCTION("""COMPUTED_VALUE"""),"Fuera de España")</f>
        <v>Fuera de España</v>
      </c>
      <c r="B172" s="36" t="str">
        <f ca="1">IFERROR(__xludf.DUMMYFUNCTION("""COMPUTED_VALUE"""),"Portugal")</f>
        <v>Portugal</v>
      </c>
      <c r="C172" s="36">
        <f ca="1">IFERROR(__xludf.DUMMYFUNCTION("""COMPUTED_VALUE"""),2016)</f>
        <v>2016</v>
      </c>
      <c r="D172" s="36" t="str">
        <f ca="1">IFERROR(__xludf.DUMMYFUNCTION("""COMPUTED_VALUE"""),"Adhara")</f>
        <v>Adhara</v>
      </c>
      <c r="E172" s="36" t="str">
        <f ca="1">IFERROR(__xludf.DUMMYFUNCTION("""COMPUTED_VALUE"""),"gs.adhara@scoutsdemadrid.org ")</f>
        <v xml:space="preserve">gs.adhara@scoutsdemadrid.org </v>
      </c>
      <c r="F172" s="48">
        <f ca="1">IFERROR(__xludf.DUMMYFUNCTION("""COMPUTED_VALUE"""),42567)</f>
        <v>42567</v>
      </c>
      <c r="G172" s="48">
        <f ca="1">IFERROR(__xludf.DUMMYFUNCTION("""COMPUTED_VALUE"""),42581)</f>
        <v>42581</v>
      </c>
      <c r="H172" s="36" t="str">
        <f ca="1">IFERROR(__xludf.DUMMYFUNCTION("""COMPUTED_VALUE""")," São Jacinto")</f>
        <v xml:space="preserve"> São Jacinto</v>
      </c>
      <c r="I172" s="36" t="str">
        <f ca="1">IFERROR(__xludf.DUMMYFUNCTION("""COMPUTED_VALUE"""),"")</f>
        <v/>
      </c>
      <c r="J172" s="36" t="str">
        <f ca="1">IFERROR(__xludf.DUMMYFUNCTION("""COMPUTED_VALUE"""),"")</f>
        <v/>
      </c>
      <c r="K172" s="36" t="str">
        <f ca="1">IFERROR(__xludf.DUMMYFUNCTION("""COMPUTED_VALUE"""),"")</f>
        <v/>
      </c>
      <c r="L172" s="36" t="str">
        <f ca="1">IFERROR(__xludf.DUMMYFUNCTION("""COMPUTED_VALUE"""),"Centro Nacional de Formaçao Ambiental Sao Jacinto (National Environmental Training Centre)")</f>
        <v>Centro Nacional de Formaçao Ambiental Sao Jacinto (National Environmental Training Centre)</v>
      </c>
      <c r="M172" s="36" t="str">
        <f ca="1">IFERROR(__xludf.DUMMYFUNCTION("""COMPUTED_VALUE"""),"")</f>
        <v/>
      </c>
      <c r="N172" s="36" t="str">
        <f ca="1">IFERROR(__xludf.DUMMYFUNCTION("""COMPUTED_VALUE"""),"")</f>
        <v/>
      </c>
      <c r="O172" s="36" t="str">
        <f ca="1">IFERROR(__xludf.DUMMYFUNCTION("""COMPUTED_VALUE"""),"")</f>
        <v/>
      </c>
      <c r="P172" s="36" t="str">
        <f ca="1">IFERROR(__xludf.DUMMYFUNCTION("""COMPUTED_VALUE"""),"")</f>
        <v/>
      </c>
      <c r="Q172" s="36" t="str">
        <f ca="1">IFERROR(__xludf.DUMMYFUNCTION("""COMPUTED_VALUE"""),"BUENO (Se puede acceder con cualquier coche)")</f>
        <v>BUENO (Se puede acceder con cualquier coche)</v>
      </c>
      <c r="R172" s="36" t="str">
        <f ca="1">IFERROR(__xludf.DUMMYFUNCTION("""COMPUTED_VALUE"""),"Sí")</f>
        <v>Sí</v>
      </c>
      <c r="S172" s="36" t="str">
        <f ca="1">IFERROR(__xludf.DUMMYFUNCTION("""COMPUTED_VALUE"""),"50 metros")</f>
        <v>50 metros</v>
      </c>
      <c r="T172" s="36" t="str">
        <f ca="1">IFERROR(__xludf.DUMMYFUNCTION("""COMPUTED_VALUE"""),"")</f>
        <v/>
      </c>
      <c r="U172" s="36" t="str">
        <f ca="1">IFERROR(__xludf.DUMMYFUNCTION("""COMPUTED_VALUE"""),"Cocina, baños, sala talleres")</f>
        <v>Cocina, baños, sala talleres</v>
      </c>
      <c r="V172" s="36" t="str">
        <f ca="1">IFERROR(__xludf.DUMMYFUNCTION("""COMPUTED_VALUE"""),"Nos la dan ellos")</f>
        <v>Nos la dan ellos</v>
      </c>
      <c r="W172" s="36" t="str">
        <f ca="1">IFERROR(__xludf.DUMMYFUNCTION("""COMPUTED_VALUE"""),"")</f>
        <v/>
      </c>
      <c r="X172" s="36"/>
      <c r="Y172" s="36"/>
      <c r="Z172" s="36"/>
    </row>
    <row r="173" spans="1:26" ht="12.75" hidden="1">
      <c r="A173" s="36" t="str">
        <f ca="1">IFERROR(__xludf.DUMMYFUNCTION("""COMPUTED_VALUE"""),"Fuera de España")</f>
        <v>Fuera de España</v>
      </c>
      <c r="B173" s="36" t="str">
        <f ca="1">IFERROR(__xludf.DUMMYFUNCTION("""COMPUTED_VALUE"""),"Portugal")</f>
        <v>Portugal</v>
      </c>
      <c r="C173" s="36">
        <f ca="1">IFERROR(__xludf.DUMMYFUNCTION("""COMPUTED_VALUE"""),2017)</f>
        <v>2017</v>
      </c>
      <c r="D173" s="36" t="str">
        <f ca="1">IFERROR(__xludf.DUMMYFUNCTION("""COMPUTED_VALUE"""),"Agrupación Ruta")</f>
        <v>Agrupación Ruta</v>
      </c>
      <c r="E173" s="36" t="str">
        <f ca="1">IFERROR(__xludf.DUMMYFUNCTION("""COMPUTED_VALUE"""),"gs.agrupaci@scoutsdemadrid.org ")</f>
        <v xml:space="preserve">gs.agrupaci@scoutsdemadrid.org </v>
      </c>
      <c r="F173" s="48">
        <f ca="1">IFERROR(__xludf.DUMMYFUNCTION("""COMPUTED_VALUE"""),42979)</f>
        <v>42979</v>
      </c>
      <c r="G173" s="48">
        <f ca="1">IFERROR(__xludf.DUMMYFUNCTION("""COMPUTED_VALUE"""),42988)</f>
        <v>42988</v>
      </c>
      <c r="H173" s="36" t="str">
        <f ca="1">IFERROR(__xludf.DUMMYFUNCTION("""COMPUTED_VALUE"""),"Camino De Santiago: Oporto, Santiago")</f>
        <v>Camino De Santiago: Oporto, Santiago</v>
      </c>
      <c r="I173" s="36" t="str">
        <f ca="1">IFERROR(__xludf.DUMMYFUNCTION("""COMPUTED_VALUE"""),"")</f>
        <v/>
      </c>
      <c r="J173" s="36" t="str">
        <f ca="1">IFERROR(__xludf.DUMMYFUNCTION("""COMPUTED_VALUE"""),"")</f>
        <v/>
      </c>
      <c r="K173" s="36" t="str">
        <f ca="1">IFERROR(__xludf.DUMMYFUNCTION("""COMPUTED_VALUE"""),"")</f>
        <v/>
      </c>
      <c r="L173" s="36" t="str">
        <f ca="1">IFERROR(__xludf.DUMMYFUNCTION("""COMPUTED_VALUE"""),"Campamento itinerante, no hay persona propietaria ")</f>
        <v xml:space="preserve">Campamento itinerante, no hay persona propietaria </v>
      </c>
      <c r="M173" s="36" t="str">
        <f ca="1">IFERROR(__xludf.DUMMYFUNCTION("""COMPUTED_VALUE"""),"")</f>
        <v/>
      </c>
      <c r="N173" s="36" t="str">
        <f ca="1">IFERROR(__xludf.DUMMYFUNCTION("""COMPUTED_VALUE"""),"")</f>
        <v/>
      </c>
      <c r="O173" s="36" t="str">
        <f ca="1">IFERROR(__xludf.DUMMYFUNCTION("""COMPUTED_VALUE"""),"")</f>
        <v/>
      </c>
      <c r="P173" s="36" t="str">
        <f ca="1">IFERROR(__xludf.DUMMYFUNCTION("""COMPUTED_VALUE"""),"")</f>
        <v/>
      </c>
      <c r="Q173" s="36" t="str">
        <f ca="1">IFERROR(__xludf.DUMMYFUNCTION("""COMPUTED_VALUE"""),"")</f>
        <v/>
      </c>
      <c r="R173" s="36" t="str">
        <f ca="1">IFERROR(__xludf.DUMMYFUNCTION("""COMPUTED_VALUE"""),"")</f>
        <v/>
      </c>
      <c r="S173" s="36" t="str">
        <f ca="1">IFERROR(__xludf.DUMMYFUNCTION("""COMPUTED_VALUE"""),"")</f>
        <v/>
      </c>
      <c r="T173" s="36" t="str">
        <f ca="1">IFERROR(__xludf.DUMMYFUNCTION("""COMPUTED_VALUE"""),"")</f>
        <v/>
      </c>
      <c r="U173" s="36" t="str">
        <f ca="1">IFERROR(__xludf.DUMMYFUNCTION("""COMPUTED_VALUE"""),"")</f>
        <v/>
      </c>
      <c r="V173" s="36" t="str">
        <f ca="1">IFERROR(__xludf.DUMMYFUNCTION("""COMPUTED_VALUE"""),"")</f>
        <v/>
      </c>
      <c r="W173" s="36" t="str">
        <f ca="1">IFERROR(__xludf.DUMMYFUNCTION("""COMPUTED_VALUE"""),"")</f>
        <v/>
      </c>
      <c r="X173" s="36"/>
      <c r="Y173" s="36"/>
      <c r="Z173" s="36"/>
    </row>
    <row r="174" spans="1:26" ht="12.75" hidden="1">
      <c r="A174" s="36" t="str">
        <f ca="1">IFERROR(__xludf.DUMMYFUNCTION("""COMPUTED_VALUE"""),"Fuera de España")</f>
        <v>Fuera de España</v>
      </c>
      <c r="B174" s="36" t="str">
        <f ca="1">IFERROR(__xludf.DUMMYFUNCTION("""COMPUTED_VALUE"""),"Portugal")</f>
        <v>Portugal</v>
      </c>
      <c r="C174" s="36">
        <f ca="1">IFERROR(__xludf.DUMMYFUNCTION("""COMPUTED_VALUE"""),2016)</f>
        <v>2016</v>
      </c>
      <c r="D174" s="36" t="str">
        <f ca="1">IFERROR(__xludf.DUMMYFUNCTION("""COMPUTED_VALUE"""),"Encuentro")</f>
        <v>Encuentro</v>
      </c>
      <c r="E174" s="36" t="str">
        <f ca="1">IFERROR(__xludf.DUMMYFUNCTION("""COMPUTED_VALUE"""),"gs.encuentro@scoutsdemadrid.org ")</f>
        <v xml:space="preserve">gs.encuentro@scoutsdemadrid.org </v>
      </c>
      <c r="F174" s="48">
        <f ca="1">IFERROR(__xludf.DUMMYFUNCTION("""COMPUTED_VALUE"""),42548)</f>
        <v>42548</v>
      </c>
      <c r="G174" s="48">
        <f ca="1">IFERROR(__xludf.DUMMYFUNCTION("""COMPUTED_VALUE"""),42561)</f>
        <v>42561</v>
      </c>
      <c r="H174" s="36" t="str">
        <f ca="1">IFERROR(__xludf.DUMMYFUNCTION("""COMPUTED_VALUE"""),"Torreira - Aveiro")</f>
        <v>Torreira - Aveiro</v>
      </c>
      <c r="I174" s="36" t="str">
        <f ca="1">IFERROR(__xludf.DUMMYFUNCTION("""COMPUTED_VALUE"""),"Instalaciones del Agrupamento 824 - Nossa Senhora do Bom Sucesso Torreira")</f>
        <v>Instalaciones del Agrupamento 824 - Nossa Senhora do Bom Sucesso Torreira</v>
      </c>
      <c r="J174" s="36" t="str">
        <f ca="1">IFERROR(__xludf.DUMMYFUNCTION("""COMPUTED_VALUE"""),"-")</f>
        <v>-</v>
      </c>
      <c r="K174" s="36" t="str">
        <f ca="1">IFERROR(__xludf.DUMMYFUNCTION("""COMPUTED_VALUE"""),"40.776703, -8.692361")</f>
        <v>40.776703, -8.692361</v>
      </c>
      <c r="L174" s="36" t="str">
        <f ca="1">IFERROR(__xludf.DUMMYFUNCTION("""COMPUTED_VALUE"""),"João Pilré (coordinador del grupo)")</f>
        <v>João Pilré (coordinador del grupo)</v>
      </c>
      <c r="M174" s="36">
        <f ca="1">IFERROR(__xludf.DUMMYFUNCTION("""COMPUTED_VALUE"""),351925114783)</f>
        <v>351925114783</v>
      </c>
      <c r="N174" s="36" t="str">
        <f ca="1">IFERROR(__xludf.DUMMYFUNCTION("""COMPUTED_VALUE"""),"-")</f>
        <v>-</v>
      </c>
      <c r="O174" s="36" t="str">
        <f ca="1">IFERROR(__xludf.DUMMYFUNCTION("""COMPUTED_VALUE"""),"-")</f>
        <v>-</v>
      </c>
      <c r="P174" s="36" t="str">
        <f ca="1">IFERROR(__xludf.DUMMYFUNCTION("""COMPUTED_VALUE"""),"1 ha albergue, 20 ha alrededor")</f>
        <v>1 ha albergue, 20 ha alrededor</v>
      </c>
      <c r="Q174" s="36" t="str">
        <f ca="1">IFERROR(__xludf.DUMMYFUNCTION("""COMPUTED_VALUE"""),"BUENO (Se puede acceder con cualquier coche)")</f>
        <v>BUENO (Se puede acceder con cualquier coche)</v>
      </c>
      <c r="R174" s="36" t="str">
        <f ca="1">IFERROR(__xludf.DUMMYFUNCTION("""COMPUTED_VALUE"""),"Sí")</f>
        <v>Sí</v>
      </c>
      <c r="S174" s="36" t="str">
        <f ca="1">IFERROR(__xludf.DUMMYFUNCTION("""COMPUTED_VALUE"""),"20m2")</f>
        <v>20m2</v>
      </c>
      <c r="T174" s="36" t="str">
        <f ca="1">IFERROR(__xludf.DUMMYFUNCTION("""COMPUTED_VALUE"""),"Baños con wc y duchas, son instalaciones")</f>
        <v>Baños con wc y duchas, son instalaciones</v>
      </c>
      <c r="U174" s="36" t="str">
        <f ca="1">IFERROR(__xludf.DUMMYFUNCTION("""COMPUTED_VALUE"""),"Sí, baños, cocina y albergue")</f>
        <v>Sí, baños, cocina y albergue</v>
      </c>
      <c r="V174" s="36" t="str">
        <f ca="1">IFERROR(__xludf.DUMMYFUNCTION("""COMPUTED_VALUE"""),"Sí")</f>
        <v>Sí</v>
      </c>
      <c r="W174" s="36" t="str">
        <f ca="1">IFERROR(__xludf.DUMMYFUNCTION("""COMPUTED_VALUE"""),"En general el albergue está muy bien, la zona donde pueden ir las tiendas es pequeña (dentro del recinto del albergue) pero alrededor es todo campo.")</f>
        <v>En general el albergue está muy bien, la zona donde pueden ir las tiendas es pequeña (dentro del recinto del albergue) pero alrededor es todo campo.</v>
      </c>
      <c r="X174" s="36"/>
      <c r="Y174" s="36"/>
      <c r="Z174" s="36"/>
    </row>
    <row r="175" spans="1:26" ht="12.75" hidden="1">
      <c r="A175" s="36" t="str">
        <f ca="1">IFERROR(__xludf.DUMMYFUNCTION("""COMPUTED_VALUE"""),"Fuera de España")</f>
        <v>Fuera de España</v>
      </c>
      <c r="B175" s="36" t="str">
        <f ca="1">IFERROR(__xludf.DUMMYFUNCTION("""COMPUTED_VALUE"""),"Portugal")</f>
        <v>Portugal</v>
      </c>
      <c r="C175" s="36">
        <f ca="1">IFERROR(__xludf.DUMMYFUNCTION("""COMPUTED_VALUE"""),2016)</f>
        <v>2016</v>
      </c>
      <c r="D175" s="36" t="str">
        <f ca="1">IFERROR(__xludf.DUMMYFUNCTION("""COMPUTED_VALUE"""),"Santa Ana San Rafael")</f>
        <v>Santa Ana San Rafael</v>
      </c>
      <c r="E175" s="36" t="str">
        <f ca="1">IFERROR(__xludf.DUMMYFUNCTION("""COMPUTED_VALUE"""),"gs.santanaysanrafael@scoutsdemadrid.org ")</f>
        <v xml:space="preserve">gs.santanaysanrafael@scoutsdemadrid.org </v>
      </c>
      <c r="F175" s="48">
        <f ca="1">IFERROR(__xludf.DUMMYFUNCTION("""COMPUTED_VALUE"""),42564)</f>
        <v>42564</v>
      </c>
      <c r="G175" s="48">
        <f ca="1">IFERROR(__xludf.DUMMYFUNCTION("""COMPUTED_VALUE"""),42581)</f>
        <v>42581</v>
      </c>
      <c r="H175" s="36" t="str">
        <f ca="1">IFERROR(__xludf.DUMMYFUNCTION("""COMPUTED_VALUE"""),"Sanguinhedo De Maças, Lordosa, Viseu")</f>
        <v>Sanguinhedo De Maças, Lordosa, Viseu</v>
      </c>
      <c r="I175" s="36" t="str">
        <f ca="1">IFERROR(__xludf.DUMMYFUNCTION("""COMPUTED_VALUE"""),"Pinhal junto au rio Vouge")</f>
        <v>Pinhal junto au rio Vouge</v>
      </c>
      <c r="J175" s="36" t="str">
        <f ca="1">IFERROR(__xludf.DUMMYFUNCTION("""COMPUTED_VALUE"""),"")</f>
        <v/>
      </c>
      <c r="K175" s="36" t="str">
        <f ca="1">IFERROR(__xludf.DUMMYFUNCTION("""COMPUTED_VALUE"""),"")</f>
        <v/>
      </c>
      <c r="L175" s="36" t="str">
        <f ca="1">IFERROR(__xludf.DUMMYFUNCTION("""COMPUTED_VALUE"""),"Artur Osório")</f>
        <v>Artur Osório</v>
      </c>
      <c r="M175" s="36" t="str">
        <f ca="1">IFERROR(__xludf.DUMMYFUNCTION("""COMPUTED_VALUE"""),"")</f>
        <v/>
      </c>
      <c r="N175" s="36" t="str">
        <f ca="1">IFERROR(__xludf.DUMMYFUNCTION("""COMPUTED_VALUE"""),"")</f>
        <v/>
      </c>
      <c r="O175" s="36" t="str">
        <f ca="1">IFERROR(__xludf.DUMMYFUNCTION("""COMPUTED_VALUE"""),"")</f>
        <v/>
      </c>
      <c r="P175" s="36" t="str">
        <f ca="1">IFERROR(__xludf.DUMMYFUNCTION("""COMPUTED_VALUE"""),"")</f>
        <v/>
      </c>
      <c r="Q175" s="36" t="str">
        <f ca="1">IFERROR(__xludf.DUMMYFUNCTION("""COMPUTED_VALUE"""),"REGULAR (Se puede acceder con un coche normal con dificultad)")</f>
        <v>REGULAR (Se puede acceder con un coche normal con dificultad)</v>
      </c>
      <c r="R175" s="36" t="str">
        <f ca="1">IFERROR(__xludf.DUMMYFUNCTION("""COMPUTED_VALUE"""),"Sí")</f>
        <v>Sí</v>
      </c>
      <c r="S175" s="36" t="str">
        <f ca="1">IFERROR(__xludf.DUMMYFUNCTION("""COMPUTED_VALUE"""),"8 metros")</f>
        <v>8 metros</v>
      </c>
      <c r="T175" s="36" t="str">
        <f ca="1">IFERROR(__xludf.DUMMYFUNCTION("""COMPUTED_VALUE"""),"Tenemos un río al lado  a una altura inferior, es fácil acceder a él dando un rodeo por la zona.")</f>
        <v>Tenemos un río al lado  a una altura inferior, es fácil acceder a él dando un rodeo por la zona.</v>
      </c>
      <c r="U175" s="36" t="str">
        <f ca="1">IFERROR(__xludf.DUMMYFUNCTION("""COMPUTED_VALUE"""),"No")</f>
        <v>No</v>
      </c>
      <c r="V175" s="36" t="str">
        <f ca="1">IFERROR(__xludf.DUMMYFUNCTION("""COMPUTED_VALUE"""),"Si")</f>
        <v>Si</v>
      </c>
      <c r="W175" s="36" t="str">
        <f ca="1">IFERROR(__xludf.DUMMYFUNCTION("""COMPUTED_VALUE"""),"Hubo un incendio hace unos años y se cargó muchos árboles y dejo el suelo muy sucio.")</f>
        <v>Hubo un incendio hace unos años y se cargó muchos árboles y dejo el suelo muy sucio.</v>
      </c>
      <c r="X175" s="36"/>
      <c r="Y175" s="36"/>
      <c r="Z175" s="36"/>
    </row>
    <row r="176" spans="1:26" ht="12.75" hidden="1">
      <c r="A176" s="36" t="str">
        <f ca="1">IFERROR(__xludf.DUMMYFUNCTION("""COMPUTED_VALUE"""),"Fuera de España")</f>
        <v>Fuera de España</v>
      </c>
      <c r="B176" s="36" t="str">
        <f ca="1">IFERROR(__xludf.DUMMYFUNCTION("""COMPUTED_VALUE"""),"Portugal")</f>
        <v>Portugal</v>
      </c>
      <c r="C176" s="36">
        <f ca="1">IFERROR(__xludf.DUMMYFUNCTION("""COMPUTED_VALUE"""),2017)</f>
        <v>2017</v>
      </c>
      <c r="D176" s="36" t="str">
        <f ca="1">IFERROR(__xludf.DUMMYFUNCTION("""COMPUTED_VALUE"""),"Tallac")</f>
        <v>Tallac</v>
      </c>
      <c r="E176" s="36" t="str">
        <f ca="1">IFERROR(__xludf.DUMMYFUNCTION("""COMPUTED_VALUE"""),"gs.tallac@scoutsdemadrid.org ")</f>
        <v xml:space="preserve">gs.tallac@scoutsdemadrid.org </v>
      </c>
      <c r="F176" s="48">
        <f ca="1">IFERROR(__xludf.DUMMYFUNCTION("""COMPUTED_VALUE"""),42917)</f>
        <v>42917</v>
      </c>
      <c r="G176" s="48">
        <f ca="1">IFERROR(__xludf.DUMMYFUNCTION("""COMPUTED_VALUE"""),42931)</f>
        <v>42931</v>
      </c>
      <c r="H176" s="36" t="str">
        <f ca="1">IFERROR(__xludf.DUMMYFUNCTION("""COMPUTED_VALUE"""),"Sao Jacinto")</f>
        <v>Sao Jacinto</v>
      </c>
      <c r="I176" s="36" t="str">
        <f ca="1">IFERROR(__xludf.DUMMYFUNCTION("""COMPUTED_VALUE"""),"Centro Nacional de Formacion Ambiental Sao Jacinto")</f>
        <v>Centro Nacional de Formacion Ambiental Sao Jacinto</v>
      </c>
      <c r="J176" s="36" t="str">
        <f ca="1">IFERROR(__xludf.DUMMYFUNCTION("""COMPUTED_VALUE"""),"")</f>
        <v/>
      </c>
      <c r="K176" s="36" t="str">
        <f ca="1">IFERROR(__xludf.DUMMYFUNCTION("""COMPUTED_VALUE"""),"")</f>
        <v/>
      </c>
      <c r="L176" s="36" t="str">
        <f ca="1">IFERROR(__xludf.DUMMYFUNCTION("""COMPUTED_VALUE"""),"Jose Carlos Santos ")</f>
        <v xml:space="preserve">Jose Carlos Santos </v>
      </c>
      <c r="M176" s="36" t="str">
        <f ca="1">IFERROR(__xludf.DUMMYFUNCTION("""COMPUTED_VALUE"""),"")</f>
        <v/>
      </c>
      <c r="N176" s="36" t="str">
        <f ca="1">IFERROR(__xludf.DUMMYFUNCTION("""COMPUTED_VALUE"""),"")</f>
        <v/>
      </c>
      <c r="O176" s="36" t="str">
        <f ca="1">IFERROR(__xludf.DUMMYFUNCTION("""COMPUTED_VALUE"""),"")</f>
        <v/>
      </c>
      <c r="P176" s="36" t="str">
        <f ca="1">IFERROR(__xludf.DUMMYFUNCTION("""COMPUTED_VALUE"""),"")</f>
        <v/>
      </c>
      <c r="Q176" s="36" t="str">
        <f ca="1">IFERROR(__xludf.DUMMYFUNCTION("""COMPUTED_VALUE"""),"BUENO (Se puede acceder con cualquier coche)")</f>
        <v>BUENO (Se puede acceder con cualquier coche)</v>
      </c>
      <c r="R176" s="36" t="str">
        <f ca="1">IFERROR(__xludf.DUMMYFUNCTION("""COMPUTED_VALUE"""),"Sí")</f>
        <v>Sí</v>
      </c>
      <c r="S176" s="36" t="str">
        <f ca="1">IFERROR(__xludf.DUMMYFUNCTION("""COMPUTED_VALUE"""),"100 metros")</f>
        <v>100 metros</v>
      </c>
      <c r="T176" s="36" t="str">
        <f ca="1">IFERROR(__xludf.DUMMYFUNCTION("""COMPUTED_VALUE"""),"Oceáno ")</f>
        <v xml:space="preserve">Oceáno </v>
      </c>
      <c r="U176" s="36" t="str">
        <f ca="1">IFERROR(__xludf.DUMMYFUNCTION("""COMPUTED_VALUE"""),"Baño, cocina y comedor")</f>
        <v>Baño, cocina y comedor</v>
      </c>
      <c r="V176" s="36" t="str">
        <f ca="1">IFERROR(__xludf.DUMMYFUNCTION("""COMPUTED_VALUE"""),"")</f>
        <v/>
      </c>
      <c r="W176" s="36" t="str">
        <f ca="1">IFERROR(__xludf.DUMMYFUNCTION("""COMPUTED_VALUE"""),"")</f>
        <v/>
      </c>
      <c r="X176" s="36"/>
      <c r="Y176" s="36"/>
      <c r="Z176" s="36"/>
    </row>
    <row r="177" spans="1:26" ht="12.75" hidden="1">
      <c r="A177" s="36" t="str">
        <f ca="1">IFERROR(__xludf.DUMMYFUNCTION("""COMPUTED_VALUE"""),"Fuera de España")</f>
        <v>Fuera de España</v>
      </c>
      <c r="B177" s="36" t="str">
        <f ca="1">IFERROR(__xludf.DUMMYFUNCTION("""COMPUTED_VALUE"""),"Portugal")</f>
        <v>Portugal</v>
      </c>
      <c r="C177" s="36">
        <f ca="1">IFERROR(__xludf.DUMMYFUNCTION("""COMPUTED_VALUE"""),2016)</f>
        <v>2016</v>
      </c>
      <c r="D177" s="36" t="str">
        <f ca="1">IFERROR(__xludf.DUMMYFUNCTION("""COMPUTED_VALUE"""),"Vedruna")</f>
        <v>Vedruna</v>
      </c>
      <c r="E177" s="36" t="str">
        <f ca="1">IFERROR(__xludf.DUMMYFUNCTION("""COMPUTED_VALUE"""),"gs.verdruna@scoutsdemadrid.org ")</f>
        <v xml:space="preserve">gs.verdruna@scoutsdemadrid.org </v>
      </c>
      <c r="F177" s="48">
        <f ca="1">IFERROR(__xludf.DUMMYFUNCTION("""COMPUTED_VALUE"""),42567)</f>
        <v>42567</v>
      </c>
      <c r="G177" s="48">
        <f ca="1">IFERROR(__xludf.DUMMYFUNCTION("""COMPUTED_VALUE"""),42581)</f>
        <v>42581</v>
      </c>
      <c r="H177" s="36" t="str">
        <f ca="1">IFERROR(__xludf.DUMMYFUNCTION("""COMPUTED_VALUE"""),"Costa De Caparica")</f>
        <v>Costa De Caparica</v>
      </c>
      <c r="I177" s="36" t="str">
        <f ca="1">IFERROR(__xludf.DUMMYFUNCTION("""COMPUTED_VALUE"""),"PNEC")</f>
        <v>PNEC</v>
      </c>
      <c r="J177" s="36" t="str">
        <f ca="1">IFERROR(__xludf.DUMMYFUNCTION("""COMPUTED_VALUE"""),"")</f>
        <v/>
      </c>
      <c r="K177" s="36" t="str">
        <f ca="1">IFERROR(__xludf.DUMMYFUNCTION("""COMPUTED_VALUE"""),"38º39'1.00ºN 9º14'23.00ºW")</f>
        <v>38º39'1.00ºN 9º14'23.00ºW</v>
      </c>
      <c r="L177" s="36" t="str">
        <f ca="1">IFERROR(__xludf.DUMMYFUNCTION("""COMPUTED_VALUE"""),"Escoteiros de Portugal")</f>
        <v>Escoteiros de Portugal</v>
      </c>
      <c r="M177" s="36" t="str">
        <f ca="1">IFERROR(__xludf.DUMMYFUNCTION("""COMPUTED_VALUE"""),"00351 21 363 93 39")</f>
        <v>00351 21 363 93 39</v>
      </c>
      <c r="N177" s="36" t="str">
        <f ca="1">IFERROR(__xludf.DUMMYFUNCTION("""COMPUTED_VALUE"""),"geral@escoteiros.pt")</f>
        <v>geral@escoteiros.pt</v>
      </c>
      <c r="O177" s="36" t="str">
        <f ca="1">IFERROR(__xludf.DUMMYFUNCTION("""COMPUTED_VALUE"""),"3€ pers./día")</f>
        <v>3€ pers./día</v>
      </c>
      <c r="P177" s="36" t="str">
        <f ca="1">IFERROR(__xludf.DUMMYFUNCTION("""COMPUTED_VALUE"""),"")</f>
        <v/>
      </c>
      <c r="Q177" s="36" t="str">
        <f ca="1">IFERROR(__xludf.DUMMYFUNCTION("""COMPUTED_VALUE"""),"BUENO (Se puede acceder con cualquier coche)")</f>
        <v>BUENO (Se puede acceder con cualquier coche)</v>
      </c>
      <c r="R177" s="36" t="str">
        <f ca="1">IFERROR(__xludf.DUMMYFUNCTION("""COMPUTED_VALUE"""),"Sí")</f>
        <v>Sí</v>
      </c>
      <c r="S177" s="36" t="str">
        <f ca="1">IFERROR(__xludf.DUMMYFUNCTION("""COMPUTED_VALUE"""),"150m")</f>
        <v>150m</v>
      </c>
      <c r="T177" s="36" t="str">
        <f ca="1">IFERROR(__xludf.DUMMYFUNCTION("""COMPUTED_VALUE"""),"Playa")</f>
        <v>Playa</v>
      </c>
      <c r="U177" s="36" t="str">
        <f ca="1">IFERROR(__xludf.DUMMYFUNCTION("""COMPUTED_VALUE"""),"Cocinas, comedores, baños, lavabos, zona para hacer fuego, dormitorios, salas, almacenes")</f>
        <v>Cocinas, comedores, baños, lavabos, zona para hacer fuego, dormitorios, salas, almacenes</v>
      </c>
      <c r="V177" s="36" t="str">
        <f ca="1">IFERROR(__xludf.DUMMYFUNCTION("""COMPUTED_VALUE"""),"El campamento proporciona madera para utilizar en las construcciones")</f>
        <v>El campamento proporciona madera para utilizar en las construcciones</v>
      </c>
      <c r="W177" s="36" t="str">
        <f ca="1">IFERROR(__xludf.DUMMYFUNCTION("""COMPUTED_VALUE"""),"Campa compartida. Tiene capacidad para 800 personas")</f>
        <v>Campa compartida. Tiene capacidad para 800 personas</v>
      </c>
      <c r="X177" s="36"/>
      <c r="Y177" s="36"/>
      <c r="Z177" s="36"/>
    </row>
    <row r="178" spans="1:26" ht="12.75" hidden="1">
      <c r="A178" s="36" t="str">
        <f ca="1">IFERROR(__xludf.DUMMYFUNCTION("""COMPUTED_VALUE"""),"Fuera de España")</f>
        <v>Fuera de España</v>
      </c>
      <c r="B178" s="36" t="str">
        <f ca="1">IFERROR(__xludf.DUMMYFUNCTION("""COMPUTED_VALUE"""),"Portugal")</f>
        <v>Portugal</v>
      </c>
      <c r="C178" s="36">
        <f ca="1">IFERROR(__xludf.DUMMYFUNCTION("""COMPUTED_VALUE"""),2015)</f>
        <v>2015</v>
      </c>
      <c r="D178" s="36" t="str">
        <f ca="1">IFERROR(__xludf.DUMMYFUNCTION("""COMPUTED_VALUE"""),"Annapurna")</f>
        <v>Annapurna</v>
      </c>
      <c r="E178" s="36" t="str">
        <f ca="1">IFERROR(__xludf.DUMMYFUNCTION("""COMPUTED_VALUE"""),"gs.anapurna@scoutsdemadrid.org ")</f>
        <v xml:space="preserve">gs.anapurna@scoutsdemadrid.org </v>
      </c>
      <c r="F178" s="48">
        <f ca="1">IFERROR(__xludf.DUMMYFUNCTION("""COMPUTED_VALUE"""),42200)</f>
        <v>42200</v>
      </c>
      <c r="G178" s="48">
        <f ca="1">IFERROR(__xludf.DUMMYFUNCTION("""COMPUTED_VALUE"""),42215)</f>
        <v>42215</v>
      </c>
      <c r="H178" s="36" t="str">
        <f ca="1">IFERROR(__xludf.DUMMYFUNCTION("""COMPUTED_VALUE"""),"Cantanede")</f>
        <v>Cantanede</v>
      </c>
      <c r="I178" s="36" t="str">
        <f ca="1">IFERROR(__xludf.DUMMYFUNCTION("""COMPUTED_VALUE"""),"Praia do Palheirao")</f>
        <v>Praia do Palheirao</v>
      </c>
      <c r="J178" s="36" t="str">
        <f ca="1">IFERROR(__xludf.DUMMYFUNCTION("""COMPUTED_VALUE"""),"")</f>
        <v/>
      </c>
      <c r="K178" s="36" t="str">
        <f ca="1">IFERROR(__xludf.DUMMYFUNCTION("""COMPUTED_VALUE"""),"")</f>
        <v/>
      </c>
      <c r="L178" s="36" t="str">
        <f ca="1">IFERROR(__xludf.DUMMYFUNCTION("""COMPUTED_VALUE"""),"")</f>
        <v/>
      </c>
      <c r="M178" s="36" t="str">
        <f ca="1">IFERROR(__xludf.DUMMYFUNCTION("""COMPUTED_VALUE"""),"")</f>
        <v/>
      </c>
      <c r="N178" s="36" t="str">
        <f ca="1">IFERROR(__xludf.DUMMYFUNCTION("""COMPUTED_VALUE"""),"")</f>
        <v/>
      </c>
      <c r="O178" s="36" t="str">
        <f ca="1">IFERROR(__xludf.DUMMYFUNCTION("""COMPUTED_VALUE"""),"")</f>
        <v/>
      </c>
      <c r="P178" s="36" t="str">
        <f ca="1">IFERROR(__xludf.DUMMYFUNCTION("""COMPUTED_VALUE"""),"")</f>
        <v/>
      </c>
      <c r="Q178" s="36" t="str">
        <f ca="1">IFERROR(__xludf.DUMMYFUNCTION("""COMPUTED_VALUE"""),"")</f>
        <v/>
      </c>
      <c r="R178" s="36" t="str">
        <f ca="1">IFERROR(__xludf.DUMMYFUNCTION("""COMPUTED_VALUE"""),"")</f>
        <v/>
      </c>
      <c r="S178" s="36" t="str">
        <f ca="1">IFERROR(__xludf.DUMMYFUNCTION("""COMPUTED_VALUE"""),"")</f>
        <v/>
      </c>
      <c r="T178" s="36" t="str">
        <f ca="1">IFERROR(__xludf.DUMMYFUNCTION("""COMPUTED_VALUE"""),"")</f>
        <v/>
      </c>
      <c r="U178" s="36" t="str">
        <f ca="1">IFERROR(__xludf.DUMMYFUNCTION("""COMPUTED_VALUE"""),"")</f>
        <v/>
      </c>
      <c r="V178" s="36" t="str">
        <f ca="1">IFERROR(__xludf.DUMMYFUNCTION("""COMPUTED_VALUE"""),"")</f>
        <v/>
      </c>
      <c r="W178" s="36" t="str">
        <f ca="1">IFERROR(__xludf.DUMMYFUNCTION("""COMPUTED_VALUE"""),"")</f>
        <v/>
      </c>
      <c r="X178" s="36"/>
      <c r="Y178" s="36"/>
      <c r="Z178" s="36"/>
    </row>
    <row r="179" spans="1:26" ht="12.75" hidden="1">
      <c r="A179" s="36" t="str">
        <f ca="1">IFERROR(__xludf.DUMMYFUNCTION("""COMPUTED_VALUE"""),"Fuera de España")</f>
        <v>Fuera de España</v>
      </c>
      <c r="B179" s="36" t="str">
        <f ca="1">IFERROR(__xludf.DUMMYFUNCTION("""COMPUTED_VALUE"""),"Portugal")</f>
        <v>Portugal</v>
      </c>
      <c r="C179" s="36">
        <f ca="1">IFERROR(__xludf.DUMMYFUNCTION("""COMPUTED_VALUE"""),2015)</f>
        <v>2015</v>
      </c>
      <c r="D179" s="36" t="str">
        <f ca="1">IFERROR(__xludf.DUMMYFUNCTION("""COMPUTED_VALUE"""),"Santa Ana Y San Rafael")</f>
        <v>Santa Ana Y San Rafael</v>
      </c>
      <c r="E179" s="36" t="str">
        <f ca="1">IFERROR(__xludf.DUMMYFUNCTION("""COMPUTED_VALUE"""),"gs.santanaysanrafael@scoutsdemadrid.org ")</f>
        <v xml:space="preserve">gs.santanaysanrafael@scoutsdemadrid.org </v>
      </c>
      <c r="F179" s="48">
        <f ca="1">IFERROR(__xludf.DUMMYFUNCTION("""COMPUTED_VALUE"""),42201)</f>
        <v>42201</v>
      </c>
      <c r="G179" s="48">
        <f ca="1">IFERROR(__xludf.DUMMYFUNCTION("""COMPUTED_VALUE"""),42215)</f>
        <v>42215</v>
      </c>
      <c r="H179" s="36" t="str">
        <f ca="1">IFERROR(__xludf.DUMMYFUNCTION("""COMPUTED_VALUE"""),"Viseu, Beira Alta")</f>
        <v>Viseu, Beira Alta</v>
      </c>
      <c r="I179" s="36" t="str">
        <f ca="1">IFERROR(__xludf.DUMMYFUNCTION("""COMPUTED_VALUE"""),"Sanguinhedo de Maças")</f>
        <v>Sanguinhedo de Maças</v>
      </c>
      <c r="J179" s="36" t="str">
        <f ca="1">IFERROR(__xludf.DUMMYFUNCTION("""COMPUTED_VALUE"""),"")</f>
        <v/>
      </c>
      <c r="K179" s="36" t="str">
        <f ca="1">IFERROR(__xludf.DUMMYFUNCTION("""COMPUTED_VALUE"""),"40º45’24.31”N   7º52’27.90”O")</f>
        <v>40º45’24.31”N   7º52’27.90”O</v>
      </c>
      <c r="L179" s="36" t="str">
        <f ca="1">IFERROR(__xludf.DUMMYFUNCTION("""COMPUTED_VALUE"""),"")</f>
        <v/>
      </c>
      <c r="M179" s="36" t="str">
        <f ca="1">IFERROR(__xludf.DUMMYFUNCTION("""COMPUTED_VALUE"""),"")</f>
        <v/>
      </c>
      <c r="N179" s="36" t="str">
        <f ca="1">IFERROR(__xludf.DUMMYFUNCTION("""COMPUTED_VALUE"""),"")</f>
        <v/>
      </c>
      <c r="O179" s="36" t="str">
        <f ca="1">IFERROR(__xludf.DUMMYFUNCTION("""COMPUTED_VALUE"""),"")</f>
        <v/>
      </c>
      <c r="P179" s="36" t="str">
        <f ca="1">IFERROR(__xludf.DUMMYFUNCTION("""COMPUTED_VALUE"""),"")</f>
        <v/>
      </c>
      <c r="Q179" s="36" t="str">
        <f ca="1">IFERROR(__xludf.DUMMYFUNCTION("""COMPUTED_VALUE"""),"")</f>
        <v/>
      </c>
      <c r="R179" s="36" t="str">
        <f ca="1">IFERROR(__xludf.DUMMYFUNCTION("""COMPUTED_VALUE"""),"")</f>
        <v/>
      </c>
      <c r="S179" s="36" t="str">
        <f ca="1">IFERROR(__xludf.DUMMYFUNCTION("""COMPUTED_VALUE"""),"")</f>
        <v/>
      </c>
      <c r="T179" s="36" t="str">
        <f ca="1">IFERROR(__xludf.DUMMYFUNCTION("""COMPUTED_VALUE"""),"")</f>
        <v/>
      </c>
      <c r="U179" s="36" t="str">
        <f ca="1">IFERROR(__xludf.DUMMYFUNCTION("""COMPUTED_VALUE"""),"")</f>
        <v/>
      </c>
      <c r="V179" s="36" t="str">
        <f ca="1">IFERROR(__xludf.DUMMYFUNCTION("""COMPUTED_VALUE"""),"")</f>
        <v/>
      </c>
      <c r="W179" s="36" t="str">
        <f ca="1">IFERROR(__xludf.DUMMYFUNCTION("""COMPUTED_VALUE"""),"")</f>
        <v/>
      </c>
      <c r="X179" s="36"/>
      <c r="Y179" s="36"/>
      <c r="Z179" s="36"/>
    </row>
    <row r="180" spans="1:26" ht="12.75" hidden="1">
      <c r="A180" s="36" t="str">
        <f ca="1">IFERROR(__xludf.DUMMYFUNCTION("""COMPUTED_VALUE"""),"Fuera de España")</f>
        <v>Fuera de España</v>
      </c>
      <c r="B180" s="36" t="str">
        <f ca="1">IFERROR(__xludf.DUMMYFUNCTION("""COMPUTED_VALUE"""),"Viseu")</f>
        <v>Viseu</v>
      </c>
      <c r="C180" s="36">
        <f ca="1">IFERROR(__xludf.DUMMYFUNCTION("""COMPUTED_VALUE"""),2018)</f>
        <v>2018</v>
      </c>
      <c r="D180" s="36" t="str">
        <f ca="1">IFERROR(__xludf.DUMMYFUNCTION("""COMPUTED_VALUE"""),"Queztal")</f>
        <v>Queztal</v>
      </c>
      <c r="E180" s="36" t="str">
        <f ca="1">IFERROR(__xludf.DUMMYFUNCTION("""COMPUTED_VALUE"""),"gs.queztal@scoutsdemadrid.org ")</f>
        <v xml:space="preserve">gs.queztal@scoutsdemadrid.org </v>
      </c>
      <c r="F180" s="48">
        <f ca="1">IFERROR(__xludf.DUMMYFUNCTION("""COMPUTED_VALUE"""),43302)</f>
        <v>43302</v>
      </c>
      <c r="G180" s="48">
        <f ca="1">IFERROR(__xludf.DUMMYFUNCTION("""COMPUTED_VALUE"""),43341)</f>
        <v>43341</v>
      </c>
      <c r="H180" s="36" t="str">
        <f ca="1">IFERROR(__xludf.DUMMYFUNCTION("""COMPUTED_VALUE"""),"Sanguinhedo Da Maças")</f>
        <v>Sanguinhedo Da Maças</v>
      </c>
      <c r="I180" s="36" t="str">
        <f ca="1">IFERROR(__xludf.DUMMYFUNCTION("""COMPUTED_VALUE"""),"Sanguinhedo Da Maças")</f>
        <v>Sanguinhedo Da Maças</v>
      </c>
      <c r="J180" s="36" t="str">
        <f ca="1">IFERROR(__xludf.DUMMYFUNCTION("""COMPUTED_VALUE"""),"xxx")</f>
        <v>xxx</v>
      </c>
      <c r="K180" s="36" t="str">
        <f ca="1">IFERROR(__xludf.DUMMYFUNCTION("""COMPUTED_VALUE"""),"N 40º 45.(161+A)  W 007º 52.(969+A)")</f>
        <v>N 40º 45.(161+A)  W 007º 52.(969+A)</v>
      </c>
      <c r="L180" s="36" t="str">
        <f ca="1">IFERROR(__xludf.DUMMYFUNCTION("""COMPUTED_VALUE"""),"Nuno Miguel Ferreira Silva")</f>
        <v>Nuno Miguel Ferreira Silva</v>
      </c>
      <c r="M180" s="36" t="str">
        <f ca="1">IFERROR(__xludf.DUMMYFUNCTION("""COMPUTED_VALUE"""),"+351 963 312 535")</f>
        <v>+351 963 312 535</v>
      </c>
      <c r="N180" s="36" t="str">
        <f ca="1">IFERROR(__xludf.DUMMYFUNCTION("""COMPUTED_VALUE"""),"no tiene")</f>
        <v>no tiene</v>
      </c>
      <c r="O180" s="36">
        <f ca="1">IFERROR(__xludf.DUMMYFUNCTION("""COMPUTED_VALUE"""),0)</f>
        <v>0</v>
      </c>
      <c r="P180" s="36" t="str">
        <f ca="1">IFERROR(__xludf.DUMMYFUNCTION("""COMPUTED_VALUE"""),"n/s")</f>
        <v>n/s</v>
      </c>
      <c r="Q180" s="36" t="str">
        <f ca="1">IFERROR(__xludf.DUMMYFUNCTION("""COMPUTED_VALUE"""),"BUENO (Se puede acceder con cualquier coche)")</f>
        <v>BUENO (Se puede acceder con cualquier coche)</v>
      </c>
      <c r="R180" s="36" t="str">
        <f ca="1">IFERROR(__xludf.DUMMYFUNCTION("""COMPUTED_VALUE"""),"Sí")</f>
        <v>Sí</v>
      </c>
      <c r="S180" s="36" t="str">
        <f ca="1">IFERROR(__xludf.DUMMYFUNCTION("""COMPUTED_VALUE"""),"100 m")</f>
        <v>100 m</v>
      </c>
      <c r="T180" s="36" t="str">
        <f ca="1">IFERROR(__xludf.DUMMYFUNCTION("""COMPUTED_VALUE"""),"Río con caudal suficiente para poder disfrutar del agua y aprovechar al máximo el recurso")</f>
        <v>Río con caudal suficiente para poder disfrutar del agua y aprovechar al máximo el recurso</v>
      </c>
      <c r="U180" s="36" t="str">
        <f ca="1">IFERROR(__xludf.DUMMYFUNCTION("""COMPUTED_VALUE"""),"No")</f>
        <v>No</v>
      </c>
      <c r="V180" s="36" t="str">
        <f ca="1">IFERROR(__xludf.DUMMYFUNCTION("""COMPUTED_VALUE"""),"Si")</f>
        <v>Si</v>
      </c>
      <c r="W180" s="36" t="str">
        <f ca="1">IFERROR(__xludf.DUMMYFUNCTION("""COMPUTED_VALUE"""),"Finca amplia para poder acampar con las tiendas y pabellones del grupo, teniendo río cerca para poder utilizarlo. El pueblo está a 5 minutos en coche.")</f>
        <v>Finca amplia para poder acampar con las tiendas y pabellones del grupo, teniendo río cerca para poder utilizarlo. El pueblo está a 5 minutos en coche.</v>
      </c>
      <c r="X180" s="36"/>
      <c r="Y180" s="36"/>
      <c r="Z180" s="36"/>
    </row>
    <row r="181" spans="1:26" ht="12.75" hidden="1">
      <c r="A181" s="36" t="str">
        <f ca="1">IFERROR(__xludf.DUMMYFUNCTION("""COMPUTED_VALUE"""),"Fuera de España")</f>
        <v>Fuera de España</v>
      </c>
      <c r="B181" s="36" t="str">
        <f ca="1">IFERROR(__xludf.DUMMYFUNCTION("""COMPUTED_VALUE"""),"Portugal")</f>
        <v>Portugal</v>
      </c>
      <c r="C181" s="36">
        <f ca="1">IFERROR(__xludf.DUMMYFUNCTION("""COMPUTED_VALUE"""),2019)</f>
        <v>2019</v>
      </c>
      <c r="D181" s="36" t="str">
        <f ca="1">IFERROR(__xludf.DUMMYFUNCTION("""COMPUTED_VALUE"""),"Libertas")</f>
        <v>Libertas</v>
      </c>
      <c r="E181" s="36" t="str">
        <f ca="1">IFERROR(__xludf.DUMMYFUNCTION("""COMPUTED_VALUE"""),"gs.libertas@scoutsdemadrid.org")</f>
        <v>gs.libertas@scoutsdemadrid.org</v>
      </c>
      <c r="F181" s="48">
        <f ca="1">IFERROR(__xludf.DUMMYFUNCTION("""COMPUTED_VALUE"""),43662)</f>
        <v>43662</v>
      </c>
      <c r="G181" s="48">
        <f ca="1">IFERROR(__xludf.DUMMYFUNCTION("""COMPUTED_VALUE"""),43676)</f>
        <v>43676</v>
      </c>
      <c r="H181" s="36" t="str">
        <f ca="1">IFERROR(__xludf.DUMMYFUNCTION("""COMPUTED_VALUE"""),"Aveiro")</f>
        <v>Aveiro</v>
      </c>
      <c r="I181" s="36" t="str">
        <f ca="1">IFERROR(__xludf.DUMMYFUNCTION("""COMPUTED_VALUE"""),"Centro Escutista Sao Jacinto")</f>
        <v>Centro Escutista Sao Jacinto</v>
      </c>
      <c r="J181" s="36">
        <f ca="1">IFERROR(__xludf.DUMMYFUNCTION("""COMPUTED_VALUE"""),0)</f>
        <v>0</v>
      </c>
      <c r="K181" s="36" t="str">
        <f ca="1">IFERROR(__xludf.DUMMYFUNCTION("""COMPUTED_VALUE"""),"40.668011, -8.735720")</f>
        <v>40.668011, -8.735720</v>
      </c>
      <c r="L181" s="36" t="str">
        <f ca="1">IFERROR(__xludf.DUMMYFUNCTION("""COMPUTED_VALUE"""),"Corpo Nacional de Escutas")</f>
        <v>Corpo Nacional de Escutas</v>
      </c>
      <c r="M181" s="36" t="str">
        <f ca="1">IFERROR(__xludf.DUMMYFUNCTION("""COMPUTED_VALUE"""),"+35 926 561 930")</f>
        <v>+35 926 561 930</v>
      </c>
      <c r="N181" s="36" t="str">
        <f ca="1">IFERROR(__xludf.DUMMYFUNCTION("""COMPUTED_VALUE"""),"info@saojacinto.cne-escutismo.pt")</f>
        <v>info@saojacinto.cne-escutismo.pt</v>
      </c>
      <c r="O181" s="36" t="str">
        <f ca="1">IFERROR(__xludf.DUMMYFUNCTION("""COMPUTED_VALUE"""),"3 € /pax/día")</f>
        <v>3 € /pax/día</v>
      </c>
      <c r="P181" s="36" t="str">
        <f ca="1">IFERROR(__xludf.DUMMYFUNCTION("""COMPUTED_VALUE"""),"Se divide en diferentes zonas de acampada, pudiendo albergar 700 personas")</f>
        <v>Se divide en diferentes zonas de acampada, pudiendo albergar 700 personas</v>
      </c>
      <c r="Q181" s="36" t="str">
        <f ca="1">IFERROR(__xludf.DUMMYFUNCTION("""COMPUTED_VALUE"""),"BUENO (Se puede acceder con cualquier coche)")</f>
        <v>BUENO (Se puede acceder con cualquier coche)</v>
      </c>
      <c r="R181" s="36" t="str">
        <f ca="1">IFERROR(__xludf.DUMMYFUNCTION("""COMPUTED_VALUE"""),"Sí")</f>
        <v>Sí</v>
      </c>
      <c r="S181" s="36" t="str">
        <f ca="1">IFERROR(__xludf.DUMMYFUNCTION("""COMPUTED_VALUE"""),"100 m")</f>
        <v>100 m</v>
      </c>
      <c r="T181" s="36" t="str">
        <f ca="1">IFERROR(__xludf.DUMMYFUNCTION("""COMPUTED_VALUE"""),"Piscina municipal y playa (mar abierto)")</f>
        <v>Piscina municipal y playa (mar abierto)</v>
      </c>
      <c r="U181" s="36" t="str">
        <f ca="1">IFERROR(__xludf.DUMMYFUNCTION("""COMPUTED_VALUE"""),"Cuenta con cocina, baños, fregadores y capilla")</f>
        <v>Cuenta con cocina, baños, fregadores y capilla</v>
      </c>
      <c r="V181" s="36" t="str">
        <f ca="1">IFERROR(__xludf.DUMMYFUNCTION("""COMPUTED_VALUE"""),"En el centro proporcionan madera")</f>
        <v>En el centro proporcionan madera</v>
      </c>
      <c r="W181" s="36" t="str">
        <f ca="1">IFERROR(__xludf.DUMMYFUNCTION("""COMPUTED_VALUE"""),"Se valora positivamente el contacto con otros grupos y nacionalidades")</f>
        <v>Se valora positivamente el contacto con otros grupos y nacionalidades</v>
      </c>
      <c r="X181" s="36"/>
      <c r="Y181" s="36"/>
      <c r="Z181" s="36"/>
    </row>
    <row r="182" spans="1:26" ht="12.75" hidden="1">
      <c r="A182" s="36" t="str">
        <f ca="1">IFERROR(__xludf.DUMMYFUNCTION("""COMPUTED_VALUE"""),"Fuera de España")</f>
        <v>Fuera de España</v>
      </c>
      <c r="B182" s="36" t="str">
        <f ca="1">IFERROR(__xludf.DUMMYFUNCTION("""COMPUTED_VALUE"""),"Portugal")</f>
        <v>Portugal</v>
      </c>
      <c r="C182" s="36">
        <f ca="1">IFERROR(__xludf.DUMMYFUNCTION("""COMPUTED_VALUE"""),2019)</f>
        <v>2019</v>
      </c>
      <c r="D182" s="36" t="str">
        <f ca="1">IFERROR(__xludf.DUMMYFUNCTION("""COMPUTED_VALUE"""),"Queztal")</f>
        <v>Queztal</v>
      </c>
      <c r="E182" s="36" t="str">
        <f ca="1">IFERROR(__xludf.DUMMYFUNCTION("""COMPUTED_VALUE"""),"gs.queztal@scoutsdemadrid.org ")</f>
        <v xml:space="preserve">gs.queztal@scoutsdemadrid.org </v>
      </c>
      <c r="F182" s="48">
        <f ca="1">IFERROR(__xludf.DUMMYFUNCTION("""COMPUTED_VALUE"""),43679)</f>
        <v>43679</v>
      </c>
      <c r="G182" s="48">
        <f ca="1">IFERROR(__xludf.DUMMYFUNCTION("""COMPUTED_VALUE"""),43688)</f>
        <v>43688</v>
      </c>
      <c r="H182" s="36" t="str">
        <f ca="1">IFERROR(__xludf.DUMMYFUNCTION("""COMPUTED_VALUE"""),"Santiago Do Cacém")</f>
        <v>Santiago Do Cacém</v>
      </c>
      <c r="I182" s="36" t="str">
        <f ca="1">IFERROR(__xludf.DUMMYFUNCTION("""COMPUTED_VALUE"""),"Centro de Interpretação do Monte do Paio")</f>
        <v>Centro de Interpretação do Monte do Paio</v>
      </c>
      <c r="J182" s="36" t="str">
        <f ca="1">IFERROR(__xludf.DUMMYFUNCTION("""COMPUTED_VALUE"""),"xxx")</f>
        <v>xxx</v>
      </c>
      <c r="K182" s="36" t="str">
        <f ca="1">IFERROR(__xludf.DUMMYFUNCTION("""COMPUTED_VALUE"""),"Centro de Interpretação do Monte do Paio")</f>
        <v>Centro de Interpretação do Monte do Paio</v>
      </c>
      <c r="L182" s="36" t="str">
        <f ca="1">IFERROR(__xludf.DUMMYFUNCTION("""COMPUTED_VALUE"""),"Celio")</f>
        <v>Celio</v>
      </c>
      <c r="M182" s="36" t="str">
        <f ca="1">IFERROR(__xludf.DUMMYFUNCTION("""COMPUTED_VALUE"""),"+351936409922")</f>
        <v>+351936409922</v>
      </c>
      <c r="N182" s="36" t="str">
        <f ca="1">IFERROR(__xludf.DUMMYFUNCTION("""COMPUTED_VALUE"""),"geral.581@escutismo.pt")</f>
        <v>geral.581@escutismo.pt</v>
      </c>
      <c r="O182" s="36" t="str">
        <f ca="1">IFERROR(__xludf.DUMMYFUNCTION("""COMPUTED_VALUE"""),"1,5 € por persona")</f>
        <v>1,5 € por persona</v>
      </c>
      <c r="P182" s="36" t="str">
        <f ca="1">IFERROR(__xludf.DUMMYFUNCTION("""COMPUTED_VALUE"""),"11570 m2")</f>
        <v>11570 m2</v>
      </c>
      <c r="Q182" s="36" t="str">
        <f ca="1">IFERROR(__xludf.DUMMYFUNCTION("""COMPUTED_VALUE"""),"BUENO (Se puede acceder con cualquier coche)")</f>
        <v>BUENO (Se puede acceder con cualquier coche)</v>
      </c>
      <c r="R182" s="36" t="str">
        <f ca="1">IFERROR(__xludf.DUMMYFUNCTION("""COMPUTED_VALUE"""),"Sí")</f>
        <v>Sí</v>
      </c>
      <c r="S182" s="36" t="str">
        <f ca="1">IFERROR(__xludf.DUMMYFUNCTION("""COMPUTED_VALUE"""),"2 km")</f>
        <v>2 km</v>
      </c>
      <c r="T182" s="36" t="str">
        <f ca="1">IFERROR(__xludf.DUMMYFUNCTION("""COMPUTED_VALUE"""),"Playa")</f>
        <v>Playa</v>
      </c>
      <c r="U182" s="36" t="str">
        <f ca="1">IFERROR(__xludf.DUMMYFUNCTION("""COMPUTED_VALUE"""),"Cocina, WC, duchas, zona de pabellones (comedores)")</f>
        <v>Cocina, WC, duchas, zona de pabellones (comedores)</v>
      </c>
      <c r="V182" s="36" t="str">
        <f ca="1">IFERROR(__xludf.DUMMYFUNCTION("""COMPUTED_VALUE"""),"si")</f>
        <v>si</v>
      </c>
      <c r="W182" s="36" t="str">
        <f ca="1">IFERROR(__xludf.DUMMYFUNCTION("""COMPUTED_VALUE"""),"Zona estupenda para poder acampar, con zonas de sobras para juegos e instalaciones básicas.")</f>
        <v>Zona estupenda para poder acampar, con zonas de sobras para juegos e instalaciones básicas.</v>
      </c>
      <c r="X182" s="36"/>
      <c r="Y182" s="36"/>
      <c r="Z182" s="36"/>
    </row>
    <row r="183" spans="1:26" ht="12.75" hidden="1">
      <c r="A183" s="36" t="str">
        <f ca="1">IFERROR(__xludf.DUMMYFUNCTION("""COMPUTED_VALUE"""),"Fuera de España")</f>
        <v>Fuera de España</v>
      </c>
      <c r="B183" s="36" t="str">
        <f ca="1">IFERROR(__xludf.DUMMYFUNCTION("""COMPUTED_VALUE"""),"UK, Francia")</f>
        <v>UK, Francia</v>
      </c>
      <c r="C183" s="36">
        <f ca="1">IFERROR(__xludf.DUMMYFUNCTION("""COMPUTED_VALUE"""),2019)</f>
        <v>2019</v>
      </c>
      <c r="D183" s="36" t="str">
        <f ca="1">IFERROR(__xludf.DUMMYFUNCTION("""COMPUTED_VALUE"""),"Monte Kenya 445")</f>
        <v>Monte Kenya 445</v>
      </c>
      <c r="E183" s="36" t="str">
        <f ca="1">IFERROR(__xludf.DUMMYFUNCTION("""COMPUTED_VALUE"""),"gs.montekenia445@scoutsdemadrid.org ")</f>
        <v xml:space="preserve">gs.montekenia445@scoutsdemadrid.org </v>
      </c>
      <c r="F183" s="48">
        <f ca="1">IFERROR(__xludf.DUMMYFUNCTION("""COMPUTED_VALUE"""),43678)</f>
        <v>43678</v>
      </c>
      <c r="G183" s="48">
        <f ca="1">IFERROR(__xludf.DUMMYFUNCTION("""COMPUTED_VALUE"""),43692)</f>
        <v>43692</v>
      </c>
      <c r="H183" s="36" t="str">
        <f ca="1">IFERROR(__xludf.DUMMYFUNCTION("""COMPUTED_VALUE"""),"Londres Y Jambville")</f>
        <v>Londres Y Jambville</v>
      </c>
      <c r="I183" s="36" t="str">
        <f ca="1">IFERROR(__xludf.DUMMYFUNCTION("""COMPUTED_VALUE"""),"Southall Activity Center")</f>
        <v>Southall Activity Center</v>
      </c>
      <c r="J183" s="36" t="str">
        <f ca="1">IFERROR(__xludf.DUMMYFUNCTION("""COMPUTED_VALUE"""),"No tiene")</f>
        <v>No tiene</v>
      </c>
      <c r="K183" s="36" t="str">
        <f ca="1">IFERROR(__xludf.DUMMYFUNCTION("""COMPUTED_VALUE"""),"GJ9C+XC Southall, Reino Unido")</f>
        <v>GJ9C+XC Southall, Reino Unido</v>
      </c>
      <c r="L183" s="36" t="str">
        <f ca="1">IFERROR(__xludf.DUMMYFUNCTION("""COMPUTED_VALUE"""),"Phil Thorne")</f>
        <v>Phil Thorne</v>
      </c>
      <c r="M183" s="36" t="str">
        <f ca="1">IFERROR(__xludf.DUMMYFUNCTION("""COMPUTED_VALUE"""),"+44 7774 110854")</f>
        <v>+44 7774 110854</v>
      </c>
      <c r="N183" s="36" t="str">
        <f ca="1">IFERROR(__xludf.DUMMYFUNCTION("""COMPUTED_VALUE"""),"philthorne@virginmedia.com")</f>
        <v>philthorne@virginmedia.com</v>
      </c>
      <c r="O183" s="36">
        <f ca="1">IFERROR(__xludf.DUMMYFUNCTION("""COMPUTED_VALUE"""),70)</f>
        <v>70</v>
      </c>
      <c r="P183" s="36" t="str">
        <f ca="1">IFERROR(__xludf.DUMMYFUNCTION("""COMPUTED_VALUE"""),"3000m2")</f>
        <v>3000m2</v>
      </c>
      <c r="Q183" s="36" t="str">
        <f ca="1">IFERROR(__xludf.DUMMYFUNCTION("""COMPUTED_VALUE"""),"BUENO (Se puede acceder con cualquier coche)")</f>
        <v>BUENO (Se puede acceder con cualquier coche)</v>
      </c>
      <c r="R183" s="36" t="str">
        <f ca="1">IFERROR(__xludf.DUMMYFUNCTION("""COMPUTED_VALUE"""),"Sí")</f>
        <v>Sí</v>
      </c>
      <c r="S183" s="36" t="str">
        <f ca="1">IFERROR(__xludf.DUMMYFUNCTION("""COMPUTED_VALUE"""),"No hay")</f>
        <v>No hay</v>
      </c>
      <c r="T183" s="36" t="str">
        <f ca="1">IFERROR(__xludf.DUMMYFUNCTION("""COMPUTED_VALUE"""),"No hay")</f>
        <v>No hay</v>
      </c>
      <c r="U183" s="36" t="str">
        <f ca="1">IFERROR(__xludf.DUMMYFUNCTION("""COMPUTED_VALUE"""),"Baños, comedor, cocina, etc")</f>
        <v>Baños, comedor, cocina, etc</v>
      </c>
      <c r="V183" s="36" t="str">
        <f ca="1">IFERROR(__xludf.DUMMYFUNCTION("""COMPUTED_VALUE"""),"No")</f>
        <v>No</v>
      </c>
      <c r="W183" s="36" t="str">
        <f ca="1">IFERROR(__xludf.DUMMYFUNCTION("""COMPUTED_VALUE"""),"Es genial para un grupo de hasta 75-80 personas")</f>
        <v>Es genial para un grupo de hasta 75-80 personas</v>
      </c>
      <c r="X183" s="36"/>
      <c r="Y183" s="36"/>
      <c r="Z183" s="36"/>
    </row>
    <row r="184" spans="1:26" ht="12.75" hidden="1">
      <c r="A184" s="36" t="str">
        <f ca="1">IFERROR(__xludf.DUMMYFUNCTION("""COMPUTED_VALUE"""),"")</f>
        <v/>
      </c>
      <c r="B184" s="36" t="str">
        <f ca="1">IFERROR(__xludf.DUMMYFUNCTION("""COMPUTED_VALUE"""),"")</f>
        <v/>
      </c>
      <c r="C184" s="36" t="str">
        <f ca="1">IFERROR(__xludf.DUMMYFUNCTION("""COMPUTED_VALUE"""),"")</f>
        <v/>
      </c>
      <c r="D184" s="36" t="str">
        <f ca="1">IFERROR(__xludf.DUMMYFUNCTION("""COMPUTED_VALUE"""),"")</f>
        <v/>
      </c>
      <c r="E184" s="36" t="str">
        <f ca="1">IFERROR(__xludf.DUMMYFUNCTION("""COMPUTED_VALUE"""),"")</f>
        <v/>
      </c>
      <c r="F184" s="36" t="str">
        <f ca="1">IFERROR(__xludf.DUMMYFUNCTION("""COMPUTED_VALUE"""),"")</f>
        <v/>
      </c>
      <c r="G184" s="36" t="str">
        <f ca="1">IFERROR(__xludf.DUMMYFUNCTION("""COMPUTED_VALUE"""),"")</f>
        <v/>
      </c>
      <c r="H184" s="36" t="str">
        <f ca="1">IFERROR(__xludf.DUMMYFUNCTION("""COMPUTED_VALUE"""),"")</f>
        <v/>
      </c>
      <c r="I184" s="36" t="str">
        <f ca="1">IFERROR(__xludf.DUMMYFUNCTION("""COMPUTED_VALUE"""),"")</f>
        <v/>
      </c>
      <c r="J184" s="36" t="str">
        <f ca="1">IFERROR(__xludf.DUMMYFUNCTION("""COMPUTED_VALUE"""),"")</f>
        <v/>
      </c>
      <c r="K184" s="36" t="str">
        <f ca="1">IFERROR(__xludf.DUMMYFUNCTION("""COMPUTED_VALUE"""),"")</f>
        <v/>
      </c>
      <c r="L184" s="36" t="str">
        <f ca="1">IFERROR(__xludf.DUMMYFUNCTION("""COMPUTED_VALUE"""),"")</f>
        <v/>
      </c>
      <c r="M184" s="36" t="str">
        <f ca="1">IFERROR(__xludf.DUMMYFUNCTION("""COMPUTED_VALUE"""),"")</f>
        <v/>
      </c>
      <c r="N184" s="36" t="str">
        <f ca="1">IFERROR(__xludf.DUMMYFUNCTION("""COMPUTED_VALUE"""),"")</f>
        <v/>
      </c>
      <c r="O184" s="36" t="str">
        <f ca="1">IFERROR(__xludf.DUMMYFUNCTION("""COMPUTED_VALUE"""),"")</f>
        <v/>
      </c>
      <c r="P184" s="36" t="str">
        <f ca="1">IFERROR(__xludf.DUMMYFUNCTION("""COMPUTED_VALUE"""),"")</f>
        <v/>
      </c>
      <c r="Q184" s="36" t="str">
        <f ca="1">IFERROR(__xludf.DUMMYFUNCTION("""COMPUTED_VALUE"""),"")</f>
        <v/>
      </c>
      <c r="R184" s="36" t="str">
        <f ca="1">IFERROR(__xludf.DUMMYFUNCTION("""COMPUTED_VALUE"""),"")</f>
        <v/>
      </c>
      <c r="S184" s="36" t="str">
        <f ca="1">IFERROR(__xludf.DUMMYFUNCTION("""COMPUTED_VALUE"""),"")</f>
        <v/>
      </c>
      <c r="T184" s="36" t="str">
        <f ca="1">IFERROR(__xludf.DUMMYFUNCTION("""COMPUTED_VALUE"""),"")</f>
        <v/>
      </c>
      <c r="U184" s="36" t="str">
        <f ca="1">IFERROR(__xludf.DUMMYFUNCTION("""COMPUTED_VALUE"""),"")</f>
        <v/>
      </c>
      <c r="V184" s="36" t="str">
        <f ca="1">IFERROR(__xludf.DUMMYFUNCTION("""COMPUTED_VALUE"""),"")</f>
        <v/>
      </c>
      <c r="W184" s="36" t="str">
        <f ca="1">IFERROR(__xludf.DUMMYFUNCTION("""COMPUTED_VALUE"""),"")</f>
        <v/>
      </c>
      <c r="X184" s="36"/>
      <c r="Y184" s="36"/>
      <c r="Z184" s="36"/>
    </row>
    <row r="185" spans="1:26" ht="12.75" hidden="1">
      <c r="A185" s="36" t="str">
        <f ca="1">IFERROR(__xludf.DUMMYFUNCTION("""COMPUTED_VALUE"""),"")</f>
        <v/>
      </c>
      <c r="B185" s="36" t="str">
        <f ca="1">IFERROR(__xludf.DUMMYFUNCTION("""COMPUTED_VALUE"""),"")</f>
        <v/>
      </c>
      <c r="C185" s="36" t="str">
        <f ca="1">IFERROR(__xludf.DUMMYFUNCTION("""COMPUTED_VALUE"""),"")</f>
        <v/>
      </c>
      <c r="D185" s="36" t="str">
        <f ca="1">IFERROR(__xludf.DUMMYFUNCTION("""COMPUTED_VALUE"""),"")</f>
        <v/>
      </c>
      <c r="E185" s="36" t="str">
        <f ca="1">IFERROR(__xludf.DUMMYFUNCTION("""COMPUTED_VALUE"""),"")</f>
        <v/>
      </c>
      <c r="F185" s="36" t="str">
        <f ca="1">IFERROR(__xludf.DUMMYFUNCTION("""COMPUTED_VALUE"""),"")</f>
        <v/>
      </c>
      <c r="G185" s="36" t="str">
        <f ca="1">IFERROR(__xludf.DUMMYFUNCTION("""COMPUTED_VALUE"""),"")</f>
        <v/>
      </c>
      <c r="H185" s="36" t="str">
        <f ca="1">IFERROR(__xludf.DUMMYFUNCTION("""COMPUTED_VALUE"""),"")</f>
        <v/>
      </c>
      <c r="I185" s="36" t="str">
        <f ca="1">IFERROR(__xludf.DUMMYFUNCTION("""COMPUTED_VALUE"""),"")</f>
        <v/>
      </c>
      <c r="J185" s="36" t="str">
        <f ca="1">IFERROR(__xludf.DUMMYFUNCTION("""COMPUTED_VALUE"""),"")</f>
        <v/>
      </c>
      <c r="K185" s="36" t="str">
        <f ca="1">IFERROR(__xludf.DUMMYFUNCTION("""COMPUTED_VALUE"""),"")</f>
        <v/>
      </c>
      <c r="L185" s="36" t="str">
        <f ca="1">IFERROR(__xludf.DUMMYFUNCTION("""COMPUTED_VALUE"""),"")</f>
        <v/>
      </c>
      <c r="M185" s="36" t="str">
        <f ca="1">IFERROR(__xludf.DUMMYFUNCTION("""COMPUTED_VALUE"""),"")</f>
        <v/>
      </c>
      <c r="N185" s="36" t="str">
        <f ca="1">IFERROR(__xludf.DUMMYFUNCTION("""COMPUTED_VALUE"""),"")</f>
        <v/>
      </c>
      <c r="O185" s="36" t="str">
        <f ca="1">IFERROR(__xludf.DUMMYFUNCTION("""COMPUTED_VALUE"""),"")</f>
        <v/>
      </c>
      <c r="P185" s="36" t="str">
        <f ca="1">IFERROR(__xludf.DUMMYFUNCTION("""COMPUTED_VALUE"""),"")</f>
        <v/>
      </c>
      <c r="Q185" s="36" t="str">
        <f ca="1">IFERROR(__xludf.DUMMYFUNCTION("""COMPUTED_VALUE"""),"")</f>
        <v/>
      </c>
      <c r="R185" s="36" t="str">
        <f ca="1">IFERROR(__xludf.DUMMYFUNCTION("""COMPUTED_VALUE"""),"")</f>
        <v/>
      </c>
      <c r="S185" s="36" t="str">
        <f ca="1">IFERROR(__xludf.DUMMYFUNCTION("""COMPUTED_VALUE"""),"")</f>
        <v/>
      </c>
      <c r="T185" s="36" t="str">
        <f ca="1">IFERROR(__xludf.DUMMYFUNCTION("""COMPUTED_VALUE"""),"")</f>
        <v/>
      </c>
      <c r="U185" s="36" t="str">
        <f ca="1">IFERROR(__xludf.DUMMYFUNCTION("""COMPUTED_VALUE"""),"")</f>
        <v/>
      </c>
      <c r="V185" s="36" t="str">
        <f ca="1">IFERROR(__xludf.DUMMYFUNCTION("""COMPUTED_VALUE"""),"")</f>
        <v/>
      </c>
      <c r="W185" s="36" t="str">
        <f ca="1">IFERROR(__xludf.DUMMYFUNCTION("""COMPUTED_VALUE"""),"")</f>
        <v/>
      </c>
      <c r="X185" s="36"/>
      <c r="Y185" s="36"/>
      <c r="Z185" s="36"/>
    </row>
    <row r="186" spans="1:26" ht="12.75" hidden="1">
      <c r="A186" s="36" t="str">
        <f ca="1">IFERROR(__xludf.DUMMYFUNCTION("""COMPUTED_VALUE"""),"")</f>
        <v/>
      </c>
      <c r="B186" s="36" t="str">
        <f ca="1">IFERROR(__xludf.DUMMYFUNCTION("""COMPUTED_VALUE"""),"")</f>
        <v/>
      </c>
      <c r="C186" s="36" t="str">
        <f ca="1">IFERROR(__xludf.DUMMYFUNCTION("""COMPUTED_VALUE"""),"")</f>
        <v/>
      </c>
      <c r="D186" s="36" t="str">
        <f ca="1">IFERROR(__xludf.DUMMYFUNCTION("""COMPUTED_VALUE"""),"")</f>
        <v/>
      </c>
      <c r="E186" s="36" t="str">
        <f ca="1">IFERROR(__xludf.DUMMYFUNCTION("""COMPUTED_VALUE"""),"")</f>
        <v/>
      </c>
      <c r="F186" s="36" t="str">
        <f ca="1">IFERROR(__xludf.DUMMYFUNCTION("""COMPUTED_VALUE"""),"")</f>
        <v/>
      </c>
      <c r="G186" s="36" t="str">
        <f ca="1">IFERROR(__xludf.DUMMYFUNCTION("""COMPUTED_VALUE"""),"")</f>
        <v/>
      </c>
      <c r="H186" s="36" t="str">
        <f ca="1">IFERROR(__xludf.DUMMYFUNCTION("""COMPUTED_VALUE"""),"")</f>
        <v/>
      </c>
      <c r="I186" s="36" t="str">
        <f ca="1">IFERROR(__xludf.DUMMYFUNCTION("""COMPUTED_VALUE"""),"")</f>
        <v/>
      </c>
      <c r="J186" s="36" t="str">
        <f ca="1">IFERROR(__xludf.DUMMYFUNCTION("""COMPUTED_VALUE"""),"")</f>
        <v/>
      </c>
      <c r="K186" s="36" t="str">
        <f ca="1">IFERROR(__xludf.DUMMYFUNCTION("""COMPUTED_VALUE"""),"")</f>
        <v/>
      </c>
      <c r="L186" s="36" t="str">
        <f ca="1">IFERROR(__xludf.DUMMYFUNCTION("""COMPUTED_VALUE"""),"")</f>
        <v/>
      </c>
      <c r="M186" s="36" t="str">
        <f ca="1">IFERROR(__xludf.DUMMYFUNCTION("""COMPUTED_VALUE"""),"")</f>
        <v/>
      </c>
      <c r="N186" s="36" t="str">
        <f ca="1">IFERROR(__xludf.DUMMYFUNCTION("""COMPUTED_VALUE"""),"")</f>
        <v/>
      </c>
      <c r="O186" s="36" t="str">
        <f ca="1">IFERROR(__xludf.DUMMYFUNCTION("""COMPUTED_VALUE"""),"")</f>
        <v/>
      </c>
      <c r="P186" s="36" t="str">
        <f ca="1">IFERROR(__xludf.DUMMYFUNCTION("""COMPUTED_VALUE"""),"")</f>
        <v/>
      </c>
      <c r="Q186" s="36" t="str">
        <f ca="1">IFERROR(__xludf.DUMMYFUNCTION("""COMPUTED_VALUE"""),"")</f>
        <v/>
      </c>
      <c r="R186" s="36" t="str">
        <f ca="1">IFERROR(__xludf.DUMMYFUNCTION("""COMPUTED_VALUE"""),"")</f>
        <v/>
      </c>
      <c r="S186" s="36" t="str">
        <f ca="1">IFERROR(__xludf.DUMMYFUNCTION("""COMPUTED_VALUE"""),"")</f>
        <v/>
      </c>
      <c r="T186" s="36" t="str">
        <f ca="1">IFERROR(__xludf.DUMMYFUNCTION("""COMPUTED_VALUE"""),"")</f>
        <v/>
      </c>
      <c r="U186" s="36" t="str">
        <f ca="1">IFERROR(__xludf.DUMMYFUNCTION("""COMPUTED_VALUE"""),"")</f>
        <v/>
      </c>
      <c r="V186" s="36" t="str">
        <f ca="1">IFERROR(__xludf.DUMMYFUNCTION("""COMPUTED_VALUE"""),"")</f>
        <v/>
      </c>
      <c r="W186" s="36" t="str">
        <f ca="1">IFERROR(__xludf.DUMMYFUNCTION("""COMPUTED_VALUE"""),"")</f>
        <v/>
      </c>
      <c r="X186" s="36"/>
      <c r="Y186" s="36"/>
      <c r="Z186" s="36"/>
    </row>
    <row r="187" spans="1:26" ht="12.75" hidden="1">
      <c r="A187" s="36" t="str">
        <f ca="1">IFERROR(__xludf.DUMMYFUNCTION("""COMPUTED_VALUE"""),"")</f>
        <v/>
      </c>
      <c r="B187" s="36" t="str">
        <f ca="1">IFERROR(__xludf.DUMMYFUNCTION("""COMPUTED_VALUE"""),"")</f>
        <v/>
      </c>
      <c r="C187" s="36" t="str">
        <f ca="1">IFERROR(__xludf.DUMMYFUNCTION("""COMPUTED_VALUE"""),"")</f>
        <v/>
      </c>
      <c r="D187" s="36" t="str">
        <f ca="1">IFERROR(__xludf.DUMMYFUNCTION("""COMPUTED_VALUE"""),"")</f>
        <v/>
      </c>
      <c r="E187" s="36" t="str">
        <f ca="1">IFERROR(__xludf.DUMMYFUNCTION("""COMPUTED_VALUE"""),"")</f>
        <v/>
      </c>
      <c r="F187" s="36" t="str">
        <f ca="1">IFERROR(__xludf.DUMMYFUNCTION("""COMPUTED_VALUE"""),"")</f>
        <v/>
      </c>
      <c r="G187" s="36" t="str">
        <f ca="1">IFERROR(__xludf.DUMMYFUNCTION("""COMPUTED_VALUE"""),"")</f>
        <v/>
      </c>
      <c r="H187" s="36" t="str">
        <f ca="1">IFERROR(__xludf.DUMMYFUNCTION("""COMPUTED_VALUE"""),"")</f>
        <v/>
      </c>
      <c r="I187" s="36" t="str">
        <f ca="1">IFERROR(__xludf.DUMMYFUNCTION("""COMPUTED_VALUE"""),"")</f>
        <v/>
      </c>
      <c r="J187" s="36" t="str">
        <f ca="1">IFERROR(__xludf.DUMMYFUNCTION("""COMPUTED_VALUE"""),"")</f>
        <v/>
      </c>
      <c r="K187" s="36" t="str">
        <f ca="1">IFERROR(__xludf.DUMMYFUNCTION("""COMPUTED_VALUE"""),"")</f>
        <v/>
      </c>
      <c r="L187" s="36" t="str">
        <f ca="1">IFERROR(__xludf.DUMMYFUNCTION("""COMPUTED_VALUE"""),"")</f>
        <v/>
      </c>
      <c r="M187" s="36" t="str">
        <f ca="1">IFERROR(__xludf.DUMMYFUNCTION("""COMPUTED_VALUE"""),"")</f>
        <v/>
      </c>
      <c r="N187" s="36" t="str">
        <f ca="1">IFERROR(__xludf.DUMMYFUNCTION("""COMPUTED_VALUE"""),"")</f>
        <v/>
      </c>
      <c r="O187" s="36" t="str">
        <f ca="1">IFERROR(__xludf.DUMMYFUNCTION("""COMPUTED_VALUE"""),"")</f>
        <v/>
      </c>
      <c r="P187" s="36" t="str">
        <f ca="1">IFERROR(__xludf.DUMMYFUNCTION("""COMPUTED_VALUE"""),"")</f>
        <v/>
      </c>
      <c r="Q187" s="36" t="str">
        <f ca="1">IFERROR(__xludf.DUMMYFUNCTION("""COMPUTED_VALUE"""),"")</f>
        <v/>
      </c>
      <c r="R187" s="36" t="str">
        <f ca="1">IFERROR(__xludf.DUMMYFUNCTION("""COMPUTED_VALUE"""),"")</f>
        <v/>
      </c>
      <c r="S187" s="36" t="str">
        <f ca="1">IFERROR(__xludf.DUMMYFUNCTION("""COMPUTED_VALUE"""),"")</f>
        <v/>
      </c>
      <c r="T187" s="36" t="str">
        <f ca="1">IFERROR(__xludf.DUMMYFUNCTION("""COMPUTED_VALUE"""),"")</f>
        <v/>
      </c>
      <c r="U187" s="36" t="str">
        <f ca="1">IFERROR(__xludf.DUMMYFUNCTION("""COMPUTED_VALUE"""),"")</f>
        <v/>
      </c>
      <c r="V187" s="36" t="str">
        <f ca="1">IFERROR(__xludf.DUMMYFUNCTION("""COMPUTED_VALUE"""),"")</f>
        <v/>
      </c>
      <c r="W187" s="36" t="str">
        <f ca="1">IFERROR(__xludf.DUMMYFUNCTION("""COMPUTED_VALUE"""),"")</f>
        <v/>
      </c>
      <c r="X187" s="36"/>
      <c r="Y187" s="36"/>
      <c r="Z187" s="36"/>
    </row>
    <row r="188" spans="1:26" ht="12.75" hidden="1">
      <c r="A188" s="36" t="str">
        <f ca="1">IFERROR(__xludf.DUMMYFUNCTION("""COMPUTED_VALUE"""),"")</f>
        <v/>
      </c>
      <c r="B188" s="36" t="str">
        <f ca="1">IFERROR(__xludf.DUMMYFUNCTION("""COMPUTED_VALUE"""),"")</f>
        <v/>
      </c>
      <c r="C188" s="36" t="str">
        <f ca="1">IFERROR(__xludf.DUMMYFUNCTION("""COMPUTED_VALUE"""),"")</f>
        <v/>
      </c>
      <c r="D188" s="36" t="str">
        <f ca="1">IFERROR(__xludf.DUMMYFUNCTION("""COMPUTED_VALUE"""),"")</f>
        <v/>
      </c>
      <c r="E188" s="36" t="str">
        <f ca="1">IFERROR(__xludf.DUMMYFUNCTION("""COMPUTED_VALUE"""),"")</f>
        <v/>
      </c>
      <c r="F188" s="36" t="str">
        <f ca="1">IFERROR(__xludf.DUMMYFUNCTION("""COMPUTED_VALUE"""),"")</f>
        <v/>
      </c>
      <c r="G188" s="36" t="str">
        <f ca="1">IFERROR(__xludf.DUMMYFUNCTION("""COMPUTED_VALUE"""),"")</f>
        <v/>
      </c>
      <c r="H188" s="36" t="str">
        <f ca="1">IFERROR(__xludf.DUMMYFUNCTION("""COMPUTED_VALUE"""),"")</f>
        <v/>
      </c>
      <c r="I188" s="36" t="str">
        <f ca="1">IFERROR(__xludf.DUMMYFUNCTION("""COMPUTED_VALUE"""),"")</f>
        <v/>
      </c>
      <c r="J188" s="36" t="str">
        <f ca="1">IFERROR(__xludf.DUMMYFUNCTION("""COMPUTED_VALUE"""),"")</f>
        <v/>
      </c>
      <c r="K188" s="36" t="str">
        <f ca="1">IFERROR(__xludf.DUMMYFUNCTION("""COMPUTED_VALUE"""),"")</f>
        <v/>
      </c>
      <c r="L188" s="36" t="str">
        <f ca="1">IFERROR(__xludf.DUMMYFUNCTION("""COMPUTED_VALUE"""),"")</f>
        <v/>
      </c>
      <c r="M188" s="36" t="str">
        <f ca="1">IFERROR(__xludf.DUMMYFUNCTION("""COMPUTED_VALUE"""),"")</f>
        <v/>
      </c>
      <c r="N188" s="36" t="str">
        <f ca="1">IFERROR(__xludf.DUMMYFUNCTION("""COMPUTED_VALUE"""),"")</f>
        <v/>
      </c>
      <c r="O188" s="36" t="str">
        <f ca="1">IFERROR(__xludf.DUMMYFUNCTION("""COMPUTED_VALUE"""),"")</f>
        <v/>
      </c>
      <c r="P188" s="36" t="str">
        <f ca="1">IFERROR(__xludf.DUMMYFUNCTION("""COMPUTED_VALUE"""),"")</f>
        <v/>
      </c>
      <c r="Q188" s="36" t="str">
        <f ca="1">IFERROR(__xludf.DUMMYFUNCTION("""COMPUTED_VALUE"""),"")</f>
        <v/>
      </c>
      <c r="R188" s="36" t="str">
        <f ca="1">IFERROR(__xludf.DUMMYFUNCTION("""COMPUTED_VALUE"""),"")</f>
        <v/>
      </c>
      <c r="S188" s="36" t="str">
        <f ca="1">IFERROR(__xludf.DUMMYFUNCTION("""COMPUTED_VALUE"""),"")</f>
        <v/>
      </c>
      <c r="T188" s="36" t="str">
        <f ca="1">IFERROR(__xludf.DUMMYFUNCTION("""COMPUTED_VALUE"""),"")</f>
        <v/>
      </c>
      <c r="U188" s="36" t="str">
        <f ca="1">IFERROR(__xludf.DUMMYFUNCTION("""COMPUTED_VALUE"""),"")</f>
        <v/>
      </c>
      <c r="V188" s="36" t="str">
        <f ca="1">IFERROR(__xludf.DUMMYFUNCTION("""COMPUTED_VALUE"""),"")</f>
        <v/>
      </c>
      <c r="W188" s="36" t="str">
        <f ca="1">IFERROR(__xludf.DUMMYFUNCTION("""COMPUTED_VALUE"""),"")</f>
        <v/>
      </c>
      <c r="X188" s="36"/>
      <c r="Y188" s="36"/>
      <c r="Z188" s="36"/>
    </row>
    <row r="189" spans="1:26" ht="12.75" hidden="1">
      <c r="A189" s="36" t="str">
        <f ca="1">IFERROR(__xludf.DUMMYFUNCTION("""COMPUTED_VALUE"""),"")</f>
        <v/>
      </c>
      <c r="B189" s="36" t="str">
        <f ca="1">IFERROR(__xludf.DUMMYFUNCTION("""COMPUTED_VALUE"""),"")</f>
        <v/>
      </c>
      <c r="C189" s="36" t="str">
        <f ca="1">IFERROR(__xludf.DUMMYFUNCTION("""COMPUTED_VALUE"""),"")</f>
        <v/>
      </c>
      <c r="D189" s="36" t="str">
        <f ca="1">IFERROR(__xludf.DUMMYFUNCTION("""COMPUTED_VALUE"""),"")</f>
        <v/>
      </c>
      <c r="E189" s="36" t="str">
        <f ca="1">IFERROR(__xludf.DUMMYFUNCTION("""COMPUTED_VALUE"""),"")</f>
        <v/>
      </c>
      <c r="F189" s="36" t="str">
        <f ca="1">IFERROR(__xludf.DUMMYFUNCTION("""COMPUTED_VALUE"""),"")</f>
        <v/>
      </c>
      <c r="G189" s="36" t="str">
        <f ca="1">IFERROR(__xludf.DUMMYFUNCTION("""COMPUTED_VALUE"""),"")</f>
        <v/>
      </c>
      <c r="H189" s="36" t="str">
        <f ca="1">IFERROR(__xludf.DUMMYFUNCTION("""COMPUTED_VALUE"""),"")</f>
        <v/>
      </c>
      <c r="I189" s="36" t="str">
        <f ca="1">IFERROR(__xludf.DUMMYFUNCTION("""COMPUTED_VALUE"""),"")</f>
        <v/>
      </c>
      <c r="J189" s="36" t="str">
        <f ca="1">IFERROR(__xludf.DUMMYFUNCTION("""COMPUTED_VALUE"""),"")</f>
        <v/>
      </c>
      <c r="K189" s="36" t="str">
        <f ca="1">IFERROR(__xludf.DUMMYFUNCTION("""COMPUTED_VALUE"""),"")</f>
        <v/>
      </c>
      <c r="L189" s="36" t="str">
        <f ca="1">IFERROR(__xludf.DUMMYFUNCTION("""COMPUTED_VALUE"""),"")</f>
        <v/>
      </c>
      <c r="M189" s="36" t="str">
        <f ca="1">IFERROR(__xludf.DUMMYFUNCTION("""COMPUTED_VALUE"""),"")</f>
        <v/>
      </c>
      <c r="N189" s="36" t="str">
        <f ca="1">IFERROR(__xludf.DUMMYFUNCTION("""COMPUTED_VALUE"""),"")</f>
        <v/>
      </c>
      <c r="O189" s="36" t="str">
        <f ca="1">IFERROR(__xludf.DUMMYFUNCTION("""COMPUTED_VALUE"""),"")</f>
        <v/>
      </c>
      <c r="P189" s="36" t="str">
        <f ca="1">IFERROR(__xludf.DUMMYFUNCTION("""COMPUTED_VALUE"""),"")</f>
        <v/>
      </c>
      <c r="Q189" s="36" t="str">
        <f ca="1">IFERROR(__xludf.DUMMYFUNCTION("""COMPUTED_VALUE"""),"")</f>
        <v/>
      </c>
      <c r="R189" s="36" t="str">
        <f ca="1">IFERROR(__xludf.DUMMYFUNCTION("""COMPUTED_VALUE"""),"")</f>
        <v/>
      </c>
      <c r="S189" s="36" t="str">
        <f ca="1">IFERROR(__xludf.DUMMYFUNCTION("""COMPUTED_VALUE"""),"")</f>
        <v/>
      </c>
      <c r="T189" s="36" t="str">
        <f ca="1">IFERROR(__xludf.DUMMYFUNCTION("""COMPUTED_VALUE"""),"")</f>
        <v/>
      </c>
      <c r="U189" s="36" t="str">
        <f ca="1">IFERROR(__xludf.DUMMYFUNCTION("""COMPUTED_VALUE"""),"")</f>
        <v/>
      </c>
      <c r="V189" s="36" t="str">
        <f ca="1">IFERROR(__xludf.DUMMYFUNCTION("""COMPUTED_VALUE"""),"")</f>
        <v/>
      </c>
      <c r="W189" s="36" t="str">
        <f ca="1">IFERROR(__xludf.DUMMYFUNCTION("""COMPUTED_VALUE"""),"")</f>
        <v/>
      </c>
      <c r="X189" s="36"/>
      <c r="Y189" s="36"/>
      <c r="Z189" s="36"/>
    </row>
    <row r="190" spans="1:26" ht="12.75" hidden="1">
      <c r="A190" s="36" t="str">
        <f ca="1">IFERROR(__xludf.DUMMYFUNCTION("""COMPUTED_VALUE"""),"")</f>
        <v/>
      </c>
      <c r="B190" s="36" t="str">
        <f ca="1">IFERROR(__xludf.DUMMYFUNCTION("""COMPUTED_VALUE"""),"")</f>
        <v/>
      </c>
      <c r="C190" s="36" t="str">
        <f ca="1">IFERROR(__xludf.DUMMYFUNCTION("""COMPUTED_VALUE"""),"")</f>
        <v/>
      </c>
      <c r="D190" s="36" t="str">
        <f ca="1">IFERROR(__xludf.DUMMYFUNCTION("""COMPUTED_VALUE"""),"")</f>
        <v/>
      </c>
      <c r="E190" s="36" t="str">
        <f ca="1">IFERROR(__xludf.DUMMYFUNCTION("""COMPUTED_VALUE"""),"")</f>
        <v/>
      </c>
      <c r="F190" s="36" t="str">
        <f ca="1">IFERROR(__xludf.DUMMYFUNCTION("""COMPUTED_VALUE"""),"")</f>
        <v/>
      </c>
      <c r="G190" s="36" t="str">
        <f ca="1">IFERROR(__xludf.DUMMYFUNCTION("""COMPUTED_VALUE"""),"")</f>
        <v/>
      </c>
      <c r="H190" s="36" t="str">
        <f ca="1">IFERROR(__xludf.DUMMYFUNCTION("""COMPUTED_VALUE"""),"")</f>
        <v/>
      </c>
      <c r="I190" s="36" t="str">
        <f ca="1">IFERROR(__xludf.DUMMYFUNCTION("""COMPUTED_VALUE"""),"")</f>
        <v/>
      </c>
      <c r="J190" s="36" t="str">
        <f ca="1">IFERROR(__xludf.DUMMYFUNCTION("""COMPUTED_VALUE"""),"")</f>
        <v/>
      </c>
      <c r="K190" s="36" t="str">
        <f ca="1">IFERROR(__xludf.DUMMYFUNCTION("""COMPUTED_VALUE"""),"")</f>
        <v/>
      </c>
      <c r="L190" s="36" t="str">
        <f ca="1">IFERROR(__xludf.DUMMYFUNCTION("""COMPUTED_VALUE"""),"")</f>
        <v/>
      </c>
      <c r="M190" s="36" t="str">
        <f ca="1">IFERROR(__xludf.DUMMYFUNCTION("""COMPUTED_VALUE"""),"")</f>
        <v/>
      </c>
      <c r="N190" s="36" t="str">
        <f ca="1">IFERROR(__xludf.DUMMYFUNCTION("""COMPUTED_VALUE"""),"")</f>
        <v/>
      </c>
      <c r="O190" s="36" t="str">
        <f ca="1">IFERROR(__xludf.DUMMYFUNCTION("""COMPUTED_VALUE"""),"")</f>
        <v/>
      </c>
      <c r="P190" s="36" t="str">
        <f ca="1">IFERROR(__xludf.DUMMYFUNCTION("""COMPUTED_VALUE"""),"")</f>
        <v/>
      </c>
      <c r="Q190" s="36" t="str">
        <f ca="1">IFERROR(__xludf.DUMMYFUNCTION("""COMPUTED_VALUE"""),"")</f>
        <v/>
      </c>
      <c r="R190" s="36" t="str">
        <f ca="1">IFERROR(__xludf.DUMMYFUNCTION("""COMPUTED_VALUE"""),"")</f>
        <v/>
      </c>
      <c r="S190" s="36" t="str">
        <f ca="1">IFERROR(__xludf.DUMMYFUNCTION("""COMPUTED_VALUE"""),"")</f>
        <v/>
      </c>
      <c r="T190" s="36" t="str">
        <f ca="1">IFERROR(__xludf.DUMMYFUNCTION("""COMPUTED_VALUE"""),"")</f>
        <v/>
      </c>
      <c r="U190" s="36" t="str">
        <f ca="1">IFERROR(__xludf.DUMMYFUNCTION("""COMPUTED_VALUE"""),"")</f>
        <v/>
      </c>
      <c r="V190" s="36" t="str">
        <f ca="1">IFERROR(__xludf.DUMMYFUNCTION("""COMPUTED_VALUE"""),"")</f>
        <v/>
      </c>
      <c r="W190" s="36" t="str">
        <f ca="1">IFERROR(__xludf.DUMMYFUNCTION("""COMPUTED_VALUE"""),"")</f>
        <v/>
      </c>
      <c r="X190" s="36"/>
      <c r="Y190" s="36"/>
      <c r="Z190" s="36"/>
    </row>
    <row r="191" spans="1:26" ht="12.75" hidden="1">
      <c r="A191" s="36" t="str">
        <f ca="1">IFERROR(__xludf.DUMMYFUNCTION("""COMPUTED_VALUE"""),"")</f>
        <v/>
      </c>
      <c r="B191" s="36" t="str">
        <f ca="1">IFERROR(__xludf.DUMMYFUNCTION("""COMPUTED_VALUE"""),"")</f>
        <v/>
      </c>
      <c r="C191" s="36" t="str">
        <f ca="1">IFERROR(__xludf.DUMMYFUNCTION("""COMPUTED_VALUE"""),"")</f>
        <v/>
      </c>
      <c r="D191" s="36" t="str">
        <f ca="1">IFERROR(__xludf.DUMMYFUNCTION("""COMPUTED_VALUE"""),"")</f>
        <v/>
      </c>
      <c r="E191" s="36" t="str">
        <f ca="1">IFERROR(__xludf.DUMMYFUNCTION("""COMPUTED_VALUE"""),"")</f>
        <v/>
      </c>
      <c r="F191" s="36" t="str">
        <f ca="1">IFERROR(__xludf.DUMMYFUNCTION("""COMPUTED_VALUE"""),"")</f>
        <v/>
      </c>
      <c r="G191" s="36" t="str">
        <f ca="1">IFERROR(__xludf.DUMMYFUNCTION("""COMPUTED_VALUE"""),"")</f>
        <v/>
      </c>
      <c r="H191" s="36" t="str">
        <f ca="1">IFERROR(__xludf.DUMMYFUNCTION("""COMPUTED_VALUE"""),"")</f>
        <v/>
      </c>
      <c r="I191" s="36" t="str">
        <f ca="1">IFERROR(__xludf.DUMMYFUNCTION("""COMPUTED_VALUE"""),"")</f>
        <v/>
      </c>
      <c r="J191" s="36" t="str">
        <f ca="1">IFERROR(__xludf.DUMMYFUNCTION("""COMPUTED_VALUE"""),"")</f>
        <v/>
      </c>
      <c r="K191" s="36" t="str">
        <f ca="1">IFERROR(__xludf.DUMMYFUNCTION("""COMPUTED_VALUE"""),"")</f>
        <v/>
      </c>
      <c r="L191" s="36" t="str">
        <f ca="1">IFERROR(__xludf.DUMMYFUNCTION("""COMPUTED_VALUE"""),"")</f>
        <v/>
      </c>
      <c r="M191" s="36" t="str">
        <f ca="1">IFERROR(__xludf.DUMMYFUNCTION("""COMPUTED_VALUE"""),"")</f>
        <v/>
      </c>
      <c r="N191" s="36" t="str">
        <f ca="1">IFERROR(__xludf.DUMMYFUNCTION("""COMPUTED_VALUE"""),"")</f>
        <v/>
      </c>
      <c r="O191" s="36" t="str">
        <f ca="1">IFERROR(__xludf.DUMMYFUNCTION("""COMPUTED_VALUE"""),"")</f>
        <v/>
      </c>
      <c r="P191" s="36" t="str">
        <f ca="1">IFERROR(__xludf.DUMMYFUNCTION("""COMPUTED_VALUE"""),"")</f>
        <v/>
      </c>
      <c r="Q191" s="36" t="str">
        <f ca="1">IFERROR(__xludf.DUMMYFUNCTION("""COMPUTED_VALUE"""),"")</f>
        <v/>
      </c>
      <c r="R191" s="36" t="str">
        <f ca="1">IFERROR(__xludf.DUMMYFUNCTION("""COMPUTED_VALUE"""),"")</f>
        <v/>
      </c>
      <c r="S191" s="36" t="str">
        <f ca="1">IFERROR(__xludf.DUMMYFUNCTION("""COMPUTED_VALUE"""),"")</f>
        <v/>
      </c>
      <c r="T191" s="36" t="str">
        <f ca="1">IFERROR(__xludf.DUMMYFUNCTION("""COMPUTED_VALUE"""),"")</f>
        <v/>
      </c>
      <c r="U191" s="36" t="str">
        <f ca="1">IFERROR(__xludf.DUMMYFUNCTION("""COMPUTED_VALUE"""),"")</f>
        <v/>
      </c>
      <c r="V191" s="36" t="str">
        <f ca="1">IFERROR(__xludf.DUMMYFUNCTION("""COMPUTED_VALUE"""),"")</f>
        <v/>
      </c>
      <c r="W191" s="36" t="str">
        <f ca="1">IFERROR(__xludf.DUMMYFUNCTION("""COMPUTED_VALUE"""),"")</f>
        <v/>
      </c>
      <c r="X191" s="36"/>
      <c r="Y191" s="36"/>
      <c r="Z191" s="36"/>
    </row>
    <row r="192" spans="1:26" ht="12.75" hidden="1">
      <c r="A192" s="36" t="str">
        <f ca="1">IFERROR(__xludf.DUMMYFUNCTION("""COMPUTED_VALUE"""),"")</f>
        <v/>
      </c>
      <c r="B192" s="36" t="str">
        <f ca="1">IFERROR(__xludf.DUMMYFUNCTION("""COMPUTED_VALUE"""),"")</f>
        <v/>
      </c>
      <c r="C192" s="36" t="str">
        <f ca="1">IFERROR(__xludf.DUMMYFUNCTION("""COMPUTED_VALUE"""),"")</f>
        <v/>
      </c>
      <c r="D192" s="36" t="str">
        <f ca="1">IFERROR(__xludf.DUMMYFUNCTION("""COMPUTED_VALUE"""),"")</f>
        <v/>
      </c>
      <c r="E192" s="36" t="str">
        <f ca="1">IFERROR(__xludf.DUMMYFUNCTION("""COMPUTED_VALUE"""),"")</f>
        <v/>
      </c>
      <c r="F192" s="36" t="str">
        <f ca="1">IFERROR(__xludf.DUMMYFUNCTION("""COMPUTED_VALUE"""),"")</f>
        <v/>
      </c>
      <c r="G192" s="36" t="str">
        <f ca="1">IFERROR(__xludf.DUMMYFUNCTION("""COMPUTED_VALUE"""),"")</f>
        <v/>
      </c>
      <c r="H192" s="36" t="str">
        <f ca="1">IFERROR(__xludf.DUMMYFUNCTION("""COMPUTED_VALUE"""),"")</f>
        <v/>
      </c>
      <c r="I192" s="36" t="str">
        <f ca="1">IFERROR(__xludf.DUMMYFUNCTION("""COMPUTED_VALUE"""),"")</f>
        <v/>
      </c>
      <c r="J192" s="36" t="str">
        <f ca="1">IFERROR(__xludf.DUMMYFUNCTION("""COMPUTED_VALUE"""),"")</f>
        <v/>
      </c>
      <c r="K192" s="36" t="str">
        <f ca="1">IFERROR(__xludf.DUMMYFUNCTION("""COMPUTED_VALUE"""),"")</f>
        <v/>
      </c>
      <c r="L192" s="36" t="str">
        <f ca="1">IFERROR(__xludf.DUMMYFUNCTION("""COMPUTED_VALUE"""),"")</f>
        <v/>
      </c>
      <c r="M192" s="36" t="str">
        <f ca="1">IFERROR(__xludf.DUMMYFUNCTION("""COMPUTED_VALUE"""),"")</f>
        <v/>
      </c>
      <c r="N192" s="36" t="str">
        <f ca="1">IFERROR(__xludf.DUMMYFUNCTION("""COMPUTED_VALUE"""),"")</f>
        <v/>
      </c>
      <c r="O192" s="36" t="str">
        <f ca="1">IFERROR(__xludf.DUMMYFUNCTION("""COMPUTED_VALUE"""),"")</f>
        <v/>
      </c>
      <c r="P192" s="36" t="str">
        <f ca="1">IFERROR(__xludf.DUMMYFUNCTION("""COMPUTED_VALUE"""),"")</f>
        <v/>
      </c>
      <c r="Q192" s="36" t="str">
        <f ca="1">IFERROR(__xludf.DUMMYFUNCTION("""COMPUTED_VALUE"""),"")</f>
        <v/>
      </c>
      <c r="R192" s="36" t="str">
        <f ca="1">IFERROR(__xludf.DUMMYFUNCTION("""COMPUTED_VALUE"""),"")</f>
        <v/>
      </c>
      <c r="S192" s="36" t="str">
        <f ca="1">IFERROR(__xludf.DUMMYFUNCTION("""COMPUTED_VALUE"""),"")</f>
        <v/>
      </c>
      <c r="T192" s="36" t="str">
        <f ca="1">IFERROR(__xludf.DUMMYFUNCTION("""COMPUTED_VALUE"""),"")</f>
        <v/>
      </c>
      <c r="U192" s="36" t="str">
        <f ca="1">IFERROR(__xludf.DUMMYFUNCTION("""COMPUTED_VALUE"""),"")</f>
        <v/>
      </c>
      <c r="V192" s="36" t="str">
        <f ca="1">IFERROR(__xludf.DUMMYFUNCTION("""COMPUTED_VALUE"""),"")</f>
        <v/>
      </c>
      <c r="W192" s="36" t="str">
        <f ca="1">IFERROR(__xludf.DUMMYFUNCTION("""COMPUTED_VALUE"""),"")</f>
        <v/>
      </c>
      <c r="X192" s="36"/>
      <c r="Y192" s="36"/>
      <c r="Z192" s="36"/>
    </row>
    <row r="193" spans="1:26" ht="12.75" hidden="1">
      <c r="A193" s="36" t="str">
        <f ca="1">IFERROR(__xludf.DUMMYFUNCTION("""COMPUTED_VALUE"""),"")</f>
        <v/>
      </c>
      <c r="B193" s="36" t="str">
        <f ca="1">IFERROR(__xludf.DUMMYFUNCTION("""COMPUTED_VALUE"""),"")</f>
        <v/>
      </c>
      <c r="C193" s="36" t="str">
        <f ca="1">IFERROR(__xludf.DUMMYFUNCTION("""COMPUTED_VALUE"""),"")</f>
        <v/>
      </c>
      <c r="D193" s="36" t="str">
        <f ca="1">IFERROR(__xludf.DUMMYFUNCTION("""COMPUTED_VALUE"""),"")</f>
        <v/>
      </c>
      <c r="E193" s="36" t="str">
        <f ca="1">IFERROR(__xludf.DUMMYFUNCTION("""COMPUTED_VALUE"""),"")</f>
        <v/>
      </c>
      <c r="F193" s="36" t="str">
        <f ca="1">IFERROR(__xludf.DUMMYFUNCTION("""COMPUTED_VALUE"""),"")</f>
        <v/>
      </c>
      <c r="G193" s="36" t="str">
        <f ca="1">IFERROR(__xludf.DUMMYFUNCTION("""COMPUTED_VALUE"""),"")</f>
        <v/>
      </c>
      <c r="H193" s="36" t="str">
        <f ca="1">IFERROR(__xludf.DUMMYFUNCTION("""COMPUTED_VALUE"""),"")</f>
        <v/>
      </c>
      <c r="I193" s="36" t="str">
        <f ca="1">IFERROR(__xludf.DUMMYFUNCTION("""COMPUTED_VALUE"""),"")</f>
        <v/>
      </c>
      <c r="J193" s="36" t="str">
        <f ca="1">IFERROR(__xludf.DUMMYFUNCTION("""COMPUTED_VALUE"""),"")</f>
        <v/>
      </c>
      <c r="K193" s="36" t="str">
        <f ca="1">IFERROR(__xludf.DUMMYFUNCTION("""COMPUTED_VALUE"""),"")</f>
        <v/>
      </c>
      <c r="L193" s="36" t="str">
        <f ca="1">IFERROR(__xludf.DUMMYFUNCTION("""COMPUTED_VALUE"""),"")</f>
        <v/>
      </c>
      <c r="M193" s="36" t="str">
        <f ca="1">IFERROR(__xludf.DUMMYFUNCTION("""COMPUTED_VALUE"""),"")</f>
        <v/>
      </c>
      <c r="N193" s="36" t="str">
        <f ca="1">IFERROR(__xludf.DUMMYFUNCTION("""COMPUTED_VALUE"""),"")</f>
        <v/>
      </c>
      <c r="O193" s="36" t="str">
        <f ca="1">IFERROR(__xludf.DUMMYFUNCTION("""COMPUTED_VALUE"""),"")</f>
        <v/>
      </c>
      <c r="P193" s="36" t="str">
        <f ca="1">IFERROR(__xludf.DUMMYFUNCTION("""COMPUTED_VALUE"""),"")</f>
        <v/>
      </c>
      <c r="Q193" s="36" t="str">
        <f ca="1">IFERROR(__xludf.DUMMYFUNCTION("""COMPUTED_VALUE"""),"")</f>
        <v/>
      </c>
      <c r="R193" s="36" t="str">
        <f ca="1">IFERROR(__xludf.DUMMYFUNCTION("""COMPUTED_VALUE"""),"")</f>
        <v/>
      </c>
      <c r="S193" s="36" t="str">
        <f ca="1">IFERROR(__xludf.DUMMYFUNCTION("""COMPUTED_VALUE"""),"")</f>
        <v/>
      </c>
      <c r="T193" s="36" t="str">
        <f ca="1">IFERROR(__xludf.DUMMYFUNCTION("""COMPUTED_VALUE"""),"")</f>
        <v/>
      </c>
      <c r="U193" s="36" t="str">
        <f ca="1">IFERROR(__xludf.DUMMYFUNCTION("""COMPUTED_VALUE"""),"")</f>
        <v/>
      </c>
      <c r="V193" s="36" t="str">
        <f ca="1">IFERROR(__xludf.DUMMYFUNCTION("""COMPUTED_VALUE"""),"")</f>
        <v/>
      </c>
      <c r="W193" s="36" t="str">
        <f ca="1">IFERROR(__xludf.DUMMYFUNCTION("""COMPUTED_VALUE"""),"")</f>
        <v/>
      </c>
      <c r="X193" s="36"/>
      <c r="Y193" s="36"/>
      <c r="Z193" s="36"/>
    </row>
    <row r="194" spans="1:26" ht="12.75" hidden="1">
      <c r="A194" s="36" t="str">
        <f ca="1">IFERROR(__xludf.DUMMYFUNCTION("""COMPUTED_VALUE"""),"")</f>
        <v/>
      </c>
      <c r="B194" s="36" t="str">
        <f ca="1">IFERROR(__xludf.DUMMYFUNCTION("""COMPUTED_VALUE"""),"")</f>
        <v/>
      </c>
      <c r="C194" s="36" t="str">
        <f ca="1">IFERROR(__xludf.DUMMYFUNCTION("""COMPUTED_VALUE"""),"")</f>
        <v/>
      </c>
      <c r="D194" s="36" t="str">
        <f ca="1">IFERROR(__xludf.DUMMYFUNCTION("""COMPUTED_VALUE"""),"")</f>
        <v/>
      </c>
      <c r="E194" s="36" t="str">
        <f ca="1">IFERROR(__xludf.DUMMYFUNCTION("""COMPUTED_VALUE"""),"")</f>
        <v/>
      </c>
      <c r="F194" s="36" t="str">
        <f ca="1">IFERROR(__xludf.DUMMYFUNCTION("""COMPUTED_VALUE"""),"")</f>
        <v/>
      </c>
      <c r="G194" s="36" t="str">
        <f ca="1">IFERROR(__xludf.DUMMYFUNCTION("""COMPUTED_VALUE"""),"")</f>
        <v/>
      </c>
      <c r="H194" s="36" t="str">
        <f ca="1">IFERROR(__xludf.DUMMYFUNCTION("""COMPUTED_VALUE"""),"")</f>
        <v/>
      </c>
      <c r="I194" s="36" t="str">
        <f ca="1">IFERROR(__xludf.DUMMYFUNCTION("""COMPUTED_VALUE"""),"")</f>
        <v/>
      </c>
      <c r="J194" s="36" t="str">
        <f ca="1">IFERROR(__xludf.DUMMYFUNCTION("""COMPUTED_VALUE"""),"")</f>
        <v/>
      </c>
      <c r="K194" s="36" t="str">
        <f ca="1">IFERROR(__xludf.DUMMYFUNCTION("""COMPUTED_VALUE"""),"")</f>
        <v/>
      </c>
      <c r="L194" s="36" t="str">
        <f ca="1">IFERROR(__xludf.DUMMYFUNCTION("""COMPUTED_VALUE"""),"")</f>
        <v/>
      </c>
      <c r="M194" s="36" t="str">
        <f ca="1">IFERROR(__xludf.DUMMYFUNCTION("""COMPUTED_VALUE"""),"")</f>
        <v/>
      </c>
      <c r="N194" s="36" t="str">
        <f ca="1">IFERROR(__xludf.DUMMYFUNCTION("""COMPUTED_VALUE"""),"")</f>
        <v/>
      </c>
      <c r="O194" s="36" t="str">
        <f ca="1">IFERROR(__xludf.DUMMYFUNCTION("""COMPUTED_VALUE"""),"")</f>
        <v/>
      </c>
      <c r="P194" s="36" t="str">
        <f ca="1">IFERROR(__xludf.DUMMYFUNCTION("""COMPUTED_VALUE"""),"")</f>
        <v/>
      </c>
      <c r="Q194" s="36" t="str">
        <f ca="1">IFERROR(__xludf.DUMMYFUNCTION("""COMPUTED_VALUE"""),"")</f>
        <v/>
      </c>
      <c r="R194" s="36" t="str">
        <f ca="1">IFERROR(__xludf.DUMMYFUNCTION("""COMPUTED_VALUE"""),"")</f>
        <v/>
      </c>
      <c r="S194" s="36" t="str">
        <f ca="1">IFERROR(__xludf.DUMMYFUNCTION("""COMPUTED_VALUE"""),"")</f>
        <v/>
      </c>
      <c r="T194" s="36" t="str">
        <f ca="1">IFERROR(__xludf.DUMMYFUNCTION("""COMPUTED_VALUE"""),"")</f>
        <v/>
      </c>
      <c r="U194" s="36" t="str">
        <f ca="1">IFERROR(__xludf.DUMMYFUNCTION("""COMPUTED_VALUE"""),"")</f>
        <v/>
      </c>
      <c r="V194" s="36" t="str">
        <f ca="1">IFERROR(__xludf.DUMMYFUNCTION("""COMPUTED_VALUE"""),"")</f>
        <v/>
      </c>
      <c r="W194" s="36" t="str">
        <f ca="1">IFERROR(__xludf.DUMMYFUNCTION("""COMPUTED_VALUE"""),"")</f>
        <v/>
      </c>
      <c r="X194" s="36"/>
      <c r="Y194" s="36"/>
      <c r="Z194" s="36"/>
    </row>
    <row r="195" spans="1:26" ht="12.75" hidden="1">
      <c r="A195" s="36" t="str">
        <f ca="1">IFERROR(__xludf.DUMMYFUNCTION("""COMPUTED_VALUE"""),"")</f>
        <v/>
      </c>
      <c r="B195" s="36" t="str">
        <f ca="1">IFERROR(__xludf.DUMMYFUNCTION("""COMPUTED_VALUE"""),"")</f>
        <v/>
      </c>
      <c r="C195" s="36" t="str">
        <f ca="1">IFERROR(__xludf.DUMMYFUNCTION("""COMPUTED_VALUE"""),"")</f>
        <v/>
      </c>
      <c r="D195" s="36" t="str">
        <f ca="1">IFERROR(__xludf.DUMMYFUNCTION("""COMPUTED_VALUE"""),"")</f>
        <v/>
      </c>
      <c r="E195" s="36" t="str">
        <f ca="1">IFERROR(__xludf.DUMMYFUNCTION("""COMPUTED_VALUE"""),"")</f>
        <v/>
      </c>
      <c r="F195" s="36" t="str">
        <f ca="1">IFERROR(__xludf.DUMMYFUNCTION("""COMPUTED_VALUE"""),"")</f>
        <v/>
      </c>
      <c r="G195" s="36" t="str">
        <f ca="1">IFERROR(__xludf.DUMMYFUNCTION("""COMPUTED_VALUE"""),"")</f>
        <v/>
      </c>
      <c r="H195" s="36" t="str">
        <f ca="1">IFERROR(__xludf.DUMMYFUNCTION("""COMPUTED_VALUE"""),"")</f>
        <v/>
      </c>
      <c r="I195" s="36" t="str">
        <f ca="1">IFERROR(__xludf.DUMMYFUNCTION("""COMPUTED_VALUE"""),"")</f>
        <v/>
      </c>
      <c r="J195" s="36" t="str">
        <f ca="1">IFERROR(__xludf.DUMMYFUNCTION("""COMPUTED_VALUE"""),"")</f>
        <v/>
      </c>
      <c r="K195" s="36" t="str">
        <f ca="1">IFERROR(__xludf.DUMMYFUNCTION("""COMPUTED_VALUE"""),"")</f>
        <v/>
      </c>
      <c r="L195" s="36" t="str">
        <f ca="1">IFERROR(__xludf.DUMMYFUNCTION("""COMPUTED_VALUE"""),"")</f>
        <v/>
      </c>
      <c r="M195" s="36" t="str">
        <f ca="1">IFERROR(__xludf.DUMMYFUNCTION("""COMPUTED_VALUE"""),"")</f>
        <v/>
      </c>
      <c r="N195" s="36" t="str">
        <f ca="1">IFERROR(__xludf.DUMMYFUNCTION("""COMPUTED_VALUE"""),"")</f>
        <v/>
      </c>
      <c r="O195" s="36" t="str">
        <f ca="1">IFERROR(__xludf.DUMMYFUNCTION("""COMPUTED_VALUE"""),"")</f>
        <v/>
      </c>
      <c r="P195" s="36" t="str">
        <f ca="1">IFERROR(__xludf.DUMMYFUNCTION("""COMPUTED_VALUE"""),"")</f>
        <v/>
      </c>
      <c r="Q195" s="36" t="str">
        <f ca="1">IFERROR(__xludf.DUMMYFUNCTION("""COMPUTED_VALUE"""),"")</f>
        <v/>
      </c>
      <c r="R195" s="36" t="str">
        <f ca="1">IFERROR(__xludf.DUMMYFUNCTION("""COMPUTED_VALUE"""),"")</f>
        <v/>
      </c>
      <c r="S195" s="36" t="str">
        <f ca="1">IFERROR(__xludf.DUMMYFUNCTION("""COMPUTED_VALUE"""),"")</f>
        <v/>
      </c>
      <c r="T195" s="36" t="str">
        <f ca="1">IFERROR(__xludf.DUMMYFUNCTION("""COMPUTED_VALUE"""),"")</f>
        <v/>
      </c>
      <c r="U195" s="36" t="str">
        <f ca="1">IFERROR(__xludf.DUMMYFUNCTION("""COMPUTED_VALUE"""),"")</f>
        <v/>
      </c>
      <c r="V195" s="36" t="str">
        <f ca="1">IFERROR(__xludf.DUMMYFUNCTION("""COMPUTED_VALUE"""),"")</f>
        <v/>
      </c>
      <c r="W195" s="36" t="str">
        <f ca="1">IFERROR(__xludf.DUMMYFUNCTION("""COMPUTED_VALUE"""),"")</f>
        <v/>
      </c>
      <c r="X195" s="36"/>
      <c r="Y195" s="36"/>
      <c r="Z195" s="36"/>
    </row>
    <row r="196" spans="1:26" ht="12.75" hidden="1">
      <c r="A196" s="36" t="str">
        <f ca="1">IFERROR(__xludf.DUMMYFUNCTION("""COMPUTED_VALUE"""),"")</f>
        <v/>
      </c>
      <c r="B196" s="36" t="str">
        <f ca="1">IFERROR(__xludf.DUMMYFUNCTION("""COMPUTED_VALUE"""),"")</f>
        <v/>
      </c>
      <c r="C196" s="36" t="str">
        <f ca="1">IFERROR(__xludf.DUMMYFUNCTION("""COMPUTED_VALUE"""),"")</f>
        <v/>
      </c>
      <c r="D196" s="36" t="str">
        <f ca="1">IFERROR(__xludf.DUMMYFUNCTION("""COMPUTED_VALUE"""),"")</f>
        <v/>
      </c>
      <c r="E196" s="36" t="str">
        <f ca="1">IFERROR(__xludf.DUMMYFUNCTION("""COMPUTED_VALUE"""),"")</f>
        <v/>
      </c>
      <c r="F196" s="36" t="str">
        <f ca="1">IFERROR(__xludf.DUMMYFUNCTION("""COMPUTED_VALUE"""),"")</f>
        <v/>
      </c>
      <c r="G196" s="36" t="str">
        <f ca="1">IFERROR(__xludf.DUMMYFUNCTION("""COMPUTED_VALUE"""),"")</f>
        <v/>
      </c>
      <c r="H196" s="36" t="str">
        <f ca="1">IFERROR(__xludf.DUMMYFUNCTION("""COMPUTED_VALUE"""),"")</f>
        <v/>
      </c>
      <c r="I196" s="36" t="str">
        <f ca="1">IFERROR(__xludf.DUMMYFUNCTION("""COMPUTED_VALUE"""),"")</f>
        <v/>
      </c>
      <c r="J196" s="36" t="str">
        <f ca="1">IFERROR(__xludf.DUMMYFUNCTION("""COMPUTED_VALUE"""),"")</f>
        <v/>
      </c>
      <c r="K196" s="36" t="str">
        <f ca="1">IFERROR(__xludf.DUMMYFUNCTION("""COMPUTED_VALUE"""),"")</f>
        <v/>
      </c>
      <c r="L196" s="36" t="str">
        <f ca="1">IFERROR(__xludf.DUMMYFUNCTION("""COMPUTED_VALUE"""),"")</f>
        <v/>
      </c>
      <c r="M196" s="36" t="str">
        <f ca="1">IFERROR(__xludf.DUMMYFUNCTION("""COMPUTED_VALUE"""),"")</f>
        <v/>
      </c>
      <c r="N196" s="36" t="str">
        <f ca="1">IFERROR(__xludf.DUMMYFUNCTION("""COMPUTED_VALUE"""),"")</f>
        <v/>
      </c>
      <c r="O196" s="36" t="str">
        <f ca="1">IFERROR(__xludf.DUMMYFUNCTION("""COMPUTED_VALUE"""),"")</f>
        <v/>
      </c>
      <c r="P196" s="36" t="str">
        <f ca="1">IFERROR(__xludf.DUMMYFUNCTION("""COMPUTED_VALUE"""),"")</f>
        <v/>
      </c>
      <c r="Q196" s="36" t="str">
        <f ca="1">IFERROR(__xludf.DUMMYFUNCTION("""COMPUTED_VALUE"""),"")</f>
        <v/>
      </c>
      <c r="R196" s="36" t="str">
        <f ca="1">IFERROR(__xludf.DUMMYFUNCTION("""COMPUTED_VALUE"""),"")</f>
        <v/>
      </c>
      <c r="S196" s="36" t="str">
        <f ca="1">IFERROR(__xludf.DUMMYFUNCTION("""COMPUTED_VALUE"""),"")</f>
        <v/>
      </c>
      <c r="T196" s="36" t="str">
        <f ca="1">IFERROR(__xludf.DUMMYFUNCTION("""COMPUTED_VALUE"""),"")</f>
        <v/>
      </c>
      <c r="U196" s="36" t="str">
        <f ca="1">IFERROR(__xludf.DUMMYFUNCTION("""COMPUTED_VALUE"""),"")</f>
        <v/>
      </c>
      <c r="V196" s="36" t="str">
        <f ca="1">IFERROR(__xludf.DUMMYFUNCTION("""COMPUTED_VALUE"""),"")</f>
        <v/>
      </c>
      <c r="W196" s="36" t="str">
        <f ca="1">IFERROR(__xludf.DUMMYFUNCTION("""COMPUTED_VALUE"""),"")</f>
        <v/>
      </c>
      <c r="X196" s="36"/>
      <c r="Y196" s="36"/>
      <c r="Z196" s="36"/>
    </row>
    <row r="197" spans="1:26" ht="12.75" hidden="1">
      <c r="A197" s="36" t="str">
        <f ca="1">IFERROR(__xludf.DUMMYFUNCTION("""COMPUTED_VALUE"""),"")</f>
        <v/>
      </c>
      <c r="B197" s="36" t="str">
        <f ca="1">IFERROR(__xludf.DUMMYFUNCTION("""COMPUTED_VALUE"""),"")</f>
        <v/>
      </c>
      <c r="C197" s="36" t="str">
        <f ca="1">IFERROR(__xludf.DUMMYFUNCTION("""COMPUTED_VALUE"""),"")</f>
        <v/>
      </c>
      <c r="D197" s="36" t="str">
        <f ca="1">IFERROR(__xludf.DUMMYFUNCTION("""COMPUTED_VALUE"""),"")</f>
        <v/>
      </c>
      <c r="E197" s="36" t="str">
        <f ca="1">IFERROR(__xludf.DUMMYFUNCTION("""COMPUTED_VALUE"""),"")</f>
        <v/>
      </c>
      <c r="F197" s="36" t="str">
        <f ca="1">IFERROR(__xludf.DUMMYFUNCTION("""COMPUTED_VALUE"""),"")</f>
        <v/>
      </c>
      <c r="G197" s="36" t="str">
        <f ca="1">IFERROR(__xludf.DUMMYFUNCTION("""COMPUTED_VALUE"""),"")</f>
        <v/>
      </c>
      <c r="H197" s="36" t="str">
        <f ca="1">IFERROR(__xludf.DUMMYFUNCTION("""COMPUTED_VALUE"""),"")</f>
        <v/>
      </c>
      <c r="I197" s="36" t="str">
        <f ca="1">IFERROR(__xludf.DUMMYFUNCTION("""COMPUTED_VALUE"""),"")</f>
        <v/>
      </c>
      <c r="J197" s="36" t="str">
        <f ca="1">IFERROR(__xludf.DUMMYFUNCTION("""COMPUTED_VALUE"""),"")</f>
        <v/>
      </c>
      <c r="K197" s="36" t="str">
        <f ca="1">IFERROR(__xludf.DUMMYFUNCTION("""COMPUTED_VALUE"""),"")</f>
        <v/>
      </c>
      <c r="L197" s="36" t="str">
        <f ca="1">IFERROR(__xludf.DUMMYFUNCTION("""COMPUTED_VALUE"""),"")</f>
        <v/>
      </c>
      <c r="M197" s="36" t="str">
        <f ca="1">IFERROR(__xludf.DUMMYFUNCTION("""COMPUTED_VALUE"""),"")</f>
        <v/>
      </c>
      <c r="N197" s="36" t="str">
        <f ca="1">IFERROR(__xludf.DUMMYFUNCTION("""COMPUTED_VALUE"""),"")</f>
        <v/>
      </c>
      <c r="O197" s="36" t="str">
        <f ca="1">IFERROR(__xludf.DUMMYFUNCTION("""COMPUTED_VALUE"""),"")</f>
        <v/>
      </c>
      <c r="P197" s="36" t="str">
        <f ca="1">IFERROR(__xludf.DUMMYFUNCTION("""COMPUTED_VALUE"""),"")</f>
        <v/>
      </c>
      <c r="Q197" s="36" t="str">
        <f ca="1">IFERROR(__xludf.DUMMYFUNCTION("""COMPUTED_VALUE"""),"")</f>
        <v/>
      </c>
      <c r="R197" s="36" t="str">
        <f ca="1">IFERROR(__xludf.DUMMYFUNCTION("""COMPUTED_VALUE"""),"")</f>
        <v/>
      </c>
      <c r="S197" s="36" t="str">
        <f ca="1">IFERROR(__xludf.DUMMYFUNCTION("""COMPUTED_VALUE"""),"")</f>
        <v/>
      </c>
      <c r="T197" s="36" t="str">
        <f ca="1">IFERROR(__xludf.DUMMYFUNCTION("""COMPUTED_VALUE"""),"")</f>
        <v/>
      </c>
      <c r="U197" s="36" t="str">
        <f ca="1">IFERROR(__xludf.DUMMYFUNCTION("""COMPUTED_VALUE"""),"")</f>
        <v/>
      </c>
      <c r="V197" s="36" t="str">
        <f ca="1">IFERROR(__xludf.DUMMYFUNCTION("""COMPUTED_VALUE"""),"")</f>
        <v/>
      </c>
      <c r="W197" s="36" t="str">
        <f ca="1">IFERROR(__xludf.DUMMYFUNCTION("""COMPUTED_VALUE"""),"")</f>
        <v/>
      </c>
      <c r="X197" s="36"/>
      <c r="Y197" s="36"/>
      <c r="Z197" s="36"/>
    </row>
    <row r="198" spans="1:26" ht="12.75" hidden="1">
      <c r="A198" s="36" t="str">
        <f ca="1">IFERROR(__xludf.DUMMYFUNCTION("""COMPUTED_VALUE"""),"")</f>
        <v/>
      </c>
      <c r="B198" s="36" t="str">
        <f ca="1">IFERROR(__xludf.DUMMYFUNCTION("""COMPUTED_VALUE"""),"")</f>
        <v/>
      </c>
      <c r="C198" s="36" t="str">
        <f ca="1">IFERROR(__xludf.DUMMYFUNCTION("""COMPUTED_VALUE"""),"")</f>
        <v/>
      </c>
      <c r="D198" s="36" t="str">
        <f ca="1">IFERROR(__xludf.DUMMYFUNCTION("""COMPUTED_VALUE"""),"")</f>
        <v/>
      </c>
      <c r="E198" s="36" t="str">
        <f ca="1">IFERROR(__xludf.DUMMYFUNCTION("""COMPUTED_VALUE"""),"")</f>
        <v/>
      </c>
      <c r="F198" s="36" t="str">
        <f ca="1">IFERROR(__xludf.DUMMYFUNCTION("""COMPUTED_VALUE"""),"")</f>
        <v/>
      </c>
      <c r="G198" s="36" t="str">
        <f ca="1">IFERROR(__xludf.DUMMYFUNCTION("""COMPUTED_VALUE"""),"")</f>
        <v/>
      </c>
      <c r="H198" s="36" t="str">
        <f ca="1">IFERROR(__xludf.DUMMYFUNCTION("""COMPUTED_VALUE"""),"")</f>
        <v/>
      </c>
      <c r="I198" s="36" t="str">
        <f ca="1">IFERROR(__xludf.DUMMYFUNCTION("""COMPUTED_VALUE"""),"")</f>
        <v/>
      </c>
      <c r="J198" s="36" t="str">
        <f ca="1">IFERROR(__xludf.DUMMYFUNCTION("""COMPUTED_VALUE"""),"")</f>
        <v/>
      </c>
      <c r="K198" s="36" t="str">
        <f ca="1">IFERROR(__xludf.DUMMYFUNCTION("""COMPUTED_VALUE"""),"")</f>
        <v/>
      </c>
      <c r="L198" s="36" t="str">
        <f ca="1">IFERROR(__xludf.DUMMYFUNCTION("""COMPUTED_VALUE"""),"")</f>
        <v/>
      </c>
      <c r="M198" s="36" t="str">
        <f ca="1">IFERROR(__xludf.DUMMYFUNCTION("""COMPUTED_VALUE"""),"")</f>
        <v/>
      </c>
      <c r="N198" s="36" t="str">
        <f ca="1">IFERROR(__xludf.DUMMYFUNCTION("""COMPUTED_VALUE"""),"")</f>
        <v/>
      </c>
      <c r="O198" s="36" t="str">
        <f ca="1">IFERROR(__xludf.DUMMYFUNCTION("""COMPUTED_VALUE"""),"")</f>
        <v/>
      </c>
      <c r="P198" s="36" t="str">
        <f ca="1">IFERROR(__xludf.DUMMYFUNCTION("""COMPUTED_VALUE"""),"")</f>
        <v/>
      </c>
      <c r="Q198" s="36" t="str">
        <f ca="1">IFERROR(__xludf.DUMMYFUNCTION("""COMPUTED_VALUE"""),"")</f>
        <v/>
      </c>
      <c r="R198" s="36" t="str">
        <f ca="1">IFERROR(__xludf.DUMMYFUNCTION("""COMPUTED_VALUE"""),"")</f>
        <v/>
      </c>
      <c r="S198" s="36" t="str">
        <f ca="1">IFERROR(__xludf.DUMMYFUNCTION("""COMPUTED_VALUE"""),"")</f>
        <v/>
      </c>
      <c r="T198" s="36" t="str">
        <f ca="1">IFERROR(__xludf.DUMMYFUNCTION("""COMPUTED_VALUE"""),"")</f>
        <v/>
      </c>
      <c r="U198" s="36" t="str">
        <f ca="1">IFERROR(__xludf.DUMMYFUNCTION("""COMPUTED_VALUE"""),"")</f>
        <v/>
      </c>
      <c r="V198" s="36" t="str">
        <f ca="1">IFERROR(__xludf.DUMMYFUNCTION("""COMPUTED_VALUE"""),"")</f>
        <v/>
      </c>
      <c r="W198" s="36" t="str">
        <f ca="1">IFERROR(__xludf.DUMMYFUNCTION("""COMPUTED_VALUE"""),"")</f>
        <v/>
      </c>
      <c r="X198" s="36"/>
      <c r="Y198" s="36"/>
      <c r="Z198" s="36"/>
    </row>
    <row r="199" spans="1:26" ht="12.75" hidden="1">
      <c r="A199" s="36" t="str">
        <f ca="1">IFERROR(__xludf.DUMMYFUNCTION("""COMPUTED_VALUE"""),"")</f>
        <v/>
      </c>
      <c r="B199" s="36" t="str">
        <f ca="1">IFERROR(__xludf.DUMMYFUNCTION("""COMPUTED_VALUE"""),"")</f>
        <v/>
      </c>
      <c r="C199" s="36" t="str">
        <f ca="1">IFERROR(__xludf.DUMMYFUNCTION("""COMPUTED_VALUE"""),"")</f>
        <v/>
      </c>
      <c r="D199" s="36" t="str">
        <f ca="1">IFERROR(__xludf.DUMMYFUNCTION("""COMPUTED_VALUE"""),"")</f>
        <v/>
      </c>
      <c r="E199" s="36" t="str">
        <f ca="1">IFERROR(__xludf.DUMMYFUNCTION("""COMPUTED_VALUE"""),"")</f>
        <v/>
      </c>
      <c r="F199" s="36" t="str">
        <f ca="1">IFERROR(__xludf.DUMMYFUNCTION("""COMPUTED_VALUE"""),"")</f>
        <v/>
      </c>
      <c r="G199" s="36" t="str">
        <f ca="1">IFERROR(__xludf.DUMMYFUNCTION("""COMPUTED_VALUE"""),"")</f>
        <v/>
      </c>
      <c r="H199" s="36" t="str">
        <f ca="1">IFERROR(__xludf.DUMMYFUNCTION("""COMPUTED_VALUE"""),"")</f>
        <v/>
      </c>
      <c r="I199" s="36" t="str">
        <f ca="1">IFERROR(__xludf.DUMMYFUNCTION("""COMPUTED_VALUE"""),"")</f>
        <v/>
      </c>
      <c r="J199" s="36" t="str">
        <f ca="1">IFERROR(__xludf.DUMMYFUNCTION("""COMPUTED_VALUE"""),"")</f>
        <v/>
      </c>
      <c r="K199" s="36" t="str">
        <f ca="1">IFERROR(__xludf.DUMMYFUNCTION("""COMPUTED_VALUE"""),"")</f>
        <v/>
      </c>
      <c r="L199" s="36" t="str">
        <f ca="1">IFERROR(__xludf.DUMMYFUNCTION("""COMPUTED_VALUE"""),"")</f>
        <v/>
      </c>
      <c r="M199" s="36" t="str">
        <f ca="1">IFERROR(__xludf.DUMMYFUNCTION("""COMPUTED_VALUE"""),"")</f>
        <v/>
      </c>
      <c r="N199" s="36" t="str">
        <f ca="1">IFERROR(__xludf.DUMMYFUNCTION("""COMPUTED_VALUE"""),"")</f>
        <v/>
      </c>
      <c r="O199" s="36" t="str">
        <f ca="1">IFERROR(__xludf.DUMMYFUNCTION("""COMPUTED_VALUE"""),"")</f>
        <v/>
      </c>
      <c r="P199" s="36" t="str">
        <f ca="1">IFERROR(__xludf.DUMMYFUNCTION("""COMPUTED_VALUE"""),"")</f>
        <v/>
      </c>
      <c r="Q199" s="36" t="str">
        <f ca="1">IFERROR(__xludf.DUMMYFUNCTION("""COMPUTED_VALUE"""),"")</f>
        <v/>
      </c>
      <c r="R199" s="36" t="str">
        <f ca="1">IFERROR(__xludf.DUMMYFUNCTION("""COMPUTED_VALUE"""),"")</f>
        <v/>
      </c>
      <c r="S199" s="36" t="str">
        <f ca="1">IFERROR(__xludf.DUMMYFUNCTION("""COMPUTED_VALUE"""),"")</f>
        <v/>
      </c>
      <c r="T199" s="36" t="str">
        <f ca="1">IFERROR(__xludf.DUMMYFUNCTION("""COMPUTED_VALUE"""),"")</f>
        <v/>
      </c>
      <c r="U199" s="36" t="str">
        <f ca="1">IFERROR(__xludf.DUMMYFUNCTION("""COMPUTED_VALUE"""),"")</f>
        <v/>
      </c>
      <c r="V199" s="36" t="str">
        <f ca="1">IFERROR(__xludf.DUMMYFUNCTION("""COMPUTED_VALUE"""),"")</f>
        <v/>
      </c>
      <c r="W199" s="36" t="str">
        <f ca="1">IFERROR(__xludf.DUMMYFUNCTION("""COMPUTED_VALUE"""),"")</f>
        <v/>
      </c>
      <c r="X199" s="36"/>
      <c r="Y199" s="36"/>
      <c r="Z199" s="36"/>
    </row>
    <row r="200" spans="1:26" ht="12.75" hidden="1">
      <c r="A200" s="36" t="str">
        <f ca="1">IFERROR(__xludf.DUMMYFUNCTION("""COMPUTED_VALUE"""),"")</f>
        <v/>
      </c>
      <c r="B200" s="36" t="str">
        <f ca="1">IFERROR(__xludf.DUMMYFUNCTION("""COMPUTED_VALUE"""),"")</f>
        <v/>
      </c>
      <c r="C200" s="36" t="str">
        <f ca="1">IFERROR(__xludf.DUMMYFUNCTION("""COMPUTED_VALUE"""),"")</f>
        <v/>
      </c>
      <c r="D200" s="36" t="str">
        <f ca="1">IFERROR(__xludf.DUMMYFUNCTION("""COMPUTED_VALUE"""),"")</f>
        <v/>
      </c>
      <c r="E200" s="36" t="str">
        <f ca="1">IFERROR(__xludf.DUMMYFUNCTION("""COMPUTED_VALUE"""),"")</f>
        <v/>
      </c>
      <c r="F200" s="36" t="str">
        <f ca="1">IFERROR(__xludf.DUMMYFUNCTION("""COMPUTED_VALUE"""),"")</f>
        <v/>
      </c>
      <c r="G200" s="36" t="str">
        <f ca="1">IFERROR(__xludf.DUMMYFUNCTION("""COMPUTED_VALUE"""),"")</f>
        <v/>
      </c>
      <c r="H200" s="36" t="str">
        <f ca="1">IFERROR(__xludf.DUMMYFUNCTION("""COMPUTED_VALUE"""),"")</f>
        <v/>
      </c>
      <c r="I200" s="36" t="str">
        <f ca="1">IFERROR(__xludf.DUMMYFUNCTION("""COMPUTED_VALUE"""),"")</f>
        <v/>
      </c>
      <c r="J200" s="36" t="str">
        <f ca="1">IFERROR(__xludf.DUMMYFUNCTION("""COMPUTED_VALUE"""),"")</f>
        <v/>
      </c>
      <c r="K200" s="36" t="str">
        <f ca="1">IFERROR(__xludf.DUMMYFUNCTION("""COMPUTED_VALUE"""),"")</f>
        <v/>
      </c>
      <c r="L200" s="36" t="str">
        <f ca="1">IFERROR(__xludf.DUMMYFUNCTION("""COMPUTED_VALUE"""),"")</f>
        <v/>
      </c>
      <c r="M200" s="36" t="str">
        <f ca="1">IFERROR(__xludf.DUMMYFUNCTION("""COMPUTED_VALUE"""),"")</f>
        <v/>
      </c>
      <c r="N200" s="36" t="str">
        <f ca="1">IFERROR(__xludf.DUMMYFUNCTION("""COMPUTED_VALUE"""),"")</f>
        <v/>
      </c>
      <c r="O200" s="36" t="str">
        <f ca="1">IFERROR(__xludf.DUMMYFUNCTION("""COMPUTED_VALUE"""),"")</f>
        <v/>
      </c>
      <c r="P200" s="36" t="str">
        <f ca="1">IFERROR(__xludf.DUMMYFUNCTION("""COMPUTED_VALUE"""),"")</f>
        <v/>
      </c>
      <c r="Q200" s="36" t="str">
        <f ca="1">IFERROR(__xludf.DUMMYFUNCTION("""COMPUTED_VALUE"""),"")</f>
        <v/>
      </c>
      <c r="R200" s="36" t="str">
        <f ca="1">IFERROR(__xludf.DUMMYFUNCTION("""COMPUTED_VALUE"""),"")</f>
        <v/>
      </c>
      <c r="S200" s="36" t="str">
        <f ca="1">IFERROR(__xludf.DUMMYFUNCTION("""COMPUTED_VALUE"""),"")</f>
        <v/>
      </c>
      <c r="T200" s="36" t="str">
        <f ca="1">IFERROR(__xludf.DUMMYFUNCTION("""COMPUTED_VALUE"""),"")</f>
        <v/>
      </c>
      <c r="U200" s="36" t="str">
        <f ca="1">IFERROR(__xludf.DUMMYFUNCTION("""COMPUTED_VALUE"""),"")</f>
        <v/>
      </c>
      <c r="V200" s="36" t="str">
        <f ca="1">IFERROR(__xludf.DUMMYFUNCTION("""COMPUTED_VALUE"""),"")</f>
        <v/>
      </c>
      <c r="W200" s="36" t="str">
        <f ca="1">IFERROR(__xludf.DUMMYFUNCTION("""COMPUTED_VALUE"""),"")</f>
        <v/>
      </c>
      <c r="X200" s="36"/>
      <c r="Y200" s="36"/>
      <c r="Z200" s="36"/>
    </row>
    <row r="201" spans="1:26" ht="12.75" hidden="1">
      <c r="A201" s="36" t="str">
        <f ca="1">IFERROR(__xludf.DUMMYFUNCTION("""COMPUTED_VALUE"""),"")</f>
        <v/>
      </c>
      <c r="B201" s="36" t="str">
        <f ca="1">IFERROR(__xludf.DUMMYFUNCTION("""COMPUTED_VALUE"""),"")</f>
        <v/>
      </c>
      <c r="C201" s="36" t="str">
        <f ca="1">IFERROR(__xludf.DUMMYFUNCTION("""COMPUTED_VALUE"""),"")</f>
        <v/>
      </c>
      <c r="D201" s="36" t="str">
        <f ca="1">IFERROR(__xludf.DUMMYFUNCTION("""COMPUTED_VALUE"""),"")</f>
        <v/>
      </c>
      <c r="E201" s="36" t="str">
        <f ca="1">IFERROR(__xludf.DUMMYFUNCTION("""COMPUTED_VALUE"""),"")</f>
        <v/>
      </c>
      <c r="F201" s="36" t="str">
        <f ca="1">IFERROR(__xludf.DUMMYFUNCTION("""COMPUTED_VALUE"""),"")</f>
        <v/>
      </c>
      <c r="G201" s="36" t="str">
        <f ca="1">IFERROR(__xludf.DUMMYFUNCTION("""COMPUTED_VALUE"""),"")</f>
        <v/>
      </c>
      <c r="H201" s="36" t="str">
        <f ca="1">IFERROR(__xludf.DUMMYFUNCTION("""COMPUTED_VALUE"""),"")</f>
        <v/>
      </c>
      <c r="I201" s="36" t="str">
        <f ca="1">IFERROR(__xludf.DUMMYFUNCTION("""COMPUTED_VALUE"""),"")</f>
        <v/>
      </c>
      <c r="J201" s="36" t="str">
        <f ca="1">IFERROR(__xludf.DUMMYFUNCTION("""COMPUTED_VALUE"""),"")</f>
        <v/>
      </c>
      <c r="K201" s="36" t="str">
        <f ca="1">IFERROR(__xludf.DUMMYFUNCTION("""COMPUTED_VALUE"""),"")</f>
        <v/>
      </c>
      <c r="L201" s="36" t="str">
        <f ca="1">IFERROR(__xludf.DUMMYFUNCTION("""COMPUTED_VALUE"""),"")</f>
        <v/>
      </c>
      <c r="M201" s="36" t="str">
        <f ca="1">IFERROR(__xludf.DUMMYFUNCTION("""COMPUTED_VALUE"""),"")</f>
        <v/>
      </c>
      <c r="N201" s="36" t="str">
        <f ca="1">IFERROR(__xludf.DUMMYFUNCTION("""COMPUTED_VALUE"""),"")</f>
        <v/>
      </c>
      <c r="O201" s="36" t="str">
        <f ca="1">IFERROR(__xludf.DUMMYFUNCTION("""COMPUTED_VALUE"""),"")</f>
        <v/>
      </c>
      <c r="P201" s="36" t="str">
        <f ca="1">IFERROR(__xludf.DUMMYFUNCTION("""COMPUTED_VALUE"""),"")</f>
        <v/>
      </c>
      <c r="Q201" s="36" t="str">
        <f ca="1">IFERROR(__xludf.DUMMYFUNCTION("""COMPUTED_VALUE"""),"")</f>
        <v/>
      </c>
      <c r="R201" s="36" t="str">
        <f ca="1">IFERROR(__xludf.DUMMYFUNCTION("""COMPUTED_VALUE"""),"")</f>
        <v/>
      </c>
      <c r="S201" s="36" t="str">
        <f ca="1">IFERROR(__xludf.DUMMYFUNCTION("""COMPUTED_VALUE"""),"")</f>
        <v/>
      </c>
      <c r="T201" s="36" t="str">
        <f ca="1">IFERROR(__xludf.DUMMYFUNCTION("""COMPUTED_VALUE"""),"")</f>
        <v/>
      </c>
      <c r="U201" s="36" t="str">
        <f ca="1">IFERROR(__xludf.DUMMYFUNCTION("""COMPUTED_VALUE"""),"")</f>
        <v/>
      </c>
      <c r="V201" s="36" t="str">
        <f ca="1">IFERROR(__xludf.DUMMYFUNCTION("""COMPUTED_VALUE"""),"")</f>
        <v/>
      </c>
      <c r="W201" s="36" t="str">
        <f ca="1">IFERROR(__xludf.DUMMYFUNCTION("""COMPUTED_VALUE"""),"")</f>
        <v/>
      </c>
      <c r="X201" s="36"/>
      <c r="Y201" s="36"/>
      <c r="Z201" s="36"/>
    </row>
    <row r="202" spans="1:26" ht="12.75" hidden="1">
      <c r="A202" s="36" t="str">
        <f ca="1">IFERROR(__xludf.DUMMYFUNCTION("""COMPUTED_VALUE"""),"")</f>
        <v/>
      </c>
      <c r="B202" s="36" t="str">
        <f ca="1">IFERROR(__xludf.DUMMYFUNCTION("""COMPUTED_VALUE"""),"")</f>
        <v/>
      </c>
      <c r="C202" s="36" t="str">
        <f ca="1">IFERROR(__xludf.DUMMYFUNCTION("""COMPUTED_VALUE"""),"")</f>
        <v/>
      </c>
      <c r="D202" s="36" t="str">
        <f ca="1">IFERROR(__xludf.DUMMYFUNCTION("""COMPUTED_VALUE"""),"")</f>
        <v/>
      </c>
      <c r="E202" s="36" t="str">
        <f ca="1">IFERROR(__xludf.DUMMYFUNCTION("""COMPUTED_VALUE"""),"")</f>
        <v/>
      </c>
      <c r="F202" s="36" t="str">
        <f ca="1">IFERROR(__xludf.DUMMYFUNCTION("""COMPUTED_VALUE"""),"")</f>
        <v/>
      </c>
      <c r="G202" s="36" t="str">
        <f ca="1">IFERROR(__xludf.DUMMYFUNCTION("""COMPUTED_VALUE"""),"")</f>
        <v/>
      </c>
      <c r="H202" s="36" t="str">
        <f ca="1">IFERROR(__xludf.DUMMYFUNCTION("""COMPUTED_VALUE"""),"")</f>
        <v/>
      </c>
      <c r="I202" s="36" t="str">
        <f ca="1">IFERROR(__xludf.DUMMYFUNCTION("""COMPUTED_VALUE"""),"")</f>
        <v/>
      </c>
      <c r="J202" s="36" t="str">
        <f ca="1">IFERROR(__xludf.DUMMYFUNCTION("""COMPUTED_VALUE"""),"")</f>
        <v/>
      </c>
      <c r="K202" s="36" t="str">
        <f ca="1">IFERROR(__xludf.DUMMYFUNCTION("""COMPUTED_VALUE"""),"")</f>
        <v/>
      </c>
      <c r="L202" s="36" t="str">
        <f ca="1">IFERROR(__xludf.DUMMYFUNCTION("""COMPUTED_VALUE"""),"")</f>
        <v/>
      </c>
      <c r="M202" s="36" t="str">
        <f ca="1">IFERROR(__xludf.DUMMYFUNCTION("""COMPUTED_VALUE"""),"")</f>
        <v/>
      </c>
      <c r="N202" s="36" t="str">
        <f ca="1">IFERROR(__xludf.DUMMYFUNCTION("""COMPUTED_VALUE"""),"")</f>
        <v/>
      </c>
      <c r="O202" s="36" t="str">
        <f ca="1">IFERROR(__xludf.DUMMYFUNCTION("""COMPUTED_VALUE"""),"")</f>
        <v/>
      </c>
      <c r="P202" s="36" t="str">
        <f ca="1">IFERROR(__xludf.DUMMYFUNCTION("""COMPUTED_VALUE"""),"")</f>
        <v/>
      </c>
      <c r="Q202" s="36" t="str">
        <f ca="1">IFERROR(__xludf.DUMMYFUNCTION("""COMPUTED_VALUE"""),"")</f>
        <v/>
      </c>
      <c r="R202" s="36" t="str">
        <f ca="1">IFERROR(__xludf.DUMMYFUNCTION("""COMPUTED_VALUE"""),"")</f>
        <v/>
      </c>
      <c r="S202" s="36" t="str">
        <f ca="1">IFERROR(__xludf.DUMMYFUNCTION("""COMPUTED_VALUE"""),"")</f>
        <v/>
      </c>
      <c r="T202" s="36" t="str">
        <f ca="1">IFERROR(__xludf.DUMMYFUNCTION("""COMPUTED_VALUE"""),"")</f>
        <v/>
      </c>
      <c r="U202" s="36" t="str">
        <f ca="1">IFERROR(__xludf.DUMMYFUNCTION("""COMPUTED_VALUE"""),"")</f>
        <v/>
      </c>
      <c r="V202" s="36" t="str">
        <f ca="1">IFERROR(__xludf.DUMMYFUNCTION("""COMPUTED_VALUE"""),"")</f>
        <v/>
      </c>
      <c r="W202" s="36" t="str">
        <f ca="1">IFERROR(__xludf.DUMMYFUNCTION("""COMPUTED_VALUE"""),"")</f>
        <v/>
      </c>
      <c r="X202" s="36"/>
      <c r="Y202" s="36"/>
      <c r="Z202" s="36"/>
    </row>
    <row r="203" spans="1:26" ht="12.75" hidden="1">
      <c r="A203" s="36" t="str">
        <f ca="1">IFERROR(__xludf.DUMMYFUNCTION("""COMPUTED_VALUE"""),"")</f>
        <v/>
      </c>
      <c r="B203" s="36" t="str">
        <f ca="1">IFERROR(__xludf.DUMMYFUNCTION("""COMPUTED_VALUE"""),"")</f>
        <v/>
      </c>
      <c r="C203" s="36" t="str">
        <f ca="1">IFERROR(__xludf.DUMMYFUNCTION("""COMPUTED_VALUE"""),"")</f>
        <v/>
      </c>
      <c r="D203" s="36" t="str">
        <f ca="1">IFERROR(__xludf.DUMMYFUNCTION("""COMPUTED_VALUE"""),"")</f>
        <v/>
      </c>
      <c r="E203" s="36" t="str">
        <f ca="1">IFERROR(__xludf.DUMMYFUNCTION("""COMPUTED_VALUE"""),"")</f>
        <v/>
      </c>
      <c r="F203" s="36" t="str">
        <f ca="1">IFERROR(__xludf.DUMMYFUNCTION("""COMPUTED_VALUE"""),"")</f>
        <v/>
      </c>
      <c r="G203" s="36" t="str">
        <f ca="1">IFERROR(__xludf.DUMMYFUNCTION("""COMPUTED_VALUE"""),"")</f>
        <v/>
      </c>
      <c r="H203" s="36" t="str">
        <f ca="1">IFERROR(__xludf.DUMMYFUNCTION("""COMPUTED_VALUE"""),"")</f>
        <v/>
      </c>
      <c r="I203" s="36" t="str">
        <f ca="1">IFERROR(__xludf.DUMMYFUNCTION("""COMPUTED_VALUE"""),"")</f>
        <v/>
      </c>
      <c r="J203" s="36" t="str">
        <f ca="1">IFERROR(__xludf.DUMMYFUNCTION("""COMPUTED_VALUE"""),"")</f>
        <v/>
      </c>
      <c r="K203" s="36" t="str">
        <f ca="1">IFERROR(__xludf.DUMMYFUNCTION("""COMPUTED_VALUE"""),"")</f>
        <v/>
      </c>
      <c r="L203" s="36" t="str">
        <f ca="1">IFERROR(__xludf.DUMMYFUNCTION("""COMPUTED_VALUE"""),"")</f>
        <v/>
      </c>
      <c r="M203" s="36" t="str">
        <f ca="1">IFERROR(__xludf.DUMMYFUNCTION("""COMPUTED_VALUE"""),"")</f>
        <v/>
      </c>
      <c r="N203" s="36" t="str">
        <f ca="1">IFERROR(__xludf.DUMMYFUNCTION("""COMPUTED_VALUE"""),"")</f>
        <v/>
      </c>
      <c r="O203" s="36" t="str">
        <f ca="1">IFERROR(__xludf.DUMMYFUNCTION("""COMPUTED_VALUE"""),"")</f>
        <v/>
      </c>
      <c r="P203" s="36" t="str">
        <f ca="1">IFERROR(__xludf.DUMMYFUNCTION("""COMPUTED_VALUE"""),"")</f>
        <v/>
      </c>
      <c r="Q203" s="36" t="str">
        <f ca="1">IFERROR(__xludf.DUMMYFUNCTION("""COMPUTED_VALUE"""),"")</f>
        <v/>
      </c>
      <c r="R203" s="36" t="str">
        <f ca="1">IFERROR(__xludf.DUMMYFUNCTION("""COMPUTED_VALUE"""),"")</f>
        <v/>
      </c>
      <c r="S203" s="36" t="str">
        <f ca="1">IFERROR(__xludf.DUMMYFUNCTION("""COMPUTED_VALUE"""),"")</f>
        <v/>
      </c>
      <c r="T203" s="36" t="str">
        <f ca="1">IFERROR(__xludf.DUMMYFUNCTION("""COMPUTED_VALUE"""),"")</f>
        <v/>
      </c>
      <c r="U203" s="36" t="str">
        <f ca="1">IFERROR(__xludf.DUMMYFUNCTION("""COMPUTED_VALUE"""),"")</f>
        <v/>
      </c>
      <c r="V203" s="36" t="str">
        <f ca="1">IFERROR(__xludf.DUMMYFUNCTION("""COMPUTED_VALUE"""),"")</f>
        <v/>
      </c>
      <c r="W203" s="36" t="str">
        <f ca="1">IFERROR(__xludf.DUMMYFUNCTION("""COMPUTED_VALUE"""),"")</f>
        <v/>
      </c>
      <c r="X203" s="36"/>
      <c r="Y203" s="36"/>
      <c r="Z203" s="36"/>
    </row>
    <row r="204" spans="1:26" ht="12.75" hidden="1">
      <c r="A204" s="36" t="str">
        <f ca="1">IFERROR(__xludf.DUMMYFUNCTION("""COMPUTED_VALUE"""),"")</f>
        <v/>
      </c>
      <c r="B204" s="36" t="str">
        <f ca="1">IFERROR(__xludf.DUMMYFUNCTION("""COMPUTED_VALUE"""),"")</f>
        <v/>
      </c>
      <c r="C204" s="36" t="str">
        <f ca="1">IFERROR(__xludf.DUMMYFUNCTION("""COMPUTED_VALUE"""),"")</f>
        <v/>
      </c>
      <c r="D204" s="36" t="str">
        <f ca="1">IFERROR(__xludf.DUMMYFUNCTION("""COMPUTED_VALUE"""),"")</f>
        <v/>
      </c>
      <c r="E204" s="36" t="str">
        <f ca="1">IFERROR(__xludf.DUMMYFUNCTION("""COMPUTED_VALUE"""),"")</f>
        <v/>
      </c>
      <c r="F204" s="36" t="str">
        <f ca="1">IFERROR(__xludf.DUMMYFUNCTION("""COMPUTED_VALUE"""),"")</f>
        <v/>
      </c>
      <c r="G204" s="36" t="str">
        <f ca="1">IFERROR(__xludf.DUMMYFUNCTION("""COMPUTED_VALUE"""),"")</f>
        <v/>
      </c>
      <c r="H204" s="36" t="str">
        <f ca="1">IFERROR(__xludf.DUMMYFUNCTION("""COMPUTED_VALUE"""),"")</f>
        <v/>
      </c>
      <c r="I204" s="36" t="str">
        <f ca="1">IFERROR(__xludf.DUMMYFUNCTION("""COMPUTED_VALUE"""),"")</f>
        <v/>
      </c>
      <c r="J204" s="36" t="str">
        <f ca="1">IFERROR(__xludf.DUMMYFUNCTION("""COMPUTED_VALUE"""),"")</f>
        <v/>
      </c>
      <c r="K204" s="36" t="str">
        <f ca="1">IFERROR(__xludf.DUMMYFUNCTION("""COMPUTED_VALUE"""),"")</f>
        <v/>
      </c>
      <c r="L204" s="36" t="str">
        <f ca="1">IFERROR(__xludf.DUMMYFUNCTION("""COMPUTED_VALUE"""),"")</f>
        <v/>
      </c>
      <c r="M204" s="36" t="str">
        <f ca="1">IFERROR(__xludf.DUMMYFUNCTION("""COMPUTED_VALUE"""),"")</f>
        <v/>
      </c>
      <c r="N204" s="36" t="str">
        <f ca="1">IFERROR(__xludf.DUMMYFUNCTION("""COMPUTED_VALUE"""),"")</f>
        <v/>
      </c>
      <c r="O204" s="36" t="str">
        <f ca="1">IFERROR(__xludf.DUMMYFUNCTION("""COMPUTED_VALUE"""),"")</f>
        <v/>
      </c>
      <c r="P204" s="36" t="str">
        <f ca="1">IFERROR(__xludf.DUMMYFUNCTION("""COMPUTED_VALUE"""),"")</f>
        <v/>
      </c>
      <c r="Q204" s="36" t="str">
        <f ca="1">IFERROR(__xludf.DUMMYFUNCTION("""COMPUTED_VALUE"""),"")</f>
        <v/>
      </c>
      <c r="R204" s="36" t="str">
        <f ca="1">IFERROR(__xludf.DUMMYFUNCTION("""COMPUTED_VALUE"""),"")</f>
        <v/>
      </c>
      <c r="S204" s="36" t="str">
        <f ca="1">IFERROR(__xludf.DUMMYFUNCTION("""COMPUTED_VALUE"""),"")</f>
        <v/>
      </c>
      <c r="T204" s="36" t="str">
        <f ca="1">IFERROR(__xludf.DUMMYFUNCTION("""COMPUTED_VALUE"""),"")</f>
        <v/>
      </c>
      <c r="U204" s="36" t="str">
        <f ca="1">IFERROR(__xludf.DUMMYFUNCTION("""COMPUTED_VALUE"""),"")</f>
        <v/>
      </c>
      <c r="V204" s="36" t="str">
        <f ca="1">IFERROR(__xludf.DUMMYFUNCTION("""COMPUTED_VALUE"""),"")</f>
        <v/>
      </c>
      <c r="W204" s="36" t="str">
        <f ca="1">IFERROR(__xludf.DUMMYFUNCTION("""COMPUTED_VALUE"""),"")</f>
        <v/>
      </c>
      <c r="X204" s="36"/>
      <c r="Y204" s="36"/>
      <c r="Z204" s="36"/>
    </row>
    <row r="205" spans="1:26" ht="12.75" hidden="1">
      <c r="A205" s="36" t="str">
        <f ca="1">IFERROR(__xludf.DUMMYFUNCTION("""COMPUTED_VALUE"""),"")</f>
        <v/>
      </c>
      <c r="B205" s="36" t="str">
        <f ca="1">IFERROR(__xludf.DUMMYFUNCTION("""COMPUTED_VALUE"""),"")</f>
        <v/>
      </c>
      <c r="C205" s="36" t="str">
        <f ca="1">IFERROR(__xludf.DUMMYFUNCTION("""COMPUTED_VALUE"""),"")</f>
        <v/>
      </c>
      <c r="D205" s="36" t="str">
        <f ca="1">IFERROR(__xludf.DUMMYFUNCTION("""COMPUTED_VALUE"""),"")</f>
        <v/>
      </c>
      <c r="E205" s="36" t="str">
        <f ca="1">IFERROR(__xludf.DUMMYFUNCTION("""COMPUTED_VALUE"""),"")</f>
        <v/>
      </c>
      <c r="F205" s="36" t="str">
        <f ca="1">IFERROR(__xludf.DUMMYFUNCTION("""COMPUTED_VALUE"""),"")</f>
        <v/>
      </c>
      <c r="G205" s="36" t="str">
        <f ca="1">IFERROR(__xludf.DUMMYFUNCTION("""COMPUTED_VALUE"""),"")</f>
        <v/>
      </c>
      <c r="H205" s="36" t="str">
        <f ca="1">IFERROR(__xludf.DUMMYFUNCTION("""COMPUTED_VALUE"""),"")</f>
        <v/>
      </c>
      <c r="I205" s="36" t="str">
        <f ca="1">IFERROR(__xludf.DUMMYFUNCTION("""COMPUTED_VALUE"""),"")</f>
        <v/>
      </c>
      <c r="J205" s="36" t="str">
        <f ca="1">IFERROR(__xludf.DUMMYFUNCTION("""COMPUTED_VALUE"""),"")</f>
        <v/>
      </c>
      <c r="K205" s="36" t="str">
        <f ca="1">IFERROR(__xludf.DUMMYFUNCTION("""COMPUTED_VALUE"""),"")</f>
        <v/>
      </c>
      <c r="L205" s="36" t="str">
        <f ca="1">IFERROR(__xludf.DUMMYFUNCTION("""COMPUTED_VALUE"""),"")</f>
        <v/>
      </c>
      <c r="M205" s="36" t="str">
        <f ca="1">IFERROR(__xludf.DUMMYFUNCTION("""COMPUTED_VALUE"""),"")</f>
        <v/>
      </c>
      <c r="N205" s="36" t="str">
        <f ca="1">IFERROR(__xludf.DUMMYFUNCTION("""COMPUTED_VALUE"""),"")</f>
        <v/>
      </c>
      <c r="O205" s="36" t="str">
        <f ca="1">IFERROR(__xludf.DUMMYFUNCTION("""COMPUTED_VALUE"""),"")</f>
        <v/>
      </c>
      <c r="P205" s="36" t="str">
        <f ca="1">IFERROR(__xludf.DUMMYFUNCTION("""COMPUTED_VALUE"""),"")</f>
        <v/>
      </c>
      <c r="Q205" s="36" t="str">
        <f ca="1">IFERROR(__xludf.DUMMYFUNCTION("""COMPUTED_VALUE"""),"")</f>
        <v/>
      </c>
      <c r="R205" s="36" t="str">
        <f ca="1">IFERROR(__xludf.DUMMYFUNCTION("""COMPUTED_VALUE"""),"")</f>
        <v/>
      </c>
      <c r="S205" s="36" t="str">
        <f ca="1">IFERROR(__xludf.DUMMYFUNCTION("""COMPUTED_VALUE"""),"")</f>
        <v/>
      </c>
      <c r="T205" s="36" t="str">
        <f ca="1">IFERROR(__xludf.DUMMYFUNCTION("""COMPUTED_VALUE"""),"")</f>
        <v/>
      </c>
      <c r="U205" s="36" t="str">
        <f ca="1">IFERROR(__xludf.DUMMYFUNCTION("""COMPUTED_VALUE"""),"")</f>
        <v/>
      </c>
      <c r="V205" s="36" t="str">
        <f ca="1">IFERROR(__xludf.DUMMYFUNCTION("""COMPUTED_VALUE"""),"")</f>
        <v/>
      </c>
      <c r="W205" s="36" t="str">
        <f ca="1">IFERROR(__xludf.DUMMYFUNCTION("""COMPUTED_VALUE"""),"")</f>
        <v/>
      </c>
      <c r="X205" s="36"/>
      <c r="Y205" s="36"/>
      <c r="Z205" s="36"/>
    </row>
    <row r="206" spans="1:26" ht="12.75" hidden="1">
      <c r="A206" s="36" t="str">
        <f ca="1">IFERROR(__xludf.DUMMYFUNCTION("""COMPUTED_VALUE"""),"")</f>
        <v/>
      </c>
      <c r="B206" s="36" t="str">
        <f ca="1">IFERROR(__xludf.DUMMYFUNCTION("""COMPUTED_VALUE"""),"")</f>
        <v/>
      </c>
      <c r="C206" s="36" t="str">
        <f ca="1">IFERROR(__xludf.DUMMYFUNCTION("""COMPUTED_VALUE"""),"")</f>
        <v/>
      </c>
      <c r="D206" s="36" t="str">
        <f ca="1">IFERROR(__xludf.DUMMYFUNCTION("""COMPUTED_VALUE"""),"")</f>
        <v/>
      </c>
      <c r="E206" s="36" t="str">
        <f ca="1">IFERROR(__xludf.DUMMYFUNCTION("""COMPUTED_VALUE"""),"")</f>
        <v/>
      </c>
      <c r="F206" s="36" t="str">
        <f ca="1">IFERROR(__xludf.DUMMYFUNCTION("""COMPUTED_VALUE"""),"")</f>
        <v/>
      </c>
      <c r="G206" s="36" t="str">
        <f ca="1">IFERROR(__xludf.DUMMYFUNCTION("""COMPUTED_VALUE"""),"")</f>
        <v/>
      </c>
      <c r="H206" s="36" t="str">
        <f ca="1">IFERROR(__xludf.DUMMYFUNCTION("""COMPUTED_VALUE"""),"")</f>
        <v/>
      </c>
      <c r="I206" s="36" t="str">
        <f ca="1">IFERROR(__xludf.DUMMYFUNCTION("""COMPUTED_VALUE"""),"")</f>
        <v/>
      </c>
      <c r="J206" s="36" t="str">
        <f ca="1">IFERROR(__xludf.DUMMYFUNCTION("""COMPUTED_VALUE"""),"")</f>
        <v/>
      </c>
      <c r="K206" s="36" t="str">
        <f ca="1">IFERROR(__xludf.DUMMYFUNCTION("""COMPUTED_VALUE"""),"")</f>
        <v/>
      </c>
      <c r="L206" s="36" t="str">
        <f ca="1">IFERROR(__xludf.DUMMYFUNCTION("""COMPUTED_VALUE"""),"")</f>
        <v/>
      </c>
      <c r="M206" s="36" t="str">
        <f ca="1">IFERROR(__xludf.DUMMYFUNCTION("""COMPUTED_VALUE"""),"")</f>
        <v/>
      </c>
      <c r="N206" s="36" t="str">
        <f ca="1">IFERROR(__xludf.DUMMYFUNCTION("""COMPUTED_VALUE"""),"")</f>
        <v/>
      </c>
      <c r="O206" s="36" t="str">
        <f ca="1">IFERROR(__xludf.DUMMYFUNCTION("""COMPUTED_VALUE"""),"")</f>
        <v/>
      </c>
      <c r="P206" s="36" t="str">
        <f ca="1">IFERROR(__xludf.DUMMYFUNCTION("""COMPUTED_VALUE"""),"")</f>
        <v/>
      </c>
      <c r="Q206" s="36" t="str">
        <f ca="1">IFERROR(__xludf.DUMMYFUNCTION("""COMPUTED_VALUE"""),"")</f>
        <v/>
      </c>
      <c r="R206" s="36" t="str">
        <f ca="1">IFERROR(__xludf.DUMMYFUNCTION("""COMPUTED_VALUE"""),"")</f>
        <v/>
      </c>
      <c r="S206" s="36" t="str">
        <f ca="1">IFERROR(__xludf.DUMMYFUNCTION("""COMPUTED_VALUE"""),"")</f>
        <v/>
      </c>
      <c r="T206" s="36" t="str">
        <f ca="1">IFERROR(__xludf.DUMMYFUNCTION("""COMPUTED_VALUE"""),"")</f>
        <v/>
      </c>
      <c r="U206" s="36" t="str">
        <f ca="1">IFERROR(__xludf.DUMMYFUNCTION("""COMPUTED_VALUE"""),"")</f>
        <v/>
      </c>
      <c r="V206" s="36" t="str">
        <f ca="1">IFERROR(__xludf.DUMMYFUNCTION("""COMPUTED_VALUE"""),"")</f>
        <v/>
      </c>
      <c r="W206" s="36" t="str">
        <f ca="1">IFERROR(__xludf.DUMMYFUNCTION("""COMPUTED_VALUE"""),"")</f>
        <v/>
      </c>
      <c r="X206" s="36"/>
      <c r="Y206" s="36"/>
      <c r="Z206" s="36"/>
    </row>
    <row r="207" spans="1:26" ht="12.75" hidden="1">
      <c r="A207" s="36" t="str">
        <f ca="1">IFERROR(__xludf.DUMMYFUNCTION("""COMPUTED_VALUE"""),"")</f>
        <v/>
      </c>
      <c r="B207" s="36" t="str">
        <f ca="1">IFERROR(__xludf.DUMMYFUNCTION("""COMPUTED_VALUE"""),"")</f>
        <v/>
      </c>
      <c r="C207" s="36" t="str">
        <f ca="1">IFERROR(__xludf.DUMMYFUNCTION("""COMPUTED_VALUE"""),"")</f>
        <v/>
      </c>
      <c r="D207" s="36" t="str">
        <f ca="1">IFERROR(__xludf.DUMMYFUNCTION("""COMPUTED_VALUE"""),"")</f>
        <v/>
      </c>
      <c r="E207" s="36" t="str">
        <f ca="1">IFERROR(__xludf.DUMMYFUNCTION("""COMPUTED_VALUE"""),"")</f>
        <v/>
      </c>
      <c r="F207" s="36" t="str">
        <f ca="1">IFERROR(__xludf.DUMMYFUNCTION("""COMPUTED_VALUE"""),"")</f>
        <v/>
      </c>
      <c r="G207" s="36" t="str">
        <f ca="1">IFERROR(__xludf.DUMMYFUNCTION("""COMPUTED_VALUE"""),"")</f>
        <v/>
      </c>
      <c r="H207" s="36" t="str">
        <f ca="1">IFERROR(__xludf.DUMMYFUNCTION("""COMPUTED_VALUE"""),"")</f>
        <v/>
      </c>
      <c r="I207" s="36" t="str">
        <f ca="1">IFERROR(__xludf.DUMMYFUNCTION("""COMPUTED_VALUE"""),"")</f>
        <v/>
      </c>
      <c r="J207" s="36" t="str">
        <f ca="1">IFERROR(__xludf.DUMMYFUNCTION("""COMPUTED_VALUE"""),"")</f>
        <v/>
      </c>
      <c r="K207" s="36" t="str">
        <f ca="1">IFERROR(__xludf.DUMMYFUNCTION("""COMPUTED_VALUE"""),"")</f>
        <v/>
      </c>
      <c r="L207" s="36" t="str">
        <f ca="1">IFERROR(__xludf.DUMMYFUNCTION("""COMPUTED_VALUE"""),"")</f>
        <v/>
      </c>
      <c r="M207" s="36" t="str">
        <f ca="1">IFERROR(__xludf.DUMMYFUNCTION("""COMPUTED_VALUE"""),"")</f>
        <v/>
      </c>
      <c r="N207" s="36" t="str">
        <f ca="1">IFERROR(__xludf.DUMMYFUNCTION("""COMPUTED_VALUE"""),"")</f>
        <v/>
      </c>
      <c r="O207" s="36" t="str">
        <f ca="1">IFERROR(__xludf.DUMMYFUNCTION("""COMPUTED_VALUE"""),"")</f>
        <v/>
      </c>
      <c r="P207" s="36" t="str">
        <f ca="1">IFERROR(__xludf.DUMMYFUNCTION("""COMPUTED_VALUE"""),"")</f>
        <v/>
      </c>
      <c r="Q207" s="36" t="str">
        <f ca="1">IFERROR(__xludf.DUMMYFUNCTION("""COMPUTED_VALUE"""),"")</f>
        <v/>
      </c>
      <c r="R207" s="36" t="str">
        <f ca="1">IFERROR(__xludf.DUMMYFUNCTION("""COMPUTED_VALUE"""),"")</f>
        <v/>
      </c>
      <c r="S207" s="36" t="str">
        <f ca="1">IFERROR(__xludf.DUMMYFUNCTION("""COMPUTED_VALUE"""),"")</f>
        <v/>
      </c>
      <c r="T207" s="36" t="str">
        <f ca="1">IFERROR(__xludf.DUMMYFUNCTION("""COMPUTED_VALUE"""),"")</f>
        <v/>
      </c>
      <c r="U207" s="36" t="str">
        <f ca="1">IFERROR(__xludf.DUMMYFUNCTION("""COMPUTED_VALUE"""),"")</f>
        <v/>
      </c>
      <c r="V207" s="36" t="str">
        <f ca="1">IFERROR(__xludf.DUMMYFUNCTION("""COMPUTED_VALUE"""),"")</f>
        <v/>
      </c>
      <c r="W207" s="36" t="str">
        <f ca="1">IFERROR(__xludf.DUMMYFUNCTION("""COMPUTED_VALUE"""),"")</f>
        <v/>
      </c>
      <c r="X207" s="36"/>
      <c r="Y207" s="36"/>
      <c r="Z207" s="36"/>
    </row>
    <row r="208" spans="1:26" ht="12.75" hidden="1">
      <c r="A208" s="36" t="str">
        <f ca="1">IFERROR(__xludf.DUMMYFUNCTION("""COMPUTED_VALUE"""),"")</f>
        <v/>
      </c>
      <c r="B208" s="36" t="str">
        <f ca="1">IFERROR(__xludf.DUMMYFUNCTION("""COMPUTED_VALUE"""),"")</f>
        <v/>
      </c>
      <c r="C208" s="36" t="str">
        <f ca="1">IFERROR(__xludf.DUMMYFUNCTION("""COMPUTED_VALUE"""),"")</f>
        <v/>
      </c>
      <c r="D208" s="36" t="str">
        <f ca="1">IFERROR(__xludf.DUMMYFUNCTION("""COMPUTED_VALUE"""),"")</f>
        <v/>
      </c>
      <c r="E208" s="36" t="str">
        <f ca="1">IFERROR(__xludf.DUMMYFUNCTION("""COMPUTED_VALUE"""),"")</f>
        <v/>
      </c>
      <c r="F208" s="36" t="str">
        <f ca="1">IFERROR(__xludf.DUMMYFUNCTION("""COMPUTED_VALUE"""),"")</f>
        <v/>
      </c>
      <c r="G208" s="36" t="str">
        <f ca="1">IFERROR(__xludf.DUMMYFUNCTION("""COMPUTED_VALUE"""),"")</f>
        <v/>
      </c>
      <c r="H208" s="36" t="str">
        <f ca="1">IFERROR(__xludf.DUMMYFUNCTION("""COMPUTED_VALUE"""),"")</f>
        <v/>
      </c>
      <c r="I208" s="36" t="str">
        <f ca="1">IFERROR(__xludf.DUMMYFUNCTION("""COMPUTED_VALUE"""),"")</f>
        <v/>
      </c>
      <c r="J208" s="36" t="str">
        <f ca="1">IFERROR(__xludf.DUMMYFUNCTION("""COMPUTED_VALUE"""),"")</f>
        <v/>
      </c>
      <c r="K208" s="36" t="str">
        <f ca="1">IFERROR(__xludf.DUMMYFUNCTION("""COMPUTED_VALUE"""),"")</f>
        <v/>
      </c>
      <c r="L208" s="36" t="str">
        <f ca="1">IFERROR(__xludf.DUMMYFUNCTION("""COMPUTED_VALUE"""),"")</f>
        <v/>
      </c>
      <c r="M208" s="36" t="str">
        <f ca="1">IFERROR(__xludf.DUMMYFUNCTION("""COMPUTED_VALUE"""),"")</f>
        <v/>
      </c>
      <c r="N208" s="36" t="str">
        <f ca="1">IFERROR(__xludf.DUMMYFUNCTION("""COMPUTED_VALUE"""),"")</f>
        <v/>
      </c>
      <c r="O208" s="36" t="str">
        <f ca="1">IFERROR(__xludf.DUMMYFUNCTION("""COMPUTED_VALUE"""),"")</f>
        <v/>
      </c>
      <c r="P208" s="36" t="str">
        <f ca="1">IFERROR(__xludf.DUMMYFUNCTION("""COMPUTED_VALUE"""),"")</f>
        <v/>
      </c>
      <c r="Q208" s="36" t="str">
        <f ca="1">IFERROR(__xludf.DUMMYFUNCTION("""COMPUTED_VALUE"""),"")</f>
        <v/>
      </c>
      <c r="R208" s="36" t="str">
        <f ca="1">IFERROR(__xludf.DUMMYFUNCTION("""COMPUTED_VALUE"""),"")</f>
        <v/>
      </c>
      <c r="S208" s="36" t="str">
        <f ca="1">IFERROR(__xludf.DUMMYFUNCTION("""COMPUTED_VALUE"""),"")</f>
        <v/>
      </c>
      <c r="T208" s="36" t="str">
        <f ca="1">IFERROR(__xludf.DUMMYFUNCTION("""COMPUTED_VALUE"""),"")</f>
        <v/>
      </c>
      <c r="U208" s="36" t="str">
        <f ca="1">IFERROR(__xludf.DUMMYFUNCTION("""COMPUTED_VALUE"""),"")</f>
        <v/>
      </c>
      <c r="V208" s="36" t="str">
        <f ca="1">IFERROR(__xludf.DUMMYFUNCTION("""COMPUTED_VALUE"""),"")</f>
        <v/>
      </c>
      <c r="W208" s="36" t="str">
        <f ca="1">IFERROR(__xludf.DUMMYFUNCTION("""COMPUTED_VALUE"""),"")</f>
        <v/>
      </c>
      <c r="X208" s="36"/>
      <c r="Y208" s="36"/>
      <c r="Z208" s="36"/>
    </row>
    <row r="209" spans="1:26" ht="12.75" hidden="1">
      <c r="A209" s="36" t="str">
        <f ca="1">IFERROR(__xludf.DUMMYFUNCTION("""COMPUTED_VALUE"""),"")</f>
        <v/>
      </c>
      <c r="B209" s="36" t="str">
        <f ca="1">IFERROR(__xludf.DUMMYFUNCTION("""COMPUTED_VALUE"""),"")</f>
        <v/>
      </c>
      <c r="C209" s="36" t="str">
        <f ca="1">IFERROR(__xludf.DUMMYFUNCTION("""COMPUTED_VALUE"""),"")</f>
        <v/>
      </c>
      <c r="D209" s="36" t="str">
        <f ca="1">IFERROR(__xludf.DUMMYFUNCTION("""COMPUTED_VALUE"""),"")</f>
        <v/>
      </c>
      <c r="E209" s="36" t="str">
        <f ca="1">IFERROR(__xludf.DUMMYFUNCTION("""COMPUTED_VALUE"""),"")</f>
        <v/>
      </c>
      <c r="F209" s="36" t="str">
        <f ca="1">IFERROR(__xludf.DUMMYFUNCTION("""COMPUTED_VALUE"""),"")</f>
        <v/>
      </c>
      <c r="G209" s="36" t="str">
        <f ca="1">IFERROR(__xludf.DUMMYFUNCTION("""COMPUTED_VALUE"""),"")</f>
        <v/>
      </c>
      <c r="H209" s="36" t="str">
        <f ca="1">IFERROR(__xludf.DUMMYFUNCTION("""COMPUTED_VALUE"""),"")</f>
        <v/>
      </c>
      <c r="I209" s="36" t="str">
        <f ca="1">IFERROR(__xludf.DUMMYFUNCTION("""COMPUTED_VALUE"""),"")</f>
        <v/>
      </c>
      <c r="J209" s="36" t="str">
        <f ca="1">IFERROR(__xludf.DUMMYFUNCTION("""COMPUTED_VALUE"""),"")</f>
        <v/>
      </c>
      <c r="K209" s="36" t="str">
        <f ca="1">IFERROR(__xludf.DUMMYFUNCTION("""COMPUTED_VALUE"""),"")</f>
        <v/>
      </c>
      <c r="L209" s="36" t="str">
        <f ca="1">IFERROR(__xludf.DUMMYFUNCTION("""COMPUTED_VALUE"""),"")</f>
        <v/>
      </c>
      <c r="M209" s="36" t="str">
        <f ca="1">IFERROR(__xludf.DUMMYFUNCTION("""COMPUTED_VALUE"""),"")</f>
        <v/>
      </c>
      <c r="N209" s="36" t="str">
        <f ca="1">IFERROR(__xludf.DUMMYFUNCTION("""COMPUTED_VALUE"""),"")</f>
        <v/>
      </c>
      <c r="O209" s="36" t="str">
        <f ca="1">IFERROR(__xludf.DUMMYFUNCTION("""COMPUTED_VALUE"""),"")</f>
        <v/>
      </c>
      <c r="P209" s="36" t="str">
        <f ca="1">IFERROR(__xludf.DUMMYFUNCTION("""COMPUTED_VALUE"""),"")</f>
        <v/>
      </c>
      <c r="Q209" s="36" t="str">
        <f ca="1">IFERROR(__xludf.DUMMYFUNCTION("""COMPUTED_VALUE"""),"")</f>
        <v/>
      </c>
      <c r="R209" s="36" t="str">
        <f ca="1">IFERROR(__xludf.DUMMYFUNCTION("""COMPUTED_VALUE"""),"")</f>
        <v/>
      </c>
      <c r="S209" s="36" t="str">
        <f ca="1">IFERROR(__xludf.DUMMYFUNCTION("""COMPUTED_VALUE"""),"")</f>
        <v/>
      </c>
      <c r="T209" s="36" t="str">
        <f ca="1">IFERROR(__xludf.DUMMYFUNCTION("""COMPUTED_VALUE"""),"")</f>
        <v/>
      </c>
      <c r="U209" s="36" t="str">
        <f ca="1">IFERROR(__xludf.DUMMYFUNCTION("""COMPUTED_VALUE"""),"")</f>
        <v/>
      </c>
      <c r="V209" s="36" t="str">
        <f ca="1">IFERROR(__xludf.DUMMYFUNCTION("""COMPUTED_VALUE"""),"")</f>
        <v/>
      </c>
      <c r="W209" s="36" t="str">
        <f ca="1">IFERROR(__xludf.DUMMYFUNCTION("""COMPUTED_VALUE"""),"")</f>
        <v/>
      </c>
      <c r="X209" s="36"/>
      <c r="Y209" s="36"/>
      <c r="Z209" s="36"/>
    </row>
    <row r="210" spans="1:26" ht="12.75" hidden="1">
      <c r="A210" s="36" t="str">
        <f ca="1">IFERROR(__xludf.DUMMYFUNCTION("""COMPUTED_VALUE"""),"")</f>
        <v/>
      </c>
      <c r="B210" s="36" t="str">
        <f ca="1">IFERROR(__xludf.DUMMYFUNCTION("""COMPUTED_VALUE"""),"")</f>
        <v/>
      </c>
      <c r="C210" s="36" t="str">
        <f ca="1">IFERROR(__xludf.DUMMYFUNCTION("""COMPUTED_VALUE"""),"")</f>
        <v/>
      </c>
      <c r="D210" s="36" t="str">
        <f ca="1">IFERROR(__xludf.DUMMYFUNCTION("""COMPUTED_VALUE"""),"")</f>
        <v/>
      </c>
      <c r="E210" s="36" t="str">
        <f ca="1">IFERROR(__xludf.DUMMYFUNCTION("""COMPUTED_VALUE"""),"")</f>
        <v/>
      </c>
      <c r="F210" s="36" t="str">
        <f ca="1">IFERROR(__xludf.DUMMYFUNCTION("""COMPUTED_VALUE"""),"")</f>
        <v/>
      </c>
      <c r="G210" s="36" t="str">
        <f ca="1">IFERROR(__xludf.DUMMYFUNCTION("""COMPUTED_VALUE"""),"")</f>
        <v/>
      </c>
      <c r="H210" s="36" t="str">
        <f ca="1">IFERROR(__xludf.DUMMYFUNCTION("""COMPUTED_VALUE"""),"")</f>
        <v/>
      </c>
      <c r="I210" s="36" t="str">
        <f ca="1">IFERROR(__xludf.DUMMYFUNCTION("""COMPUTED_VALUE"""),"")</f>
        <v/>
      </c>
      <c r="J210" s="36" t="str">
        <f ca="1">IFERROR(__xludf.DUMMYFUNCTION("""COMPUTED_VALUE"""),"")</f>
        <v/>
      </c>
      <c r="K210" s="36" t="str">
        <f ca="1">IFERROR(__xludf.DUMMYFUNCTION("""COMPUTED_VALUE"""),"")</f>
        <v/>
      </c>
      <c r="L210" s="36" t="str">
        <f ca="1">IFERROR(__xludf.DUMMYFUNCTION("""COMPUTED_VALUE"""),"")</f>
        <v/>
      </c>
      <c r="M210" s="36" t="str">
        <f ca="1">IFERROR(__xludf.DUMMYFUNCTION("""COMPUTED_VALUE"""),"")</f>
        <v/>
      </c>
      <c r="N210" s="36" t="str">
        <f ca="1">IFERROR(__xludf.DUMMYFUNCTION("""COMPUTED_VALUE"""),"")</f>
        <v/>
      </c>
      <c r="O210" s="36" t="str">
        <f ca="1">IFERROR(__xludf.DUMMYFUNCTION("""COMPUTED_VALUE"""),"")</f>
        <v/>
      </c>
      <c r="P210" s="36" t="str">
        <f ca="1">IFERROR(__xludf.DUMMYFUNCTION("""COMPUTED_VALUE"""),"")</f>
        <v/>
      </c>
      <c r="Q210" s="36" t="str">
        <f ca="1">IFERROR(__xludf.DUMMYFUNCTION("""COMPUTED_VALUE"""),"")</f>
        <v/>
      </c>
      <c r="R210" s="36" t="str">
        <f ca="1">IFERROR(__xludf.DUMMYFUNCTION("""COMPUTED_VALUE"""),"")</f>
        <v/>
      </c>
      <c r="S210" s="36" t="str">
        <f ca="1">IFERROR(__xludf.DUMMYFUNCTION("""COMPUTED_VALUE"""),"")</f>
        <v/>
      </c>
      <c r="T210" s="36" t="str">
        <f ca="1">IFERROR(__xludf.DUMMYFUNCTION("""COMPUTED_VALUE"""),"")</f>
        <v/>
      </c>
      <c r="U210" s="36" t="str">
        <f ca="1">IFERROR(__xludf.DUMMYFUNCTION("""COMPUTED_VALUE"""),"")</f>
        <v/>
      </c>
      <c r="V210" s="36" t="str">
        <f ca="1">IFERROR(__xludf.DUMMYFUNCTION("""COMPUTED_VALUE"""),"")</f>
        <v/>
      </c>
      <c r="W210" s="36" t="str">
        <f ca="1">IFERROR(__xludf.DUMMYFUNCTION("""COMPUTED_VALUE"""),"")</f>
        <v/>
      </c>
      <c r="X210" s="36"/>
      <c r="Y210" s="36"/>
      <c r="Z210" s="36"/>
    </row>
    <row r="211" spans="1:26" ht="12.75" hidden="1">
      <c r="A211" s="36" t="str">
        <f ca="1">IFERROR(__xludf.DUMMYFUNCTION("""COMPUTED_VALUE"""),"")</f>
        <v/>
      </c>
      <c r="B211" s="36" t="str">
        <f ca="1">IFERROR(__xludf.DUMMYFUNCTION("""COMPUTED_VALUE"""),"")</f>
        <v/>
      </c>
      <c r="C211" s="36" t="str">
        <f ca="1">IFERROR(__xludf.DUMMYFUNCTION("""COMPUTED_VALUE"""),"")</f>
        <v/>
      </c>
      <c r="D211" s="36" t="str">
        <f ca="1">IFERROR(__xludf.DUMMYFUNCTION("""COMPUTED_VALUE"""),"")</f>
        <v/>
      </c>
      <c r="E211" s="36" t="str">
        <f ca="1">IFERROR(__xludf.DUMMYFUNCTION("""COMPUTED_VALUE"""),"")</f>
        <v/>
      </c>
      <c r="F211" s="36" t="str">
        <f ca="1">IFERROR(__xludf.DUMMYFUNCTION("""COMPUTED_VALUE"""),"")</f>
        <v/>
      </c>
      <c r="G211" s="36" t="str">
        <f ca="1">IFERROR(__xludf.DUMMYFUNCTION("""COMPUTED_VALUE"""),"")</f>
        <v/>
      </c>
      <c r="H211" s="36" t="str">
        <f ca="1">IFERROR(__xludf.DUMMYFUNCTION("""COMPUTED_VALUE"""),"")</f>
        <v/>
      </c>
      <c r="I211" s="36" t="str">
        <f ca="1">IFERROR(__xludf.DUMMYFUNCTION("""COMPUTED_VALUE"""),"")</f>
        <v/>
      </c>
      <c r="J211" s="36" t="str">
        <f ca="1">IFERROR(__xludf.DUMMYFUNCTION("""COMPUTED_VALUE"""),"")</f>
        <v/>
      </c>
      <c r="K211" s="36" t="str">
        <f ca="1">IFERROR(__xludf.DUMMYFUNCTION("""COMPUTED_VALUE"""),"")</f>
        <v/>
      </c>
      <c r="L211" s="36" t="str">
        <f ca="1">IFERROR(__xludf.DUMMYFUNCTION("""COMPUTED_VALUE"""),"")</f>
        <v/>
      </c>
      <c r="M211" s="36" t="str">
        <f ca="1">IFERROR(__xludf.DUMMYFUNCTION("""COMPUTED_VALUE"""),"")</f>
        <v/>
      </c>
      <c r="N211" s="36" t="str">
        <f ca="1">IFERROR(__xludf.DUMMYFUNCTION("""COMPUTED_VALUE"""),"")</f>
        <v/>
      </c>
      <c r="O211" s="36" t="str">
        <f ca="1">IFERROR(__xludf.DUMMYFUNCTION("""COMPUTED_VALUE"""),"")</f>
        <v/>
      </c>
      <c r="P211" s="36" t="str">
        <f ca="1">IFERROR(__xludf.DUMMYFUNCTION("""COMPUTED_VALUE"""),"")</f>
        <v/>
      </c>
      <c r="Q211" s="36" t="str">
        <f ca="1">IFERROR(__xludf.DUMMYFUNCTION("""COMPUTED_VALUE"""),"")</f>
        <v/>
      </c>
      <c r="R211" s="36" t="str">
        <f ca="1">IFERROR(__xludf.DUMMYFUNCTION("""COMPUTED_VALUE"""),"")</f>
        <v/>
      </c>
      <c r="S211" s="36" t="str">
        <f ca="1">IFERROR(__xludf.DUMMYFUNCTION("""COMPUTED_VALUE"""),"")</f>
        <v/>
      </c>
      <c r="T211" s="36" t="str">
        <f ca="1">IFERROR(__xludf.DUMMYFUNCTION("""COMPUTED_VALUE"""),"")</f>
        <v/>
      </c>
      <c r="U211" s="36" t="str">
        <f ca="1">IFERROR(__xludf.DUMMYFUNCTION("""COMPUTED_VALUE"""),"")</f>
        <v/>
      </c>
      <c r="V211" s="36" t="str">
        <f ca="1">IFERROR(__xludf.DUMMYFUNCTION("""COMPUTED_VALUE"""),"")</f>
        <v/>
      </c>
      <c r="W211" s="36" t="str">
        <f ca="1">IFERROR(__xludf.DUMMYFUNCTION("""COMPUTED_VALUE"""),"")</f>
        <v/>
      </c>
      <c r="X211" s="36"/>
      <c r="Y211" s="36"/>
      <c r="Z211" s="36"/>
    </row>
    <row r="212" spans="1:26" ht="12.75" hidden="1">
      <c r="A212" s="36" t="str">
        <f ca="1">IFERROR(__xludf.DUMMYFUNCTION("""COMPUTED_VALUE"""),"")</f>
        <v/>
      </c>
      <c r="B212" s="36" t="str">
        <f ca="1">IFERROR(__xludf.DUMMYFUNCTION("""COMPUTED_VALUE"""),"")</f>
        <v/>
      </c>
      <c r="C212" s="36" t="str">
        <f ca="1">IFERROR(__xludf.DUMMYFUNCTION("""COMPUTED_VALUE"""),"")</f>
        <v/>
      </c>
      <c r="D212" s="36" t="str">
        <f ca="1">IFERROR(__xludf.DUMMYFUNCTION("""COMPUTED_VALUE"""),"")</f>
        <v/>
      </c>
      <c r="E212" s="36" t="str">
        <f ca="1">IFERROR(__xludf.DUMMYFUNCTION("""COMPUTED_VALUE"""),"")</f>
        <v/>
      </c>
      <c r="F212" s="36" t="str">
        <f ca="1">IFERROR(__xludf.DUMMYFUNCTION("""COMPUTED_VALUE"""),"")</f>
        <v/>
      </c>
      <c r="G212" s="36" t="str">
        <f ca="1">IFERROR(__xludf.DUMMYFUNCTION("""COMPUTED_VALUE"""),"")</f>
        <v/>
      </c>
      <c r="H212" s="36" t="str">
        <f ca="1">IFERROR(__xludf.DUMMYFUNCTION("""COMPUTED_VALUE"""),"")</f>
        <v/>
      </c>
      <c r="I212" s="36" t="str">
        <f ca="1">IFERROR(__xludf.DUMMYFUNCTION("""COMPUTED_VALUE"""),"")</f>
        <v/>
      </c>
      <c r="J212" s="36" t="str">
        <f ca="1">IFERROR(__xludf.DUMMYFUNCTION("""COMPUTED_VALUE"""),"")</f>
        <v/>
      </c>
      <c r="K212" s="36" t="str">
        <f ca="1">IFERROR(__xludf.DUMMYFUNCTION("""COMPUTED_VALUE"""),"")</f>
        <v/>
      </c>
      <c r="L212" s="36" t="str">
        <f ca="1">IFERROR(__xludf.DUMMYFUNCTION("""COMPUTED_VALUE"""),"")</f>
        <v/>
      </c>
      <c r="M212" s="36" t="str">
        <f ca="1">IFERROR(__xludf.DUMMYFUNCTION("""COMPUTED_VALUE"""),"")</f>
        <v/>
      </c>
      <c r="N212" s="36" t="str">
        <f ca="1">IFERROR(__xludf.DUMMYFUNCTION("""COMPUTED_VALUE"""),"")</f>
        <v/>
      </c>
      <c r="O212" s="36" t="str">
        <f ca="1">IFERROR(__xludf.DUMMYFUNCTION("""COMPUTED_VALUE"""),"")</f>
        <v/>
      </c>
      <c r="P212" s="36" t="str">
        <f ca="1">IFERROR(__xludf.DUMMYFUNCTION("""COMPUTED_VALUE"""),"")</f>
        <v/>
      </c>
      <c r="Q212" s="36" t="str">
        <f ca="1">IFERROR(__xludf.DUMMYFUNCTION("""COMPUTED_VALUE"""),"")</f>
        <v/>
      </c>
      <c r="R212" s="36" t="str">
        <f ca="1">IFERROR(__xludf.DUMMYFUNCTION("""COMPUTED_VALUE"""),"")</f>
        <v/>
      </c>
      <c r="S212" s="36" t="str">
        <f ca="1">IFERROR(__xludf.DUMMYFUNCTION("""COMPUTED_VALUE"""),"")</f>
        <v/>
      </c>
      <c r="T212" s="36" t="str">
        <f ca="1">IFERROR(__xludf.DUMMYFUNCTION("""COMPUTED_VALUE"""),"")</f>
        <v/>
      </c>
      <c r="U212" s="36" t="str">
        <f ca="1">IFERROR(__xludf.DUMMYFUNCTION("""COMPUTED_VALUE"""),"")</f>
        <v/>
      </c>
      <c r="V212" s="36" t="str">
        <f ca="1">IFERROR(__xludf.DUMMYFUNCTION("""COMPUTED_VALUE"""),"")</f>
        <v/>
      </c>
      <c r="W212" s="36" t="str">
        <f ca="1">IFERROR(__xludf.DUMMYFUNCTION("""COMPUTED_VALUE"""),"")</f>
        <v/>
      </c>
      <c r="X212" s="36"/>
      <c r="Y212" s="36"/>
      <c r="Z212" s="36"/>
    </row>
    <row r="213" spans="1:26" ht="12.75" hidden="1">
      <c r="A213" s="36" t="str">
        <f ca="1">IFERROR(__xludf.DUMMYFUNCTION("""COMPUTED_VALUE"""),"")</f>
        <v/>
      </c>
      <c r="B213" s="36" t="str">
        <f ca="1">IFERROR(__xludf.DUMMYFUNCTION("""COMPUTED_VALUE"""),"")</f>
        <v/>
      </c>
      <c r="C213" s="36" t="str">
        <f ca="1">IFERROR(__xludf.DUMMYFUNCTION("""COMPUTED_VALUE"""),"")</f>
        <v/>
      </c>
      <c r="D213" s="36" t="str">
        <f ca="1">IFERROR(__xludf.DUMMYFUNCTION("""COMPUTED_VALUE"""),"")</f>
        <v/>
      </c>
      <c r="E213" s="36" t="str">
        <f ca="1">IFERROR(__xludf.DUMMYFUNCTION("""COMPUTED_VALUE"""),"")</f>
        <v/>
      </c>
      <c r="F213" s="36" t="str">
        <f ca="1">IFERROR(__xludf.DUMMYFUNCTION("""COMPUTED_VALUE"""),"")</f>
        <v/>
      </c>
      <c r="G213" s="36" t="str">
        <f ca="1">IFERROR(__xludf.DUMMYFUNCTION("""COMPUTED_VALUE"""),"")</f>
        <v/>
      </c>
      <c r="H213" s="36" t="str">
        <f ca="1">IFERROR(__xludf.DUMMYFUNCTION("""COMPUTED_VALUE"""),"")</f>
        <v/>
      </c>
      <c r="I213" s="36" t="str">
        <f ca="1">IFERROR(__xludf.DUMMYFUNCTION("""COMPUTED_VALUE"""),"")</f>
        <v/>
      </c>
      <c r="J213" s="36" t="str">
        <f ca="1">IFERROR(__xludf.DUMMYFUNCTION("""COMPUTED_VALUE"""),"")</f>
        <v/>
      </c>
      <c r="K213" s="36" t="str">
        <f ca="1">IFERROR(__xludf.DUMMYFUNCTION("""COMPUTED_VALUE"""),"")</f>
        <v/>
      </c>
      <c r="L213" s="36" t="str">
        <f ca="1">IFERROR(__xludf.DUMMYFUNCTION("""COMPUTED_VALUE"""),"")</f>
        <v/>
      </c>
      <c r="M213" s="36" t="str">
        <f ca="1">IFERROR(__xludf.DUMMYFUNCTION("""COMPUTED_VALUE"""),"")</f>
        <v/>
      </c>
      <c r="N213" s="36" t="str">
        <f ca="1">IFERROR(__xludf.DUMMYFUNCTION("""COMPUTED_VALUE"""),"")</f>
        <v/>
      </c>
      <c r="O213" s="36" t="str">
        <f ca="1">IFERROR(__xludf.DUMMYFUNCTION("""COMPUTED_VALUE"""),"")</f>
        <v/>
      </c>
      <c r="P213" s="36" t="str">
        <f ca="1">IFERROR(__xludf.DUMMYFUNCTION("""COMPUTED_VALUE"""),"")</f>
        <v/>
      </c>
      <c r="Q213" s="36" t="str">
        <f ca="1">IFERROR(__xludf.DUMMYFUNCTION("""COMPUTED_VALUE"""),"")</f>
        <v/>
      </c>
      <c r="R213" s="36" t="str">
        <f ca="1">IFERROR(__xludf.DUMMYFUNCTION("""COMPUTED_VALUE"""),"")</f>
        <v/>
      </c>
      <c r="S213" s="36" t="str">
        <f ca="1">IFERROR(__xludf.DUMMYFUNCTION("""COMPUTED_VALUE"""),"")</f>
        <v/>
      </c>
      <c r="T213" s="36" t="str">
        <f ca="1">IFERROR(__xludf.DUMMYFUNCTION("""COMPUTED_VALUE"""),"")</f>
        <v/>
      </c>
      <c r="U213" s="36" t="str">
        <f ca="1">IFERROR(__xludf.DUMMYFUNCTION("""COMPUTED_VALUE"""),"")</f>
        <v/>
      </c>
      <c r="V213" s="36" t="str">
        <f ca="1">IFERROR(__xludf.DUMMYFUNCTION("""COMPUTED_VALUE"""),"")</f>
        <v/>
      </c>
      <c r="W213" s="36" t="str">
        <f ca="1">IFERROR(__xludf.DUMMYFUNCTION("""COMPUTED_VALUE"""),"")</f>
        <v/>
      </c>
      <c r="X213" s="36"/>
      <c r="Y213" s="36"/>
      <c r="Z213" s="36"/>
    </row>
    <row r="214" spans="1:26" ht="12.75" hidden="1">
      <c r="A214" s="36" t="str">
        <f ca="1">IFERROR(__xludf.DUMMYFUNCTION("""COMPUTED_VALUE"""),"")</f>
        <v/>
      </c>
      <c r="B214" s="36" t="str">
        <f ca="1">IFERROR(__xludf.DUMMYFUNCTION("""COMPUTED_VALUE"""),"")</f>
        <v/>
      </c>
      <c r="C214" s="36" t="str">
        <f ca="1">IFERROR(__xludf.DUMMYFUNCTION("""COMPUTED_VALUE"""),"")</f>
        <v/>
      </c>
      <c r="D214" s="36" t="str">
        <f ca="1">IFERROR(__xludf.DUMMYFUNCTION("""COMPUTED_VALUE"""),"")</f>
        <v/>
      </c>
      <c r="E214" s="36" t="str">
        <f ca="1">IFERROR(__xludf.DUMMYFUNCTION("""COMPUTED_VALUE"""),"")</f>
        <v/>
      </c>
      <c r="F214" s="36" t="str">
        <f ca="1">IFERROR(__xludf.DUMMYFUNCTION("""COMPUTED_VALUE"""),"")</f>
        <v/>
      </c>
      <c r="G214" s="36" t="str">
        <f ca="1">IFERROR(__xludf.DUMMYFUNCTION("""COMPUTED_VALUE"""),"")</f>
        <v/>
      </c>
      <c r="H214" s="36" t="str">
        <f ca="1">IFERROR(__xludf.DUMMYFUNCTION("""COMPUTED_VALUE"""),"")</f>
        <v/>
      </c>
      <c r="I214" s="36" t="str">
        <f ca="1">IFERROR(__xludf.DUMMYFUNCTION("""COMPUTED_VALUE"""),"")</f>
        <v/>
      </c>
      <c r="J214" s="36" t="str">
        <f ca="1">IFERROR(__xludf.DUMMYFUNCTION("""COMPUTED_VALUE"""),"")</f>
        <v/>
      </c>
      <c r="K214" s="36" t="str">
        <f ca="1">IFERROR(__xludf.DUMMYFUNCTION("""COMPUTED_VALUE"""),"")</f>
        <v/>
      </c>
      <c r="L214" s="36" t="str">
        <f ca="1">IFERROR(__xludf.DUMMYFUNCTION("""COMPUTED_VALUE"""),"")</f>
        <v/>
      </c>
      <c r="M214" s="36" t="str">
        <f ca="1">IFERROR(__xludf.DUMMYFUNCTION("""COMPUTED_VALUE"""),"")</f>
        <v/>
      </c>
      <c r="N214" s="36" t="str">
        <f ca="1">IFERROR(__xludf.DUMMYFUNCTION("""COMPUTED_VALUE"""),"")</f>
        <v/>
      </c>
      <c r="O214" s="36" t="str">
        <f ca="1">IFERROR(__xludf.DUMMYFUNCTION("""COMPUTED_VALUE"""),"")</f>
        <v/>
      </c>
      <c r="P214" s="36" t="str">
        <f ca="1">IFERROR(__xludf.DUMMYFUNCTION("""COMPUTED_VALUE"""),"")</f>
        <v/>
      </c>
      <c r="Q214" s="36" t="str">
        <f ca="1">IFERROR(__xludf.DUMMYFUNCTION("""COMPUTED_VALUE"""),"")</f>
        <v/>
      </c>
      <c r="R214" s="36" t="str">
        <f ca="1">IFERROR(__xludf.DUMMYFUNCTION("""COMPUTED_VALUE"""),"")</f>
        <v/>
      </c>
      <c r="S214" s="36" t="str">
        <f ca="1">IFERROR(__xludf.DUMMYFUNCTION("""COMPUTED_VALUE"""),"")</f>
        <v/>
      </c>
      <c r="T214" s="36" t="str">
        <f ca="1">IFERROR(__xludf.DUMMYFUNCTION("""COMPUTED_VALUE"""),"")</f>
        <v/>
      </c>
      <c r="U214" s="36" t="str">
        <f ca="1">IFERROR(__xludf.DUMMYFUNCTION("""COMPUTED_VALUE"""),"")</f>
        <v/>
      </c>
      <c r="V214" s="36" t="str">
        <f ca="1">IFERROR(__xludf.DUMMYFUNCTION("""COMPUTED_VALUE"""),"")</f>
        <v/>
      </c>
      <c r="W214" s="36" t="str">
        <f ca="1">IFERROR(__xludf.DUMMYFUNCTION("""COMPUTED_VALUE"""),"")</f>
        <v/>
      </c>
      <c r="X214" s="36"/>
      <c r="Y214" s="36"/>
      <c r="Z214" s="36"/>
    </row>
    <row r="215" spans="1:26" ht="12.75" hidden="1">
      <c r="A215" s="36" t="str">
        <f ca="1">IFERROR(__xludf.DUMMYFUNCTION("""COMPUTED_VALUE"""),"")</f>
        <v/>
      </c>
      <c r="B215" s="36" t="str">
        <f ca="1">IFERROR(__xludf.DUMMYFUNCTION("""COMPUTED_VALUE"""),"")</f>
        <v/>
      </c>
      <c r="C215" s="36" t="str">
        <f ca="1">IFERROR(__xludf.DUMMYFUNCTION("""COMPUTED_VALUE"""),"")</f>
        <v/>
      </c>
      <c r="D215" s="36" t="str">
        <f ca="1">IFERROR(__xludf.DUMMYFUNCTION("""COMPUTED_VALUE"""),"")</f>
        <v/>
      </c>
      <c r="E215" s="36" t="str">
        <f ca="1">IFERROR(__xludf.DUMMYFUNCTION("""COMPUTED_VALUE"""),"")</f>
        <v/>
      </c>
      <c r="F215" s="36" t="str">
        <f ca="1">IFERROR(__xludf.DUMMYFUNCTION("""COMPUTED_VALUE"""),"")</f>
        <v/>
      </c>
      <c r="G215" s="36" t="str">
        <f ca="1">IFERROR(__xludf.DUMMYFUNCTION("""COMPUTED_VALUE"""),"")</f>
        <v/>
      </c>
      <c r="H215" s="36" t="str">
        <f ca="1">IFERROR(__xludf.DUMMYFUNCTION("""COMPUTED_VALUE"""),"")</f>
        <v/>
      </c>
      <c r="I215" s="36" t="str">
        <f ca="1">IFERROR(__xludf.DUMMYFUNCTION("""COMPUTED_VALUE"""),"")</f>
        <v/>
      </c>
      <c r="J215" s="36" t="str">
        <f ca="1">IFERROR(__xludf.DUMMYFUNCTION("""COMPUTED_VALUE"""),"")</f>
        <v/>
      </c>
      <c r="K215" s="36" t="str">
        <f ca="1">IFERROR(__xludf.DUMMYFUNCTION("""COMPUTED_VALUE"""),"")</f>
        <v/>
      </c>
      <c r="L215" s="36" t="str">
        <f ca="1">IFERROR(__xludf.DUMMYFUNCTION("""COMPUTED_VALUE"""),"")</f>
        <v/>
      </c>
      <c r="M215" s="36" t="str">
        <f ca="1">IFERROR(__xludf.DUMMYFUNCTION("""COMPUTED_VALUE"""),"")</f>
        <v/>
      </c>
      <c r="N215" s="36" t="str">
        <f ca="1">IFERROR(__xludf.DUMMYFUNCTION("""COMPUTED_VALUE"""),"")</f>
        <v/>
      </c>
      <c r="O215" s="36" t="str">
        <f ca="1">IFERROR(__xludf.DUMMYFUNCTION("""COMPUTED_VALUE"""),"")</f>
        <v/>
      </c>
      <c r="P215" s="36" t="str">
        <f ca="1">IFERROR(__xludf.DUMMYFUNCTION("""COMPUTED_VALUE"""),"")</f>
        <v/>
      </c>
      <c r="Q215" s="36" t="str">
        <f ca="1">IFERROR(__xludf.DUMMYFUNCTION("""COMPUTED_VALUE"""),"")</f>
        <v/>
      </c>
      <c r="R215" s="36" t="str">
        <f ca="1">IFERROR(__xludf.DUMMYFUNCTION("""COMPUTED_VALUE"""),"")</f>
        <v/>
      </c>
      <c r="S215" s="36" t="str">
        <f ca="1">IFERROR(__xludf.DUMMYFUNCTION("""COMPUTED_VALUE"""),"")</f>
        <v/>
      </c>
      <c r="T215" s="36" t="str">
        <f ca="1">IFERROR(__xludf.DUMMYFUNCTION("""COMPUTED_VALUE"""),"")</f>
        <v/>
      </c>
      <c r="U215" s="36" t="str">
        <f ca="1">IFERROR(__xludf.DUMMYFUNCTION("""COMPUTED_VALUE"""),"")</f>
        <v/>
      </c>
      <c r="V215" s="36" t="str">
        <f ca="1">IFERROR(__xludf.DUMMYFUNCTION("""COMPUTED_VALUE"""),"")</f>
        <v/>
      </c>
      <c r="W215" s="36" t="str">
        <f ca="1">IFERROR(__xludf.DUMMYFUNCTION("""COMPUTED_VALUE"""),"")</f>
        <v/>
      </c>
      <c r="X215" s="36"/>
      <c r="Y215" s="36"/>
      <c r="Z215" s="36"/>
    </row>
    <row r="216" spans="1:26" ht="12.75" hidden="1">
      <c r="A216" s="36" t="str">
        <f ca="1">IFERROR(__xludf.DUMMYFUNCTION("""COMPUTED_VALUE"""),"")</f>
        <v/>
      </c>
      <c r="B216" s="36" t="str">
        <f ca="1">IFERROR(__xludf.DUMMYFUNCTION("""COMPUTED_VALUE"""),"")</f>
        <v/>
      </c>
      <c r="C216" s="36" t="str">
        <f ca="1">IFERROR(__xludf.DUMMYFUNCTION("""COMPUTED_VALUE"""),"")</f>
        <v/>
      </c>
      <c r="D216" s="36" t="str">
        <f ca="1">IFERROR(__xludf.DUMMYFUNCTION("""COMPUTED_VALUE"""),"")</f>
        <v/>
      </c>
      <c r="E216" s="36" t="str">
        <f ca="1">IFERROR(__xludf.DUMMYFUNCTION("""COMPUTED_VALUE"""),"")</f>
        <v/>
      </c>
      <c r="F216" s="36" t="str">
        <f ca="1">IFERROR(__xludf.DUMMYFUNCTION("""COMPUTED_VALUE"""),"")</f>
        <v/>
      </c>
      <c r="G216" s="36" t="str">
        <f ca="1">IFERROR(__xludf.DUMMYFUNCTION("""COMPUTED_VALUE"""),"")</f>
        <v/>
      </c>
      <c r="H216" s="36" t="str">
        <f ca="1">IFERROR(__xludf.DUMMYFUNCTION("""COMPUTED_VALUE"""),"")</f>
        <v/>
      </c>
      <c r="I216" s="36" t="str">
        <f ca="1">IFERROR(__xludf.DUMMYFUNCTION("""COMPUTED_VALUE"""),"")</f>
        <v/>
      </c>
      <c r="J216" s="36" t="str">
        <f ca="1">IFERROR(__xludf.DUMMYFUNCTION("""COMPUTED_VALUE"""),"")</f>
        <v/>
      </c>
      <c r="K216" s="36" t="str">
        <f ca="1">IFERROR(__xludf.DUMMYFUNCTION("""COMPUTED_VALUE"""),"")</f>
        <v/>
      </c>
      <c r="L216" s="36" t="str">
        <f ca="1">IFERROR(__xludf.DUMMYFUNCTION("""COMPUTED_VALUE"""),"")</f>
        <v/>
      </c>
      <c r="M216" s="36" t="str">
        <f ca="1">IFERROR(__xludf.DUMMYFUNCTION("""COMPUTED_VALUE"""),"")</f>
        <v/>
      </c>
      <c r="N216" s="36" t="str">
        <f ca="1">IFERROR(__xludf.DUMMYFUNCTION("""COMPUTED_VALUE"""),"")</f>
        <v/>
      </c>
      <c r="O216" s="36" t="str">
        <f ca="1">IFERROR(__xludf.DUMMYFUNCTION("""COMPUTED_VALUE"""),"")</f>
        <v/>
      </c>
      <c r="P216" s="36" t="str">
        <f ca="1">IFERROR(__xludf.DUMMYFUNCTION("""COMPUTED_VALUE"""),"")</f>
        <v/>
      </c>
      <c r="Q216" s="36" t="str">
        <f ca="1">IFERROR(__xludf.DUMMYFUNCTION("""COMPUTED_VALUE"""),"")</f>
        <v/>
      </c>
      <c r="R216" s="36" t="str">
        <f ca="1">IFERROR(__xludf.DUMMYFUNCTION("""COMPUTED_VALUE"""),"")</f>
        <v/>
      </c>
      <c r="S216" s="36" t="str">
        <f ca="1">IFERROR(__xludf.DUMMYFUNCTION("""COMPUTED_VALUE"""),"")</f>
        <v/>
      </c>
      <c r="T216" s="36" t="str">
        <f ca="1">IFERROR(__xludf.DUMMYFUNCTION("""COMPUTED_VALUE"""),"")</f>
        <v/>
      </c>
      <c r="U216" s="36" t="str">
        <f ca="1">IFERROR(__xludf.DUMMYFUNCTION("""COMPUTED_VALUE"""),"")</f>
        <v/>
      </c>
      <c r="V216" s="36" t="str">
        <f ca="1">IFERROR(__xludf.DUMMYFUNCTION("""COMPUTED_VALUE"""),"")</f>
        <v/>
      </c>
      <c r="W216" s="36" t="str">
        <f ca="1">IFERROR(__xludf.DUMMYFUNCTION("""COMPUTED_VALUE"""),"")</f>
        <v/>
      </c>
      <c r="X216" s="36"/>
      <c r="Y216" s="36"/>
      <c r="Z216" s="36"/>
    </row>
    <row r="217" spans="1:26" ht="12.75" hidden="1">
      <c r="A217" s="36" t="str">
        <f ca="1">IFERROR(__xludf.DUMMYFUNCTION("""COMPUTED_VALUE"""),"")</f>
        <v/>
      </c>
      <c r="B217" s="36" t="str">
        <f ca="1">IFERROR(__xludf.DUMMYFUNCTION("""COMPUTED_VALUE"""),"")</f>
        <v/>
      </c>
      <c r="C217" s="36" t="str">
        <f ca="1">IFERROR(__xludf.DUMMYFUNCTION("""COMPUTED_VALUE"""),"")</f>
        <v/>
      </c>
      <c r="D217" s="36" t="str">
        <f ca="1">IFERROR(__xludf.DUMMYFUNCTION("""COMPUTED_VALUE"""),"")</f>
        <v/>
      </c>
      <c r="E217" s="36" t="str">
        <f ca="1">IFERROR(__xludf.DUMMYFUNCTION("""COMPUTED_VALUE"""),"")</f>
        <v/>
      </c>
      <c r="F217" s="36" t="str">
        <f ca="1">IFERROR(__xludf.DUMMYFUNCTION("""COMPUTED_VALUE"""),"")</f>
        <v/>
      </c>
      <c r="G217" s="36" t="str">
        <f ca="1">IFERROR(__xludf.DUMMYFUNCTION("""COMPUTED_VALUE"""),"")</f>
        <v/>
      </c>
      <c r="H217" s="36" t="str">
        <f ca="1">IFERROR(__xludf.DUMMYFUNCTION("""COMPUTED_VALUE"""),"")</f>
        <v/>
      </c>
      <c r="I217" s="36" t="str">
        <f ca="1">IFERROR(__xludf.DUMMYFUNCTION("""COMPUTED_VALUE"""),"")</f>
        <v/>
      </c>
      <c r="J217" s="36" t="str">
        <f ca="1">IFERROR(__xludf.DUMMYFUNCTION("""COMPUTED_VALUE"""),"")</f>
        <v/>
      </c>
      <c r="K217" s="36" t="str">
        <f ca="1">IFERROR(__xludf.DUMMYFUNCTION("""COMPUTED_VALUE"""),"")</f>
        <v/>
      </c>
      <c r="L217" s="36" t="str">
        <f ca="1">IFERROR(__xludf.DUMMYFUNCTION("""COMPUTED_VALUE"""),"")</f>
        <v/>
      </c>
      <c r="M217" s="36" t="str">
        <f ca="1">IFERROR(__xludf.DUMMYFUNCTION("""COMPUTED_VALUE"""),"")</f>
        <v/>
      </c>
      <c r="N217" s="36" t="str">
        <f ca="1">IFERROR(__xludf.DUMMYFUNCTION("""COMPUTED_VALUE"""),"")</f>
        <v/>
      </c>
      <c r="O217" s="36" t="str">
        <f ca="1">IFERROR(__xludf.DUMMYFUNCTION("""COMPUTED_VALUE"""),"")</f>
        <v/>
      </c>
      <c r="P217" s="36" t="str">
        <f ca="1">IFERROR(__xludf.DUMMYFUNCTION("""COMPUTED_VALUE"""),"")</f>
        <v/>
      </c>
      <c r="Q217" s="36" t="str">
        <f ca="1">IFERROR(__xludf.DUMMYFUNCTION("""COMPUTED_VALUE"""),"")</f>
        <v/>
      </c>
      <c r="R217" s="36" t="str">
        <f ca="1">IFERROR(__xludf.DUMMYFUNCTION("""COMPUTED_VALUE"""),"")</f>
        <v/>
      </c>
      <c r="S217" s="36" t="str">
        <f ca="1">IFERROR(__xludf.DUMMYFUNCTION("""COMPUTED_VALUE"""),"")</f>
        <v/>
      </c>
      <c r="T217" s="36" t="str">
        <f ca="1">IFERROR(__xludf.DUMMYFUNCTION("""COMPUTED_VALUE"""),"")</f>
        <v/>
      </c>
      <c r="U217" s="36" t="str">
        <f ca="1">IFERROR(__xludf.DUMMYFUNCTION("""COMPUTED_VALUE"""),"")</f>
        <v/>
      </c>
      <c r="V217" s="36" t="str">
        <f ca="1">IFERROR(__xludf.DUMMYFUNCTION("""COMPUTED_VALUE"""),"")</f>
        <v/>
      </c>
      <c r="W217" s="36" t="str">
        <f ca="1">IFERROR(__xludf.DUMMYFUNCTION("""COMPUTED_VALUE"""),"")</f>
        <v/>
      </c>
      <c r="X217" s="36"/>
      <c r="Y217" s="36"/>
      <c r="Z217" s="36"/>
    </row>
    <row r="218" spans="1:26" ht="12.75" hidden="1">
      <c r="A218" s="36" t="str">
        <f ca="1">IFERROR(__xludf.DUMMYFUNCTION("""COMPUTED_VALUE"""),"")</f>
        <v/>
      </c>
      <c r="B218" s="36" t="str">
        <f ca="1">IFERROR(__xludf.DUMMYFUNCTION("""COMPUTED_VALUE"""),"")</f>
        <v/>
      </c>
      <c r="C218" s="36" t="str">
        <f ca="1">IFERROR(__xludf.DUMMYFUNCTION("""COMPUTED_VALUE"""),"")</f>
        <v/>
      </c>
      <c r="D218" s="36" t="str">
        <f ca="1">IFERROR(__xludf.DUMMYFUNCTION("""COMPUTED_VALUE"""),"")</f>
        <v/>
      </c>
      <c r="E218" s="36" t="str">
        <f ca="1">IFERROR(__xludf.DUMMYFUNCTION("""COMPUTED_VALUE"""),"")</f>
        <v/>
      </c>
      <c r="F218" s="36" t="str">
        <f ca="1">IFERROR(__xludf.DUMMYFUNCTION("""COMPUTED_VALUE"""),"")</f>
        <v/>
      </c>
      <c r="G218" s="36" t="str">
        <f ca="1">IFERROR(__xludf.DUMMYFUNCTION("""COMPUTED_VALUE"""),"")</f>
        <v/>
      </c>
      <c r="H218" s="36" t="str">
        <f ca="1">IFERROR(__xludf.DUMMYFUNCTION("""COMPUTED_VALUE"""),"")</f>
        <v/>
      </c>
      <c r="I218" s="36" t="str">
        <f ca="1">IFERROR(__xludf.DUMMYFUNCTION("""COMPUTED_VALUE"""),"")</f>
        <v/>
      </c>
      <c r="J218" s="36" t="str">
        <f ca="1">IFERROR(__xludf.DUMMYFUNCTION("""COMPUTED_VALUE"""),"")</f>
        <v/>
      </c>
      <c r="K218" s="36" t="str">
        <f ca="1">IFERROR(__xludf.DUMMYFUNCTION("""COMPUTED_VALUE"""),"")</f>
        <v/>
      </c>
      <c r="L218" s="36" t="str">
        <f ca="1">IFERROR(__xludf.DUMMYFUNCTION("""COMPUTED_VALUE"""),"")</f>
        <v/>
      </c>
      <c r="M218" s="36" t="str">
        <f ca="1">IFERROR(__xludf.DUMMYFUNCTION("""COMPUTED_VALUE"""),"")</f>
        <v/>
      </c>
      <c r="N218" s="36" t="str">
        <f ca="1">IFERROR(__xludf.DUMMYFUNCTION("""COMPUTED_VALUE"""),"")</f>
        <v/>
      </c>
      <c r="O218" s="36" t="str">
        <f ca="1">IFERROR(__xludf.DUMMYFUNCTION("""COMPUTED_VALUE"""),"")</f>
        <v/>
      </c>
      <c r="P218" s="36" t="str">
        <f ca="1">IFERROR(__xludf.DUMMYFUNCTION("""COMPUTED_VALUE"""),"")</f>
        <v/>
      </c>
      <c r="Q218" s="36" t="str">
        <f ca="1">IFERROR(__xludf.DUMMYFUNCTION("""COMPUTED_VALUE"""),"")</f>
        <v/>
      </c>
      <c r="R218" s="36" t="str">
        <f ca="1">IFERROR(__xludf.DUMMYFUNCTION("""COMPUTED_VALUE"""),"")</f>
        <v/>
      </c>
      <c r="S218" s="36" t="str">
        <f ca="1">IFERROR(__xludf.DUMMYFUNCTION("""COMPUTED_VALUE"""),"")</f>
        <v/>
      </c>
      <c r="T218" s="36" t="str">
        <f ca="1">IFERROR(__xludf.DUMMYFUNCTION("""COMPUTED_VALUE"""),"")</f>
        <v/>
      </c>
      <c r="U218" s="36" t="str">
        <f ca="1">IFERROR(__xludf.DUMMYFUNCTION("""COMPUTED_VALUE"""),"")</f>
        <v/>
      </c>
      <c r="V218" s="36" t="str">
        <f ca="1">IFERROR(__xludf.DUMMYFUNCTION("""COMPUTED_VALUE"""),"")</f>
        <v/>
      </c>
      <c r="W218" s="36" t="str">
        <f ca="1">IFERROR(__xludf.DUMMYFUNCTION("""COMPUTED_VALUE"""),"")</f>
        <v/>
      </c>
      <c r="X218" s="36"/>
      <c r="Y218" s="36"/>
      <c r="Z218" s="36"/>
    </row>
    <row r="219" spans="1:26" ht="12.75" hidden="1">
      <c r="A219" s="36" t="str">
        <f ca="1">IFERROR(__xludf.DUMMYFUNCTION("""COMPUTED_VALUE"""),"")</f>
        <v/>
      </c>
      <c r="B219" s="36" t="str">
        <f ca="1">IFERROR(__xludf.DUMMYFUNCTION("""COMPUTED_VALUE"""),"")</f>
        <v/>
      </c>
      <c r="C219" s="36" t="str">
        <f ca="1">IFERROR(__xludf.DUMMYFUNCTION("""COMPUTED_VALUE"""),"")</f>
        <v/>
      </c>
      <c r="D219" s="36" t="str">
        <f ca="1">IFERROR(__xludf.DUMMYFUNCTION("""COMPUTED_VALUE"""),"")</f>
        <v/>
      </c>
      <c r="E219" s="36" t="str">
        <f ca="1">IFERROR(__xludf.DUMMYFUNCTION("""COMPUTED_VALUE"""),"")</f>
        <v/>
      </c>
      <c r="F219" s="36" t="str">
        <f ca="1">IFERROR(__xludf.DUMMYFUNCTION("""COMPUTED_VALUE"""),"")</f>
        <v/>
      </c>
      <c r="G219" s="36" t="str">
        <f ca="1">IFERROR(__xludf.DUMMYFUNCTION("""COMPUTED_VALUE"""),"")</f>
        <v/>
      </c>
      <c r="H219" s="36" t="str">
        <f ca="1">IFERROR(__xludf.DUMMYFUNCTION("""COMPUTED_VALUE"""),"")</f>
        <v/>
      </c>
      <c r="I219" s="36" t="str">
        <f ca="1">IFERROR(__xludf.DUMMYFUNCTION("""COMPUTED_VALUE"""),"")</f>
        <v/>
      </c>
      <c r="J219" s="36" t="str">
        <f ca="1">IFERROR(__xludf.DUMMYFUNCTION("""COMPUTED_VALUE"""),"")</f>
        <v/>
      </c>
      <c r="K219" s="36" t="str">
        <f ca="1">IFERROR(__xludf.DUMMYFUNCTION("""COMPUTED_VALUE"""),"")</f>
        <v/>
      </c>
      <c r="L219" s="36" t="str">
        <f ca="1">IFERROR(__xludf.DUMMYFUNCTION("""COMPUTED_VALUE"""),"")</f>
        <v/>
      </c>
      <c r="M219" s="36" t="str">
        <f ca="1">IFERROR(__xludf.DUMMYFUNCTION("""COMPUTED_VALUE"""),"")</f>
        <v/>
      </c>
      <c r="N219" s="36" t="str">
        <f ca="1">IFERROR(__xludf.DUMMYFUNCTION("""COMPUTED_VALUE"""),"")</f>
        <v/>
      </c>
      <c r="O219" s="36" t="str">
        <f ca="1">IFERROR(__xludf.DUMMYFUNCTION("""COMPUTED_VALUE"""),"")</f>
        <v/>
      </c>
      <c r="P219" s="36" t="str">
        <f ca="1">IFERROR(__xludf.DUMMYFUNCTION("""COMPUTED_VALUE"""),"")</f>
        <v/>
      </c>
      <c r="Q219" s="36" t="str">
        <f ca="1">IFERROR(__xludf.DUMMYFUNCTION("""COMPUTED_VALUE"""),"")</f>
        <v/>
      </c>
      <c r="R219" s="36" t="str">
        <f ca="1">IFERROR(__xludf.DUMMYFUNCTION("""COMPUTED_VALUE"""),"")</f>
        <v/>
      </c>
      <c r="S219" s="36" t="str">
        <f ca="1">IFERROR(__xludf.DUMMYFUNCTION("""COMPUTED_VALUE"""),"")</f>
        <v/>
      </c>
      <c r="T219" s="36" t="str">
        <f ca="1">IFERROR(__xludf.DUMMYFUNCTION("""COMPUTED_VALUE"""),"")</f>
        <v/>
      </c>
      <c r="U219" s="36" t="str">
        <f ca="1">IFERROR(__xludf.DUMMYFUNCTION("""COMPUTED_VALUE"""),"")</f>
        <v/>
      </c>
      <c r="V219" s="36" t="str">
        <f ca="1">IFERROR(__xludf.DUMMYFUNCTION("""COMPUTED_VALUE"""),"")</f>
        <v/>
      </c>
      <c r="W219" s="36" t="str">
        <f ca="1">IFERROR(__xludf.DUMMYFUNCTION("""COMPUTED_VALUE"""),"")</f>
        <v/>
      </c>
      <c r="X219" s="36"/>
      <c r="Y219" s="36"/>
      <c r="Z219" s="36"/>
    </row>
    <row r="220" spans="1:26" ht="12.75" hidden="1">
      <c r="A220" s="36" t="str">
        <f ca="1">IFERROR(__xludf.DUMMYFUNCTION("""COMPUTED_VALUE"""),"")</f>
        <v/>
      </c>
      <c r="B220" s="36" t="str">
        <f ca="1">IFERROR(__xludf.DUMMYFUNCTION("""COMPUTED_VALUE"""),"")</f>
        <v/>
      </c>
      <c r="C220" s="36" t="str">
        <f ca="1">IFERROR(__xludf.DUMMYFUNCTION("""COMPUTED_VALUE"""),"")</f>
        <v/>
      </c>
      <c r="D220" s="36" t="str">
        <f ca="1">IFERROR(__xludf.DUMMYFUNCTION("""COMPUTED_VALUE"""),"")</f>
        <v/>
      </c>
      <c r="E220" s="36" t="str">
        <f ca="1">IFERROR(__xludf.DUMMYFUNCTION("""COMPUTED_VALUE"""),"")</f>
        <v/>
      </c>
      <c r="F220" s="36" t="str">
        <f ca="1">IFERROR(__xludf.DUMMYFUNCTION("""COMPUTED_VALUE"""),"")</f>
        <v/>
      </c>
      <c r="G220" s="36" t="str">
        <f ca="1">IFERROR(__xludf.DUMMYFUNCTION("""COMPUTED_VALUE"""),"")</f>
        <v/>
      </c>
      <c r="H220" s="36" t="str">
        <f ca="1">IFERROR(__xludf.DUMMYFUNCTION("""COMPUTED_VALUE"""),"")</f>
        <v/>
      </c>
      <c r="I220" s="36" t="str">
        <f ca="1">IFERROR(__xludf.DUMMYFUNCTION("""COMPUTED_VALUE"""),"")</f>
        <v/>
      </c>
      <c r="J220" s="36" t="str">
        <f ca="1">IFERROR(__xludf.DUMMYFUNCTION("""COMPUTED_VALUE"""),"")</f>
        <v/>
      </c>
      <c r="K220" s="36" t="str">
        <f ca="1">IFERROR(__xludf.DUMMYFUNCTION("""COMPUTED_VALUE"""),"")</f>
        <v/>
      </c>
      <c r="L220" s="36" t="str">
        <f ca="1">IFERROR(__xludf.DUMMYFUNCTION("""COMPUTED_VALUE"""),"")</f>
        <v/>
      </c>
      <c r="M220" s="36" t="str">
        <f ca="1">IFERROR(__xludf.DUMMYFUNCTION("""COMPUTED_VALUE"""),"")</f>
        <v/>
      </c>
      <c r="N220" s="36" t="str">
        <f ca="1">IFERROR(__xludf.DUMMYFUNCTION("""COMPUTED_VALUE"""),"")</f>
        <v/>
      </c>
      <c r="O220" s="36" t="str">
        <f ca="1">IFERROR(__xludf.DUMMYFUNCTION("""COMPUTED_VALUE"""),"")</f>
        <v/>
      </c>
      <c r="P220" s="36" t="str">
        <f ca="1">IFERROR(__xludf.DUMMYFUNCTION("""COMPUTED_VALUE"""),"")</f>
        <v/>
      </c>
      <c r="Q220" s="36" t="str">
        <f ca="1">IFERROR(__xludf.DUMMYFUNCTION("""COMPUTED_VALUE"""),"")</f>
        <v/>
      </c>
      <c r="R220" s="36" t="str">
        <f ca="1">IFERROR(__xludf.DUMMYFUNCTION("""COMPUTED_VALUE"""),"")</f>
        <v/>
      </c>
      <c r="S220" s="36" t="str">
        <f ca="1">IFERROR(__xludf.DUMMYFUNCTION("""COMPUTED_VALUE"""),"")</f>
        <v/>
      </c>
      <c r="T220" s="36" t="str">
        <f ca="1">IFERROR(__xludf.DUMMYFUNCTION("""COMPUTED_VALUE"""),"")</f>
        <v/>
      </c>
      <c r="U220" s="36" t="str">
        <f ca="1">IFERROR(__xludf.DUMMYFUNCTION("""COMPUTED_VALUE"""),"")</f>
        <v/>
      </c>
      <c r="V220" s="36" t="str">
        <f ca="1">IFERROR(__xludf.DUMMYFUNCTION("""COMPUTED_VALUE"""),"")</f>
        <v/>
      </c>
      <c r="W220" s="36" t="str">
        <f ca="1">IFERROR(__xludf.DUMMYFUNCTION("""COMPUTED_VALUE"""),"")</f>
        <v/>
      </c>
      <c r="X220" s="36"/>
      <c r="Y220" s="36"/>
      <c r="Z220" s="36"/>
    </row>
    <row r="221" spans="1:26" ht="12.75" hidden="1">
      <c r="A221" s="36" t="str">
        <f ca="1">IFERROR(__xludf.DUMMYFUNCTION("""COMPUTED_VALUE"""),"")</f>
        <v/>
      </c>
      <c r="B221" s="36" t="str">
        <f ca="1">IFERROR(__xludf.DUMMYFUNCTION("""COMPUTED_VALUE"""),"")</f>
        <v/>
      </c>
      <c r="C221" s="36" t="str">
        <f ca="1">IFERROR(__xludf.DUMMYFUNCTION("""COMPUTED_VALUE"""),"")</f>
        <v/>
      </c>
      <c r="D221" s="36" t="str">
        <f ca="1">IFERROR(__xludf.DUMMYFUNCTION("""COMPUTED_VALUE"""),"")</f>
        <v/>
      </c>
      <c r="E221" s="36" t="str">
        <f ca="1">IFERROR(__xludf.DUMMYFUNCTION("""COMPUTED_VALUE"""),"")</f>
        <v/>
      </c>
      <c r="F221" s="36" t="str">
        <f ca="1">IFERROR(__xludf.DUMMYFUNCTION("""COMPUTED_VALUE"""),"")</f>
        <v/>
      </c>
      <c r="G221" s="36" t="str">
        <f ca="1">IFERROR(__xludf.DUMMYFUNCTION("""COMPUTED_VALUE"""),"")</f>
        <v/>
      </c>
      <c r="H221" s="36" t="str">
        <f ca="1">IFERROR(__xludf.DUMMYFUNCTION("""COMPUTED_VALUE"""),"")</f>
        <v/>
      </c>
      <c r="I221" s="36" t="str">
        <f ca="1">IFERROR(__xludf.DUMMYFUNCTION("""COMPUTED_VALUE"""),"")</f>
        <v/>
      </c>
      <c r="J221" s="36" t="str">
        <f ca="1">IFERROR(__xludf.DUMMYFUNCTION("""COMPUTED_VALUE"""),"")</f>
        <v/>
      </c>
      <c r="K221" s="36" t="str">
        <f ca="1">IFERROR(__xludf.DUMMYFUNCTION("""COMPUTED_VALUE"""),"")</f>
        <v/>
      </c>
      <c r="L221" s="36" t="str">
        <f ca="1">IFERROR(__xludf.DUMMYFUNCTION("""COMPUTED_VALUE"""),"")</f>
        <v/>
      </c>
      <c r="M221" s="36" t="str">
        <f ca="1">IFERROR(__xludf.DUMMYFUNCTION("""COMPUTED_VALUE"""),"")</f>
        <v/>
      </c>
      <c r="N221" s="36" t="str">
        <f ca="1">IFERROR(__xludf.DUMMYFUNCTION("""COMPUTED_VALUE"""),"")</f>
        <v/>
      </c>
      <c r="O221" s="36" t="str">
        <f ca="1">IFERROR(__xludf.DUMMYFUNCTION("""COMPUTED_VALUE"""),"")</f>
        <v/>
      </c>
      <c r="P221" s="36" t="str">
        <f ca="1">IFERROR(__xludf.DUMMYFUNCTION("""COMPUTED_VALUE"""),"")</f>
        <v/>
      </c>
      <c r="Q221" s="36" t="str">
        <f ca="1">IFERROR(__xludf.DUMMYFUNCTION("""COMPUTED_VALUE"""),"")</f>
        <v/>
      </c>
      <c r="R221" s="36" t="str">
        <f ca="1">IFERROR(__xludf.DUMMYFUNCTION("""COMPUTED_VALUE"""),"")</f>
        <v/>
      </c>
      <c r="S221" s="36" t="str">
        <f ca="1">IFERROR(__xludf.DUMMYFUNCTION("""COMPUTED_VALUE"""),"")</f>
        <v/>
      </c>
      <c r="T221" s="36" t="str">
        <f ca="1">IFERROR(__xludf.DUMMYFUNCTION("""COMPUTED_VALUE"""),"")</f>
        <v/>
      </c>
      <c r="U221" s="36" t="str">
        <f ca="1">IFERROR(__xludf.DUMMYFUNCTION("""COMPUTED_VALUE"""),"")</f>
        <v/>
      </c>
      <c r="V221" s="36" t="str">
        <f ca="1">IFERROR(__xludf.DUMMYFUNCTION("""COMPUTED_VALUE"""),"")</f>
        <v/>
      </c>
      <c r="W221" s="36" t="str">
        <f ca="1">IFERROR(__xludf.DUMMYFUNCTION("""COMPUTED_VALUE"""),"")</f>
        <v/>
      </c>
      <c r="X221" s="36"/>
      <c r="Y221" s="36"/>
      <c r="Z221" s="36"/>
    </row>
    <row r="222" spans="1:26" ht="12.75" hidden="1">
      <c r="A222" s="36" t="str">
        <f ca="1">IFERROR(__xludf.DUMMYFUNCTION("""COMPUTED_VALUE"""),"")</f>
        <v/>
      </c>
      <c r="B222" s="36" t="str">
        <f ca="1">IFERROR(__xludf.DUMMYFUNCTION("""COMPUTED_VALUE"""),"")</f>
        <v/>
      </c>
      <c r="C222" s="36" t="str">
        <f ca="1">IFERROR(__xludf.DUMMYFUNCTION("""COMPUTED_VALUE"""),"")</f>
        <v/>
      </c>
      <c r="D222" s="36" t="str">
        <f ca="1">IFERROR(__xludf.DUMMYFUNCTION("""COMPUTED_VALUE"""),"")</f>
        <v/>
      </c>
      <c r="E222" s="36" t="str">
        <f ca="1">IFERROR(__xludf.DUMMYFUNCTION("""COMPUTED_VALUE"""),"")</f>
        <v/>
      </c>
      <c r="F222" s="36" t="str">
        <f ca="1">IFERROR(__xludf.DUMMYFUNCTION("""COMPUTED_VALUE"""),"")</f>
        <v/>
      </c>
      <c r="G222" s="36" t="str">
        <f ca="1">IFERROR(__xludf.DUMMYFUNCTION("""COMPUTED_VALUE"""),"")</f>
        <v/>
      </c>
      <c r="H222" s="36" t="str">
        <f ca="1">IFERROR(__xludf.DUMMYFUNCTION("""COMPUTED_VALUE"""),"")</f>
        <v/>
      </c>
      <c r="I222" s="36" t="str">
        <f ca="1">IFERROR(__xludf.DUMMYFUNCTION("""COMPUTED_VALUE"""),"")</f>
        <v/>
      </c>
      <c r="J222" s="36" t="str">
        <f ca="1">IFERROR(__xludf.DUMMYFUNCTION("""COMPUTED_VALUE"""),"")</f>
        <v/>
      </c>
      <c r="K222" s="36" t="str">
        <f ca="1">IFERROR(__xludf.DUMMYFUNCTION("""COMPUTED_VALUE"""),"")</f>
        <v/>
      </c>
      <c r="L222" s="36" t="str">
        <f ca="1">IFERROR(__xludf.DUMMYFUNCTION("""COMPUTED_VALUE"""),"")</f>
        <v/>
      </c>
      <c r="M222" s="36" t="str">
        <f ca="1">IFERROR(__xludf.DUMMYFUNCTION("""COMPUTED_VALUE"""),"")</f>
        <v/>
      </c>
      <c r="N222" s="36" t="str">
        <f ca="1">IFERROR(__xludf.DUMMYFUNCTION("""COMPUTED_VALUE"""),"")</f>
        <v/>
      </c>
      <c r="O222" s="36" t="str">
        <f ca="1">IFERROR(__xludf.DUMMYFUNCTION("""COMPUTED_VALUE"""),"")</f>
        <v/>
      </c>
      <c r="P222" s="36" t="str">
        <f ca="1">IFERROR(__xludf.DUMMYFUNCTION("""COMPUTED_VALUE"""),"")</f>
        <v/>
      </c>
      <c r="Q222" s="36" t="str">
        <f ca="1">IFERROR(__xludf.DUMMYFUNCTION("""COMPUTED_VALUE"""),"")</f>
        <v/>
      </c>
      <c r="R222" s="36" t="str">
        <f ca="1">IFERROR(__xludf.DUMMYFUNCTION("""COMPUTED_VALUE"""),"")</f>
        <v/>
      </c>
      <c r="S222" s="36" t="str">
        <f ca="1">IFERROR(__xludf.DUMMYFUNCTION("""COMPUTED_VALUE"""),"")</f>
        <v/>
      </c>
      <c r="T222" s="36" t="str">
        <f ca="1">IFERROR(__xludf.DUMMYFUNCTION("""COMPUTED_VALUE"""),"")</f>
        <v/>
      </c>
      <c r="U222" s="36" t="str">
        <f ca="1">IFERROR(__xludf.DUMMYFUNCTION("""COMPUTED_VALUE"""),"")</f>
        <v/>
      </c>
      <c r="V222" s="36" t="str">
        <f ca="1">IFERROR(__xludf.DUMMYFUNCTION("""COMPUTED_VALUE"""),"")</f>
        <v/>
      </c>
      <c r="W222" s="36" t="str">
        <f ca="1">IFERROR(__xludf.DUMMYFUNCTION("""COMPUTED_VALUE"""),"")</f>
        <v/>
      </c>
      <c r="X222" s="36"/>
      <c r="Y222" s="36"/>
      <c r="Z222" s="36"/>
    </row>
    <row r="223" spans="1:26" ht="12.75" hidden="1">
      <c r="A223" s="36" t="str">
        <f ca="1">IFERROR(__xludf.DUMMYFUNCTION("""COMPUTED_VALUE"""),"")</f>
        <v/>
      </c>
      <c r="B223" s="36" t="str">
        <f ca="1">IFERROR(__xludf.DUMMYFUNCTION("""COMPUTED_VALUE"""),"")</f>
        <v/>
      </c>
      <c r="C223" s="36" t="str">
        <f ca="1">IFERROR(__xludf.DUMMYFUNCTION("""COMPUTED_VALUE"""),"")</f>
        <v/>
      </c>
      <c r="D223" s="36" t="str">
        <f ca="1">IFERROR(__xludf.DUMMYFUNCTION("""COMPUTED_VALUE"""),"")</f>
        <v/>
      </c>
      <c r="E223" s="36" t="str">
        <f ca="1">IFERROR(__xludf.DUMMYFUNCTION("""COMPUTED_VALUE"""),"")</f>
        <v/>
      </c>
      <c r="F223" s="36" t="str">
        <f ca="1">IFERROR(__xludf.DUMMYFUNCTION("""COMPUTED_VALUE"""),"")</f>
        <v/>
      </c>
      <c r="G223" s="36" t="str">
        <f ca="1">IFERROR(__xludf.DUMMYFUNCTION("""COMPUTED_VALUE"""),"")</f>
        <v/>
      </c>
      <c r="H223" s="36" t="str">
        <f ca="1">IFERROR(__xludf.DUMMYFUNCTION("""COMPUTED_VALUE"""),"")</f>
        <v/>
      </c>
      <c r="I223" s="36" t="str">
        <f ca="1">IFERROR(__xludf.DUMMYFUNCTION("""COMPUTED_VALUE"""),"")</f>
        <v/>
      </c>
      <c r="J223" s="36" t="str">
        <f ca="1">IFERROR(__xludf.DUMMYFUNCTION("""COMPUTED_VALUE"""),"")</f>
        <v/>
      </c>
      <c r="K223" s="36" t="str">
        <f ca="1">IFERROR(__xludf.DUMMYFUNCTION("""COMPUTED_VALUE"""),"")</f>
        <v/>
      </c>
      <c r="L223" s="36" t="str">
        <f ca="1">IFERROR(__xludf.DUMMYFUNCTION("""COMPUTED_VALUE"""),"")</f>
        <v/>
      </c>
      <c r="M223" s="36" t="str">
        <f ca="1">IFERROR(__xludf.DUMMYFUNCTION("""COMPUTED_VALUE"""),"")</f>
        <v/>
      </c>
      <c r="N223" s="36" t="str">
        <f ca="1">IFERROR(__xludf.DUMMYFUNCTION("""COMPUTED_VALUE"""),"")</f>
        <v/>
      </c>
      <c r="O223" s="36" t="str">
        <f ca="1">IFERROR(__xludf.DUMMYFUNCTION("""COMPUTED_VALUE"""),"")</f>
        <v/>
      </c>
      <c r="P223" s="36" t="str">
        <f ca="1">IFERROR(__xludf.DUMMYFUNCTION("""COMPUTED_VALUE"""),"")</f>
        <v/>
      </c>
      <c r="Q223" s="36" t="str">
        <f ca="1">IFERROR(__xludf.DUMMYFUNCTION("""COMPUTED_VALUE"""),"")</f>
        <v/>
      </c>
      <c r="R223" s="36" t="str">
        <f ca="1">IFERROR(__xludf.DUMMYFUNCTION("""COMPUTED_VALUE"""),"")</f>
        <v/>
      </c>
      <c r="S223" s="36" t="str">
        <f ca="1">IFERROR(__xludf.DUMMYFUNCTION("""COMPUTED_VALUE"""),"")</f>
        <v/>
      </c>
      <c r="T223" s="36" t="str">
        <f ca="1">IFERROR(__xludf.DUMMYFUNCTION("""COMPUTED_VALUE"""),"")</f>
        <v/>
      </c>
      <c r="U223" s="36" t="str">
        <f ca="1">IFERROR(__xludf.DUMMYFUNCTION("""COMPUTED_VALUE"""),"")</f>
        <v/>
      </c>
      <c r="V223" s="36" t="str">
        <f ca="1">IFERROR(__xludf.DUMMYFUNCTION("""COMPUTED_VALUE"""),"")</f>
        <v/>
      </c>
      <c r="W223" s="36" t="str">
        <f ca="1">IFERROR(__xludf.DUMMYFUNCTION("""COMPUTED_VALUE"""),"")</f>
        <v/>
      </c>
      <c r="X223" s="36"/>
      <c r="Y223" s="36"/>
      <c r="Z223" s="36"/>
    </row>
    <row r="224" spans="1:26" ht="12.75" hidden="1">
      <c r="A224" s="36" t="str">
        <f ca="1">IFERROR(__xludf.DUMMYFUNCTION("""COMPUTED_VALUE"""),"")</f>
        <v/>
      </c>
      <c r="B224" s="36" t="str">
        <f ca="1">IFERROR(__xludf.DUMMYFUNCTION("""COMPUTED_VALUE"""),"")</f>
        <v/>
      </c>
      <c r="C224" s="36" t="str">
        <f ca="1">IFERROR(__xludf.DUMMYFUNCTION("""COMPUTED_VALUE"""),"")</f>
        <v/>
      </c>
      <c r="D224" s="36" t="str">
        <f ca="1">IFERROR(__xludf.DUMMYFUNCTION("""COMPUTED_VALUE"""),"")</f>
        <v/>
      </c>
      <c r="E224" s="36" t="str">
        <f ca="1">IFERROR(__xludf.DUMMYFUNCTION("""COMPUTED_VALUE"""),"")</f>
        <v/>
      </c>
      <c r="F224" s="36" t="str">
        <f ca="1">IFERROR(__xludf.DUMMYFUNCTION("""COMPUTED_VALUE"""),"")</f>
        <v/>
      </c>
      <c r="G224" s="36" t="str">
        <f ca="1">IFERROR(__xludf.DUMMYFUNCTION("""COMPUTED_VALUE"""),"")</f>
        <v/>
      </c>
      <c r="H224" s="36" t="str">
        <f ca="1">IFERROR(__xludf.DUMMYFUNCTION("""COMPUTED_VALUE"""),"")</f>
        <v/>
      </c>
      <c r="I224" s="36" t="str">
        <f ca="1">IFERROR(__xludf.DUMMYFUNCTION("""COMPUTED_VALUE"""),"")</f>
        <v/>
      </c>
      <c r="J224" s="36" t="str">
        <f ca="1">IFERROR(__xludf.DUMMYFUNCTION("""COMPUTED_VALUE"""),"")</f>
        <v/>
      </c>
      <c r="K224" s="36" t="str">
        <f ca="1">IFERROR(__xludf.DUMMYFUNCTION("""COMPUTED_VALUE"""),"")</f>
        <v/>
      </c>
      <c r="L224" s="36" t="str">
        <f ca="1">IFERROR(__xludf.DUMMYFUNCTION("""COMPUTED_VALUE"""),"")</f>
        <v/>
      </c>
      <c r="M224" s="36" t="str">
        <f ca="1">IFERROR(__xludf.DUMMYFUNCTION("""COMPUTED_VALUE"""),"")</f>
        <v/>
      </c>
      <c r="N224" s="36" t="str">
        <f ca="1">IFERROR(__xludf.DUMMYFUNCTION("""COMPUTED_VALUE"""),"")</f>
        <v/>
      </c>
      <c r="O224" s="36" t="str">
        <f ca="1">IFERROR(__xludf.DUMMYFUNCTION("""COMPUTED_VALUE"""),"")</f>
        <v/>
      </c>
      <c r="P224" s="36" t="str">
        <f ca="1">IFERROR(__xludf.DUMMYFUNCTION("""COMPUTED_VALUE"""),"")</f>
        <v/>
      </c>
      <c r="Q224" s="36" t="str">
        <f ca="1">IFERROR(__xludf.DUMMYFUNCTION("""COMPUTED_VALUE"""),"")</f>
        <v/>
      </c>
      <c r="R224" s="36" t="str">
        <f ca="1">IFERROR(__xludf.DUMMYFUNCTION("""COMPUTED_VALUE"""),"")</f>
        <v/>
      </c>
      <c r="S224" s="36" t="str">
        <f ca="1">IFERROR(__xludf.DUMMYFUNCTION("""COMPUTED_VALUE"""),"")</f>
        <v/>
      </c>
      <c r="T224" s="36" t="str">
        <f ca="1">IFERROR(__xludf.DUMMYFUNCTION("""COMPUTED_VALUE"""),"")</f>
        <v/>
      </c>
      <c r="U224" s="36" t="str">
        <f ca="1">IFERROR(__xludf.DUMMYFUNCTION("""COMPUTED_VALUE"""),"")</f>
        <v/>
      </c>
      <c r="V224" s="36" t="str">
        <f ca="1">IFERROR(__xludf.DUMMYFUNCTION("""COMPUTED_VALUE"""),"")</f>
        <v/>
      </c>
      <c r="W224" s="36" t="str">
        <f ca="1">IFERROR(__xludf.DUMMYFUNCTION("""COMPUTED_VALUE"""),"")</f>
        <v/>
      </c>
      <c r="X224" s="36"/>
      <c r="Y224" s="36"/>
      <c r="Z224" s="36"/>
    </row>
    <row r="225" spans="1:26" ht="12.75" hidden="1">
      <c r="A225" s="36" t="str">
        <f ca="1">IFERROR(__xludf.DUMMYFUNCTION("""COMPUTED_VALUE"""),"")</f>
        <v/>
      </c>
      <c r="B225" s="36" t="str">
        <f ca="1">IFERROR(__xludf.DUMMYFUNCTION("""COMPUTED_VALUE"""),"")</f>
        <v/>
      </c>
      <c r="C225" s="36" t="str">
        <f ca="1">IFERROR(__xludf.DUMMYFUNCTION("""COMPUTED_VALUE"""),"")</f>
        <v/>
      </c>
      <c r="D225" s="36" t="str">
        <f ca="1">IFERROR(__xludf.DUMMYFUNCTION("""COMPUTED_VALUE"""),"")</f>
        <v/>
      </c>
      <c r="E225" s="36" t="str">
        <f ca="1">IFERROR(__xludf.DUMMYFUNCTION("""COMPUTED_VALUE"""),"")</f>
        <v/>
      </c>
      <c r="F225" s="36" t="str">
        <f ca="1">IFERROR(__xludf.DUMMYFUNCTION("""COMPUTED_VALUE"""),"")</f>
        <v/>
      </c>
      <c r="G225" s="36" t="str">
        <f ca="1">IFERROR(__xludf.DUMMYFUNCTION("""COMPUTED_VALUE"""),"")</f>
        <v/>
      </c>
      <c r="H225" s="36" t="str">
        <f ca="1">IFERROR(__xludf.DUMMYFUNCTION("""COMPUTED_VALUE"""),"")</f>
        <v/>
      </c>
      <c r="I225" s="36" t="str">
        <f ca="1">IFERROR(__xludf.DUMMYFUNCTION("""COMPUTED_VALUE"""),"")</f>
        <v/>
      </c>
      <c r="J225" s="36" t="str">
        <f ca="1">IFERROR(__xludf.DUMMYFUNCTION("""COMPUTED_VALUE"""),"")</f>
        <v/>
      </c>
      <c r="K225" s="36" t="str">
        <f ca="1">IFERROR(__xludf.DUMMYFUNCTION("""COMPUTED_VALUE"""),"")</f>
        <v/>
      </c>
      <c r="L225" s="36" t="str">
        <f ca="1">IFERROR(__xludf.DUMMYFUNCTION("""COMPUTED_VALUE"""),"")</f>
        <v/>
      </c>
      <c r="M225" s="36" t="str">
        <f ca="1">IFERROR(__xludf.DUMMYFUNCTION("""COMPUTED_VALUE"""),"")</f>
        <v/>
      </c>
      <c r="N225" s="36" t="str">
        <f ca="1">IFERROR(__xludf.DUMMYFUNCTION("""COMPUTED_VALUE"""),"")</f>
        <v/>
      </c>
      <c r="O225" s="36" t="str">
        <f ca="1">IFERROR(__xludf.DUMMYFUNCTION("""COMPUTED_VALUE"""),"")</f>
        <v/>
      </c>
      <c r="P225" s="36" t="str">
        <f ca="1">IFERROR(__xludf.DUMMYFUNCTION("""COMPUTED_VALUE"""),"")</f>
        <v/>
      </c>
      <c r="Q225" s="36" t="str">
        <f ca="1">IFERROR(__xludf.DUMMYFUNCTION("""COMPUTED_VALUE"""),"")</f>
        <v/>
      </c>
      <c r="R225" s="36" t="str">
        <f ca="1">IFERROR(__xludf.DUMMYFUNCTION("""COMPUTED_VALUE"""),"")</f>
        <v/>
      </c>
      <c r="S225" s="36" t="str">
        <f ca="1">IFERROR(__xludf.DUMMYFUNCTION("""COMPUTED_VALUE"""),"")</f>
        <v/>
      </c>
      <c r="T225" s="36" t="str">
        <f ca="1">IFERROR(__xludf.DUMMYFUNCTION("""COMPUTED_VALUE"""),"")</f>
        <v/>
      </c>
      <c r="U225" s="36" t="str">
        <f ca="1">IFERROR(__xludf.DUMMYFUNCTION("""COMPUTED_VALUE"""),"")</f>
        <v/>
      </c>
      <c r="V225" s="36" t="str">
        <f ca="1">IFERROR(__xludf.DUMMYFUNCTION("""COMPUTED_VALUE"""),"")</f>
        <v/>
      </c>
      <c r="W225" s="36" t="str">
        <f ca="1">IFERROR(__xludf.DUMMYFUNCTION("""COMPUTED_VALUE"""),"")</f>
        <v/>
      </c>
      <c r="X225" s="36"/>
      <c r="Y225" s="36"/>
      <c r="Z225" s="36"/>
    </row>
    <row r="226" spans="1:26" ht="12.75" hidden="1">
      <c r="A226" s="36" t="str">
        <f ca="1">IFERROR(__xludf.DUMMYFUNCTION("""COMPUTED_VALUE"""),"")</f>
        <v/>
      </c>
      <c r="B226" s="36" t="str">
        <f ca="1">IFERROR(__xludf.DUMMYFUNCTION("""COMPUTED_VALUE"""),"")</f>
        <v/>
      </c>
      <c r="C226" s="36" t="str">
        <f ca="1">IFERROR(__xludf.DUMMYFUNCTION("""COMPUTED_VALUE"""),"")</f>
        <v/>
      </c>
      <c r="D226" s="36" t="str">
        <f ca="1">IFERROR(__xludf.DUMMYFUNCTION("""COMPUTED_VALUE"""),"")</f>
        <v/>
      </c>
      <c r="E226" s="36" t="str">
        <f ca="1">IFERROR(__xludf.DUMMYFUNCTION("""COMPUTED_VALUE"""),"")</f>
        <v/>
      </c>
      <c r="F226" s="36" t="str">
        <f ca="1">IFERROR(__xludf.DUMMYFUNCTION("""COMPUTED_VALUE"""),"")</f>
        <v/>
      </c>
      <c r="G226" s="36" t="str">
        <f ca="1">IFERROR(__xludf.DUMMYFUNCTION("""COMPUTED_VALUE"""),"")</f>
        <v/>
      </c>
      <c r="H226" s="36" t="str">
        <f ca="1">IFERROR(__xludf.DUMMYFUNCTION("""COMPUTED_VALUE"""),"")</f>
        <v/>
      </c>
      <c r="I226" s="36" t="str">
        <f ca="1">IFERROR(__xludf.DUMMYFUNCTION("""COMPUTED_VALUE"""),"")</f>
        <v/>
      </c>
      <c r="J226" s="36" t="str">
        <f ca="1">IFERROR(__xludf.DUMMYFUNCTION("""COMPUTED_VALUE"""),"")</f>
        <v/>
      </c>
      <c r="K226" s="36" t="str">
        <f ca="1">IFERROR(__xludf.DUMMYFUNCTION("""COMPUTED_VALUE"""),"")</f>
        <v/>
      </c>
      <c r="L226" s="36" t="str">
        <f ca="1">IFERROR(__xludf.DUMMYFUNCTION("""COMPUTED_VALUE"""),"")</f>
        <v/>
      </c>
      <c r="M226" s="36" t="str">
        <f ca="1">IFERROR(__xludf.DUMMYFUNCTION("""COMPUTED_VALUE"""),"")</f>
        <v/>
      </c>
      <c r="N226" s="36" t="str">
        <f ca="1">IFERROR(__xludf.DUMMYFUNCTION("""COMPUTED_VALUE"""),"")</f>
        <v/>
      </c>
      <c r="O226" s="36" t="str">
        <f ca="1">IFERROR(__xludf.DUMMYFUNCTION("""COMPUTED_VALUE"""),"")</f>
        <v/>
      </c>
      <c r="P226" s="36" t="str">
        <f ca="1">IFERROR(__xludf.DUMMYFUNCTION("""COMPUTED_VALUE"""),"")</f>
        <v/>
      </c>
      <c r="Q226" s="36" t="str">
        <f ca="1">IFERROR(__xludf.DUMMYFUNCTION("""COMPUTED_VALUE"""),"")</f>
        <v/>
      </c>
      <c r="R226" s="36" t="str">
        <f ca="1">IFERROR(__xludf.DUMMYFUNCTION("""COMPUTED_VALUE"""),"")</f>
        <v/>
      </c>
      <c r="S226" s="36" t="str">
        <f ca="1">IFERROR(__xludf.DUMMYFUNCTION("""COMPUTED_VALUE"""),"")</f>
        <v/>
      </c>
      <c r="T226" s="36" t="str">
        <f ca="1">IFERROR(__xludf.DUMMYFUNCTION("""COMPUTED_VALUE"""),"")</f>
        <v/>
      </c>
      <c r="U226" s="36" t="str">
        <f ca="1">IFERROR(__xludf.DUMMYFUNCTION("""COMPUTED_VALUE"""),"")</f>
        <v/>
      </c>
      <c r="V226" s="36" t="str">
        <f ca="1">IFERROR(__xludf.DUMMYFUNCTION("""COMPUTED_VALUE"""),"")</f>
        <v/>
      </c>
      <c r="W226" s="36" t="str">
        <f ca="1">IFERROR(__xludf.DUMMYFUNCTION("""COMPUTED_VALUE"""),"")</f>
        <v/>
      </c>
      <c r="X226" s="36"/>
      <c r="Y226" s="36"/>
      <c r="Z226" s="36"/>
    </row>
    <row r="227" spans="1:26" ht="12.75" hidden="1">
      <c r="A227" s="36" t="str">
        <f ca="1">IFERROR(__xludf.DUMMYFUNCTION("""COMPUTED_VALUE"""),"")</f>
        <v/>
      </c>
      <c r="B227" s="36" t="str">
        <f ca="1">IFERROR(__xludf.DUMMYFUNCTION("""COMPUTED_VALUE"""),"")</f>
        <v/>
      </c>
      <c r="C227" s="36" t="str">
        <f ca="1">IFERROR(__xludf.DUMMYFUNCTION("""COMPUTED_VALUE"""),"")</f>
        <v/>
      </c>
      <c r="D227" s="36" t="str">
        <f ca="1">IFERROR(__xludf.DUMMYFUNCTION("""COMPUTED_VALUE"""),"")</f>
        <v/>
      </c>
      <c r="E227" s="36" t="str">
        <f ca="1">IFERROR(__xludf.DUMMYFUNCTION("""COMPUTED_VALUE"""),"")</f>
        <v/>
      </c>
      <c r="F227" s="36" t="str">
        <f ca="1">IFERROR(__xludf.DUMMYFUNCTION("""COMPUTED_VALUE"""),"")</f>
        <v/>
      </c>
      <c r="G227" s="36" t="str">
        <f ca="1">IFERROR(__xludf.DUMMYFUNCTION("""COMPUTED_VALUE"""),"")</f>
        <v/>
      </c>
      <c r="H227" s="36" t="str">
        <f ca="1">IFERROR(__xludf.DUMMYFUNCTION("""COMPUTED_VALUE"""),"")</f>
        <v/>
      </c>
      <c r="I227" s="36" t="str">
        <f ca="1">IFERROR(__xludf.DUMMYFUNCTION("""COMPUTED_VALUE"""),"")</f>
        <v/>
      </c>
      <c r="J227" s="36" t="str">
        <f ca="1">IFERROR(__xludf.DUMMYFUNCTION("""COMPUTED_VALUE"""),"")</f>
        <v/>
      </c>
      <c r="K227" s="36" t="str">
        <f ca="1">IFERROR(__xludf.DUMMYFUNCTION("""COMPUTED_VALUE"""),"")</f>
        <v/>
      </c>
      <c r="L227" s="36" t="str">
        <f ca="1">IFERROR(__xludf.DUMMYFUNCTION("""COMPUTED_VALUE"""),"")</f>
        <v/>
      </c>
      <c r="M227" s="36" t="str">
        <f ca="1">IFERROR(__xludf.DUMMYFUNCTION("""COMPUTED_VALUE"""),"")</f>
        <v/>
      </c>
      <c r="N227" s="36" t="str">
        <f ca="1">IFERROR(__xludf.DUMMYFUNCTION("""COMPUTED_VALUE"""),"")</f>
        <v/>
      </c>
      <c r="O227" s="36" t="str">
        <f ca="1">IFERROR(__xludf.DUMMYFUNCTION("""COMPUTED_VALUE"""),"")</f>
        <v/>
      </c>
      <c r="P227" s="36" t="str">
        <f ca="1">IFERROR(__xludf.DUMMYFUNCTION("""COMPUTED_VALUE"""),"")</f>
        <v/>
      </c>
      <c r="Q227" s="36" t="str">
        <f ca="1">IFERROR(__xludf.DUMMYFUNCTION("""COMPUTED_VALUE"""),"")</f>
        <v/>
      </c>
      <c r="R227" s="36" t="str">
        <f ca="1">IFERROR(__xludf.DUMMYFUNCTION("""COMPUTED_VALUE"""),"")</f>
        <v/>
      </c>
      <c r="S227" s="36" t="str">
        <f ca="1">IFERROR(__xludf.DUMMYFUNCTION("""COMPUTED_VALUE"""),"")</f>
        <v/>
      </c>
      <c r="T227" s="36" t="str">
        <f ca="1">IFERROR(__xludf.DUMMYFUNCTION("""COMPUTED_VALUE"""),"")</f>
        <v/>
      </c>
      <c r="U227" s="36" t="str">
        <f ca="1">IFERROR(__xludf.DUMMYFUNCTION("""COMPUTED_VALUE"""),"")</f>
        <v/>
      </c>
      <c r="V227" s="36" t="str">
        <f ca="1">IFERROR(__xludf.DUMMYFUNCTION("""COMPUTED_VALUE"""),"")</f>
        <v/>
      </c>
      <c r="W227" s="36" t="str">
        <f ca="1">IFERROR(__xludf.DUMMYFUNCTION("""COMPUTED_VALUE"""),"")</f>
        <v/>
      </c>
      <c r="X227" s="36"/>
      <c r="Y227" s="36"/>
      <c r="Z227" s="36"/>
    </row>
    <row r="228" spans="1:26" ht="12.75" hidden="1">
      <c r="A228" s="36" t="str">
        <f ca="1">IFERROR(__xludf.DUMMYFUNCTION("""COMPUTED_VALUE"""),"")</f>
        <v/>
      </c>
      <c r="B228" s="36" t="str">
        <f ca="1">IFERROR(__xludf.DUMMYFUNCTION("""COMPUTED_VALUE"""),"")</f>
        <v/>
      </c>
      <c r="C228" s="36" t="str">
        <f ca="1">IFERROR(__xludf.DUMMYFUNCTION("""COMPUTED_VALUE"""),"")</f>
        <v/>
      </c>
      <c r="D228" s="36" t="str">
        <f ca="1">IFERROR(__xludf.DUMMYFUNCTION("""COMPUTED_VALUE"""),"")</f>
        <v/>
      </c>
      <c r="E228" s="36" t="str">
        <f ca="1">IFERROR(__xludf.DUMMYFUNCTION("""COMPUTED_VALUE"""),"")</f>
        <v/>
      </c>
      <c r="F228" s="36" t="str">
        <f ca="1">IFERROR(__xludf.DUMMYFUNCTION("""COMPUTED_VALUE"""),"")</f>
        <v/>
      </c>
      <c r="G228" s="36" t="str">
        <f ca="1">IFERROR(__xludf.DUMMYFUNCTION("""COMPUTED_VALUE"""),"")</f>
        <v/>
      </c>
      <c r="H228" s="36" t="str">
        <f ca="1">IFERROR(__xludf.DUMMYFUNCTION("""COMPUTED_VALUE"""),"")</f>
        <v/>
      </c>
      <c r="I228" s="36" t="str">
        <f ca="1">IFERROR(__xludf.DUMMYFUNCTION("""COMPUTED_VALUE"""),"")</f>
        <v/>
      </c>
      <c r="J228" s="36" t="str">
        <f ca="1">IFERROR(__xludf.DUMMYFUNCTION("""COMPUTED_VALUE"""),"")</f>
        <v/>
      </c>
      <c r="K228" s="36" t="str">
        <f ca="1">IFERROR(__xludf.DUMMYFUNCTION("""COMPUTED_VALUE"""),"")</f>
        <v/>
      </c>
      <c r="L228" s="36" t="str">
        <f ca="1">IFERROR(__xludf.DUMMYFUNCTION("""COMPUTED_VALUE"""),"")</f>
        <v/>
      </c>
      <c r="M228" s="36" t="str">
        <f ca="1">IFERROR(__xludf.DUMMYFUNCTION("""COMPUTED_VALUE"""),"")</f>
        <v/>
      </c>
      <c r="N228" s="36" t="str">
        <f ca="1">IFERROR(__xludf.DUMMYFUNCTION("""COMPUTED_VALUE"""),"")</f>
        <v/>
      </c>
      <c r="O228" s="36" t="str">
        <f ca="1">IFERROR(__xludf.DUMMYFUNCTION("""COMPUTED_VALUE"""),"")</f>
        <v/>
      </c>
      <c r="P228" s="36" t="str">
        <f ca="1">IFERROR(__xludf.DUMMYFUNCTION("""COMPUTED_VALUE"""),"")</f>
        <v/>
      </c>
      <c r="Q228" s="36" t="str">
        <f ca="1">IFERROR(__xludf.DUMMYFUNCTION("""COMPUTED_VALUE"""),"")</f>
        <v/>
      </c>
      <c r="R228" s="36" t="str">
        <f ca="1">IFERROR(__xludf.DUMMYFUNCTION("""COMPUTED_VALUE"""),"")</f>
        <v/>
      </c>
      <c r="S228" s="36" t="str">
        <f ca="1">IFERROR(__xludf.DUMMYFUNCTION("""COMPUTED_VALUE"""),"")</f>
        <v/>
      </c>
      <c r="T228" s="36" t="str">
        <f ca="1">IFERROR(__xludf.DUMMYFUNCTION("""COMPUTED_VALUE"""),"")</f>
        <v/>
      </c>
      <c r="U228" s="36" t="str">
        <f ca="1">IFERROR(__xludf.DUMMYFUNCTION("""COMPUTED_VALUE"""),"")</f>
        <v/>
      </c>
      <c r="V228" s="36" t="str">
        <f ca="1">IFERROR(__xludf.DUMMYFUNCTION("""COMPUTED_VALUE"""),"")</f>
        <v/>
      </c>
      <c r="W228" s="36" t="str">
        <f ca="1">IFERROR(__xludf.DUMMYFUNCTION("""COMPUTED_VALUE"""),"")</f>
        <v/>
      </c>
      <c r="X228" s="36"/>
      <c r="Y228" s="36"/>
      <c r="Z228" s="36"/>
    </row>
    <row r="229" spans="1:26" ht="12.75" hidden="1">
      <c r="A229" s="36" t="str">
        <f ca="1">IFERROR(__xludf.DUMMYFUNCTION("""COMPUTED_VALUE"""),"")</f>
        <v/>
      </c>
      <c r="B229" s="36" t="str">
        <f ca="1">IFERROR(__xludf.DUMMYFUNCTION("""COMPUTED_VALUE"""),"")</f>
        <v/>
      </c>
      <c r="C229" s="36" t="str">
        <f ca="1">IFERROR(__xludf.DUMMYFUNCTION("""COMPUTED_VALUE"""),"")</f>
        <v/>
      </c>
      <c r="D229" s="36" t="str">
        <f ca="1">IFERROR(__xludf.DUMMYFUNCTION("""COMPUTED_VALUE"""),"")</f>
        <v/>
      </c>
      <c r="E229" s="36" t="str">
        <f ca="1">IFERROR(__xludf.DUMMYFUNCTION("""COMPUTED_VALUE"""),"")</f>
        <v/>
      </c>
      <c r="F229" s="36" t="str">
        <f ca="1">IFERROR(__xludf.DUMMYFUNCTION("""COMPUTED_VALUE"""),"")</f>
        <v/>
      </c>
      <c r="G229" s="36" t="str">
        <f ca="1">IFERROR(__xludf.DUMMYFUNCTION("""COMPUTED_VALUE"""),"")</f>
        <v/>
      </c>
      <c r="H229" s="36" t="str">
        <f ca="1">IFERROR(__xludf.DUMMYFUNCTION("""COMPUTED_VALUE"""),"")</f>
        <v/>
      </c>
      <c r="I229" s="36" t="str">
        <f ca="1">IFERROR(__xludf.DUMMYFUNCTION("""COMPUTED_VALUE"""),"")</f>
        <v/>
      </c>
      <c r="J229" s="36" t="str">
        <f ca="1">IFERROR(__xludf.DUMMYFUNCTION("""COMPUTED_VALUE"""),"")</f>
        <v/>
      </c>
      <c r="K229" s="36" t="str">
        <f ca="1">IFERROR(__xludf.DUMMYFUNCTION("""COMPUTED_VALUE"""),"")</f>
        <v/>
      </c>
      <c r="L229" s="36" t="str">
        <f ca="1">IFERROR(__xludf.DUMMYFUNCTION("""COMPUTED_VALUE"""),"")</f>
        <v/>
      </c>
      <c r="M229" s="36" t="str">
        <f ca="1">IFERROR(__xludf.DUMMYFUNCTION("""COMPUTED_VALUE"""),"")</f>
        <v/>
      </c>
      <c r="N229" s="36" t="str">
        <f ca="1">IFERROR(__xludf.DUMMYFUNCTION("""COMPUTED_VALUE"""),"")</f>
        <v/>
      </c>
      <c r="O229" s="36" t="str">
        <f ca="1">IFERROR(__xludf.DUMMYFUNCTION("""COMPUTED_VALUE"""),"")</f>
        <v/>
      </c>
      <c r="P229" s="36" t="str">
        <f ca="1">IFERROR(__xludf.DUMMYFUNCTION("""COMPUTED_VALUE"""),"")</f>
        <v/>
      </c>
      <c r="Q229" s="36" t="str">
        <f ca="1">IFERROR(__xludf.DUMMYFUNCTION("""COMPUTED_VALUE"""),"")</f>
        <v/>
      </c>
      <c r="R229" s="36" t="str">
        <f ca="1">IFERROR(__xludf.DUMMYFUNCTION("""COMPUTED_VALUE"""),"")</f>
        <v/>
      </c>
      <c r="S229" s="36" t="str">
        <f ca="1">IFERROR(__xludf.DUMMYFUNCTION("""COMPUTED_VALUE"""),"")</f>
        <v/>
      </c>
      <c r="T229" s="36" t="str">
        <f ca="1">IFERROR(__xludf.DUMMYFUNCTION("""COMPUTED_VALUE"""),"")</f>
        <v/>
      </c>
      <c r="U229" s="36" t="str">
        <f ca="1">IFERROR(__xludf.DUMMYFUNCTION("""COMPUTED_VALUE"""),"")</f>
        <v/>
      </c>
      <c r="V229" s="36" t="str">
        <f ca="1">IFERROR(__xludf.DUMMYFUNCTION("""COMPUTED_VALUE"""),"")</f>
        <v/>
      </c>
      <c r="W229" s="36" t="str">
        <f ca="1">IFERROR(__xludf.DUMMYFUNCTION("""COMPUTED_VALUE"""),"")</f>
        <v/>
      </c>
      <c r="X229" s="36"/>
      <c r="Y229" s="36"/>
      <c r="Z229" s="36"/>
    </row>
    <row r="230" spans="1:26" ht="12.75" hidden="1">
      <c r="A230" s="36" t="str">
        <f ca="1">IFERROR(__xludf.DUMMYFUNCTION("""COMPUTED_VALUE"""),"")</f>
        <v/>
      </c>
      <c r="B230" s="36" t="str">
        <f ca="1">IFERROR(__xludf.DUMMYFUNCTION("""COMPUTED_VALUE"""),"")</f>
        <v/>
      </c>
      <c r="C230" s="36" t="str">
        <f ca="1">IFERROR(__xludf.DUMMYFUNCTION("""COMPUTED_VALUE"""),"")</f>
        <v/>
      </c>
      <c r="D230" s="36" t="str">
        <f ca="1">IFERROR(__xludf.DUMMYFUNCTION("""COMPUTED_VALUE"""),"")</f>
        <v/>
      </c>
      <c r="E230" s="36" t="str">
        <f ca="1">IFERROR(__xludf.DUMMYFUNCTION("""COMPUTED_VALUE"""),"")</f>
        <v/>
      </c>
      <c r="F230" s="36" t="str">
        <f ca="1">IFERROR(__xludf.DUMMYFUNCTION("""COMPUTED_VALUE"""),"")</f>
        <v/>
      </c>
      <c r="G230" s="36" t="str">
        <f ca="1">IFERROR(__xludf.DUMMYFUNCTION("""COMPUTED_VALUE"""),"")</f>
        <v/>
      </c>
      <c r="H230" s="36" t="str">
        <f ca="1">IFERROR(__xludf.DUMMYFUNCTION("""COMPUTED_VALUE"""),"")</f>
        <v/>
      </c>
      <c r="I230" s="36" t="str">
        <f ca="1">IFERROR(__xludf.DUMMYFUNCTION("""COMPUTED_VALUE"""),"")</f>
        <v/>
      </c>
      <c r="J230" s="36" t="str">
        <f ca="1">IFERROR(__xludf.DUMMYFUNCTION("""COMPUTED_VALUE"""),"")</f>
        <v/>
      </c>
      <c r="K230" s="36" t="str">
        <f ca="1">IFERROR(__xludf.DUMMYFUNCTION("""COMPUTED_VALUE"""),"")</f>
        <v/>
      </c>
      <c r="L230" s="36" t="str">
        <f ca="1">IFERROR(__xludf.DUMMYFUNCTION("""COMPUTED_VALUE"""),"")</f>
        <v/>
      </c>
      <c r="M230" s="36" t="str">
        <f ca="1">IFERROR(__xludf.DUMMYFUNCTION("""COMPUTED_VALUE"""),"")</f>
        <v/>
      </c>
      <c r="N230" s="36" t="str">
        <f ca="1">IFERROR(__xludf.DUMMYFUNCTION("""COMPUTED_VALUE"""),"")</f>
        <v/>
      </c>
      <c r="O230" s="36" t="str">
        <f ca="1">IFERROR(__xludf.DUMMYFUNCTION("""COMPUTED_VALUE"""),"")</f>
        <v/>
      </c>
      <c r="P230" s="36" t="str">
        <f ca="1">IFERROR(__xludf.DUMMYFUNCTION("""COMPUTED_VALUE"""),"")</f>
        <v/>
      </c>
      <c r="Q230" s="36" t="str">
        <f ca="1">IFERROR(__xludf.DUMMYFUNCTION("""COMPUTED_VALUE"""),"")</f>
        <v/>
      </c>
      <c r="R230" s="36" t="str">
        <f ca="1">IFERROR(__xludf.DUMMYFUNCTION("""COMPUTED_VALUE"""),"")</f>
        <v/>
      </c>
      <c r="S230" s="36" t="str">
        <f ca="1">IFERROR(__xludf.DUMMYFUNCTION("""COMPUTED_VALUE"""),"")</f>
        <v/>
      </c>
      <c r="T230" s="36" t="str">
        <f ca="1">IFERROR(__xludf.DUMMYFUNCTION("""COMPUTED_VALUE"""),"")</f>
        <v/>
      </c>
      <c r="U230" s="36" t="str">
        <f ca="1">IFERROR(__xludf.DUMMYFUNCTION("""COMPUTED_VALUE"""),"")</f>
        <v/>
      </c>
      <c r="V230" s="36" t="str">
        <f ca="1">IFERROR(__xludf.DUMMYFUNCTION("""COMPUTED_VALUE"""),"")</f>
        <v/>
      </c>
      <c r="W230" s="36" t="str">
        <f ca="1">IFERROR(__xludf.DUMMYFUNCTION("""COMPUTED_VALUE"""),"")</f>
        <v/>
      </c>
      <c r="X230" s="36"/>
      <c r="Y230" s="36"/>
      <c r="Z230" s="36"/>
    </row>
    <row r="231" spans="1:26" ht="12.75" hidden="1">
      <c r="A231" s="36" t="str">
        <f ca="1">IFERROR(__xludf.DUMMYFUNCTION("""COMPUTED_VALUE"""),"")</f>
        <v/>
      </c>
      <c r="B231" s="36" t="str">
        <f ca="1">IFERROR(__xludf.DUMMYFUNCTION("""COMPUTED_VALUE"""),"")</f>
        <v/>
      </c>
      <c r="C231" s="36" t="str">
        <f ca="1">IFERROR(__xludf.DUMMYFUNCTION("""COMPUTED_VALUE"""),"")</f>
        <v/>
      </c>
      <c r="D231" s="36" t="str">
        <f ca="1">IFERROR(__xludf.DUMMYFUNCTION("""COMPUTED_VALUE"""),"")</f>
        <v/>
      </c>
      <c r="E231" s="36" t="str">
        <f ca="1">IFERROR(__xludf.DUMMYFUNCTION("""COMPUTED_VALUE"""),"")</f>
        <v/>
      </c>
      <c r="F231" s="36" t="str">
        <f ca="1">IFERROR(__xludf.DUMMYFUNCTION("""COMPUTED_VALUE"""),"")</f>
        <v/>
      </c>
      <c r="G231" s="36" t="str">
        <f ca="1">IFERROR(__xludf.DUMMYFUNCTION("""COMPUTED_VALUE"""),"")</f>
        <v/>
      </c>
      <c r="H231" s="36" t="str">
        <f ca="1">IFERROR(__xludf.DUMMYFUNCTION("""COMPUTED_VALUE"""),"")</f>
        <v/>
      </c>
      <c r="I231" s="36" t="str">
        <f ca="1">IFERROR(__xludf.DUMMYFUNCTION("""COMPUTED_VALUE"""),"")</f>
        <v/>
      </c>
      <c r="J231" s="36" t="str">
        <f ca="1">IFERROR(__xludf.DUMMYFUNCTION("""COMPUTED_VALUE"""),"")</f>
        <v/>
      </c>
      <c r="K231" s="36" t="str">
        <f ca="1">IFERROR(__xludf.DUMMYFUNCTION("""COMPUTED_VALUE"""),"")</f>
        <v/>
      </c>
      <c r="L231" s="36" t="str">
        <f ca="1">IFERROR(__xludf.DUMMYFUNCTION("""COMPUTED_VALUE"""),"")</f>
        <v/>
      </c>
      <c r="M231" s="36" t="str">
        <f ca="1">IFERROR(__xludf.DUMMYFUNCTION("""COMPUTED_VALUE"""),"")</f>
        <v/>
      </c>
      <c r="N231" s="36" t="str">
        <f ca="1">IFERROR(__xludf.DUMMYFUNCTION("""COMPUTED_VALUE"""),"")</f>
        <v/>
      </c>
      <c r="O231" s="36" t="str">
        <f ca="1">IFERROR(__xludf.DUMMYFUNCTION("""COMPUTED_VALUE"""),"")</f>
        <v/>
      </c>
      <c r="P231" s="36" t="str">
        <f ca="1">IFERROR(__xludf.DUMMYFUNCTION("""COMPUTED_VALUE"""),"")</f>
        <v/>
      </c>
      <c r="Q231" s="36" t="str">
        <f ca="1">IFERROR(__xludf.DUMMYFUNCTION("""COMPUTED_VALUE"""),"")</f>
        <v/>
      </c>
      <c r="R231" s="36" t="str">
        <f ca="1">IFERROR(__xludf.DUMMYFUNCTION("""COMPUTED_VALUE"""),"")</f>
        <v/>
      </c>
      <c r="S231" s="36" t="str">
        <f ca="1">IFERROR(__xludf.DUMMYFUNCTION("""COMPUTED_VALUE"""),"")</f>
        <v/>
      </c>
      <c r="T231" s="36" t="str">
        <f ca="1">IFERROR(__xludf.DUMMYFUNCTION("""COMPUTED_VALUE"""),"")</f>
        <v/>
      </c>
      <c r="U231" s="36" t="str">
        <f ca="1">IFERROR(__xludf.DUMMYFUNCTION("""COMPUTED_VALUE"""),"")</f>
        <v/>
      </c>
      <c r="V231" s="36" t="str">
        <f ca="1">IFERROR(__xludf.DUMMYFUNCTION("""COMPUTED_VALUE"""),"")</f>
        <v/>
      </c>
      <c r="W231" s="36" t="str">
        <f ca="1">IFERROR(__xludf.DUMMYFUNCTION("""COMPUTED_VALUE"""),"")</f>
        <v/>
      </c>
      <c r="X231" s="36"/>
      <c r="Y231" s="36"/>
      <c r="Z231" s="36"/>
    </row>
    <row r="232" spans="1:26" ht="12.75" hidden="1">
      <c r="A232" s="36" t="str">
        <f ca="1">IFERROR(__xludf.DUMMYFUNCTION("""COMPUTED_VALUE"""),"")</f>
        <v/>
      </c>
      <c r="B232" s="36" t="str">
        <f ca="1">IFERROR(__xludf.DUMMYFUNCTION("""COMPUTED_VALUE"""),"")</f>
        <v/>
      </c>
      <c r="C232" s="36" t="str">
        <f ca="1">IFERROR(__xludf.DUMMYFUNCTION("""COMPUTED_VALUE"""),"")</f>
        <v/>
      </c>
      <c r="D232" s="36" t="str">
        <f ca="1">IFERROR(__xludf.DUMMYFUNCTION("""COMPUTED_VALUE"""),"")</f>
        <v/>
      </c>
      <c r="E232" s="36" t="str">
        <f ca="1">IFERROR(__xludf.DUMMYFUNCTION("""COMPUTED_VALUE"""),"")</f>
        <v/>
      </c>
      <c r="F232" s="36" t="str">
        <f ca="1">IFERROR(__xludf.DUMMYFUNCTION("""COMPUTED_VALUE"""),"")</f>
        <v/>
      </c>
      <c r="G232" s="36" t="str">
        <f ca="1">IFERROR(__xludf.DUMMYFUNCTION("""COMPUTED_VALUE"""),"")</f>
        <v/>
      </c>
      <c r="H232" s="36" t="str">
        <f ca="1">IFERROR(__xludf.DUMMYFUNCTION("""COMPUTED_VALUE"""),"")</f>
        <v/>
      </c>
      <c r="I232" s="36" t="str">
        <f ca="1">IFERROR(__xludf.DUMMYFUNCTION("""COMPUTED_VALUE"""),"")</f>
        <v/>
      </c>
      <c r="J232" s="36" t="str">
        <f ca="1">IFERROR(__xludf.DUMMYFUNCTION("""COMPUTED_VALUE"""),"")</f>
        <v/>
      </c>
      <c r="K232" s="36" t="str">
        <f ca="1">IFERROR(__xludf.DUMMYFUNCTION("""COMPUTED_VALUE"""),"")</f>
        <v/>
      </c>
      <c r="L232" s="36" t="str">
        <f ca="1">IFERROR(__xludf.DUMMYFUNCTION("""COMPUTED_VALUE"""),"")</f>
        <v/>
      </c>
      <c r="M232" s="36" t="str">
        <f ca="1">IFERROR(__xludf.DUMMYFUNCTION("""COMPUTED_VALUE"""),"")</f>
        <v/>
      </c>
      <c r="N232" s="36" t="str">
        <f ca="1">IFERROR(__xludf.DUMMYFUNCTION("""COMPUTED_VALUE"""),"")</f>
        <v/>
      </c>
      <c r="O232" s="36" t="str">
        <f ca="1">IFERROR(__xludf.DUMMYFUNCTION("""COMPUTED_VALUE"""),"")</f>
        <v/>
      </c>
      <c r="P232" s="36" t="str">
        <f ca="1">IFERROR(__xludf.DUMMYFUNCTION("""COMPUTED_VALUE"""),"")</f>
        <v/>
      </c>
      <c r="Q232" s="36" t="str">
        <f ca="1">IFERROR(__xludf.DUMMYFUNCTION("""COMPUTED_VALUE"""),"")</f>
        <v/>
      </c>
      <c r="R232" s="36" t="str">
        <f ca="1">IFERROR(__xludf.DUMMYFUNCTION("""COMPUTED_VALUE"""),"")</f>
        <v/>
      </c>
      <c r="S232" s="36" t="str">
        <f ca="1">IFERROR(__xludf.DUMMYFUNCTION("""COMPUTED_VALUE"""),"")</f>
        <v/>
      </c>
      <c r="T232" s="36" t="str">
        <f ca="1">IFERROR(__xludf.DUMMYFUNCTION("""COMPUTED_VALUE"""),"")</f>
        <v/>
      </c>
      <c r="U232" s="36" t="str">
        <f ca="1">IFERROR(__xludf.DUMMYFUNCTION("""COMPUTED_VALUE"""),"")</f>
        <v/>
      </c>
      <c r="V232" s="36" t="str">
        <f ca="1">IFERROR(__xludf.DUMMYFUNCTION("""COMPUTED_VALUE"""),"")</f>
        <v/>
      </c>
      <c r="W232" s="36" t="str">
        <f ca="1">IFERROR(__xludf.DUMMYFUNCTION("""COMPUTED_VALUE"""),"")</f>
        <v/>
      </c>
      <c r="X232" s="36"/>
      <c r="Y232" s="36"/>
      <c r="Z232" s="36"/>
    </row>
    <row r="233" spans="1:26" ht="12.75" hidden="1">
      <c r="A233" s="36" t="str">
        <f ca="1">IFERROR(__xludf.DUMMYFUNCTION("""COMPUTED_VALUE"""),"")</f>
        <v/>
      </c>
      <c r="B233" s="36" t="str">
        <f ca="1">IFERROR(__xludf.DUMMYFUNCTION("""COMPUTED_VALUE"""),"")</f>
        <v/>
      </c>
      <c r="C233" s="36" t="str">
        <f ca="1">IFERROR(__xludf.DUMMYFUNCTION("""COMPUTED_VALUE"""),"")</f>
        <v/>
      </c>
      <c r="D233" s="36" t="str">
        <f ca="1">IFERROR(__xludf.DUMMYFUNCTION("""COMPUTED_VALUE"""),"")</f>
        <v/>
      </c>
      <c r="E233" s="36" t="str">
        <f ca="1">IFERROR(__xludf.DUMMYFUNCTION("""COMPUTED_VALUE"""),"")</f>
        <v/>
      </c>
      <c r="F233" s="36" t="str">
        <f ca="1">IFERROR(__xludf.DUMMYFUNCTION("""COMPUTED_VALUE"""),"")</f>
        <v/>
      </c>
      <c r="G233" s="36" t="str">
        <f ca="1">IFERROR(__xludf.DUMMYFUNCTION("""COMPUTED_VALUE"""),"")</f>
        <v/>
      </c>
      <c r="H233" s="36" t="str">
        <f ca="1">IFERROR(__xludf.DUMMYFUNCTION("""COMPUTED_VALUE"""),"")</f>
        <v/>
      </c>
      <c r="I233" s="36" t="str">
        <f ca="1">IFERROR(__xludf.DUMMYFUNCTION("""COMPUTED_VALUE"""),"")</f>
        <v/>
      </c>
      <c r="J233" s="36" t="str">
        <f ca="1">IFERROR(__xludf.DUMMYFUNCTION("""COMPUTED_VALUE"""),"")</f>
        <v/>
      </c>
      <c r="K233" s="36" t="str">
        <f ca="1">IFERROR(__xludf.DUMMYFUNCTION("""COMPUTED_VALUE"""),"")</f>
        <v/>
      </c>
      <c r="L233" s="36" t="str">
        <f ca="1">IFERROR(__xludf.DUMMYFUNCTION("""COMPUTED_VALUE"""),"")</f>
        <v/>
      </c>
      <c r="M233" s="36" t="str">
        <f ca="1">IFERROR(__xludf.DUMMYFUNCTION("""COMPUTED_VALUE"""),"")</f>
        <v/>
      </c>
      <c r="N233" s="36" t="str">
        <f ca="1">IFERROR(__xludf.DUMMYFUNCTION("""COMPUTED_VALUE"""),"")</f>
        <v/>
      </c>
      <c r="O233" s="36" t="str">
        <f ca="1">IFERROR(__xludf.DUMMYFUNCTION("""COMPUTED_VALUE"""),"")</f>
        <v/>
      </c>
      <c r="P233" s="36" t="str">
        <f ca="1">IFERROR(__xludf.DUMMYFUNCTION("""COMPUTED_VALUE"""),"")</f>
        <v/>
      </c>
      <c r="Q233" s="36" t="str">
        <f ca="1">IFERROR(__xludf.DUMMYFUNCTION("""COMPUTED_VALUE"""),"")</f>
        <v/>
      </c>
      <c r="R233" s="36" t="str">
        <f ca="1">IFERROR(__xludf.DUMMYFUNCTION("""COMPUTED_VALUE"""),"")</f>
        <v/>
      </c>
      <c r="S233" s="36" t="str">
        <f ca="1">IFERROR(__xludf.DUMMYFUNCTION("""COMPUTED_VALUE"""),"")</f>
        <v/>
      </c>
      <c r="T233" s="36" t="str">
        <f ca="1">IFERROR(__xludf.DUMMYFUNCTION("""COMPUTED_VALUE"""),"")</f>
        <v/>
      </c>
      <c r="U233" s="36" t="str">
        <f ca="1">IFERROR(__xludf.DUMMYFUNCTION("""COMPUTED_VALUE"""),"")</f>
        <v/>
      </c>
      <c r="V233" s="36" t="str">
        <f ca="1">IFERROR(__xludf.DUMMYFUNCTION("""COMPUTED_VALUE"""),"")</f>
        <v/>
      </c>
      <c r="W233" s="36" t="str">
        <f ca="1">IFERROR(__xludf.DUMMYFUNCTION("""COMPUTED_VALUE"""),"")</f>
        <v/>
      </c>
      <c r="X233" s="36"/>
      <c r="Y233" s="36"/>
      <c r="Z233" s="36"/>
    </row>
    <row r="234" spans="1:26" ht="12.75" hidden="1">
      <c r="A234" s="36" t="str">
        <f ca="1">IFERROR(__xludf.DUMMYFUNCTION("""COMPUTED_VALUE"""),"")</f>
        <v/>
      </c>
      <c r="B234" s="36" t="str">
        <f ca="1">IFERROR(__xludf.DUMMYFUNCTION("""COMPUTED_VALUE"""),"")</f>
        <v/>
      </c>
      <c r="C234" s="36" t="str">
        <f ca="1">IFERROR(__xludf.DUMMYFUNCTION("""COMPUTED_VALUE"""),"")</f>
        <v/>
      </c>
      <c r="D234" s="36" t="str">
        <f ca="1">IFERROR(__xludf.DUMMYFUNCTION("""COMPUTED_VALUE"""),"")</f>
        <v/>
      </c>
      <c r="E234" s="36" t="str">
        <f ca="1">IFERROR(__xludf.DUMMYFUNCTION("""COMPUTED_VALUE"""),"")</f>
        <v/>
      </c>
      <c r="F234" s="36" t="str">
        <f ca="1">IFERROR(__xludf.DUMMYFUNCTION("""COMPUTED_VALUE"""),"")</f>
        <v/>
      </c>
      <c r="G234" s="36" t="str">
        <f ca="1">IFERROR(__xludf.DUMMYFUNCTION("""COMPUTED_VALUE"""),"")</f>
        <v/>
      </c>
      <c r="H234" s="36" t="str">
        <f ca="1">IFERROR(__xludf.DUMMYFUNCTION("""COMPUTED_VALUE"""),"")</f>
        <v/>
      </c>
      <c r="I234" s="36" t="str">
        <f ca="1">IFERROR(__xludf.DUMMYFUNCTION("""COMPUTED_VALUE"""),"")</f>
        <v/>
      </c>
      <c r="J234" s="36" t="str">
        <f ca="1">IFERROR(__xludf.DUMMYFUNCTION("""COMPUTED_VALUE"""),"")</f>
        <v/>
      </c>
      <c r="K234" s="36" t="str">
        <f ca="1">IFERROR(__xludf.DUMMYFUNCTION("""COMPUTED_VALUE"""),"")</f>
        <v/>
      </c>
      <c r="L234" s="36" t="str">
        <f ca="1">IFERROR(__xludf.DUMMYFUNCTION("""COMPUTED_VALUE"""),"")</f>
        <v/>
      </c>
      <c r="M234" s="36" t="str">
        <f ca="1">IFERROR(__xludf.DUMMYFUNCTION("""COMPUTED_VALUE"""),"")</f>
        <v/>
      </c>
      <c r="N234" s="36" t="str">
        <f ca="1">IFERROR(__xludf.DUMMYFUNCTION("""COMPUTED_VALUE"""),"")</f>
        <v/>
      </c>
      <c r="O234" s="36" t="str">
        <f ca="1">IFERROR(__xludf.DUMMYFUNCTION("""COMPUTED_VALUE"""),"")</f>
        <v/>
      </c>
      <c r="P234" s="36" t="str">
        <f ca="1">IFERROR(__xludf.DUMMYFUNCTION("""COMPUTED_VALUE"""),"")</f>
        <v/>
      </c>
      <c r="Q234" s="36" t="str">
        <f ca="1">IFERROR(__xludf.DUMMYFUNCTION("""COMPUTED_VALUE"""),"")</f>
        <v/>
      </c>
      <c r="R234" s="36" t="str">
        <f ca="1">IFERROR(__xludf.DUMMYFUNCTION("""COMPUTED_VALUE"""),"")</f>
        <v/>
      </c>
      <c r="S234" s="36" t="str">
        <f ca="1">IFERROR(__xludf.DUMMYFUNCTION("""COMPUTED_VALUE"""),"")</f>
        <v/>
      </c>
      <c r="T234" s="36" t="str">
        <f ca="1">IFERROR(__xludf.DUMMYFUNCTION("""COMPUTED_VALUE"""),"")</f>
        <v/>
      </c>
      <c r="U234" s="36" t="str">
        <f ca="1">IFERROR(__xludf.DUMMYFUNCTION("""COMPUTED_VALUE"""),"")</f>
        <v/>
      </c>
      <c r="V234" s="36" t="str">
        <f ca="1">IFERROR(__xludf.DUMMYFUNCTION("""COMPUTED_VALUE"""),"")</f>
        <v/>
      </c>
      <c r="W234" s="36" t="str">
        <f ca="1">IFERROR(__xludf.DUMMYFUNCTION("""COMPUTED_VALUE"""),"")</f>
        <v/>
      </c>
      <c r="X234" s="36"/>
      <c r="Y234" s="36"/>
      <c r="Z234" s="36"/>
    </row>
    <row r="235" spans="1:26" ht="12.75" hidden="1">
      <c r="A235" s="36" t="str">
        <f ca="1">IFERROR(__xludf.DUMMYFUNCTION("""COMPUTED_VALUE"""),"")</f>
        <v/>
      </c>
      <c r="B235" s="36" t="str">
        <f ca="1">IFERROR(__xludf.DUMMYFUNCTION("""COMPUTED_VALUE"""),"")</f>
        <v/>
      </c>
      <c r="C235" s="36" t="str">
        <f ca="1">IFERROR(__xludf.DUMMYFUNCTION("""COMPUTED_VALUE"""),"")</f>
        <v/>
      </c>
      <c r="D235" s="36" t="str">
        <f ca="1">IFERROR(__xludf.DUMMYFUNCTION("""COMPUTED_VALUE"""),"")</f>
        <v/>
      </c>
      <c r="E235" s="36" t="str">
        <f ca="1">IFERROR(__xludf.DUMMYFUNCTION("""COMPUTED_VALUE"""),"")</f>
        <v/>
      </c>
      <c r="F235" s="36" t="str">
        <f ca="1">IFERROR(__xludf.DUMMYFUNCTION("""COMPUTED_VALUE"""),"")</f>
        <v/>
      </c>
      <c r="G235" s="36" t="str">
        <f ca="1">IFERROR(__xludf.DUMMYFUNCTION("""COMPUTED_VALUE"""),"")</f>
        <v/>
      </c>
      <c r="H235" s="36" t="str">
        <f ca="1">IFERROR(__xludf.DUMMYFUNCTION("""COMPUTED_VALUE"""),"")</f>
        <v/>
      </c>
      <c r="I235" s="36" t="str">
        <f ca="1">IFERROR(__xludf.DUMMYFUNCTION("""COMPUTED_VALUE"""),"")</f>
        <v/>
      </c>
      <c r="J235" s="36" t="str">
        <f ca="1">IFERROR(__xludf.DUMMYFUNCTION("""COMPUTED_VALUE"""),"")</f>
        <v/>
      </c>
      <c r="K235" s="36" t="str">
        <f ca="1">IFERROR(__xludf.DUMMYFUNCTION("""COMPUTED_VALUE"""),"")</f>
        <v/>
      </c>
      <c r="L235" s="36" t="str">
        <f ca="1">IFERROR(__xludf.DUMMYFUNCTION("""COMPUTED_VALUE"""),"")</f>
        <v/>
      </c>
      <c r="M235" s="36" t="str">
        <f ca="1">IFERROR(__xludf.DUMMYFUNCTION("""COMPUTED_VALUE"""),"")</f>
        <v/>
      </c>
      <c r="N235" s="36" t="str">
        <f ca="1">IFERROR(__xludf.DUMMYFUNCTION("""COMPUTED_VALUE"""),"")</f>
        <v/>
      </c>
      <c r="O235" s="36" t="str">
        <f ca="1">IFERROR(__xludf.DUMMYFUNCTION("""COMPUTED_VALUE"""),"")</f>
        <v/>
      </c>
      <c r="P235" s="36" t="str">
        <f ca="1">IFERROR(__xludf.DUMMYFUNCTION("""COMPUTED_VALUE"""),"")</f>
        <v/>
      </c>
      <c r="Q235" s="36" t="str">
        <f ca="1">IFERROR(__xludf.DUMMYFUNCTION("""COMPUTED_VALUE"""),"")</f>
        <v/>
      </c>
      <c r="R235" s="36" t="str">
        <f ca="1">IFERROR(__xludf.DUMMYFUNCTION("""COMPUTED_VALUE"""),"")</f>
        <v/>
      </c>
      <c r="S235" s="36" t="str">
        <f ca="1">IFERROR(__xludf.DUMMYFUNCTION("""COMPUTED_VALUE"""),"")</f>
        <v/>
      </c>
      <c r="T235" s="36" t="str">
        <f ca="1">IFERROR(__xludf.DUMMYFUNCTION("""COMPUTED_VALUE"""),"")</f>
        <v/>
      </c>
      <c r="U235" s="36" t="str">
        <f ca="1">IFERROR(__xludf.DUMMYFUNCTION("""COMPUTED_VALUE"""),"")</f>
        <v/>
      </c>
      <c r="V235" s="36" t="str">
        <f ca="1">IFERROR(__xludf.DUMMYFUNCTION("""COMPUTED_VALUE"""),"")</f>
        <v/>
      </c>
      <c r="W235" s="36" t="str">
        <f ca="1">IFERROR(__xludf.DUMMYFUNCTION("""COMPUTED_VALUE"""),"")</f>
        <v/>
      </c>
      <c r="X235" s="36"/>
      <c r="Y235" s="36"/>
      <c r="Z235" s="36"/>
    </row>
    <row r="236" spans="1:26" ht="12.75" hidden="1">
      <c r="A236" s="36" t="str">
        <f ca="1">IFERROR(__xludf.DUMMYFUNCTION("""COMPUTED_VALUE"""),"")</f>
        <v/>
      </c>
      <c r="B236" s="36" t="str">
        <f ca="1">IFERROR(__xludf.DUMMYFUNCTION("""COMPUTED_VALUE"""),"")</f>
        <v/>
      </c>
      <c r="C236" s="36" t="str">
        <f ca="1">IFERROR(__xludf.DUMMYFUNCTION("""COMPUTED_VALUE"""),"")</f>
        <v/>
      </c>
      <c r="D236" s="36" t="str">
        <f ca="1">IFERROR(__xludf.DUMMYFUNCTION("""COMPUTED_VALUE"""),"")</f>
        <v/>
      </c>
      <c r="E236" s="36" t="str">
        <f ca="1">IFERROR(__xludf.DUMMYFUNCTION("""COMPUTED_VALUE"""),"")</f>
        <v/>
      </c>
      <c r="F236" s="36" t="str">
        <f ca="1">IFERROR(__xludf.DUMMYFUNCTION("""COMPUTED_VALUE"""),"")</f>
        <v/>
      </c>
      <c r="G236" s="36" t="str">
        <f ca="1">IFERROR(__xludf.DUMMYFUNCTION("""COMPUTED_VALUE"""),"")</f>
        <v/>
      </c>
      <c r="H236" s="36" t="str">
        <f ca="1">IFERROR(__xludf.DUMMYFUNCTION("""COMPUTED_VALUE"""),"")</f>
        <v/>
      </c>
      <c r="I236" s="36" t="str">
        <f ca="1">IFERROR(__xludf.DUMMYFUNCTION("""COMPUTED_VALUE"""),"")</f>
        <v/>
      </c>
      <c r="J236" s="36" t="str">
        <f ca="1">IFERROR(__xludf.DUMMYFUNCTION("""COMPUTED_VALUE"""),"")</f>
        <v/>
      </c>
      <c r="K236" s="36" t="str">
        <f ca="1">IFERROR(__xludf.DUMMYFUNCTION("""COMPUTED_VALUE"""),"")</f>
        <v/>
      </c>
      <c r="L236" s="36" t="str">
        <f ca="1">IFERROR(__xludf.DUMMYFUNCTION("""COMPUTED_VALUE"""),"")</f>
        <v/>
      </c>
      <c r="M236" s="36" t="str">
        <f ca="1">IFERROR(__xludf.DUMMYFUNCTION("""COMPUTED_VALUE"""),"")</f>
        <v/>
      </c>
      <c r="N236" s="36" t="str">
        <f ca="1">IFERROR(__xludf.DUMMYFUNCTION("""COMPUTED_VALUE"""),"")</f>
        <v/>
      </c>
      <c r="O236" s="36" t="str">
        <f ca="1">IFERROR(__xludf.DUMMYFUNCTION("""COMPUTED_VALUE"""),"")</f>
        <v/>
      </c>
      <c r="P236" s="36" t="str">
        <f ca="1">IFERROR(__xludf.DUMMYFUNCTION("""COMPUTED_VALUE"""),"")</f>
        <v/>
      </c>
      <c r="Q236" s="36" t="str">
        <f ca="1">IFERROR(__xludf.DUMMYFUNCTION("""COMPUTED_VALUE"""),"")</f>
        <v/>
      </c>
      <c r="R236" s="36" t="str">
        <f ca="1">IFERROR(__xludf.DUMMYFUNCTION("""COMPUTED_VALUE"""),"")</f>
        <v/>
      </c>
      <c r="S236" s="36" t="str">
        <f ca="1">IFERROR(__xludf.DUMMYFUNCTION("""COMPUTED_VALUE"""),"")</f>
        <v/>
      </c>
      <c r="T236" s="36" t="str">
        <f ca="1">IFERROR(__xludf.DUMMYFUNCTION("""COMPUTED_VALUE"""),"")</f>
        <v/>
      </c>
      <c r="U236" s="36" t="str">
        <f ca="1">IFERROR(__xludf.DUMMYFUNCTION("""COMPUTED_VALUE"""),"")</f>
        <v/>
      </c>
      <c r="V236" s="36" t="str">
        <f ca="1">IFERROR(__xludf.DUMMYFUNCTION("""COMPUTED_VALUE"""),"")</f>
        <v/>
      </c>
      <c r="W236" s="36" t="str">
        <f ca="1">IFERROR(__xludf.DUMMYFUNCTION("""COMPUTED_VALUE"""),"")</f>
        <v/>
      </c>
      <c r="X236" s="36"/>
      <c r="Y236" s="36"/>
      <c r="Z236" s="36"/>
    </row>
    <row r="237" spans="1:26" ht="12.75" hidden="1">
      <c r="A237" s="36" t="str">
        <f ca="1">IFERROR(__xludf.DUMMYFUNCTION("""COMPUTED_VALUE"""),"")</f>
        <v/>
      </c>
      <c r="B237" s="36" t="str">
        <f ca="1">IFERROR(__xludf.DUMMYFUNCTION("""COMPUTED_VALUE"""),"")</f>
        <v/>
      </c>
      <c r="C237" s="36" t="str">
        <f ca="1">IFERROR(__xludf.DUMMYFUNCTION("""COMPUTED_VALUE"""),"")</f>
        <v/>
      </c>
      <c r="D237" s="36" t="str">
        <f ca="1">IFERROR(__xludf.DUMMYFUNCTION("""COMPUTED_VALUE"""),"")</f>
        <v/>
      </c>
      <c r="E237" s="36" t="str">
        <f ca="1">IFERROR(__xludf.DUMMYFUNCTION("""COMPUTED_VALUE"""),"")</f>
        <v/>
      </c>
      <c r="F237" s="36" t="str">
        <f ca="1">IFERROR(__xludf.DUMMYFUNCTION("""COMPUTED_VALUE"""),"")</f>
        <v/>
      </c>
      <c r="G237" s="36" t="str">
        <f ca="1">IFERROR(__xludf.DUMMYFUNCTION("""COMPUTED_VALUE"""),"")</f>
        <v/>
      </c>
      <c r="H237" s="36" t="str">
        <f ca="1">IFERROR(__xludf.DUMMYFUNCTION("""COMPUTED_VALUE"""),"")</f>
        <v/>
      </c>
      <c r="I237" s="36" t="str">
        <f ca="1">IFERROR(__xludf.DUMMYFUNCTION("""COMPUTED_VALUE"""),"")</f>
        <v/>
      </c>
      <c r="J237" s="36" t="str">
        <f ca="1">IFERROR(__xludf.DUMMYFUNCTION("""COMPUTED_VALUE"""),"")</f>
        <v/>
      </c>
      <c r="K237" s="36" t="str">
        <f ca="1">IFERROR(__xludf.DUMMYFUNCTION("""COMPUTED_VALUE"""),"")</f>
        <v/>
      </c>
      <c r="L237" s="36" t="str">
        <f ca="1">IFERROR(__xludf.DUMMYFUNCTION("""COMPUTED_VALUE"""),"")</f>
        <v/>
      </c>
      <c r="M237" s="36" t="str">
        <f ca="1">IFERROR(__xludf.DUMMYFUNCTION("""COMPUTED_VALUE"""),"")</f>
        <v/>
      </c>
      <c r="N237" s="36" t="str">
        <f ca="1">IFERROR(__xludf.DUMMYFUNCTION("""COMPUTED_VALUE"""),"")</f>
        <v/>
      </c>
      <c r="O237" s="36" t="str">
        <f ca="1">IFERROR(__xludf.DUMMYFUNCTION("""COMPUTED_VALUE"""),"")</f>
        <v/>
      </c>
      <c r="P237" s="36" t="str">
        <f ca="1">IFERROR(__xludf.DUMMYFUNCTION("""COMPUTED_VALUE"""),"")</f>
        <v/>
      </c>
      <c r="Q237" s="36" t="str">
        <f ca="1">IFERROR(__xludf.DUMMYFUNCTION("""COMPUTED_VALUE"""),"")</f>
        <v/>
      </c>
      <c r="R237" s="36" t="str">
        <f ca="1">IFERROR(__xludf.DUMMYFUNCTION("""COMPUTED_VALUE"""),"")</f>
        <v/>
      </c>
      <c r="S237" s="36" t="str">
        <f ca="1">IFERROR(__xludf.DUMMYFUNCTION("""COMPUTED_VALUE"""),"")</f>
        <v/>
      </c>
      <c r="T237" s="36" t="str">
        <f ca="1">IFERROR(__xludf.DUMMYFUNCTION("""COMPUTED_VALUE"""),"")</f>
        <v/>
      </c>
      <c r="U237" s="36" t="str">
        <f ca="1">IFERROR(__xludf.DUMMYFUNCTION("""COMPUTED_VALUE"""),"")</f>
        <v/>
      </c>
      <c r="V237" s="36" t="str">
        <f ca="1">IFERROR(__xludf.DUMMYFUNCTION("""COMPUTED_VALUE"""),"")</f>
        <v/>
      </c>
      <c r="W237" s="36" t="str">
        <f ca="1">IFERROR(__xludf.DUMMYFUNCTION("""COMPUTED_VALUE"""),"")</f>
        <v/>
      </c>
      <c r="X237" s="36"/>
      <c r="Y237" s="36"/>
      <c r="Z237" s="36"/>
    </row>
    <row r="238" spans="1:26" ht="12.75" hidden="1">
      <c r="A238" s="36" t="str">
        <f ca="1">IFERROR(__xludf.DUMMYFUNCTION("""COMPUTED_VALUE"""),"")</f>
        <v/>
      </c>
      <c r="B238" s="36" t="str">
        <f ca="1">IFERROR(__xludf.DUMMYFUNCTION("""COMPUTED_VALUE"""),"")</f>
        <v/>
      </c>
      <c r="C238" s="36" t="str">
        <f ca="1">IFERROR(__xludf.DUMMYFUNCTION("""COMPUTED_VALUE"""),"")</f>
        <v/>
      </c>
      <c r="D238" s="36" t="str">
        <f ca="1">IFERROR(__xludf.DUMMYFUNCTION("""COMPUTED_VALUE"""),"")</f>
        <v/>
      </c>
      <c r="E238" s="36" t="str">
        <f ca="1">IFERROR(__xludf.DUMMYFUNCTION("""COMPUTED_VALUE"""),"")</f>
        <v/>
      </c>
      <c r="F238" s="36" t="str">
        <f ca="1">IFERROR(__xludf.DUMMYFUNCTION("""COMPUTED_VALUE"""),"")</f>
        <v/>
      </c>
      <c r="G238" s="36" t="str">
        <f ca="1">IFERROR(__xludf.DUMMYFUNCTION("""COMPUTED_VALUE"""),"")</f>
        <v/>
      </c>
      <c r="H238" s="36" t="str">
        <f ca="1">IFERROR(__xludf.DUMMYFUNCTION("""COMPUTED_VALUE"""),"")</f>
        <v/>
      </c>
      <c r="I238" s="36" t="str">
        <f ca="1">IFERROR(__xludf.DUMMYFUNCTION("""COMPUTED_VALUE"""),"")</f>
        <v/>
      </c>
      <c r="J238" s="36" t="str">
        <f ca="1">IFERROR(__xludf.DUMMYFUNCTION("""COMPUTED_VALUE"""),"")</f>
        <v/>
      </c>
      <c r="K238" s="36" t="str">
        <f ca="1">IFERROR(__xludf.DUMMYFUNCTION("""COMPUTED_VALUE"""),"")</f>
        <v/>
      </c>
      <c r="L238" s="36" t="str">
        <f ca="1">IFERROR(__xludf.DUMMYFUNCTION("""COMPUTED_VALUE"""),"")</f>
        <v/>
      </c>
      <c r="M238" s="36" t="str">
        <f ca="1">IFERROR(__xludf.DUMMYFUNCTION("""COMPUTED_VALUE"""),"")</f>
        <v/>
      </c>
      <c r="N238" s="36" t="str">
        <f ca="1">IFERROR(__xludf.DUMMYFUNCTION("""COMPUTED_VALUE"""),"")</f>
        <v/>
      </c>
      <c r="O238" s="36" t="str">
        <f ca="1">IFERROR(__xludf.DUMMYFUNCTION("""COMPUTED_VALUE"""),"")</f>
        <v/>
      </c>
      <c r="P238" s="36" t="str">
        <f ca="1">IFERROR(__xludf.DUMMYFUNCTION("""COMPUTED_VALUE"""),"")</f>
        <v/>
      </c>
      <c r="Q238" s="36" t="str">
        <f ca="1">IFERROR(__xludf.DUMMYFUNCTION("""COMPUTED_VALUE"""),"")</f>
        <v/>
      </c>
      <c r="R238" s="36" t="str">
        <f ca="1">IFERROR(__xludf.DUMMYFUNCTION("""COMPUTED_VALUE"""),"")</f>
        <v/>
      </c>
      <c r="S238" s="36" t="str">
        <f ca="1">IFERROR(__xludf.DUMMYFUNCTION("""COMPUTED_VALUE"""),"")</f>
        <v/>
      </c>
      <c r="T238" s="36" t="str">
        <f ca="1">IFERROR(__xludf.DUMMYFUNCTION("""COMPUTED_VALUE"""),"")</f>
        <v/>
      </c>
      <c r="U238" s="36" t="str">
        <f ca="1">IFERROR(__xludf.DUMMYFUNCTION("""COMPUTED_VALUE"""),"")</f>
        <v/>
      </c>
      <c r="V238" s="36" t="str">
        <f ca="1">IFERROR(__xludf.DUMMYFUNCTION("""COMPUTED_VALUE"""),"")</f>
        <v/>
      </c>
      <c r="W238" s="36" t="str">
        <f ca="1">IFERROR(__xludf.DUMMYFUNCTION("""COMPUTED_VALUE"""),"")</f>
        <v/>
      </c>
      <c r="X238" s="36"/>
      <c r="Y238" s="36"/>
      <c r="Z238" s="36"/>
    </row>
    <row r="239" spans="1:26" ht="12.75" hidden="1">
      <c r="A239" s="36" t="str">
        <f ca="1">IFERROR(__xludf.DUMMYFUNCTION("""COMPUTED_VALUE"""),"")</f>
        <v/>
      </c>
      <c r="B239" s="36" t="str">
        <f ca="1">IFERROR(__xludf.DUMMYFUNCTION("""COMPUTED_VALUE"""),"")</f>
        <v/>
      </c>
      <c r="C239" s="36" t="str">
        <f ca="1">IFERROR(__xludf.DUMMYFUNCTION("""COMPUTED_VALUE"""),"")</f>
        <v/>
      </c>
      <c r="D239" s="36" t="str">
        <f ca="1">IFERROR(__xludf.DUMMYFUNCTION("""COMPUTED_VALUE"""),"")</f>
        <v/>
      </c>
      <c r="E239" s="36" t="str">
        <f ca="1">IFERROR(__xludf.DUMMYFUNCTION("""COMPUTED_VALUE"""),"")</f>
        <v/>
      </c>
      <c r="F239" s="36" t="str">
        <f ca="1">IFERROR(__xludf.DUMMYFUNCTION("""COMPUTED_VALUE"""),"")</f>
        <v/>
      </c>
      <c r="G239" s="36" t="str">
        <f ca="1">IFERROR(__xludf.DUMMYFUNCTION("""COMPUTED_VALUE"""),"")</f>
        <v/>
      </c>
      <c r="H239" s="36" t="str">
        <f ca="1">IFERROR(__xludf.DUMMYFUNCTION("""COMPUTED_VALUE"""),"")</f>
        <v/>
      </c>
      <c r="I239" s="36" t="str">
        <f ca="1">IFERROR(__xludf.DUMMYFUNCTION("""COMPUTED_VALUE"""),"")</f>
        <v/>
      </c>
      <c r="J239" s="36" t="str">
        <f ca="1">IFERROR(__xludf.DUMMYFUNCTION("""COMPUTED_VALUE"""),"")</f>
        <v/>
      </c>
      <c r="K239" s="36" t="str">
        <f ca="1">IFERROR(__xludf.DUMMYFUNCTION("""COMPUTED_VALUE"""),"")</f>
        <v/>
      </c>
      <c r="L239" s="36" t="str">
        <f ca="1">IFERROR(__xludf.DUMMYFUNCTION("""COMPUTED_VALUE"""),"")</f>
        <v/>
      </c>
      <c r="M239" s="36" t="str">
        <f ca="1">IFERROR(__xludf.DUMMYFUNCTION("""COMPUTED_VALUE"""),"")</f>
        <v/>
      </c>
      <c r="N239" s="36" t="str">
        <f ca="1">IFERROR(__xludf.DUMMYFUNCTION("""COMPUTED_VALUE"""),"")</f>
        <v/>
      </c>
      <c r="O239" s="36" t="str">
        <f ca="1">IFERROR(__xludf.DUMMYFUNCTION("""COMPUTED_VALUE"""),"")</f>
        <v/>
      </c>
      <c r="P239" s="36" t="str">
        <f ca="1">IFERROR(__xludf.DUMMYFUNCTION("""COMPUTED_VALUE"""),"")</f>
        <v/>
      </c>
      <c r="Q239" s="36" t="str">
        <f ca="1">IFERROR(__xludf.DUMMYFUNCTION("""COMPUTED_VALUE"""),"")</f>
        <v/>
      </c>
      <c r="R239" s="36" t="str">
        <f ca="1">IFERROR(__xludf.DUMMYFUNCTION("""COMPUTED_VALUE"""),"")</f>
        <v/>
      </c>
      <c r="S239" s="36" t="str">
        <f ca="1">IFERROR(__xludf.DUMMYFUNCTION("""COMPUTED_VALUE"""),"")</f>
        <v/>
      </c>
      <c r="T239" s="36" t="str">
        <f ca="1">IFERROR(__xludf.DUMMYFUNCTION("""COMPUTED_VALUE"""),"")</f>
        <v/>
      </c>
      <c r="U239" s="36" t="str">
        <f ca="1">IFERROR(__xludf.DUMMYFUNCTION("""COMPUTED_VALUE"""),"")</f>
        <v/>
      </c>
      <c r="V239" s="36" t="str">
        <f ca="1">IFERROR(__xludf.DUMMYFUNCTION("""COMPUTED_VALUE"""),"")</f>
        <v/>
      </c>
      <c r="W239" s="36" t="str">
        <f ca="1">IFERROR(__xludf.DUMMYFUNCTION("""COMPUTED_VALUE"""),"")</f>
        <v/>
      </c>
      <c r="X239" s="36"/>
      <c r="Y239" s="36"/>
      <c r="Z239" s="36"/>
    </row>
    <row r="240" spans="1:26" ht="12.75" hidden="1">
      <c r="A240" s="36" t="str">
        <f ca="1">IFERROR(__xludf.DUMMYFUNCTION("""COMPUTED_VALUE"""),"")</f>
        <v/>
      </c>
      <c r="B240" s="36" t="str">
        <f ca="1">IFERROR(__xludf.DUMMYFUNCTION("""COMPUTED_VALUE"""),"")</f>
        <v/>
      </c>
      <c r="C240" s="36" t="str">
        <f ca="1">IFERROR(__xludf.DUMMYFUNCTION("""COMPUTED_VALUE"""),"")</f>
        <v/>
      </c>
      <c r="D240" s="36" t="str">
        <f ca="1">IFERROR(__xludf.DUMMYFUNCTION("""COMPUTED_VALUE"""),"")</f>
        <v/>
      </c>
      <c r="E240" s="36" t="str">
        <f ca="1">IFERROR(__xludf.DUMMYFUNCTION("""COMPUTED_VALUE"""),"")</f>
        <v/>
      </c>
      <c r="F240" s="36" t="str">
        <f ca="1">IFERROR(__xludf.DUMMYFUNCTION("""COMPUTED_VALUE"""),"")</f>
        <v/>
      </c>
      <c r="G240" s="36" t="str">
        <f ca="1">IFERROR(__xludf.DUMMYFUNCTION("""COMPUTED_VALUE"""),"")</f>
        <v/>
      </c>
      <c r="H240" s="36" t="str">
        <f ca="1">IFERROR(__xludf.DUMMYFUNCTION("""COMPUTED_VALUE"""),"")</f>
        <v/>
      </c>
      <c r="I240" s="36" t="str">
        <f ca="1">IFERROR(__xludf.DUMMYFUNCTION("""COMPUTED_VALUE"""),"")</f>
        <v/>
      </c>
      <c r="J240" s="36" t="str">
        <f ca="1">IFERROR(__xludf.DUMMYFUNCTION("""COMPUTED_VALUE"""),"")</f>
        <v/>
      </c>
      <c r="K240" s="36" t="str">
        <f ca="1">IFERROR(__xludf.DUMMYFUNCTION("""COMPUTED_VALUE"""),"")</f>
        <v/>
      </c>
      <c r="L240" s="36" t="str">
        <f ca="1">IFERROR(__xludf.DUMMYFUNCTION("""COMPUTED_VALUE"""),"")</f>
        <v/>
      </c>
      <c r="M240" s="36" t="str">
        <f ca="1">IFERROR(__xludf.DUMMYFUNCTION("""COMPUTED_VALUE"""),"")</f>
        <v/>
      </c>
      <c r="N240" s="36" t="str">
        <f ca="1">IFERROR(__xludf.DUMMYFUNCTION("""COMPUTED_VALUE"""),"")</f>
        <v/>
      </c>
      <c r="O240" s="36" t="str">
        <f ca="1">IFERROR(__xludf.DUMMYFUNCTION("""COMPUTED_VALUE"""),"")</f>
        <v/>
      </c>
      <c r="P240" s="36" t="str">
        <f ca="1">IFERROR(__xludf.DUMMYFUNCTION("""COMPUTED_VALUE"""),"")</f>
        <v/>
      </c>
      <c r="Q240" s="36" t="str">
        <f ca="1">IFERROR(__xludf.DUMMYFUNCTION("""COMPUTED_VALUE"""),"")</f>
        <v/>
      </c>
      <c r="R240" s="36" t="str">
        <f ca="1">IFERROR(__xludf.DUMMYFUNCTION("""COMPUTED_VALUE"""),"")</f>
        <v/>
      </c>
      <c r="S240" s="36" t="str">
        <f ca="1">IFERROR(__xludf.DUMMYFUNCTION("""COMPUTED_VALUE"""),"")</f>
        <v/>
      </c>
      <c r="T240" s="36" t="str">
        <f ca="1">IFERROR(__xludf.DUMMYFUNCTION("""COMPUTED_VALUE"""),"")</f>
        <v/>
      </c>
      <c r="U240" s="36" t="str">
        <f ca="1">IFERROR(__xludf.DUMMYFUNCTION("""COMPUTED_VALUE"""),"")</f>
        <v/>
      </c>
      <c r="V240" s="36" t="str">
        <f ca="1">IFERROR(__xludf.DUMMYFUNCTION("""COMPUTED_VALUE"""),"")</f>
        <v/>
      </c>
      <c r="W240" s="36" t="str">
        <f ca="1">IFERROR(__xludf.DUMMYFUNCTION("""COMPUTED_VALUE"""),"")</f>
        <v/>
      </c>
      <c r="X240" s="36"/>
      <c r="Y240" s="36"/>
      <c r="Z240" s="36"/>
    </row>
    <row r="241" spans="1:26" ht="12.75" hidden="1">
      <c r="A241" s="36" t="str">
        <f ca="1">IFERROR(__xludf.DUMMYFUNCTION("""COMPUTED_VALUE"""),"")</f>
        <v/>
      </c>
      <c r="B241" s="36" t="str">
        <f ca="1">IFERROR(__xludf.DUMMYFUNCTION("""COMPUTED_VALUE"""),"")</f>
        <v/>
      </c>
      <c r="C241" s="36" t="str">
        <f ca="1">IFERROR(__xludf.DUMMYFUNCTION("""COMPUTED_VALUE"""),"")</f>
        <v/>
      </c>
      <c r="D241" s="36" t="str">
        <f ca="1">IFERROR(__xludf.DUMMYFUNCTION("""COMPUTED_VALUE"""),"")</f>
        <v/>
      </c>
      <c r="E241" s="36" t="str">
        <f ca="1">IFERROR(__xludf.DUMMYFUNCTION("""COMPUTED_VALUE"""),"")</f>
        <v/>
      </c>
      <c r="F241" s="36" t="str">
        <f ca="1">IFERROR(__xludf.DUMMYFUNCTION("""COMPUTED_VALUE"""),"")</f>
        <v/>
      </c>
      <c r="G241" s="36" t="str">
        <f ca="1">IFERROR(__xludf.DUMMYFUNCTION("""COMPUTED_VALUE"""),"")</f>
        <v/>
      </c>
      <c r="H241" s="36" t="str">
        <f ca="1">IFERROR(__xludf.DUMMYFUNCTION("""COMPUTED_VALUE"""),"")</f>
        <v/>
      </c>
      <c r="I241" s="36" t="str">
        <f ca="1">IFERROR(__xludf.DUMMYFUNCTION("""COMPUTED_VALUE"""),"")</f>
        <v/>
      </c>
      <c r="J241" s="36" t="str">
        <f ca="1">IFERROR(__xludf.DUMMYFUNCTION("""COMPUTED_VALUE"""),"")</f>
        <v/>
      </c>
      <c r="K241" s="36" t="str">
        <f ca="1">IFERROR(__xludf.DUMMYFUNCTION("""COMPUTED_VALUE"""),"")</f>
        <v/>
      </c>
      <c r="L241" s="36" t="str">
        <f ca="1">IFERROR(__xludf.DUMMYFUNCTION("""COMPUTED_VALUE"""),"")</f>
        <v/>
      </c>
      <c r="M241" s="36" t="str">
        <f ca="1">IFERROR(__xludf.DUMMYFUNCTION("""COMPUTED_VALUE"""),"")</f>
        <v/>
      </c>
      <c r="N241" s="36" t="str">
        <f ca="1">IFERROR(__xludf.DUMMYFUNCTION("""COMPUTED_VALUE"""),"")</f>
        <v/>
      </c>
      <c r="O241" s="36" t="str">
        <f ca="1">IFERROR(__xludf.DUMMYFUNCTION("""COMPUTED_VALUE"""),"")</f>
        <v/>
      </c>
      <c r="P241" s="36" t="str">
        <f ca="1">IFERROR(__xludf.DUMMYFUNCTION("""COMPUTED_VALUE"""),"")</f>
        <v/>
      </c>
      <c r="Q241" s="36" t="str">
        <f ca="1">IFERROR(__xludf.DUMMYFUNCTION("""COMPUTED_VALUE"""),"")</f>
        <v/>
      </c>
      <c r="R241" s="36" t="str">
        <f ca="1">IFERROR(__xludf.DUMMYFUNCTION("""COMPUTED_VALUE"""),"")</f>
        <v/>
      </c>
      <c r="S241" s="36" t="str">
        <f ca="1">IFERROR(__xludf.DUMMYFUNCTION("""COMPUTED_VALUE"""),"")</f>
        <v/>
      </c>
      <c r="T241" s="36" t="str">
        <f ca="1">IFERROR(__xludf.DUMMYFUNCTION("""COMPUTED_VALUE"""),"")</f>
        <v/>
      </c>
      <c r="U241" s="36" t="str">
        <f ca="1">IFERROR(__xludf.DUMMYFUNCTION("""COMPUTED_VALUE"""),"")</f>
        <v/>
      </c>
      <c r="V241" s="36" t="str">
        <f ca="1">IFERROR(__xludf.DUMMYFUNCTION("""COMPUTED_VALUE"""),"")</f>
        <v/>
      </c>
      <c r="W241" s="36" t="str">
        <f ca="1">IFERROR(__xludf.DUMMYFUNCTION("""COMPUTED_VALUE"""),"")</f>
        <v/>
      </c>
      <c r="X241" s="36"/>
      <c r="Y241" s="36"/>
      <c r="Z241" s="36"/>
    </row>
    <row r="242" spans="1:26" ht="12.75" hidden="1">
      <c r="A242" s="36" t="str">
        <f ca="1">IFERROR(__xludf.DUMMYFUNCTION("""COMPUTED_VALUE"""),"")</f>
        <v/>
      </c>
      <c r="B242" s="36" t="str">
        <f ca="1">IFERROR(__xludf.DUMMYFUNCTION("""COMPUTED_VALUE"""),"")</f>
        <v/>
      </c>
      <c r="C242" s="36" t="str">
        <f ca="1">IFERROR(__xludf.DUMMYFUNCTION("""COMPUTED_VALUE"""),"")</f>
        <v/>
      </c>
      <c r="D242" s="36" t="str">
        <f ca="1">IFERROR(__xludf.DUMMYFUNCTION("""COMPUTED_VALUE"""),"")</f>
        <v/>
      </c>
      <c r="E242" s="36" t="str">
        <f ca="1">IFERROR(__xludf.DUMMYFUNCTION("""COMPUTED_VALUE"""),"")</f>
        <v/>
      </c>
      <c r="F242" s="36" t="str">
        <f ca="1">IFERROR(__xludf.DUMMYFUNCTION("""COMPUTED_VALUE"""),"")</f>
        <v/>
      </c>
      <c r="G242" s="36" t="str">
        <f ca="1">IFERROR(__xludf.DUMMYFUNCTION("""COMPUTED_VALUE"""),"")</f>
        <v/>
      </c>
      <c r="H242" s="36" t="str">
        <f ca="1">IFERROR(__xludf.DUMMYFUNCTION("""COMPUTED_VALUE"""),"")</f>
        <v/>
      </c>
      <c r="I242" s="36" t="str">
        <f ca="1">IFERROR(__xludf.DUMMYFUNCTION("""COMPUTED_VALUE"""),"")</f>
        <v/>
      </c>
      <c r="J242" s="36" t="str">
        <f ca="1">IFERROR(__xludf.DUMMYFUNCTION("""COMPUTED_VALUE"""),"")</f>
        <v/>
      </c>
      <c r="K242" s="36" t="str">
        <f ca="1">IFERROR(__xludf.DUMMYFUNCTION("""COMPUTED_VALUE"""),"")</f>
        <v/>
      </c>
      <c r="L242" s="36" t="str">
        <f ca="1">IFERROR(__xludf.DUMMYFUNCTION("""COMPUTED_VALUE"""),"")</f>
        <v/>
      </c>
      <c r="M242" s="36" t="str">
        <f ca="1">IFERROR(__xludf.DUMMYFUNCTION("""COMPUTED_VALUE"""),"")</f>
        <v/>
      </c>
      <c r="N242" s="36" t="str">
        <f ca="1">IFERROR(__xludf.DUMMYFUNCTION("""COMPUTED_VALUE"""),"")</f>
        <v/>
      </c>
      <c r="O242" s="36" t="str">
        <f ca="1">IFERROR(__xludf.DUMMYFUNCTION("""COMPUTED_VALUE"""),"")</f>
        <v/>
      </c>
      <c r="P242" s="36" t="str">
        <f ca="1">IFERROR(__xludf.DUMMYFUNCTION("""COMPUTED_VALUE"""),"")</f>
        <v/>
      </c>
      <c r="Q242" s="36" t="str">
        <f ca="1">IFERROR(__xludf.DUMMYFUNCTION("""COMPUTED_VALUE"""),"")</f>
        <v/>
      </c>
      <c r="R242" s="36" t="str">
        <f ca="1">IFERROR(__xludf.DUMMYFUNCTION("""COMPUTED_VALUE"""),"")</f>
        <v/>
      </c>
      <c r="S242" s="36" t="str">
        <f ca="1">IFERROR(__xludf.DUMMYFUNCTION("""COMPUTED_VALUE"""),"")</f>
        <v/>
      </c>
      <c r="T242" s="36" t="str">
        <f ca="1">IFERROR(__xludf.DUMMYFUNCTION("""COMPUTED_VALUE"""),"")</f>
        <v/>
      </c>
      <c r="U242" s="36" t="str">
        <f ca="1">IFERROR(__xludf.DUMMYFUNCTION("""COMPUTED_VALUE"""),"")</f>
        <v/>
      </c>
      <c r="V242" s="36" t="str">
        <f ca="1">IFERROR(__xludf.DUMMYFUNCTION("""COMPUTED_VALUE"""),"")</f>
        <v/>
      </c>
      <c r="W242" s="36" t="str">
        <f ca="1">IFERROR(__xludf.DUMMYFUNCTION("""COMPUTED_VALUE"""),"")</f>
        <v/>
      </c>
      <c r="X242" s="36"/>
      <c r="Y242" s="36"/>
      <c r="Z242" s="36"/>
    </row>
    <row r="243" spans="1:26" ht="12.75" hidden="1">
      <c r="A243" s="36" t="str">
        <f ca="1">IFERROR(__xludf.DUMMYFUNCTION("""COMPUTED_VALUE"""),"")</f>
        <v/>
      </c>
      <c r="B243" s="36" t="str">
        <f ca="1">IFERROR(__xludf.DUMMYFUNCTION("""COMPUTED_VALUE"""),"")</f>
        <v/>
      </c>
      <c r="C243" s="36" t="str">
        <f ca="1">IFERROR(__xludf.DUMMYFUNCTION("""COMPUTED_VALUE"""),"")</f>
        <v/>
      </c>
      <c r="D243" s="36" t="str">
        <f ca="1">IFERROR(__xludf.DUMMYFUNCTION("""COMPUTED_VALUE"""),"")</f>
        <v/>
      </c>
      <c r="E243" s="36" t="str">
        <f ca="1">IFERROR(__xludf.DUMMYFUNCTION("""COMPUTED_VALUE"""),"")</f>
        <v/>
      </c>
      <c r="F243" s="36" t="str">
        <f ca="1">IFERROR(__xludf.DUMMYFUNCTION("""COMPUTED_VALUE"""),"")</f>
        <v/>
      </c>
      <c r="G243" s="36" t="str">
        <f ca="1">IFERROR(__xludf.DUMMYFUNCTION("""COMPUTED_VALUE"""),"")</f>
        <v/>
      </c>
      <c r="H243" s="36" t="str">
        <f ca="1">IFERROR(__xludf.DUMMYFUNCTION("""COMPUTED_VALUE"""),"")</f>
        <v/>
      </c>
      <c r="I243" s="36" t="str">
        <f ca="1">IFERROR(__xludf.DUMMYFUNCTION("""COMPUTED_VALUE"""),"")</f>
        <v/>
      </c>
      <c r="J243" s="36" t="str">
        <f ca="1">IFERROR(__xludf.DUMMYFUNCTION("""COMPUTED_VALUE"""),"")</f>
        <v/>
      </c>
      <c r="K243" s="36" t="str">
        <f ca="1">IFERROR(__xludf.DUMMYFUNCTION("""COMPUTED_VALUE"""),"")</f>
        <v/>
      </c>
      <c r="L243" s="36" t="str">
        <f ca="1">IFERROR(__xludf.DUMMYFUNCTION("""COMPUTED_VALUE"""),"")</f>
        <v/>
      </c>
      <c r="M243" s="36" t="str">
        <f ca="1">IFERROR(__xludf.DUMMYFUNCTION("""COMPUTED_VALUE"""),"")</f>
        <v/>
      </c>
      <c r="N243" s="36" t="str">
        <f ca="1">IFERROR(__xludf.DUMMYFUNCTION("""COMPUTED_VALUE"""),"")</f>
        <v/>
      </c>
      <c r="O243" s="36" t="str">
        <f ca="1">IFERROR(__xludf.DUMMYFUNCTION("""COMPUTED_VALUE"""),"")</f>
        <v/>
      </c>
      <c r="P243" s="36" t="str">
        <f ca="1">IFERROR(__xludf.DUMMYFUNCTION("""COMPUTED_VALUE"""),"")</f>
        <v/>
      </c>
      <c r="Q243" s="36" t="str">
        <f ca="1">IFERROR(__xludf.DUMMYFUNCTION("""COMPUTED_VALUE"""),"")</f>
        <v/>
      </c>
      <c r="R243" s="36" t="str">
        <f ca="1">IFERROR(__xludf.DUMMYFUNCTION("""COMPUTED_VALUE"""),"")</f>
        <v/>
      </c>
      <c r="S243" s="36" t="str">
        <f ca="1">IFERROR(__xludf.DUMMYFUNCTION("""COMPUTED_VALUE"""),"")</f>
        <v/>
      </c>
      <c r="T243" s="36" t="str">
        <f ca="1">IFERROR(__xludf.DUMMYFUNCTION("""COMPUTED_VALUE"""),"")</f>
        <v/>
      </c>
      <c r="U243" s="36" t="str">
        <f ca="1">IFERROR(__xludf.DUMMYFUNCTION("""COMPUTED_VALUE"""),"")</f>
        <v/>
      </c>
      <c r="V243" s="36" t="str">
        <f ca="1">IFERROR(__xludf.DUMMYFUNCTION("""COMPUTED_VALUE"""),"")</f>
        <v/>
      </c>
      <c r="W243" s="36" t="str">
        <f ca="1">IFERROR(__xludf.DUMMYFUNCTION("""COMPUTED_VALUE"""),"")</f>
        <v/>
      </c>
      <c r="X243" s="36"/>
      <c r="Y243" s="36"/>
      <c r="Z243" s="36"/>
    </row>
    <row r="244" spans="1:26" ht="12.75" hidden="1">
      <c r="A244" s="36" t="str">
        <f ca="1">IFERROR(__xludf.DUMMYFUNCTION("""COMPUTED_VALUE"""),"")</f>
        <v/>
      </c>
      <c r="B244" s="36" t="str">
        <f ca="1">IFERROR(__xludf.DUMMYFUNCTION("""COMPUTED_VALUE"""),"")</f>
        <v/>
      </c>
      <c r="C244" s="36" t="str">
        <f ca="1">IFERROR(__xludf.DUMMYFUNCTION("""COMPUTED_VALUE"""),"")</f>
        <v/>
      </c>
      <c r="D244" s="36" t="str">
        <f ca="1">IFERROR(__xludf.DUMMYFUNCTION("""COMPUTED_VALUE"""),"")</f>
        <v/>
      </c>
      <c r="E244" s="36" t="str">
        <f ca="1">IFERROR(__xludf.DUMMYFUNCTION("""COMPUTED_VALUE"""),"")</f>
        <v/>
      </c>
      <c r="F244" s="36" t="str">
        <f ca="1">IFERROR(__xludf.DUMMYFUNCTION("""COMPUTED_VALUE"""),"")</f>
        <v/>
      </c>
      <c r="G244" s="36" t="str">
        <f ca="1">IFERROR(__xludf.DUMMYFUNCTION("""COMPUTED_VALUE"""),"")</f>
        <v/>
      </c>
      <c r="H244" s="36" t="str">
        <f ca="1">IFERROR(__xludf.DUMMYFUNCTION("""COMPUTED_VALUE"""),"")</f>
        <v/>
      </c>
      <c r="I244" s="36" t="str">
        <f ca="1">IFERROR(__xludf.DUMMYFUNCTION("""COMPUTED_VALUE"""),"")</f>
        <v/>
      </c>
      <c r="J244" s="36" t="str">
        <f ca="1">IFERROR(__xludf.DUMMYFUNCTION("""COMPUTED_VALUE"""),"")</f>
        <v/>
      </c>
      <c r="K244" s="36" t="str">
        <f ca="1">IFERROR(__xludf.DUMMYFUNCTION("""COMPUTED_VALUE"""),"")</f>
        <v/>
      </c>
      <c r="L244" s="36" t="str">
        <f ca="1">IFERROR(__xludf.DUMMYFUNCTION("""COMPUTED_VALUE"""),"")</f>
        <v/>
      </c>
      <c r="M244" s="36" t="str">
        <f ca="1">IFERROR(__xludf.DUMMYFUNCTION("""COMPUTED_VALUE"""),"")</f>
        <v/>
      </c>
      <c r="N244" s="36" t="str">
        <f ca="1">IFERROR(__xludf.DUMMYFUNCTION("""COMPUTED_VALUE"""),"")</f>
        <v/>
      </c>
      <c r="O244" s="36" t="str">
        <f ca="1">IFERROR(__xludf.DUMMYFUNCTION("""COMPUTED_VALUE"""),"")</f>
        <v/>
      </c>
      <c r="P244" s="36" t="str">
        <f ca="1">IFERROR(__xludf.DUMMYFUNCTION("""COMPUTED_VALUE"""),"")</f>
        <v/>
      </c>
      <c r="Q244" s="36" t="str">
        <f ca="1">IFERROR(__xludf.DUMMYFUNCTION("""COMPUTED_VALUE"""),"")</f>
        <v/>
      </c>
      <c r="R244" s="36" t="str">
        <f ca="1">IFERROR(__xludf.DUMMYFUNCTION("""COMPUTED_VALUE"""),"")</f>
        <v/>
      </c>
      <c r="S244" s="36" t="str">
        <f ca="1">IFERROR(__xludf.DUMMYFUNCTION("""COMPUTED_VALUE"""),"")</f>
        <v/>
      </c>
      <c r="T244" s="36" t="str">
        <f ca="1">IFERROR(__xludf.DUMMYFUNCTION("""COMPUTED_VALUE"""),"")</f>
        <v/>
      </c>
      <c r="U244" s="36" t="str">
        <f ca="1">IFERROR(__xludf.DUMMYFUNCTION("""COMPUTED_VALUE"""),"")</f>
        <v/>
      </c>
      <c r="V244" s="36" t="str">
        <f ca="1">IFERROR(__xludf.DUMMYFUNCTION("""COMPUTED_VALUE"""),"")</f>
        <v/>
      </c>
      <c r="W244" s="36" t="str">
        <f ca="1">IFERROR(__xludf.DUMMYFUNCTION("""COMPUTED_VALUE"""),"")</f>
        <v/>
      </c>
      <c r="X244" s="36"/>
      <c r="Y244" s="36"/>
      <c r="Z244" s="36"/>
    </row>
    <row r="245" spans="1:26" ht="12.75" hidden="1">
      <c r="A245" s="36" t="str">
        <f ca="1">IFERROR(__xludf.DUMMYFUNCTION("""COMPUTED_VALUE"""),"")</f>
        <v/>
      </c>
      <c r="B245" s="36" t="str">
        <f ca="1">IFERROR(__xludf.DUMMYFUNCTION("""COMPUTED_VALUE"""),"")</f>
        <v/>
      </c>
      <c r="C245" s="36" t="str">
        <f ca="1">IFERROR(__xludf.DUMMYFUNCTION("""COMPUTED_VALUE"""),"")</f>
        <v/>
      </c>
      <c r="D245" s="36" t="str">
        <f ca="1">IFERROR(__xludf.DUMMYFUNCTION("""COMPUTED_VALUE"""),"")</f>
        <v/>
      </c>
      <c r="E245" s="36" t="str">
        <f ca="1">IFERROR(__xludf.DUMMYFUNCTION("""COMPUTED_VALUE"""),"")</f>
        <v/>
      </c>
      <c r="F245" s="36" t="str">
        <f ca="1">IFERROR(__xludf.DUMMYFUNCTION("""COMPUTED_VALUE"""),"")</f>
        <v/>
      </c>
      <c r="G245" s="36" t="str">
        <f ca="1">IFERROR(__xludf.DUMMYFUNCTION("""COMPUTED_VALUE"""),"")</f>
        <v/>
      </c>
      <c r="H245" s="36" t="str">
        <f ca="1">IFERROR(__xludf.DUMMYFUNCTION("""COMPUTED_VALUE"""),"")</f>
        <v/>
      </c>
      <c r="I245" s="36" t="str">
        <f ca="1">IFERROR(__xludf.DUMMYFUNCTION("""COMPUTED_VALUE"""),"")</f>
        <v/>
      </c>
      <c r="J245" s="36" t="str">
        <f ca="1">IFERROR(__xludf.DUMMYFUNCTION("""COMPUTED_VALUE"""),"")</f>
        <v/>
      </c>
      <c r="K245" s="36" t="str">
        <f ca="1">IFERROR(__xludf.DUMMYFUNCTION("""COMPUTED_VALUE"""),"")</f>
        <v/>
      </c>
      <c r="L245" s="36" t="str">
        <f ca="1">IFERROR(__xludf.DUMMYFUNCTION("""COMPUTED_VALUE"""),"")</f>
        <v/>
      </c>
      <c r="M245" s="36" t="str">
        <f ca="1">IFERROR(__xludf.DUMMYFUNCTION("""COMPUTED_VALUE"""),"")</f>
        <v/>
      </c>
      <c r="N245" s="36" t="str">
        <f ca="1">IFERROR(__xludf.DUMMYFUNCTION("""COMPUTED_VALUE"""),"")</f>
        <v/>
      </c>
      <c r="O245" s="36" t="str">
        <f ca="1">IFERROR(__xludf.DUMMYFUNCTION("""COMPUTED_VALUE"""),"")</f>
        <v/>
      </c>
      <c r="P245" s="36" t="str">
        <f ca="1">IFERROR(__xludf.DUMMYFUNCTION("""COMPUTED_VALUE"""),"")</f>
        <v/>
      </c>
      <c r="Q245" s="36" t="str">
        <f ca="1">IFERROR(__xludf.DUMMYFUNCTION("""COMPUTED_VALUE"""),"")</f>
        <v/>
      </c>
      <c r="R245" s="36" t="str">
        <f ca="1">IFERROR(__xludf.DUMMYFUNCTION("""COMPUTED_VALUE"""),"")</f>
        <v/>
      </c>
      <c r="S245" s="36" t="str">
        <f ca="1">IFERROR(__xludf.DUMMYFUNCTION("""COMPUTED_VALUE"""),"")</f>
        <v/>
      </c>
      <c r="T245" s="36" t="str">
        <f ca="1">IFERROR(__xludf.DUMMYFUNCTION("""COMPUTED_VALUE"""),"")</f>
        <v/>
      </c>
      <c r="U245" s="36" t="str">
        <f ca="1">IFERROR(__xludf.DUMMYFUNCTION("""COMPUTED_VALUE"""),"")</f>
        <v/>
      </c>
      <c r="V245" s="36" t="str">
        <f ca="1">IFERROR(__xludf.DUMMYFUNCTION("""COMPUTED_VALUE"""),"")</f>
        <v/>
      </c>
      <c r="W245" s="36" t="str">
        <f ca="1">IFERROR(__xludf.DUMMYFUNCTION("""COMPUTED_VALUE"""),"")</f>
        <v/>
      </c>
      <c r="X245" s="36"/>
      <c r="Y245" s="36"/>
      <c r="Z245" s="36"/>
    </row>
    <row r="246" spans="1:26" ht="12.75" hidden="1">
      <c r="A246" s="36" t="str">
        <f ca="1">IFERROR(__xludf.DUMMYFUNCTION("""COMPUTED_VALUE"""),"")</f>
        <v/>
      </c>
      <c r="B246" s="36" t="str">
        <f ca="1">IFERROR(__xludf.DUMMYFUNCTION("""COMPUTED_VALUE"""),"")</f>
        <v/>
      </c>
      <c r="C246" s="36" t="str">
        <f ca="1">IFERROR(__xludf.DUMMYFUNCTION("""COMPUTED_VALUE"""),"")</f>
        <v/>
      </c>
      <c r="D246" s="36" t="str">
        <f ca="1">IFERROR(__xludf.DUMMYFUNCTION("""COMPUTED_VALUE"""),"")</f>
        <v/>
      </c>
      <c r="E246" s="36" t="str">
        <f ca="1">IFERROR(__xludf.DUMMYFUNCTION("""COMPUTED_VALUE"""),"")</f>
        <v/>
      </c>
      <c r="F246" s="36" t="str">
        <f ca="1">IFERROR(__xludf.DUMMYFUNCTION("""COMPUTED_VALUE"""),"")</f>
        <v/>
      </c>
      <c r="G246" s="36" t="str">
        <f ca="1">IFERROR(__xludf.DUMMYFUNCTION("""COMPUTED_VALUE"""),"")</f>
        <v/>
      </c>
      <c r="H246" s="36" t="str">
        <f ca="1">IFERROR(__xludf.DUMMYFUNCTION("""COMPUTED_VALUE"""),"")</f>
        <v/>
      </c>
      <c r="I246" s="36" t="str">
        <f ca="1">IFERROR(__xludf.DUMMYFUNCTION("""COMPUTED_VALUE"""),"")</f>
        <v/>
      </c>
      <c r="J246" s="36" t="str">
        <f ca="1">IFERROR(__xludf.DUMMYFUNCTION("""COMPUTED_VALUE"""),"")</f>
        <v/>
      </c>
      <c r="K246" s="36" t="str">
        <f ca="1">IFERROR(__xludf.DUMMYFUNCTION("""COMPUTED_VALUE"""),"")</f>
        <v/>
      </c>
      <c r="L246" s="36" t="str">
        <f ca="1">IFERROR(__xludf.DUMMYFUNCTION("""COMPUTED_VALUE"""),"")</f>
        <v/>
      </c>
      <c r="M246" s="36" t="str">
        <f ca="1">IFERROR(__xludf.DUMMYFUNCTION("""COMPUTED_VALUE"""),"")</f>
        <v/>
      </c>
      <c r="N246" s="36" t="str">
        <f ca="1">IFERROR(__xludf.DUMMYFUNCTION("""COMPUTED_VALUE"""),"")</f>
        <v/>
      </c>
      <c r="O246" s="36" t="str">
        <f ca="1">IFERROR(__xludf.DUMMYFUNCTION("""COMPUTED_VALUE"""),"")</f>
        <v/>
      </c>
      <c r="P246" s="36" t="str">
        <f ca="1">IFERROR(__xludf.DUMMYFUNCTION("""COMPUTED_VALUE"""),"")</f>
        <v/>
      </c>
      <c r="Q246" s="36" t="str">
        <f ca="1">IFERROR(__xludf.DUMMYFUNCTION("""COMPUTED_VALUE"""),"")</f>
        <v/>
      </c>
      <c r="R246" s="36" t="str">
        <f ca="1">IFERROR(__xludf.DUMMYFUNCTION("""COMPUTED_VALUE"""),"")</f>
        <v/>
      </c>
      <c r="S246" s="36" t="str">
        <f ca="1">IFERROR(__xludf.DUMMYFUNCTION("""COMPUTED_VALUE"""),"")</f>
        <v/>
      </c>
      <c r="T246" s="36" t="str">
        <f ca="1">IFERROR(__xludf.DUMMYFUNCTION("""COMPUTED_VALUE"""),"")</f>
        <v/>
      </c>
      <c r="U246" s="36" t="str">
        <f ca="1">IFERROR(__xludf.DUMMYFUNCTION("""COMPUTED_VALUE"""),"")</f>
        <v/>
      </c>
      <c r="V246" s="36" t="str">
        <f ca="1">IFERROR(__xludf.DUMMYFUNCTION("""COMPUTED_VALUE"""),"")</f>
        <v/>
      </c>
      <c r="W246" s="36" t="str">
        <f ca="1">IFERROR(__xludf.DUMMYFUNCTION("""COMPUTED_VALUE"""),"")</f>
        <v/>
      </c>
      <c r="X246" s="36"/>
      <c r="Y246" s="36"/>
      <c r="Z246" s="36"/>
    </row>
    <row r="247" spans="1:26" ht="12.75" hidden="1">
      <c r="A247" s="36" t="str">
        <f ca="1">IFERROR(__xludf.DUMMYFUNCTION("""COMPUTED_VALUE"""),"")</f>
        <v/>
      </c>
      <c r="B247" s="36" t="str">
        <f ca="1">IFERROR(__xludf.DUMMYFUNCTION("""COMPUTED_VALUE"""),"")</f>
        <v/>
      </c>
      <c r="C247" s="36" t="str">
        <f ca="1">IFERROR(__xludf.DUMMYFUNCTION("""COMPUTED_VALUE"""),"")</f>
        <v/>
      </c>
      <c r="D247" s="36" t="str">
        <f ca="1">IFERROR(__xludf.DUMMYFUNCTION("""COMPUTED_VALUE"""),"")</f>
        <v/>
      </c>
      <c r="E247" s="36" t="str">
        <f ca="1">IFERROR(__xludf.DUMMYFUNCTION("""COMPUTED_VALUE"""),"")</f>
        <v/>
      </c>
      <c r="F247" s="36" t="str">
        <f ca="1">IFERROR(__xludf.DUMMYFUNCTION("""COMPUTED_VALUE"""),"")</f>
        <v/>
      </c>
      <c r="G247" s="36" t="str">
        <f ca="1">IFERROR(__xludf.DUMMYFUNCTION("""COMPUTED_VALUE"""),"")</f>
        <v/>
      </c>
      <c r="H247" s="36" t="str">
        <f ca="1">IFERROR(__xludf.DUMMYFUNCTION("""COMPUTED_VALUE"""),"")</f>
        <v/>
      </c>
      <c r="I247" s="36" t="str">
        <f ca="1">IFERROR(__xludf.DUMMYFUNCTION("""COMPUTED_VALUE"""),"")</f>
        <v/>
      </c>
      <c r="J247" s="36" t="str">
        <f ca="1">IFERROR(__xludf.DUMMYFUNCTION("""COMPUTED_VALUE"""),"")</f>
        <v/>
      </c>
      <c r="K247" s="36" t="str">
        <f ca="1">IFERROR(__xludf.DUMMYFUNCTION("""COMPUTED_VALUE"""),"")</f>
        <v/>
      </c>
      <c r="L247" s="36" t="str">
        <f ca="1">IFERROR(__xludf.DUMMYFUNCTION("""COMPUTED_VALUE"""),"")</f>
        <v/>
      </c>
      <c r="M247" s="36" t="str">
        <f ca="1">IFERROR(__xludf.DUMMYFUNCTION("""COMPUTED_VALUE"""),"")</f>
        <v/>
      </c>
      <c r="N247" s="36" t="str">
        <f ca="1">IFERROR(__xludf.DUMMYFUNCTION("""COMPUTED_VALUE"""),"")</f>
        <v/>
      </c>
      <c r="O247" s="36" t="str">
        <f ca="1">IFERROR(__xludf.DUMMYFUNCTION("""COMPUTED_VALUE"""),"")</f>
        <v/>
      </c>
      <c r="P247" s="36" t="str">
        <f ca="1">IFERROR(__xludf.DUMMYFUNCTION("""COMPUTED_VALUE"""),"")</f>
        <v/>
      </c>
      <c r="Q247" s="36" t="str">
        <f ca="1">IFERROR(__xludf.DUMMYFUNCTION("""COMPUTED_VALUE"""),"")</f>
        <v/>
      </c>
      <c r="R247" s="36" t="str">
        <f ca="1">IFERROR(__xludf.DUMMYFUNCTION("""COMPUTED_VALUE"""),"")</f>
        <v/>
      </c>
      <c r="S247" s="36" t="str">
        <f ca="1">IFERROR(__xludf.DUMMYFUNCTION("""COMPUTED_VALUE"""),"")</f>
        <v/>
      </c>
      <c r="T247" s="36" t="str">
        <f ca="1">IFERROR(__xludf.DUMMYFUNCTION("""COMPUTED_VALUE"""),"")</f>
        <v/>
      </c>
      <c r="U247" s="36" t="str">
        <f ca="1">IFERROR(__xludf.DUMMYFUNCTION("""COMPUTED_VALUE"""),"")</f>
        <v/>
      </c>
      <c r="V247" s="36" t="str">
        <f ca="1">IFERROR(__xludf.DUMMYFUNCTION("""COMPUTED_VALUE"""),"")</f>
        <v/>
      </c>
      <c r="W247" s="36" t="str">
        <f ca="1">IFERROR(__xludf.DUMMYFUNCTION("""COMPUTED_VALUE"""),"")</f>
        <v/>
      </c>
      <c r="X247" s="36"/>
      <c r="Y247" s="36"/>
      <c r="Z247" s="36"/>
    </row>
    <row r="248" spans="1:26" ht="12.75" hidden="1">
      <c r="A248" s="36" t="str">
        <f ca="1">IFERROR(__xludf.DUMMYFUNCTION("""COMPUTED_VALUE"""),"")</f>
        <v/>
      </c>
      <c r="B248" s="36" t="str">
        <f ca="1">IFERROR(__xludf.DUMMYFUNCTION("""COMPUTED_VALUE"""),"")</f>
        <v/>
      </c>
      <c r="C248" s="36" t="str">
        <f ca="1">IFERROR(__xludf.DUMMYFUNCTION("""COMPUTED_VALUE"""),"")</f>
        <v/>
      </c>
      <c r="D248" s="36" t="str">
        <f ca="1">IFERROR(__xludf.DUMMYFUNCTION("""COMPUTED_VALUE"""),"")</f>
        <v/>
      </c>
      <c r="E248" s="36" t="str">
        <f ca="1">IFERROR(__xludf.DUMMYFUNCTION("""COMPUTED_VALUE"""),"")</f>
        <v/>
      </c>
      <c r="F248" s="36" t="str">
        <f ca="1">IFERROR(__xludf.DUMMYFUNCTION("""COMPUTED_VALUE"""),"")</f>
        <v/>
      </c>
      <c r="G248" s="36" t="str">
        <f ca="1">IFERROR(__xludf.DUMMYFUNCTION("""COMPUTED_VALUE"""),"")</f>
        <v/>
      </c>
      <c r="H248" s="36" t="str">
        <f ca="1">IFERROR(__xludf.DUMMYFUNCTION("""COMPUTED_VALUE"""),"")</f>
        <v/>
      </c>
      <c r="I248" s="36" t="str">
        <f ca="1">IFERROR(__xludf.DUMMYFUNCTION("""COMPUTED_VALUE"""),"")</f>
        <v/>
      </c>
      <c r="J248" s="36" t="str">
        <f ca="1">IFERROR(__xludf.DUMMYFUNCTION("""COMPUTED_VALUE"""),"")</f>
        <v/>
      </c>
      <c r="K248" s="36" t="str">
        <f ca="1">IFERROR(__xludf.DUMMYFUNCTION("""COMPUTED_VALUE"""),"")</f>
        <v/>
      </c>
      <c r="L248" s="36" t="str">
        <f ca="1">IFERROR(__xludf.DUMMYFUNCTION("""COMPUTED_VALUE"""),"")</f>
        <v/>
      </c>
      <c r="M248" s="36" t="str">
        <f ca="1">IFERROR(__xludf.DUMMYFUNCTION("""COMPUTED_VALUE"""),"")</f>
        <v/>
      </c>
      <c r="N248" s="36" t="str">
        <f ca="1">IFERROR(__xludf.DUMMYFUNCTION("""COMPUTED_VALUE"""),"")</f>
        <v/>
      </c>
      <c r="O248" s="36" t="str">
        <f ca="1">IFERROR(__xludf.DUMMYFUNCTION("""COMPUTED_VALUE"""),"")</f>
        <v/>
      </c>
      <c r="P248" s="36" t="str">
        <f ca="1">IFERROR(__xludf.DUMMYFUNCTION("""COMPUTED_VALUE"""),"")</f>
        <v/>
      </c>
      <c r="Q248" s="36" t="str">
        <f ca="1">IFERROR(__xludf.DUMMYFUNCTION("""COMPUTED_VALUE"""),"")</f>
        <v/>
      </c>
      <c r="R248" s="36" t="str">
        <f ca="1">IFERROR(__xludf.DUMMYFUNCTION("""COMPUTED_VALUE"""),"")</f>
        <v/>
      </c>
      <c r="S248" s="36" t="str">
        <f ca="1">IFERROR(__xludf.DUMMYFUNCTION("""COMPUTED_VALUE"""),"")</f>
        <v/>
      </c>
      <c r="T248" s="36" t="str">
        <f ca="1">IFERROR(__xludf.DUMMYFUNCTION("""COMPUTED_VALUE"""),"")</f>
        <v/>
      </c>
      <c r="U248" s="36" t="str">
        <f ca="1">IFERROR(__xludf.DUMMYFUNCTION("""COMPUTED_VALUE"""),"")</f>
        <v/>
      </c>
      <c r="V248" s="36" t="str">
        <f ca="1">IFERROR(__xludf.DUMMYFUNCTION("""COMPUTED_VALUE"""),"")</f>
        <v/>
      </c>
      <c r="W248" s="36" t="str">
        <f ca="1">IFERROR(__xludf.DUMMYFUNCTION("""COMPUTED_VALUE"""),"")</f>
        <v/>
      </c>
      <c r="X248" s="36"/>
      <c r="Y248" s="36"/>
      <c r="Z248" s="36"/>
    </row>
    <row r="249" spans="1:26" ht="12.75" hidden="1">
      <c r="A249" s="36" t="str">
        <f ca="1">IFERROR(__xludf.DUMMYFUNCTION("""COMPUTED_VALUE"""),"")</f>
        <v/>
      </c>
      <c r="B249" s="36" t="str">
        <f ca="1">IFERROR(__xludf.DUMMYFUNCTION("""COMPUTED_VALUE"""),"")</f>
        <v/>
      </c>
      <c r="C249" s="36" t="str">
        <f ca="1">IFERROR(__xludf.DUMMYFUNCTION("""COMPUTED_VALUE"""),"")</f>
        <v/>
      </c>
      <c r="D249" s="36" t="str">
        <f ca="1">IFERROR(__xludf.DUMMYFUNCTION("""COMPUTED_VALUE"""),"")</f>
        <v/>
      </c>
      <c r="E249" s="36" t="str">
        <f ca="1">IFERROR(__xludf.DUMMYFUNCTION("""COMPUTED_VALUE"""),"")</f>
        <v/>
      </c>
      <c r="F249" s="36" t="str">
        <f ca="1">IFERROR(__xludf.DUMMYFUNCTION("""COMPUTED_VALUE"""),"")</f>
        <v/>
      </c>
      <c r="G249" s="36" t="str">
        <f ca="1">IFERROR(__xludf.DUMMYFUNCTION("""COMPUTED_VALUE"""),"")</f>
        <v/>
      </c>
      <c r="H249" s="36" t="str">
        <f ca="1">IFERROR(__xludf.DUMMYFUNCTION("""COMPUTED_VALUE"""),"")</f>
        <v/>
      </c>
      <c r="I249" s="36" t="str">
        <f ca="1">IFERROR(__xludf.DUMMYFUNCTION("""COMPUTED_VALUE"""),"")</f>
        <v/>
      </c>
      <c r="J249" s="36" t="str">
        <f ca="1">IFERROR(__xludf.DUMMYFUNCTION("""COMPUTED_VALUE"""),"")</f>
        <v/>
      </c>
      <c r="K249" s="36" t="str">
        <f ca="1">IFERROR(__xludf.DUMMYFUNCTION("""COMPUTED_VALUE"""),"")</f>
        <v/>
      </c>
      <c r="L249" s="36" t="str">
        <f ca="1">IFERROR(__xludf.DUMMYFUNCTION("""COMPUTED_VALUE"""),"")</f>
        <v/>
      </c>
      <c r="M249" s="36" t="str">
        <f ca="1">IFERROR(__xludf.DUMMYFUNCTION("""COMPUTED_VALUE"""),"")</f>
        <v/>
      </c>
      <c r="N249" s="36" t="str">
        <f ca="1">IFERROR(__xludf.DUMMYFUNCTION("""COMPUTED_VALUE"""),"")</f>
        <v/>
      </c>
      <c r="O249" s="36" t="str">
        <f ca="1">IFERROR(__xludf.DUMMYFUNCTION("""COMPUTED_VALUE"""),"")</f>
        <v/>
      </c>
      <c r="P249" s="36" t="str">
        <f ca="1">IFERROR(__xludf.DUMMYFUNCTION("""COMPUTED_VALUE"""),"")</f>
        <v/>
      </c>
      <c r="Q249" s="36" t="str">
        <f ca="1">IFERROR(__xludf.DUMMYFUNCTION("""COMPUTED_VALUE"""),"")</f>
        <v/>
      </c>
      <c r="R249" s="36" t="str">
        <f ca="1">IFERROR(__xludf.DUMMYFUNCTION("""COMPUTED_VALUE"""),"")</f>
        <v/>
      </c>
      <c r="S249" s="36" t="str">
        <f ca="1">IFERROR(__xludf.DUMMYFUNCTION("""COMPUTED_VALUE"""),"")</f>
        <v/>
      </c>
      <c r="T249" s="36" t="str">
        <f ca="1">IFERROR(__xludf.DUMMYFUNCTION("""COMPUTED_VALUE"""),"")</f>
        <v/>
      </c>
      <c r="U249" s="36" t="str">
        <f ca="1">IFERROR(__xludf.DUMMYFUNCTION("""COMPUTED_VALUE"""),"")</f>
        <v/>
      </c>
      <c r="V249" s="36" t="str">
        <f ca="1">IFERROR(__xludf.DUMMYFUNCTION("""COMPUTED_VALUE"""),"")</f>
        <v/>
      </c>
      <c r="W249" s="36" t="str">
        <f ca="1">IFERROR(__xludf.DUMMYFUNCTION("""COMPUTED_VALUE"""),"")</f>
        <v/>
      </c>
      <c r="X249" s="36"/>
      <c r="Y249" s="36"/>
      <c r="Z249" s="36"/>
    </row>
    <row r="250" spans="1:26" ht="12.75" hidden="1">
      <c r="A250" s="36" t="str">
        <f ca="1">IFERROR(__xludf.DUMMYFUNCTION("""COMPUTED_VALUE"""),"")</f>
        <v/>
      </c>
      <c r="B250" s="36" t="str">
        <f ca="1">IFERROR(__xludf.DUMMYFUNCTION("""COMPUTED_VALUE"""),"")</f>
        <v/>
      </c>
      <c r="C250" s="36" t="str">
        <f ca="1">IFERROR(__xludf.DUMMYFUNCTION("""COMPUTED_VALUE"""),"")</f>
        <v/>
      </c>
      <c r="D250" s="36" t="str">
        <f ca="1">IFERROR(__xludf.DUMMYFUNCTION("""COMPUTED_VALUE"""),"")</f>
        <v/>
      </c>
      <c r="E250" s="36" t="str">
        <f ca="1">IFERROR(__xludf.DUMMYFUNCTION("""COMPUTED_VALUE"""),"")</f>
        <v/>
      </c>
      <c r="F250" s="36" t="str">
        <f ca="1">IFERROR(__xludf.DUMMYFUNCTION("""COMPUTED_VALUE"""),"")</f>
        <v/>
      </c>
      <c r="G250" s="36" t="str">
        <f ca="1">IFERROR(__xludf.DUMMYFUNCTION("""COMPUTED_VALUE"""),"")</f>
        <v/>
      </c>
      <c r="H250" s="36" t="str">
        <f ca="1">IFERROR(__xludf.DUMMYFUNCTION("""COMPUTED_VALUE"""),"")</f>
        <v/>
      </c>
      <c r="I250" s="36" t="str">
        <f ca="1">IFERROR(__xludf.DUMMYFUNCTION("""COMPUTED_VALUE"""),"")</f>
        <v/>
      </c>
      <c r="J250" s="36" t="str">
        <f ca="1">IFERROR(__xludf.DUMMYFUNCTION("""COMPUTED_VALUE"""),"")</f>
        <v/>
      </c>
      <c r="K250" s="36" t="str">
        <f ca="1">IFERROR(__xludf.DUMMYFUNCTION("""COMPUTED_VALUE"""),"")</f>
        <v/>
      </c>
      <c r="L250" s="36" t="str">
        <f ca="1">IFERROR(__xludf.DUMMYFUNCTION("""COMPUTED_VALUE"""),"")</f>
        <v/>
      </c>
      <c r="M250" s="36" t="str">
        <f ca="1">IFERROR(__xludf.DUMMYFUNCTION("""COMPUTED_VALUE"""),"")</f>
        <v/>
      </c>
      <c r="N250" s="36" t="str">
        <f ca="1">IFERROR(__xludf.DUMMYFUNCTION("""COMPUTED_VALUE"""),"")</f>
        <v/>
      </c>
      <c r="O250" s="36" t="str">
        <f ca="1">IFERROR(__xludf.DUMMYFUNCTION("""COMPUTED_VALUE"""),"")</f>
        <v/>
      </c>
      <c r="P250" s="36" t="str">
        <f ca="1">IFERROR(__xludf.DUMMYFUNCTION("""COMPUTED_VALUE"""),"")</f>
        <v/>
      </c>
      <c r="Q250" s="36" t="str">
        <f ca="1">IFERROR(__xludf.DUMMYFUNCTION("""COMPUTED_VALUE"""),"")</f>
        <v/>
      </c>
      <c r="R250" s="36" t="str">
        <f ca="1">IFERROR(__xludf.DUMMYFUNCTION("""COMPUTED_VALUE"""),"")</f>
        <v/>
      </c>
      <c r="S250" s="36" t="str">
        <f ca="1">IFERROR(__xludf.DUMMYFUNCTION("""COMPUTED_VALUE"""),"")</f>
        <v/>
      </c>
      <c r="T250" s="36" t="str">
        <f ca="1">IFERROR(__xludf.DUMMYFUNCTION("""COMPUTED_VALUE"""),"")</f>
        <v/>
      </c>
      <c r="U250" s="36" t="str">
        <f ca="1">IFERROR(__xludf.DUMMYFUNCTION("""COMPUTED_VALUE"""),"")</f>
        <v/>
      </c>
      <c r="V250" s="36" t="str">
        <f ca="1">IFERROR(__xludf.DUMMYFUNCTION("""COMPUTED_VALUE"""),"")</f>
        <v/>
      </c>
      <c r="W250" s="36" t="str">
        <f ca="1">IFERROR(__xludf.DUMMYFUNCTION("""COMPUTED_VALUE"""),"")</f>
        <v/>
      </c>
      <c r="X250" s="36"/>
      <c r="Y250" s="36"/>
      <c r="Z250" s="36"/>
    </row>
    <row r="251" spans="1:26" ht="12.75" hidden="1">
      <c r="A251" s="36" t="str">
        <f ca="1">IFERROR(__xludf.DUMMYFUNCTION("""COMPUTED_VALUE"""),"")</f>
        <v/>
      </c>
      <c r="B251" s="36" t="str">
        <f ca="1">IFERROR(__xludf.DUMMYFUNCTION("""COMPUTED_VALUE"""),"")</f>
        <v/>
      </c>
      <c r="C251" s="36" t="str">
        <f ca="1">IFERROR(__xludf.DUMMYFUNCTION("""COMPUTED_VALUE"""),"")</f>
        <v/>
      </c>
      <c r="D251" s="36" t="str">
        <f ca="1">IFERROR(__xludf.DUMMYFUNCTION("""COMPUTED_VALUE"""),"")</f>
        <v/>
      </c>
      <c r="E251" s="36" t="str">
        <f ca="1">IFERROR(__xludf.DUMMYFUNCTION("""COMPUTED_VALUE"""),"")</f>
        <v/>
      </c>
      <c r="F251" s="36" t="str">
        <f ca="1">IFERROR(__xludf.DUMMYFUNCTION("""COMPUTED_VALUE"""),"")</f>
        <v/>
      </c>
      <c r="G251" s="36" t="str">
        <f ca="1">IFERROR(__xludf.DUMMYFUNCTION("""COMPUTED_VALUE"""),"")</f>
        <v/>
      </c>
      <c r="H251" s="36" t="str">
        <f ca="1">IFERROR(__xludf.DUMMYFUNCTION("""COMPUTED_VALUE"""),"")</f>
        <v/>
      </c>
      <c r="I251" s="36" t="str">
        <f ca="1">IFERROR(__xludf.DUMMYFUNCTION("""COMPUTED_VALUE"""),"")</f>
        <v/>
      </c>
      <c r="J251" s="36" t="str">
        <f ca="1">IFERROR(__xludf.DUMMYFUNCTION("""COMPUTED_VALUE"""),"")</f>
        <v/>
      </c>
      <c r="K251" s="36" t="str">
        <f ca="1">IFERROR(__xludf.DUMMYFUNCTION("""COMPUTED_VALUE"""),"")</f>
        <v/>
      </c>
      <c r="L251" s="36" t="str">
        <f ca="1">IFERROR(__xludf.DUMMYFUNCTION("""COMPUTED_VALUE"""),"")</f>
        <v/>
      </c>
      <c r="M251" s="36" t="str">
        <f ca="1">IFERROR(__xludf.DUMMYFUNCTION("""COMPUTED_VALUE"""),"")</f>
        <v/>
      </c>
      <c r="N251" s="36" t="str">
        <f ca="1">IFERROR(__xludf.DUMMYFUNCTION("""COMPUTED_VALUE"""),"")</f>
        <v/>
      </c>
      <c r="O251" s="36" t="str">
        <f ca="1">IFERROR(__xludf.DUMMYFUNCTION("""COMPUTED_VALUE"""),"")</f>
        <v/>
      </c>
      <c r="P251" s="36" t="str">
        <f ca="1">IFERROR(__xludf.DUMMYFUNCTION("""COMPUTED_VALUE"""),"")</f>
        <v/>
      </c>
      <c r="Q251" s="36" t="str">
        <f ca="1">IFERROR(__xludf.DUMMYFUNCTION("""COMPUTED_VALUE"""),"")</f>
        <v/>
      </c>
      <c r="R251" s="36" t="str">
        <f ca="1">IFERROR(__xludf.DUMMYFUNCTION("""COMPUTED_VALUE"""),"")</f>
        <v/>
      </c>
      <c r="S251" s="36" t="str">
        <f ca="1">IFERROR(__xludf.DUMMYFUNCTION("""COMPUTED_VALUE"""),"")</f>
        <v/>
      </c>
      <c r="T251" s="36" t="str">
        <f ca="1">IFERROR(__xludf.DUMMYFUNCTION("""COMPUTED_VALUE"""),"")</f>
        <v/>
      </c>
      <c r="U251" s="36" t="str">
        <f ca="1">IFERROR(__xludf.DUMMYFUNCTION("""COMPUTED_VALUE"""),"")</f>
        <v/>
      </c>
      <c r="V251" s="36" t="str">
        <f ca="1">IFERROR(__xludf.DUMMYFUNCTION("""COMPUTED_VALUE"""),"")</f>
        <v/>
      </c>
      <c r="W251" s="36" t="str">
        <f ca="1">IFERROR(__xludf.DUMMYFUNCTION("""COMPUTED_VALUE"""),"")</f>
        <v/>
      </c>
      <c r="X251" s="36"/>
      <c r="Y251" s="36"/>
      <c r="Z251" s="36"/>
    </row>
    <row r="252" spans="1:26" ht="12.75" hidden="1">
      <c r="A252" s="36" t="str">
        <f ca="1">IFERROR(__xludf.DUMMYFUNCTION("""COMPUTED_VALUE"""),"")</f>
        <v/>
      </c>
      <c r="B252" s="36" t="str">
        <f ca="1">IFERROR(__xludf.DUMMYFUNCTION("""COMPUTED_VALUE"""),"")</f>
        <v/>
      </c>
      <c r="C252" s="36" t="str">
        <f ca="1">IFERROR(__xludf.DUMMYFUNCTION("""COMPUTED_VALUE"""),"")</f>
        <v/>
      </c>
      <c r="D252" s="36" t="str">
        <f ca="1">IFERROR(__xludf.DUMMYFUNCTION("""COMPUTED_VALUE"""),"")</f>
        <v/>
      </c>
      <c r="E252" s="36" t="str">
        <f ca="1">IFERROR(__xludf.DUMMYFUNCTION("""COMPUTED_VALUE"""),"")</f>
        <v/>
      </c>
      <c r="F252" s="36" t="str">
        <f ca="1">IFERROR(__xludf.DUMMYFUNCTION("""COMPUTED_VALUE"""),"")</f>
        <v/>
      </c>
      <c r="G252" s="36" t="str">
        <f ca="1">IFERROR(__xludf.DUMMYFUNCTION("""COMPUTED_VALUE"""),"")</f>
        <v/>
      </c>
      <c r="H252" s="36" t="str">
        <f ca="1">IFERROR(__xludf.DUMMYFUNCTION("""COMPUTED_VALUE"""),"")</f>
        <v/>
      </c>
      <c r="I252" s="36" t="str">
        <f ca="1">IFERROR(__xludf.DUMMYFUNCTION("""COMPUTED_VALUE"""),"")</f>
        <v/>
      </c>
      <c r="J252" s="36" t="str">
        <f ca="1">IFERROR(__xludf.DUMMYFUNCTION("""COMPUTED_VALUE"""),"")</f>
        <v/>
      </c>
      <c r="K252" s="36" t="str">
        <f ca="1">IFERROR(__xludf.DUMMYFUNCTION("""COMPUTED_VALUE"""),"")</f>
        <v/>
      </c>
      <c r="L252" s="36" t="str">
        <f ca="1">IFERROR(__xludf.DUMMYFUNCTION("""COMPUTED_VALUE"""),"")</f>
        <v/>
      </c>
      <c r="M252" s="36" t="str">
        <f ca="1">IFERROR(__xludf.DUMMYFUNCTION("""COMPUTED_VALUE"""),"")</f>
        <v/>
      </c>
      <c r="N252" s="36" t="str">
        <f ca="1">IFERROR(__xludf.DUMMYFUNCTION("""COMPUTED_VALUE"""),"")</f>
        <v/>
      </c>
      <c r="O252" s="36" t="str">
        <f ca="1">IFERROR(__xludf.DUMMYFUNCTION("""COMPUTED_VALUE"""),"")</f>
        <v/>
      </c>
      <c r="P252" s="36" t="str">
        <f ca="1">IFERROR(__xludf.DUMMYFUNCTION("""COMPUTED_VALUE"""),"")</f>
        <v/>
      </c>
      <c r="Q252" s="36" t="str">
        <f ca="1">IFERROR(__xludf.DUMMYFUNCTION("""COMPUTED_VALUE"""),"")</f>
        <v/>
      </c>
      <c r="R252" s="36" t="str">
        <f ca="1">IFERROR(__xludf.DUMMYFUNCTION("""COMPUTED_VALUE"""),"")</f>
        <v/>
      </c>
      <c r="S252" s="36" t="str">
        <f ca="1">IFERROR(__xludf.DUMMYFUNCTION("""COMPUTED_VALUE"""),"")</f>
        <v/>
      </c>
      <c r="T252" s="36" t="str">
        <f ca="1">IFERROR(__xludf.DUMMYFUNCTION("""COMPUTED_VALUE"""),"")</f>
        <v/>
      </c>
      <c r="U252" s="36" t="str">
        <f ca="1">IFERROR(__xludf.DUMMYFUNCTION("""COMPUTED_VALUE"""),"")</f>
        <v/>
      </c>
      <c r="V252" s="36" t="str">
        <f ca="1">IFERROR(__xludf.DUMMYFUNCTION("""COMPUTED_VALUE"""),"")</f>
        <v/>
      </c>
      <c r="W252" s="36" t="str">
        <f ca="1">IFERROR(__xludf.DUMMYFUNCTION("""COMPUTED_VALUE"""),"")</f>
        <v/>
      </c>
      <c r="X252" s="36"/>
      <c r="Y252" s="36"/>
      <c r="Z252" s="36"/>
    </row>
    <row r="253" spans="1:26" ht="12.75" hidden="1">
      <c r="A253" s="36" t="str">
        <f ca="1">IFERROR(__xludf.DUMMYFUNCTION("""COMPUTED_VALUE"""),"")</f>
        <v/>
      </c>
      <c r="B253" s="36" t="str">
        <f ca="1">IFERROR(__xludf.DUMMYFUNCTION("""COMPUTED_VALUE"""),"")</f>
        <v/>
      </c>
      <c r="C253" s="36" t="str">
        <f ca="1">IFERROR(__xludf.DUMMYFUNCTION("""COMPUTED_VALUE"""),"")</f>
        <v/>
      </c>
      <c r="D253" s="36" t="str">
        <f ca="1">IFERROR(__xludf.DUMMYFUNCTION("""COMPUTED_VALUE"""),"")</f>
        <v/>
      </c>
      <c r="E253" s="36" t="str">
        <f ca="1">IFERROR(__xludf.DUMMYFUNCTION("""COMPUTED_VALUE"""),"")</f>
        <v/>
      </c>
      <c r="F253" s="36" t="str">
        <f ca="1">IFERROR(__xludf.DUMMYFUNCTION("""COMPUTED_VALUE"""),"")</f>
        <v/>
      </c>
      <c r="G253" s="36" t="str">
        <f ca="1">IFERROR(__xludf.DUMMYFUNCTION("""COMPUTED_VALUE"""),"")</f>
        <v/>
      </c>
      <c r="H253" s="36" t="str">
        <f ca="1">IFERROR(__xludf.DUMMYFUNCTION("""COMPUTED_VALUE"""),"")</f>
        <v/>
      </c>
      <c r="I253" s="36" t="str">
        <f ca="1">IFERROR(__xludf.DUMMYFUNCTION("""COMPUTED_VALUE"""),"")</f>
        <v/>
      </c>
      <c r="J253" s="36" t="str">
        <f ca="1">IFERROR(__xludf.DUMMYFUNCTION("""COMPUTED_VALUE"""),"")</f>
        <v/>
      </c>
      <c r="K253" s="36" t="str">
        <f ca="1">IFERROR(__xludf.DUMMYFUNCTION("""COMPUTED_VALUE"""),"")</f>
        <v/>
      </c>
      <c r="L253" s="36" t="str">
        <f ca="1">IFERROR(__xludf.DUMMYFUNCTION("""COMPUTED_VALUE"""),"")</f>
        <v/>
      </c>
      <c r="M253" s="36" t="str">
        <f ca="1">IFERROR(__xludf.DUMMYFUNCTION("""COMPUTED_VALUE"""),"")</f>
        <v/>
      </c>
      <c r="N253" s="36" t="str">
        <f ca="1">IFERROR(__xludf.DUMMYFUNCTION("""COMPUTED_VALUE"""),"")</f>
        <v/>
      </c>
      <c r="O253" s="36" t="str">
        <f ca="1">IFERROR(__xludf.DUMMYFUNCTION("""COMPUTED_VALUE"""),"")</f>
        <v/>
      </c>
      <c r="P253" s="36" t="str">
        <f ca="1">IFERROR(__xludf.DUMMYFUNCTION("""COMPUTED_VALUE"""),"")</f>
        <v/>
      </c>
      <c r="Q253" s="36" t="str">
        <f ca="1">IFERROR(__xludf.DUMMYFUNCTION("""COMPUTED_VALUE"""),"")</f>
        <v/>
      </c>
      <c r="R253" s="36" t="str">
        <f ca="1">IFERROR(__xludf.DUMMYFUNCTION("""COMPUTED_VALUE"""),"")</f>
        <v/>
      </c>
      <c r="S253" s="36" t="str">
        <f ca="1">IFERROR(__xludf.DUMMYFUNCTION("""COMPUTED_VALUE"""),"")</f>
        <v/>
      </c>
      <c r="T253" s="36" t="str">
        <f ca="1">IFERROR(__xludf.DUMMYFUNCTION("""COMPUTED_VALUE"""),"")</f>
        <v/>
      </c>
      <c r="U253" s="36" t="str">
        <f ca="1">IFERROR(__xludf.DUMMYFUNCTION("""COMPUTED_VALUE"""),"")</f>
        <v/>
      </c>
      <c r="V253" s="36" t="str">
        <f ca="1">IFERROR(__xludf.DUMMYFUNCTION("""COMPUTED_VALUE"""),"")</f>
        <v/>
      </c>
      <c r="W253" s="36" t="str">
        <f ca="1">IFERROR(__xludf.DUMMYFUNCTION("""COMPUTED_VALUE"""),"")</f>
        <v/>
      </c>
      <c r="X253" s="36"/>
      <c r="Y253" s="36"/>
      <c r="Z253" s="36"/>
    </row>
    <row r="254" spans="1:26" ht="12.75" hidden="1">
      <c r="A254" s="36" t="str">
        <f ca="1">IFERROR(__xludf.DUMMYFUNCTION("""COMPUTED_VALUE"""),"")</f>
        <v/>
      </c>
      <c r="B254" s="36" t="str">
        <f ca="1">IFERROR(__xludf.DUMMYFUNCTION("""COMPUTED_VALUE"""),"")</f>
        <v/>
      </c>
      <c r="C254" s="36" t="str">
        <f ca="1">IFERROR(__xludf.DUMMYFUNCTION("""COMPUTED_VALUE"""),"")</f>
        <v/>
      </c>
      <c r="D254" s="36" t="str">
        <f ca="1">IFERROR(__xludf.DUMMYFUNCTION("""COMPUTED_VALUE"""),"")</f>
        <v/>
      </c>
      <c r="E254" s="36" t="str">
        <f ca="1">IFERROR(__xludf.DUMMYFUNCTION("""COMPUTED_VALUE"""),"")</f>
        <v/>
      </c>
      <c r="F254" s="36" t="str">
        <f ca="1">IFERROR(__xludf.DUMMYFUNCTION("""COMPUTED_VALUE"""),"")</f>
        <v/>
      </c>
      <c r="G254" s="36" t="str">
        <f ca="1">IFERROR(__xludf.DUMMYFUNCTION("""COMPUTED_VALUE"""),"")</f>
        <v/>
      </c>
      <c r="H254" s="36" t="str">
        <f ca="1">IFERROR(__xludf.DUMMYFUNCTION("""COMPUTED_VALUE"""),"")</f>
        <v/>
      </c>
      <c r="I254" s="36" t="str">
        <f ca="1">IFERROR(__xludf.DUMMYFUNCTION("""COMPUTED_VALUE"""),"")</f>
        <v/>
      </c>
      <c r="J254" s="36" t="str">
        <f ca="1">IFERROR(__xludf.DUMMYFUNCTION("""COMPUTED_VALUE"""),"")</f>
        <v/>
      </c>
      <c r="K254" s="36" t="str">
        <f ca="1">IFERROR(__xludf.DUMMYFUNCTION("""COMPUTED_VALUE"""),"")</f>
        <v/>
      </c>
      <c r="L254" s="36" t="str">
        <f ca="1">IFERROR(__xludf.DUMMYFUNCTION("""COMPUTED_VALUE"""),"")</f>
        <v/>
      </c>
      <c r="M254" s="36" t="str">
        <f ca="1">IFERROR(__xludf.DUMMYFUNCTION("""COMPUTED_VALUE"""),"")</f>
        <v/>
      </c>
      <c r="N254" s="36" t="str">
        <f ca="1">IFERROR(__xludf.DUMMYFUNCTION("""COMPUTED_VALUE"""),"")</f>
        <v/>
      </c>
      <c r="O254" s="36" t="str">
        <f ca="1">IFERROR(__xludf.DUMMYFUNCTION("""COMPUTED_VALUE"""),"")</f>
        <v/>
      </c>
      <c r="P254" s="36" t="str">
        <f ca="1">IFERROR(__xludf.DUMMYFUNCTION("""COMPUTED_VALUE"""),"")</f>
        <v/>
      </c>
      <c r="Q254" s="36" t="str">
        <f ca="1">IFERROR(__xludf.DUMMYFUNCTION("""COMPUTED_VALUE"""),"")</f>
        <v/>
      </c>
      <c r="R254" s="36" t="str">
        <f ca="1">IFERROR(__xludf.DUMMYFUNCTION("""COMPUTED_VALUE"""),"")</f>
        <v/>
      </c>
      <c r="S254" s="36" t="str">
        <f ca="1">IFERROR(__xludf.DUMMYFUNCTION("""COMPUTED_VALUE"""),"")</f>
        <v/>
      </c>
      <c r="T254" s="36" t="str">
        <f ca="1">IFERROR(__xludf.DUMMYFUNCTION("""COMPUTED_VALUE"""),"")</f>
        <v/>
      </c>
      <c r="U254" s="36" t="str">
        <f ca="1">IFERROR(__xludf.DUMMYFUNCTION("""COMPUTED_VALUE"""),"")</f>
        <v/>
      </c>
      <c r="V254" s="36" t="str">
        <f ca="1">IFERROR(__xludf.DUMMYFUNCTION("""COMPUTED_VALUE"""),"")</f>
        <v/>
      </c>
      <c r="W254" s="36" t="str">
        <f ca="1">IFERROR(__xludf.DUMMYFUNCTION("""COMPUTED_VALUE"""),"")</f>
        <v/>
      </c>
      <c r="X254" s="36"/>
      <c r="Y254" s="36"/>
      <c r="Z254" s="36"/>
    </row>
    <row r="255" spans="1:26" ht="12.75" hidden="1">
      <c r="A255" s="36" t="str">
        <f ca="1">IFERROR(__xludf.DUMMYFUNCTION("""COMPUTED_VALUE"""),"")</f>
        <v/>
      </c>
      <c r="B255" s="36" t="str">
        <f ca="1">IFERROR(__xludf.DUMMYFUNCTION("""COMPUTED_VALUE"""),"")</f>
        <v/>
      </c>
      <c r="C255" s="36" t="str">
        <f ca="1">IFERROR(__xludf.DUMMYFUNCTION("""COMPUTED_VALUE"""),"")</f>
        <v/>
      </c>
      <c r="D255" s="36" t="str">
        <f ca="1">IFERROR(__xludf.DUMMYFUNCTION("""COMPUTED_VALUE"""),"")</f>
        <v/>
      </c>
      <c r="E255" s="36" t="str">
        <f ca="1">IFERROR(__xludf.DUMMYFUNCTION("""COMPUTED_VALUE"""),"")</f>
        <v/>
      </c>
      <c r="F255" s="36" t="str">
        <f ca="1">IFERROR(__xludf.DUMMYFUNCTION("""COMPUTED_VALUE"""),"")</f>
        <v/>
      </c>
      <c r="G255" s="36" t="str">
        <f ca="1">IFERROR(__xludf.DUMMYFUNCTION("""COMPUTED_VALUE"""),"")</f>
        <v/>
      </c>
      <c r="H255" s="36" t="str">
        <f ca="1">IFERROR(__xludf.DUMMYFUNCTION("""COMPUTED_VALUE"""),"")</f>
        <v/>
      </c>
      <c r="I255" s="36" t="str">
        <f ca="1">IFERROR(__xludf.DUMMYFUNCTION("""COMPUTED_VALUE"""),"")</f>
        <v/>
      </c>
      <c r="J255" s="36" t="str">
        <f ca="1">IFERROR(__xludf.DUMMYFUNCTION("""COMPUTED_VALUE"""),"")</f>
        <v/>
      </c>
      <c r="K255" s="36" t="str">
        <f ca="1">IFERROR(__xludf.DUMMYFUNCTION("""COMPUTED_VALUE"""),"")</f>
        <v/>
      </c>
      <c r="L255" s="36" t="str">
        <f ca="1">IFERROR(__xludf.DUMMYFUNCTION("""COMPUTED_VALUE"""),"")</f>
        <v/>
      </c>
      <c r="M255" s="36" t="str">
        <f ca="1">IFERROR(__xludf.DUMMYFUNCTION("""COMPUTED_VALUE"""),"")</f>
        <v/>
      </c>
      <c r="N255" s="36" t="str">
        <f ca="1">IFERROR(__xludf.DUMMYFUNCTION("""COMPUTED_VALUE"""),"")</f>
        <v/>
      </c>
      <c r="O255" s="36" t="str">
        <f ca="1">IFERROR(__xludf.DUMMYFUNCTION("""COMPUTED_VALUE"""),"")</f>
        <v/>
      </c>
      <c r="P255" s="36" t="str">
        <f ca="1">IFERROR(__xludf.DUMMYFUNCTION("""COMPUTED_VALUE"""),"")</f>
        <v/>
      </c>
      <c r="Q255" s="36" t="str">
        <f ca="1">IFERROR(__xludf.DUMMYFUNCTION("""COMPUTED_VALUE"""),"")</f>
        <v/>
      </c>
      <c r="R255" s="36" t="str">
        <f ca="1">IFERROR(__xludf.DUMMYFUNCTION("""COMPUTED_VALUE"""),"")</f>
        <v/>
      </c>
      <c r="S255" s="36" t="str">
        <f ca="1">IFERROR(__xludf.DUMMYFUNCTION("""COMPUTED_VALUE"""),"")</f>
        <v/>
      </c>
      <c r="T255" s="36" t="str">
        <f ca="1">IFERROR(__xludf.DUMMYFUNCTION("""COMPUTED_VALUE"""),"")</f>
        <v/>
      </c>
      <c r="U255" s="36" t="str">
        <f ca="1">IFERROR(__xludf.DUMMYFUNCTION("""COMPUTED_VALUE"""),"")</f>
        <v/>
      </c>
      <c r="V255" s="36" t="str">
        <f ca="1">IFERROR(__xludf.DUMMYFUNCTION("""COMPUTED_VALUE"""),"")</f>
        <v/>
      </c>
      <c r="W255" s="36" t="str">
        <f ca="1">IFERROR(__xludf.DUMMYFUNCTION("""COMPUTED_VALUE"""),"")</f>
        <v/>
      </c>
      <c r="X255" s="36"/>
      <c r="Y255" s="36"/>
      <c r="Z255" s="36"/>
    </row>
    <row r="256" spans="1:26" ht="12.75" hidden="1">
      <c r="A256" s="36" t="str">
        <f ca="1">IFERROR(__xludf.DUMMYFUNCTION("""COMPUTED_VALUE"""),"")</f>
        <v/>
      </c>
      <c r="B256" s="36" t="str">
        <f ca="1">IFERROR(__xludf.DUMMYFUNCTION("""COMPUTED_VALUE"""),"")</f>
        <v/>
      </c>
      <c r="C256" s="36" t="str">
        <f ca="1">IFERROR(__xludf.DUMMYFUNCTION("""COMPUTED_VALUE"""),"")</f>
        <v/>
      </c>
      <c r="D256" s="36" t="str">
        <f ca="1">IFERROR(__xludf.DUMMYFUNCTION("""COMPUTED_VALUE"""),"")</f>
        <v/>
      </c>
      <c r="E256" s="36" t="str">
        <f ca="1">IFERROR(__xludf.DUMMYFUNCTION("""COMPUTED_VALUE"""),"")</f>
        <v/>
      </c>
      <c r="F256" s="36" t="str">
        <f ca="1">IFERROR(__xludf.DUMMYFUNCTION("""COMPUTED_VALUE"""),"")</f>
        <v/>
      </c>
      <c r="G256" s="36" t="str">
        <f ca="1">IFERROR(__xludf.DUMMYFUNCTION("""COMPUTED_VALUE"""),"")</f>
        <v/>
      </c>
      <c r="H256" s="36" t="str">
        <f ca="1">IFERROR(__xludf.DUMMYFUNCTION("""COMPUTED_VALUE"""),"")</f>
        <v/>
      </c>
      <c r="I256" s="36" t="str">
        <f ca="1">IFERROR(__xludf.DUMMYFUNCTION("""COMPUTED_VALUE"""),"")</f>
        <v/>
      </c>
      <c r="J256" s="36" t="str">
        <f ca="1">IFERROR(__xludf.DUMMYFUNCTION("""COMPUTED_VALUE"""),"")</f>
        <v/>
      </c>
      <c r="K256" s="36" t="str">
        <f ca="1">IFERROR(__xludf.DUMMYFUNCTION("""COMPUTED_VALUE"""),"")</f>
        <v/>
      </c>
      <c r="L256" s="36" t="str">
        <f ca="1">IFERROR(__xludf.DUMMYFUNCTION("""COMPUTED_VALUE"""),"")</f>
        <v/>
      </c>
      <c r="M256" s="36" t="str">
        <f ca="1">IFERROR(__xludf.DUMMYFUNCTION("""COMPUTED_VALUE"""),"")</f>
        <v/>
      </c>
      <c r="N256" s="36" t="str">
        <f ca="1">IFERROR(__xludf.DUMMYFUNCTION("""COMPUTED_VALUE"""),"")</f>
        <v/>
      </c>
      <c r="O256" s="36" t="str">
        <f ca="1">IFERROR(__xludf.DUMMYFUNCTION("""COMPUTED_VALUE"""),"")</f>
        <v/>
      </c>
      <c r="P256" s="36" t="str">
        <f ca="1">IFERROR(__xludf.DUMMYFUNCTION("""COMPUTED_VALUE"""),"")</f>
        <v/>
      </c>
      <c r="Q256" s="36" t="str">
        <f ca="1">IFERROR(__xludf.DUMMYFUNCTION("""COMPUTED_VALUE"""),"")</f>
        <v/>
      </c>
      <c r="R256" s="36" t="str">
        <f ca="1">IFERROR(__xludf.DUMMYFUNCTION("""COMPUTED_VALUE"""),"")</f>
        <v/>
      </c>
      <c r="S256" s="36" t="str">
        <f ca="1">IFERROR(__xludf.DUMMYFUNCTION("""COMPUTED_VALUE"""),"")</f>
        <v/>
      </c>
      <c r="T256" s="36" t="str">
        <f ca="1">IFERROR(__xludf.DUMMYFUNCTION("""COMPUTED_VALUE"""),"")</f>
        <v/>
      </c>
      <c r="U256" s="36" t="str">
        <f ca="1">IFERROR(__xludf.DUMMYFUNCTION("""COMPUTED_VALUE"""),"")</f>
        <v/>
      </c>
      <c r="V256" s="36" t="str">
        <f ca="1">IFERROR(__xludf.DUMMYFUNCTION("""COMPUTED_VALUE"""),"")</f>
        <v/>
      </c>
      <c r="W256" s="36" t="str">
        <f ca="1">IFERROR(__xludf.DUMMYFUNCTION("""COMPUTED_VALUE"""),"")</f>
        <v/>
      </c>
      <c r="X256" s="36"/>
      <c r="Y256" s="36"/>
      <c r="Z256" s="36"/>
    </row>
    <row r="257" spans="1:26" ht="12.75" hidden="1">
      <c r="A257" s="36" t="str">
        <f ca="1">IFERROR(__xludf.DUMMYFUNCTION("""COMPUTED_VALUE"""),"")</f>
        <v/>
      </c>
      <c r="B257" s="36" t="str">
        <f ca="1">IFERROR(__xludf.DUMMYFUNCTION("""COMPUTED_VALUE"""),"")</f>
        <v/>
      </c>
      <c r="C257" s="36" t="str">
        <f ca="1">IFERROR(__xludf.DUMMYFUNCTION("""COMPUTED_VALUE"""),"")</f>
        <v/>
      </c>
      <c r="D257" s="36" t="str">
        <f ca="1">IFERROR(__xludf.DUMMYFUNCTION("""COMPUTED_VALUE"""),"")</f>
        <v/>
      </c>
      <c r="E257" s="36" t="str">
        <f ca="1">IFERROR(__xludf.DUMMYFUNCTION("""COMPUTED_VALUE"""),"")</f>
        <v/>
      </c>
      <c r="F257" s="36" t="str">
        <f ca="1">IFERROR(__xludf.DUMMYFUNCTION("""COMPUTED_VALUE"""),"")</f>
        <v/>
      </c>
      <c r="G257" s="36" t="str">
        <f ca="1">IFERROR(__xludf.DUMMYFUNCTION("""COMPUTED_VALUE"""),"")</f>
        <v/>
      </c>
      <c r="H257" s="36" t="str">
        <f ca="1">IFERROR(__xludf.DUMMYFUNCTION("""COMPUTED_VALUE"""),"")</f>
        <v/>
      </c>
      <c r="I257" s="36" t="str">
        <f ca="1">IFERROR(__xludf.DUMMYFUNCTION("""COMPUTED_VALUE"""),"")</f>
        <v/>
      </c>
      <c r="J257" s="36" t="str">
        <f ca="1">IFERROR(__xludf.DUMMYFUNCTION("""COMPUTED_VALUE"""),"")</f>
        <v/>
      </c>
      <c r="K257" s="36" t="str">
        <f ca="1">IFERROR(__xludf.DUMMYFUNCTION("""COMPUTED_VALUE"""),"")</f>
        <v/>
      </c>
      <c r="L257" s="36" t="str">
        <f ca="1">IFERROR(__xludf.DUMMYFUNCTION("""COMPUTED_VALUE"""),"")</f>
        <v/>
      </c>
      <c r="M257" s="36" t="str">
        <f ca="1">IFERROR(__xludf.DUMMYFUNCTION("""COMPUTED_VALUE"""),"")</f>
        <v/>
      </c>
      <c r="N257" s="36" t="str">
        <f ca="1">IFERROR(__xludf.DUMMYFUNCTION("""COMPUTED_VALUE"""),"")</f>
        <v/>
      </c>
      <c r="O257" s="36" t="str">
        <f ca="1">IFERROR(__xludf.DUMMYFUNCTION("""COMPUTED_VALUE"""),"")</f>
        <v/>
      </c>
      <c r="P257" s="36" t="str">
        <f ca="1">IFERROR(__xludf.DUMMYFUNCTION("""COMPUTED_VALUE"""),"")</f>
        <v/>
      </c>
      <c r="Q257" s="36" t="str">
        <f ca="1">IFERROR(__xludf.DUMMYFUNCTION("""COMPUTED_VALUE"""),"")</f>
        <v/>
      </c>
      <c r="R257" s="36" t="str">
        <f ca="1">IFERROR(__xludf.DUMMYFUNCTION("""COMPUTED_VALUE"""),"")</f>
        <v/>
      </c>
      <c r="S257" s="36" t="str">
        <f ca="1">IFERROR(__xludf.DUMMYFUNCTION("""COMPUTED_VALUE"""),"")</f>
        <v/>
      </c>
      <c r="T257" s="36" t="str">
        <f ca="1">IFERROR(__xludf.DUMMYFUNCTION("""COMPUTED_VALUE"""),"")</f>
        <v/>
      </c>
      <c r="U257" s="36" t="str">
        <f ca="1">IFERROR(__xludf.DUMMYFUNCTION("""COMPUTED_VALUE"""),"")</f>
        <v/>
      </c>
      <c r="V257" s="36" t="str">
        <f ca="1">IFERROR(__xludf.DUMMYFUNCTION("""COMPUTED_VALUE"""),"")</f>
        <v/>
      </c>
      <c r="W257" s="36" t="str">
        <f ca="1">IFERROR(__xludf.DUMMYFUNCTION("""COMPUTED_VALUE"""),"")</f>
        <v/>
      </c>
      <c r="X257" s="36"/>
      <c r="Y257" s="36"/>
      <c r="Z257" s="36"/>
    </row>
    <row r="258" spans="1:26" ht="12.75" hidden="1">
      <c r="A258" s="36" t="str">
        <f ca="1">IFERROR(__xludf.DUMMYFUNCTION("""COMPUTED_VALUE"""),"")</f>
        <v/>
      </c>
      <c r="B258" s="36" t="str">
        <f ca="1">IFERROR(__xludf.DUMMYFUNCTION("""COMPUTED_VALUE"""),"")</f>
        <v/>
      </c>
      <c r="C258" s="36" t="str">
        <f ca="1">IFERROR(__xludf.DUMMYFUNCTION("""COMPUTED_VALUE"""),"")</f>
        <v/>
      </c>
      <c r="D258" s="36" t="str">
        <f ca="1">IFERROR(__xludf.DUMMYFUNCTION("""COMPUTED_VALUE"""),"")</f>
        <v/>
      </c>
      <c r="E258" s="36" t="str">
        <f ca="1">IFERROR(__xludf.DUMMYFUNCTION("""COMPUTED_VALUE"""),"")</f>
        <v/>
      </c>
      <c r="F258" s="36" t="str">
        <f ca="1">IFERROR(__xludf.DUMMYFUNCTION("""COMPUTED_VALUE"""),"")</f>
        <v/>
      </c>
      <c r="G258" s="36" t="str">
        <f ca="1">IFERROR(__xludf.DUMMYFUNCTION("""COMPUTED_VALUE"""),"")</f>
        <v/>
      </c>
      <c r="H258" s="36" t="str">
        <f ca="1">IFERROR(__xludf.DUMMYFUNCTION("""COMPUTED_VALUE"""),"")</f>
        <v/>
      </c>
      <c r="I258" s="36" t="str">
        <f ca="1">IFERROR(__xludf.DUMMYFUNCTION("""COMPUTED_VALUE"""),"")</f>
        <v/>
      </c>
      <c r="J258" s="36" t="str">
        <f ca="1">IFERROR(__xludf.DUMMYFUNCTION("""COMPUTED_VALUE"""),"")</f>
        <v/>
      </c>
      <c r="K258" s="36" t="str">
        <f ca="1">IFERROR(__xludf.DUMMYFUNCTION("""COMPUTED_VALUE"""),"")</f>
        <v/>
      </c>
      <c r="L258" s="36" t="str">
        <f ca="1">IFERROR(__xludf.DUMMYFUNCTION("""COMPUTED_VALUE"""),"")</f>
        <v/>
      </c>
      <c r="M258" s="36" t="str">
        <f ca="1">IFERROR(__xludf.DUMMYFUNCTION("""COMPUTED_VALUE"""),"")</f>
        <v/>
      </c>
      <c r="N258" s="36" t="str">
        <f ca="1">IFERROR(__xludf.DUMMYFUNCTION("""COMPUTED_VALUE"""),"")</f>
        <v/>
      </c>
      <c r="O258" s="36" t="str">
        <f ca="1">IFERROR(__xludf.DUMMYFUNCTION("""COMPUTED_VALUE"""),"")</f>
        <v/>
      </c>
      <c r="P258" s="36" t="str">
        <f ca="1">IFERROR(__xludf.DUMMYFUNCTION("""COMPUTED_VALUE"""),"")</f>
        <v/>
      </c>
      <c r="Q258" s="36" t="str">
        <f ca="1">IFERROR(__xludf.DUMMYFUNCTION("""COMPUTED_VALUE"""),"")</f>
        <v/>
      </c>
      <c r="R258" s="36" t="str">
        <f ca="1">IFERROR(__xludf.DUMMYFUNCTION("""COMPUTED_VALUE"""),"")</f>
        <v/>
      </c>
      <c r="S258" s="36" t="str">
        <f ca="1">IFERROR(__xludf.DUMMYFUNCTION("""COMPUTED_VALUE"""),"")</f>
        <v/>
      </c>
      <c r="T258" s="36" t="str">
        <f ca="1">IFERROR(__xludf.DUMMYFUNCTION("""COMPUTED_VALUE"""),"")</f>
        <v/>
      </c>
      <c r="U258" s="36" t="str">
        <f ca="1">IFERROR(__xludf.DUMMYFUNCTION("""COMPUTED_VALUE"""),"")</f>
        <v/>
      </c>
      <c r="V258" s="36" t="str">
        <f ca="1">IFERROR(__xludf.DUMMYFUNCTION("""COMPUTED_VALUE"""),"")</f>
        <v/>
      </c>
      <c r="W258" s="36" t="str">
        <f ca="1">IFERROR(__xludf.DUMMYFUNCTION("""COMPUTED_VALUE"""),"")</f>
        <v/>
      </c>
      <c r="X258" s="36"/>
      <c r="Y258" s="36"/>
      <c r="Z258" s="36"/>
    </row>
    <row r="259" spans="1:26" ht="12.75" hidden="1">
      <c r="A259" s="36" t="str">
        <f ca="1">IFERROR(__xludf.DUMMYFUNCTION("""COMPUTED_VALUE"""),"")</f>
        <v/>
      </c>
      <c r="B259" s="36" t="str">
        <f ca="1">IFERROR(__xludf.DUMMYFUNCTION("""COMPUTED_VALUE"""),"")</f>
        <v/>
      </c>
      <c r="C259" s="36" t="str">
        <f ca="1">IFERROR(__xludf.DUMMYFUNCTION("""COMPUTED_VALUE"""),"")</f>
        <v/>
      </c>
      <c r="D259" s="36" t="str">
        <f ca="1">IFERROR(__xludf.DUMMYFUNCTION("""COMPUTED_VALUE"""),"")</f>
        <v/>
      </c>
      <c r="E259" s="36" t="str">
        <f ca="1">IFERROR(__xludf.DUMMYFUNCTION("""COMPUTED_VALUE"""),"")</f>
        <v/>
      </c>
      <c r="F259" s="36" t="str">
        <f ca="1">IFERROR(__xludf.DUMMYFUNCTION("""COMPUTED_VALUE"""),"")</f>
        <v/>
      </c>
      <c r="G259" s="36" t="str">
        <f ca="1">IFERROR(__xludf.DUMMYFUNCTION("""COMPUTED_VALUE"""),"")</f>
        <v/>
      </c>
      <c r="H259" s="36" t="str">
        <f ca="1">IFERROR(__xludf.DUMMYFUNCTION("""COMPUTED_VALUE"""),"")</f>
        <v/>
      </c>
      <c r="I259" s="36" t="str">
        <f ca="1">IFERROR(__xludf.DUMMYFUNCTION("""COMPUTED_VALUE"""),"")</f>
        <v/>
      </c>
      <c r="J259" s="36" t="str">
        <f ca="1">IFERROR(__xludf.DUMMYFUNCTION("""COMPUTED_VALUE"""),"")</f>
        <v/>
      </c>
      <c r="K259" s="36" t="str">
        <f ca="1">IFERROR(__xludf.DUMMYFUNCTION("""COMPUTED_VALUE"""),"")</f>
        <v/>
      </c>
      <c r="L259" s="36" t="str">
        <f ca="1">IFERROR(__xludf.DUMMYFUNCTION("""COMPUTED_VALUE"""),"")</f>
        <v/>
      </c>
      <c r="M259" s="36" t="str">
        <f ca="1">IFERROR(__xludf.DUMMYFUNCTION("""COMPUTED_VALUE"""),"")</f>
        <v/>
      </c>
      <c r="N259" s="36" t="str">
        <f ca="1">IFERROR(__xludf.DUMMYFUNCTION("""COMPUTED_VALUE"""),"")</f>
        <v/>
      </c>
      <c r="O259" s="36" t="str">
        <f ca="1">IFERROR(__xludf.DUMMYFUNCTION("""COMPUTED_VALUE"""),"")</f>
        <v/>
      </c>
      <c r="P259" s="36" t="str">
        <f ca="1">IFERROR(__xludf.DUMMYFUNCTION("""COMPUTED_VALUE"""),"")</f>
        <v/>
      </c>
      <c r="Q259" s="36" t="str">
        <f ca="1">IFERROR(__xludf.DUMMYFUNCTION("""COMPUTED_VALUE"""),"")</f>
        <v/>
      </c>
      <c r="R259" s="36" t="str">
        <f ca="1">IFERROR(__xludf.DUMMYFUNCTION("""COMPUTED_VALUE"""),"")</f>
        <v/>
      </c>
      <c r="S259" s="36" t="str">
        <f ca="1">IFERROR(__xludf.DUMMYFUNCTION("""COMPUTED_VALUE"""),"")</f>
        <v/>
      </c>
      <c r="T259" s="36" t="str">
        <f ca="1">IFERROR(__xludf.DUMMYFUNCTION("""COMPUTED_VALUE"""),"")</f>
        <v/>
      </c>
      <c r="U259" s="36" t="str">
        <f ca="1">IFERROR(__xludf.DUMMYFUNCTION("""COMPUTED_VALUE"""),"")</f>
        <v/>
      </c>
      <c r="V259" s="36" t="str">
        <f ca="1">IFERROR(__xludf.DUMMYFUNCTION("""COMPUTED_VALUE"""),"")</f>
        <v/>
      </c>
      <c r="W259" s="36" t="str">
        <f ca="1">IFERROR(__xludf.DUMMYFUNCTION("""COMPUTED_VALUE"""),"")</f>
        <v/>
      </c>
      <c r="X259" s="36"/>
      <c r="Y259" s="36"/>
      <c r="Z259" s="36"/>
    </row>
    <row r="260" spans="1:26" ht="12.75" hidden="1">
      <c r="A260" s="36" t="str">
        <f ca="1">IFERROR(__xludf.DUMMYFUNCTION("""COMPUTED_VALUE"""),"")</f>
        <v/>
      </c>
      <c r="B260" s="36" t="str">
        <f ca="1">IFERROR(__xludf.DUMMYFUNCTION("""COMPUTED_VALUE"""),"")</f>
        <v/>
      </c>
      <c r="C260" s="36" t="str">
        <f ca="1">IFERROR(__xludf.DUMMYFUNCTION("""COMPUTED_VALUE"""),"")</f>
        <v/>
      </c>
      <c r="D260" s="36" t="str">
        <f ca="1">IFERROR(__xludf.DUMMYFUNCTION("""COMPUTED_VALUE"""),"")</f>
        <v/>
      </c>
      <c r="E260" s="36" t="str">
        <f ca="1">IFERROR(__xludf.DUMMYFUNCTION("""COMPUTED_VALUE"""),"")</f>
        <v/>
      </c>
      <c r="F260" s="36" t="str">
        <f ca="1">IFERROR(__xludf.DUMMYFUNCTION("""COMPUTED_VALUE"""),"")</f>
        <v/>
      </c>
      <c r="G260" s="36" t="str">
        <f ca="1">IFERROR(__xludf.DUMMYFUNCTION("""COMPUTED_VALUE"""),"")</f>
        <v/>
      </c>
      <c r="H260" s="36" t="str">
        <f ca="1">IFERROR(__xludf.DUMMYFUNCTION("""COMPUTED_VALUE"""),"")</f>
        <v/>
      </c>
      <c r="I260" s="36" t="str">
        <f ca="1">IFERROR(__xludf.DUMMYFUNCTION("""COMPUTED_VALUE"""),"")</f>
        <v/>
      </c>
      <c r="J260" s="36" t="str">
        <f ca="1">IFERROR(__xludf.DUMMYFUNCTION("""COMPUTED_VALUE"""),"")</f>
        <v/>
      </c>
      <c r="K260" s="36" t="str">
        <f ca="1">IFERROR(__xludf.DUMMYFUNCTION("""COMPUTED_VALUE"""),"")</f>
        <v/>
      </c>
      <c r="L260" s="36" t="str">
        <f ca="1">IFERROR(__xludf.DUMMYFUNCTION("""COMPUTED_VALUE"""),"")</f>
        <v/>
      </c>
      <c r="M260" s="36" t="str">
        <f ca="1">IFERROR(__xludf.DUMMYFUNCTION("""COMPUTED_VALUE"""),"")</f>
        <v/>
      </c>
      <c r="N260" s="36" t="str">
        <f ca="1">IFERROR(__xludf.DUMMYFUNCTION("""COMPUTED_VALUE"""),"")</f>
        <v/>
      </c>
      <c r="O260" s="36" t="str">
        <f ca="1">IFERROR(__xludf.DUMMYFUNCTION("""COMPUTED_VALUE"""),"")</f>
        <v/>
      </c>
      <c r="P260" s="36" t="str">
        <f ca="1">IFERROR(__xludf.DUMMYFUNCTION("""COMPUTED_VALUE"""),"")</f>
        <v/>
      </c>
      <c r="Q260" s="36" t="str">
        <f ca="1">IFERROR(__xludf.DUMMYFUNCTION("""COMPUTED_VALUE"""),"")</f>
        <v/>
      </c>
      <c r="R260" s="36" t="str">
        <f ca="1">IFERROR(__xludf.DUMMYFUNCTION("""COMPUTED_VALUE"""),"")</f>
        <v/>
      </c>
      <c r="S260" s="36" t="str">
        <f ca="1">IFERROR(__xludf.DUMMYFUNCTION("""COMPUTED_VALUE"""),"")</f>
        <v/>
      </c>
      <c r="T260" s="36" t="str">
        <f ca="1">IFERROR(__xludf.DUMMYFUNCTION("""COMPUTED_VALUE"""),"")</f>
        <v/>
      </c>
      <c r="U260" s="36" t="str">
        <f ca="1">IFERROR(__xludf.DUMMYFUNCTION("""COMPUTED_VALUE"""),"")</f>
        <v/>
      </c>
      <c r="V260" s="36" t="str">
        <f ca="1">IFERROR(__xludf.DUMMYFUNCTION("""COMPUTED_VALUE"""),"")</f>
        <v/>
      </c>
      <c r="W260" s="36" t="str">
        <f ca="1">IFERROR(__xludf.DUMMYFUNCTION("""COMPUTED_VALUE"""),"")</f>
        <v/>
      </c>
      <c r="X260" s="36"/>
      <c r="Y260" s="36"/>
      <c r="Z260" s="36"/>
    </row>
    <row r="261" spans="1:26" ht="12.75" hidden="1">
      <c r="A261" s="36" t="str">
        <f ca="1">IFERROR(__xludf.DUMMYFUNCTION("""COMPUTED_VALUE"""),"")</f>
        <v/>
      </c>
      <c r="B261" s="36" t="str">
        <f ca="1">IFERROR(__xludf.DUMMYFUNCTION("""COMPUTED_VALUE"""),"")</f>
        <v/>
      </c>
      <c r="C261" s="36" t="str">
        <f ca="1">IFERROR(__xludf.DUMMYFUNCTION("""COMPUTED_VALUE"""),"")</f>
        <v/>
      </c>
      <c r="D261" s="36" t="str">
        <f ca="1">IFERROR(__xludf.DUMMYFUNCTION("""COMPUTED_VALUE"""),"")</f>
        <v/>
      </c>
      <c r="E261" s="36" t="str">
        <f ca="1">IFERROR(__xludf.DUMMYFUNCTION("""COMPUTED_VALUE"""),"")</f>
        <v/>
      </c>
      <c r="F261" s="36" t="str">
        <f ca="1">IFERROR(__xludf.DUMMYFUNCTION("""COMPUTED_VALUE"""),"")</f>
        <v/>
      </c>
      <c r="G261" s="36" t="str">
        <f ca="1">IFERROR(__xludf.DUMMYFUNCTION("""COMPUTED_VALUE"""),"")</f>
        <v/>
      </c>
      <c r="H261" s="36" t="str">
        <f ca="1">IFERROR(__xludf.DUMMYFUNCTION("""COMPUTED_VALUE"""),"")</f>
        <v/>
      </c>
      <c r="I261" s="36" t="str">
        <f ca="1">IFERROR(__xludf.DUMMYFUNCTION("""COMPUTED_VALUE"""),"")</f>
        <v/>
      </c>
      <c r="J261" s="36" t="str">
        <f ca="1">IFERROR(__xludf.DUMMYFUNCTION("""COMPUTED_VALUE"""),"")</f>
        <v/>
      </c>
      <c r="K261" s="36" t="str">
        <f ca="1">IFERROR(__xludf.DUMMYFUNCTION("""COMPUTED_VALUE"""),"")</f>
        <v/>
      </c>
      <c r="L261" s="36" t="str">
        <f ca="1">IFERROR(__xludf.DUMMYFUNCTION("""COMPUTED_VALUE"""),"")</f>
        <v/>
      </c>
      <c r="M261" s="36" t="str">
        <f ca="1">IFERROR(__xludf.DUMMYFUNCTION("""COMPUTED_VALUE"""),"")</f>
        <v/>
      </c>
      <c r="N261" s="36" t="str">
        <f ca="1">IFERROR(__xludf.DUMMYFUNCTION("""COMPUTED_VALUE"""),"")</f>
        <v/>
      </c>
      <c r="O261" s="36" t="str">
        <f ca="1">IFERROR(__xludf.DUMMYFUNCTION("""COMPUTED_VALUE"""),"")</f>
        <v/>
      </c>
      <c r="P261" s="36" t="str">
        <f ca="1">IFERROR(__xludf.DUMMYFUNCTION("""COMPUTED_VALUE"""),"")</f>
        <v/>
      </c>
      <c r="Q261" s="36" t="str">
        <f ca="1">IFERROR(__xludf.DUMMYFUNCTION("""COMPUTED_VALUE"""),"")</f>
        <v/>
      </c>
      <c r="R261" s="36" t="str">
        <f ca="1">IFERROR(__xludf.DUMMYFUNCTION("""COMPUTED_VALUE"""),"")</f>
        <v/>
      </c>
      <c r="S261" s="36" t="str">
        <f ca="1">IFERROR(__xludf.DUMMYFUNCTION("""COMPUTED_VALUE"""),"")</f>
        <v/>
      </c>
      <c r="T261" s="36" t="str">
        <f ca="1">IFERROR(__xludf.DUMMYFUNCTION("""COMPUTED_VALUE"""),"")</f>
        <v/>
      </c>
      <c r="U261" s="36" t="str">
        <f ca="1">IFERROR(__xludf.DUMMYFUNCTION("""COMPUTED_VALUE"""),"")</f>
        <v/>
      </c>
      <c r="V261" s="36" t="str">
        <f ca="1">IFERROR(__xludf.DUMMYFUNCTION("""COMPUTED_VALUE"""),"")</f>
        <v/>
      </c>
      <c r="W261" s="36" t="str">
        <f ca="1">IFERROR(__xludf.DUMMYFUNCTION("""COMPUTED_VALUE"""),"")</f>
        <v/>
      </c>
      <c r="X261" s="36"/>
      <c r="Y261" s="36"/>
      <c r="Z261" s="36"/>
    </row>
    <row r="262" spans="1:26" ht="12.75" hidden="1">
      <c r="A262" s="36" t="str">
        <f ca="1">IFERROR(__xludf.DUMMYFUNCTION("""COMPUTED_VALUE"""),"")</f>
        <v/>
      </c>
      <c r="B262" s="36" t="str">
        <f ca="1">IFERROR(__xludf.DUMMYFUNCTION("""COMPUTED_VALUE"""),"")</f>
        <v/>
      </c>
      <c r="C262" s="36" t="str">
        <f ca="1">IFERROR(__xludf.DUMMYFUNCTION("""COMPUTED_VALUE"""),"")</f>
        <v/>
      </c>
      <c r="D262" s="36" t="str">
        <f ca="1">IFERROR(__xludf.DUMMYFUNCTION("""COMPUTED_VALUE"""),"")</f>
        <v/>
      </c>
      <c r="E262" s="36" t="str">
        <f ca="1">IFERROR(__xludf.DUMMYFUNCTION("""COMPUTED_VALUE"""),"")</f>
        <v/>
      </c>
      <c r="F262" s="36" t="str">
        <f ca="1">IFERROR(__xludf.DUMMYFUNCTION("""COMPUTED_VALUE"""),"")</f>
        <v/>
      </c>
      <c r="G262" s="36" t="str">
        <f ca="1">IFERROR(__xludf.DUMMYFUNCTION("""COMPUTED_VALUE"""),"")</f>
        <v/>
      </c>
      <c r="H262" s="36" t="str">
        <f ca="1">IFERROR(__xludf.DUMMYFUNCTION("""COMPUTED_VALUE"""),"")</f>
        <v/>
      </c>
      <c r="I262" s="36" t="str">
        <f ca="1">IFERROR(__xludf.DUMMYFUNCTION("""COMPUTED_VALUE"""),"")</f>
        <v/>
      </c>
      <c r="J262" s="36" t="str">
        <f ca="1">IFERROR(__xludf.DUMMYFUNCTION("""COMPUTED_VALUE"""),"")</f>
        <v/>
      </c>
      <c r="K262" s="36" t="str">
        <f ca="1">IFERROR(__xludf.DUMMYFUNCTION("""COMPUTED_VALUE"""),"")</f>
        <v/>
      </c>
      <c r="L262" s="36" t="str">
        <f ca="1">IFERROR(__xludf.DUMMYFUNCTION("""COMPUTED_VALUE"""),"")</f>
        <v/>
      </c>
      <c r="M262" s="36" t="str">
        <f ca="1">IFERROR(__xludf.DUMMYFUNCTION("""COMPUTED_VALUE"""),"")</f>
        <v/>
      </c>
      <c r="N262" s="36" t="str">
        <f ca="1">IFERROR(__xludf.DUMMYFUNCTION("""COMPUTED_VALUE"""),"")</f>
        <v/>
      </c>
      <c r="O262" s="36" t="str">
        <f ca="1">IFERROR(__xludf.DUMMYFUNCTION("""COMPUTED_VALUE"""),"")</f>
        <v/>
      </c>
      <c r="P262" s="36" t="str">
        <f ca="1">IFERROR(__xludf.DUMMYFUNCTION("""COMPUTED_VALUE"""),"")</f>
        <v/>
      </c>
      <c r="Q262" s="36" t="str">
        <f ca="1">IFERROR(__xludf.DUMMYFUNCTION("""COMPUTED_VALUE"""),"")</f>
        <v/>
      </c>
      <c r="R262" s="36" t="str">
        <f ca="1">IFERROR(__xludf.DUMMYFUNCTION("""COMPUTED_VALUE"""),"")</f>
        <v/>
      </c>
      <c r="S262" s="36" t="str">
        <f ca="1">IFERROR(__xludf.DUMMYFUNCTION("""COMPUTED_VALUE"""),"")</f>
        <v/>
      </c>
      <c r="T262" s="36" t="str">
        <f ca="1">IFERROR(__xludf.DUMMYFUNCTION("""COMPUTED_VALUE"""),"")</f>
        <v/>
      </c>
      <c r="U262" s="36" t="str">
        <f ca="1">IFERROR(__xludf.DUMMYFUNCTION("""COMPUTED_VALUE"""),"")</f>
        <v/>
      </c>
      <c r="V262" s="36" t="str">
        <f ca="1">IFERROR(__xludf.DUMMYFUNCTION("""COMPUTED_VALUE"""),"")</f>
        <v/>
      </c>
      <c r="W262" s="36" t="str">
        <f ca="1">IFERROR(__xludf.DUMMYFUNCTION("""COMPUTED_VALUE"""),"")</f>
        <v/>
      </c>
      <c r="X262" s="36"/>
      <c r="Y262" s="36"/>
      <c r="Z262" s="36"/>
    </row>
    <row r="263" spans="1:26" ht="12.75" hidden="1">
      <c r="A263" s="36" t="str">
        <f ca="1">IFERROR(__xludf.DUMMYFUNCTION("""COMPUTED_VALUE"""),"")</f>
        <v/>
      </c>
      <c r="B263" s="36" t="str">
        <f ca="1">IFERROR(__xludf.DUMMYFUNCTION("""COMPUTED_VALUE"""),"")</f>
        <v/>
      </c>
      <c r="C263" s="36" t="str">
        <f ca="1">IFERROR(__xludf.DUMMYFUNCTION("""COMPUTED_VALUE"""),"")</f>
        <v/>
      </c>
      <c r="D263" s="36" t="str">
        <f ca="1">IFERROR(__xludf.DUMMYFUNCTION("""COMPUTED_VALUE"""),"")</f>
        <v/>
      </c>
      <c r="E263" s="36" t="str">
        <f ca="1">IFERROR(__xludf.DUMMYFUNCTION("""COMPUTED_VALUE"""),"")</f>
        <v/>
      </c>
      <c r="F263" s="36" t="str">
        <f ca="1">IFERROR(__xludf.DUMMYFUNCTION("""COMPUTED_VALUE"""),"")</f>
        <v/>
      </c>
      <c r="G263" s="36" t="str">
        <f ca="1">IFERROR(__xludf.DUMMYFUNCTION("""COMPUTED_VALUE"""),"")</f>
        <v/>
      </c>
      <c r="H263" s="36" t="str">
        <f ca="1">IFERROR(__xludf.DUMMYFUNCTION("""COMPUTED_VALUE"""),"")</f>
        <v/>
      </c>
      <c r="I263" s="36" t="str">
        <f ca="1">IFERROR(__xludf.DUMMYFUNCTION("""COMPUTED_VALUE"""),"")</f>
        <v/>
      </c>
      <c r="J263" s="36" t="str">
        <f ca="1">IFERROR(__xludf.DUMMYFUNCTION("""COMPUTED_VALUE"""),"")</f>
        <v/>
      </c>
      <c r="K263" s="36" t="str">
        <f ca="1">IFERROR(__xludf.DUMMYFUNCTION("""COMPUTED_VALUE"""),"")</f>
        <v/>
      </c>
      <c r="L263" s="36" t="str">
        <f ca="1">IFERROR(__xludf.DUMMYFUNCTION("""COMPUTED_VALUE"""),"")</f>
        <v/>
      </c>
      <c r="M263" s="36" t="str">
        <f ca="1">IFERROR(__xludf.DUMMYFUNCTION("""COMPUTED_VALUE"""),"")</f>
        <v/>
      </c>
      <c r="N263" s="36" t="str">
        <f ca="1">IFERROR(__xludf.DUMMYFUNCTION("""COMPUTED_VALUE"""),"")</f>
        <v/>
      </c>
      <c r="O263" s="36" t="str">
        <f ca="1">IFERROR(__xludf.DUMMYFUNCTION("""COMPUTED_VALUE"""),"")</f>
        <v/>
      </c>
      <c r="P263" s="36" t="str">
        <f ca="1">IFERROR(__xludf.DUMMYFUNCTION("""COMPUTED_VALUE"""),"")</f>
        <v/>
      </c>
      <c r="Q263" s="36" t="str">
        <f ca="1">IFERROR(__xludf.DUMMYFUNCTION("""COMPUTED_VALUE"""),"")</f>
        <v/>
      </c>
      <c r="R263" s="36" t="str">
        <f ca="1">IFERROR(__xludf.DUMMYFUNCTION("""COMPUTED_VALUE"""),"")</f>
        <v/>
      </c>
      <c r="S263" s="36" t="str">
        <f ca="1">IFERROR(__xludf.DUMMYFUNCTION("""COMPUTED_VALUE"""),"")</f>
        <v/>
      </c>
      <c r="T263" s="36" t="str">
        <f ca="1">IFERROR(__xludf.DUMMYFUNCTION("""COMPUTED_VALUE"""),"")</f>
        <v/>
      </c>
      <c r="U263" s="36" t="str">
        <f ca="1">IFERROR(__xludf.DUMMYFUNCTION("""COMPUTED_VALUE"""),"")</f>
        <v/>
      </c>
      <c r="V263" s="36" t="str">
        <f ca="1">IFERROR(__xludf.DUMMYFUNCTION("""COMPUTED_VALUE"""),"")</f>
        <v/>
      </c>
      <c r="W263" s="36" t="str">
        <f ca="1">IFERROR(__xludf.DUMMYFUNCTION("""COMPUTED_VALUE"""),"")</f>
        <v/>
      </c>
      <c r="X263" s="36"/>
      <c r="Y263" s="36"/>
      <c r="Z263" s="36"/>
    </row>
    <row r="264" spans="1:26" ht="12.75" hidden="1">
      <c r="A264" s="36" t="str">
        <f ca="1">IFERROR(__xludf.DUMMYFUNCTION("""COMPUTED_VALUE"""),"")</f>
        <v/>
      </c>
      <c r="B264" s="36" t="str">
        <f ca="1">IFERROR(__xludf.DUMMYFUNCTION("""COMPUTED_VALUE"""),"")</f>
        <v/>
      </c>
      <c r="C264" s="36" t="str">
        <f ca="1">IFERROR(__xludf.DUMMYFUNCTION("""COMPUTED_VALUE"""),"")</f>
        <v/>
      </c>
      <c r="D264" s="36" t="str">
        <f ca="1">IFERROR(__xludf.DUMMYFUNCTION("""COMPUTED_VALUE"""),"")</f>
        <v/>
      </c>
      <c r="E264" s="36" t="str">
        <f ca="1">IFERROR(__xludf.DUMMYFUNCTION("""COMPUTED_VALUE"""),"")</f>
        <v/>
      </c>
      <c r="F264" s="36" t="str">
        <f ca="1">IFERROR(__xludf.DUMMYFUNCTION("""COMPUTED_VALUE"""),"")</f>
        <v/>
      </c>
      <c r="G264" s="36" t="str">
        <f ca="1">IFERROR(__xludf.DUMMYFUNCTION("""COMPUTED_VALUE"""),"")</f>
        <v/>
      </c>
      <c r="H264" s="36" t="str">
        <f ca="1">IFERROR(__xludf.DUMMYFUNCTION("""COMPUTED_VALUE"""),"")</f>
        <v/>
      </c>
      <c r="I264" s="36" t="str">
        <f ca="1">IFERROR(__xludf.DUMMYFUNCTION("""COMPUTED_VALUE"""),"")</f>
        <v/>
      </c>
      <c r="J264" s="36" t="str">
        <f ca="1">IFERROR(__xludf.DUMMYFUNCTION("""COMPUTED_VALUE"""),"")</f>
        <v/>
      </c>
      <c r="K264" s="36" t="str">
        <f ca="1">IFERROR(__xludf.DUMMYFUNCTION("""COMPUTED_VALUE"""),"")</f>
        <v/>
      </c>
      <c r="L264" s="36" t="str">
        <f ca="1">IFERROR(__xludf.DUMMYFUNCTION("""COMPUTED_VALUE"""),"")</f>
        <v/>
      </c>
      <c r="M264" s="36" t="str">
        <f ca="1">IFERROR(__xludf.DUMMYFUNCTION("""COMPUTED_VALUE"""),"")</f>
        <v/>
      </c>
      <c r="N264" s="36" t="str">
        <f ca="1">IFERROR(__xludf.DUMMYFUNCTION("""COMPUTED_VALUE"""),"")</f>
        <v/>
      </c>
      <c r="O264" s="36" t="str">
        <f ca="1">IFERROR(__xludf.DUMMYFUNCTION("""COMPUTED_VALUE"""),"")</f>
        <v/>
      </c>
      <c r="P264" s="36" t="str">
        <f ca="1">IFERROR(__xludf.DUMMYFUNCTION("""COMPUTED_VALUE"""),"")</f>
        <v/>
      </c>
      <c r="Q264" s="36" t="str">
        <f ca="1">IFERROR(__xludf.DUMMYFUNCTION("""COMPUTED_VALUE"""),"")</f>
        <v/>
      </c>
      <c r="R264" s="36" t="str">
        <f ca="1">IFERROR(__xludf.DUMMYFUNCTION("""COMPUTED_VALUE"""),"")</f>
        <v/>
      </c>
      <c r="S264" s="36" t="str">
        <f ca="1">IFERROR(__xludf.DUMMYFUNCTION("""COMPUTED_VALUE"""),"")</f>
        <v/>
      </c>
      <c r="T264" s="36" t="str">
        <f ca="1">IFERROR(__xludf.DUMMYFUNCTION("""COMPUTED_VALUE"""),"")</f>
        <v/>
      </c>
      <c r="U264" s="36" t="str">
        <f ca="1">IFERROR(__xludf.DUMMYFUNCTION("""COMPUTED_VALUE"""),"")</f>
        <v/>
      </c>
      <c r="V264" s="36" t="str">
        <f ca="1">IFERROR(__xludf.DUMMYFUNCTION("""COMPUTED_VALUE"""),"")</f>
        <v/>
      </c>
      <c r="W264" s="36" t="str">
        <f ca="1">IFERROR(__xludf.DUMMYFUNCTION("""COMPUTED_VALUE"""),"")</f>
        <v/>
      </c>
      <c r="X264" s="36"/>
      <c r="Y264" s="36"/>
      <c r="Z264" s="36"/>
    </row>
    <row r="265" spans="1:26" ht="12.75" hidden="1">
      <c r="A265" s="36" t="str">
        <f ca="1">IFERROR(__xludf.DUMMYFUNCTION("""COMPUTED_VALUE"""),"")</f>
        <v/>
      </c>
      <c r="B265" s="36" t="str">
        <f ca="1">IFERROR(__xludf.DUMMYFUNCTION("""COMPUTED_VALUE"""),"")</f>
        <v/>
      </c>
      <c r="C265" s="36" t="str">
        <f ca="1">IFERROR(__xludf.DUMMYFUNCTION("""COMPUTED_VALUE"""),"")</f>
        <v/>
      </c>
      <c r="D265" s="36" t="str">
        <f ca="1">IFERROR(__xludf.DUMMYFUNCTION("""COMPUTED_VALUE"""),"")</f>
        <v/>
      </c>
      <c r="E265" s="36" t="str">
        <f ca="1">IFERROR(__xludf.DUMMYFUNCTION("""COMPUTED_VALUE"""),"")</f>
        <v/>
      </c>
      <c r="F265" s="36" t="str">
        <f ca="1">IFERROR(__xludf.DUMMYFUNCTION("""COMPUTED_VALUE"""),"")</f>
        <v/>
      </c>
      <c r="G265" s="36" t="str">
        <f ca="1">IFERROR(__xludf.DUMMYFUNCTION("""COMPUTED_VALUE"""),"")</f>
        <v/>
      </c>
      <c r="H265" s="36" t="str">
        <f ca="1">IFERROR(__xludf.DUMMYFUNCTION("""COMPUTED_VALUE"""),"")</f>
        <v/>
      </c>
      <c r="I265" s="36" t="str">
        <f ca="1">IFERROR(__xludf.DUMMYFUNCTION("""COMPUTED_VALUE"""),"")</f>
        <v/>
      </c>
      <c r="J265" s="36" t="str">
        <f ca="1">IFERROR(__xludf.DUMMYFUNCTION("""COMPUTED_VALUE"""),"")</f>
        <v/>
      </c>
      <c r="K265" s="36" t="str">
        <f ca="1">IFERROR(__xludf.DUMMYFUNCTION("""COMPUTED_VALUE"""),"")</f>
        <v/>
      </c>
      <c r="L265" s="36" t="str">
        <f ca="1">IFERROR(__xludf.DUMMYFUNCTION("""COMPUTED_VALUE"""),"")</f>
        <v/>
      </c>
      <c r="M265" s="36" t="str">
        <f ca="1">IFERROR(__xludf.DUMMYFUNCTION("""COMPUTED_VALUE"""),"")</f>
        <v/>
      </c>
      <c r="N265" s="36" t="str">
        <f ca="1">IFERROR(__xludf.DUMMYFUNCTION("""COMPUTED_VALUE"""),"")</f>
        <v/>
      </c>
      <c r="O265" s="36" t="str">
        <f ca="1">IFERROR(__xludf.DUMMYFUNCTION("""COMPUTED_VALUE"""),"")</f>
        <v/>
      </c>
      <c r="P265" s="36" t="str">
        <f ca="1">IFERROR(__xludf.DUMMYFUNCTION("""COMPUTED_VALUE"""),"")</f>
        <v/>
      </c>
      <c r="Q265" s="36" t="str">
        <f ca="1">IFERROR(__xludf.DUMMYFUNCTION("""COMPUTED_VALUE"""),"")</f>
        <v/>
      </c>
      <c r="R265" s="36" t="str">
        <f ca="1">IFERROR(__xludf.DUMMYFUNCTION("""COMPUTED_VALUE"""),"")</f>
        <v/>
      </c>
      <c r="S265" s="36" t="str">
        <f ca="1">IFERROR(__xludf.DUMMYFUNCTION("""COMPUTED_VALUE"""),"")</f>
        <v/>
      </c>
      <c r="T265" s="36" t="str">
        <f ca="1">IFERROR(__xludf.DUMMYFUNCTION("""COMPUTED_VALUE"""),"")</f>
        <v/>
      </c>
      <c r="U265" s="36" t="str">
        <f ca="1">IFERROR(__xludf.DUMMYFUNCTION("""COMPUTED_VALUE"""),"")</f>
        <v/>
      </c>
      <c r="V265" s="36" t="str">
        <f ca="1">IFERROR(__xludf.DUMMYFUNCTION("""COMPUTED_VALUE"""),"")</f>
        <v/>
      </c>
      <c r="W265" s="36" t="str">
        <f ca="1">IFERROR(__xludf.DUMMYFUNCTION("""COMPUTED_VALUE"""),"")</f>
        <v/>
      </c>
      <c r="X265" s="36"/>
      <c r="Y265" s="36"/>
      <c r="Z265" s="36"/>
    </row>
    <row r="266" spans="1:26" ht="12.75" hidden="1">
      <c r="A266" s="36" t="str">
        <f ca="1">IFERROR(__xludf.DUMMYFUNCTION("""COMPUTED_VALUE"""),"")</f>
        <v/>
      </c>
      <c r="B266" s="36" t="str">
        <f ca="1">IFERROR(__xludf.DUMMYFUNCTION("""COMPUTED_VALUE"""),"")</f>
        <v/>
      </c>
      <c r="C266" s="36" t="str">
        <f ca="1">IFERROR(__xludf.DUMMYFUNCTION("""COMPUTED_VALUE"""),"")</f>
        <v/>
      </c>
      <c r="D266" s="36" t="str">
        <f ca="1">IFERROR(__xludf.DUMMYFUNCTION("""COMPUTED_VALUE"""),"")</f>
        <v/>
      </c>
      <c r="E266" s="36" t="str">
        <f ca="1">IFERROR(__xludf.DUMMYFUNCTION("""COMPUTED_VALUE"""),"")</f>
        <v/>
      </c>
      <c r="F266" s="36" t="str">
        <f ca="1">IFERROR(__xludf.DUMMYFUNCTION("""COMPUTED_VALUE"""),"")</f>
        <v/>
      </c>
      <c r="G266" s="36" t="str">
        <f ca="1">IFERROR(__xludf.DUMMYFUNCTION("""COMPUTED_VALUE"""),"")</f>
        <v/>
      </c>
      <c r="H266" s="36" t="str">
        <f ca="1">IFERROR(__xludf.DUMMYFUNCTION("""COMPUTED_VALUE"""),"")</f>
        <v/>
      </c>
      <c r="I266" s="36" t="str">
        <f ca="1">IFERROR(__xludf.DUMMYFUNCTION("""COMPUTED_VALUE"""),"")</f>
        <v/>
      </c>
      <c r="J266" s="36" t="str">
        <f ca="1">IFERROR(__xludf.DUMMYFUNCTION("""COMPUTED_VALUE"""),"")</f>
        <v/>
      </c>
      <c r="K266" s="36" t="str">
        <f ca="1">IFERROR(__xludf.DUMMYFUNCTION("""COMPUTED_VALUE"""),"")</f>
        <v/>
      </c>
      <c r="L266" s="36" t="str">
        <f ca="1">IFERROR(__xludf.DUMMYFUNCTION("""COMPUTED_VALUE"""),"")</f>
        <v/>
      </c>
      <c r="M266" s="36" t="str">
        <f ca="1">IFERROR(__xludf.DUMMYFUNCTION("""COMPUTED_VALUE"""),"")</f>
        <v/>
      </c>
      <c r="N266" s="36" t="str">
        <f ca="1">IFERROR(__xludf.DUMMYFUNCTION("""COMPUTED_VALUE"""),"")</f>
        <v/>
      </c>
      <c r="O266" s="36" t="str">
        <f ca="1">IFERROR(__xludf.DUMMYFUNCTION("""COMPUTED_VALUE"""),"")</f>
        <v/>
      </c>
      <c r="P266" s="36" t="str">
        <f ca="1">IFERROR(__xludf.DUMMYFUNCTION("""COMPUTED_VALUE"""),"")</f>
        <v/>
      </c>
      <c r="Q266" s="36" t="str">
        <f ca="1">IFERROR(__xludf.DUMMYFUNCTION("""COMPUTED_VALUE"""),"")</f>
        <v/>
      </c>
      <c r="R266" s="36" t="str">
        <f ca="1">IFERROR(__xludf.DUMMYFUNCTION("""COMPUTED_VALUE"""),"")</f>
        <v/>
      </c>
      <c r="S266" s="36" t="str">
        <f ca="1">IFERROR(__xludf.DUMMYFUNCTION("""COMPUTED_VALUE"""),"")</f>
        <v/>
      </c>
      <c r="T266" s="36" t="str">
        <f ca="1">IFERROR(__xludf.DUMMYFUNCTION("""COMPUTED_VALUE"""),"")</f>
        <v/>
      </c>
      <c r="U266" s="36" t="str">
        <f ca="1">IFERROR(__xludf.DUMMYFUNCTION("""COMPUTED_VALUE"""),"")</f>
        <v/>
      </c>
      <c r="V266" s="36" t="str">
        <f ca="1">IFERROR(__xludf.DUMMYFUNCTION("""COMPUTED_VALUE"""),"")</f>
        <v/>
      </c>
      <c r="W266" s="36" t="str">
        <f ca="1">IFERROR(__xludf.DUMMYFUNCTION("""COMPUTED_VALUE"""),"")</f>
        <v/>
      </c>
      <c r="X266" s="36"/>
      <c r="Y266" s="36"/>
      <c r="Z266" s="36"/>
    </row>
    <row r="267" spans="1:26" ht="12.75" hidden="1">
      <c r="A267" s="36" t="str">
        <f ca="1">IFERROR(__xludf.DUMMYFUNCTION("""COMPUTED_VALUE"""),"")</f>
        <v/>
      </c>
      <c r="B267" s="36" t="str">
        <f ca="1">IFERROR(__xludf.DUMMYFUNCTION("""COMPUTED_VALUE"""),"")</f>
        <v/>
      </c>
      <c r="C267" s="36" t="str">
        <f ca="1">IFERROR(__xludf.DUMMYFUNCTION("""COMPUTED_VALUE"""),"")</f>
        <v/>
      </c>
      <c r="D267" s="36" t="str">
        <f ca="1">IFERROR(__xludf.DUMMYFUNCTION("""COMPUTED_VALUE"""),"")</f>
        <v/>
      </c>
      <c r="E267" s="36" t="str">
        <f ca="1">IFERROR(__xludf.DUMMYFUNCTION("""COMPUTED_VALUE"""),"")</f>
        <v/>
      </c>
      <c r="F267" s="36" t="str">
        <f ca="1">IFERROR(__xludf.DUMMYFUNCTION("""COMPUTED_VALUE"""),"")</f>
        <v/>
      </c>
      <c r="G267" s="36" t="str">
        <f ca="1">IFERROR(__xludf.DUMMYFUNCTION("""COMPUTED_VALUE"""),"")</f>
        <v/>
      </c>
      <c r="H267" s="36" t="str">
        <f ca="1">IFERROR(__xludf.DUMMYFUNCTION("""COMPUTED_VALUE"""),"")</f>
        <v/>
      </c>
      <c r="I267" s="36" t="str">
        <f ca="1">IFERROR(__xludf.DUMMYFUNCTION("""COMPUTED_VALUE"""),"")</f>
        <v/>
      </c>
      <c r="J267" s="36" t="str">
        <f ca="1">IFERROR(__xludf.DUMMYFUNCTION("""COMPUTED_VALUE"""),"")</f>
        <v/>
      </c>
      <c r="K267" s="36" t="str">
        <f ca="1">IFERROR(__xludf.DUMMYFUNCTION("""COMPUTED_VALUE"""),"")</f>
        <v/>
      </c>
      <c r="L267" s="36" t="str">
        <f ca="1">IFERROR(__xludf.DUMMYFUNCTION("""COMPUTED_VALUE"""),"")</f>
        <v/>
      </c>
      <c r="M267" s="36" t="str">
        <f ca="1">IFERROR(__xludf.DUMMYFUNCTION("""COMPUTED_VALUE"""),"")</f>
        <v/>
      </c>
      <c r="N267" s="36" t="str">
        <f ca="1">IFERROR(__xludf.DUMMYFUNCTION("""COMPUTED_VALUE"""),"")</f>
        <v/>
      </c>
      <c r="O267" s="36" t="str">
        <f ca="1">IFERROR(__xludf.DUMMYFUNCTION("""COMPUTED_VALUE"""),"")</f>
        <v/>
      </c>
      <c r="P267" s="36" t="str">
        <f ca="1">IFERROR(__xludf.DUMMYFUNCTION("""COMPUTED_VALUE"""),"")</f>
        <v/>
      </c>
      <c r="Q267" s="36" t="str">
        <f ca="1">IFERROR(__xludf.DUMMYFUNCTION("""COMPUTED_VALUE"""),"")</f>
        <v/>
      </c>
      <c r="R267" s="36" t="str">
        <f ca="1">IFERROR(__xludf.DUMMYFUNCTION("""COMPUTED_VALUE"""),"")</f>
        <v/>
      </c>
      <c r="S267" s="36" t="str">
        <f ca="1">IFERROR(__xludf.DUMMYFUNCTION("""COMPUTED_VALUE"""),"")</f>
        <v/>
      </c>
      <c r="T267" s="36" t="str">
        <f ca="1">IFERROR(__xludf.DUMMYFUNCTION("""COMPUTED_VALUE"""),"")</f>
        <v/>
      </c>
      <c r="U267" s="36" t="str">
        <f ca="1">IFERROR(__xludf.DUMMYFUNCTION("""COMPUTED_VALUE"""),"")</f>
        <v/>
      </c>
      <c r="V267" s="36" t="str">
        <f ca="1">IFERROR(__xludf.DUMMYFUNCTION("""COMPUTED_VALUE"""),"")</f>
        <v/>
      </c>
      <c r="W267" s="36" t="str">
        <f ca="1">IFERROR(__xludf.DUMMYFUNCTION("""COMPUTED_VALUE"""),"")</f>
        <v/>
      </c>
      <c r="X267" s="36"/>
      <c r="Y267" s="36"/>
      <c r="Z267" s="36"/>
    </row>
    <row r="268" spans="1:26" ht="12.75" hidden="1">
      <c r="A268" s="36" t="str">
        <f ca="1">IFERROR(__xludf.DUMMYFUNCTION("""COMPUTED_VALUE"""),"")</f>
        <v/>
      </c>
      <c r="B268" s="36" t="str">
        <f ca="1">IFERROR(__xludf.DUMMYFUNCTION("""COMPUTED_VALUE"""),"")</f>
        <v/>
      </c>
      <c r="C268" s="36" t="str">
        <f ca="1">IFERROR(__xludf.DUMMYFUNCTION("""COMPUTED_VALUE"""),"")</f>
        <v/>
      </c>
      <c r="D268" s="36" t="str">
        <f ca="1">IFERROR(__xludf.DUMMYFUNCTION("""COMPUTED_VALUE"""),"")</f>
        <v/>
      </c>
      <c r="E268" s="36" t="str">
        <f ca="1">IFERROR(__xludf.DUMMYFUNCTION("""COMPUTED_VALUE"""),"")</f>
        <v/>
      </c>
      <c r="F268" s="36" t="str">
        <f ca="1">IFERROR(__xludf.DUMMYFUNCTION("""COMPUTED_VALUE"""),"")</f>
        <v/>
      </c>
      <c r="G268" s="36" t="str">
        <f ca="1">IFERROR(__xludf.DUMMYFUNCTION("""COMPUTED_VALUE"""),"")</f>
        <v/>
      </c>
      <c r="H268" s="36" t="str">
        <f ca="1">IFERROR(__xludf.DUMMYFUNCTION("""COMPUTED_VALUE"""),"")</f>
        <v/>
      </c>
      <c r="I268" s="36" t="str">
        <f ca="1">IFERROR(__xludf.DUMMYFUNCTION("""COMPUTED_VALUE"""),"")</f>
        <v/>
      </c>
      <c r="J268" s="36" t="str">
        <f ca="1">IFERROR(__xludf.DUMMYFUNCTION("""COMPUTED_VALUE"""),"")</f>
        <v/>
      </c>
      <c r="K268" s="36" t="str">
        <f ca="1">IFERROR(__xludf.DUMMYFUNCTION("""COMPUTED_VALUE"""),"")</f>
        <v/>
      </c>
      <c r="L268" s="36" t="str">
        <f ca="1">IFERROR(__xludf.DUMMYFUNCTION("""COMPUTED_VALUE"""),"")</f>
        <v/>
      </c>
      <c r="M268" s="36" t="str">
        <f ca="1">IFERROR(__xludf.DUMMYFUNCTION("""COMPUTED_VALUE"""),"")</f>
        <v/>
      </c>
      <c r="N268" s="36" t="str">
        <f ca="1">IFERROR(__xludf.DUMMYFUNCTION("""COMPUTED_VALUE"""),"")</f>
        <v/>
      </c>
      <c r="O268" s="36" t="str">
        <f ca="1">IFERROR(__xludf.DUMMYFUNCTION("""COMPUTED_VALUE"""),"")</f>
        <v/>
      </c>
      <c r="P268" s="36" t="str">
        <f ca="1">IFERROR(__xludf.DUMMYFUNCTION("""COMPUTED_VALUE"""),"")</f>
        <v/>
      </c>
      <c r="Q268" s="36" t="str">
        <f ca="1">IFERROR(__xludf.DUMMYFUNCTION("""COMPUTED_VALUE"""),"")</f>
        <v/>
      </c>
      <c r="R268" s="36" t="str">
        <f ca="1">IFERROR(__xludf.DUMMYFUNCTION("""COMPUTED_VALUE"""),"")</f>
        <v/>
      </c>
      <c r="S268" s="36" t="str">
        <f ca="1">IFERROR(__xludf.DUMMYFUNCTION("""COMPUTED_VALUE"""),"")</f>
        <v/>
      </c>
      <c r="T268" s="36" t="str">
        <f ca="1">IFERROR(__xludf.DUMMYFUNCTION("""COMPUTED_VALUE"""),"")</f>
        <v/>
      </c>
      <c r="U268" s="36" t="str">
        <f ca="1">IFERROR(__xludf.DUMMYFUNCTION("""COMPUTED_VALUE"""),"")</f>
        <v/>
      </c>
      <c r="V268" s="36" t="str">
        <f ca="1">IFERROR(__xludf.DUMMYFUNCTION("""COMPUTED_VALUE"""),"")</f>
        <v/>
      </c>
      <c r="W268" s="36" t="str">
        <f ca="1">IFERROR(__xludf.DUMMYFUNCTION("""COMPUTED_VALUE"""),"")</f>
        <v/>
      </c>
      <c r="X268" s="36"/>
      <c r="Y268" s="36"/>
      <c r="Z268" s="36"/>
    </row>
    <row r="269" spans="1:26" ht="12.75" hidden="1">
      <c r="A269" s="36" t="str">
        <f ca="1">IFERROR(__xludf.DUMMYFUNCTION("""COMPUTED_VALUE"""),"")</f>
        <v/>
      </c>
      <c r="B269" s="36" t="str">
        <f ca="1">IFERROR(__xludf.DUMMYFUNCTION("""COMPUTED_VALUE"""),"")</f>
        <v/>
      </c>
      <c r="C269" s="36" t="str">
        <f ca="1">IFERROR(__xludf.DUMMYFUNCTION("""COMPUTED_VALUE"""),"")</f>
        <v/>
      </c>
      <c r="D269" s="36" t="str">
        <f ca="1">IFERROR(__xludf.DUMMYFUNCTION("""COMPUTED_VALUE"""),"")</f>
        <v/>
      </c>
      <c r="E269" s="36" t="str">
        <f ca="1">IFERROR(__xludf.DUMMYFUNCTION("""COMPUTED_VALUE"""),"")</f>
        <v/>
      </c>
      <c r="F269" s="36" t="str">
        <f ca="1">IFERROR(__xludf.DUMMYFUNCTION("""COMPUTED_VALUE"""),"")</f>
        <v/>
      </c>
      <c r="G269" s="36" t="str">
        <f ca="1">IFERROR(__xludf.DUMMYFUNCTION("""COMPUTED_VALUE"""),"")</f>
        <v/>
      </c>
      <c r="H269" s="36" t="str">
        <f ca="1">IFERROR(__xludf.DUMMYFUNCTION("""COMPUTED_VALUE"""),"")</f>
        <v/>
      </c>
      <c r="I269" s="36" t="str">
        <f ca="1">IFERROR(__xludf.DUMMYFUNCTION("""COMPUTED_VALUE"""),"")</f>
        <v/>
      </c>
      <c r="J269" s="36" t="str">
        <f ca="1">IFERROR(__xludf.DUMMYFUNCTION("""COMPUTED_VALUE"""),"")</f>
        <v/>
      </c>
      <c r="K269" s="36" t="str">
        <f ca="1">IFERROR(__xludf.DUMMYFUNCTION("""COMPUTED_VALUE"""),"")</f>
        <v/>
      </c>
      <c r="L269" s="36" t="str">
        <f ca="1">IFERROR(__xludf.DUMMYFUNCTION("""COMPUTED_VALUE"""),"")</f>
        <v/>
      </c>
      <c r="M269" s="36" t="str">
        <f ca="1">IFERROR(__xludf.DUMMYFUNCTION("""COMPUTED_VALUE"""),"")</f>
        <v/>
      </c>
      <c r="N269" s="36" t="str">
        <f ca="1">IFERROR(__xludf.DUMMYFUNCTION("""COMPUTED_VALUE"""),"")</f>
        <v/>
      </c>
      <c r="O269" s="36" t="str">
        <f ca="1">IFERROR(__xludf.DUMMYFUNCTION("""COMPUTED_VALUE"""),"")</f>
        <v/>
      </c>
      <c r="P269" s="36" t="str">
        <f ca="1">IFERROR(__xludf.DUMMYFUNCTION("""COMPUTED_VALUE"""),"")</f>
        <v/>
      </c>
      <c r="Q269" s="36" t="str">
        <f ca="1">IFERROR(__xludf.DUMMYFUNCTION("""COMPUTED_VALUE"""),"")</f>
        <v/>
      </c>
      <c r="R269" s="36" t="str">
        <f ca="1">IFERROR(__xludf.DUMMYFUNCTION("""COMPUTED_VALUE"""),"")</f>
        <v/>
      </c>
      <c r="S269" s="36" t="str">
        <f ca="1">IFERROR(__xludf.DUMMYFUNCTION("""COMPUTED_VALUE"""),"")</f>
        <v/>
      </c>
      <c r="T269" s="36" t="str">
        <f ca="1">IFERROR(__xludf.DUMMYFUNCTION("""COMPUTED_VALUE"""),"")</f>
        <v/>
      </c>
      <c r="U269" s="36" t="str">
        <f ca="1">IFERROR(__xludf.DUMMYFUNCTION("""COMPUTED_VALUE"""),"")</f>
        <v/>
      </c>
      <c r="V269" s="36" t="str">
        <f ca="1">IFERROR(__xludf.DUMMYFUNCTION("""COMPUTED_VALUE"""),"")</f>
        <v/>
      </c>
      <c r="W269" s="36" t="str">
        <f ca="1">IFERROR(__xludf.DUMMYFUNCTION("""COMPUTED_VALUE"""),"")</f>
        <v/>
      </c>
      <c r="X269" s="36"/>
      <c r="Y269" s="36"/>
      <c r="Z269" s="36"/>
    </row>
    <row r="270" spans="1:26" ht="12.75" hidden="1">
      <c r="A270" s="36" t="str">
        <f ca="1">IFERROR(__xludf.DUMMYFUNCTION("""COMPUTED_VALUE"""),"")</f>
        <v/>
      </c>
      <c r="B270" s="36" t="str">
        <f ca="1">IFERROR(__xludf.DUMMYFUNCTION("""COMPUTED_VALUE"""),"")</f>
        <v/>
      </c>
      <c r="C270" s="36" t="str">
        <f ca="1">IFERROR(__xludf.DUMMYFUNCTION("""COMPUTED_VALUE"""),"")</f>
        <v/>
      </c>
      <c r="D270" s="36" t="str">
        <f ca="1">IFERROR(__xludf.DUMMYFUNCTION("""COMPUTED_VALUE"""),"")</f>
        <v/>
      </c>
      <c r="E270" s="36" t="str">
        <f ca="1">IFERROR(__xludf.DUMMYFUNCTION("""COMPUTED_VALUE"""),"")</f>
        <v/>
      </c>
      <c r="F270" s="36" t="str">
        <f ca="1">IFERROR(__xludf.DUMMYFUNCTION("""COMPUTED_VALUE"""),"")</f>
        <v/>
      </c>
      <c r="G270" s="36" t="str">
        <f ca="1">IFERROR(__xludf.DUMMYFUNCTION("""COMPUTED_VALUE"""),"")</f>
        <v/>
      </c>
      <c r="H270" s="36" t="str">
        <f ca="1">IFERROR(__xludf.DUMMYFUNCTION("""COMPUTED_VALUE"""),"")</f>
        <v/>
      </c>
      <c r="I270" s="36" t="str">
        <f ca="1">IFERROR(__xludf.DUMMYFUNCTION("""COMPUTED_VALUE"""),"")</f>
        <v/>
      </c>
      <c r="J270" s="36" t="str">
        <f ca="1">IFERROR(__xludf.DUMMYFUNCTION("""COMPUTED_VALUE"""),"")</f>
        <v/>
      </c>
      <c r="K270" s="36" t="str">
        <f ca="1">IFERROR(__xludf.DUMMYFUNCTION("""COMPUTED_VALUE"""),"")</f>
        <v/>
      </c>
      <c r="L270" s="36" t="str">
        <f ca="1">IFERROR(__xludf.DUMMYFUNCTION("""COMPUTED_VALUE"""),"")</f>
        <v/>
      </c>
      <c r="M270" s="36" t="str">
        <f ca="1">IFERROR(__xludf.DUMMYFUNCTION("""COMPUTED_VALUE"""),"")</f>
        <v/>
      </c>
      <c r="N270" s="36" t="str">
        <f ca="1">IFERROR(__xludf.DUMMYFUNCTION("""COMPUTED_VALUE"""),"")</f>
        <v/>
      </c>
      <c r="O270" s="36" t="str">
        <f ca="1">IFERROR(__xludf.DUMMYFUNCTION("""COMPUTED_VALUE"""),"")</f>
        <v/>
      </c>
      <c r="P270" s="36" t="str">
        <f ca="1">IFERROR(__xludf.DUMMYFUNCTION("""COMPUTED_VALUE"""),"")</f>
        <v/>
      </c>
      <c r="Q270" s="36" t="str">
        <f ca="1">IFERROR(__xludf.DUMMYFUNCTION("""COMPUTED_VALUE"""),"")</f>
        <v/>
      </c>
      <c r="R270" s="36" t="str">
        <f ca="1">IFERROR(__xludf.DUMMYFUNCTION("""COMPUTED_VALUE"""),"")</f>
        <v/>
      </c>
      <c r="S270" s="36" t="str">
        <f ca="1">IFERROR(__xludf.DUMMYFUNCTION("""COMPUTED_VALUE"""),"")</f>
        <v/>
      </c>
      <c r="T270" s="36" t="str">
        <f ca="1">IFERROR(__xludf.DUMMYFUNCTION("""COMPUTED_VALUE"""),"")</f>
        <v/>
      </c>
      <c r="U270" s="36" t="str">
        <f ca="1">IFERROR(__xludf.DUMMYFUNCTION("""COMPUTED_VALUE"""),"")</f>
        <v/>
      </c>
      <c r="V270" s="36" t="str">
        <f ca="1">IFERROR(__xludf.DUMMYFUNCTION("""COMPUTED_VALUE"""),"")</f>
        <v/>
      </c>
      <c r="W270" s="36" t="str">
        <f ca="1">IFERROR(__xludf.DUMMYFUNCTION("""COMPUTED_VALUE"""),"")</f>
        <v/>
      </c>
      <c r="X270" s="36"/>
      <c r="Y270" s="36"/>
      <c r="Z270" s="36"/>
    </row>
    <row r="271" spans="1:26" ht="12.75" hidden="1">
      <c r="A271" s="36" t="str">
        <f ca="1">IFERROR(__xludf.DUMMYFUNCTION("""COMPUTED_VALUE"""),"")</f>
        <v/>
      </c>
      <c r="B271" s="36" t="str">
        <f ca="1">IFERROR(__xludf.DUMMYFUNCTION("""COMPUTED_VALUE"""),"")</f>
        <v/>
      </c>
      <c r="C271" s="36" t="str">
        <f ca="1">IFERROR(__xludf.DUMMYFUNCTION("""COMPUTED_VALUE"""),"")</f>
        <v/>
      </c>
      <c r="D271" s="36" t="str">
        <f ca="1">IFERROR(__xludf.DUMMYFUNCTION("""COMPUTED_VALUE"""),"")</f>
        <v/>
      </c>
      <c r="E271" s="36" t="str">
        <f ca="1">IFERROR(__xludf.DUMMYFUNCTION("""COMPUTED_VALUE"""),"")</f>
        <v/>
      </c>
      <c r="F271" s="36" t="str">
        <f ca="1">IFERROR(__xludf.DUMMYFUNCTION("""COMPUTED_VALUE"""),"")</f>
        <v/>
      </c>
      <c r="G271" s="36" t="str">
        <f ca="1">IFERROR(__xludf.DUMMYFUNCTION("""COMPUTED_VALUE"""),"")</f>
        <v/>
      </c>
      <c r="H271" s="36" t="str">
        <f ca="1">IFERROR(__xludf.DUMMYFUNCTION("""COMPUTED_VALUE"""),"")</f>
        <v/>
      </c>
      <c r="I271" s="36" t="str">
        <f ca="1">IFERROR(__xludf.DUMMYFUNCTION("""COMPUTED_VALUE"""),"")</f>
        <v/>
      </c>
      <c r="J271" s="36" t="str">
        <f ca="1">IFERROR(__xludf.DUMMYFUNCTION("""COMPUTED_VALUE"""),"")</f>
        <v/>
      </c>
      <c r="K271" s="36" t="str">
        <f ca="1">IFERROR(__xludf.DUMMYFUNCTION("""COMPUTED_VALUE"""),"")</f>
        <v/>
      </c>
      <c r="L271" s="36" t="str">
        <f ca="1">IFERROR(__xludf.DUMMYFUNCTION("""COMPUTED_VALUE"""),"")</f>
        <v/>
      </c>
      <c r="M271" s="36" t="str">
        <f ca="1">IFERROR(__xludf.DUMMYFUNCTION("""COMPUTED_VALUE"""),"")</f>
        <v/>
      </c>
      <c r="N271" s="36" t="str">
        <f ca="1">IFERROR(__xludf.DUMMYFUNCTION("""COMPUTED_VALUE"""),"")</f>
        <v/>
      </c>
      <c r="O271" s="36" t="str">
        <f ca="1">IFERROR(__xludf.DUMMYFUNCTION("""COMPUTED_VALUE"""),"")</f>
        <v/>
      </c>
      <c r="P271" s="36" t="str">
        <f ca="1">IFERROR(__xludf.DUMMYFUNCTION("""COMPUTED_VALUE"""),"")</f>
        <v/>
      </c>
      <c r="Q271" s="36" t="str">
        <f ca="1">IFERROR(__xludf.DUMMYFUNCTION("""COMPUTED_VALUE"""),"")</f>
        <v/>
      </c>
      <c r="R271" s="36" t="str">
        <f ca="1">IFERROR(__xludf.DUMMYFUNCTION("""COMPUTED_VALUE"""),"")</f>
        <v/>
      </c>
      <c r="S271" s="36" t="str">
        <f ca="1">IFERROR(__xludf.DUMMYFUNCTION("""COMPUTED_VALUE"""),"")</f>
        <v/>
      </c>
      <c r="T271" s="36" t="str">
        <f ca="1">IFERROR(__xludf.DUMMYFUNCTION("""COMPUTED_VALUE"""),"")</f>
        <v/>
      </c>
      <c r="U271" s="36" t="str">
        <f ca="1">IFERROR(__xludf.DUMMYFUNCTION("""COMPUTED_VALUE"""),"")</f>
        <v/>
      </c>
      <c r="V271" s="36" t="str">
        <f ca="1">IFERROR(__xludf.DUMMYFUNCTION("""COMPUTED_VALUE"""),"")</f>
        <v/>
      </c>
      <c r="W271" s="36" t="str">
        <f ca="1">IFERROR(__xludf.DUMMYFUNCTION("""COMPUTED_VALUE"""),"")</f>
        <v/>
      </c>
      <c r="X271" s="36"/>
      <c r="Y271" s="36"/>
      <c r="Z271" s="36"/>
    </row>
    <row r="272" spans="1:26" ht="12.75" hidden="1">
      <c r="A272" s="36" t="str">
        <f ca="1">IFERROR(__xludf.DUMMYFUNCTION("""COMPUTED_VALUE"""),"")</f>
        <v/>
      </c>
      <c r="B272" s="36" t="str">
        <f ca="1">IFERROR(__xludf.DUMMYFUNCTION("""COMPUTED_VALUE"""),"")</f>
        <v/>
      </c>
      <c r="C272" s="36" t="str">
        <f ca="1">IFERROR(__xludf.DUMMYFUNCTION("""COMPUTED_VALUE"""),"")</f>
        <v/>
      </c>
      <c r="D272" s="36" t="str">
        <f ca="1">IFERROR(__xludf.DUMMYFUNCTION("""COMPUTED_VALUE"""),"")</f>
        <v/>
      </c>
      <c r="E272" s="36" t="str">
        <f ca="1">IFERROR(__xludf.DUMMYFUNCTION("""COMPUTED_VALUE"""),"")</f>
        <v/>
      </c>
      <c r="F272" s="36" t="str">
        <f ca="1">IFERROR(__xludf.DUMMYFUNCTION("""COMPUTED_VALUE"""),"")</f>
        <v/>
      </c>
      <c r="G272" s="36" t="str">
        <f ca="1">IFERROR(__xludf.DUMMYFUNCTION("""COMPUTED_VALUE"""),"")</f>
        <v/>
      </c>
      <c r="H272" s="36" t="str">
        <f ca="1">IFERROR(__xludf.DUMMYFUNCTION("""COMPUTED_VALUE"""),"")</f>
        <v/>
      </c>
      <c r="I272" s="36" t="str">
        <f ca="1">IFERROR(__xludf.DUMMYFUNCTION("""COMPUTED_VALUE"""),"")</f>
        <v/>
      </c>
      <c r="J272" s="36" t="str">
        <f ca="1">IFERROR(__xludf.DUMMYFUNCTION("""COMPUTED_VALUE"""),"")</f>
        <v/>
      </c>
      <c r="K272" s="36" t="str">
        <f ca="1">IFERROR(__xludf.DUMMYFUNCTION("""COMPUTED_VALUE"""),"")</f>
        <v/>
      </c>
      <c r="L272" s="36" t="str">
        <f ca="1">IFERROR(__xludf.DUMMYFUNCTION("""COMPUTED_VALUE"""),"")</f>
        <v/>
      </c>
      <c r="M272" s="36" t="str">
        <f ca="1">IFERROR(__xludf.DUMMYFUNCTION("""COMPUTED_VALUE"""),"")</f>
        <v/>
      </c>
      <c r="N272" s="36" t="str">
        <f ca="1">IFERROR(__xludf.DUMMYFUNCTION("""COMPUTED_VALUE"""),"")</f>
        <v/>
      </c>
      <c r="O272" s="36" t="str">
        <f ca="1">IFERROR(__xludf.DUMMYFUNCTION("""COMPUTED_VALUE"""),"")</f>
        <v/>
      </c>
      <c r="P272" s="36" t="str">
        <f ca="1">IFERROR(__xludf.DUMMYFUNCTION("""COMPUTED_VALUE"""),"")</f>
        <v/>
      </c>
      <c r="Q272" s="36" t="str">
        <f ca="1">IFERROR(__xludf.DUMMYFUNCTION("""COMPUTED_VALUE"""),"")</f>
        <v/>
      </c>
      <c r="R272" s="36" t="str">
        <f ca="1">IFERROR(__xludf.DUMMYFUNCTION("""COMPUTED_VALUE"""),"")</f>
        <v/>
      </c>
      <c r="S272" s="36" t="str">
        <f ca="1">IFERROR(__xludf.DUMMYFUNCTION("""COMPUTED_VALUE"""),"")</f>
        <v/>
      </c>
      <c r="T272" s="36" t="str">
        <f ca="1">IFERROR(__xludf.DUMMYFUNCTION("""COMPUTED_VALUE"""),"")</f>
        <v/>
      </c>
      <c r="U272" s="36" t="str">
        <f ca="1">IFERROR(__xludf.DUMMYFUNCTION("""COMPUTED_VALUE"""),"")</f>
        <v/>
      </c>
      <c r="V272" s="36" t="str">
        <f ca="1">IFERROR(__xludf.DUMMYFUNCTION("""COMPUTED_VALUE"""),"")</f>
        <v/>
      </c>
      <c r="W272" s="36" t="str">
        <f ca="1">IFERROR(__xludf.DUMMYFUNCTION("""COMPUTED_VALUE"""),"")</f>
        <v/>
      </c>
      <c r="X272" s="36"/>
      <c r="Y272" s="36"/>
      <c r="Z272" s="36"/>
    </row>
    <row r="273" spans="1:26" ht="12.75" hidden="1">
      <c r="A273" s="36" t="str">
        <f ca="1">IFERROR(__xludf.DUMMYFUNCTION("""COMPUTED_VALUE"""),"")</f>
        <v/>
      </c>
      <c r="B273" s="36" t="str">
        <f ca="1">IFERROR(__xludf.DUMMYFUNCTION("""COMPUTED_VALUE"""),"")</f>
        <v/>
      </c>
      <c r="C273" s="36" t="str">
        <f ca="1">IFERROR(__xludf.DUMMYFUNCTION("""COMPUTED_VALUE"""),"")</f>
        <v/>
      </c>
      <c r="D273" s="36" t="str">
        <f ca="1">IFERROR(__xludf.DUMMYFUNCTION("""COMPUTED_VALUE"""),"")</f>
        <v/>
      </c>
      <c r="E273" s="36" t="str">
        <f ca="1">IFERROR(__xludf.DUMMYFUNCTION("""COMPUTED_VALUE"""),"")</f>
        <v/>
      </c>
      <c r="F273" s="36" t="str">
        <f ca="1">IFERROR(__xludf.DUMMYFUNCTION("""COMPUTED_VALUE"""),"")</f>
        <v/>
      </c>
      <c r="G273" s="36" t="str">
        <f ca="1">IFERROR(__xludf.DUMMYFUNCTION("""COMPUTED_VALUE"""),"")</f>
        <v/>
      </c>
      <c r="H273" s="36" t="str">
        <f ca="1">IFERROR(__xludf.DUMMYFUNCTION("""COMPUTED_VALUE"""),"")</f>
        <v/>
      </c>
      <c r="I273" s="36" t="str">
        <f ca="1">IFERROR(__xludf.DUMMYFUNCTION("""COMPUTED_VALUE"""),"")</f>
        <v/>
      </c>
      <c r="J273" s="36" t="str">
        <f ca="1">IFERROR(__xludf.DUMMYFUNCTION("""COMPUTED_VALUE"""),"")</f>
        <v/>
      </c>
      <c r="K273" s="36" t="str">
        <f ca="1">IFERROR(__xludf.DUMMYFUNCTION("""COMPUTED_VALUE"""),"")</f>
        <v/>
      </c>
      <c r="L273" s="36" t="str">
        <f ca="1">IFERROR(__xludf.DUMMYFUNCTION("""COMPUTED_VALUE"""),"")</f>
        <v/>
      </c>
      <c r="M273" s="36" t="str">
        <f ca="1">IFERROR(__xludf.DUMMYFUNCTION("""COMPUTED_VALUE"""),"")</f>
        <v/>
      </c>
      <c r="N273" s="36" t="str">
        <f ca="1">IFERROR(__xludf.DUMMYFUNCTION("""COMPUTED_VALUE"""),"")</f>
        <v/>
      </c>
      <c r="O273" s="36" t="str">
        <f ca="1">IFERROR(__xludf.DUMMYFUNCTION("""COMPUTED_VALUE"""),"")</f>
        <v/>
      </c>
      <c r="P273" s="36" t="str">
        <f ca="1">IFERROR(__xludf.DUMMYFUNCTION("""COMPUTED_VALUE"""),"")</f>
        <v/>
      </c>
      <c r="Q273" s="36" t="str">
        <f ca="1">IFERROR(__xludf.DUMMYFUNCTION("""COMPUTED_VALUE"""),"")</f>
        <v/>
      </c>
      <c r="R273" s="36" t="str">
        <f ca="1">IFERROR(__xludf.DUMMYFUNCTION("""COMPUTED_VALUE"""),"")</f>
        <v/>
      </c>
      <c r="S273" s="36" t="str">
        <f ca="1">IFERROR(__xludf.DUMMYFUNCTION("""COMPUTED_VALUE"""),"")</f>
        <v/>
      </c>
      <c r="T273" s="36" t="str">
        <f ca="1">IFERROR(__xludf.DUMMYFUNCTION("""COMPUTED_VALUE"""),"")</f>
        <v/>
      </c>
      <c r="U273" s="36" t="str">
        <f ca="1">IFERROR(__xludf.DUMMYFUNCTION("""COMPUTED_VALUE"""),"")</f>
        <v/>
      </c>
      <c r="V273" s="36" t="str">
        <f ca="1">IFERROR(__xludf.DUMMYFUNCTION("""COMPUTED_VALUE"""),"")</f>
        <v/>
      </c>
      <c r="W273" s="36" t="str">
        <f ca="1">IFERROR(__xludf.DUMMYFUNCTION("""COMPUTED_VALUE"""),"")</f>
        <v/>
      </c>
      <c r="X273" s="36"/>
      <c r="Y273" s="36"/>
      <c r="Z273" s="36"/>
    </row>
    <row r="274" spans="1:26" ht="12.75" hidden="1">
      <c r="A274" s="36" t="str">
        <f ca="1">IFERROR(__xludf.DUMMYFUNCTION("""COMPUTED_VALUE"""),"")</f>
        <v/>
      </c>
      <c r="B274" s="36" t="str">
        <f ca="1">IFERROR(__xludf.DUMMYFUNCTION("""COMPUTED_VALUE"""),"")</f>
        <v/>
      </c>
      <c r="C274" s="36" t="str">
        <f ca="1">IFERROR(__xludf.DUMMYFUNCTION("""COMPUTED_VALUE"""),"")</f>
        <v/>
      </c>
      <c r="D274" s="36" t="str">
        <f ca="1">IFERROR(__xludf.DUMMYFUNCTION("""COMPUTED_VALUE"""),"")</f>
        <v/>
      </c>
      <c r="E274" s="36" t="str">
        <f ca="1">IFERROR(__xludf.DUMMYFUNCTION("""COMPUTED_VALUE"""),"")</f>
        <v/>
      </c>
      <c r="F274" s="36" t="str">
        <f ca="1">IFERROR(__xludf.DUMMYFUNCTION("""COMPUTED_VALUE"""),"")</f>
        <v/>
      </c>
      <c r="G274" s="36" t="str">
        <f ca="1">IFERROR(__xludf.DUMMYFUNCTION("""COMPUTED_VALUE"""),"")</f>
        <v/>
      </c>
      <c r="H274" s="36" t="str">
        <f ca="1">IFERROR(__xludf.DUMMYFUNCTION("""COMPUTED_VALUE"""),"")</f>
        <v/>
      </c>
      <c r="I274" s="36" t="str">
        <f ca="1">IFERROR(__xludf.DUMMYFUNCTION("""COMPUTED_VALUE"""),"")</f>
        <v/>
      </c>
      <c r="J274" s="36" t="str">
        <f ca="1">IFERROR(__xludf.DUMMYFUNCTION("""COMPUTED_VALUE"""),"")</f>
        <v/>
      </c>
      <c r="K274" s="36" t="str">
        <f ca="1">IFERROR(__xludf.DUMMYFUNCTION("""COMPUTED_VALUE"""),"")</f>
        <v/>
      </c>
      <c r="L274" s="36" t="str">
        <f ca="1">IFERROR(__xludf.DUMMYFUNCTION("""COMPUTED_VALUE"""),"")</f>
        <v/>
      </c>
      <c r="M274" s="36" t="str">
        <f ca="1">IFERROR(__xludf.DUMMYFUNCTION("""COMPUTED_VALUE"""),"")</f>
        <v/>
      </c>
      <c r="N274" s="36" t="str">
        <f ca="1">IFERROR(__xludf.DUMMYFUNCTION("""COMPUTED_VALUE"""),"")</f>
        <v/>
      </c>
      <c r="O274" s="36" t="str">
        <f ca="1">IFERROR(__xludf.DUMMYFUNCTION("""COMPUTED_VALUE"""),"")</f>
        <v/>
      </c>
      <c r="P274" s="36" t="str">
        <f ca="1">IFERROR(__xludf.DUMMYFUNCTION("""COMPUTED_VALUE"""),"")</f>
        <v/>
      </c>
      <c r="Q274" s="36" t="str">
        <f ca="1">IFERROR(__xludf.DUMMYFUNCTION("""COMPUTED_VALUE"""),"")</f>
        <v/>
      </c>
      <c r="R274" s="36" t="str">
        <f ca="1">IFERROR(__xludf.DUMMYFUNCTION("""COMPUTED_VALUE"""),"")</f>
        <v/>
      </c>
      <c r="S274" s="36" t="str">
        <f ca="1">IFERROR(__xludf.DUMMYFUNCTION("""COMPUTED_VALUE"""),"")</f>
        <v/>
      </c>
      <c r="T274" s="36" t="str">
        <f ca="1">IFERROR(__xludf.DUMMYFUNCTION("""COMPUTED_VALUE"""),"")</f>
        <v/>
      </c>
      <c r="U274" s="36" t="str">
        <f ca="1">IFERROR(__xludf.DUMMYFUNCTION("""COMPUTED_VALUE"""),"")</f>
        <v/>
      </c>
      <c r="V274" s="36" t="str">
        <f ca="1">IFERROR(__xludf.DUMMYFUNCTION("""COMPUTED_VALUE"""),"")</f>
        <v/>
      </c>
      <c r="W274" s="36" t="str">
        <f ca="1">IFERROR(__xludf.DUMMYFUNCTION("""COMPUTED_VALUE"""),"")</f>
        <v/>
      </c>
      <c r="X274" s="36"/>
      <c r="Y274" s="36"/>
      <c r="Z274" s="36"/>
    </row>
    <row r="275" spans="1:26" ht="12.75" hidden="1">
      <c r="A275" s="36" t="str">
        <f ca="1">IFERROR(__xludf.DUMMYFUNCTION("""COMPUTED_VALUE"""),"")</f>
        <v/>
      </c>
      <c r="B275" s="36" t="str">
        <f ca="1">IFERROR(__xludf.DUMMYFUNCTION("""COMPUTED_VALUE"""),"")</f>
        <v/>
      </c>
      <c r="C275" s="36" t="str">
        <f ca="1">IFERROR(__xludf.DUMMYFUNCTION("""COMPUTED_VALUE"""),"")</f>
        <v/>
      </c>
      <c r="D275" s="36" t="str">
        <f ca="1">IFERROR(__xludf.DUMMYFUNCTION("""COMPUTED_VALUE"""),"")</f>
        <v/>
      </c>
      <c r="E275" s="36" t="str">
        <f ca="1">IFERROR(__xludf.DUMMYFUNCTION("""COMPUTED_VALUE"""),"")</f>
        <v/>
      </c>
      <c r="F275" s="36" t="str">
        <f ca="1">IFERROR(__xludf.DUMMYFUNCTION("""COMPUTED_VALUE"""),"")</f>
        <v/>
      </c>
      <c r="G275" s="36" t="str">
        <f ca="1">IFERROR(__xludf.DUMMYFUNCTION("""COMPUTED_VALUE"""),"")</f>
        <v/>
      </c>
      <c r="H275" s="36" t="str">
        <f ca="1">IFERROR(__xludf.DUMMYFUNCTION("""COMPUTED_VALUE"""),"")</f>
        <v/>
      </c>
      <c r="I275" s="36" t="str">
        <f ca="1">IFERROR(__xludf.DUMMYFUNCTION("""COMPUTED_VALUE"""),"")</f>
        <v/>
      </c>
      <c r="J275" s="36" t="str">
        <f ca="1">IFERROR(__xludf.DUMMYFUNCTION("""COMPUTED_VALUE"""),"")</f>
        <v/>
      </c>
      <c r="K275" s="36" t="str">
        <f ca="1">IFERROR(__xludf.DUMMYFUNCTION("""COMPUTED_VALUE"""),"")</f>
        <v/>
      </c>
      <c r="L275" s="36" t="str">
        <f ca="1">IFERROR(__xludf.DUMMYFUNCTION("""COMPUTED_VALUE"""),"")</f>
        <v/>
      </c>
      <c r="M275" s="36" t="str">
        <f ca="1">IFERROR(__xludf.DUMMYFUNCTION("""COMPUTED_VALUE"""),"")</f>
        <v/>
      </c>
      <c r="N275" s="36" t="str">
        <f ca="1">IFERROR(__xludf.DUMMYFUNCTION("""COMPUTED_VALUE"""),"")</f>
        <v/>
      </c>
      <c r="O275" s="36" t="str">
        <f ca="1">IFERROR(__xludf.DUMMYFUNCTION("""COMPUTED_VALUE"""),"")</f>
        <v/>
      </c>
      <c r="P275" s="36" t="str">
        <f ca="1">IFERROR(__xludf.DUMMYFUNCTION("""COMPUTED_VALUE"""),"")</f>
        <v/>
      </c>
      <c r="Q275" s="36" t="str">
        <f ca="1">IFERROR(__xludf.DUMMYFUNCTION("""COMPUTED_VALUE"""),"")</f>
        <v/>
      </c>
      <c r="R275" s="36" t="str">
        <f ca="1">IFERROR(__xludf.DUMMYFUNCTION("""COMPUTED_VALUE"""),"")</f>
        <v/>
      </c>
      <c r="S275" s="36" t="str">
        <f ca="1">IFERROR(__xludf.DUMMYFUNCTION("""COMPUTED_VALUE"""),"")</f>
        <v/>
      </c>
      <c r="T275" s="36" t="str">
        <f ca="1">IFERROR(__xludf.DUMMYFUNCTION("""COMPUTED_VALUE"""),"")</f>
        <v/>
      </c>
      <c r="U275" s="36" t="str">
        <f ca="1">IFERROR(__xludf.DUMMYFUNCTION("""COMPUTED_VALUE"""),"")</f>
        <v/>
      </c>
      <c r="V275" s="36" t="str">
        <f ca="1">IFERROR(__xludf.DUMMYFUNCTION("""COMPUTED_VALUE"""),"")</f>
        <v/>
      </c>
      <c r="W275" s="36" t="str">
        <f ca="1">IFERROR(__xludf.DUMMYFUNCTION("""COMPUTED_VALUE"""),"")</f>
        <v/>
      </c>
      <c r="X275" s="36"/>
      <c r="Y275" s="36"/>
      <c r="Z275" s="36"/>
    </row>
    <row r="276" spans="1:26" ht="12.75" hidden="1">
      <c r="A276" s="36" t="str">
        <f ca="1">IFERROR(__xludf.DUMMYFUNCTION("""COMPUTED_VALUE"""),"")</f>
        <v/>
      </c>
      <c r="B276" s="36" t="str">
        <f ca="1">IFERROR(__xludf.DUMMYFUNCTION("""COMPUTED_VALUE"""),"")</f>
        <v/>
      </c>
      <c r="C276" s="36" t="str">
        <f ca="1">IFERROR(__xludf.DUMMYFUNCTION("""COMPUTED_VALUE"""),"")</f>
        <v/>
      </c>
      <c r="D276" s="36" t="str">
        <f ca="1">IFERROR(__xludf.DUMMYFUNCTION("""COMPUTED_VALUE"""),"")</f>
        <v/>
      </c>
      <c r="E276" s="36" t="str">
        <f ca="1">IFERROR(__xludf.DUMMYFUNCTION("""COMPUTED_VALUE"""),"")</f>
        <v/>
      </c>
      <c r="F276" s="36" t="str">
        <f ca="1">IFERROR(__xludf.DUMMYFUNCTION("""COMPUTED_VALUE"""),"")</f>
        <v/>
      </c>
      <c r="G276" s="36" t="str">
        <f ca="1">IFERROR(__xludf.DUMMYFUNCTION("""COMPUTED_VALUE"""),"")</f>
        <v/>
      </c>
      <c r="H276" s="36" t="str">
        <f ca="1">IFERROR(__xludf.DUMMYFUNCTION("""COMPUTED_VALUE"""),"")</f>
        <v/>
      </c>
      <c r="I276" s="36" t="str">
        <f ca="1">IFERROR(__xludf.DUMMYFUNCTION("""COMPUTED_VALUE"""),"")</f>
        <v/>
      </c>
      <c r="J276" s="36" t="str">
        <f ca="1">IFERROR(__xludf.DUMMYFUNCTION("""COMPUTED_VALUE"""),"")</f>
        <v/>
      </c>
      <c r="K276" s="36" t="str">
        <f ca="1">IFERROR(__xludf.DUMMYFUNCTION("""COMPUTED_VALUE"""),"")</f>
        <v/>
      </c>
      <c r="L276" s="36" t="str">
        <f ca="1">IFERROR(__xludf.DUMMYFUNCTION("""COMPUTED_VALUE"""),"")</f>
        <v/>
      </c>
      <c r="M276" s="36" t="str">
        <f ca="1">IFERROR(__xludf.DUMMYFUNCTION("""COMPUTED_VALUE"""),"")</f>
        <v/>
      </c>
      <c r="N276" s="36" t="str">
        <f ca="1">IFERROR(__xludf.DUMMYFUNCTION("""COMPUTED_VALUE"""),"")</f>
        <v/>
      </c>
      <c r="O276" s="36" t="str">
        <f ca="1">IFERROR(__xludf.DUMMYFUNCTION("""COMPUTED_VALUE"""),"")</f>
        <v/>
      </c>
      <c r="P276" s="36" t="str">
        <f ca="1">IFERROR(__xludf.DUMMYFUNCTION("""COMPUTED_VALUE"""),"")</f>
        <v/>
      </c>
      <c r="Q276" s="36" t="str">
        <f ca="1">IFERROR(__xludf.DUMMYFUNCTION("""COMPUTED_VALUE"""),"")</f>
        <v/>
      </c>
      <c r="R276" s="36" t="str">
        <f ca="1">IFERROR(__xludf.DUMMYFUNCTION("""COMPUTED_VALUE"""),"")</f>
        <v/>
      </c>
      <c r="S276" s="36" t="str">
        <f ca="1">IFERROR(__xludf.DUMMYFUNCTION("""COMPUTED_VALUE"""),"")</f>
        <v/>
      </c>
      <c r="T276" s="36" t="str">
        <f ca="1">IFERROR(__xludf.DUMMYFUNCTION("""COMPUTED_VALUE"""),"")</f>
        <v/>
      </c>
      <c r="U276" s="36" t="str">
        <f ca="1">IFERROR(__xludf.DUMMYFUNCTION("""COMPUTED_VALUE"""),"")</f>
        <v/>
      </c>
      <c r="V276" s="36" t="str">
        <f ca="1">IFERROR(__xludf.DUMMYFUNCTION("""COMPUTED_VALUE"""),"")</f>
        <v/>
      </c>
      <c r="W276" s="36" t="str">
        <f ca="1">IFERROR(__xludf.DUMMYFUNCTION("""COMPUTED_VALUE"""),"")</f>
        <v/>
      </c>
      <c r="X276" s="36"/>
      <c r="Y276" s="36"/>
      <c r="Z276" s="36"/>
    </row>
    <row r="277" spans="1:26" ht="12.75" hidden="1">
      <c r="A277" s="36" t="str">
        <f ca="1">IFERROR(__xludf.DUMMYFUNCTION("""COMPUTED_VALUE"""),"")</f>
        <v/>
      </c>
      <c r="B277" s="36" t="str">
        <f ca="1">IFERROR(__xludf.DUMMYFUNCTION("""COMPUTED_VALUE"""),"")</f>
        <v/>
      </c>
      <c r="C277" s="36" t="str">
        <f ca="1">IFERROR(__xludf.DUMMYFUNCTION("""COMPUTED_VALUE"""),"")</f>
        <v/>
      </c>
      <c r="D277" s="36" t="str">
        <f ca="1">IFERROR(__xludf.DUMMYFUNCTION("""COMPUTED_VALUE"""),"")</f>
        <v/>
      </c>
      <c r="E277" s="36" t="str">
        <f ca="1">IFERROR(__xludf.DUMMYFUNCTION("""COMPUTED_VALUE"""),"")</f>
        <v/>
      </c>
      <c r="F277" s="36" t="str">
        <f ca="1">IFERROR(__xludf.DUMMYFUNCTION("""COMPUTED_VALUE"""),"")</f>
        <v/>
      </c>
      <c r="G277" s="36" t="str">
        <f ca="1">IFERROR(__xludf.DUMMYFUNCTION("""COMPUTED_VALUE"""),"")</f>
        <v/>
      </c>
      <c r="H277" s="36" t="str">
        <f ca="1">IFERROR(__xludf.DUMMYFUNCTION("""COMPUTED_VALUE"""),"")</f>
        <v/>
      </c>
      <c r="I277" s="36" t="str">
        <f ca="1">IFERROR(__xludf.DUMMYFUNCTION("""COMPUTED_VALUE"""),"")</f>
        <v/>
      </c>
      <c r="J277" s="36" t="str">
        <f ca="1">IFERROR(__xludf.DUMMYFUNCTION("""COMPUTED_VALUE"""),"")</f>
        <v/>
      </c>
      <c r="K277" s="36" t="str">
        <f ca="1">IFERROR(__xludf.DUMMYFUNCTION("""COMPUTED_VALUE"""),"")</f>
        <v/>
      </c>
      <c r="L277" s="36" t="str">
        <f ca="1">IFERROR(__xludf.DUMMYFUNCTION("""COMPUTED_VALUE"""),"")</f>
        <v/>
      </c>
      <c r="M277" s="36" t="str">
        <f ca="1">IFERROR(__xludf.DUMMYFUNCTION("""COMPUTED_VALUE"""),"")</f>
        <v/>
      </c>
      <c r="N277" s="36" t="str">
        <f ca="1">IFERROR(__xludf.DUMMYFUNCTION("""COMPUTED_VALUE"""),"")</f>
        <v/>
      </c>
      <c r="O277" s="36" t="str">
        <f ca="1">IFERROR(__xludf.DUMMYFUNCTION("""COMPUTED_VALUE"""),"")</f>
        <v/>
      </c>
      <c r="P277" s="36" t="str">
        <f ca="1">IFERROR(__xludf.DUMMYFUNCTION("""COMPUTED_VALUE"""),"")</f>
        <v/>
      </c>
      <c r="Q277" s="36" t="str">
        <f ca="1">IFERROR(__xludf.DUMMYFUNCTION("""COMPUTED_VALUE"""),"")</f>
        <v/>
      </c>
      <c r="R277" s="36" t="str">
        <f ca="1">IFERROR(__xludf.DUMMYFUNCTION("""COMPUTED_VALUE"""),"")</f>
        <v/>
      </c>
      <c r="S277" s="36" t="str">
        <f ca="1">IFERROR(__xludf.DUMMYFUNCTION("""COMPUTED_VALUE"""),"")</f>
        <v/>
      </c>
      <c r="T277" s="36" t="str">
        <f ca="1">IFERROR(__xludf.DUMMYFUNCTION("""COMPUTED_VALUE"""),"")</f>
        <v/>
      </c>
      <c r="U277" s="36" t="str">
        <f ca="1">IFERROR(__xludf.DUMMYFUNCTION("""COMPUTED_VALUE"""),"")</f>
        <v/>
      </c>
      <c r="V277" s="36" t="str">
        <f ca="1">IFERROR(__xludf.DUMMYFUNCTION("""COMPUTED_VALUE"""),"")</f>
        <v/>
      </c>
      <c r="W277" s="36" t="str">
        <f ca="1">IFERROR(__xludf.DUMMYFUNCTION("""COMPUTED_VALUE"""),"")</f>
        <v/>
      </c>
      <c r="X277" s="36"/>
      <c r="Y277" s="36"/>
      <c r="Z277" s="36"/>
    </row>
    <row r="278" spans="1:26" ht="12.75" hidden="1">
      <c r="A278" s="36" t="str">
        <f ca="1">IFERROR(__xludf.DUMMYFUNCTION("""COMPUTED_VALUE"""),"")</f>
        <v/>
      </c>
      <c r="B278" s="36" t="str">
        <f ca="1">IFERROR(__xludf.DUMMYFUNCTION("""COMPUTED_VALUE"""),"")</f>
        <v/>
      </c>
      <c r="C278" s="36" t="str">
        <f ca="1">IFERROR(__xludf.DUMMYFUNCTION("""COMPUTED_VALUE"""),"")</f>
        <v/>
      </c>
      <c r="D278" s="36" t="str">
        <f ca="1">IFERROR(__xludf.DUMMYFUNCTION("""COMPUTED_VALUE"""),"")</f>
        <v/>
      </c>
      <c r="E278" s="36" t="str">
        <f ca="1">IFERROR(__xludf.DUMMYFUNCTION("""COMPUTED_VALUE"""),"")</f>
        <v/>
      </c>
      <c r="F278" s="36" t="str">
        <f ca="1">IFERROR(__xludf.DUMMYFUNCTION("""COMPUTED_VALUE"""),"")</f>
        <v/>
      </c>
      <c r="G278" s="36" t="str">
        <f ca="1">IFERROR(__xludf.DUMMYFUNCTION("""COMPUTED_VALUE"""),"")</f>
        <v/>
      </c>
      <c r="H278" s="36" t="str">
        <f ca="1">IFERROR(__xludf.DUMMYFUNCTION("""COMPUTED_VALUE"""),"")</f>
        <v/>
      </c>
      <c r="I278" s="36" t="str">
        <f ca="1">IFERROR(__xludf.DUMMYFUNCTION("""COMPUTED_VALUE"""),"")</f>
        <v/>
      </c>
      <c r="J278" s="36" t="str">
        <f ca="1">IFERROR(__xludf.DUMMYFUNCTION("""COMPUTED_VALUE"""),"")</f>
        <v/>
      </c>
      <c r="K278" s="36" t="str">
        <f ca="1">IFERROR(__xludf.DUMMYFUNCTION("""COMPUTED_VALUE"""),"")</f>
        <v/>
      </c>
      <c r="L278" s="36" t="str">
        <f ca="1">IFERROR(__xludf.DUMMYFUNCTION("""COMPUTED_VALUE"""),"")</f>
        <v/>
      </c>
      <c r="M278" s="36" t="str">
        <f ca="1">IFERROR(__xludf.DUMMYFUNCTION("""COMPUTED_VALUE"""),"")</f>
        <v/>
      </c>
      <c r="N278" s="36" t="str">
        <f ca="1">IFERROR(__xludf.DUMMYFUNCTION("""COMPUTED_VALUE"""),"")</f>
        <v/>
      </c>
      <c r="O278" s="36" t="str">
        <f ca="1">IFERROR(__xludf.DUMMYFUNCTION("""COMPUTED_VALUE"""),"")</f>
        <v/>
      </c>
      <c r="P278" s="36" t="str">
        <f ca="1">IFERROR(__xludf.DUMMYFUNCTION("""COMPUTED_VALUE"""),"")</f>
        <v/>
      </c>
      <c r="Q278" s="36" t="str">
        <f ca="1">IFERROR(__xludf.DUMMYFUNCTION("""COMPUTED_VALUE"""),"")</f>
        <v/>
      </c>
      <c r="R278" s="36" t="str">
        <f ca="1">IFERROR(__xludf.DUMMYFUNCTION("""COMPUTED_VALUE"""),"")</f>
        <v/>
      </c>
      <c r="S278" s="36" t="str">
        <f ca="1">IFERROR(__xludf.DUMMYFUNCTION("""COMPUTED_VALUE"""),"")</f>
        <v/>
      </c>
      <c r="T278" s="36" t="str">
        <f ca="1">IFERROR(__xludf.DUMMYFUNCTION("""COMPUTED_VALUE"""),"")</f>
        <v/>
      </c>
      <c r="U278" s="36" t="str">
        <f ca="1">IFERROR(__xludf.DUMMYFUNCTION("""COMPUTED_VALUE"""),"")</f>
        <v/>
      </c>
      <c r="V278" s="36" t="str">
        <f ca="1">IFERROR(__xludf.DUMMYFUNCTION("""COMPUTED_VALUE"""),"")</f>
        <v/>
      </c>
      <c r="W278" s="36" t="str">
        <f ca="1">IFERROR(__xludf.DUMMYFUNCTION("""COMPUTED_VALUE"""),"")</f>
        <v/>
      </c>
      <c r="X278" s="36"/>
      <c r="Y278" s="36"/>
      <c r="Z278" s="36"/>
    </row>
    <row r="279" spans="1:26" ht="12.75" hidden="1">
      <c r="A279" s="36" t="str">
        <f ca="1">IFERROR(__xludf.DUMMYFUNCTION("""COMPUTED_VALUE"""),"")</f>
        <v/>
      </c>
      <c r="B279" s="36" t="str">
        <f ca="1">IFERROR(__xludf.DUMMYFUNCTION("""COMPUTED_VALUE"""),"")</f>
        <v/>
      </c>
      <c r="C279" s="36" t="str">
        <f ca="1">IFERROR(__xludf.DUMMYFUNCTION("""COMPUTED_VALUE"""),"")</f>
        <v/>
      </c>
      <c r="D279" s="36" t="str">
        <f ca="1">IFERROR(__xludf.DUMMYFUNCTION("""COMPUTED_VALUE"""),"")</f>
        <v/>
      </c>
      <c r="E279" s="36" t="str">
        <f ca="1">IFERROR(__xludf.DUMMYFUNCTION("""COMPUTED_VALUE"""),"")</f>
        <v/>
      </c>
      <c r="F279" s="36" t="str">
        <f ca="1">IFERROR(__xludf.DUMMYFUNCTION("""COMPUTED_VALUE"""),"")</f>
        <v/>
      </c>
      <c r="G279" s="36" t="str">
        <f ca="1">IFERROR(__xludf.DUMMYFUNCTION("""COMPUTED_VALUE"""),"")</f>
        <v/>
      </c>
      <c r="H279" s="36" t="str">
        <f ca="1">IFERROR(__xludf.DUMMYFUNCTION("""COMPUTED_VALUE"""),"")</f>
        <v/>
      </c>
      <c r="I279" s="36" t="str">
        <f ca="1">IFERROR(__xludf.DUMMYFUNCTION("""COMPUTED_VALUE"""),"")</f>
        <v/>
      </c>
      <c r="J279" s="36" t="str">
        <f ca="1">IFERROR(__xludf.DUMMYFUNCTION("""COMPUTED_VALUE"""),"")</f>
        <v/>
      </c>
      <c r="K279" s="36" t="str">
        <f ca="1">IFERROR(__xludf.DUMMYFUNCTION("""COMPUTED_VALUE"""),"")</f>
        <v/>
      </c>
      <c r="L279" s="36" t="str">
        <f ca="1">IFERROR(__xludf.DUMMYFUNCTION("""COMPUTED_VALUE"""),"")</f>
        <v/>
      </c>
      <c r="M279" s="36" t="str">
        <f ca="1">IFERROR(__xludf.DUMMYFUNCTION("""COMPUTED_VALUE"""),"")</f>
        <v/>
      </c>
      <c r="N279" s="36" t="str">
        <f ca="1">IFERROR(__xludf.DUMMYFUNCTION("""COMPUTED_VALUE"""),"")</f>
        <v/>
      </c>
      <c r="O279" s="36" t="str">
        <f ca="1">IFERROR(__xludf.DUMMYFUNCTION("""COMPUTED_VALUE"""),"")</f>
        <v/>
      </c>
      <c r="P279" s="36" t="str">
        <f ca="1">IFERROR(__xludf.DUMMYFUNCTION("""COMPUTED_VALUE"""),"")</f>
        <v/>
      </c>
      <c r="Q279" s="36" t="str">
        <f ca="1">IFERROR(__xludf.DUMMYFUNCTION("""COMPUTED_VALUE"""),"")</f>
        <v/>
      </c>
      <c r="R279" s="36" t="str">
        <f ca="1">IFERROR(__xludf.DUMMYFUNCTION("""COMPUTED_VALUE"""),"")</f>
        <v/>
      </c>
      <c r="S279" s="36" t="str">
        <f ca="1">IFERROR(__xludf.DUMMYFUNCTION("""COMPUTED_VALUE"""),"")</f>
        <v/>
      </c>
      <c r="T279" s="36" t="str">
        <f ca="1">IFERROR(__xludf.DUMMYFUNCTION("""COMPUTED_VALUE"""),"")</f>
        <v/>
      </c>
      <c r="U279" s="36" t="str">
        <f ca="1">IFERROR(__xludf.DUMMYFUNCTION("""COMPUTED_VALUE"""),"")</f>
        <v/>
      </c>
      <c r="V279" s="36" t="str">
        <f ca="1">IFERROR(__xludf.DUMMYFUNCTION("""COMPUTED_VALUE"""),"")</f>
        <v/>
      </c>
      <c r="W279" s="36" t="str">
        <f ca="1">IFERROR(__xludf.DUMMYFUNCTION("""COMPUTED_VALUE"""),"")</f>
        <v/>
      </c>
      <c r="X279" s="36"/>
      <c r="Y279" s="36"/>
      <c r="Z279" s="36"/>
    </row>
    <row r="280" spans="1:26" ht="12.75" hidden="1">
      <c r="A280" s="36" t="str">
        <f ca="1">IFERROR(__xludf.DUMMYFUNCTION("""COMPUTED_VALUE"""),"")</f>
        <v/>
      </c>
      <c r="B280" s="36" t="str">
        <f ca="1">IFERROR(__xludf.DUMMYFUNCTION("""COMPUTED_VALUE"""),"")</f>
        <v/>
      </c>
      <c r="C280" s="36" t="str">
        <f ca="1">IFERROR(__xludf.DUMMYFUNCTION("""COMPUTED_VALUE"""),"")</f>
        <v/>
      </c>
      <c r="D280" s="36" t="str">
        <f ca="1">IFERROR(__xludf.DUMMYFUNCTION("""COMPUTED_VALUE"""),"")</f>
        <v/>
      </c>
      <c r="E280" s="36" t="str">
        <f ca="1">IFERROR(__xludf.DUMMYFUNCTION("""COMPUTED_VALUE"""),"")</f>
        <v/>
      </c>
      <c r="F280" s="36" t="str">
        <f ca="1">IFERROR(__xludf.DUMMYFUNCTION("""COMPUTED_VALUE"""),"")</f>
        <v/>
      </c>
      <c r="G280" s="36" t="str">
        <f ca="1">IFERROR(__xludf.DUMMYFUNCTION("""COMPUTED_VALUE"""),"")</f>
        <v/>
      </c>
      <c r="H280" s="36" t="str">
        <f ca="1">IFERROR(__xludf.DUMMYFUNCTION("""COMPUTED_VALUE"""),"")</f>
        <v/>
      </c>
      <c r="I280" s="36" t="str">
        <f ca="1">IFERROR(__xludf.DUMMYFUNCTION("""COMPUTED_VALUE"""),"")</f>
        <v/>
      </c>
      <c r="J280" s="36" t="str">
        <f ca="1">IFERROR(__xludf.DUMMYFUNCTION("""COMPUTED_VALUE"""),"")</f>
        <v/>
      </c>
      <c r="K280" s="36" t="str">
        <f ca="1">IFERROR(__xludf.DUMMYFUNCTION("""COMPUTED_VALUE"""),"")</f>
        <v/>
      </c>
      <c r="L280" s="36" t="str">
        <f ca="1">IFERROR(__xludf.DUMMYFUNCTION("""COMPUTED_VALUE"""),"")</f>
        <v/>
      </c>
      <c r="M280" s="36" t="str">
        <f ca="1">IFERROR(__xludf.DUMMYFUNCTION("""COMPUTED_VALUE"""),"")</f>
        <v/>
      </c>
      <c r="N280" s="36" t="str">
        <f ca="1">IFERROR(__xludf.DUMMYFUNCTION("""COMPUTED_VALUE"""),"")</f>
        <v/>
      </c>
      <c r="O280" s="36" t="str">
        <f ca="1">IFERROR(__xludf.DUMMYFUNCTION("""COMPUTED_VALUE"""),"")</f>
        <v/>
      </c>
      <c r="P280" s="36" t="str">
        <f ca="1">IFERROR(__xludf.DUMMYFUNCTION("""COMPUTED_VALUE"""),"")</f>
        <v/>
      </c>
      <c r="Q280" s="36" t="str">
        <f ca="1">IFERROR(__xludf.DUMMYFUNCTION("""COMPUTED_VALUE"""),"")</f>
        <v/>
      </c>
      <c r="R280" s="36" t="str">
        <f ca="1">IFERROR(__xludf.DUMMYFUNCTION("""COMPUTED_VALUE"""),"")</f>
        <v/>
      </c>
      <c r="S280" s="36" t="str">
        <f ca="1">IFERROR(__xludf.DUMMYFUNCTION("""COMPUTED_VALUE"""),"")</f>
        <v/>
      </c>
      <c r="T280" s="36" t="str">
        <f ca="1">IFERROR(__xludf.DUMMYFUNCTION("""COMPUTED_VALUE"""),"")</f>
        <v/>
      </c>
      <c r="U280" s="36" t="str">
        <f ca="1">IFERROR(__xludf.DUMMYFUNCTION("""COMPUTED_VALUE"""),"")</f>
        <v/>
      </c>
      <c r="V280" s="36" t="str">
        <f ca="1">IFERROR(__xludf.DUMMYFUNCTION("""COMPUTED_VALUE"""),"")</f>
        <v/>
      </c>
      <c r="W280" s="36" t="str">
        <f ca="1">IFERROR(__xludf.DUMMYFUNCTION("""COMPUTED_VALUE"""),"")</f>
        <v/>
      </c>
      <c r="X280" s="36"/>
      <c r="Y280" s="36"/>
      <c r="Z280" s="36"/>
    </row>
    <row r="281" spans="1:26" ht="12.75" hidden="1">
      <c r="A281" s="36" t="str">
        <f ca="1">IFERROR(__xludf.DUMMYFUNCTION("""COMPUTED_VALUE"""),"")</f>
        <v/>
      </c>
      <c r="B281" s="36" t="str">
        <f ca="1">IFERROR(__xludf.DUMMYFUNCTION("""COMPUTED_VALUE"""),"")</f>
        <v/>
      </c>
      <c r="C281" s="36" t="str">
        <f ca="1">IFERROR(__xludf.DUMMYFUNCTION("""COMPUTED_VALUE"""),"")</f>
        <v/>
      </c>
      <c r="D281" s="36" t="str">
        <f ca="1">IFERROR(__xludf.DUMMYFUNCTION("""COMPUTED_VALUE"""),"")</f>
        <v/>
      </c>
      <c r="E281" s="36" t="str">
        <f ca="1">IFERROR(__xludf.DUMMYFUNCTION("""COMPUTED_VALUE"""),"")</f>
        <v/>
      </c>
      <c r="F281" s="36" t="str">
        <f ca="1">IFERROR(__xludf.DUMMYFUNCTION("""COMPUTED_VALUE"""),"")</f>
        <v/>
      </c>
      <c r="G281" s="36" t="str">
        <f ca="1">IFERROR(__xludf.DUMMYFUNCTION("""COMPUTED_VALUE"""),"")</f>
        <v/>
      </c>
      <c r="H281" s="36" t="str">
        <f ca="1">IFERROR(__xludf.DUMMYFUNCTION("""COMPUTED_VALUE"""),"")</f>
        <v/>
      </c>
      <c r="I281" s="36" t="str">
        <f ca="1">IFERROR(__xludf.DUMMYFUNCTION("""COMPUTED_VALUE"""),"")</f>
        <v/>
      </c>
      <c r="J281" s="36" t="str">
        <f ca="1">IFERROR(__xludf.DUMMYFUNCTION("""COMPUTED_VALUE"""),"")</f>
        <v/>
      </c>
      <c r="K281" s="36" t="str">
        <f ca="1">IFERROR(__xludf.DUMMYFUNCTION("""COMPUTED_VALUE"""),"")</f>
        <v/>
      </c>
      <c r="L281" s="36" t="str">
        <f ca="1">IFERROR(__xludf.DUMMYFUNCTION("""COMPUTED_VALUE"""),"")</f>
        <v/>
      </c>
      <c r="M281" s="36" t="str">
        <f ca="1">IFERROR(__xludf.DUMMYFUNCTION("""COMPUTED_VALUE"""),"")</f>
        <v/>
      </c>
      <c r="N281" s="36" t="str">
        <f ca="1">IFERROR(__xludf.DUMMYFUNCTION("""COMPUTED_VALUE"""),"")</f>
        <v/>
      </c>
      <c r="O281" s="36" t="str">
        <f ca="1">IFERROR(__xludf.DUMMYFUNCTION("""COMPUTED_VALUE"""),"")</f>
        <v/>
      </c>
      <c r="P281" s="36" t="str">
        <f ca="1">IFERROR(__xludf.DUMMYFUNCTION("""COMPUTED_VALUE"""),"")</f>
        <v/>
      </c>
      <c r="Q281" s="36" t="str">
        <f ca="1">IFERROR(__xludf.DUMMYFUNCTION("""COMPUTED_VALUE"""),"")</f>
        <v/>
      </c>
      <c r="R281" s="36" t="str">
        <f ca="1">IFERROR(__xludf.DUMMYFUNCTION("""COMPUTED_VALUE"""),"")</f>
        <v/>
      </c>
      <c r="S281" s="36" t="str">
        <f ca="1">IFERROR(__xludf.DUMMYFUNCTION("""COMPUTED_VALUE"""),"")</f>
        <v/>
      </c>
      <c r="T281" s="36" t="str">
        <f ca="1">IFERROR(__xludf.DUMMYFUNCTION("""COMPUTED_VALUE"""),"")</f>
        <v/>
      </c>
      <c r="U281" s="36" t="str">
        <f ca="1">IFERROR(__xludf.DUMMYFUNCTION("""COMPUTED_VALUE"""),"")</f>
        <v/>
      </c>
      <c r="V281" s="36" t="str">
        <f ca="1">IFERROR(__xludf.DUMMYFUNCTION("""COMPUTED_VALUE"""),"")</f>
        <v/>
      </c>
      <c r="W281" s="36" t="str">
        <f ca="1">IFERROR(__xludf.DUMMYFUNCTION("""COMPUTED_VALUE"""),"")</f>
        <v/>
      </c>
      <c r="X281" s="36"/>
      <c r="Y281" s="36"/>
      <c r="Z281" s="36"/>
    </row>
    <row r="282" spans="1:26" ht="12.75" hidden="1">
      <c r="A282" s="36" t="str">
        <f ca="1">IFERROR(__xludf.DUMMYFUNCTION("""COMPUTED_VALUE"""),"")</f>
        <v/>
      </c>
      <c r="B282" s="36" t="str">
        <f ca="1">IFERROR(__xludf.DUMMYFUNCTION("""COMPUTED_VALUE"""),"")</f>
        <v/>
      </c>
      <c r="C282" s="36" t="str">
        <f ca="1">IFERROR(__xludf.DUMMYFUNCTION("""COMPUTED_VALUE"""),"")</f>
        <v/>
      </c>
      <c r="D282" s="36" t="str">
        <f ca="1">IFERROR(__xludf.DUMMYFUNCTION("""COMPUTED_VALUE"""),"")</f>
        <v/>
      </c>
      <c r="E282" s="36" t="str">
        <f ca="1">IFERROR(__xludf.DUMMYFUNCTION("""COMPUTED_VALUE"""),"")</f>
        <v/>
      </c>
      <c r="F282" s="36" t="str">
        <f ca="1">IFERROR(__xludf.DUMMYFUNCTION("""COMPUTED_VALUE"""),"")</f>
        <v/>
      </c>
      <c r="G282" s="36" t="str">
        <f ca="1">IFERROR(__xludf.DUMMYFUNCTION("""COMPUTED_VALUE"""),"")</f>
        <v/>
      </c>
      <c r="H282" s="36" t="str">
        <f ca="1">IFERROR(__xludf.DUMMYFUNCTION("""COMPUTED_VALUE"""),"")</f>
        <v/>
      </c>
      <c r="I282" s="36" t="str">
        <f ca="1">IFERROR(__xludf.DUMMYFUNCTION("""COMPUTED_VALUE"""),"")</f>
        <v/>
      </c>
      <c r="J282" s="36" t="str">
        <f ca="1">IFERROR(__xludf.DUMMYFUNCTION("""COMPUTED_VALUE"""),"")</f>
        <v/>
      </c>
      <c r="K282" s="36" t="str">
        <f ca="1">IFERROR(__xludf.DUMMYFUNCTION("""COMPUTED_VALUE"""),"")</f>
        <v/>
      </c>
      <c r="L282" s="36" t="str">
        <f ca="1">IFERROR(__xludf.DUMMYFUNCTION("""COMPUTED_VALUE"""),"")</f>
        <v/>
      </c>
      <c r="M282" s="36" t="str">
        <f ca="1">IFERROR(__xludf.DUMMYFUNCTION("""COMPUTED_VALUE"""),"")</f>
        <v/>
      </c>
      <c r="N282" s="36" t="str">
        <f ca="1">IFERROR(__xludf.DUMMYFUNCTION("""COMPUTED_VALUE"""),"")</f>
        <v/>
      </c>
      <c r="O282" s="36" t="str">
        <f ca="1">IFERROR(__xludf.DUMMYFUNCTION("""COMPUTED_VALUE"""),"")</f>
        <v/>
      </c>
      <c r="P282" s="36" t="str">
        <f ca="1">IFERROR(__xludf.DUMMYFUNCTION("""COMPUTED_VALUE"""),"")</f>
        <v/>
      </c>
      <c r="Q282" s="36" t="str">
        <f ca="1">IFERROR(__xludf.DUMMYFUNCTION("""COMPUTED_VALUE"""),"")</f>
        <v/>
      </c>
      <c r="R282" s="36" t="str">
        <f ca="1">IFERROR(__xludf.DUMMYFUNCTION("""COMPUTED_VALUE"""),"")</f>
        <v/>
      </c>
      <c r="S282" s="36" t="str">
        <f ca="1">IFERROR(__xludf.DUMMYFUNCTION("""COMPUTED_VALUE"""),"")</f>
        <v/>
      </c>
      <c r="T282" s="36" t="str">
        <f ca="1">IFERROR(__xludf.DUMMYFUNCTION("""COMPUTED_VALUE"""),"")</f>
        <v/>
      </c>
      <c r="U282" s="36" t="str">
        <f ca="1">IFERROR(__xludf.DUMMYFUNCTION("""COMPUTED_VALUE"""),"")</f>
        <v/>
      </c>
      <c r="V282" s="36" t="str">
        <f ca="1">IFERROR(__xludf.DUMMYFUNCTION("""COMPUTED_VALUE"""),"")</f>
        <v/>
      </c>
      <c r="W282" s="36" t="str">
        <f ca="1">IFERROR(__xludf.DUMMYFUNCTION("""COMPUTED_VALUE"""),"")</f>
        <v/>
      </c>
      <c r="X282" s="36"/>
      <c r="Y282" s="36"/>
      <c r="Z282" s="36"/>
    </row>
    <row r="283" spans="1:26" ht="12.75" hidden="1">
      <c r="A283" s="36" t="str">
        <f ca="1">IFERROR(__xludf.DUMMYFUNCTION("""COMPUTED_VALUE"""),"")</f>
        <v/>
      </c>
      <c r="B283" s="36" t="str">
        <f ca="1">IFERROR(__xludf.DUMMYFUNCTION("""COMPUTED_VALUE"""),"")</f>
        <v/>
      </c>
      <c r="C283" s="36" t="str">
        <f ca="1">IFERROR(__xludf.DUMMYFUNCTION("""COMPUTED_VALUE"""),"")</f>
        <v/>
      </c>
      <c r="D283" s="36" t="str">
        <f ca="1">IFERROR(__xludf.DUMMYFUNCTION("""COMPUTED_VALUE"""),"")</f>
        <v/>
      </c>
      <c r="E283" s="36" t="str">
        <f ca="1">IFERROR(__xludf.DUMMYFUNCTION("""COMPUTED_VALUE"""),"")</f>
        <v/>
      </c>
      <c r="F283" s="36" t="str">
        <f ca="1">IFERROR(__xludf.DUMMYFUNCTION("""COMPUTED_VALUE"""),"")</f>
        <v/>
      </c>
      <c r="G283" s="36" t="str">
        <f ca="1">IFERROR(__xludf.DUMMYFUNCTION("""COMPUTED_VALUE"""),"")</f>
        <v/>
      </c>
      <c r="H283" s="36" t="str">
        <f ca="1">IFERROR(__xludf.DUMMYFUNCTION("""COMPUTED_VALUE"""),"")</f>
        <v/>
      </c>
      <c r="I283" s="36" t="str">
        <f ca="1">IFERROR(__xludf.DUMMYFUNCTION("""COMPUTED_VALUE"""),"")</f>
        <v/>
      </c>
      <c r="J283" s="36" t="str">
        <f ca="1">IFERROR(__xludf.DUMMYFUNCTION("""COMPUTED_VALUE"""),"")</f>
        <v/>
      </c>
      <c r="K283" s="36" t="str">
        <f ca="1">IFERROR(__xludf.DUMMYFUNCTION("""COMPUTED_VALUE"""),"")</f>
        <v/>
      </c>
      <c r="L283" s="36" t="str">
        <f ca="1">IFERROR(__xludf.DUMMYFUNCTION("""COMPUTED_VALUE"""),"")</f>
        <v/>
      </c>
      <c r="M283" s="36" t="str">
        <f ca="1">IFERROR(__xludf.DUMMYFUNCTION("""COMPUTED_VALUE"""),"")</f>
        <v/>
      </c>
      <c r="N283" s="36" t="str">
        <f ca="1">IFERROR(__xludf.DUMMYFUNCTION("""COMPUTED_VALUE"""),"")</f>
        <v/>
      </c>
      <c r="O283" s="36" t="str">
        <f ca="1">IFERROR(__xludf.DUMMYFUNCTION("""COMPUTED_VALUE"""),"")</f>
        <v/>
      </c>
      <c r="P283" s="36" t="str">
        <f ca="1">IFERROR(__xludf.DUMMYFUNCTION("""COMPUTED_VALUE"""),"")</f>
        <v/>
      </c>
      <c r="Q283" s="36" t="str">
        <f ca="1">IFERROR(__xludf.DUMMYFUNCTION("""COMPUTED_VALUE"""),"")</f>
        <v/>
      </c>
      <c r="R283" s="36" t="str">
        <f ca="1">IFERROR(__xludf.DUMMYFUNCTION("""COMPUTED_VALUE"""),"")</f>
        <v/>
      </c>
      <c r="S283" s="36" t="str">
        <f ca="1">IFERROR(__xludf.DUMMYFUNCTION("""COMPUTED_VALUE"""),"")</f>
        <v/>
      </c>
      <c r="T283" s="36" t="str">
        <f ca="1">IFERROR(__xludf.DUMMYFUNCTION("""COMPUTED_VALUE"""),"")</f>
        <v/>
      </c>
      <c r="U283" s="36" t="str">
        <f ca="1">IFERROR(__xludf.DUMMYFUNCTION("""COMPUTED_VALUE"""),"")</f>
        <v/>
      </c>
      <c r="V283" s="36" t="str">
        <f ca="1">IFERROR(__xludf.DUMMYFUNCTION("""COMPUTED_VALUE"""),"")</f>
        <v/>
      </c>
      <c r="W283" s="36" t="str">
        <f ca="1">IFERROR(__xludf.DUMMYFUNCTION("""COMPUTED_VALUE"""),"")</f>
        <v/>
      </c>
      <c r="X283" s="36"/>
      <c r="Y283" s="36"/>
      <c r="Z283" s="36"/>
    </row>
    <row r="284" spans="1:26" ht="12.75" hidden="1">
      <c r="A284" s="36" t="str">
        <f ca="1">IFERROR(__xludf.DUMMYFUNCTION("""COMPUTED_VALUE"""),"")</f>
        <v/>
      </c>
      <c r="B284" s="36" t="str">
        <f ca="1">IFERROR(__xludf.DUMMYFUNCTION("""COMPUTED_VALUE"""),"")</f>
        <v/>
      </c>
      <c r="C284" s="36" t="str">
        <f ca="1">IFERROR(__xludf.DUMMYFUNCTION("""COMPUTED_VALUE"""),"")</f>
        <v/>
      </c>
      <c r="D284" s="36" t="str">
        <f ca="1">IFERROR(__xludf.DUMMYFUNCTION("""COMPUTED_VALUE"""),"")</f>
        <v/>
      </c>
      <c r="E284" s="36" t="str">
        <f ca="1">IFERROR(__xludf.DUMMYFUNCTION("""COMPUTED_VALUE"""),"")</f>
        <v/>
      </c>
      <c r="F284" s="36" t="str">
        <f ca="1">IFERROR(__xludf.DUMMYFUNCTION("""COMPUTED_VALUE"""),"")</f>
        <v/>
      </c>
      <c r="G284" s="36" t="str">
        <f ca="1">IFERROR(__xludf.DUMMYFUNCTION("""COMPUTED_VALUE"""),"")</f>
        <v/>
      </c>
      <c r="H284" s="36" t="str">
        <f ca="1">IFERROR(__xludf.DUMMYFUNCTION("""COMPUTED_VALUE"""),"")</f>
        <v/>
      </c>
      <c r="I284" s="36" t="str">
        <f ca="1">IFERROR(__xludf.DUMMYFUNCTION("""COMPUTED_VALUE"""),"")</f>
        <v/>
      </c>
      <c r="J284" s="36" t="str">
        <f ca="1">IFERROR(__xludf.DUMMYFUNCTION("""COMPUTED_VALUE"""),"")</f>
        <v/>
      </c>
      <c r="K284" s="36" t="str">
        <f ca="1">IFERROR(__xludf.DUMMYFUNCTION("""COMPUTED_VALUE"""),"")</f>
        <v/>
      </c>
      <c r="L284" s="36" t="str">
        <f ca="1">IFERROR(__xludf.DUMMYFUNCTION("""COMPUTED_VALUE"""),"")</f>
        <v/>
      </c>
      <c r="M284" s="36" t="str">
        <f ca="1">IFERROR(__xludf.DUMMYFUNCTION("""COMPUTED_VALUE"""),"")</f>
        <v/>
      </c>
      <c r="N284" s="36" t="str">
        <f ca="1">IFERROR(__xludf.DUMMYFUNCTION("""COMPUTED_VALUE"""),"")</f>
        <v/>
      </c>
      <c r="O284" s="36" t="str">
        <f ca="1">IFERROR(__xludf.DUMMYFUNCTION("""COMPUTED_VALUE"""),"")</f>
        <v/>
      </c>
      <c r="P284" s="36" t="str">
        <f ca="1">IFERROR(__xludf.DUMMYFUNCTION("""COMPUTED_VALUE"""),"")</f>
        <v/>
      </c>
      <c r="Q284" s="36" t="str">
        <f ca="1">IFERROR(__xludf.DUMMYFUNCTION("""COMPUTED_VALUE"""),"")</f>
        <v/>
      </c>
      <c r="R284" s="36" t="str">
        <f ca="1">IFERROR(__xludf.DUMMYFUNCTION("""COMPUTED_VALUE"""),"")</f>
        <v/>
      </c>
      <c r="S284" s="36" t="str">
        <f ca="1">IFERROR(__xludf.DUMMYFUNCTION("""COMPUTED_VALUE"""),"")</f>
        <v/>
      </c>
      <c r="T284" s="36" t="str">
        <f ca="1">IFERROR(__xludf.DUMMYFUNCTION("""COMPUTED_VALUE"""),"")</f>
        <v/>
      </c>
      <c r="U284" s="36" t="str">
        <f ca="1">IFERROR(__xludf.DUMMYFUNCTION("""COMPUTED_VALUE"""),"")</f>
        <v/>
      </c>
      <c r="V284" s="36" t="str">
        <f ca="1">IFERROR(__xludf.DUMMYFUNCTION("""COMPUTED_VALUE"""),"")</f>
        <v/>
      </c>
      <c r="W284" s="36" t="str">
        <f ca="1">IFERROR(__xludf.DUMMYFUNCTION("""COMPUTED_VALUE"""),"")</f>
        <v/>
      </c>
      <c r="X284" s="36"/>
      <c r="Y284" s="36"/>
      <c r="Z284" s="36"/>
    </row>
    <row r="285" spans="1:26" ht="12.75" hidden="1">
      <c r="A285" s="36" t="str">
        <f ca="1">IFERROR(__xludf.DUMMYFUNCTION("""COMPUTED_VALUE"""),"")</f>
        <v/>
      </c>
      <c r="B285" s="36" t="str">
        <f ca="1">IFERROR(__xludf.DUMMYFUNCTION("""COMPUTED_VALUE"""),"")</f>
        <v/>
      </c>
      <c r="C285" s="36" t="str">
        <f ca="1">IFERROR(__xludf.DUMMYFUNCTION("""COMPUTED_VALUE"""),"")</f>
        <v/>
      </c>
      <c r="D285" s="36" t="str">
        <f ca="1">IFERROR(__xludf.DUMMYFUNCTION("""COMPUTED_VALUE"""),"")</f>
        <v/>
      </c>
      <c r="E285" s="36" t="str">
        <f ca="1">IFERROR(__xludf.DUMMYFUNCTION("""COMPUTED_VALUE"""),"")</f>
        <v/>
      </c>
      <c r="F285" s="36" t="str">
        <f ca="1">IFERROR(__xludf.DUMMYFUNCTION("""COMPUTED_VALUE"""),"")</f>
        <v/>
      </c>
      <c r="G285" s="36" t="str">
        <f ca="1">IFERROR(__xludf.DUMMYFUNCTION("""COMPUTED_VALUE"""),"")</f>
        <v/>
      </c>
      <c r="H285" s="36" t="str">
        <f ca="1">IFERROR(__xludf.DUMMYFUNCTION("""COMPUTED_VALUE"""),"")</f>
        <v/>
      </c>
      <c r="I285" s="36" t="str">
        <f ca="1">IFERROR(__xludf.DUMMYFUNCTION("""COMPUTED_VALUE"""),"")</f>
        <v/>
      </c>
      <c r="J285" s="36" t="str">
        <f ca="1">IFERROR(__xludf.DUMMYFUNCTION("""COMPUTED_VALUE"""),"")</f>
        <v/>
      </c>
      <c r="K285" s="36" t="str">
        <f ca="1">IFERROR(__xludf.DUMMYFUNCTION("""COMPUTED_VALUE"""),"")</f>
        <v/>
      </c>
      <c r="L285" s="36" t="str">
        <f ca="1">IFERROR(__xludf.DUMMYFUNCTION("""COMPUTED_VALUE"""),"")</f>
        <v/>
      </c>
      <c r="M285" s="36" t="str">
        <f ca="1">IFERROR(__xludf.DUMMYFUNCTION("""COMPUTED_VALUE"""),"")</f>
        <v/>
      </c>
      <c r="N285" s="36" t="str">
        <f ca="1">IFERROR(__xludf.DUMMYFUNCTION("""COMPUTED_VALUE"""),"")</f>
        <v/>
      </c>
      <c r="O285" s="36" t="str">
        <f ca="1">IFERROR(__xludf.DUMMYFUNCTION("""COMPUTED_VALUE"""),"")</f>
        <v/>
      </c>
      <c r="P285" s="36" t="str">
        <f ca="1">IFERROR(__xludf.DUMMYFUNCTION("""COMPUTED_VALUE"""),"")</f>
        <v/>
      </c>
      <c r="Q285" s="36" t="str">
        <f ca="1">IFERROR(__xludf.DUMMYFUNCTION("""COMPUTED_VALUE"""),"")</f>
        <v/>
      </c>
      <c r="R285" s="36" t="str">
        <f ca="1">IFERROR(__xludf.DUMMYFUNCTION("""COMPUTED_VALUE"""),"")</f>
        <v/>
      </c>
      <c r="S285" s="36" t="str">
        <f ca="1">IFERROR(__xludf.DUMMYFUNCTION("""COMPUTED_VALUE"""),"")</f>
        <v/>
      </c>
      <c r="T285" s="36" t="str">
        <f ca="1">IFERROR(__xludf.DUMMYFUNCTION("""COMPUTED_VALUE"""),"")</f>
        <v/>
      </c>
      <c r="U285" s="36" t="str">
        <f ca="1">IFERROR(__xludf.DUMMYFUNCTION("""COMPUTED_VALUE"""),"")</f>
        <v/>
      </c>
      <c r="V285" s="36" t="str">
        <f ca="1">IFERROR(__xludf.DUMMYFUNCTION("""COMPUTED_VALUE"""),"")</f>
        <v/>
      </c>
      <c r="W285" s="36" t="str">
        <f ca="1">IFERROR(__xludf.DUMMYFUNCTION("""COMPUTED_VALUE"""),"")</f>
        <v/>
      </c>
      <c r="X285" s="36"/>
      <c r="Y285" s="36"/>
      <c r="Z285" s="36"/>
    </row>
    <row r="286" spans="1:26" ht="12.75" hidden="1">
      <c r="A286" s="36" t="str">
        <f ca="1">IFERROR(__xludf.DUMMYFUNCTION("""COMPUTED_VALUE"""),"")</f>
        <v/>
      </c>
      <c r="B286" s="36" t="str">
        <f ca="1">IFERROR(__xludf.DUMMYFUNCTION("""COMPUTED_VALUE"""),"")</f>
        <v/>
      </c>
      <c r="C286" s="36" t="str">
        <f ca="1">IFERROR(__xludf.DUMMYFUNCTION("""COMPUTED_VALUE"""),"")</f>
        <v/>
      </c>
      <c r="D286" s="36" t="str">
        <f ca="1">IFERROR(__xludf.DUMMYFUNCTION("""COMPUTED_VALUE"""),"")</f>
        <v/>
      </c>
      <c r="E286" s="36" t="str">
        <f ca="1">IFERROR(__xludf.DUMMYFUNCTION("""COMPUTED_VALUE"""),"")</f>
        <v/>
      </c>
      <c r="F286" s="36" t="str">
        <f ca="1">IFERROR(__xludf.DUMMYFUNCTION("""COMPUTED_VALUE"""),"")</f>
        <v/>
      </c>
      <c r="G286" s="36" t="str">
        <f ca="1">IFERROR(__xludf.DUMMYFUNCTION("""COMPUTED_VALUE"""),"")</f>
        <v/>
      </c>
      <c r="H286" s="36" t="str">
        <f ca="1">IFERROR(__xludf.DUMMYFUNCTION("""COMPUTED_VALUE"""),"")</f>
        <v/>
      </c>
      <c r="I286" s="36" t="str">
        <f ca="1">IFERROR(__xludf.DUMMYFUNCTION("""COMPUTED_VALUE"""),"")</f>
        <v/>
      </c>
      <c r="J286" s="36" t="str">
        <f ca="1">IFERROR(__xludf.DUMMYFUNCTION("""COMPUTED_VALUE"""),"")</f>
        <v/>
      </c>
      <c r="K286" s="36" t="str">
        <f ca="1">IFERROR(__xludf.DUMMYFUNCTION("""COMPUTED_VALUE"""),"")</f>
        <v/>
      </c>
      <c r="L286" s="36" t="str">
        <f ca="1">IFERROR(__xludf.DUMMYFUNCTION("""COMPUTED_VALUE"""),"")</f>
        <v/>
      </c>
      <c r="M286" s="36" t="str">
        <f ca="1">IFERROR(__xludf.DUMMYFUNCTION("""COMPUTED_VALUE"""),"")</f>
        <v/>
      </c>
      <c r="N286" s="36" t="str">
        <f ca="1">IFERROR(__xludf.DUMMYFUNCTION("""COMPUTED_VALUE"""),"")</f>
        <v/>
      </c>
      <c r="O286" s="36" t="str">
        <f ca="1">IFERROR(__xludf.DUMMYFUNCTION("""COMPUTED_VALUE"""),"")</f>
        <v/>
      </c>
      <c r="P286" s="36" t="str">
        <f ca="1">IFERROR(__xludf.DUMMYFUNCTION("""COMPUTED_VALUE"""),"")</f>
        <v/>
      </c>
      <c r="Q286" s="36" t="str">
        <f ca="1">IFERROR(__xludf.DUMMYFUNCTION("""COMPUTED_VALUE"""),"")</f>
        <v/>
      </c>
      <c r="R286" s="36" t="str">
        <f ca="1">IFERROR(__xludf.DUMMYFUNCTION("""COMPUTED_VALUE"""),"")</f>
        <v/>
      </c>
      <c r="S286" s="36" t="str">
        <f ca="1">IFERROR(__xludf.DUMMYFUNCTION("""COMPUTED_VALUE"""),"")</f>
        <v/>
      </c>
      <c r="T286" s="36" t="str">
        <f ca="1">IFERROR(__xludf.DUMMYFUNCTION("""COMPUTED_VALUE"""),"")</f>
        <v/>
      </c>
      <c r="U286" s="36" t="str">
        <f ca="1">IFERROR(__xludf.DUMMYFUNCTION("""COMPUTED_VALUE"""),"")</f>
        <v/>
      </c>
      <c r="V286" s="36" t="str">
        <f ca="1">IFERROR(__xludf.DUMMYFUNCTION("""COMPUTED_VALUE"""),"")</f>
        <v/>
      </c>
      <c r="W286" s="36" t="str">
        <f ca="1">IFERROR(__xludf.DUMMYFUNCTION("""COMPUTED_VALUE"""),"")</f>
        <v/>
      </c>
      <c r="X286" s="36"/>
      <c r="Y286" s="36"/>
      <c r="Z286" s="36"/>
    </row>
    <row r="287" spans="1:26" ht="12.75" hidden="1">
      <c r="A287" s="36" t="str">
        <f ca="1">IFERROR(__xludf.DUMMYFUNCTION("""COMPUTED_VALUE"""),"")</f>
        <v/>
      </c>
      <c r="B287" s="36" t="str">
        <f ca="1">IFERROR(__xludf.DUMMYFUNCTION("""COMPUTED_VALUE"""),"")</f>
        <v/>
      </c>
      <c r="C287" s="36" t="str">
        <f ca="1">IFERROR(__xludf.DUMMYFUNCTION("""COMPUTED_VALUE"""),"")</f>
        <v/>
      </c>
      <c r="D287" s="36" t="str">
        <f ca="1">IFERROR(__xludf.DUMMYFUNCTION("""COMPUTED_VALUE"""),"")</f>
        <v/>
      </c>
      <c r="E287" s="36" t="str">
        <f ca="1">IFERROR(__xludf.DUMMYFUNCTION("""COMPUTED_VALUE"""),"")</f>
        <v/>
      </c>
      <c r="F287" s="36" t="str">
        <f ca="1">IFERROR(__xludf.DUMMYFUNCTION("""COMPUTED_VALUE"""),"")</f>
        <v/>
      </c>
      <c r="G287" s="36" t="str">
        <f ca="1">IFERROR(__xludf.DUMMYFUNCTION("""COMPUTED_VALUE"""),"")</f>
        <v/>
      </c>
      <c r="H287" s="36" t="str">
        <f ca="1">IFERROR(__xludf.DUMMYFUNCTION("""COMPUTED_VALUE"""),"")</f>
        <v/>
      </c>
      <c r="I287" s="36" t="str">
        <f ca="1">IFERROR(__xludf.DUMMYFUNCTION("""COMPUTED_VALUE"""),"")</f>
        <v/>
      </c>
      <c r="J287" s="36" t="str">
        <f ca="1">IFERROR(__xludf.DUMMYFUNCTION("""COMPUTED_VALUE"""),"")</f>
        <v/>
      </c>
      <c r="K287" s="36" t="str">
        <f ca="1">IFERROR(__xludf.DUMMYFUNCTION("""COMPUTED_VALUE"""),"")</f>
        <v/>
      </c>
      <c r="L287" s="36" t="str">
        <f ca="1">IFERROR(__xludf.DUMMYFUNCTION("""COMPUTED_VALUE"""),"")</f>
        <v/>
      </c>
      <c r="M287" s="36" t="str">
        <f ca="1">IFERROR(__xludf.DUMMYFUNCTION("""COMPUTED_VALUE"""),"")</f>
        <v/>
      </c>
      <c r="N287" s="36" t="str">
        <f ca="1">IFERROR(__xludf.DUMMYFUNCTION("""COMPUTED_VALUE"""),"")</f>
        <v/>
      </c>
      <c r="O287" s="36" t="str">
        <f ca="1">IFERROR(__xludf.DUMMYFUNCTION("""COMPUTED_VALUE"""),"")</f>
        <v/>
      </c>
      <c r="P287" s="36" t="str">
        <f ca="1">IFERROR(__xludf.DUMMYFUNCTION("""COMPUTED_VALUE"""),"")</f>
        <v/>
      </c>
      <c r="Q287" s="36" t="str">
        <f ca="1">IFERROR(__xludf.DUMMYFUNCTION("""COMPUTED_VALUE"""),"")</f>
        <v/>
      </c>
      <c r="R287" s="36" t="str">
        <f ca="1">IFERROR(__xludf.DUMMYFUNCTION("""COMPUTED_VALUE"""),"")</f>
        <v/>
      </c>
      <c r="S287" s="36" t="str">
        <f ca="1">IFERROR(__xludf.DUMMYFUNCTION("""COMPUTED_VALUE"""),"")</f>
        <v/>
      </c>
      <c r="T287" s="36" t="str">
        <f ca="1">IFERROR(__xludf.DUMMYFUNCTION("""COMPUTED_VALUE"""),"")</f>
        <v/>
      </c>
      <c r="U287" s="36" t="str">
        <f ca="1">IFERROR(__xludf.DUMMYFUNCTION("""COMPUTED_VALUE"""),"")</f>
        <v/>
      </c>
      <c r="V287" s="36" t="str">
        <f ca="1">IFERROR(__xludf.DUMMYFUNCTION("""COMPUTED_VALUE"""),"")</f>
        <v/>
      </c>
      <c r="W287" s="36" t="str">
        <f ca="1">IFERROR(__xludf.DUMMYFUNCTION("""COMPUTED_VALUE"""),"")</f>
        <v/>
      </c>
      <c r="X287" s="36"/>
      <c r="Y287" s="36"/>
      <c r="Z287" s="36"/>
    </row>
    <row r="288" spans="1:26" ht="12.75" hidden="1">
      <c r="A288" s="36" t="str">
        <f ca="1">IFERROR(__xludf.DUMMYFUNCTION("""COMPUTED_VALUE"""),"")</f>
        <v/>
      </c>
      <c r="B288" s="36" t="str">
        <f ca="1">IFERROR(__xludf.DUMMYFUNCTION("""COMPUTED_VALUE"""),"")</f>
        <v/>
      </c>
      <c r="C288" s="36" t="str">
        <f ca="1">IFERROR(__xludf.DUMMYFUNCTION("""COMPUTED_VALUE"""),"")</f>
        <v/>
      </c>
      <c r="D288" s="36" t="str">
        <f ca="1">IFERROR(__xludf.DUMMYFUNCTION("""COMPUTED_VALUE"""),"")</f>
        <v/>
      </c>
      <c r="E288" s="36" t="str">
        <f ca="1">IFERROR(__xludf.DUMMYFUNCTION("""COMPUTED_VALUE"""),"")</f>
        <v/>
      </c>
      <c r="F288" s="36" t="str">
        <f ca="1">IFERROR(__xludf.DUMMYFUNCTION("""COMPUTED_VALUE"""),"")</f>
        <v/>
      </c>
      <c r="G288" s="36" t="str">
        <f ca="1">IFERROR(__xludf.DUMMYFUNCTION("""COMPUTED_VALUE"""),"")</f>
        <v/>
      </c>
      <c r="H288" s="36" t="str">
        <f ca="1">IFERROR(__xludf.DUMMYFUNCTION("""COMPUTED_VALUE"""),"")</f>
        <v/>
      </c>
      <c r="I288" s="36" t="str">
        <f ca="1">IFERROR(__xludf.DUMMYFUNCTION("""COMPUTED_VALUE"""),"")</f>
        <v/>
      </c>
      <c r="J288" s="36" t="str">
        <f ca="1">IFERROR(__xludf.DUMMYFUNCTION("""COMPUTED_VALUE"""),"")</f>
        <v/>
      </c>
      <c r="K288" s="36" t="str">
        <f ca="1">IFERROR(__xludf.DUMMYFUNCTION("""COMPUTED_VALUE"""),"")</f>
        <v/>
      </c>
      <c r="L288" s="36" t="str">
        <f ca="1">IFERROR(__xludf.DUMMYFUNCTION("""COMPUTED_VALUE"""),"")</f>
        <v/>
      </c>
      <c r="M288" s="36" t="str">
        <f ca="1">IFERROR(__xludf.DUMMYFUNCTION("""COMPUTED_VALUE"""),"")</f>
        <v/>
      </c>
      <c r="N288" s="36" t="str">
        <f ca="1">IFERROR(__xludf.DUMMYFUNCTION("""COMPUTED_VALUE"""),"")</f>
        <v/>
      </c>
      <c r="O288" s="36" t="str">
        <f ca="1">IFERROR(__xludf.DUMMYFUNCTION("""COMPUTED_VALUE"""),"")</f>
        <v/>
      </c>
      <c r="P288" s="36" t="str">
        <f ca="1">IFERROR(__xludf.DUMMYFUNCTION("""COMPUTED_VALUE"""),"")</f>
        <v/>
      </c>
      <c r="Q288" s="36" t="str">
        <f ca="1">IFERROR(__xludf.DUMMYFUNCTION("""COMPUTED_VALUE"""),"")</f>
        <v/>
      </c>
      <c r="R288" s="36" t="str">
        <f ca="1">IFERROR(__xludf.DUMMYFUNCTION("""COMPUTED_VALUE"""),"")</f>
        <v/>
      </c>
      <c r="S288" s="36" t="str">
        <f ca="1">IFERROR(__xludf.DUMMYFUNCTION("""COMPUTED_VALUE"""),"")</f>
        <v/>
      </c>
      <c r="T288" s="36" t="str">
        <f ca="1">IFERROR(__xludf.DUMMYFUNCTION("""COMPUTED_VALUE"""),"")</f>
        <v/>
      </c>
      <c r="U288" s="36" t="str">
        <f ca="1">IFERROR(__xludf.DUMMYFUNCTION("""COMPUTED_VALUE"""),"")</f>
        <v/>
      </c>
      <c r="V288" s="36" t="str">
        <f ca="1">IFERROR(__xludf.DUMMYFUNCTION("""COMPUTED_VALUE"""),"")</f>
        <v/>
      </c>
      <c r="W288" s="36" t="str">
        <f ca="1">IFERROR(__xludf.DUMMYFUNCTION("""COMPUTED_VALUE"""),"")</f>
        <v/>
      </c>
      <c r="X288" s="36"/>
      <c r="Y288" s="36"/>
      <c r="Z288" s="36"/>
    </row>
    <row r="289" spans="1:26" ht="12.75" hidden="1">
      <c r="A289" s="36" t="str">
        <f ca="1">IFERROR(__xludf.DUMMYFUNCTION("""COMPUTED_VALUE"""),"")</f>
        <v/>
      </c>
      <c r="B289" s="36" t="str">
        <f ca="1">IFERROR(__xludf.DUMMYFUNCTION("""COMPUTED_VALUE"""),"")</f>
        <v/>
      </c>
      <c r="C289" s="36" t="str">
        <f ca="1">IFERROR(__xludf.DUMMYFUNCTION("""COMPUTED_VALUE"""),"")</f>
        <v/>
      </c>
      <c r="D289" s="36" t="str">
        <f ca="1">IFERROR(__xludf.DUMMYFUNCTION("""COMPUTED_VALUE"""),"")</f>
        <v/>
      </c>
      <c r="E289" s="36" t="str">
        <f ca="1">IFERROR(__xludf.DUMMYFUNCTION("""COMPUTED_VALUE"""),"")</f>
        <v/>
      </c>
      <c r="F289" s="36" t="str">
        <f ca="1">IFERROR(__xludf.DUMMYFUNCTION("""COMPUTED_VALUE"""),"")</f>
        <v/>
      </c>
      <c r="G289" s="36" t="str">
        <f ca="1">IFERROR(__xludf.DUMMYFUNCTION("""COMPUTED_VALUE"""),"")</f>
        <v/>
      </c>
      <c r="H289" s="36" t="str">
        <f ca="1">IFERROR(__xludf.DUMMYFUNCTION("""COMPUTED_VALUE"""),"")</f>
        <v/>
      </c>
      <c r="I289" s="36" t="str">
        <f ca="1">IFERROR(__xludf.DUMMYFUNCTION("""COMPUTED_VALUE"""),"")</f>
        <v/>
      </c>
      <c r="J289" s="36" t="str">
        <f ca="1">IFERROR(__xludf.DUMMYFUNCTION("""COMPUTED_VALUE"""),"")</f>
        <v/>
      </c>
      <c r="K289" s="36" t="str">
        <f ca="1">IFERROR(__xludf.DUMMYFUNCTION("""COMPUTED_VALUE"""),"")</f>
        <v/>
      </c>
      <c r="L289" s="36" t="str">
        <f ca="1">IFERROR(__xludf.DUMMYFUNCTION("""COMPUTED_VALUE"""),"")</f>
        <v/>
      </c>
      <c r="M289" s="36" t="str">
        <f ca="1">IFERROR(__xludf.DUMMYFUNCTION("""COMPUTED_VALUE"""),"")</f>
        <v/>
      </c>
      <c r="N289" s="36" t="str">
        <f ca="1">IFERROR(__xludf.DUMMYFUNCTION("""COMPUTED_VALUE"""),"")</f>
        <v/>
      </c>
      <c r="O289" s="36" t="str">
        <f ca="1">IFERROR(__xludf.DUMMYFUNCTION("""COMPUTED_VALUE"""),"")</f>
        <v/>
      </c>
      <c r="P289" s="36" t="str">
        <f ca="1">IFERROR(__xludf.DUMMYFUNCTION("""COMPUTED_VALUE"""),"")</f>
        <v/>
      </c>
      <c r="Q289" s="36" t="str">
        <f ca="1">IFERROR(__xludf.DUMMYFUNCTION("""COMPUTED_VALUE"""),"")</f>
        <v/>
      </c>
      <c r="R289" s="36" t="str">
        <f ca="1">IFERROR(__xludf.DUMMYFUNCTION("""COMPUTED_VALUE"""),"")</f>
        <v/>
      </c>
      <c r="S289" s="36" t="str">
        <f ca="1">IFERROR(__xludf.DUMMYFUNCTION("""COMPUTED_VALUE"""),"")</f>
        <v/>
      </c>
      <c r="T289" s="36" t="str">
        <f ca="1">IFERROR(__xludf.DUMMYFUNCTION("""COMPUTED_VALUE"""),"")</f>
        <v/>
      </c>
      <c r="U289" s="36" t="str">
        <f ca="1">IFERROR(__xludf.DUMMYFUNCTION("""COMPUTED_VALUE"""),"")</f>
        <v/>
      </c>
      <c r="V289" s="36" t="str">
        <f ca="1">IFERROR(__xludf.DUMMYFUNCTION("""COMPUTED_VALUE"""),"")</f>
        <v/>
      </c>
      <c r="W289" s="36" t="str">
        <f ca="1">IFERROR(__xludf.DUMMYFUNCTION("""COMPUTED_VALUE"""),"")</f>
        <v/>
      </c>
      <c r="X289" s="36"/>
      <c r="Y289" s="36"/>
      <c r="Z289" s="36"/>
    </row>
    <row r="290" spans="1:26" ht="12.75" hidden="1">
      <c r="A290" s="36" t="str">
        <f ca="1">IFERROR(__xludf.DUMMYFUNCTION("""COMPUTED_VALUE"""),"")</f>
        <v/>
      </c>
      <c r="B290" s="36" t="str">
        <f ca="1">IFERROR(__xludf.DUMMYFUNCTION("""COMPUTED_VALUE"""),"")</f>
        <v/>
      </c>
      <c r="C290" s="36" t="str">
        <f ca="1">IFERROR(__xludf.DUMMYFUNCTION("""COMPUTED_VALUE"""),"")</f>
        <v/>
      </c>
      <c r="D290" s="36" t="str">
        <f ca="1">IFERROR(__xludf.DUMMYFUNCTION("""COMPUTED_VALUE"""),"")</f>
        <v/>
      </c>
      <c r="E290" s="36" t="str">
        <f ca="1">IFERROR(__xludf.DUMMYFUNCTION("""COMPUTED_VALUE"""),"")</f>
        <v/>
      </c>
      <c r="F290" s="36" t="str">
        <f ca="1">IFERROR(__xludf.DUMMYFUNCTION("""COMPUTED_VALUE"""),"")</f>
        <v/>
      </c>
      <c r="G290" s="36" t="str">
        <f ca="1">IFERROR(__xludf.DUMMYFUNCTION("""COMPUTED_VALUE"""),"")</f>
        <v/>
      </c>
      <c r="H290" s="36" t="str">
        <f ca="1">IFERROR(__xludf.DUMMYFUNCTION("""COMPUTED_VALUE"""),"")</f>
        <v/>
      </c>
      <c r="I290" s="36" t="str">
        <f ca="1">IFERROR(__xludf.DUMMYFUNCTION("""COMPUTED_VALUE"""),"")</f>
        <v/>
      </c>
      <c r="J290" s="36" t="str">
        <f ca="1">IFERROR(__xludf.DUMMYFUNCTION("""COMPUTED_VALUE"""),"")</f>
        <v/>
      </c>
      <c r="K290" s="36" t="str">
        <f ca="1">IFERROR(__xludf.DUMMYFUNCTION("""COMPUTED_VALUE"""),"")</f>
        <v/>
      </c>
      <c r="L290" s="36" t="str">
        <f ca="1">IFERROR(__xludf.DUMMYFUNCTION("""COMPUTED_VALUE"""),"")</f>
        <v/>
      </c>
      <c r="M290" s="36" t="str">
        <f ca="1">IFERROR(__xludf.DUMMYFUNCTION("""COMPUTED_VALUE"""),"")</f>
        <v/>
      </c>
      <c r="N290" s="36" t="str">
        <f ca="1">IFERROR(__xludf.DUMMYFUNCTION("""COMPUTED_VALUE"""),"")</f>
        <v/>
      </c>
      <c r="O290" s="36" t="str">
        <f ca="1">IFERROR(__xludf.DUMMYFUNCTION("""COMPUTED_VALUE"""),"")</f>
        <v/>
      </c>
      <c r="P290" s="36" t="str">
        <f ca="1">IFERROR(__xludf.DUMMYFUNCTION("""COMPUTED_VALUE"""),"")</f>
        <v/>
      </c>
      <c r="Q290" s="36" t="str">
        <f ca="1">IFERROR(__xludf.DUMMYFUNCTION("""COMPUTED_VALUE"""),"")</f>
        <v/>
      </c>
      <c r="R290" s="36" t="str">
        <f ca="1">IFERROR(__xludf.DUMMYFUNCTION("""COMPUTED_VALUE"""),"")</f>
        <v/>
      </c>
      <c r="S290" s="36" t="str">
        <f ca="1">IFERROR(__xludf.DUMMYFUNCTION("""COMPUTED_VALUE"""),"")</f>
        <v/>
      </c>
      <c r="T290" s="36" t="str">
        <f ca="1">IFERROR(__xludf.DUMMYFUNCTION("""COMPUTED_VALUE"""),"")</f>
        <v/>
      </c>
      <c r="U290" s="36" t="str">
        <f ca="1">IFERROR(__xludf.DUMMYFUNCTION("""COMPUTED_VALUE"""),"")</f>
        <v/>
      </c>
      <c r="V290" s="36" t="str">
        <f ca="1">IFERROR(__xludf.DUMMYFUNCTION("""COMPUTED_VALUE"""),"")</f>
        <v/>
      </c>
      <c r="W290" s="36" t="str">
        <f ca="1">IFERROR(__xludf.DUMMYFUNCTION("""COMPUTED_VALUE"""),"")</f>
        <v/>
      </c>
      <c r="X290" s="36"/>
      <c r="Y290" s="36"/>
      <c r="Z290" s="36"/>
    </row>
    <row r="291" spans="1:26" ht="12.75" hidden="1">
      <c r="A291" s="36" t="str">
        <f ca="1">IFERROR(__xludf.DUMMYFUNCTION("""COMPUTED_VALUE"""),"")</f>
        <v/>
      </c>
      <c r="B291" s="36" t="str">
        <f ca="1">IFERROR(__xludf.DUMMYFUNCTION("""COMPUTED_VALUE"""),"")</f>
        <v/>
      </c>
      <c r="C291" s="36" t="str">
        <f ca="1">IFERROR(__xludf.DUMMYFUNCTION("""COMPUTED_VALUE"""),"")</f>
        <v/>
      </c>
      <c r="D291" s="36" t="str">
        <f ca="1">IFERROR(__xludf.DUMMYFUNCTION("""COMPUTED_VALUE"""),"")</f>
        <v/>
      </c>
      <c r="E291" s="36" t="str">
        <f ca="1">IFERROR(__xludf.DUMMYFUNCTION("""COMPUTED_VALUE"""),"")</f>
        <v/>
      </c>
      <c r="F291" s="36" t="str">
        <f ca="1">IFERROR(__xludf.DUMMYFUNCTION("""COMPUTED_VALUE"""),"")</f>
        <v/>
      </c>
      <c r="G291" s="36" t="str">
        <f ca="1">IFERROR(__xludf.DUMMYFUNCTION("""COMPUTED_VALUE"""),"")</f>
        <v/>
      </c>
      <c r="H291" s="36" t="str">
        <f ca="1">IFERROR(__xludf.DUMMYFUNCTION("""COMPUTED_VALUE"""),"")</f>
        <v/>
      </c>
      <c r="I291" s="36" t="str">
        <f ca="1">IFERROR(__xludf.DUMMYFUNCTION("""COMPUTED_VALUE"""),"")</f>
        <v/>
      </c>
      <c r="J291" s="36" t="str">
        <f ca="1">IFERROR(__xludf.DUMMYFUNCTION("""COMPUTED_VALUE"""),"")</f>
        <v/>
      </c>
      <c r="K291" s="36" t="str">
        <f ca="1">IFERROR(__xludf.DUMMYFUNCTION("""COMPUTED_VALUE"""),"")</f>
        <v/>
      </c>
      <c r="L291" s="36" t="str">
        <f ca="1">IFERROR(__xludf.DUMMYFUNCTION("""COMPUTED_VALUE"""),"")</f>
        <v/>
      </c>
      <c r="M291" s="36" t="str">
        <f ca="1">IFERROR(__xludf.DUMMYFUNCTION("""COMPUTED_VALUE"""),"")</f>
        <v/>
      </c>
      <c r="N291" s="36" t="str">
        <f ca="1">IFERROR(__xludf.DUMMYFUNCTION("""COMPUTED_VALUE"""),"")</f>
        <v/>
      </c>
      <c r="O291" s="36" t="str">
        <f ca="1">IFERROR(__xludf.DUMMYFUNCTION("""COMPUTED_VALUE"""),"")</f>
        <v/>
      </c>
      <c r="P291" s="36" t="str">
        <f ca="1">IFERROR(__xludf.DUMMYFUNCTION("""COMPUTED_VALUE"""),"")</f>
        <v/>
      </c>
      <c r="Q291" s="36" t="str">
        <f ca="1">IFERROR(__xludf.DUMMYFUNCTION("""COMPUTED_VALUE"""),"")</f>
        <v/>
      </c>
      <c r="R291" s="36" t="str">
        <f ca="1">IFERROR(__xludf.DUMMYFUNCTION("""COMPUTED_VALUE"""),"")</f>
        <v/>
      </c>
      <c r="S291" s="36" t="str">
        <f ca="1">IFERROR(__xludf.DUMMYFUNCTION("""COMPUTED_VALUE"""),"")</f>
        <v/>
      </c>
      <c r="T291" s="36" t="str">
        <f ca="1">IFERROR(__xludf.DUMMYFUNCTION("""COMPUTED_VALUE"""),"")</f>
        <v/>
      </c>
      <c r="U291" s="36" t="str">
        <f ca="1">IFERROR(__xludf.DUMMYFUNCTION("""COMPUTED_VALUE"""),"")</f>
        <v/>
      </c>
      <c r="V291" s="36" t="str">
        <f ca="1">IFERROR(__xludf.DUMMYFUNCTION("""COMPUTED_VALUE"""),"")</f>
        <v/>
      </c>
      <c r="W291" s="36" t="str">
        <f ca="1">IFERROR(__xludf.DUMMYFUNCTION("""COMPUTED_VALUE"""),"")</f>
        <v/>
      </c>
      <c r="X291" s="36"/>
      <c r="Y291" s="36"/>
      <c r="Z291" s="36"/>
    </row>
    <row r="292" spans="1:26" ht="12.75" hidden="1">
      <c r="A292" s="36" t="str">
        <f ca="1">IFERROR(__xludf.DUMMYFUNCTION("""COMPUTED_VALUE"""),"")</f>
        <v/>
      </c>
      <c r="B292" s="36" t="str">
        <f ca="1">IFERROR(__xludf.DUMMYFUNCTION("""COMPUTED_VALUE"""),"")</f>
        <v/>
      </c>
      <c r="C292" s="36" t="str">
        <f ca="1">IFERROR(__xludf.DUMMYFUNCTION("""COMPUTED_VALUE"""),"")</f>
        <v/>
      </c>
      <c r="D292" s="36" t="str">
        <f ca="1">IFERROR(__xludf.DUMMYFUNCTION("""COMPUTED_VALUE"""),"")</f>
        <v/>
      </c>
      <c r="E292" s="36" t="str">
        <f ca="1">IFERROR(__xludf.DUMMYFUNCTION("""COMPUTED_VALUE"""),"")</f>
        <v/>
      </c>
      <c r="F292" s="36" t="str">
        <f ca="1">IFERROR(__xludf.DUMMYFUNCTION("""COMPUTED_VALUE"""),"")</f>
        <v/>
      </c>
      <c r="G292" s="36" t="str">
        <f ca="1">IFERROR(__xludf.DUMMYFUNCTION("""COMPUTED_VALUE"""),"")</f>
        <v/>
      </c>
      <c r="H292" s="36" t="str">
        <f ca="1">IFERROR(__xludf.DUMMYFUNCTION("""COMPUTED_VALUE"""),"")</f>
        <v/>
      </c>
      <c r="I292" s="36" t="str">
        <f ca="1">IFERROR(__xludf.DUMMYFUNCTION("""COMPUTED_VALUE"""),"")</f>
        <v/>
      </c>
      <c r="J292" s="36" t="str">
        <f ca="1">IFERROR(__xludf.DUMMYFUNCTION("""COMPUTED_VALUE"""),"")</f>
        <v/>
      </c>
      <c r="K292" s="36" t="str">
        <f ca="1">IFERROR(__xludf.DUMMYFUNCTION("""COMPUTED_VALUE"""),"")</f>
        <v/>
      </c>
      <c r="L292" s="36" t="str">
        <f ca="1">IFERROR(__xludf.DUMMYFUNCTION("""COMPUTED_VALUE"""),"")</f>
        <v/>
      </c>
      <c r="M292" s="36" t="str">
        <f ca="1">IFERROR(__xludf.DUMMYFUNCTION("""COMPUTED_VALUE"""),"")</f>
        <v/>
      </c>
      <c r="N292" s="36" t="str">
        <f ca="1">IFERROR(__xludf.DUMMYFUNCTION("""COMPUTED_VALUE"""),"")</f>
        <v/>
      </c>
      <c r="O292" s="36" t="str">
        <f ca="1">IFERROR(__xludf.DUMMYFUNCTION("""COMPUTED_VALUE"""),"")</f>
        <v/>
      </c>
      <c r="P292" s="36" t="str">
        <f ca="1">IFERROR(__xludf.DUMMYFUNCTION("""COMPUTED_VALUE"""),"")</f>
        <v/>
      </c>
      <c r="Q292" s="36" t="str">
        <f ca="1">IFERROR(__xludf.DUMMYFUNCTION("""COMPUTED_VALUE"""),"")</f>
        <v/>
      </c>
      <c r="R292" s="36" t="str">
        <f ca="1">IFERROR(__xludf.DUMMYFUNCTION("""COMPUTED_VALUE"""),"")</f>
        <v/>
      </c>
      <c r="S292" s="36" t="str">
        <f ca="1">IFERROR(__xludf.DUMMYFUNCTION("""COMPUTED_VALUE"""),"")</f>
        <v/>
      </c>
      <c r="T292" s="36" t="str">
        <f ca="1">IFERROR(__xludf.DUMMYFUNCTION("""COMPUTED_VALUE"""),"")</f>
        <v/>
      </c>
      <c r="U292" s="36" t="str">
        <f ca="1">IFERROR(__xludf.DUMMYFUNCTION("""COMPUTED_VALUE"""),"")</f>
        <v/>
      </c>
      <c r="V292" s="36" t="str">
        <f ca="1">IFERROR(__xludf.DUMMYFUNCTION("""COMPUTED_VALUE"""),"")</f>
        <v/>
      </c>
      <c r="W292" s="36" t="str">
        <f ca="1">IFERROR(__xludf.DUMMYFUNCTION("""COMPUTED_VALUE"""),"")</f>
        <v/>
      </c>
      <c r="X292" s="36"/>
      <c r="Y292" s="36"/>
      <c r="Z292" s="36"/>
    </row>
    <row r="293" spans="1:26" ht="12.75" hidden="1">
      <c r="A293" s="36" t="str">
        <f ca="1">IFERROR(__xludf.DUMMYFUNCTION("""COMPUTED_VALUE"""),"")</f>
        <v/>
      </c>
      <c r="B293" s="36" t="str">
        <f ca="1">IFERROR(__xludf.DUMMYFUNCTION("""COMPUTED_VALUE"""),"")</f>
        <v/>
      </c>
      <c r="C293" s="36" t="str">
        <f ca="1">IFERROR(__xludf.DUMMYFUNCTION("""COMPUTED_VALUE"""),"")</f>
        <v/>
      </c>
      <c r="D293" s="36" t="str">
        <f ca="1">IFERROR(__xludf.DUMMYFUNCTION("""COMPUTED_VALUE"""),"")</f>
        <v/>
      </c>
      <c r="E293" s="36" t="str">
        <f ca="1">IFERROR(__xludf.DUMMYFUNCTION("""COMPUTED_VALUE"""),"")</f>
        <v/>
      </c>
      <c r="F293" s="36" t="str">
        <f ca="1">IFERROR(__xludf.DUMMYFUNCTION("""COMPUTED_VALUE"""),"")</f>
        <v/>
      </c>
      <c r="G293" s="36" t="str">
        <f ca="1">IFERROR(__xludf.DUMMYFUNCTION("""COMPUTED_VALUE"""),"")</f>
        <v/>
      </c>
      <c r="H293" s="36" t="str">
        <f ca="1">IFERROR(__xludf.DUMMYFUNCTION("""COMPUTED_VALUE"""),"")</f>
        <v/>
      </c>
      <c r="I293" s="36" t="str">
        <f ca="1">IFERROR(__xludf.DUMMYFUNCTION("""COMPUTED_VALUE"""),"")</f>
        <v/>
      </c>
      <c r="J293" s="36" t="str">
        <f ca="1">IFERROR(__xludf.DUMMYFUNCTION("""COMPUTED_VALUE"""),"")</f>
        <v/>
      </c>
      <c r="K293" s="36" t="str">
        <f ca="1">IFERROR(__xludf.DUMMYFUNCTION("""COMPUTED_VALUE"""),"")</f>
        <v/>
      </c>
      <c r="L293" s="36" t="str">
        <f ca="1">IFERROR(__xludf.DUMMYFUNCTION("""COMPUTED_VALUE"""),"")</f>
        <v/>
      </c>
      <c r="M293" s="36" t="str">
        <f ca="1">IFERROR(__xludf.DUMMYFUNCTION("""COMPUTED_VALUE"""),"")</f>
        <v/>
      </c>
      <c r="N293" s="36" t="str">
        <f ca="1">IFERROR(__xludf.DUMMYFUNCTION("""COMPUTED_VALUE"""),"")</f>
        <v/>
      </c>
      <c r="O293" s="36" t="str">
        <f ca="1">IFERROR(__xludf.DUMMYFUNCTION("""COMPUTED_VALUE"""),"")</f>
        <v/>
      </c>
      <c r="P293" s="36" t="str">
        <f ca="1">IFERROR(__xludf.DUMMYFUNCTION("""COMPUTED_VALUE"""),"")</f>
        <v/>
      </c>
      <c r="Q293" s="36" t="str">
        <f ca="1">IFERROR(__xludf.DUMMYFUNCTION("""COMPUTED_VALUE"""),"")</f>
        <v/>
      </c>
      <c r="R293" s="36" t="str">
        <f ca="1">IFERROR(__xludf.DUMMYFUNCTION("""COMPUTED_VALUE"""),"")</f>
        <v/>
      </c>
      <c r="S293" s="36" t="str">
        <f ca="1">IFERROR(__xludf.DUMMYFUNCTION("""COMPUTED_VALUE"""),"")</f>
        <v/>
      </c>
      <c r="T293" s="36" t="str">
        <f ca="1">IFERROR(__xludf.DUMMYFUNCTION("""COMPUTED_VALUE"""),"")</f>
        <v/>
      </c>
      <c r="U293" s="36" t="str">
        <f ca="1">IFERROR(__xludf.DUMMYFUNCTION("""COMPUTED_VALUE"""),"")</f>
        <v/>
      </c>
      <c r="V293" s="36" t="str">
        <f ca="1">IFERROR(__xludf.DUMMYFUNCTION("""COMPUTED_VALUE"""),"")</f>
        <v/>
      </c>
      <c r="W293" s="36" t="str">
        <f ca="1">IFERROR(__xludf.DUMMYFUNCTION("""COMPUTED_VALUE"""),"")</f>
        <v/>
      </c>
      <c r="X293" s="36"/>
      <c r="Y293" s="36"/>
      <c r="Z293" s="36"/>
    </row>
    <row r="294" spans="1:26" ht="12.75" hidden="1">
      <c r="A294" s="36" t="str">
        <f ca="1">IFERROR(__xludf.DUMMYFUNCTION("""COMPUTED_VALUE"""),"")</f>
        <v/>
      </c>
      <c r="B294" s="36" t="str">
        <f ca="1">IFERROR(__xludf.DUMMYFUNCTION("""COMPUTED_VALUE"""),"")</f>
        <v/>
      </c>
      <c r="C294" s="36" t="str">
        <f ca="1">IFERROR(__xludf.DUMMYFUNCTION("""COMPUTED_VALUE"""),"")</f>
        <v/>
      </c>
      <c r="D294" s="36" t="str">
        <f ca="1">IFERROR(__xludf.DUMMYFUNCTION("""COMPUTED_VALUE"""),"")</f>
        <v/>
      </c>
      <c r="E294" s="36" t="str">
        <f ca="1">IFERROR(__xludf.DUMMYFUNCTION("""COMPUTED_VALUE"""),"")</f>
        <v/>
      </c>
      <c r="F294" s="36" t="str">
        <f ca="1">IFERROR(__xludf.DUMMYFUNCTION("""COMPUTED_VALUE"""),"")</f>
        <v/>
      </c>
      <c r="G294" s="36" t="str">
        <f ca="1">IFERROR(__xludf.DUMMYFUNCTION("""COMPUTED_VALUE"""),"")</f>
        <v/>
      </c>
      <c r="H294" s="36" t="str">
        <f ca="1">IFERROR(__xludf.DUMMYFUNCTION("""COMPUTED_VALUE"""),"")</f>
        <v/>
      </c>
      <c r="I294" s="36" t="str">
        <f ca="1">IFERROR(__xludf.DUMMYFUNCTION("""COMPUTED_VALUE"""),"")</f>
        <v/>
      </c>
      <c r="J294" s="36" t="str">
        <f ca="1">IFERROR(__xludf.DUMMYFUNCTION("""COMPUTED_VALUE"""),"")</f>
        <v/>
      </c>
      <c r="K294" s="36" t="str">
        <f ca="1">IFERROR(__xludf.DUMMYFUNCTION("""COMPUTED_VALUE"""),"")</f>
        <v/>
      </c>
      <c r="L294" s="36" t="str">
        <f ca="1">IFERROR(__xludf.DUMMYFUNCTION("""COMPUTED_VALUE"""),"")</f>
        <v/>
      </c>
      <c r="M294" s="36" t="str">
        <f ca="1">IFERROR(__xludf.DUMMYFUNCTION("""COMPUTED_VALUE"""),"")</f>
        <v/>
      </c>
      <c r="N294" s="36" t="str">
        <f ca="1">IFERROR(__xludf.DUMMYFUNCTION("""COMPUTED_VALUE"""),"")</f>
        <v/>
      </c>
      <c r="O294" s="36" t="str">
        <f ca="1">IFERROR(__xludf.DUMMYFUNCTION("""COMPUTED_VALUE"""),"")</f>
        <v/>
      </c>
      <c r="P294" s="36" t="str">
        <f ca="1">IFERROR(__xludf.DUMMYFUNCTION("""COMPUTED_VALUE"""),"")</f>
        <v/>
      </c>
      <c r="Q294" s="36" t="str">
        <f ca="1">IFERROR(__xludf.DUMMYFUNCTION("""COMPUTED_VALUE"""),"")</f>
        <v/>
      </c>
      <c r="R294" s="36" t="str">
        <f ca="1">IFERROR(__xludf.DUMMYFUNCTION("""COMPUTED_VALUE"""),"")</f>
        <v/>
      </c>
      <c r="S294" s="36" t="str">
        <f ca="1">IFERROR(__xludf.DUMMYFUNCTION("""COMPUTED_VALUE"""),"")</f>
        <v/>
      </c>
      <c r="T294" s="36" t="str">
        <f ca="1">IFERROR(__xludf.DUMMYFUNCTION("""COMPUTED_VALUE"""),"")</f>
        <v/>
      </c>
      <c r="U294" s="36" t="str">
        <f ca="1">IFERROR(__xludf.DUMMYFUNCTION("""COMPUTED_VALUE"""),"")</f>
        <v/>
      </c>
      <c r="V294" s="36" t="str">
        <f ca="1">IFERROR(__xludf.DUMMYFUNCTION("""COMPUTED_VALUE"""),"")</f>
        <v/>
      </c>
      <c r="W294" s="36" t="str">
        <f ca="1">IFERROR(__xludf.DUMMYFUNCTION("""COMPUTED_VALUE"""),"")</f>
        <v/>
      </c>
      <c r="X294" s="36"/>
      <c r="Y294" s="36"/>
      <c r="Z294" s="36"/>
    </row>
    <row r="295" spans="1:26" ht="12.75" hidden="1">
      <c r="A295" s="36" t="str">
        <f ca="1">IFERROR(__xludf.DUMMYFUNCTION("""COMPUTED_VALUE"""),"")</f>
        <v/>
      </c>
      <c r="B295" s="36" t="str">
        <f ca="1">IFERROR(__xludf.DUMMYFUNCTION("""COMPUTED_VALUE"""),"")</f>
        <v/>
      </c>
      <c r="C295" s="36" t="str">
        <f ca="1">IFERROR(__xludf.DUMMYFUNCTION("""COMPUTED_VALUE"""),"")</f>
        <v/>
      </c>
      <c r="D295" s="36" t="str">
        <f ca="1">IFERROR(__xludf.DUMMYFUNCTION("""COMPUTED_VALUE"""),"")</f>
        <v/>
      </c>
      <c r="E295" s="36" t="str">
        <f ca="1">IFERROR(__xludf.DUMMYFUNCTION("""COMPUTED_VALUE"""),"")</f>
        <v/>
      </c>
      <c r="F295" s="36" t="str">
        <f ca="1">IFERROR(__xludf.DUMMYFUNCTION("""COMPUTED_VALUE"""),"")</f>
        <v/>
      </c>
      <c r="G295" s="36" t="str">
        <f ca="1">IFERROR(__xludf.DUMMYFUNCTION("""COMPUTED_VALUE"""),"")</f>
        <v/>
      </c>
      <c r="H295" s="36" t="str">
        <f ca="1">IFERROR(__xludf.DUMMYFUNCTION("""COMPUTED_VALUE"""),"")</f>
        <v/>
      </c>
      <c r="I295" s="36" t="str">
        <f ca="1">IFERROR(__xludf.DUMMYFUNCTION("""COMPUTED_VALUE"""),"")</f>
        <v/>
      </c>
      <c r="J295" s="36" t="str">
        <f ca="1">IFERROR(__xludf.DUMMYFUNCTION("""COMPUTED_VALUE"""),"")</f>
        <v/>
      </c>
      <c r="K295" s="36" t="str">
        <f ca="1">IFERROR(__xludf.DUMMYFUNCTION("""COMPUTED_VALUE"""),"")</f>
        <v/>
      </c>
      <c r="L295" s="36" t="str">
        <f ca="1">IFERROR(__xludf.DUMMYFUNCTION("""COMPUTED_VALUE"""),"")</f>
        <v/>
      </c>
      <c r="M295" s="36" t="str">
        <f ca="1">IFERROR(__xludf.DUMMYFUNCTION("""COMPUTED_VALUE"""),"")</f>
        <v/>
      </c>
      <c r="N295" s="36" t="str">
        <f ca="1">IFERROR(__xludf.DUMMYFUNCTION("""COMPUTED_VALUE"""),"")</f>
        <v/>
      </c>
      <c r="O295" s="36" t="str">
        <f ca="1">IFERROR(__xludf.DUMMYFUNCTION("""COMPUTED_VALUE"""),"")</f>
        <v/>
      </c>
      <c r="P295" s="36" t="str">
        <f ca="1">IFERROR(__xludf.DUMMYFUNCTION("""COMPUTED_VALUE"""),"")</f>
        <v/>
      </c>
      <c r="Q295" s="36" t="str">
        <f ca="1">IFERROR(__xludf.DUMMYFUNCTION("""COMPUTED_VALUE"""),"")</f>
        <v/>
      </c>
      <c r="R295" s="36" t="str">
        <f ca="1">IFERROR(__xludf.DUMMYFUNCTION("""COMPUTED_VALUE"""),"")</f>
        <v/>
      </c>
      <c r="S295" s="36" t="str">
        <f ca="1">IFERROR(__xludf.DUMMYFUNCTION("""COMPUTED_VALUE"""),"")</f>
        <v/>
      </c>
      <c r="T295" s="36" t="str">
        <f ca="1">IFERROR(__xludf.DUMMYFUNCTION("""COMPUTED_VALUE"""),"")</f>
        <v/>
      </c>
      <c r="U295" s="36" t="str">
        <f ca="1">IFERROR(__xludf.DUMMYFUNCTION("""COMPUTED_VALUE"""),"")</f>
        <v/>
      </c>
      <c r="V295" s="36" t="str">
        <f ca="1">IFERROR(__xludf.DUMMYFUNCTION("""COMPUTED_VALUE"""),"")</f>
        <v/>
      </c>
      <c r="W295" s="36" t="str">
        <f ca="1">IFERROR(__xludf.DUMMYFUNCTION("""COMPUTED_VALUE"""),"")</f>
        <v/>
      </c>
      <c r="X295" s="36"/>
      <c r="Y295" s="36"/>
      <c r="Z295" s="36"/>
    </row>
    <row r="296" spans="1:26" ht="12.75" hidden="1">
      <c r="A296" s="36" t="str">
        <f ca="1">IFERROR(__xludf.DUMMYFUNCTION("""COMPUTED_VALUE"""),"")</f>
        <v/>
      </c>
      <c r="B296" s="36" t="str">
        <f ca="1">IFERROR(__xludf.DUMMYFUNCTION("""COMPUTED_VALUE"""),"")</f>
        <v/>
      </c>
      <c r="C296" s="36" t="str">
        <f ca="1">IFERROR(__xludf.DUMMYFUNCTION("""COMPUTED_VALUE"""),"")</f>
        <v/>
      </c>
      <c r="D296" s="36" t="str">
        <f ca="1">IFERROR(__xludf.DUMMYFUNCTION("""COMPUTED_VALUE"""),"")</f>
        <v/>
      </c>
      <c r="E296" s="36" t="str">
        <f ca="1">IFERROR(__xludf.DUMMYFUNCTION("""COMPUTED_VALUE"""),"")</f>
        <v/>
      </c>
      <c r="F296" s="36" t="str">
        <f ca="1">IFERROR(__xludf.DUMMYFUNCTION("""COMPUTED_VALUE"""),"")</f>
        <v/>
      </c>
      <c r="G296" s="36" t="str">
        <f ca="1">IFERROR(__xludf.DUMMYFUNCTION("""COMPUTED_VALUE"""),"")</f>
        <v/>
      </c>
      <c r="H296" s="36" t="str">
        <f ca="1">IFERROR(__xludf.DUMMYFUNCTION("""COMPUTED_VALUE"""),"")</f>
        <v/>
      </c>
      <c r="I296" s="36" t="str">
        <f ca="1">IFERROR(__xludf.DUMMYFUNCTION("""COMPUTED_VALUE"""),"")</f>
        <v/>
      </c>
      <c r="J296" s="36" t="str">
        <f ca="1">IFERROR(__xludf.DUMMYFUNCTION("""COMPUTED_VALUE"""),"")</f>
        <v/>
      </c>
      <c r="K296" s="36" t="str">
        <f ca="1">IFERROR(__xludf.DUMMYFUNCTION("""COMPUTED_VALUE"""),"")</f>
        <v/>
      </c>
      <c r="L296" s="36" t="str">
        <f ca="1">IFERROR(__xludf.DUMMYFUNCTION("""COMPUTED_VALUE"""),"")</f>
        <v/>
      </c>
      <c r="M296" s="36" t="str">
        <f ca="1">IFERROR(__xludf.DUMMYFUNCTION("""COMPUTED_VALUE"""),"")</f>
        <v/>
      </c>
      <c r="N296" s="36" t="str">
        <f ca="1">IFERROR(__xludf.DUMMYFUNCTION("""COMPUTED_VALUE"""),"")</f>
        <v/>
      </c>
      <c r="O296" s="36" t="str">
        <f ca="1">IFERROR(__xludf.DUMMYFUNCTION("""COMPUTED_VALUE"""),"")</f>
        <v/>
      </c>
      <c r="P296" s="36" t="str">
        <f ca="1">IFERROR(__xludf.DUMMYFUNCTION("""COMPUTED_VALUE"""),"")</f>
        <v/>
      </c>
      <c r="Q296" s="36" t="str">
        <f ca="1">IFERROR(__xludf.DUMMYFUNCTION("""COMPUTED_VALUE"""),"")</f>
        <v/>
      </c>
      <c r="R296" s="36" t="str">
        <f ca="1">IFERROR(__xludf.DUMMYFUNCTION("""COMPUTED_VALUE"""),"")</f>
        <v/>
      </c>
      <c r="S296" s="36" t="str">
        <f ca="1">IFERROR(__xludf.DUMMYFUNCTION("""COMPUTED_VALUE"""),"")</f>
        <v/>
      </c>
      <c r="T296" s="36" t="str">
        <f ca="1">IFERROR(__xludf.DUMMYFUNCTION("""COMPUTED_VALUE"""),"")</f>
        <v/>
      </c>
      <c r="U296" s="36" t="str">
        <f ca="1">IFERROR(__xludf.DUMMYFUNCTION("""COMPUTED_VALUE"""),"")</f>
        <v/>
      </c>
      <c r="V296" s="36" t="str">
        <f ca="1">IFERROR(__xludf.DUMMYFUNCTION("""COMPUTED_VALUE"""),"")</f>
        <v/>
      </c>
      <c r="W296" s="36" t="str">
        <f ca="1">IFERROR(__xludf.DUMMYFUNCTION("""COMPUTED_VALUE"""),"")</f>
        <v/>
      </c>
      <c r="X296" s="36"/>
      <c r="Y296" s="36"/>
      <c r="Z296" s="36"/>
    </row>
    <row r="297" spans="1:26" ht="12.75" hidden="1">
      <c r="A297" s="36" t="str">
        <f ca="1">IFERROR(__xludf.DUMMYFUNCTION("""COMPUTED_VALUE"""),"")</f>
        <v/>
      </c>
      <c r="B297" s="36" t="str">
        <f ca="1">IFERROR(__xludf.DUMMYFUNCTION("""COMPUTED_VALUE"""),"")</f>
        <v/>
      </c>
      <c r="C297" s="36" t="str">
        <f ca="1">IFERROR(__xludf.DUMMYFUNCTION("""COMPUTED_VALUE"""),"")</f>
        <v/>
      </c>
      <c r="D297" s="36" t="str">
        <f ca="1">IFERROR(__xludf.DUMMYFUNCTION("""COMPUTED_VALUE"""),"")</f>
        <v/>
      </c>
      <c r="E297" s="36" t="str">
        <f ca="1">IFERROR(__xludf.DUMMYFUNCTION("""COMPUTED_VALUE"""),"")</f>
        <v/>
      </c>
      <c r="F297" s="36" t="str">
        <f ca="1">IFERROR(__xludf.DUMMYFUNCTION("""COMPUTED_VALUE"""),"")</f>
        <v/>
      </c>
      <c r="G297" s="36" t="str">
        <f ca="1">IFERROR(__xludf.DUMMYFUNCTION("""COMPUTED_VALUE"""),"")</f>
        <v/>
      </c>
      <c r="H297" s="36" t="str">
        <f ca="1">IFERROR(__xludf.DUMMYFUNCTION("""COMPUTED_VALUE"""),"")</f>
        <v/>
      </c>
      <c r="I297" s="36" t="str">
        <f ca="1">IFERROR(__xludf.DUMMYFUNCTION("""COMPUTED_VALUE"""),"")</f>
        <v/>
      </c>
      <c r="J297" s="36" t="str">
        <f ca="1">IFERROR(__xludf.DUMMYFUNCTION("""COMPUTED_VALUE"""),"")</f>
        <v/>
      </c>
      <c r="K297" s="36" t="str">
        <f ca="1">IFERROR(__xludf.DUMMYFUNCTION("""COMPUTED_VALUE"""),"")</f>
        <v/>
      </c>
      <c r="L297" s="36" t="str">
        <f ca="1">IFERROR(__xludf.DUMMYFUNCTION("""COMPUTED_VALUE"""),"")</f>
        <v/>
      </c>
      <c r="M297" s="36" t="str">
        <f ca="1">IFERROR(__xludf.DUMMYFUNCTION("""COMPUTED_VALUE"""),"")</f>
        <v/>
      </c>
      <c r="N297" s="36" t="str">
        <f ca="1">IFERROR(__xludf.DUMMYFUNCTION("""COMPUTED_VALUE"""),"")</f>
        <v/>
      </c>
      <c r="O297" s="36" t="str">
        <f ca="1">IFERROR(__xludf.DUMMYFUNCTION("""COMPUTED_VALUE"""),"")</f>
        <v/>
      </c>
      <c r="P297" s="36" t="str">
        <f ca="1">IFERROR(__xludf.DUMMYFUNCTION("""COMPUTED_VALUE"""),"")</f>
        <v/>
      </c>
      <c r="Q297" s="36" t="str">
        <f ca="1">IFERROR(__xludf.DUMMYFUNCTION("""COMPUTED_VALUE"""),"")</f>
        <v/>
      </c>
      <c r="R297" s="36" t="str">
        <f ca="1">IFERROR(__xludf.DUMMYFUNCTION("""COMPUTED_VALUE"""),"")</f>
        <v/>
      </c>
      <c r="S297" s="36" t="str">
        <f ca="1">IFERROR(__xludf.DUMMYFUNCTION("""COMPUTED_VALUE"""),"")</f>
        <v/>
      </c>
      <c r="T297" s="36" t="str">
        <f ca="1">IFERROR(__xludf.DUMMYFUNCTION("""COMPUTED_VALUE"""),"")</f>
        <v/>
      </c>
      <c r="U297" s="36" t="str">
        <f ca="1">IFERROR(__xludf.DUMMYFUNCTION("""COMPUTED_VALUE"""),"")</f>
        <v/>
      </c>
      <c r="V297" s="36" t="str">
        <f ca="1">IFERROR(__xludf.DUMMYFUNCTION("""COMPUTED_VALUE"""),"")</f>
        <v/>
      </c>
      <c r="W297" s="36" t="str">
        <f ca="1">IFERROR(__xludf.DUMMYFUNCTION("""COMPUTED_VALUE"""),"")</f>
        <v/>
      </c>
      <c r="X297" s="36"/>
      <c r="Y297" s="36"/>
      <c r="Z297" s="36"/>
    </row>
    <row r="298" spans="1:26" ht="12.75" hidden="1">
      <c r="A298" s="36" t="str">
        <f ca="1">IFERROR(__xludf.DUMMYFUNCTION("""COMPUTED_VALUE"""),"")</f>
        <v/>
      </c>
      <c r="B298" s="36" t="str">
        <f ca="1">IFERROR(__xludf.DUMMYFUNCTION("""COMPUTED_VALUE"""),"")</f>
        <v/>
      </c>
      <c r="C298" s="36" t="str">
        <f ca="1">IFERROR(__xludf.DUMMYFUNCTION("""COMPUTED_VALUE"""),"")</f>
        <v/>
      </c>
      <c r="D298" s="36" t="str">
        <f ca="1">IFERROR(__xludf.DUMMYFUNCTION("""COMPUTED_VALUE"""),"")</f>
        <v/>
      </c>
      <c r="E298" s="36" t="str">
        <f ca="1">IFERROR(__xludf.DUMMYFUNCTION("""COMPUTED_VALUE"""),"")</f>
        <v/>
      </c>
      <c r="F298" s="36" t="str">
        <f ca="1">IFERROR(__xludf.DUMMYFUNCTION("""COMPUTED_VALUE"""),"")</f>
        <v/>
      </c>
      <c r="G298" s="36" t="str">
        <f ca="1">IFERROR(__xludf.DUMMYFUNCTION("""COMPUTED_VALUE"""),"")</f>
        <v/>
      </c>
      <c r="H298" s="36" t="str">
        <f ca="1">IFERROR(__xludf.DUMMYFUNCTION("""COMPUTED_VALUE"""),"")</f>
        <v/>
      </c>
      <c r="I298" s="36" t="str">
        <f ca="1">IFERROR(__xludf.DUMMYFUNCTION("""COMPUTED_VALUE"""),"")</f>
        <v/>
      </c>
      <c r="J298" s="36" t="str">
        <f ca="1">IFERROR(__xludf.DUMMYFUNCTION("""COMPUTED_VALUE"""),"")</f>
        <v/>
      </c>
      <c r="K298" s="36" t="str">
        <f ca="1">IFERROR(__xludf.DUMMYFUNCTION("""COMPUTED_VALUE"""),"")</f>
        <v/>
      </c>
      <c r="L298" s="36" t="str">
        <f ca="1">IFERROR(__xludf.DUMMYFUNCTION("""COMPUTED_VALUE"""),"")</f>
        <v/>
      </c>
      <c r="M298" s="36" t="str">
        <f ca="1">IFERROR(__xludf.DUMMYFUNCTION("""COMPUTED_VALUE"""),"")</f>
        <v/>
      </c>
      <c r="N298" s="36" t="str">
        <f ca="1">IFERROR(__xludf.DUMMYFUNCTION("""COMPUTED_VALUE"""),"")</f>
        <v/>
      </c>
      <c r="O298" s="36" t="str">
        <f ca="1">IFERROR(__xludf.DUMMYFUNCTION("""COMPUTED_VALUE"""),"")</f>
        <v/>
      </c>
      <c r="P298" s="36" t="str">
        <f ca="1">IFERROR(__xludf.DUMMYFUNCTION("""COMPUTED_VALUE"""),"")</f>
        <v/>
      </c>
      <c r="Q298" s="36" t="str">
        <f ca="1">IFERROR(__xludf.DUMMYFUNCTION("""COMPUTED_VALUE"""),"")</f>
        <v/>
      </c>
      <c r="R298" s="36" t="str">
        <f ca="1">IFERROR(__xludf.DUMMYFUNCTION("""COMPUTED_VALUE"""),"")</f>
        <v/>
      </c>
      <c r="S298" s="36" t="str">
        <f ca="1">IFERROR(__xludf.DUMMYFUNCTION("""COMPUTED_VALUE"""),"")</f>
        <v/>
      </c>
      <c r="T298" s="36" t="str">
        <f ca="1">IFERROR(__xludf.DUMMYFUNCTION("""COMPUTED_VALUE"""),"")</f>
        <v/>
      </c>
      <c r="U298" s="36" t="str">
        <f ca="1">IFERROR(__xludf.DUMMYFUNCTION("""COMPUTED_VALUE"""),"")</f>
        <v/>
      </c>
      <c r="V298" s="36" t="str">
        <f ca="1">IFERROR(__xludf.DUMMYFUNCTION("""COMPUTED_VALUE"""),"")</f>
        <v/>
      </c>
      <c r="W298" s="36" t="str">
        <f ca="1">IFERROR(__xludf.DUMMYFUNCTION("""COMPUTED_VALUE"""),"")</f>
        <v/>
      </c>
      <c r="X298" s="36"/>
      <c r="Y298" s="36"/>
      <c r="Z298" s="36"/>
    </row>
    <row r="299" spans="1:26" ht="12.75" hidden="1">
      <c r="A299" s="36" t="str">
        <f ca="1">IFERROR(__xludf.DUMMYFUNCTION("""COMPUTED_VALUE"""),"")</f>
        <v/>
      </c>
      <c r="B299" s="36" t="str">
        <f ca="1">IFERROR(__xludf.DUMMYFUNCTION("""COMPUTED_VALUE"""),"")</f>
        <v/>
      </c>
      <c r="C299" s="36" t="str">
        <f ca="1">IFERROR(__xludf.DUMMYFUNCTION("""COMPUTED_VALUE"""),"")</f>
        <v/>
      </c>
      <c r="D299" s="36" t="str">
        <f ca="1">IFERROR(__xludf.DUMMYFUNCTION("""COMPUTED_VALUE"""),"")</f>
        <v/>
      </c>
      <c r="E299" s="36" t="str">
        <f ca="1">IFERROR(__xludf.DUMMYFUNCTION("""COMPUTED_VALUE"""),"")</f>
        <v/>
      </c>
      <c r="F299" s="36" t="str">
        <f ca="1">IFERROR(__xludf.DUMMYFUNCTION("""COMPUTED_VALUE"""),"")</f>
        <v/>
      </c>
      <c r="G299" s="36" t="str">
        <f ca="1">IFERROR(__xludf.DUMMYFUNCTION("""COMPUTED_VALUE"""),"")</f>
        <v/>
      </c>
      <c r="H299" s="36" t="str">
        <f ca="1">IFERROR(__xludf.DUMMYFUNCTION("""COMPUTED_VALUE"""),"")</f>
        <v/>
      </c>
      <c r="I299" s="36" t="str">
        <f ca="1">IFERROR(__xludf.DUMMYFUNCTION("""COMPUTED_VALUE"""),"")</f>
        <v/>
      </c>
      <c r="J299" s="36" t="str">
        <f ca="1">IFERROR(__xludf.DUMMYFUNCTION("""COMPUTED_VALUE"""),"")</f>
        <v/>
      </c>
      <c r="K299" s="36" t="str">
        <f ca="1">IFERROR(__xludf.DUMMYFUNCTION("""COMPUTED_VALUE"""),"")</f>
        <v/>
      </c>
      <c r="L299" s="36" t="str">
        <f ca="1">IFERROR(__xludf.DUMMYFUNCTION("""COMPUTED_VALUE"""),"")</f>
        <v/>
      </c>
      <c r="M299" s="36" t="str">
        <f ca="1">IFERROR(__xludf.DUMMYFUNCTION("""COMPUTED_VALUE"""),"")</f>
        <v/>
      </c>
      <c r="N299" s="36" t="str">
        <f ca="1">IFERROR(__xludf.DUMMYFUNCTION("""COMPUTED_VALUE"""),"")</f>
        <v/>
      </c>
      <c r="O299" s="36" t="str">
        <f ca="1">IFERROR(__xludf.DUMMYFUNCTION("""COMPUTED_VALUE"""),"")</f>
        <v/>
      </c>
      <c r="P299" s="36" t="str">
        <f ca="1">IFERROR(__xludf.DUMMYFUNCTION("""COMPUTED_VALUE"""),"")</f>
        <v/>
      </c>
      <c r="Q299" s="36" t="str">
        <f ca="1">IFERROR(__xludf.DUMMYFUNCTION("""COMPUTED_VALUE"""),"")</f>
        <v/>
      </c>
      <c r="R299" s="36" t="str">
        <f ca="1">IFERROR(__xludf.DUMMYFUNCTION("""COMPUTED_VALUE"""),"")</f>
        <v/>
      </c>
      <c r="S299" s="36" t="str">
        <f ca="1">IFERROR(__xludf.DUMMYFUNCTION("""COMPUTED_VALUE"""),"")</f>
        <v/>
      </c>
      <c r="T299" s="36" t="str">
        <f ca="1">IFERROR(__xludf.DUMMYFUNCTION("""COMPUTED_VALUE"""),"")</f>
        <v/>
      </c>
      <c r="U299" s="36" t="str">
        <f ca="1">IFERROR(__xludf.DUMMYFUNCTION("""COMPUTED_VALUE"""),"")</f>
        <v/>
      </c>
      <c r="V299" s="36" t="str">
        <f ca="1">IFERROR(__xludf.DUMMYFUNCTION("""COMPUTED_VALUE"""),"")</f>
        <v/>
      </c>
      <c r="W299" s="36" t="str">
        <f ca="1">IFERROR(__xludf.DUMMYFUNCTION("""COMPUTED_VALUE"""),"")</f>
        <v/>
      </c>
      <c r="X299" s="36"/>
      <c r="Y299" s="36"/>
      <c r="Z299" s="36"/>
    </row>
    <row r="300" spans="1:26" ht="12.75" hidden="1">
      <c r="A300" s="36" t="str">
        <f ca="1">IFERROR(__xludf.DUMMYFUNCTION("""COMPUTED_VALUE"""),"")</f>
        <v/>
      </c>
      <c r="B300" s="36" t="str">
        <f ca="1">IFERROR(__xludf.DUMMYFUNCTION("""COMPUTED_VALUE"""),"")</f>
        <v/>
      </c>
      <c r="C300" s="36" t="str">
        <f ca="1">IFERROR(__xludf.DUMMYFUNCTION("""COMPUTED_VALUE"""),"")</f>
        <v/>
      </c>
      <c r="D300" s="36" t="str">
        <f ca="1">IFERROR(__xludf.DUMMYFUNCTION("""COMPUTED_VALUE"""),"")</f>
        <v/>
      </c>
      <c r="E300" s="36" t="str">
        <f ca="1">IFERROR(__xludf.DUMMYFUNCTION("""COMPUTED_VALUE"""),"")</f>
        <v/>
      </c>
      <c r="F300" s="36" t="str">
        <f ca="1">IFERROR(__xludf.DUMMYFUNCTION("""COMPUTED_VALUE"""),"")</f>
        <v/>
      </c>
      <c r="G300" s="36" t="str">
        <f ca="1">IFERROR(__xludf.DUMMYFUNCTION("""COMPUTED_VALUE"""),"")</f>
        <v/>
      </c>
      <c r="H300" s="36" t="str">
        <f ca="1">IFERROR(__xludf.DUMMYFUNCTION("""COMPUTED_VALUE"""),"")</f>
        <v/>
      </c>
      <c r="I300" s="36" t="str">
        <f ca="1">IFERROR(__xludf.DUMMYFUNCTION("""COMPUTED_VALUE"""),"")</f>
        <v/>
      </c>
      <c r="J300" s="36" t="str">
        <f ca="1">IFERROR(__xludf.DUMMYFUNCTION("""COMPUTED_VALUE"""),"")</f>
        <v/>
      </c>
      <c r="K300" s="36" t="str">
        <f ca="1">IFERROR(__xludf.DUMMYFUNCTION("""COMPUTED_VALUE"""),"")</f>
        <v/>
      </c>
      <c r="L300" s="36" t="str">
        <f ca="1">IFERROR(__xludf.DUMMYFUNCTION("""COMPUTED_VALUE"""),"")</f>
        <v/>
      </c>
      <c r="M300" s="36" t="str">
        <f ca="1">IFERROR(__xludf.DUMMYFUNCTION("""COMPUTED_VALUE"""),"")</f>
        <v/>
      </c>
      <c r="N300" s="36" t="str">
        <f ca="1">IFERROR(__xludf.DUMMYFUNCTION("""COMPUTED_VALUE"""),"")</f>
        <v/>
      </c>
      <c r="O300" s="36" t="str">
        <f ca="1">IFERROR(__xludf.DUMMYFUNCTION("""COMPUTED_VALUE"""),"")</f>
        <v/>
      </c>
      <c r="P300" s="36" t="str">
        <f ca="1">IFERROR(__xludf.DUMMYFUNCTION("""COMPUTED_VALUE"""),"")</f>
        <v/>
      </c>
      <c r="Q300" s="36" t="str">
        <f ca="1">IFERROR(__xludf.DUMMYFUNCTION("""COMPUTED_VALUE"""),"")</f>
        <v/>
      </c>
      <c r="R300" s="36" t="str">
        <f ca="1">IFERROR(__xludf.DUMMYFUNCTION("""COMPUTED_VALUE"""),"")</f>
        <v/>
      </c>
      <c r="S300" s="36" t="str">
        <f ca="1">IFERROR(__xludf.DUMMYFUNCTION("""COMPUTED_VALUE"""),"")</f>
        <v/>
      </c>
      <c r="T300" s="36" t="str">
        <f ca="1">IFERROR(__xludf.DUMMYFUNCTION("""COMPUTED_VALUE"""),"")</f>
        <v/>
      </c>
      <c r="U300" s="36" t="str">
        <f ca="1">IFERROR(__xludf.DUMMYFUNCTION("""COMPUTED_VALUE"""),"")</f>
        <v/>
      </c>
      <c r="V300" s="36" t="str">
        <f ca="1">IFERROR(__xludf.DUMMYFUNCTION("""COMPUTED_VALUE"""),"")</f>
        <v/>
      </c>
      <c r="W300" s="36" t="str">
        <f ca="1">IFERROR(__xludf.DUMMYFUNCTION("""COMPUTED_VALUE"""),"")</f>
        <v/>
      </c>
      <c r="X300" s="36"/>
      <c r="Y300" s="36"/>
      <c r="Z300" s="36"/>
    </row>
    <row r="301" spans="1:26" ht="12.75" hidden="1">
      <c r="A301" s="36" t="str">
        <f ca="1">IFERROR(__xludf.DUMMYFUNCTION("""COMPUTED_VALUE"""),"")</f>
        <v/>
      </c>
      <c r="B301" s="36" t="str">
        <f ca="1">IFERROR(__xludf.DUMMYFUNCTION("""COMPUTED_VALUE"""),"")</f>
        <v/>
      </c>
      <c r="C301" s="36" t="str">
        <f ca="1">IFERROR(__xludf.DUMMYFUNCTION("""COMPUTED_VALUE"""),"")</f>
        <v/>
      </c>
      <c r="D301" s="36" t="str">
        <f ca="1">IFERROR(__xludf.DUMMYFUNCTION("""COMPUTED_VALUE"""),"")</f>
        <v/>
      </c>
      <c r="E301" s="36" t="str">
        <f ca="1">IFERROR(__xludf.DUMMYFUNCTION("""COMPUTED_VALUE"""),"")</f>
        <v/>
      </c>
      <c r="F301" s="36" t="str">
        <f ca="1">IFERROR(__xludf.DUMMYFUNCTION("""COMPUTED_VALUE"""),"")</f>
        <v/>
      </c>
      <c r="G301" s="36" t="str">
        <f ca="1">IFERROR(__xludf.DUMMYFUNCTION("""COMPUTED_VALUE"""),"")</f>
        <v/>
      </c>
      <c r="H301" s="36" t="str">
        <f ca="1">IFERROR(__xludf.DUMMYFUNCTION("""COMPUTED_VALUE"""),"")</f>
        <v/>
      </c>
      <c r="I301" s="36" t="str">
        <f ca="1">IFERROR(__xludf.DUMMYFUNCTION("""COMPUTED_VALUE"""),"")</f>
        <v/>
      </c>
      <c r="J301" s="36" t="str">
        <f ca="1">IFERROR(__xludf.DUMMYFUNCTION("""COMPUTED_VALUE"""),"")</f>
        <v/>
      </c>
      <c r="K301" s="36" t="str">
        <f ca="1">IFERROR(__xludf.DUMMYFUNCTION("""COMPUTED_VALUE"""),"")</f>
        <v/>
      </c>
      <c r="L301" s="36" t="str">
        <f ca="1">IFERROR(__xludf.DUMMYFUNCTION("""COMPUTED_VALUE"""),"")</f>
        <v/>
      </c>
      <c r="M301" s="36" t="str">
        <f ca="1">IFERROR(__xludf.DUMMYFUNCTION("""COMPUTED_VALUE"""),"")</f>
        <v/>
      </c>
      <c r="N301" s="36" t="str">
        <f ca="1">IFERROR(__xludf.DUMMYFUNCTION("""COMPUTED_VALUE"""),"")</f>
        <v/>
      </c>
      <c r="O301" s="36" t="str">
        <f ca="1">IFERROR(__xludf.DUMMYFUNCTION("""COMPUTED_VALUE"""),"")</f>
        <v/>
      </c>
      <c r="P301" s="36" t="str">
        <f ca="1">IFERROR(__xludf.DUMMYFUNCTION("""COMPUTED_VALUE"""),"")</f>
        <v/>
      </c>
      <c r="Q301" s="36" t="str">
        <f ca="1">IFERROR(__xludf.DUMMYFUNCTION("""COMPUTED_VALUE"""),"")</f>
        <v/>
      </c>
      <c r="R301" s="36" t="str">
        <f ca="1">IFERROR(__xludf.DUMMYFUNCTION("""COMPUTED_VALUE"""),"")</f>
        <v/>
      </c>
      <c r="S301" s="36" t="str">
        <f ca="1">IFERROR(__xludf.DUMMYFUNCTION("""COMPUTED_VALUE"""),"")</f>
        <v/>
      </c>
      <c r="T301" s="36" t="str">
        <f ca="1">IFERROR(__xludf.DUMMYFUNCTION("""COMPUTED_VALUE"""),"")</f>
        <v/>
      </c>
      <c r="U301" s="36" t="str">
        <f ca="1">IFERROR(__xludf.DUMMYFUNCTION("""COMPUTED_VALUE"""),"")</f>
        <v/>
      </c>
      <c r="V301" s="36" t="str">
        <f ca="1">IFERROR(__xludf.DUMMYFUNCTION("""COMPUTED_VALUE"""),"")</f>
        <v/>
      </c>
      <c r="W301" s="36" t="str">
        <f ca="1">IFERROR(__xludf.DUMMYFUNCTION("""COMPUTED_VALUE"""),"")</f>
        <v/>
      </c>
      <c r="X301" s="36"/>
      <c r="Y301" s="36"/>
      <c r="Z301" s="36"/>
    </row>
    <row r="302" spans="1:26" ht="12.75" hidden="1">
      <c r="A302" s="36" t="str">
        <f ca="1">IFERROR(__xludf.DUMMYFUNCTION("""COMPUTED_VALUE"""),"")</f>
        <v/>
      </c>
      <c r="B302" s="36" t="str">
        <f ca="1">IFERROR(__xludf.DUMMYFUNCTION("""COMPUTED_VALUE"""),"")</f>
        <v/>
      </c>
      <c r="C302" s="36" t="str">
        <f ca="1">IFERROR(__xludf.DUMMYFUNCTION("""COMPUTED_VALUE"""),"")</f>
        <v/>
      </c>
      <c r="D302" s="36" t="str">
        <f ca="1">IFERROR(__xludf.DUMMYFUNCTION("""COMPUTED_VALUE"""),"")</f>
        <v/>
      </c>
      <c r="E302" s="36" t="str">
        <f ca="1">IFERROR(__xludf.DUMMYFUNCTION("""COMPUTED_VALUE"""),"")</f>
        <v/>
      </c>
      <c r="F302" s="36" t="str">
        <f ca="1">IFERROR(__xludf.DUMMYFUNCTION("""COMPUTED_VALUE"""),"")</f>
        <v/>
      </c>
      <c r="G302" s="36" t="str">
        <f ca="1">IFERROR(__xludf.DUMMYFUNCTION("""COMPUTED_VALUE"""),"")</f>
        <v/>
      </c>
      <c r="H302" s="36" t="str">
        <f ca="1">IFERROR(__xludf.DUMMYFUNCTION("""COMPUTED_VALUE"""),"")</f>
        <v/>
      </c>
      <c r="I302" s="36" t="str">
        <f ca="1">IFERROR(__xludf.DUMMYFUNCTION("""COMPUTED_VALUE"""),"")</f>
        <v/>
      </c>
      <c r="J302" s="36" t="str">
        <f ca="1">IFERROR(__xludf.DUMMYFUNCTION("""COMPUTED_VALUE"""),"")</f>
        <v/>
      </c>
      <c r="K302" s="36" t="str">
        <f ca="1">IFERROR(__xludf.DUMMYFUNCTION("""COMPUTED_VALUE"""),"")</f>
        <v/>
      </c>
      <c r="L302" s="36" t="str">
        <f ca="1">IFERROR(__xludf.DUMMYFUNCTION("""COMPUTED_VALUE"""),"")</f>
        <v/>
      </c>
      <c r="M302" s="36" t="str">
        <f ca="1">IFERROR(__xludf.DUMMYFUNCTION("""COMPUTED_VALUE"""),"")</f>
        <v/>
      </c>
      <c r="N302" s="36" t="str">
        <f ca="1">IFERROR(__xludf.DUMMYFUNCTION("""COMPUTED_VALUE"""),"")</f>
        <v/>
      </c>
      <c r="O302" s="36" t="str">
        <f ca="1">IFERROR(__xludf.DUMMYFUNCTION("""COMPUTED_VALUE"""),"")</f>
        <v/>
      </c>
      <c r="P302" s="36" t="str">
        <f ca="1">IFERROR(__xludf.DUMMYFUNCTION("""COMPUTED_VALUE"""),"")</f>
        <v/>
      </c>
      <c r="Q302" s="36" t="str">
        <f ca="1">IFERROR(__xludf.DUMMYFUNCTION("""COMPUTED_VALUE"""),"")</f>
        <v/>
      </c>
      <c r="R302" s="36" t="str">
        <f ca="1">IFERROR(__xludf.DUMMYFUNCTION("""COMPUTED_VALUE"""),"")</f>
        <v/>
      </c>
      <c r="S302" s="36" t="str">
        <f ca="1">IFERROR(__xludf.DUMMYFUNCTION("""COMPUTED_VALUE"""),"")</f>
        <v/>
      </c>
      <c r="T302" s="36" t="str">
        <f ca="1">IFERROR(__xludf.DUMMYFUNCTION("""COMPUTED_VALUE"""),"")</f>
        <v/>
      </c>
      <c r="U302" s="36" t="str">
        <f ca="1">IFERROR(__xludf.DUMMYFUNCTION("""COMPUTED_VALUE"""),"")</f>
        <v/>
      </c>
      <c r="V302" s="36" t="str">
        <f ca="1">IFERROR(__xludf.DUMMYFUNCTION("""COMPUTED_VALUE"""),"")</f>
        <v/>
      </c>
      <c r="W302" s="36" t="str">
        <f ca="1">IFERROR(__xludf.DUMMYFUNCTION("""COMPUTED_VALUE"""),"")</f>
        <v/>
      </c>
      <c r="X302" s="36"/>
      <c r="Y302" s="36"/>
      <c r="Z302" s="36"/>
    </row>
    <row r="303" spans="1:26" ht="12.75" hidden="1">
      <c r="A303" s="36" t="str">
        <f ca="1">IFERROR(__xludf.DUMMYFUNCTION("""COMPUTED_VALUE"""),"")</f>
        <v/>
      </c>
      <c r="B303" s="36" t="str">
        <f ca="1">IFERROR(__xludf.DUMMYFUNCTION("""COMPUTED_VALUE"""),"")</f>
        <v/>
      </c>
      <c r="C303" s="36" t="str">
        <f ca="1">IFERROR(__xludf.DUMMYFUNCTION("""COMPUTED_VALUE"""),"")</f>
        <v/>
      </c>
      <c r="D303" s="36" t="str">
        <f ca="1">IFERROR(__xludf.DUMMYFUNCTION("""COMPUTED_VALUE"""),"")</f>
        <v/>
      </c>
      <c r="E303" s="36" t="str">
        <f ca="1">IFERROR(__xludf.DUMMYFUNCTION("""COMPUTED_VALUE"""),"")</f>
        <v/>
      </c>
      <c r="F303" s="36" t="str">
        <f ca="1">IFERROR(__xludf.DUMMYFUNCTION("""COMPUTED_VALUE"""),"")</f>
        <v/>
      </c>
      <c r="G303" s="36" t="str">
        <f ca="1">IFERROR(__xludf.DUMMYFUNCTION("""COMPUTED_VALUE"""),"")</f>
        <v/>
      </c>
      <c r="H303" s="36" t="str">
        <f ca="1">IFERROR(__xludf.DUMMYFUNCTION("""COMPUTED_VALUE"""),"")</f>
        <v/>
      </c>
      <c r="I303" s="36" t="str">
        <f ca="1">IFERROR(__xludf.DUMMYFUNCTION("""COMPUTED_VALUE"""),"")</f>
        <v/>
      </c>
      <c r="J303" s="36" t="str">
        <f ca="1">IFERROR(__xludf.DUMMYFUNCTION("""COMPUTED_VALUE"""),"")</f>
        <v/>
      </c>
      <c r="K303" s="36" t="str">
        <f ca="1">IFERROR(__xludf.DUMMYFUNCTION("""COMPUTED_VALUE"""),"")</f>
        <v/>
      </c>
      <c r="L303" s="36" t="str">
        <f ca="1">IFERROR(__xludf.DUMMYFUNCTION("""COMPUTED_VALUE"""),"")</f>
        <v/>
      </c>
      <c r="M303" s="36" t="str">
        <f ca="1">IFERROR(__xludf.DUMMYFUNCTION("""COMPUTED_VALUE"""),"")</f>
        <v/>
      </c>
      <c r="N303" s="36" t="str">
        <f ca="1">IFERROR(__xludf.DUMMYFUNCTION("""COMPUTED_VALUE"""),"")</f>
        <v/>
      </c>
      <c r="O303" s="36" t="str">
        <f ca="1">IFERROR(__xludf.DUMMYFUNCTION("""COMPUTED_VALUE"""),"")</f>
        <v/>
      </c>
      <c r="P303" s="36" t="str">
        <f ca="1">IFERROR(__xludf.DUMMYFUNCTION("""COMPUTED_VALUE"""),"")</f>
        <v/>
      </c>
      <c r="Q303" s="36" t="str">
        <f ca="1">IFERROR(__xludf.DUMMYFUNCTION("""COMPUTED_VALUE"""),"")</f>
        <v/>
      </c>
      <c r="R303" s="36" t="str">
        <f ca="1">IFERROR(__xludf.DUMMYFUNCTION("""COMPUTED_VALUE"""),"")</f>
        <v/>
      </c>
      <c r="S303" s="36" t="str">
        <f ca="1">IFERROR(__xludf.DUMMYFUNCTION("""COMPUTED_VALUE"""),"")</f>
        <v/>
      </c>
      <c r="T303" s="36" t="str">
        <f ca="1">IFERROR(__xludf.DUMMYFUNCTION("""COMPUTED_VALUE"""),"")</f>
        <v/>
      </c>
      <c r="U303" s="36" t="str">
        <f ca="1">IFERROR(__xludf.DUMMYFUNCTION("""COMPUTED_VALUE"""),"")</f>
        <v/>
      </c>
      <c r="V303" s="36" t="str">
        <f ca="1">IFERROR(__xludf.DUMMYFUNCTION("""COMPUTED_VALUE"""),"")</f>
        <v/>
      </c>
      <c r="W303" s="36" t="str">
        <f ca="1">IFERROR(__xludf.DUMMYFUNCTION("""COMPUTED_VALUE"""),"")</f>
        <v/>
      </c>
      <c r="X303" s="36"/>
      <c r="Y303" s="36"/>
      <c r="Z303" s="36"/>
    </row>
    <row r="304" spans="1:26" ht="12.75" hidden="1">
      <c r="A304" s="36" t="str">
        <f ca="1">IFERROR(__xludf.DUMMYFUNCTION("""COMPUTED_VALUE"""),"")</f>
        <v/>
      </c>
      <c r="B304" s="36" t="str">
        <f ca="1">IFERROR(__xludf.DUMMYFUNCTION("""COMPUTED_VALUE"""),"")</f>
        <v/>
      </c>
      <c r="C304" s="36" t="str">
        <f ca="1">IFERROR(__xludf.DUMMYFUNCTION("""COMPUTED_VALUE"""),"")</f>
        <v/>
      </c>
      <c r="D304" s="36" t="str">
        <f ca="1">IFERROR(__xludf.DUMMYFUNCTION("""COMPUTED_VALUE"""),"")</f>
        <v/>
      </c>
      <c r="E304" s="36" t="str">
        <f ca="1">IFERROR(__xludf.DUMMYFUNCTION("""COMPUTED_VALUE"""),"")</f>
        <v/>
      </c>
      <c r="F304" s="36" t="str">
        <f ca="1">IFERROR(__xludf.DUMMYFUNCTION("""COMPUTED_VALUE"""),"")</f>
        <v/>
      </c>
      <c r="G304" s="36" t="str">
        <f ca="1">IFERROR(__xludf.DUMMYFUNCTION("""COMPUTED_VALUE"""),"")</f>
        <v/>
      </c>
      <c r="H304" s="36" t="str">
        <f ca="1">IFERROR(__xludf.DUMMYFUNCTION("""COMPUTED_VALUE"""),"")</f>
        <v/>
      </c>
      <c r="I304" s="36" t="str">
        <f ca="1">IFERROR(__xludf.DUMMYFUNCTION("""COMPUTED_VALUE"""),"")</f>
        <v/>
      </c>
      <c r="J304" s="36" t="str">
        <f ca="1">IFERROR(__xludf.DUMMYFUNCTION("""COMPUTED_VALUE"""),"")</f>
        <v/>
      </c>
      <c r="K304" s="36" t="str">
        <f ca="1">IFERROR(__xludf.DUMMYFUNCTION("""COMPUTED_VALUE"""),"")</f>
        <v/>
      </c>
      <c r="L304" s="36" t="str">
        <f ca="1">IFERROR(__xludf.DUMMYFUNCTION("""COMPUTED_VALUE"""),"")</f>
        <v/>
      </c>
      <c r="M304" s="36" t="str">
        <f ca="1">IFERROR(__xludf.DUMMYFUNCTION("""COMPUTED_VALUE"""),"")</f>
        <v/>
      </c>
      <c r="N304" s="36" t="str">
        <f ca="1">IFERROR(__xludf.DUMMYFUNCTION("""COMPUTED_VALUE"""),"")</f>
        <v/>
      </c>
      <c r="O304" s="36" t="str">
        <f ca="1">IFERROR(__xludf.DUMMYFUNCTION("""COMPUTED_VALUE"""),"")</f>
        <v/>
      </c>
      <c r="P304" s="36" t="str">
        <f ca="1">IFERROR(__xludf.DUMMYFUNCTION("""COMPUTED_VALUE"""),"")</f>
        <v/>
      </c>
      <c r="Q304" s="36" t="str">
        <f ca="1">IFERROR(__xludf.DUMMYFUNCTION("""COMPUTED_VALUE"""),"")</f>
        <v/>
      </c>
      <c r="R304" s="36" t="str">
        <f ca="1">IFERROR(__xludf.DUMMYFUNCTION("""COMPUTED_VALUE"""),"")</f>
        <v/>
      </c>
      <c r="S304" s="36" t="str">
        <f ca="1">IFERROR(__xludf.DUMMYFUNCTION("""COMPUTED_VALUE"""),"")</f>
        <v/>
      </c>
      <c r="T304" s="36" t="str">
        <f ca="1">IFERROR(__xludf.DUMMYFUNCTION("""COMPUTED_VALUE"""),"")</f>
        <v/>
      </c>
      <c r="U304" s="36" t="str">
        <f ca="1">IFERROR(__xludf.DUMMYFUNCTION("""COMPUTED_VALUE"""),"")</f>
        <v/>
      </c>
      <c r="V304" s="36" t="str">
        <f ca="1">IFERROR(__xludf.DUMMYFUNCTION("""COMPUTED_VALUE"""),"")</f>
        <v/>
      </c>
      <c r="W304" s="36" t="str">
        <f ca="1">IFERROR(__xludf.DUMMYFUNCTION("""COMPUTED_VALUE"""),"")</f>
        <v/>
      </c>
      <c r="X304" s="36"/>
      <c r="Y304" s="36"/>
      <c r="Z304" s="36"/>
    </row>
    <row r="305" spans="1:26" ht="12.75" hidden="1">
      <c r="A305" s="36" t="str">
        <f ca="1">IFERROR(__xludf.DUMMYFUNCTION("""COMPUTED_VALUE"""),"")</f>
        <v/>
      </c>
      <c r="B305" s="36" t="str">
        <f ca="1">IFERROR(__xludf.DUMMYFUNCTION("""COMPUTED_VALUE"""),"")</f>
        <v/>
      </c>
      <c r="C305" s="36" t="str">
        <f ca="1">IFERROR(__xludf.DUMMYFUNCTION("""COMPUTED_VALUE"""),"")</f>
        <v/>
      </c>
      <c r="D305" s="36" t="str">
        <f ca="1">IFERROR(__xludf.DUMMYFUNCTION("""COMPUTED_VALUE"""),"")</f>
        <v/>
      </c>
      <c r="E305" s="36" t="str">
        <f ca="1">IFERROR(__xludf.DUMMYFUNCTION("""COMPUTED_VALUE"""),"")</f>
        <v/>
      </c>
      <c r="F305" s="36" t="str">
        <f ca="1">IFERROR(__xludf.DUMMYFUNCTION("""COMPUTED_VALUE"""),"")</f>
        <v/>
      </c>
      <c r="G305" s="36" t="str">
        <f ca="1">IFERROR(__xludf.DUMMYFUNCTION("""COMPUTED_VALUE"""),"")</f>
        <v/>
      </c>
      <c r="H305" s="36" t="str">
        <f ca="1">IFERROR(__xludf.DUMMYFUNCTION("""COMPUTED_VALUE"""),"")</f>
        <v/>
      </c>
      <c r="I305" s="36" t="str">
        <f ca="1">IFERROR(__xludf.DUMMYFUNCTION("""COMPUTED_VALUE"""),"")</f>
        <v/>
      </c>
      <c r="J305" s="36" t="str">
        <f ca="1">IFERROR(__xludf.DUMMYFUNCTION("""COMPUTED_VALUE"""),"")</f>
        <v/>
      </c>
      <c r="K305" s="36" t="str">
        <f ca="1">IFERROR(__xludf.DUMMYFUNCTION("""COMPUTED_VALUE"""),"")</f>
        <v/>
      </c>
      <c r="L305" s="36" t="str">
        <f ca="1">IFERROR(__xludf.DUMMYFUNCTION("""COMPUTED_VALUE"""),"")</f>
        <v/>
      </c>
      <c r="M305" s="36" t="str">
        <f ca="1">IFERROR(__xludf.DUMMYFUNCTION("""COMPUTED_VALUE"""),"")</f>
        <v/>
      </c>
      <c r="N305" s="36" t="str">
        <f ca="1">IFERROR(__xludf.DUMMYFUNCTION("""COMPUTED_VALUE"""),"")</f>
        <v/>
      </c>
      <c r="O305" s="36" t="str">
        <f ca="1">IFERROR(__xludf.DUMMYFUNCTION("""COMPUTED_VALUE"""),"")</f>
        <v/>
      </c>
      <c r="P305" s="36" t="str">
        <f ca="1">IFERROR(__xludf.DUMMYFUNCTION("""COMPUTED_VALUE"""),"")</f>
        <v/>
      </c>
      <c r="Q305" s="36" t="str">
        <f ca="1">IFERROR(__xludf.DUMMYFUNCTION("""COMPUTED_VALUE"""),"")</f>
        <v/>
      </c>
      <c r="R305" s="36" t="str">
        <f ca="1">IFERROR(__xludf.DUMMYFUNCTION("""COMPUTED_VALUE"""),"")</f>
        <v/>
      </c>
      <c r="S305" s="36" t="str">
        <f ca="1">IFERROR(__xludf.DUMMYFUNCTION("""COMPUTED_VALUE"""),"")</f>
        <v/>
      </c>
      <c r="T305" s="36" t="str">
        <f ca="1">IFERROR(__xludf.DUMMYFUNCTION("""COMPUTED_VALUE"""),"")</f>
        <v/>
      </c>
      <c r="U305" s="36" t="str">
        <f ca="1">IFERROR(__xludf.DUMMYFUNCTION("""COMPUTED_VALUE"""),"")</f>
        <v/>
      </c>
      <c r="V305" s="36" t="str">
        <f ca="1">IFERROR(__xludf.DUMMYFUNCTION("""COMPUTED_VALUE"""),"")</f>
        <v/>
      </c>
      <c r="W305" s="36" t="str">
        <f ca="1">IFERROR(__xludf.DUMMYFUNCTION("""COMPUTED_VALUE"""),"")</f>
        <v/>
      </c>
      <c r="X305" s="36"/>
      <c r="Y305" s="36"/>
      <c r="Z305" s="36"/>
    </row>
    <row r="306" spans="1:26" ht="12.75" hidden="1">
      <c r="A306" s="36" t="str">
        <f ca="1">IFERROR(__xludf.DUMMYFUNCTION("""COMPUTED_VALUE"""),"")</f>
        <v/>
      </c>
      <c r="B306" s="36" t="str">
        <f ca="1">IFERROR(__xludf.DUMMYFUNCTION("""COMPUTED_VALUE"""),"")</f>
        <v/>
      </c>
      <c r="C306" s="36" t="str">
        <f ca="1">IFERROR(__xludf.DUMMYFUNCTION("""COMPUTED_VALUE"""),"")</f>
        <v/>
      </c>
      <c r="D306" s="36" t="str">
        <f ca="1">IFERROR(__xludf.DUMMYFUNCTION("""COMPUTED_VALUE"""),"")</f>
        <v/>
      </c>
      <c r="E306" s="36" t="str">
        <f ca="1">IFERROR(__xludf.DUMMYFUNCTION("""COMPUTED_VALUE"""),"")</f>
        <v/>
      </c>
      <c r="F306" s="36" t="str">
        <f ca="1">IFERROR(__xludf.DUMMYFUNCTION("""COMPUTED_VALUE"""),"")</f>
        <v/>
      </c>
      <c r="G306" s="36" t="str">
        <f ca="1">IFERROR(__xludf.DUMMYFUNCTION("""COMPUTED_VALUE"""),"")</f>
        <v/>
      </c>
      <c r="H306" s="36" t="str">
        <f ca="1">IFERROR(__xludf.DUMMYFUNCTION("""COMPUTED_VALUE"""),"")</f>
        <v/>
      </c>
      <c r="I306" s="36" t="str">
        <f ca="1">IFERROR(__xludf.DUMMYFUNCTION("""COMPUTED_VALUE"""),"")</f>
        <v/>
      </c>
      <c r="J306" s="36" t="str">
        <f ca="1">IFERROR(__xludf.DUMMYFUNCTION("""COMPUTED_VALUE"""),"")</f>
        <v/>
      </c>
      <c r="K306" s="36" t="str">
        <f ca="1">IFERROR(__xludf.DUMMYFUNCTION("""COMPUTED_VALUE"""),"")</f>
        <v/>
      </c>
      <c r="L306" s="36" t="str">
        <f ca="1">IFERROR(__xludf.DUMMYFUNCTION("""COMPUTED_VALUE"""),"")</f>
        <v/>
      </c>
      <c r="M306" s="36" t="str">
        <f ca="1">IFERROR(__xludf.DUMMYFUNCTION("""COMPUTED_VALUE"""),"")</f>
        <v/>
      </c>
      <c r="N306" s="36" t="str">
        <f ca="1">IFERROR(__xludf.DUMMYFUNCTION("""COMPUTED_VALUE"""),"")</f>
        <v/>
      </c>
      <c r="O306" s="36" t="str">
        <f ca="1">IFERROR(__xludf.DUMMYFUNCTION("""COMPUTED_VALUE"""),"")</f>
        <v/>
      </c>
      <c r="P306" s="36" t="str">
        <f ca="1">IFERROR(__xludf.DUMMYFUNCTION("""COMPUTED_VALUE"""),"")</f>
        <v/>
      </c>
      <c r="Q306" s="36" t="str">
        <f ca="1">IFERROR(__xludf.DUMMYFUNCTION("""COMPUTED_VALUE"""),"")</f>
        <v/>
      </c>
      <c r="R306" s="36" t="str">
        <f ca="1">IFERROR(__xludf.DUMMYFUNCTION("""COMPUTED_VALUE"""),"")</f>
        <v/>
      </c>
      <c r="S306" s="36" t="str">
        <f ca="1">IFERROR(__xludf.DUMMYFUNCTION("""COMPUTED_VALUE"""),"")</f>
        <v/>
      </c>
      <c r="T306" s="36" t="str">
        <f ca="1">IFERROR(__xludf.DUMMYFUNCTION("""COMPUTED_VALUE"""),"")</f>
        <v/>
      </c>
      <c r="U306" s="36" t="str">
        <f ca="1">IFERROR(__xludf.DUMMYFUNCTION("""COMPUTED_VALUE"""),"")</f>
        <v/>
      </c>
      <c r="V306" s="36" t="str">
        <f ca="1">IFERROR(__xludf.DUMMYFUNCTION("""COMPUTED_VALUE"""),"")</f>
        <v/>
      </c>
      <c r="W306" s="36" t="str">
        <f ca="1">IFERROR(__xludf.DUMMYFUNCTION("""COMPUTED_VALUE"""),"")</f>
        <v/>
      </c>
      <c r="X306" s="36"/>
      <c r="Y306" s="36"/>
      <c r="Z306" s="36"/>
    </row>
    <row r="307" spans="1:26" ht="12.75" hidden="1">
      <c r="A307" s="36" t="str">
        <f ca="1">IFERROR(__xludf.DUMMYFUNCTION("""COMPUTED_VALUE"""),"")</f>
        <v/>
      </c>
      <c r="B307" s="36" t="str">
        <f ca="1">IFERROR(__xludf.DUMMYFUNCTION("""COMPUTED_VALUE"""),"")</f>
        <v/>
      </c>
      <c r="C307" s="36" t="str">
        <f ca="1">IFERROR(__xludf.DUMMYFUNCTION("""COMPUTED_VALUE"""),"")</f>
        <v/>
      </c>
      <c r="D307" s="36" t="str">
        <f ca="1">IFERROR(__xludf.DUMMYFUNCTION("""COMPUTED_VALUE"""),"")</f>
        <v/>
      </c>
      <c r="E307" s="36" t="str">
        <f ca="1">IFERROR(__xludf.DUMMYFUNCTION("""COMPUTED_VALUE"""),"")</f>
        <v/>
      </c>
      <c r="F307" s="36" t="str">
        <f ca="1">IFERROR(__xludf.DUMMYFUNCTION("""COMPUTED_VALUE"""),"")</f>
        <v/>
      </c>
      <c r="G307" s="36" t="str">
        <f ca="1">IFERROR(__xludf.DUMMYFUNCTION("""COMPUTED_VALUE"""),"")</f>
        <v/>
      </c>
      <c r="H307" s="36" t="str">
        <f ca="1">IFERROR(__xludf.DUMMYFUNCTION("""COMPUTED_VALUE"""),"")</f>
        <v/>
      </c>
      <c r="I307" s="36" t="str">
        <f ca="1">IFERROR(__xludf.DUMMYFUNCTION("""COMPUTED_VALUE"""),"")</f>
        <v/>
      </c>
      <c r="J307" s="36" t="str">
        <f ca="1">IFERROR(__xludf.DUMMYFUNCTION("""COMPUTED_VALUE"""),"")</f>
        <v/>
      </c>
      <c r="K307" s="36" t="str">
        <f ca="1">IFERROR(__xludf.DUMMYFUNCTION("""COMPUTED_VALUE"""),"")</f>
        <v/>
      </c>
      <c r="L307" s="36" t="str">
        <f ca="1">IFERROR(__xludf.DUMMYFUNCTION("""COMPUTED_VALUE"""),"")</f>
        <v/>
      </c>
      <c r="M307" s="36" t="str">
        <f ca="1">IFERROR(__xludf.DUMMYFUNCTION("""COMPUTED_VALUE"""),"")</f>
        <v/>
      </c>
      <c r="N307" s="36" t="str">
        <f ca="1">IFERROR(__xludf.DUMMYFUNCTION("""COMPUTED_VALUE"""),"")</f>
        <v/>
      </c>
      <c r="O307" s="36" t="str">
        <f ca="1">IFERROR(__xludf.DUMMYFUNCTION("""COMPUTED_VALUE"""),"")</f>
        <v/>
      </c>
      <c r="P307" s="36" t="str">
        <f ca="1">IFERROR(__xludf.DUMMYFUNCTION("""COMPUTED_VALUE"""),"")</f>
        <v/>
      </c>
      <c r="Q307" s="36" t="str">
        <f ca="1">IFERROR(__xludf.DUMMYFUNCTION("""COMPUTED_VALUE"""),"")</f>
        <v/>
      </c>
      <c r="R307" s="36" t="str">
        <f ca="1">IFERROR(__xludf.DUMMYFUNCTION("""COMPUTED_VALUE"""),"")</f>
        <v/>
      </c>
      <c r="S307" s="36" t="str">
        <f ca="1">IFERROR(__xludf.DUMMYFUNCTION("""COMPUTED_VALUE"""),"")</f>
        <v/>
      </c>
      <c r="T307" s="36" t="str">
        <f ca="1">IFERROR(__xludf.DUMMYFUNCTION("""COMPUTED_VALUE"""),"")</f>
        <v/>
      </c>
      <c r="U307" s="36" t="str">
        <f ca="1">IFERROR(__xludf.DUMMYFUNCTION("""COMPUTED_VALUE"""),"")</f>
        <v/>
      </c>
      <c r="V307" s="36" t="str">
        <f ca="1">IFERROR(__xludf.DUMMYFUNCTION("""COMPUTED_VALUE"""),"")</f>
        <v/>
      </c>
      <c r="W307" s="36" t="str">
        <f ca="1">IFERROR(__xludf.DUMMYFUNCTION("""COMPUTED_VALUE"""),"")</f>
        <v/>
      </c>
      <c r="X307" s="36"/>
      <c r="Y307" s="36"/>
      <c r="Z307" s="36"/>
    </row>
    <row r="308" spans="1:26" ht="12.75" hidden="1">
      <c r="A308" s="36" t="str">
        <f ca="1">IFERROR(__xludf.DUMMYFUNCTION("""COMPUTED_VALUE"""),"")</f>
        <v/>
      </c>
      <c r="B308" s="36" t="str">
        <f ca="1">IFERROR(__xludf.DUMMYFUNCTION("""COMPUTED_VALUE"""),"")</f>
        <v/>
      </c>
      <c r="C308" s="36" t="str">
        <f ca="1">IFERROR(__xludf.DUMMYFUNCTION("""COMPUTED_VALUE"""),"")</f>
        <v/>
      </c>
      <c r="D308" s="36" t="str">
        <f ca="1">IFERROR(__xludf.DUMMYFUNCTION("""COMPUTED_VALUE"""),"")</f>
        <v/>
      </c>
      <c r="E308" s="36" t="str">
        <f ca="1">IFERROR(__xludf.DUMMYFUNCTION("""COMPUTED_VALUE"""),"")</f>
        <v/>
      </c>
      <c r="F308" s="36" t="str">
        <f ca="1">IFERROR(__xludf.DUMMYFUNCTION("""COMPUTED_VALUE"""),"")</f>
        <v/>
      </c>
      <c r="G308" s="36" t="str">
        <f ca="1">IFERROR(__xludf.DUMMYFUNCTION("""COMPUTED_VALUE"""),"")</f>
        <v/>
      </c>
      <c r="H308" s="36" t="str">
        <f ca="1">IFERROR(__xludf.DUMMYFUNCTION("""COMPUTED_VALUE"""),"")</f>
        <v/>
      </c>
      <c r="I308" s="36" t="str">
        <f ca="1">IFERROR(__xludf.DUMMYFUNCTION("""COMPUTED_VALUE"""),"")</f>
        <v/>
      </c>
      <c r="J308" s="36" t="str">
        <f ca="1">IFERROR(__xludf.DUMMYFUNCTION("""COMPUTED_VALUE"""),"")</f>
        <v/>
      </c>
      <c r="K308" s="36" t="str">
        <f ca="1">IFERROR(__xludf.DUMMYFUNCTION("""COMPUTED_VALUE"""),"")</f>
        <v/>
      </c>
      <c r="L308" s="36" t="str">
        <f ca="1">IFERROR(__xludf.DUMMYFUNCTION("""COMPUTED_VALUE"""),"")</f>
        <v/>
      </c>
      <c r="M308" s="36" t="str">
        <f ca="1">IFERROR(__xludf.DUMMYFUNCTION("""COMPUTED_VALUE"""),"")</f>
        <v/>
      </c>
      <c r="N308" s="36" t="str">
        <f ca="1">IFERROR(__xludf.DUMMYFUNCTION("""COMPUTED_VALUE"""),"")</f>
        <v/>
      </c>
      <c r="O308" s="36" t="str">
        <f ca="1">IFERROR(__xludf.DUMMYFUNCTION("""COMPUTED_VALUE"""),"")</f>
        <v/>
      </c>
      <c r="P308" s="36" t="str">
        <f ca="1">IFERROR(__xludf.DUMMYFUNCTION("""COMPUTED_VALUE"""),"")</f>
        <v/>
      </c>
      <c r="Q308" s="36" t="str">
        <f ca="1">IFERROR(__xludf.DUMMYFUNCTION("""COMPUTED_VALUE"""),"")</f>
        <v/>
      </c>
      <c r="R308" s="36" t="str">
        <f ca="1">IFERROR(__xludf.DUMMYFUNCTION("""COMPUTED_VALUE"""),"")</f>
        <v/>
      </c>
      <c r="S308" s="36" t="str">
        <f ca="1">IFERROR(__xludf.DUMMYFUNCTION("""COMPUTED_VALUE"""),"")</f>
        <v/>
      </c>
      <c r="T308" s="36" t="str">
        <f ca="1">IFERROR(__xludf.DUMMYFUNCTION("""COMPUTED_VALUE"""),"")</f>
        <v/>
      </c>
      <c r="U308" s="36" t="str">
        <f ca="1">IFERROR(__xludf.DUMMYFUNCTION("""COMPUTED_VALUE"""),"")</f>
        <v/>
      </c>
      <c r="V308" s="36" t="str">
        <f ca="1">IFERROR(__xludf.DUMMYFUNCTION("""COMPUTED_VALUE"""),"")</f>
        <v/>
      </c>
      <c r="W308" s="36" t="str">
        <f ca="1">IFERROR(__xludf.DUMMYFUNCTION("""COMPUTED_VALUE"""),"")</f>
        <v/>
      </c>
      <c r="X308" s="36"/>
      <c r="Y308" s="36"/>
      <c r="Z308" s="36"/>
    </row>
    <row r="309" spans="1:26" ht="12.75" hidden="1">
      <c r="A309" s="36" t="str">
        <f ca="1">IFERROR(__xludf.DUMMYFUNCTION("""COMPUTED_VALUE"""),"")</f>
        <v/>
      </c>
      <c r="B309" s="36" t="str">
        <f ca="1">IFERROR(__xludf.DUMMYFUNCTION("""COMPUTED_VALUE"""),"")</f>
        <v/>
      </c>
      <c r="C309" s="36" t="str">
        <f ca="1">IFERROR(__xludf.DUMMYFUNCTION("""COMPUTED_VALUE"""),"")</f>
        <v/>
      </c>
      <c r="D309" s="36" t="str">
        <f ca="1">IFERROR(__xludf.DUMMYFUNCTION("""COMPUTED_VALUE"""),"")</f>
        <v/>
      </c>
      <c r="E309" s="36" t="str">
        <f ca="1">IFERROR(__xludf.DUMMYFUNCTION("""COMPUTED_VALUE"""),"")</f>
        <v/>
      </c>
      <c r="F309" s="36" t="str">
        <f ca="1">IFERROR(__xludf.DUMMYFUNCTION("""COMPUTED_VALUE"""),"")</f>
        <v/>
      </c>
      <c r="G309" s="36" t="str">
        <f ca="1">IFERROR(__xludf.DUMMYFUNCTION("""COMPUTED_VALUE"""),"")</f>
        <v/>
      </c>
      <c r="H309" s="36" t="str">
        <f ca="1">IFERROR(__xludf.DUMMYFUNCTION("""COMPUTED_VALUE"""),"")</f>
        <v/>
      </c>
      <c r="I309" s="36" t="str">
        <f ca="1">IFERROR(__xludf.DUMMYFUNCTION("""COMPUTED_VALUE"""),"")</f>
        <v/>
      </c>
      <c r="J309" s="36" t="str">
        <f ca="1">IFERROR(__xludf.DUMMYFUNCTION("""COMPUTED_VALUE"""),"")</f>
        <v/>
      </c>
      <c r="K309" s="36" t="str">
        <f ca="1">IFERROR(__xludf.DUMMYFUNCTION("""COMPUTED_VALUE"""),"")</f>
        <v/>
      </c>
      <c r="L309" s="36" t="str">
        <f ca="1">IFERROR(__xludf.DUMMYFUNCTION("""COMPUTED_VALUE"""),"")</f>
        <v/>
      </c>
      <c r="M309" s="36" t="str">
        <f ca="1">IFERROR(__xludf.DUMMYFUNCTION("""COMPUTED_VALUE"""),"")</f>
        <v/>
      </c>
      <c r="N309" s="36" t="str">
        <f ca="1">IFERROR(__xludf.DUMMYFUNCTION("""COMPUTED_VALUE"""),"")</f>
        <v/>
      </c>
      <c r="O309" s="36" t="str">
        <f ca="1">IFERROR(__xludf.DUMMYFUNCTION("""COMPUTED_VALUE"""),"")</f>
        <v/>
      </c>
      <c r="P309" s="36" t="str">
        <f ca="1">IFERROR(__xludf.DUMMYFUNCTION("""COMPUTED_VALUE"""),"")</f>
        <v/>
      </c>
      <c r="Q309" s="36" t="str">
        <f ca="1">IFERROR(__xludf.DUMMYFUNCTION("""COMPUTED_VALUE"""),"")</f>
        <v/>
      </c>
      <c r="R309" s="36" t="str">
        <f ca="1">IFERROR(__xludf.DUMMYFUNCTION("""COMPUTED_VALUE"""),"")</f>
        <v/>
      </c>
      <c r="S309" s="36" t="str">
        <f ca="1">IFERROR(__xludf.DUMMYFUNCTION("""COMPUTED_VALUE"""),"")</f>
        <v/>
      </c>
      <c r="T309" s="36" t="str">
        <f ca="1">IFERROR(__xludf.DUMMYFUNCTION("""COMPUTED_VALUE"""),"")</f>
        <v/>
      </c>
      <c r="U309" s="36" t="str">
        <f ca="1">IFERROR(__xludf.DUMMYFUNCTION("""COMPUTED_VALUE"""),"")</f>
        <v/>
      </c>
      <c r="V309" s="36" t="str">
        <f ca="1">IFERROR(__xludf.DUMMYFUNCTION("""COMPUTED_VALUE"""),"")</f>
        <v/>
      </c>
      <c r="W309" s="36" t="str">
        <f ca="1">IFERROR(__xludf.DUMMYFUNCTION("""COMPUTED_VALUE"""),"")</f>
        <v/>
      </c>
      <c r="X309" s="36"/>
      <c r="Y309" s="36"/>
      <c r="Z309" s="36"/>
    </row>
    <row r="310" spans="1:26" ht="12.75" hidden="1">
      <c r="A310" s="36" t="str">
        <f ca="1">IFERROR(__xludf.DUMMYFUNCTION("""COMPUTED_VALUE"""),"")</f>
        <v/>
      </c>
      <c r="B310" s="36" t="str">
        <f ca="1">IFERROR(__xludf.DUMMYFUNCTION("""COMPUTED_VALUE"""),"")</f>
        <v/>
      </c>
      <c r="C310" s="36" t="str">
        <f ca="1">IFERROR(__xludf.DUMMYFUNCTION("""COMPUTED_VALUE"""),"")</f>
        <v/>
      </c>
      <c r="D310" s="36" t="str">
        <f ca="1">IFERROR(__xludf.DUMMYFUNCTION("""COMPUTED_VALUE"""),"")</f>
        <v/>
      </c>
      <c r="E310" s="36" t="str">
        <f ca="1">IFERROR(__xludf.DUMMYFUNCTION("""COMPUTED_VALUE"""),"")</f>
        <v/>
      </c>
      <c r="F310" s="36" t="str">
        <f ca="1">IFERROR(__xludf.DUMMYFUNCTION("""COMPUTED_VALUE"""),"")</f>
        <v/>
      </c>
      <c r="G310" s="36" t="str">
        <f ca="1">IFERROR(__xludf.DUMMYFUNCTION("""COMPUTED_VALUE"""),"")</f>
        <v/>
      </c>
      <c r="H310" s="36" t="str">
        <f ca="1">IFERROR(__xludf.DUMMYFUNCTION("""COMPUTED_VALUE"""),"")</f>
        <v/>
      </c>
      <c r="I310" s="36" t="str">
        <f ca="1">IFERROR(__xludf.DUMMYFUNCTION("""COMPUTED_VALUE"""),"")</f>
        <v/>
      </c>
      <c r="J310" s="36" t="str">
        <f ca="1">IFERROR(__xludf.DUMMYFUNCTION("""COMPUTED_VALUE"""),"")</f>
        <v/>
      </c>
      <c r="K310" s="36" t="str">
        <f ca="1">IFERROR(__xludf.DUMMYFUNCTION("""COMPUTED_VALUE"""),"")</f>
        <v/>
      </c>
      <c r="L310" s="36" t="str">
        <f ca="1">IFERROR(__xludf.DUMMYFUNCTION("""COMPUTED_VALUE"""),"")</f>
        <v/>
      </c>
      <c r="M310" s="36" t="str">
        <f ca="1">IFERROR(__xludf.DUMMYFUNCTION("""COMPUTED_VALUE"""),"")</f>
        <v/>
      </c>
      <c r="N310" s="36" t="str">
        <f ca="1">IFERROR(__xludf.DUMMYFUNCTION("""COMPUTED_VALUE"""),"")</f>
        <v/>
      </c>
      <c r="O310" s="36" t="str">
        <f ca="1">IFERROR(__xludf.DUMMYFUNCTION("""COMPUTED_VALUE"""),"")</f>
        <v/>
      </c>
      <c r="P310" s="36" t="str">
        <f ca="1">IFERROR(__xludf.DUMMYFUNCTION("""COMPUTED_VALUE"""),"")</f>
        <v/>
      </c>
      <c r="Q310" s="36" t="str">
        <f ca="1">IFERROR(__xludf.DUMMYFUNCTION("""COMPUTED_VALUE"""),"")</f>
        <v/>
      </c>
      <c r="R310" s="36" t="str">
        <f ca="1">IFERROR(__xludf.DUMMYFUNCTION("""COMPUTED_VALUE"""),"")</f>
        <v/>
      </c>
      <c r="S310" s="36" t="str">
        <f ca="1">IFERROR(__xludf.DUMMYFUNCTION("""COMPUTED_VALUE"""),"")</f>
        <v/>
      </c>
      <c r="T310" s="36" t="str">
        <f ca="1">IFERROR(__xludf.DUMMYFUNCTION("""COMPUTED_VALUE"""),"")</f>
        <v/>
      </c>
      <c r="U310" s="36" t="str">
        <f ca="1">IFERROR(__xludf.DUMMYFUNCTION("""COMPUTED_VALUE"""),"")</f>
        <v/>
      </c>
      <c r="V310" s="36" t="str">
        <f ca="1">IFERROR(__xludf.DUMMYFUNCTION("""COMPUTED_VALUE"""),"")</f>
        <v/>
      </c>
      <c r="W310" s="36" t="str">
        <f ca="1">IFERROR(__xludf.DUMMYFUNCTION("""COMPUTED_VALUE"""),"")</f>
        <v/>
      </c>
      <c r="X310" s="36"/>
      <c r="Y310" s="36"/>
      <c r="Z310" s="36"/>
    </row>
    <row r="311" spans="1:26" ht="12.75" hidden="1">
      <c r="A311" s="36" t="str">
        <f ca="1">IFERROR(__xludf.DUMMYFUNCTION("""COMPUTED_VALUE"""),"")</f>
        <v/>
      </c>
      <c r="B311" s="36" t="str">
        <f ca="1">IFERROR(__xludf.DUMMYFUNCTION("""COMPUTED_VALUE"""),"")</f>
        <v/>
      </c>
      <c r="C311" s="36" t="str">
        <f ca="1">IFERROR(__xludf.DUMMYFUNCTION("""COMPUTED_VALUE"""),"")</f>
        <v/>
      </c>
      <c r="D311" s="36" t="str">
        <f ca="1">IFERROR(__xludf.DUMMYFUNCTION("""COMPUTED_VALUE"""),"")</f>
        <v/>
      </c>
      <c r="E311" s="36" t="str">
        <f ca="1">IFERROR(__xludf.DUMMYFUNCTION("""COMPUTED_VALUE"""),"")</f>
        <v/>
      </c>
      <c r="F311" s="36" t="str">
        <f ca="1">IFERROR(__xludf.DUMMYFUNCTION("""COMPUTED_VALUE"""),"")</f>
        <v/>
      </c>
      <c r="G311" s="36" t="str">
        <f ca="1">IFERROR(__xludf.DUMMYFUNCTION("""COMPUTED_VALUE"""),"")</f>
        <v/>
      </c>
      <c r="H311" s="36" t="str">
        <f ca="1">IFERROR(__xludf.DUMMYFUNCTION("""COMPUTED_VALUE"""),"")</f>
        <v/>
      </c>
      <c r="I311" s="36" t="str">
        <f ca="1">IFERROR(__xludf.DUMMYFUNCTION("""COMPUTED_VALUE"""),"")</f>
        <v/>
      </c>
      <c r="J311" s="36" t="str">
        <f ca="1">IFERROR(__xludf.DUMMYFUNCTION("""COMPUTED_VALUE"""),"")</f>
        <v/>
      </c>
      <c r="K311" s="36" t="str">
        <f ca="1">IFERROR(__xludf.DUMMYFUNCTION("""COMPUTED_VALUE"""),"")</f>
        <v/>
      </c>
      <c r="L311" s="36" t="str">
        <f ca="1">IFERROR(__xludf.DUMMYFUNCTION("""COMPUTED_VALUE"""),"")</f>
        <v/>
      </c>
      <c r="M311" s="36" t="str">
        <f ca="1">IFERROR(__xludf.DUMMYFUNCTION("""COMPUTED_VALUE"""),"")</f>
        <v/>
      </c>
      <c r="N311" s="36" t="str">
        <f ca="1">IFERROR(__xludf.DUMMYFUNCTION("""COMPUTED_VALUE"""),"")</f>
        <v/>
      </c>
      <c r="O311" s="36" t="str">
        <f ca="1">IFERROR(__xludf.DUMMYFUNCTION("""COMPUTED_VALUE"""),"")</f>
        <v/>
      </c>
      <c r="P311" s="36" t="str">
        <f ca="1">IFERROR(__xludf.DUMMYFUNCTION("""COMPUTED_VALUE"""),"")</f>
        <v/>
      </c>
      <c r="Q311" s="36" t="str">
        <f ca="1">IFERROR(__xludf.DUMMYFUNCTION("""COMPUTED_VALUE"""),"")</f>
        <v/>
      </c>
      <c r="R311" s="36" t="str">
        <f ca="1">IFERROR(__xludf.DUMMYFUNCTION("""COMPUTED_VALUE"""),"")</f>
        <v/>
      </c>
      <c r="S311" s="36" t="str">
        <f ca="1">IFERROR(__xludf.DUMMYFUNCTION("""COMPUTED_VALUE"""),"")</f>
        <v/>
      </c>
      <c r="T311" s="36" t="str">
        <f ca="1">IFERROR(__xludf.DUMMYFUNCTION("""COMPUTED_VALUE"""),"")</f>
        <v/>
      </c>
      <c r="U311" s="36" t="str">
        <f ca="1">IFERROR(__xludf.DUMMYFUNCTION("""COMPUTED_VALUE"""),"")</f>
        <v/>
      </c>
      <c r="V311" s="36" t="str">
        <f ca="1">IFERROR(__xludf.DUMMYFUNCTION("""COMPUTED_VALUE"""),"")</f>
        <v/>
      </c>
      <c r="W311" s="36" t="str">
        <f ca="1">IFERROR(__xludf.DUMMYFUNCTION("""COMPUTED_VALUE"""),"")</f>
        <v/>
      </c>
      <c r="X311" s="36"/>
      <c r="Y311" s="36"/>
      <c r="Z311" s="36"/>
    </row>
    <row r="312" spans="1:26" ht="12.75" hidden="1">
      <c r="A312" s="36" t="str">
        <f ca="1">IFERROR(__xludf.DUMMYFUNCTION("""COMPUTED_VALUE"""),"")</f>
        <v/>
      </c>
      <c r="B312" s="36" t="str">
        <f ca="1">IFERROR(__xludf.DUMMYFUNCTION("""COMPUTED_VALUE"""),"")</f>
        <v/>
      </c>
      <c r="C312" s="36" t="str">
        <f ca="1">IFERROR(__xludf.DUMMYFUNCTION("""COMPUTED_VALUE"""),"")</f>
        <v/>
      </c>
      <c r="D312" s="36" t="str">
        <f ca="1">IFERROR(__xludf.DUMMYFUNCTION("""COMPUTED_VALUE"""),"")</f>
        <v/>
      </c>
      <c r="E312" s="36" t="str">
        <f ca="1">IFERROR(__xludf.DUMMYFUNCTION("""COMPUTED_VALUE"""),"")</f>
        <v/>
      </c>
      <c r="F312" s="36" t="str">
        <f ca="1">IFERROR(__xludf.DUMMYFUNCTION("""COMPUTED_VALUE"""),"")</f>
        <v/>
      </c>
      <c r="G312" s="36" t="str">
        <f ca="1">IFERROR(__xludf.DUMMYFUNCTION("""COMPUTED_VALUE"""),"")</f>
        <v/>
      </c>
      <c r="H312" s="36" t="str">
        <f ca="1">IFERROR(__xludf.DUMMYFUNCTION("""COMPUTED_VALUE"""),"")</f>
        <v/>
      </c>
      <c r="I312" s="36" t="str">
        <f ca="1">IFERROR(__xludf.DUMMYFUNCTION("""COMPUTED_VALUE"""),"")</f>
        <v/>
      </c>
      <c r="J312" s="36" t="str">
        <f ca="1">IFERROR(__xludf.DUMMYFUNCTION("""COMPUTED_VALUE"""),"")</f>
        <v/>
      </c>
      <c r="K312" s="36" t="str">
        <f ca="1">IFERROR(__xludf.DUMMYFUNCTION("""COMPUTED_VALUE"""),"")</f>
        <v/>
      </c>
      <c r="L312" s="36" t="str">
        <f ca="1">IFERROR(__xludf.DUMMYFUNCTION("""COMPUTED_VALUE"""),"")</f>
        <v/>
      </c>
      <c r="M312" s="36" t="str">
        <f ca="1">IFERROR(__xludf.DUMMYFUNCTION("""COMPUTED_VALUE"""),"")</f>
        <v/>
      </c>
      <c r="N312" s="36" t="str">
        <f ca="1">IFERROR(__xludf.DUMMYFUNCTION("""COMPUTED_VALUE"""),"")</f>
        <v/>
      </c>
      <c r="O312" s="36" t="str">
        <f ca="1">IFERROR(__xludf.DUMMYFUNCTION("""COMPUTED_VALUE"""),"")</f>
        <v/>
      </c>
      <c r="P312" s="36" t="str">
        <f ca="1">IFERROR(__xludf.DUMMYFUNCTION("""COMPUTED_VALUE"""),"")</f>
        <v/>
      </c>
      <c r="Q312" s="36" t="str">
        <f ca="1">IFERROR(__xludf.DUMMYFUNCTION("""COMPUTED_VALUE"""),"")</f>
        <v/>
      </c>
      <c r="R312" s="36" t="str">
        <f ca="1">IFERROR(__xludf.DUMMYFUNCTION("""COMPUTED_VALUE"""),"")</f>
        <v/>
      </c>
      <c r="S312" s="36" t="str">
        <f ca="1">IFERROR(__xludf.DUMMYFUNCTION("""COMPUTED_VALUE"""),"")</f>
        <v/>
      </c>
      <c r="T312" s="36" t="str">
        <f ca="1">IFERROR(__xludf.DUMMYFUNCTION("""COMPUTED_VALUE"""),"")</f>
        <v/>
      </c>
      <c r="U312" s="36" t="str">
        <f ca="1">IFERROR(__xludf.DUMMYFUNCTION("""COMPUTED_VALUE"""),"")</f>
        <v/>
      </c>
      <c r="V312" s="36" t="str">
        <f ca="1">IFERROR(__xludf.DUMMYFUNCTION("""COMPUTED_VALUE"""),"")</f>
        <v/>
      </c>
      <c r="W312" s="36" t="str">
        <f ca="1">IFERROR(__xludf.DUMMYFUNCTION("""COMPUTED_VALUE"""),"")</f>
        <v/>
      </c>
      <c r="X312" s="36"/>
      <c r="Y312" s="36"/>
      <c r="Z312" s="36"/>
    </row>
    <row r="313" spans="1:26" ht="12.75" hidden="1">
      <c r="A313" s="36" t="str">
        <f ca="1">IFERROR(__xludf.DUMMYFUNCTION("""COMPUTED_VALUE"""),"")</f>
        <v/>
      </c>
      <c r="B313" s="36" t="str">
        <f ca="1">IFERROR(__xludf.DUMMYFUNCTION("""COMPUTED_VALUE"""),"")</f>
        <v/>
      </c>
      <c r="C313" s="36" t="str">
        <f ca="1">IFERROR(__xludf.DUMMYFUNCTION("""COMPUTED_VALUE"""),"")</f>
        <v/>
      </c>
      <c r="D313" s="36" t="str">
        <f ca="1">IFERROR(__xludf.DUMMYFUNCTION("""COMPUTED_VALUE"""),"")</f>
        <v/>
      </c>
      <c r="E313" s="36" t="str">
        <f ca="1">IFERROR(__xludf.DUMMYFUNCTION("""COMPUTED_VALUE"""),"")</f>
        <v/>
      </c>
      <c r="F313" s="36" t="str">
        <f ca="1">IFERROR(__xludf.DUMMYFUNCTION("""COMPUTED_VALUE"""),"")</f>
        <v/>
      </c>
      <c r="G313" s="36" t="str">
        <f ca="1">IFERROR(__xludf.DUMMYFUNCTION("""COMPUTED_VALUE"""),"")</f>
        <v/>
      </c>
      <c r="H313" s="36" t="str">
        <f ca="1">IFERROR(__xludf.DUMMYFUNCTION("""COMPUTED_VALUE"""),"")</f>
        <v/>
      </c>
      <c r="I313" s="36" t="str">
        <f ca="1">IFERROR(__xludf.DUMMYFUNCTION("""COMPUTED_VALUE"""),"")</f>
        <v/>
      </c>
      <c r="J313" s="36" t="str">
        <f ca="1">IFERROR(__xludf.DUMMYFUNCTION("""COMPUTED_VALUE"""),"")</f>
        <v/>
      </c>
      <c r="K313" s="36" t="str">
        <f ca="1">IFERROR(__xludf.DUMMYFUNCTION("""COMPUTED_VALUE"""),"")</f>
        <v/>
      </c>
      <c r="L313" s="36" t="str">
        <f ca="1">IFERROR(__xludf.DUMMYFUNCTION("""COMPUTED_VALUE"""),"")</f>
        <v/>
      </c>
      <c r="M313" s="36" t="str">
        <f ca="1">IFERROR(__xludf.DUMMYFUNCTION("""COMPUTED_VALUE"""),"")</f>
        <v/>
      </c>
      <c r="N313" s="36" t="str">
        <f ca="1">IFERROR(__xludf.DUMMYFUNCTION("""COMPUTED_VALUE"""),"")</f>
        <v/>
      </c>
      <c r="O313" s="36" t="str">
        <f ca="1">IFERROR(__xludf.DUMMYFUNCTION("""COMPUTED_VALUE"""),"")</f>
        <v/>
      </c>
      <c r="P313" s="36" t="str">
        <f ca="1">IFERROR(__xludf.DUMMYFUNCTION("""COMPUTED_VALUE"""),"")</f>
        <v/>
      </c>
      <c r="Q313" s="36" t="str">
        <f ca="1">IFERROR(__xludf.DUMMYFUNCTION("""COMPUTED_VALUE"""),"")</f>
        <v/>
      </c>
      <c r="R313" s="36" t="str">
        <f ca="1">IFERROR(__xludf.DUMMYFUNCTION("""COMPUTED_VALUE"""),"")</f>
        <v/>
      </c>
      <c r="S313" s="36" t="str">
        <f ca="1">IFERROR(__xludf.DUMMYFUNCTION("""COMPUTED_VALUE"""),"")</f>
        <v/>
      </c>
      <c r="T313" s="36" t="str">
        <f ca="1">IFERROR(__xludf.DUMMYFUNCTION("""COMPUTED_VALUE"""),"")</f>
        <v/>
      </c>
      <c r="U313" s="36" t="str">
        <f ca="1">IFERROR(__xludf.DUMMYFUNCTION("""COMPUTED_VALUE"""),"")</f>
        <v/>
      </c>
      <c r="V313" s="36" t="str">
        <f ca="1">IFERROR(__xludf.DUMMYFUNCTION("""COMPUTED_VALUE"""),"")</f>
        <v/>
      </c>
      <c r="W313" s="36" t="str">
        <f ca="1">IFERROR(__xludf.DUMMYFUNCTION("""COMPUTED_VALUE"""),"")</f>
        <v/>
      </c>
      <c r="X313" s="36"/>
      <c r="Y313" s="36"/>
      <c r="Z313" s="36"/>
    </row>
    <row r="314" spans="1:26" ht="12.75" hidden="1">
      <c r="A314" s="36" t="str">
        <f ca="1">IFERROR(__xludf.DUMMYFUNCTION("""COMPUTED_VALUE"""),"")</f>
        <v/>
      </c>
      <c r="B314" s="36" t="str">
        <f ca="1">IFERROR(__xludf.DUMMYFUNCTION("""COMPUTED_VALUE"""),"")</f>
        <v/>
      </c>
      <c r="C314" s="36" t="str">
        <f ca="1">IFERROR(__xludf.DUMMYFUNCTION("""COMPUTED_VALUE"""),"")</f>
        <v/>
      </c>
      <c r="D314" s="36" t="str">
        <f ca="1">IFERROR(__xludf.DUMMYFUNCTION("""COMPUTED_VALUE"""),"")</f>
        <v/>
      </c>
      <c r="E314" s="36" t="str">
        <f ca="1">IFERROR(__xludf.DUMMYFUNCTION("""COMPUTED_VALUE"""),"")</f>
        <v/>
      </c>
      <c r="F314" s="36" t="str">
        <f ca="1">IFERROR(__xludf.DUMMYFUNCTION("""COMPUTED_VALUE"""),"")</f>
        <v/>
      </c>
      <c r="G314" s="36" t="str">
        <f ca="1">IFERROR(__xludf.DUMMYFUNCTION("""COMPUTED_VALUE"""),"")</f>
        <v/>
      </c>
      <c r="H314" s="36" t="str">
        <f ca="1">IFERROR(__xludf.DUMMYFUNCTION("""COMPUTED_VALUE"""),"")</f>
        <v/>
      </c>
      <c r="I314" s="36" t="str">
        <f ca="1">IFERROR(__xludf.DUMMYFUNCTION("""COMPUTED_VALUE"""),"")</f>
        <v/>
      </c>
      <c r="J314" s="36" t="str">
        <f ca="1">IFERROR(__xludf.DUMMYFUNCTION("""COMPUTED_VALUE"""),"")</f>
        <v/>
      </c>
      <c r="K314" s="36" t="str">
        <f ca="1">IFERROR(__xludf.DUMMYFUNCTION("""COMPUTED_VALUE"""),"")</f>
        <v/>
      </c>
      <c r="L314" s="36" t="str">
        <f ca="1">IFERROR(__xludf.DUMMYFUNCTION("""COMPUTED_VALUE"""),"")</f>
        <v/>
      </c>
      <c r="M314" s="36" t="str">
        <f ca="1">IFERROR(__xludf.DUMMYFUNCTION("""COMPUTED_VALUE"""),"")</f>
        <v/>
      </c>
      <c r="N314" s="36" t="str">
        <f ca="1">IFERROR(__xludf.DUMMYFUNCTION("""COMPUTED_VALUE"""),"")</f>
        <v/>
      </c>
      <c r="O314" s="36" t="str">
        <f ca="1">IFERROR(__xludf.DUMMYFUNCTION("""COMPUTED_VALUE"""),"")</f>
        <v/>
      </c>
      <c r="P314" s="36" t="str">
        <f ca="1">IFERROR(__xludf.DUMMYFUNCTION("""COMPUTED_VALUE"""),"")</f>
        <v/>
      </c>
      <c r="Q314" s="36" t="str">
        <f ca="1">IFERROR(__xludf.DUMMYFUNCTION("""COMPUTED_VALUE"""),"")</f>
        <v/>
      </c>
      <c r="R314" s="36" t="str">
        <f ca="1">IFERROR(__xludf.DUMMYFUNCTION("""COMPUTED_VALUE"""),"")</f>
        <v/>
      </c>
      <c r="S314" s="36" t="str">
        <f ca="1">IFERROR(__xludf.DUMMYFUNCTION("""COMPUTED_VALUE"""),"")</f>
        <v/>
      </c>
      <c r="T314" s="36" t="str">
        <f ca="1">IFERROR(__xludf.DUMMYFUNCTION("""COMPUTED_VALUE"""),"")</f>
        <v/>
      </c>
      <c r="U314" s="36" t="str">
        <f ca="1">IFERROR(__xludf.DUMMYFUNCTION("""COMPUTED_VALUE"""),"")</f>
        <v/>
      </c>
      <c r="V314" s="36" t="str">
        <f ca="1">IFERROR(__xludf.DUMMYFUNCTION("""COMPUTED_VALUE"""),"")</f>
        <v/>
      </c>
      <c r="W314" s="36" t="str">
        <f ca="1">IFERROR(__xludf.DUMMYFUNCTION("""COMPUTED_VALUE"""),"")</f>
        <v/>
      </c>
      <c r="X314" s="36"/>
      <c r="Y314" s="36"/>
      <c r="Z314" s="36"/>
    </row>
    <row r="315" spans="1:26" ht="12.75" hidden="1">
      <c r="A315" s="36" t="str">
        <f ca="1">IFERROR(__xludf.DUMMYFUNCTION("""COMPUTED_VALUE"""),"")</f>
        <v/>
      </c>
      <c r="B315" s="36" t="str">
        <f ca="1">IFERROR(__xludf.DUMMYFUNCTION("""COMPUTED_VALUE"""),"")</f>
        <v/>
      </c>
      <c r="C315" s="36" t="str">
        <f ca="1">IFERROR(__xludf.DUMMYFUNCTION("""COMPUTED_VALUE"""),"")</f>
        <v/>
      </c>
      <c r="D315" s="36" t="str">
        <f ca="1">IFERROR(__xludf.DUMMYFUNCTION("""COMPUTED_VALUE"""),"")</f>
        <v/>
      </c>
      <c r="E315" s="36" t="str">
        <f ca="1">IFERROR(__xludf.DUMMYFUNCTION("""COMPUTED_VALUE"""),"")</f>
        <v/>
      </c>
      <c r="F315" s="36" t="str">
        <f ca="1">IFERROR(__xludf.DUMMYFUNCTION("""COMPUTED_VALUE"""),"")</f>
        <v/>
      </c>
      <c r="G315" s="36" t="str">
        <f ca="1">IFERROR(__xludf.DUMMYFUNCTION("""COMPUTED_VALUE"""),"")</f>
        <v/>
      </c>
      <c r="H315" s="36" t="str">
        <f ca="1">IFERROR(__xludf.DUMMYFUNCTION("""COMPUTED_VALUE"""),"")</f>
        <v/>
      </c>
      <c r="I315" s="36" t="str">
        <f ca="1">IFERROR(__xludf.DUMMYFUNCTION("""COMPUTED_VALUE"""),"")</f>
        <v/>
      </c>
      <c r="J315" s="36" t="str">
        <f ca="1">IFERROR(__xludf.DUMMYFUNCTION("""COMPUTED_VALUE"""),"")</f>
        <v/>
      </c>
      <c r="K315" s="36" t="str">
        <f ca="1">IFERROR(__xludf.DUMMYFUNCTION("""COMPUTED_VALUE"""),"")</f>
        <v/>
      </c>
      <c r="L315" s="36" t="str">
        <f ca="1">IFERROR(__xludf.DUMMYFUNCTION("""COMPUTED_VALUE"""),"")</f>
        <v/>
      </c>
      <c r="M315" s="36" t="str">
        <f ca="1">IFERROR(__xludf.DUMMYFUNCTION("""COMPUTED_VALUE"""),"")</f>
        <v/>
      </c>
      <c r="N315" s="36" t="str">
        <f ca="1">IFERROR(__xludf.DUMMYFUNCTION("""COMPUTED_VALUE"""),"")</f>
        <v/>
      </c>
      <c r="O315" s="36" t="str">
        <f ca="1">IFERROR(__xludf.DUMMYFUNCTION("""COMPUTED_VALUE"""),"")</f>
        <v/>
      </c>
      <c r="P315" s="36" t="str">
        <f ca="1">IFERROR(__xludf.DUMMYFUNCTION("""COMPUTED_VALUE"""),"")</f>
        <v/>
      </c>
      <c r="Q315" s="36" t="str">
        <f ca="1">IFERROR(__xludf.DUMMYFUNCTION("""COMPUTED_VALUE"""),"")</f>
        <v/>
      </c>
      <c r="R315" s="36" t="str">
        <f ca="1">IFERROR(__xludf.DUMMYFUNCTION("""COMPUTED_VALUE"""),"")</f>
        <v/>
      </c>
      <c r="S315" s="36" t="str">
        <f ca="1">IFERROR(__xludf.DUMMYFUNCTION("""COMPUTED_VALUE"""),"")</f>
        <v/>
      </c>
      <c r="T315" s="36" t="str">
        <f ca="1">IFERROR(__xludf.DUMMYFUNCTION("""COMPUTED_VALUE"""),"")</f>
        <v/>
      </c>
      <c r="U315" s="36" t="str">
        <f ca="1">IFERROR(__xludf.DUMMYFUNCTION("""COMPUTED_VALUE"""),"")</f>
        <v/>
      </c>
      <c r="V315" s="36" t="str">
        <f ca="1">IFERROR(__xludf.DUMMYFUNCTION("""COMPUTED_VALUE"""),"")</f>
        <v/>
      </c>
      <c r="W315" s="36" t="str">
        <f ca="1">IFERROR(__xludf.DUMMYFUNCTION("""COMPUTED_VALUE"""),"")</f>
        <v/>
      </c>
      <c r="X315" s="36"/>
      <c r="Y315" s="36"/>
      <c r="Z315" s="36"/>
    </row>
    <row r="316" spans="1:26" ht="12.75" hidden="1">
      <c r="A316" s="36" t="str">
        <f ca="1">IFERROR(__xludf.DUMMYFUNCTION("""COMPUTED_VALUE"""),"")</f>
        <v/>
      </c>
      <c r="B316" s="36" t="str">
        <f ca="1">IFERROR(__xludf.DUMMYFUNCTION("""COMPUTED_VALUE"""),"")</f>
        <v/>
      </c>
      <c r="C316" s="36" t="str">
        <f ca="1">IFERROR(__xludf.DUMMYFUNCTION("""COMPUTED_VALUE"""),"")</f>
        <v/>
      </c>
      <c r="D316" s="36" t="str">
        <f ca="1">IFERROR(__xludf.DUMMYFUNCTION("""COMPUTED_VALUE"""),"")</f>
        <v/>
      </c>
      <c r="E316" s="36" t="str">
        <f ca="1">IFERROR(__xludf.DUMMYFUNCTION("""COMPUTED_VALUE"""),"")</f>
        <v/>
      </c>
      <c r="F316" s="36" t="str">
        <f ca="1">IFERROR(__xludf.DUMMYFUNCTION("""COMPUTED_VALUE"""),"")</f>
        <v/>
      </c>
      <c r="G316" s="36" t="str">
        <f ca="1">IFERROR(__xludf.DUMMYFUNCTION("""COMPUTED_VALUE"""),"")</f>
        <v/>
      </c>
      <c r="H316" s="36" t="str">
        <f ca="1">IFERROR(__xludf.DUMMYFUNCTION("""COMPUTED_VALUE"""),"")</f>
        <v/>
      </c>
      <c r="I316" s="36" t="str">
        <f ca="1">IFERROR(__xludf.DUMMYFUNCTION("""COMPUTED_VALUE"""),"")</f>
        <v/>
      </c>
      <c r="J316" s="36" t="str">
        <f ca="1">IFERROR(__xludf.DUMMYFUNCTION("""COMPUTED_VALUE"""),"")</f>
        <v/>
      </c>
      <c r="K316" s="36" t="str">
        <f ca="1">IFERROR(__xludf.DUMMYFUNCTION("""COMPUTED_VALUE"""),"")</f>
        <v/>
      </c>
      <c r="L316" s="36" t="str">
        <f ca="1">IFERROR(__xludf.DUMMYFUNCTION("""COMPUTED_VALUE"""),"")</f>
        <v/>
      </c>
      <c r="M316" s="36" t="str">
        <f ca="1">IFERROR(__xludf.DUMMYFUNCTION("""COMPUTED_VALUE"""),"")</f>
        <v/>
      </c>
      <c r="N316" s="36" t="str">
        <f ca="1">IFERROR(__xludf.DUMMYFUNCTION("""COMPUTED_VALUE"""),"")</f>
        <v/>
      </c>
      <c r="O316" s="36" t="str">
        <f ca="1">IFERROR(__xludf.DUMMYFUNCTION("""COMPUTED_VALUE"""),"")</f>
        <v/>
      </c>
      <c r="P316" s="36" t="str">
        <f ca="1">IFERROR(__xludf.DUMMYFUNCTION("""COMPUTED_VALUE"""),"")</f>
        <v/>
      </c>
      <c r="Q316" s="36" t="str">
        <f ca="1">IFERROR(__xludf.DUMMYFUNCTION("""COMPUTED_VALUE"""),"")</f>
        <v/>
      </c>
      <c r="R316" s="36" t="str">
        <f ca="1">IFERROR(__xludf.DUMMYFUNCTION("""COMPUTED_VALUE"""),"")</f>
        <v/>
      </c>
      <c r="S316" s="36" t="str">
        <f ca="1">IFERROR(__xludf.DUMMYFUNCTION("""COMPUTED_VALUE"""),"")</f>
        <v/>
      </c>
      <c r="T316" s="36" t="str">
        <f ca="1">IFERROR(__xludf.DUMMYFUNCTION("""COMPUTED_VALUE"""),"")</f>
        <v/>
      </c>
      <c r="U316" s="36" t="str">
        <f ca="1">IFERROR(__xludf.DUMMYFUNCTION("""COMPUTED_VALUE"""),"")</f>
        <v/>
      </c>
      <c r="V316" s="36" t="str">
        <f ca="1">IFERROR(__xludf.DUMMYFUNCTION("""COMPUTED_VALUE"""),"")</f>
        <v/>
      </c>
      <c r="W316" s="36" t="str">
        <f ca="1">IFERROR(__xludf.DUMMYFUNCTION("""COMPUTED_VALUE"""),"")</f>
        <v/>
      </c>
      <c r="X316" s="36"/>
      <c r="Y316" s="36"/>
      <c r="Z316" s="36"/>
    </row>
    <row r="317" spans="1:26" ht="12.75" hidden="1">
      <c r="A317" s="36" t="str">
        <f ca="1">IFERROR(__xludf.DUMMYFUNCTION("""COMPUTED_VALUE"""),"")</f>
        <v/>
      </c>
      <c r="B317" s="36" t="str">
        <f ca="1">IFERROR(__xludf.DUMMYFUNCTION("""COMPUTED_VALUE"""),"")</f>
        <v/>
      </c>
      <c r="C317" s="36" t="str">
        <f ca="1">IFERROR(__xludf.DUMMYFUNCTION("""COMPUTED_VALUE"""),"")</f>
        <v/>
      </c>
      <c r="D317" s="36" t="str">
        <f ca="1">IFERROR(__xludf.DUMMYFUNCTION("""COMPUTED_VALUE"""),"")</f>
        <v/>
      </c>
      <c r="E317" s="36" t="str">
        <f ca="1">IFERROR(__xludf.DUMMYFUNCTION("""COMPUTED_VALUE"""),"")</f>
        <v/>
      </c>
      <c r="F317" s="36" t="str">
        <f ca="1">IFERROR(__xludf.DUMMYFUNCTION("""COMPUTED_VALUE"""),"")</f>
        <v/>
      </c>
      <c r="G317" s="36" t="str">
        <f ca="1">IFERROR(__xludf.DUMMYFUNCTION("""COMPUTED_VALUE"""),"")</f>
        <v/>
      </c>
      <c r="H317" s="36" t="str">
        <f ca="1">IFERROR(__xludf.DUMMYFUNCTION("""COMPUTED_VALUE"""),"")</f>
        <v/>
      </c>
      <c r="I317" s="36" t="str">
        <f ca="1">IFERROR(__xludf.DUMMYFUNCTION("""COMPUTED_VALUE"""),"")</f>
        <v/>
      </c>
      <c r="J317" s="36" t="str">
        <f ca="1">IFERROR(__xludf.DUMMYFUNCTION("""COMPUTED_VALUE"""),"")</f>
        <v/>
      </c>
      <c r="K317" s="36" t="str">
        <f ca="1">IFERROR(__xludf.DUMMYFUNCTION("""COMPUTED_VALUE"""),"")</f>
        <v/>
      </c>
      <c r="L317" s="36" t="str">
        <f ca="1">IFERROR(__xludf.DUMMYFUNCTION("""COMPUTED_VALUE"""),"")</f>
        <v/>
      </c>
      <c r="M317" s="36" t="str">
        <f ca="1">IFERROR(__xludf.DUMMYFUNCTION("""COMPUTED_VALUE"""),"")</f>
        <v/>
      </c>
      <c r="N317" s="36" t="str">
        <f ca="1">IFERROR(__xludf.DUMMYFUNCTION("""COMPUTED_VALUE"""),"")</f>
        <v/>
      </c>
      <c r="O317" s="36" t="str">
        <f ca="1">IFERROR(__xludf.DUMMYFUNCTION("""COMPUTED_VALUE"""),"")</f>
        <v/>
      </c>
      <c r="P317" s="36" t="str">
        <f ca="1">IFERROR(__xludf.DUMMYFUNCTION("""COMPUTED_VALUE"""),"")</f>
        <v/>
      </c>
      <c r="Q317" s="36" t="str">
        <f ca="1">IFERROR(__xludf.DUMMYFUNCTION("""COMPUTED_VALUE"""),"")</f>
        <v/>
      </c>
      <c r="R317" s="36" t="str">
        <f ca="1">IFERROR(__xludf.DUMMYFUNCTION("""COMPUTED_VALUE"""),"")</f>
        <v/>
      </c>
      <c r="S317" s="36" t="str">
        <f ca="1">IFERROR(__xludf.DUMMYFUNCTION("""COMPUTED_VALUE"""),"")</f>
        <v/>
      </c>
      <c r="T317" s="36" t="str">
        <f ca="1">IFERROR(__xludf.DUMMYFUNCTION("""COMPUTED_VALUE"""),"")</f>
        <v/>
      </c>
      <c r="U317" s="36" t="str">
        <f ca="1">IFERROR(__xludf.DUMMYFUNCTION("""COMPUTED_VALUE"""),"")</f>
        <v/>
      </c>
      <c r="V317" s="36" t="str">
        <f ca="1">IFERROR(__xludf.DUMMYFUNCTION("""COMPUTED_VALUE"""),"")</f>
        <v/>
      </c>
      <c r="W317" s="36" t="str">
        <f ca="1">IFERROR(__xludf.DUMMYFUNCTION("""COMPUTED_VALUE"""),"")</f>
        <v/>
      </c>
      <c r="X317" s="36"/>
      <c r="Y317" s="36"/>
      <c r="Z317" s="36"/>
    </row>
    <row r="318" spans="1:26" ht="12.75" hidden="1">
      <c r="A318" s="36" t="str">
        <f ca="1">IFERROR(__xludf.DUMMYFUNCTION("""COMPUTED_VALUE"""),"")</f>
        <v/>
      </c>
      <c r="B318" s="36" t="str">
        <f ca="1">IFERROR(__xludf.DUMMYFUNCTION("""COMPUTED_VALUE"""),"")</f>
        <v/>
      </c>
      <c r="C318" s="36" t="str">
        <f ca="1">IFERROR(__xludf.DUMMYFUNCTION("""COMPUTED_VALUE"""),"")</f>
        <v/>
      </c>
      <c r="D318" s="36" t="str">
        <f ca="1">IFERROR(__xludf.DUMMYFUNCTION("""COMPUTED_VALUE"""),"")</f>
        <v/>
      </c>
      <c r="E318" s="36" t="str">
        <f ca="1">IFERROR(__xludf.DUMMYFUNCTION("""COMPUTED_VALUE"""),"")</f>
        <v/>
      </c>
      <c r="F318" s="36" t="str">
        <f ca="1">IFERROR(__xludf.DUMMYFUNCTION("""COMPUTED_VALUE"""),"")</f>
        <v/>
      </c>
      <c r="G318" s="36" t="str">
        <f ca="1">IFERROR(__xludf.DUMMYFUNCTION("""COMPUTED_VALUE"""),"")</f>
        <v/>
      </c>
      <c r="H318" s="36" t="str">
        <f ca="1">IFERROR(__xludf.DUMMYFUNCTION("""COMPUTED_VALUE"""),"")</f>
        <v/>
      </c>
      <c r="I318" s="36" t="str">
        <f ca="1">IFERROR(__xludf.DUMMYFUNCTION("""COMPUTED_VALUE"""),"")</f>
        <v/>
      </c>
      <c r="J318" s="36" t="str">
        <f ca="1">IFERROR(__xludf.DUMMYFUNCTION("""COMPUTED_VALUE"""),"")</f>
        <v/>
      </c>
      <c r="K318" s="36" t="str">
        <f ca="1">IFERROR(__xludf.DUMMYFUNCTION("""COMPUTED_VALUE"""),"")</f>
        <v/>
      </c>
      <c r="L318" s="36" t="str">
        <f ca="1">IFERROR(__xludf.DUMMYFUNCTION("""COMPUTED_VALUE"""),"")</f>
        <v/>
      </c>
      <c r="M318" s="36" t="str">
        <f ca="1">IFERROR(__xludf.DUMMYFUNCTION("""COMPUTED_VALUE"""),"")</f>
        <v/>
      </c>
      <c r="N318" s="36" t="str">
        <f ca="1">IFERROR(__xludf.DUMMYFUNCTION("""COMPUTED_VALUE"""),"")</f>
        <v/>
      </c>
      <c r="O318" s="36" t="str">
        <f ca="1">IFERROR(__xludf.DUMMYFUNCTION("""COMPUTED_VALUE"""),"")</f>
        <v/>
      </c>
      <c r="P318" s="36" t="str">
        <f ca="1">IFERROR(__xludf.DUMMYFUNCTION("""COMPUTED_VALUE"""),"")</f>
        <v/>
      </c>
      <c r="Q318" s="36" t="str">
        <f ca="1">IFERROR(__xludf.DUMMYFUNCTION("""COMPUTED_VALUE"""),"")</f>
        <v/>
      </c>
      <c r="R318" s="36" t="str">
        <f ca="1">IFERROR(__xludf.DUMMYFUNCTION("""COMPUTED_VALUE"""),"")</f>
        <v/>
      </c>
      <c r="S318" s="36" t="str">
        <f ca="1">IFERROR(__xludf.DUMMYFUNCTION("""COMPUTED_VALUE"""),"")</f>
        <v/>
      </c>
      <c r="T318" s="36" t="str">
        <f ca="1">IFERROR(__xludf.DUMMYFUNCTION("""COMPUTED_VALUE"""),"")</f>
        <v/>
      </c>
      <c r="U318" s="36" t="str">
        <f ca="1">IFERROR(__xludf.DUMMYFUNCTION("""COMPUTED_VALUE"""),"")</f>
        <v/>
      </c>
      <c r="V318" s="36" t="str">
        <f ca="1">IFERROR(__xludf.DUMMYFUNCTION("""COMPUTED_VALUE"""),"")</f>
        <v/>
      </c>
      <c r="W318" s="36" t="str">
        <f ca="1">IFERROR(__xludf.DUMMYFUNCTION("""COMPUTED_VALUE"""),"")</f>
        <v/>
      </c>
      <c r="X318" s="36"/>
      <c r="Y318" s="36"/>
      <c r="Z318" s="36"/>
    </row>
    <row r="319" spans="1:26" ht="12.75" hidden="1">
      <c r="A319" s="36" t="str">
        <f ca="1">IFERROR(__xludf.DUMMYFUNCTION("""COMPUTED_VALUE"""),"")</f>
        <v/>
      </c>
      <c r="B319" s="36" t="str">
        <f ca="1">IFERROR(__xludf.DUMMYFUNCTION("""COMPUTED_VALUE"""),"")</f>
        <v/>
      </c>
      <c r="C319" s="36" t="str">
        <f ca="1">IFERROR(__xludf.DUMMYFUNCTION("""COMPUTED_VALUE"""),"")</f>
        <v/>
      </c>
      <c r="D319" s="36" t="str">
        <f ca="1">IFERROR(__xludf.DUMMYFUNCTION("""COMPUTED_VALUE"""),"")</f>
        <v/>
      </c>
      <c r="E319" s="36" t="str">
        <f ca="1">IFERROR(__xludf.DUMMYFUNCTION("""COMPUTED_VALUE"""),"")</f>
        <v/>
      </c>
      <c r="F319" s="36" t="str">
        <f ca="1">IFERROR(__xludf.DUMMYFUNCTION("""COMPUTED_VALUE"""),"")</f>
        <v/>
      </c>
      <c r="G319" s="36" t="str">
        <f ca="1">IFERROR(__xludf.DUMMYFUNCTION("""COMPUTED_VALUE"""),"")</f>
        <v/>
      </c>
      <c r="H319" s="36" t="str">
        <f ca="1">IFERROR(__xludf.DUMMYFUNCTION("""COMPUTED_VALUE"""),"")</f>
        <v/>
      </c>
      <c r="I319" s="36" t="str">
        <f ca="1">IFERROR(__xludf.DUMMYFUNCTION("""COMPUTED_VALUE"""),"")</f>
        <v/>
      </c>
      <c r="J319" s="36" t="str">
        <f ca="1">IFERROR(__xludf.DUMMYFUNCTION("""COMPUTED_VALUE"""),"")</f>
        <v/>
      </c>
      <c r="K319" s="36" t="str">
        <f ca="1">IFERROR(__xludf.DUMMYFUNCTION("""COMPUTED_VALUE"""),"")</f>
        <v/>
      </c>
      <c r="L319" s="36" t="str">
        <f ca="1">IFERROR(__xludf.DUMMYFUNCTION("""COMPUTED_VALUE"""),"")</f>
        <v/>
      </c>
      <c r="M319" s="36" t="str">
        <f ca="1">IFERROR(__xludf.DUMMYFUNCTION("""COMPUTED_VALUE"""),"")</f>
        <v/>
      </c>
      <c r="N319" s="36" t="str">
        <f ca="1">IFERROR(__xludf.DUMMYFUNCTION("""COMPUTED_VALUE"""),"")</f>
        <v/>
      </c>
      <c r="O319" s="36" t="str">
        <f ca="1">IFERROR(__xludf.DUMMYFUNCTION("""COMPUTED_VALUE"""),"")</f>
        <v/>
      </c>
      <c r="P319" s="36" t="str">
        <f ca="1">IFERROR(__xludf.DUMMYFUNCTION("""COMPUTED_VALUE"""),"")</f>
        <v/>
      </c>
      <c r="Q319" s="36" t="str">
        <f ca="1">IFERROR(__xludf.DUMMYFUNCTION("""COMPUTED_VALUE"""),"")</f>
        <v/>
      </c>
      <c r="R319" s="36" t="str">
        <f ca="1">IFERROR(__xludf.DUMMYFUNCTION("""COMPUTED_VALUE"""),"")</f>
        <v/>
      </c>
      <c r="S319" s="36" t="str">
        <f ca="1">IFERROR(__xludf.DUMMYFUNCTION("""COMPUTED_VALUE"""),"")</f>
        <v/>
      </c>
      <c r="T319" s="36" t="str">
        <f ca="1">IFERROR(__xludf.DUMMYFUNCTION("""COMPUTED_VALUE"""),"")</f>
        <v/>
      </c>
      <c r="U319" s="36" t="str">
        <f ca="1">IFERROR(__xludf.DUMMYFUNCTION("""COMPUTED_VALUE"""),"")</f>
        <v/>
      </c>
      <c r="V319" s="36" t="str">
        <f ca="1">IFERROR(__xludf.DUMMYFUNCTION("""COMPUTED_VALUE"""),"")</f>
        <v/>
      </c>
      <c r="W319" s="36" t="str">
        <f ca="1">IFERROR(__xludf.DUMMYFUNCTION("""COMPUTED_VALUE"""),"")</f>
        <v/>
      </c>
      <c r="X319" s="36"/>
      <c r="Y319" s="36"/>
      <c r="Z319" s="36"/>
    </row>
    <row r="320" spans="1:26" ht="12.75" hidden="1">
      <c r="A320" s="36" t="str">
        <f ca="1">IFERROR(__xludf.DUMMYFUNCTION("""COMPUTED_VALUE"""),"")</f>
        <v/>
      </c>
      <c r="B320" s="36" t="str">
        <f ca="1">IFERROR(__xludf.DUMMYFUNCTION("""COMPUTED_VALUE"""),"")</f>
        <v/>
      </c>
      <c r="C320" s="36" t="str">
        <f ca="1">IFERROR(__xludf.DUMMYFUNCTION("""COMPUTED_VALUE"""),"")</f>
        <v/>
      </c>
      <c r="D320" s="36" t="str">
        <f ca="1">IFERROR(__xludf.DUMMYFUNCTION("""COMPUTED_VALUE"""),"")</f>
        <v/>
      </c>
      <c r="E320" s="36" t="str">
        <f ca="1">IFERROR(__xludf.DUMMYFUNCTION("""COMPUTED_VALUE"""),"")</f>
        <v/>
      </c>
      <c r="F320" s="36" t="str">
        <f ca="1">IFERROR(__xludf.DUMMYFUNCTION("""COMPUTED_VALUE"""),"")</f>
        <v/>
      </c>
      <c r="G320" s="36" t="str">
        <f ca="1">IFERROR(__xludf.DUMMYFUNCTION("""COMPUTED_VALUE"""),"")</f>
        <v/>
      </c>
      <c r="H320" s="36" t="str">
        <f ca="1">IFERROR(__xludf.DUMMYFUNCTION("""COMPUTED_VALUE"""),"")</f>
        <v/>
      </c>
      <c r="I320" s="36" t="str">
        <f ca="1">IFERROR(__xludf.DUMMYFUNCTION("""COMPUTED_VALUE"""),"")</f>
        <v/>
      </c>
      <c r="J320" s="36" t="str">
        <f ca="1">IFERROR(__xludf.DUMMYFUNCTION("""COMPUTED_VALUE"""),"")</f>
        <v/>
      </c>
      <c r="K320" s="36" t="str">
        <f ca="1">IFERROR(__xludf.DUMMYFUNCTION("""COMPUTED_VALUE"""),"")</f>
        <v/>
      </c>
      <c r="L320" s="36" t="str">
        <f ca="1">IFERROR(__xludf.DUMMYFUNCTION("""COMPUTED_VALUE"""),"")</f>
        <v/>
      </c>
      <c r="M320" s="36" t="str">
        <f ca="1">IFERROR(__xludf.DUMMYFUNCTION("""COMPUTED_VALUE"""),"")</f>
        <v/>
      </c>
      <c r="N320" s="36" t="str">
        <f ca="1">IFERROR(__xludf.DUMMYFUNCTION("""COMPUTED_VALUE"""),"")</f>
        <v/>
      </c>
      <c r="O320" s="36" t="str">
        <f ca="1">IFERROR(__xludf.DUMMYFUNCTION("""COMPUTED_VALUE"""),"")</f>
        <v/>
      </c>
      <c r="P320" s="36" t="str">
        <f ca="1">IFERROR(__xludf.DUMMYFUNCTION("""COMPUTED_VALUE"""),"")</f>
        <v/>
      </c>
      <c r="Q320" s="36" t="str">
        <f ca="1">IFERROR(__xludf.DUMMYFUNCTION("""COMPUTED_VALUE"""),"")</f>
        <v/>
      </c>
      <c r="R320" s="36" t="str">
        <f ca="1">IFERROR(__xludf.DUMMYFUNCTION("""COMPUTED_VALUE"""),"")</f>
        <v/>
      </c>
      <c r="S320" s="36" t="str">
        <f ca="1">IFERROR(__xludf.DUMMYFUNCTION("""COMPUTED_VALUE"""),"")</f>
        <v/>
      </c>
      <c r="T320" s="36" t="str">
        <f ca="1">IFERROR(__xludf.DUMMYFUNCTION("""COMPUTED_VALUE"""),"")</f>
        <v/>
      </c>
      <c r="U320" s="36" t="str">
        <f ca="1">IFERROR(__xludf.DUMMYFUNCTION("""COMPUTED_VALUE"""),"")</f>
        <v/>
      </c>
      <c r="V320" s="36" t="str">
        <f ca="1">IFERROR(__xludf.DUMMYFUNCTION("""COMPUTED_VALUE"""),"")</f>
        <v/>
      </c>
      <c r="W320" s="36" t="str">
        <f ca="1">IFERROR(__xludf.DUMMYFUNCTION("""COMPUTED_VALUE"""),"")</f>
        <v/>
      </c>
      <c r="X320" s="36"/>
      <c r="Y320" s="36"/>
      <c r="Z320" s="36"/>
    </row>
    <row r="321" spans="1:26" ht="12.75" hidden="1">
      <c r="A321" s="36" t="str">
        <f ca="1">IFERROR(__xludf.DUMMYFUNCTION("""COMPUTED_VALUE"""),"")</f>
        <v/>
      </c>
      <c r="B321" s="36" t="str">
        <f ca="1">IFERROR(__xludf.DUMMYFUNCTION("""COMPUTED_VALUE"""),"")</f>
        <v/>
      </c>
      <c r="C321" s="36" t="str">
        <f ca="1">IFERROR(__xludf.DUMMYFUNCTION("""COMPUTED_VALUE"""),"")</f>
        <v/>
      </c>
      <c r="D321" s="36" t="str">
        <f ca="1">IFERROR(__xludf.DUMMYFUNCTION("""COMPUTED_VALUE"""),"")</f>
        <v/>
      </c>
      <c r="E321" s="36" t="str">
        <f ca="1">IFERROR(__xludf.DUMMYFUNCTION("""COMPUTED_VALUE"""),"")</f>
        <v/>
      </c>
      <c r="F321" s="36" t="str">
        <f ca="1">IFERROR(__xludf.DUMMYFUNCTION("""COMPUTED_VALUE"""),"")</f>
        <v/>
      </c>
      <c r="G321" s="36" t="str">
        <f ca="1">IFERROR(__xludf.DUMMYFUNCTION("""COMPUTED_VALUE"""),"")</f>
        <v/>
      </c>
      <c r="H321" s="36" t="str">
        <f ca="1">IFERROR(__xludf.DUMMYFUNCTION("""COMPUTED_VALUE"""),"")</f>
        <v/>
      </c>
      <c r="I321" s="36" t="str">
        <f ca="1">IFERROR(__xludf.DUMMYFUNCTION("""COMPUTED_VALUE"""),"")</f>
        <v/>
      </c>
      <c r="J321" s="36" t="str">
        <f ca="1">IFERROR(__xludf.DUMMYFUNCTION("""COMPUTED_VALUE"""),"")</f>
        <v/>
      </c>
      <c r="K321" s="36" t="str">
        <f ca="1">IFERROR(__xludf.DUMMYFUNCTION("""COMPUTED_VALUE"""),"")</f>
        <v/>
      </c>
      <c r="L321" s="36" t="str">
        <f ca="1">IFERROR(__xludf.DUMMYFUNCTION("""COMPUTED_VALUE"""),"")</f>
        <v/>
      </c>
      <c r="M321" s="36" t="str">
        <f ca="1">IFERROR(__xludf.DUMMYFUNCTION("""COMPUTED_VALUE"""),"")</f>
        <v/>
      </c>
      <c r="N321" s="36" t="str">
        <f ca="1">IFERROR(__xludf.DUMMYFUNCTION("""COMPUTED_VALUE"""),"")</f>
        <v/>
      </c>
      <c r="O321" s="36" t="str">
        <f ca="1">IFERROR(__xludf.DUMMYFUNCTION("""COMPUTED_VALUE"""),"")</f>
        <v/>
      </c>
      <c r="P321" s="36" t="str">
        <f ca="1">IFERROR(__xludf.DUMMYFUNCTION("""COMPUTED_VALUE"""),"")</f>
        <v/>
      </c>
      <c r="Q321" s="36" t="str">
        <f ca="1">IFERROR(__xludf.DUMMYFUNCTION("""COMPUTED_VALUE"""),"")</f>
        <v/>
      </c>
      <c r="R321" s="36" t="str">
        <f ca="1">IFERROR(__xludf.DUMMYFUNCTION("""COMPUTED_VALUE"""),"")</f>
        <v/>
      </c>
      <c r="S321" s="36" t="str">
        <f ca="1">IFERROR(__xludf.DUMMYFUNCTION("""COMPUTED_VALUE"""),"")</f>
        <v/>
      </c>
      <c r="T321" s="36" t="str">
        <f ca="1">IFERROR(__xludf.DUMMYFUNCTION("""COMPUTED_VALUE"""),"")</f>
        <v/>
      </c>
      <c r="U321" s="36" t="str">
        <f ca="1">IFERROR(__xludf.DUMMYFUNCTION("""COMPUTED_VALUE"""),"")</f>
        <v/>
      </c>
      <c r="V321" s="36" t="str">
        <f ca="1">IFERROR(__xludf.DUMMYFUNCTION("""COMPUTED_VALUE"""),"")</f>
        <v/>
      </c>
      <c r="W321" s="36" t="str">
        <f ca="1">IFERROR(__xludf.DUMMYFUNCTION("""COMPUTED_VALUE"""),"")</f>
        <v/>
      </c>
      <c r="X321" s="36"/>
      <c r="Y321" s="36"/>
      <c r="Z321" s="36"/>
    </row>
    <row r="322" spans="1:26" ht="12.75" hidden="1">
      <c r="A322" s="36" t="str">
        <f ca="1">IFERROR(__xludf.DUMMYFUNCTION("""COMPUTED_VALUE"""),"")</f>
        <v/>
      </c>
      <c r="B322" s="36" t="str">
        <f ca="1">IFERROR(__xludf.DUMMYFUNCTION("""COMPUTED_VALUE"""),"")</f>
        <v/>
      </c>
      <c r="C322" s="36" t="str">
        <f ca="1">IFERROR(__xludf.DUMMYFUNCTION("""COMPUTED_VALUE"""),"")</f>
        <v/>
      </c>
      <c r="D322" s="36" t="str">
        <f ca="1">IFERROR(__xludf.DUMMYFUNCTION("""COMPUTED_VALUE"""),"")</f>
        <v/>
      </c>
      <c r="E322" s="36" t="str">
        <f ca="1">IFERROR(__xludf.DUMMYFUNCTION("""COMPUTED_VALUE"""),"")</f>
        <v/>
      </c>
      <c r="F322" s="36" t="str">
        <f ca="1">IFERROR(__xludf.DUMMYFUNCTION("""COMPUTED_VALUE"""),"")</f>
        <v/>
      </c>
      <c r="G322" s="36" t="str">
        <f ca="1">IFERROR(__xludf.DUMMYFUNCTION("""COMPUTED_VALUE"""),"")</f>
        <v/>
      </c>
      <c r="H322" s="36" t="str">
        <f ca="1">IFERROR(__xludf.DUMMYFUNCTION("""COMPUTED_VALUE"""),"")</f>
        <v/>
      </c>
      <c r="I322" s="36" t="str">
        <f ca="1">IFERROR(__xludf.DUMMYFUNCTION("""COMPUTED_VALUE"""),"")</f>
        <v/>
      </c>
      <c r="J322" s="36" t="str">
        <f ca="1">IFERROR(__xludf.DUMMYFUNCTION("""COMPUTED_VALUE"""),"")</f>
        <v/>
      </c>
      <c r="K322" s="36" t="str">
        <f ca="1">IFERROR(__xludf.DUMMYFUNCTION("""COMPUTED_VALUE"""),"")</f>
        <v/>
      </c>
      <c r="L322" s="36" t="str">
        <f ca="1">IFERROR(__xludf.DUMMYFUNCTION("""COMPUTED_VALUE"""),"")</f>
        <v/>
      </c>
      <c r="M322" s="36" t="str">
        <f ca="1">IFERROR(__xludf.DUMMYFUNCTION("""COMPUTED_VALUE"""),"")</f>
        <v/>
      </c>
      <c r="N322" s="36" t="str">
        <f ca="1">IFERROR(__xludf.DUMMYFUNCTION("""COMPUTED_VALUE"""),"")</f>
        <v/>
      </c>
      <c r="O322" s="36" t="str">
        <f ca="1">IFERROR(__xludf.DUMMYFUNCTION("""COMPUTED_VALUE"""),"")</f>
        <v/>
      </c>
      <c r="P322" s="36" t="str">
        <f ca="1">IFERROR(__xludf.DUMMYFUNCTION("""COMPUTED_VALUE"""),"")</f>
        <v/>
      </c>
      <c r="Q322" s="36" t="str">
        <f ca="1">IFERROR(__xludf.DUMMYFUNCTION("""COMPUTED_VALUE"""),"")</f>
        <v/>
      </c>
      <c r="R322" s="36" t="str">
        <f ca="1">IFERROR(__xludf.DUMMYFUNCTION("""COMPUTED_VALUE"""),"")</f>
        <v/>
      </c>
      <c r="S322" s="36" t="str">
        <f ca="1">IFERROR(__xludf.DUMMYFUNCTION("""COMPUTED_VALUE"""),"")</f>
        <v/>
      </c>
      <c r="T322" s="36" t="str">
        <f ca="1">IFERROR(__xludf.DUMMYFUNCTION("""COMPUTED_VALUE"""),"")</f>
        <v/>
      </c>
      <c r="U322" s="36" t="str">
        <f ca="1">IFERROR(__xludf.DUMMYFUNCTION("""COMPUTED_VALUE"""),"")</f>
        <v/>
      </c>
      <c r="V322" s="36" t="str">
        <f ca="1">IFERROR(__xludf.DUMMYFUNCTION("""COMPUTED_VALUE"""),"")</f>
        <v/>
      </c>
      <c r="W322" s="36" t="str">
        <f ca="1">IFERROR(__xludf.DUMMYFUNCTION("""COMPUTED_VALUE"""),"")</f>
        <v/>
      </c>
      <c r="X322" s="36"/>
      <c r="Y322" s="36"/>
      <c r="Z322" s="36"/>
    </row>
    <row r="323" spans="1:26" ht="12.75" hidden="1">
      <c r="A323" s="36" t="str">
        <f ca="1">IFERROR(__xludf.DUMMYFUNCTION("""COMPUTED_VALUE"""),"")</f>
        <v/>
      </c>
      <c r="B323" s="36" t="str">
        <f ca="1">IFERROR(__xludf.DUMMYFUNCTION("""COMPUTED_VALUE"""),"")</f>
        <v/>
      </c>
      <c r="C323" s="36" t="str">
        <f ca="1">IFERROR(__xludf.DUMMYFUNCTION("""COMPUTED_VALUE"""),"")</f>
        <v/>
      </c>
      <c r="D323" s="36" t="str">
        <f ca="1">IFERROR(__xludf.DUMMYFUNCTION("""COMPUTED_VALUE"""),"")</f>
        <v/>
      </c>
      <c r="E323" s="36" t="str">
        <f ca="1">IFERROR(__xludf.DUMMYFUNCTION("""COMPUTED_VALUE"""),"")</f>
        <v/>
      </c>
      <c r="F323" s="36" t="str">
        <f ca="1">IFERROR(__xludf.DUMMYFUNCTION("""COMPUTED_VALUE"""),"")</f>
        <v/>
      </c>
      <c r="G323" s="36" t="str">
        <f ca="1">IFERROR(__xludf.DUMMYFUNCTION("""COMPUTED_VALUE"""),"")</f>
        <v/>
      </c>
      <c r="H323" s="36" t="str">
        <f ca="1">IFERROR(__xludf.DUMMYFUNCTION("""COMPUTED_VALUE"""),"")</f>
        <v/>
      </c>
      <c r="I323" s="36" t="str">
        <f ca="1">IFERROR(__xludf.DUMMYFUNCTION("""COMPUTED_VALUE"""),"")</f>
        <v/>
      </c>
      <c r="J323" s="36" t="str">
        <f ca="1">IFERROR(__xludf.DUMMYFUNCTION("""COMPUTED_VALUE"""),"")</f>
        <v/>
      </c>
      <c r="K323" s="36" t="str">
        <f ca="1">IFERROR(__xludf.DUMMYFUNCTION("""COMPUTED_VALUE"""),"")</f>
        <v/>
      </c>
      <c r="L323" s="36" t="str">
        <f ca="1">IFERROR(__xludf.DUMMYFUNCTION("""COMPUTED_VALUE"""),"")</f>
        <v/>
      </c>
      <c r="M323" s="36" t="str">
        <f ca="1">IFERROR(__xludf.DUMMYFUNCTION("""COMPUTED_VALUE"""),"")</f>
        <v/>
      </c>
      <c r="N323" s="36" t="str">
        <f ca="1">IFERROR(__xludf.DUMMYFUNCTION("""COMPUTED_VALUE"""),"")</f>
        <v/>
      </c>
      <c r="O323" s="36" t="str">
        <f ca="1">IFERROR(__xludf.DUMMYFUNCTION("""COMPUTED_VALUE"""),"")</f>
        <v/>
      </c>
      <c r="P323" s="36" t="str">
        <f ca="1">IFERROR(__xludf.DUMMYFUNCTION("""COMPUTED_VALUE"""),"")</f>
        <v/>
      </c>
      <c r="Q323" s="36" t="str">
        <f ca="1">IFERROR(__xludf.DUMMYFUNCTION("""COMPUTED_VALUE"""),"")</f>
        <v/>
      </c>
      <c r="R323" s="36" t="str">
        <f ca="1">IFERROR(__xludf.DUMMYFUNCTION("""COMPUTED_VALUE"""),"")</f>
        <v/>
      </c>
      <c r="S323" s="36" t="str">
        <f ca="1">IFERROR(__xludf.DUMMYFUNCTION("""COMPUTED_VALUE"""),"")</f>
        <v/>
      </c>
      <c r="T323" s="36" t="str">
        <f ca="1">IFERROR(__xludf.DUMMYFUNCTION("""COMPUTED_VALUE"""),"")</f>
        <v/>
      </c>
      <c r="U323" s="36" t="str">
        <f ca="1">IFERROR(__xludf.DUMMYFUNCTION("""COMPUTED_VALUE"""),"")</f>
        <v/>
      </c>
      <c r="V323" s="36" t="str">
        <f ca="1">IFERROR(__xludf.DUMMYFUNCTION("""COMPUTED_VALUE"""),"")</f>
        <v/>
      </c>
      <c r="W323" s="36" t="str">
        <f ca="1">IFERROR(__xludf.DUMMYFUNCTION("""COMPUTED_VALUE"""),"")</f>
        <v/>
      </c>
      <c r="X323" s="36"/>
      <c r="Y323" s="36"/>
      <c r="Z323" s="36"/>
    </row>
    <row r="324" spans="1:26" ht="12.75" hidden="1">
      <c r="A324" s="36" t="str">
        <f ca="1">IFERROR(__xludf.DUMMYFUNCTION("""COMPUTED_VALUE"""),"")</f>
        <v/>
      </c>
      <c r="B324" s="36" t="str">
        <f ca="1">IFERROR(__xludf.DUMMYFUNCTION("""COMPUTED_VALUE"""),"")</f>
        <v/>
      </c>
      <c r="C324" s="36" t="str">
        <f ca="1">IFERROR(__xludf.DUMMYFUNCTION("""COMPUTED_VALUE"""),"")</f>
        <v/>
      </c>
      <c r="D324" s="36" t="str">
        <f ca="1">IFERROR(__xludf.DUMMYFUNCTION("""COMPUTED_VALUE"""),"")</f>
        <v/>
      </c>
      <c r="E324" s="36" t="str">
        <f ca="1">IFERROR(__xludf.DUMMYFUNCTION("""COMPUTED_VALUE"""),"")</f>
        <v/>
      </c>
      <c r="F324" s="36" t="str">
        <f ca="1">IFERROR(__xludf.DUMMYFUNCTION("""COMPUTED_VALUE"""),"")</f>
        <v/>
      </c>
      <c r="G324" s="36" t="str">
        <f ca="1">IFERROR(__xludf.DUMMYFUNCTION("""COMPUTED_VALUE"""),"")</f>
        <v/>
      </c>
      <c r="H324" s="36" t="str">
        <f ca="1">IFERROR(__xludf.DUMMYFUNCTION("""COMPUTED_VALUE"""),"")</f>
        <v/>
      </c>
      <c r="I324" s="36" t="str">
        <f ca="1">IFERROR(__xludf.DUMMYFUNCTION("""COMPUTED_VALUE"""),"")</f>
        <v/>
      </c>
      <c r="J324" s="36" t="str">
        <f ca="1">IFERROR(__xludf.DUMMYFUNCTION("""COMPUTED_VALUE"""),"")</f>
        <v/>
      </c>
      <c r="K324" s="36" t="str">
        <f ca="1">IFERROR(__xludf.DUMMYFUNCTION("""COMPUTED_VALUE"""),"")</f>
        <v/>
      </c>
      <c r="L324" s="36" t="str">
        <f ca="1">IFERROR(__xludf.DUMMYFUNCTION("""COMPUTED_VALUE"""),"")</f>
        <v/>
      </c>
      <c r="M324" s="36" t="str">
        <f ca="1">IFERROR(__xludf.DUMMYFUNCTION("""COMPUTED_VALUE"""),"")</f>
        <v/>
      </c>
      <c r="N324" s="36" t="str">
        <f ca="1">IFERROR(__xludf.DUMMYFUNCTION("""COMPUTED_VALUE"""),"")</f>
        <v/>
      </c>
      <c r="O324" s="36" t="str">
        <f ca="1">IFERROR(__xludf.DUMMYFUNCTION("""COMPUTED_VALUE"""),"")</f>
        <v/>
      </c>
      <c r="P324" s="36" t="str">
        <f ca="1">IFERROR(__xludf.DUMMYFUNCTION("""COMPUTED_VALUE"""),"")</f>
        <v/>
      </c>
      <c r="Q324" s="36" t="str">
        <f ca="1">IFERROR(__xludf.DUMMYFUNCTION("""COMPUTED_VALUE"""),"")</f>
        <v/>
      </c>
      <c r="R324" s="36" t="str">
        <f ca="1">IFERROR(__xludf.DUMMYFUNCTION("""COMPUTED_VALUE"""),"")</f>
        <v/>
      </c>
      <c r="S324" s="36" t="str">
        <f ca="1">IFERROR(__xludf.DUMMYFUNCTION("""COMPUTED_VALUE"""),"")</f>
        <v/>
      </c>
      <c r="T324" s="36" t="str">
        <f ca="1">IFERROR(__xludf.DUMMYFUNCTION("""COMPUTED_VALUE"""),"")</f>
        <v/>
      </c>
      <c r="U324" s="36" t="str">
        <f ca="1">IFERROR(__xludf.DUMMYFUNCTION("""COMPUTED_VALUE"""),"")</f>
        <v/>
      </c>
      <c r="V324" s="36" t="str">
        <f ca="1">IFERROR(__xludf.DUMMYFUNCTION("""COMPUTED_VALUE"""),"")</f>
        <v/>
      </c>
      <c r="W324" s="36" t="str">
        <f ca="1">IFERROR(__xludf.DUMMYFUNCTION("""COMPUTED_VALUE"""),"")</f>
        <v/>
      </c>
      <c r="X324" s="36"/>
      <c r="Y324" s="36"/>
      <c r="Z324" s="36"/>
    </row>
    <row r="325" spans="1:26" ht="12.75" hidden="1">
      <c r="A325" s="36" t="str">
        <f ca="1">IFERROR(__xludf.DUMMYFUNCTION("""COMPUTED_VALUE"""),"")</f>
        <v/>
      </c>
      <c r="B325" s="36" t="str">
        <f ca="1">IFERROR(__xludf.DUMMYFUNCTION("""COMPUTED_VALUE"""),"")</f>
        <v/>
      </c>
      <c r="C325" s="36" t="str">
        <f ca="1">IFERROR(__xludf.DUMMYFUNCTION("""COMPUTED_VALUE"""),"")</f>
        <v/>
      </c>
      <c r="D325" s="36" t="str">
        <f ca="1">IFERROR(__xludf.DUMMYFUNCTION("""COMPUTED_VALUE"""),"")</f>
        <v/>
      </c>
      <c r="E325" s="36" t="str">
        <f ca="1">IFERROR(__xludf.DUMMYFUNCTION("""COMPUTED_VALUE"""),"")</f>
        <v/>
      </c>
      <c r="F325" s="36" t="str">
        <f ca="1">IFERROR(__xludf.DUMMYFUNCTION("""COMPUTED_VALUE"""),"")</f>
        <v/>
      </c>
      <c r="G325" s="36" t="str">
        <f ca="1">IFERROR(__xludf.DUMMYFUNCTION("""COMPUTED_VALUE"""),"")</f>
        <v/>
      </c>
      <c r="H325" s="36" t="str">
        <f ca="1">IFERROR(__xludf.DUMMYFUNCTION("""COMPUTED_VALUE"""),"")</f>
        <v/>
      </c>
      <c r="I325" s="36" t="str">
        <f ca="1">IFERROR(__xludf.DUMMYFUNCTION("""COMPUTED_VALUE"""),"")</f>
        <v/>
      </c>
      <c r="J325" s="36" t="str">
        <f ca="1">IFERROR(__xludf.DUMMYFUNCTION("""COMPUTED_VALUE"""),"")</f>
        <v/>
      </c>
      <c r="K325" s="36" t="str">
        <f ca="1">IFERROR(__xludf.DUMMYFUNCTION("""COMPUTED_VALUE"""),"")</f>
        <v/>
      </c>
      <c r="L325" s="36" t="str">
        <f ca="1">IFERROR(__xludf.DUMMYFUNCTION("""COMPUTED_VALUE"""),"")</f>
        <v/>
      </c>
      <c r="M325" s="36" t="str">
        <f ca="1">IFERROR(__xludf.DUMMYFUNCTION("""COMPUTED_VALUE"""),"")</f>
        <v/>
      </c>
      <c r="N325" s="36" t="str">
        <f ca="1">IFERROR(__xludf.DUMMYFUNCTION("""COMPUTED_VALUE"""),"")</f>
        <v/>
      </c>
      <c r="O325" s="36" t="str">
        <f ca="1">IFERROR(__xludf.DUMMYFUNCTION("""COMPUTED_VALUE"""),"")</f>
        <v/>
      </c>
      <c r="P325" s="36" t="str">
        <f ca="1">IFERROR(__xludf.DUMMYFUNCTION("""COMPUTED_VALUE"""),"")</f>
        <v/>
      </c>
      <c r="Q325" s="36" t="str">
        <f ca="1">IFERROR(__xludf.DUMMYFUNCTION("""COMPUTED_VALUE"""),"")</f>
        <v/>
      </c>
      <c r="R325" s="36" t="str">
        <f ca="1">IFERROR(__xludf.DUMMYFUNCTION("""COMPUTED_VALUE"""),"")</f>
        <v/>
      </c>
      <c r="S325" s="36" t="str">
        <f ca="1">IFERROR(__xludf.DUMMYFUNCTION("""COMPUTED_VALUE"""),"")</f>
        <v/>
      </c>
      <c r="T325" s="36" t="str">
        <f ca="1">IFERROR(__xludf.DUMMYFUNCTION("""COMPUTED_VALUE"""),"")</f>
        <v/>
      </c>
      <c r="U325" s="36" t="str">
        <f ca="1">IFERROR(__xludf.DUMMYFUNCTION("""COMPUTED_VALUE"""),"")</f>
        <v/>
      </c>
      <c r="V325" s="36" t="str">
        <f ca="1">IFERROR(__xludf.DUMMYFUNCTION("""COMPUTED_VALUE"""),"")</f>
        <v/>
      </c>
      <c r="W325" s="36" t="str">
        <f ca="1">IFERROR(__xludf.DUMMYFUNCTION("""COMPUTED_VALUE"""),"")</f>
        <v/>
      </c>
      <c r="X325" s="36"/>
      <c r="Y325" s="36"/>
      <c r="Z325" s="36"/>
    </row>
    <row r="326" spans="1:26" ht="12.75" hidden="1">
      <c r="A326" s="36" t="str">
        <f ca="1">IFERROR(__xludf.DUMMYFUNCTION("""COMPUTED_VALUE"""),"")</f>
        <v/>
      </c>
      <c r="B326" s="36" t="str">
        <f ca="1">IFERROR(__xludf.DUMMYFUNCTION("""COMPUTED_VALUE"""),"")</f>
        <v/>
      </c>
      <c r="C326" s="36" t="str">
        <f ca="1">IFERROR(__xludf.DUMMYFUNCTION("""COMPUTED_VALUE"""),"")</f>
        <v/>
      </c>
      <c r="D326" s="36" t="str">
        <f ca="1">IFERROR(__xludf.DUMMYFUNCTION("""COMPUTED_VALUE"""),"")</f>
        <v/>
      </c>
      <c r="E326" s="36" t="str">
        <f ca="1">IFERROR(__xludf.DUMMYFUNCTION("""COMPUTED_VALUE"""),"")</f>
        <v/>
      </c>
      <c r="F326" s="36" t="str">
        <f ca="1">IFERROR(__xludf.DUMMYFUNCTION("""COMPUTED_VALUE"""),"")</f>
        <v/>
      </c>
      <c r="G326" s="36" t="str">
        <f ca="1">IFERROR(__xludf.DUMMYFUNCTION("""COMPUTED_VALUE"""),"")</f>
        <v/>
      </c>
      <c r="H326" s="36" t="str">
        <f ca="1">IFERROR(__xludf.DUMMYFUNCTION("""COMPUTED_VALUE"""),"")</f>
        <v/>
      </c>
      <c r="I326" s="36" t="str">
        <f ca="1">IFERROR(__xludf.DUMMYFUNCTION("""COMPUTED_VALUE"""),"")</f>
        <v/>
      </c>
      <c r="J326" s="36" t="str">
        <f ca="1">IFERROR(__xludf.DUMMYFUNCTION("""COMPUTED_VALUE"""),"")</f>
        <v/>
      </c>
      <c r="K326" s="36" t="str">
        <f ca="1">IFERROR(__xludf.DUMMYFUNCTION("""COMPUTED_VALUE"""),"")</f>
        <v/>
      </c>
      <c r="L326" s="36" t="str">
        <f ca="1">IFERROR(__xludf.DUMMYFUNCTION("""COMPUTED_VALUE"""),"")</f>
        <v/>
      </c>
      <c r="M326" s="36" t="str">
        <f ca="1">IFERROR(__xludf.DUMMYFUNCTION("""COMPUTED_VALUE"""),"")</f>
        <v/>
      </c>
      <c r="N326" s="36" t="str">
        <f ca="1">IFERROR(__xludf.DUMMYFUNCTION("""COMPUTED_VALUE"""),"")</f>
        <v/>
      </c>
      <c r="O326" s="36" t="str">
        <f ca="1">IFERROR(__xludf.DUMMYFUNCTION("""COMPUTED_VALUE"""),"")</f>
        <v/>
      </c>
      <c r="P326" s="36" t="str">
        <f ca="1">IFERROR(__xludf.DUMMYFUNCTION("""COMPUTED_VALUE"""),"")</f>
        <v/>
      </c>
      <c r="Q326" s="36" t="str">
        <f ca="1">IFERROR(__xludf.DUMMYFUNCTION("""COMPUTED_VALUE"""),"")</f>
        <v/>
      </c>
      <c r="R326" s="36" t="str">
        <f ca="1">IFERROR(__xludf.DUMMYFUNCTION("""COMPUTED_VALUE"""),"")</f>
        <v/>
      </c>
      <c r="S326" s="36" t="str">
        <f ca="1">IFERROR(__xludf.DUMMYFUNCTION("""COMPUTED_VALUE"""),"")</f>
        <v/>
      </c>
      <c r="T326" s="36" t="str">
        <f ca="1">IFERROR(__xludf.DUMMYFUNCTION("""COMPUTED_VALUE"""),"")</f>
        <v/>
      </c>
      <c r="U326" s="36" t="str">
        <f ca="1">IFERROR(__xludf.DUMMYFUNCTION("""COMPUTED_VALUE"""),"")</f>
        <v/>
      </c>
      <c r="V326" s="36" t="str">
        <f ca="1">IFERROR(__xludf.DUMMYFUNCTION("""COMPUTED_VALUE"""),"")</f>
        <v/>
      </c>
      <c r="W326" s="36" t="str">
        <f ca="1">IFERROR(__xludf.DUMMYFUNCTION("""COMPUTED_VALUE"""),"")</f>
        <v/>
      </c>
      <c r="X326" s="36"/>
      <c r="Y326" s="36"/>
      <c r="Z326" s="36"/>
    </row>
    <row r="327" spans="1:26" ht="12.75" hidden="1">
      <c r="A327" s="36" t="str">
        <f ca="1">IFERROR(__xludf.DUMMYFUNCTION("""COMPUTED_VALUE"""),"")</f>
        <v/>
      </c>
      <c r="B327" s="36" t="str">
        <f ca="1">IFERROR(__xludf.DUMMYFUNCTION("""COMPUTED_VALUE"""),"")</f>
        <v/>
      </c>
      <c r="C327" s="36" t="str">
        <f ca="1">IFERROR(__xludf.DUMMYFUNCTION("""COMPUTED_VALUE"""),"")</f>
        <v/>
      </c>
      <c r="D327" s="36" t="str">
        <f ca="1">IFERROR(__xludf.DUMMYFUNCTION("""COMPUTED_VALUE"""),"")</f>
        <v/>
      </c>
      <c r="E327" s="36" t="str">
        <f ca="1">IFERROR(__xludf.DUMMYFUNCTION("""COMPUTED_VALUE"""),"")</f>
        <v/>
      </c>
      <c r="F327" s="36" t="str">
        <f ca="1">IFERROR(__xludf.DUMMYFUNCTION("""COMPUTED_VALUE"""),"")</f>
        <v/>
      </c>
      <c r="G327" s="36" t="str">
        <f ca="1">IFERROR(__xludf.DUMMYFUNCTION("""COMPUTED_VALUE"""),"")</f>
        <v/>
      </c>
      <c r="H327" s="36" t="str">
        <f ca="1">IFERROR(__xludf.DUMMYFUNCTION("""COMPUTED_VALUE"""),"")</f>
        <v/>
      </c>
      <c r="I327" s="36" t="str">
        <f ca="1">IFERROR(__xludf.DUMMYFUNCTION("""COMPUTED_VALUE"""),"")</f>
        <v/>
      </c>
      <c r="J327" s="36" t="str">
        <f ca="1">IFERROR(__xludf.DUMMYFUNCTION("""COMPUTED_VALUE"""),"")</f>
        <v/>
      </c>
      <c r="K327" s="36" t="str">
        <f ca="1">IFERROR(__xludf.DUMMYFUNCTION("""COMPUTED_VALUE"""),"")</f>
        <v/>
      </c>
      <c r="L327" s="36" t="str">
        <f ca="1">IFERROR(__xludf.DUMMYFUNCTION("""COMPUTED_VALUE"""),"")</f>
        <v/>
      </c>
      <c r="M327" s="36" t="str">
        <f ca="1">IFERROR(__xludf.DUMMYFUNCTION("""COMPUTED_VALUE"""),"")</f>
        <v/>
      </c>
      <c r="N327" s="36" t="str">
        <f ca="1">IFERROR(__xludf.DUMMYFUNCTION("""COMPUTED_VALUE"""),"")</f>
        <v/>
      </c>
      <c r="O327" s="36" t="str">
        <f ca="1">IFERROR(__xludf.DUMMYFUNCTION("""COMPUTED_VALUE"""),"")</f>
        <v/>
      </c>
      <c r="P327" s="36" t="str">
        <f ca="1">IFERROR(__xludf.DUMMYFUNCTION("""COMPUTED_VALUE"""),"")</f>
        <v/>
      </c>
      <c r="Q327" s="36" t="str">
        <f ca="1">IFERROR(__xludf.DUMMYFUNCTION("""COMPUTED_VALUE"""),"")</f>
        <v/>
      </c>
      <c r="R327" s="36" t="str">
        <f ca="1">IFERROR(__xludf.DUMMYFUNCTION("""COMPUTED_VALUE"""),"")</f>
        <v/>
      </c>
      <c r="S327" s="36" t="str">
        <f ca="1">IFERROR(__xludf.DUMMYFUNCTION("""COMPUTED_VALUE"""),"")</f>
        <v/>
      </c>
      <c r="T327" s="36" t="str">
        <f ca="1">IFERROR(__xludf.DUMMYFUNCTION("""COMPUTED_VALUE"""),"")</f>
        <v/>
      </c>
      <c r="U327" s="36" t="str">
        <f ca="1">IFERROR(__xludf.DUMMYFUNCTION("""COMPUTED_VALUE"""),"")</f>
        <v/>
      </c>
      <c r="V327" s="36" t="str">
        <f ca="1">IFERROR(__xludf.DUMMYFUNCTION("""COMPUTED_VALUE"""),"")</f>
        <v/>
      </c>
      <c r="W327" s="36" t="str">
        <f ca="1">IFERROR(__xludf.DUMMYFUNCTION("""COMPUTED_VALUE"""),"")</f>
        <v/>
      </c>
      <c r="X327" s="36"/>
      <c r="Y327" s="36"/>
      <c r="Z327" s="36"/>
    </row>
    <row r="328" spans="1:26" ht="12.75" hidden="1">
      <c r="A328" s="36" t="str">
        <f ca="1">IFERROR(__xludf.DUMMYFUNCTION("""COMPUTED_VALUE"""),"")</f>
        <v/>
      </c>
      <c r="B328" s="36" t="str">
        <f ca="1">IFERROR(__xludf.DUMMYFUNCTION("""COMPUTED_VALUE"""),"")</f>
        <v/>
      </c>
      <c r="C328" s="36" t="str">
        <f ca="1">IFERROR(__xludf.DUMMYFUNCTION("""COMPUTED_VALUE"""),"")</f>
        <v/>
      </c>
      <c r="D328" s="36" t="str">
        <f ca="1">IFERROR(__xludf.DUMMYFUNCTION("""COMPUTED_VALUE"""),"")</f>
        <v/>
      </c>
      <c r="E328" s="36" t="str">
        <f ca="1">IFERROR(__xludf.DUMMYFUNCTION("""COMPUTED_VALUE"""),"")</f>
        <v/>
      </c>
      <c r="F328" s="36" t="str">
        <f ca="1">IFERROR(__xludf.DUMMYFUNCTION("""COMPUTED_VALUE"""),"")</f>
        <v/>
      </c>
      <c r="G328" s="36" t="str">
        <f ca="1">IFERROR(__xludf.DUMMYFUNCTION("""COMPUTED_VALUE"""),"")</f>
        <v/>
      </c>
      <c r="H328" s="36" t="str">
        <f ca="1">IFERROR(__xludf.DUMMYFUNCTION("""COMPUTED_VALUE"""),"")</f>
        <v/>
      </c>
      <c r="I328" s="36" t="str">
        <f ca="1">IFERROR(__xludf.DUMMYFUNCTION("""COMPUTED_VALUE"""),"")</f>
        <v/>
      </c>
      <c r="J328" s="36" t="str">
        <f ca="1">IFERROR(__xludf.DUMMYFUNCTION("""COMPUTED_VALUE"""),"")</f>
        <v/>
      </c>
      <c r="K328" s="36" t="str">
        <f ca="1">IFERROR(__xludf.DUMMYFUNCTION("""COMPUTED_VALUE"""),"")</f>
        <v/>
      </c>
      <c r="L328" s="36" t="str">
        <f ca="1">IFERROR(__xludf.DUMMYFUNCTION("""COMPUTED_VALUE"""),"")</f>
        <v/>
      </c>
      <c r="M328" s="36" t="str">
        <f ca="1">IFERROR(__xludf.DUMMYFUNCTION("""COMPUTED_VALUE"""),"")</f>
        <v/>
      </c>
      <c r="N328" s="36" t="str">
        <f ca="1">IFERROR(__xludf.DUMMYFUNCTION("""COMPUTED_VALUE"""),"")</f>
        <v/>
      </c>
      <c r="O328" s="36" t="str">
        <f ca="1">IFERROR(__xludf.DUMMYFUNCTION("""COMPUTED_VALUE"""),"")</f>
        <v/>
      </c>
      <c r="P328" s="36" t="str">
        <f ca="1">IFERROR(__xludf.DUMMYFUNCTION("""COMPUTED_VALUE"""),"")</f>
        <v/>
      </c>
      <c r="Q328" s="36" t="str">
        <f ca="1">IFERROR(__xludf.DUMMYFUNCTION("""COMPUTED_VALUE"""),"")</f>
        <v/>
      </c>
      <c r="R328" s="36" t="str">
        <f ca="1">IFERROR(__xludf.DUMMYFUNCTION("""COMPUTED_VALUE"""),"")</f>
        <v/>
      </c>
      <c r="S328" s="36" t="str">
        <f ca="1">IFERROR(__xludf.DUMMYFUNCTION("""COMPUTED_VALUE"""),"")</f>
        <v/>
      </c>
      <c r="T328" s="36" t="str">
        <f ca="1">IFERROR(__xludf.DUMMYFUNCTION("""COMPUTED_VALUE"""),"")</f>
        <v/>
      </c>
      <c r="U328" s="36" t="str">
        <f ca="1">IFERROR(__xludf.DUMMYFUNCTION("""COMPUTED_VALUE"""),"")</f>
        <v/>
      </c>
      <c r="V328" s="36" t="str">
        <f ca="1">IFERROR(__xludf.DUMMYFUNCTION("""COMPUTED_VALUE"""),"")</f>
        <v/>
      </c>
      <c r="W328" s="36" t="str">
        <f ca="1">IFERROR(__xludf.DUMMYFUNCTION("""COMPUTED_VALUE"""),"")</f>
        <v/>
      </c>
      <c r="X328" s="36"/>
      <c r="Y328" s="36"/>
      <c r="Z328" s="36"/>
    </row>
    <row r="329" spans="1:26" ht="12.75" hidden="1">
      <c r="A329" s="36" t="str">
        <f ca="1">IFERROR(__xludf.DUMMYFUNCTION("""COMPUTED_VALUE"""),"")</f>
        <v/>
      </c>
      <c r="B329" s="36" t="str">
        <f ca="1">IFERROR(__xludf.DUMMYFUNCTION("""COMPUTED_VALUE"""),"")</f>
        <v/>
      </c>
      <c r="C329" s="36" t="str">
        <f ca="1">IFERROR(__xludf.DUMMYFUNCTION("""COMPUTED_VALUE"""),"")</f>
        <v/>
      </c>
      <c r="D329" s="36" t="str">
        <f ca="1">IFERROR(__xludf.DUMMYFUNCTION("""COMPUTED_VALUE"""),"")</f>
        <v/>
      </c>
      <c r="E329" s="36" t="str">
        <f ca="1">IFERROR(__xludf.DUMMYFUNCTION("""COMPUTED_VALUE"""),"")</f>
        <v/>
      </c>
      <c r="F329" s="36" t="str">
        <f ca="1">IFERROR(__xludf.DUMMYFUNCTION("""COMPUTED_VALUE"""),"")</f>
        <v/>
      </c>
      <c r="G329" s="36" t="str">
        <f ca="1">IFERROR(__xludf.DUMMYFUNCTION("""COMPUTED_VALUE"""),"")</f>
        <v/>
      </c>
      <c r="H329" s="36" t="str">
        <f ca="1">IFERROR(__xludf.DUMMYFUNCTION("""COMPUTED_VALUE"""),"")</f>
        <v/>
      </c>
      <c r="I329" s="36" t="str">
        <f ca="1">IFERROR(__xludf.DUMMYFUNCTION("""COMPUTED_VALUE"""),"")</f>
        <v/>
      </c>
      <c r="J329" s="36" t="str">
        <f ca="1">IFERROR(__xludf.DUMMYFUNCTION("""COMPUTED_VALUE"""),"")</f>
        <v/>
      </c>
      <c r="K329" s="36" t="str">
        <f ca="1">IFERROR(__xludf.DUMMYFUNCTION("""COMPUTED_VALUE"""),"")</f>
        <v/>
      </c>
      <c r="L329" s="36" t="str">
        <f ca="1">IFERROR(__xludf.DUMMYFUNCTION("""COMPUTED_VALUE"""),"")</f>
        <v/>
      </c>
      <c r="M329" s="36" t="str">
        <f ca="1">IFERROR(__xludf.DUMMYFUNCTION("""COMPUTED_VALUE"""),"")</f>
        <v/>
      </c>
      <c r="N329" s="36" t="str">
        <f ca="1">IFERROR(__xludf.DUMMYFUNCTION("""COMPUTED_VALUE"""),"")</f>
        <v/>
      </c>
      <c r="O329" s="36" t="str">
        <f ca="1">IFERROR(__xludf.DUMMYFUNCTION("""COMPUTED_VALUE"""),"")</f>
        <v/>
      </c>
      <c r="P329" s="36" t="str">
        <f ca="1">IFERROR(__xludf.DUMMYFUNCTION("""COMPUTED_VALUE"""),"")</f>
        <v/>
      </c>
      <c r="Q329" s="36" t="str">
        <f ca="1">IFERROR(__xludf.DUMMYFUNCTION("""COMPUTED_VALUE"""),"")</f>
        <v/>
      </c>
      <c r="R329" s="36" t="str">
        <f ca="1">IFERROR(__xludf.DUMMYFUNCTION("""COMPUTED_VALUE"""),"")</f>
        <v/>
      </c>
      <c r="S329" s="36" t="str">
        <f ca="1">IFERROR(__xludf.DUMMYFUNCTION("""COMPUTED_VALUE"""),"")</f>
        <v/>
      </c>
      <c r="T329" s="36" t="str">
        <f ca="1">IFERROR(__xludf.DUMMYFUNCTION("""COMPUTED_VALUE"""),"")</f>
        <v/>
      </c>
      <c r="U329" s="36" t="str">
        <f ca="1">IFERROR(__xludf.DUMMYFUNCTION("""COMPUTED_VALUE"""),"")</f>
        <v/>
      </c>
      <c r="V329" s="36" t="str">
        <f ca="1">IFERROR(__xludf.DUMMYFUNCTION("""COMPUTED_VALUE"""),"")</f>
        <v/>
      </c>
      <c r="W329" s="36" t="str">
        <f ca="1">IFERROR(__xludf.DUMMYFUNCTION("""COMPUTED_VALUE"""),"")</f>
        <v/>
      </c>
      <c r="X329" s="36"/>
      <c r="Y329" s="36"/>
      <c r="Z329" s="36"/>
    </row>
    <row r="330" spans="1:26" ht="12.75" hidden="1">
      <c r="A330" s="36" t="str">
        <f ca="1">IFERROR(__xludf.DUMMYFUNCTION("""COMPUTED_VALUE"""),"")</f>
        <v/>
      </c>
      <c r="B330" s="36" t="str">
        <f ca="1">IFERROR(__xludf.DUMMYFUNCTION("""COMPUTED_VALUE"""),"")</f>
        <v/>
      </c>
      <c r="C330" s="36" t="str">
        <f ca="1">IFERROR(__xludf.DUMMYFUNCTION("""COMPUTED_VALUE"""),"")</f>
        <v/>
      </c>
      <c r="D330" s="36" t="str">
        <f ca="1">IFERROR(__xludf.DUMMYFUNCTION("""COMPUTED_VALUE"""),"")</f>
        <v/>
      </c>
      <c r="E330" s="36" t="str">
        <f ca="1">IFERROR(__xludf.DUMMYFUNCTION("""COMPUTED_VALUE"""),"")</f>
        <v/>
      </c>
      <c r="F330" s="36" t="str">
        <f ca="1">IFERROR(__xludf.DUMMYFUNCTION("""COMPUTED_VALUE"""),"")</f>
        <v/>
      </c>
      <c r="G330" s="36" t="str">
        <f ca="1">IFERROR(__xludf.DUMMYFUNCTION("""COMPUTED_VALUE"""),"")</f>
        <v/>
      </c>
      <c r="H330" s="36" t="str">
        <f ca="1">IFERROR(__xludf.DUMMYFUNCTION("""COMPUTED_VALUE"""),"")</f>
        <v/>
      </c>
      <c r="I330" s="36" t="str">
        <f ca="1">IFERROR(__xludf.DUMMYFUNCTION("""COMPUTED_VALUE"""),"")</f>
        <v/>
      </c>
      <c r="J330" s="36" t="str">
        <f ca="1">IFERROR(__xludf.DUMMYFUNCTION("""COMPUTED_VALUE"""),"")</f>
        <v/>
      </c>
      <c r="K330" s="36" t="str">
        <f ca="1">IFERROR(__xludf.DUMMYFUNCTION("""COMPUTED_VALUE"""),"")</f>
        <v/>
      </c>
      <c r="L330" s="36" t="str">
        <f ca="1">IFERROR(__xludf.DUMMYFUNCTION("""COMPUTED_VALUE"""),"")</f>
        <v/>
      </c>
      <c r="M330" s="36" t="str">
        <f ca="1">IFERROR(__xludf.DUMMYFUNCTION("""COMPUTED_VALUE"""),"")</f>
        <v/>
      </c>
      <c r="N330" s="36" t="str">
        <f ca="1">IFERROR(__xludf.DUMMYFUNCTION("""COMPUTED_VALUE"""),"")</f>
        <v/>
      </c>
      <c r="O330" s="36" t="str">
        <f ca="1">IFERROR(__xludf.DUMMYFUNCTION("""COMPUTED_VALUE"""),"")</f>
        <v/>
      </c>
      <c r="P330" s="36" t="str">
        <f ca="1">IFERROR(__xludf.DUMMYFUNCTION("""COMPUTED_VALUE"""),"")</f>
        <v/>
      </c>
      <c r="Q330" s="36" t="str">
        <f ca="1">IFERROR(__xludf.DUMMYFUNCTION("""COMPUTED_VALUE"""),"")</f>
        <v/>
      </c>
      <c r="R330" s="36" t="str">
        <f ca="1">IFERROR(__xludf.DUMMYFUNCTION("""COMPUTED_VALUE"""),"")</f>
        <v/>
      </c>
      <c r="S330" s="36" t="str">
        <f ca="1">IFERROR(__xludf.DUMMYFUNCTION("""COMPUTED_VALUE"""),"")</f>
        <v/>
      </c>
      <c r="T330" s="36" t="str">
        <f ca="1">IFERROR(__xludf.DUMMYFUNCTION("""COMPUTED_VALUE"""),"")</f>
        <v/>
      </c>
      <c r="U330" s="36" t="str">
        <f ca="1">IFERROR(__xludf.DUMMYFUNCTION("""COMPUTED_VALUE"""),"")</f>
        <v/>
      </c>
      <c r="V330" s="36" t="str">
        <f ca="1">IFERROR(__xludf.DUMMYFUNCTION("""COMPUTED_VALUE"""),"")</f>
        <v/>
      </c>
      <c r="W330" s="36" t="str">
        <f ca="1">IFERROR(__xludf.DUMMYFUNCTION("""COMPUTED_VALUE"""),"")</f>
        <v/>
      </c>
      <c r="X330" s="36"/>
      <c r="Y330" s="36"/>
      <c r="Z330" s="36"/>
    </row>
    <row r="331" spans="1:26" ht="12.75" hidden="1">
      <c r="A331" s="36" t="str">
        <f ca="1">IFERROR(__xludf.DUMMYFUNCTION("""COMPUTED_VALUE"""),"")</f>
        <v/>
      </c>
      <c r="B331" s="36" t="str">
        <f ca="1">IFERROR(__xludf.DUMMYFUNCTION("""COMPUTED_VALUE"""),"")</f>
        <v/>
      </c>
      <c r="C331" s="36" t="str">
        <f ca="1">IFERROR(__xludf.DUMMYFUNCTION("""COMPUTED_VALUE"""),"")</f>
        <v/>
      </c>
      <c r="D331" s="36" t="str">
        <f ca="1">IFERROR(__xludf.DUMMYFUNCTION("""COMPUTED_VALUE"""),"")</f>
        <v/>
      </c>
      <c r="E331" s="36" t="str">
        <f ca="1">IFERROR(__xludf.DUMMYFUNCTION("""COMPUTED_VALUE"""),"")</f>
        <v/>
      </c>
      <c r="F331" s="36" t="str">
        <f ca="1">IFERROR(__xludf.DUMMYFUNCTION("""COMPUTED_VALUE"""),"")</f>
        <v/>
      </c>
      <c r="G331" s="36" t="str">
        <f ca="1">IFERROR(__xludf.DUMMYFUNCTION("""COMPUTED_VALUE"""),"")</f>
        <v/>
      </c>
      <c r="H331" s="36" t="str">
        <f ca="1">IFERROR(__xludf.DUMMYFUNCTION("""COMPUTED_VALUE"""),"")</f>
        <v/>
      </c>
      <c r="I331" s="36" t="str">
        <f ca="1">IFERROR(__xludf.DUMMYFUNCTION("""COMPUTED_VALUE"""),"")</f>
        <v/>
      </c>
      <c r="J331" s="36" t="str">
        <f ca="1">IFERROR(__xludf.DUMMYFUNCTION("""COMPUTED_VALUE"""),"")</f>
        <v/>
      </c>
      <c r="K331" s="36" t="str">
        <f ca="1">IFERROR(__xludf.DUMMYFUNCTION("""COMPUTED_VALUE"""),"")</f>
        <v/>
      </c>
      <c r="L331" s="36" t="str">
        <f ca="1">IFERROR(__xludf.DUMMYFUNCTION("""COMPUTED_VALUE"""),"")</f>
        <v/>
      </c>
      <c r="M331" s="36" t="str">
        <f ca="1">IFERROR(__xludf.DUMMYFUNCTION("""COMPUTED_VALUE"""),"")</f>
        <v/>
      </c>
      <c r="N331" s="36" t="str">
        <f ca="1">IFERROR(__xludf.DUMMYFUNCTION("""COMPUTED_VALUE"""),"")</f>
        <v/>
      </c>
      <c r="O331" s="36" t="str">
        <f ca="1">IFERROR(__xludf.DUMMYFUNCTION("""COMPUTED_VALUE"""),"")</f>
        <v/>
      </c>
      <c r="P331" s="36" t="str">
        <f ca="1">IFERROR(__xludf.DUMMYFUNCTION("""COMPUTED_VALUE"""),"")</f>
        <v/>
      </c>
      <c r="Q331" s="36" t="str">
        <f ca="1">IFERROR(__xludf.DUMMYFUNCTION("""COMPUTED_VALUE"""),"")</f>
        <v/>
      </c>
      <c r="R331" s="36" t="str">
        <f ca="1">IFERROR(__xludf.DUMMYFUNCTION("""COMPUTED_VALUE"""),"")</f>
        <v/>
      </c>
      <c r="S331" s="36" t="str">
        <f ca="1">IFERROR(__xludf.DUMMYFUNCTION("""COMPUTED_VALUE"""),"")</f>
        <v/>
      </c>
      <c r="T331" s="36" t="str">
        <f ca="1">IFERROR(__xludf.DUMMYFUNCTION("""COMPUTED_VALUE"""),"")</f>
        <v/>
      </c>
      <c r="U331" s="36" t="str">
        <f ca="1">IFERROR(__xludf.DUMMYFUNCTION("""COMPUTED_VALUE"""),"")</f>
        <v/>
      </c>
      <c r="V331" s="36" t="str">
        <f ca="1">IFERROR(__xludf.DUMMYFUNCTION("""COMPUTED_VALUE"""),"")</f>
        <v/>
      </c>
      <c r="W331" s="36" t="str">
        <f ca="1">IFERROR(__xludf.DUMMYFUNCTION("""COMPUTED_VALUE"""),"")</f>
        <v/>
      </c>
      <c r="X331" s="36"/>
      <c r="Y331" s="36"/>
      <c r="Z331" s="36"/>
    </row>
    <row r="332" spans="1:26" ht="12.75" hidden="1">
      <c r="A332" s="36" t="str">
        <f ca="1">IFERROR(__xludf.DUMMYFUNCTION("""COMPUTED_VALUE"""),"")</f>
        <v/>
      </c>
      <c r="B332" s="36" t="str">
        <f ca="1">IFERROR(__xludf.DUMMYFUNCTION("""COMPUTED_VALUE"""),"")</f>
        <v/>
      </c>
      <c r="C332" s="36" t="str">
        <f ca="1">IFERROR(__xludf.DUMMYFUNCTION("""COMPUTED_VALUE"""),"")</f>
        <v/>
      </c>
      <c r="D332" s="36" t="str">
        <f ca="1">IFERROR(__xludf.DUMMYFUNCTION("""COMPUTED_VALUE"""),"")</f>
        <v/>
      </c>
      <c r="E332" s="36" t="str">
        <f ca="1">IFERROR(__xludf.DUMMYFUNCTION("""COMPUTED_VALUE"""),"")</f>
        <v/>
      </c>
      <c r="F332" s="36" t="str">
        <f ca="1">IFERROR(__xludf.DUMMYFUNCTION("""COMPUTED_VALUE"""),"")</f>
        <v/>
      </c>
      <c r="G332" s="36" t="str">
        <f ca="1">IFERROR(__xludf.DUMMYFUNCTION("""COMPUTED_VALUE"""),"")</f>
        <v/>
      </c>
      <c r="H332" s="36" t="str">
        <f ca="1">IFERROR(__xludf.DUMMYFUNCTION("""COMPUTED_VALUE"""),"")</f>
        <v/>
      </c>
      <c r="I332" s="36" t="str">
        <f ca="1">IFERROR(__xludf.DUMMYFUNCTION("""COMPUTED_VALUE"""),"")</f>
        <v/>
      </c>
      <c r="J332" s="36" t="str">
        <f ca="1">IFERROR(__xludf.DUMMYFUNCTION("""COMPUTED_VALUE"""),"")</f>
        <v/>
      </c>
      <c r="K332" s="36" t="str">
        <f ca="1">IFERROR(__xludf.DUMMYFUNCTION("""COMPUTED_VALUE"""),"")</f>
        <v/>
      </c>
      <c r="L332" s="36" t="str">
        <f ca="1">IFERROR(__xludf.DUMMYFUNCTION("""COMPUTED_VALUE"""),"")</f>
        <v/>
      </c>
      <c r="M332" s="36" t="str">
        <f ca="1">IFERROR(__xludf.DUMMYFUNCTION("""COMPUTED_VALUE"""),"")</f>
        <v/>
      </c>
      <c r="N332" s="36" t="str">
        <f ca="1">IFERROR(__xludf.DUMMYFUNCTION("""COMPUTED_VALUE"""),"")</f>
        <v/>
      </c>
      <c r="O332" s="36" t="str">
        <f ca="1">IFERROR(__xludf.DUMMYFUNCTION("""COMPUTED_VALUE"""),"")</f>
        <v/>
      </c>
      <c r="P332" s="36" t="str">
        <f ca="1">IFERROR(__xludf.DUMMYFUNCTION("""COMPUTED_VALUE"""),"")</f>
        <v/>
      </c>
      <c r="Q332" s="36" t="str">
        <f ca="1">IFERROR(__xludf.DUMMYFUNCTION("""COMPUTED_VALUE"""),"")</f>
        <v/>
      </c>
      <c r="R332" s="36" t="str">
        <f ca="1">IFERROR(__xludf.DUMMYFUNCTION("""COMPUTED_VALUE"""),"")</f>
        <v/>
      </c>
      <c r="S332" s="36" t="str">
        <f ca="1">IFERROR(__xludf.DUMMYFUNCTION("""COMPUTED_VALUE"""),"")</f>
        <v/>
      </c>
      <c r="T332" s="36" t="str">
        <f ca="1">IFERROR(__xludf.DUMMYFUNCTION("""COMPUTED_VALUE"""),"")</f>
        <v/>
      </c>
      <c r="U332" s="36" t="str">
        <f ca="1">IFERROR(__xludf.DUMMYFUNCTION("""COMPUTED_VALUE"""),"")</f>
        <v/>
      </c>
      <c r="V332" s="36" t="str">
        <f ca="1">IFERROR(__xludf.DUMMYFUNCTION("""COMPUTED_VALUE"""),"")</f>
        <v/>
      </c>
      <c r="W332" s="36" t="str">
        <f ca="1">IFERROR(__xludf.DUMMYFUNCTION("""COMPUTED_VALUE"""),"")</f>
        <v/>
      </c>
      <c r="X332" s="36"/>
      <c r="Y332" s="36"/>
      <c r="Z332" s="36"/>
    </row>
    <row r="333" spans="1:26" ht="12.75" hidden="1">
      <c r="A333" s="36" t="str">
        <f ca="1">IFERROR(__xludf.DUMMYFUNCTION("""COMPUTED_VALUE"""),"")</f>
        <v/>
      </c>
      <c r="B333" s="36" t="str">
        <f ca="1">IFERROR(__xludf.DUMMYFUNCTION("""COMPUTED_VALUE"""),"")</f>
        <v/>
      </c>
      <c r="C333" s="36" t="str">
        <f ca="1">IFERROR(__xludf.DUMMYFUNCTION("""COMPUTED_VALUE"""),"")</f>
        <v/>
      </c>
      <c r="D333" s="36" t="str">
        <f ca="1">IFERROR(__xludf.DUMMYFUNCTION("""COMPUTED_VALUE"""),"")</f>
        <v/>
      </c>
      <c r="E333" s="36" t="str">
        <f ca="1">IFERROR(__xludf.DUMMYFUNCTION("""COMPUTED_VALUE"""),"")</f>
        <v/>
      </c>
      <c r="F333" s="36" t="str">
        <f ca="1">IFERROR(__xludf.DUMMYFUNCTION("""COMPUTED_VALUE"""),"")</f>
        <v/>
      </c>
      <c r="G333" s="36" t="str">
        <f ca="1">IFERROR(__xludf.DUMMYFUNCTION("""COMPUTED_VALUE"""),"")</f>
        <v/>
      </c>
      <c r="H333" s="36" t="str">
        <f ca="1">IFERROR(__xludf.DUMMYFUNCTION("""COMPUTED_VALUE"""),"")</f>
        <v/>
      </c>
      <c r="I333" s="36" t="str">
        <f ca="1">IFERROR(__xludf.DUMMYFUNCTION("""COMPUTED_VALUE"""),"")</f>
        <v/>
      </c>
      <c r="J333" s="36" t="str">
        <f ca="1">IFERROR(__xludf.DUMMYFUNCTION("""COMPUTED_VALUE"""),"")</f>
        <v/>
      </c>
      <c r="K333" s="36" t="str">
        <f ca="1">IFERROR(__xludf.DUMMYFUNCTION("""COMPUTED_VALUE"""),"")</f>
        <v/>
      </c>
      <c r="L333" s="36" t="str">
        <f ca="1">IFERROR(__xludf.DUMMYFUNCTION("""COMPUTED_VALUE"""),"")</f>
        <v/>
      </c>
      <c r="M333" s="36" t="str">
        <f ca="1">IFERROR(__xludf.DUMMYFUNCTION("""COMPUTED_VALUE"""),"")</f>
        <v/>
      </c>
      <c r="N333" s="36" t="str">
        <f ca="1">IFERROR(__xludf.DUMMYFUNCTION("""COMPUTED_VALUE"""),"")</f>
        <v/>
      </c>
      <c r="O333" s="36" t="str">
        <f ca="1">IFERROR(__xludf.DUMMYFUNCTION("""COMPUTED_VALUE"""),"")</f>
        <v/>
      </c>
      <c r="P333" s="36" t="str">
        <f ca="1">IFERROR(__xludf.DUMMYFUNCTION("""COMPUTED_VALUE"""),"")</f>
        <v/>
      </c>
      <c r="Q333" s="36" t="str">
        <f ca="1">IFERROR(__xludf.DUMMYFUNCTION("""COMPUTED_VALUE"""),"")</f>
        <v/>
      </c>
      <c r="R333" s="36" t="str">
        <f ca="1">IFERROR(__xludf.DUMMYFUNCTION("""COMPUTED_VALUE"""),"")</f>
        <v/>
      </c>
      <c r="S333" s="36" t="str">
        <f ca="1">IFERROR(__xludf.DUMMYFUNCTION("""COMPUTED_VALUE"""),"")</f>
        <v/>
      </c>
      <c r="T333" s="36" t="str">
        <f ca="1">IFERROR(__xludf.DUMMYFUNCTION("""COMPUTED_VALUE"""),"")</f>
        <v/>
      </c>
      <c r="U333" s="36" t="str">
        <f ca="1">IFERROR(__xludf.DUMMYFUNCTION("""COMPUTED_VALUE"""),"")</f>
        <v/>
      </c>
      <c r="V333" s="36" t="str">
        <f ca="1">IFERROR(__xludf.DUMMYFUNCTION("""COMPUTED_VALUE"""),"")</f>
        <v/>
      </c>
      <c r="W333" s="36" t="str">
        <f ca="1">IFERROR(__xludf.DUMMYFUNCTION("""COMPUTED_VALUE"""),"")</f>
        <v/>
      </c>
      <c r="X333" s="36"/>
      <c r="Y333" s="36"/>
      <c r="Z333" s="36"/>
    </row>
    <row r="334" spans="1:26" ht="12.75" hidden="1">
      <c r="A334" s="36" t="str">
        <f ca="1">IFERROR(__xludf.DUMMYFUNCTION("""COMPUTED_VALUE"""),"")</f>
        <v/>
      </c>
      <c r="B334" s="36" t="str">
        <f ca="1">IFERROR(__xludf.DUMMYFUNCTION("""COMPUTED_VALUE"""),"")</f>
        <v/>
      </c>
      <c r="C334" s="36" t="str">
        <f ca="1">IFERROR(__xludf.DUMMYFUNCTION("""COMPUTED_VALUE"""),"")</f>
        <v/>
      </c>
      <c r="D334" s="36" t="str">
        <f ca="1">IFERROR(__xludf.DUMMYFUNCTION("""COMPUTED_VALUE"""),"")</f>
        <v/>
      </c>
      <c r="E334" s="36" t="str">
        <f ca="1">IFERROR(__xludf.DUMMYFUNCTION("""COMPUTED_VALUE"""),"")</f>
        <v/>
      </c>
      <c r="F334" s="36" t="str">
        <f ca="1">IFERROR(__xludf.DUMMYFUNCTION("""COMPUTED_VALUE"""),"")</f>
        <v/>
      </c>
      <c r="G334" s="36" t="str">
        <f ca="1">IFERROR(__xludf.DUMMYFUNCTION("""COMPUTED_VALUE"""),"")</f>
        <v/>
      </c>
      <c r="H334" s="36" t="str">
        <f ca="1">IFERROR(__xludf.DUMMYFUNCTION("""COMPUTED_VALUE"""),"")</f>
        <v/>
      </c>
      <c r="I334" s="36" t="str">
        <f ca="1">IFERROR(__xludf.DUMMYFUNCTION("""COMPUTED_VALUE"""),"")</f>
        <v/>
      </c>
      <c r="J334" s="36" t="str">
        <f ca="1">IFERROR(__xludf.DUMMYFUNCTION("""COMPUTED_VALUE"""),"")</f>
        <v/>
      </c>
      <c r="K334" s="36" t="str">
        <f ca="1">IFERROR(__xludf.DUMMYFUNCTION("""COMPUTED_VALUE"""),"")</f>
        <v/>
      </c>
      <c r="L334" s="36" t="str">
        <f ca="1">IFERROR(__xludf.DUMMYFUNCTION("""COMPUTED_VALUE"""),"")</f>
        <v/>
      </c>
      <c r="M334" s="36" t="str">
        <f ca="1">IFERROR(__xludf.DUMMYFUNCTION("""COMPUTED_VALUE"""),"")</f>
        <v/>
      </c>
      <c r="N334" s="36" t="str">
        <f ca="1">IFERROR(__xludf.DUMMYFUNCTION("""COMPUTED_VALUE"""),"")</f>
        <v/>
      </c>
      <c r="O334" s="36" t="str">
        <f ca="1">IFERROR(__xludf.DUMMYFUNCTION("""COMPUTED_VALUE"""),"")</f>
        <v/>
      </c>
      <c r="P334" s="36" t="str">
        <f ca="1">IFERROR(__xludf.DUMMYFUNCTION("""COMPUTED_VALUE"""),"")</f>
        <v/>
      </c>
      <c r="Q334" s="36" t="str">
        <f ca="1">IFERROR(__xludf.DUMMYFUNCTION("""COMPUTED_VALUE"""),"")</f>
        <v/>
      </c>
      <c r="R334" s="36" t="str">
        <f ca="1">IFERROR(__xludf.DUMMYFUNCTION("""COMPUTED_VALUE"""),"")</f>
        <v/>
      </c>
      <c r="S334" s="36" t="str">
        <f ca="1">IFERROR(__xludf.DUMMYFUNCTION("""COMPUTED_VALUE"""),"")</f>
        <v/>
      </c>
      <c r="T334" s="36" t="str">
        <f ca="1">IFERROR(__xludf.DUMMYFUNCTION("""COMPUTED_VALUE"""),"")</f>
        <v/>
      </c>
      <c r="U334" s="36" t="str">
        <f ca="1">IFERROR(__xludf.DUMMYFUNCTION("""COMPUTED_VALUE"""),"")</f>
        <v/>
      </c>
      <c r="V334" s="36" t="str">
        <f ca="1">IFERROR(__xludf.DUMMYFUNCTION("""COMPUTED_VALUE"""),"")</f>
        <v/>
      </c>
      <c r="W334" s="36" t="str">
        <f ca="1">IFERROR(__xludf.DUMMYFUNCTION("""COMPUTED_VALUE"""),"")</f>
        <v/>
      </c>
      <c r="X334" s="36"/>
      <c r="Y334" s="36"/>
      <c r="Z334" s="36"/>
    </row>
    <row r="335" spans="1:26" ht="12.75" hidden="1">
      <c r="A335" s="36" t="str">
        <f ca="1">IFERROR(__xludf.DUMMYFUNCTION("""COMPUTED_VALUE"""),"")</f>
        <v/>
      </c>
      <c r="B335" s="36" t="str">
        <f ca="1">IFERROR(__xludf.DUMMYFUNCTION("""COMPUTED_VALUE"""),"")</f>
        <v/>
      </c>
      <c r="C335" s="36" t="str">
        <f ca="1">IFERROR(__xludf.DUMMYFUNCTION("""COMPUTED_VALUE"""),"")</f>
        <v/>
      </c>
      <c r="D335" s="36" t="str">
        <f ca="1">IFERROR(__xludf.DUMMYFUNCTION("""COMPUTED_VALUE"""),"")</f>
        <v/>
      </c>
      <c r="E335" s="36" t="str">
        <f ca="1">IFERROR(__xludf.DUMMYFUNCTION("""COMPUTED_VALUE"""),"")</f>
        <v/>
      </c>
      <c r="F335" s="36" t="str">
        <f ca="1">IFERROR(__xludf.DUMMYFUNCTION("""COMPUTED_VALUE"""),"")</f>
        <v/>
      </c>
      <c r="G335" s="36" t="str">
        <f ca="1">IFERROR(__xludf.DUMMYFUNCTION("""COMPUTED_VALUE"""),"")</f>
        <v/>
      </c>
      <c r="H335" s="36" t="str">
        <f ca="1">IFERROR(__xludf.DUMMYFUNCTION("""COMPUTED_VALUE"""),"")</f>
        <v/>
      </c>
      <c r="I335" s="36" t="str">
        <f ca="1">IFERROR(__xludf.DUMMYFUNCTION("""COMPUTED_VALUE"""),"")</f>
        <v/>
      </c>
      <c r="J335" s="36" t="str">
        <f ca="1">IFERROR(__xludf.DUMMYFUNCTION("""COMPUTED_VALUE"""),"")</f>
        <v/>
      </c>
      <c r="K335" s="36" t="str">
        <f ca="1">IFERROR(__xludf.DUMMYFUNCTION("""COMPUTED_VALUE"""),"")</f>
        <v/>
      </c>
      <c r="L335" s="36" t="str">
        <f ca="1">IFERROR(__xludf.DUMMYFUNCTION("""COMPUTED_VALUE"""),"")</f>
        <v/>
      </c>
      <c r="M335" s="36" t="str">
        <f ca="1">IFERROR(__xludf.DUMMYFUNCTION("""COMPUTED_VALUE"""),"")</f>
        <v/>
      </c>
      <c r="N335" s="36" t="str">
        <f ca="1">IFERROR(__xludf.DUMMYFUNCTION("""COMPUTED_VALUE"""),"")</f>
        <v/>
      </c>
      <c r="O335" s="36" t="str">
        <f ca="1">IFERROR(__xludf.DUMMYFUNCTION("""COMPUTED_VALUE"""),"")</f>
        <v/>
      </c>
      <c r="P335" s="36" t="str">
        <f ca="1">IFERROR(__xludf.DUMMYFUNCTION("""COMPUTED_VALUE"""),"")</f>
        <v/>
      </c>
      <c r="Q335" s="36" t="str">
        <f ca="1">IFERROR(__xludf.DUMMYFUNCTION("""COMPUTED_VALUE"""),"")</f>
        <v/>
      </c>
      <c r="R335" s="36" t="str">
        <f ca="1">IFERROR(__xludf.DUMMYFUNCTION("""COMPUTED_VALUE"""),"")</f>
        <v/>
      </c>
      <c r="S335" s="36" t="str">
        <f ca="1">IFERROR(__xludf.DUMMYFUNCTION("""COMPUTED_VALUE"""),"")</f>
        <v/>
      </c>
      <c r="T335" s="36" t="str">
        <f ca="1">IFERROR(__xludf.DUMMYFUNCTION("""COMPUTED_VALUE"""),"")</f>
        <v/>
      </c>
      <c r="U335" s="36" t="str">
        <f ca="1">IFERROR(__xludf.DUMMYFUNCTION("""COMPUTED_VALUE"""),"")</f>
        <v/>
      </c>
      <c r="V335" s="36" t="str">
        <f ca="1">IFERROR(__xludf.DUMMYFUNCTION("""COMPUTED_VALUE"""),"")</f>
        <v/>
      </c>
      <c r="W335" s="36" t="str">
        <f ca="1">IFERROR(__xludf.DUMMYFUNCTION("""COMPUTED_VALUE"""),"")</f>
        <v/>
      </c>
      <c r="X335" s="36"/>
      <c r="Y335" s="36"/>
      <c r="Z335" s="36"/>
    </row>
    <row r="336" spans="1:26" ht="12.75" hidden="1">
      <c r="A336" s="36" t="str">
        <f ca="1">IFERROR(__xludf.DUMMYFUNCTION("""COMPUTED_VALUE"""),"")</f>
        <v/>
      </c>
      <c r="B336" s="36" t="str">
        <f ca="1">IFERROR(__xludf.DUMMYFUNCTION("""COMPUTED_VALUE"""),"")</f>
        <v/>
      </c>
      <c r="C336" s="36" t="str">
        <f ca="1">IFERROR(__xludf.DUMMYFUNCTION("""COMPUTED_VALUE"""),"")</f>
        <v/>
      </c>
      <c r="D336" s="36" t="str">
        <f ca="1">IFERROR(__xludf.DUMMYFUNCTION("""COMPUTED_VALUE"""),"")</f>
        <v/>
      </c>
      <c r="E336" s="36" t="str">
        <f ca="1">IFERROR(__xludf.DUMMYFUNCTION("""COMPUTED_VALUE"""),"")</f>
        <v/>
      </c>
      <c r="F336" s="36" t="str">
        <f ca="1">IFERROR(__xludf.DUMMYFUNCTION("""COMPUTED_VALUE"""),"")</f>
        <v/>
      </c>
      <c r="G336" s="36" t="str">
        <f ca="1">IFERROR(__xludf.DUMMYFUNCTION("""COMPUTED_VALUE"""),"")</f>
        <v/>
      </c>
      <c r="H336" s="36" t="str">
        <f ca="1">IFERROR(__xludf.DUMMYFUNCTION("""COMPUTED_VALUE"""),"")</f>
        <v/>
      </c>
      <c r="I336" s="36" t="str">
        <f ca="1">IFERROR(__xludf.DUMMYFUNCTION("""COMPUTED_VALUE"""),"")</f>
        <v/>
      </c>
      <c r="J336" s="36" t="str">
        <f ca="1">IFERROR(__xludf.DUMMYFUNCTION("""COMPUTED_VALUE"""),"")</f>
        <v/>
      </c>
      <c r="K336" s="36" t="str">
        <f ca="1">IFERROR(__xludf.DUMMYFUNCTION("""COMPUTED_VALUE"""),"")</f>
        <v/>
      </c>
      <c r="L336" s="36" t="str">
        <f ca="1">IFERROR(__xludf.DUMMYFUNCTION("""COMPUTED_VALUE"""),"")</f>
        <v/>
      </c>
      <c r="M336" s="36" t="str">
        <f ca="1">IFERROR(__xludf.DUMMYFUNCTION("""COMPUTED_VALUE"""),"")</f>
        <v/>
      </c>
      <c r="N336" s="36" t="str">
        <f ca="1">IFERROR(__xludf.DUMMYFUNCTION("""COMPUTED_VALUE"""),"")</f>
        <v/>
      </c>
      <c r="O336" s="36" t="str">
        <f ca="1">IFERROR(__xludf.DUMMYFUNCTION("""COMPUTED_VALUE"""),"")</f>
        <v/>
      </c>
      <c r="P336" s="36" t="str">
        <f ca="1">IFERROR(__xludf.DUMMYFUNCTION("""COMPUTED_VALUE"""),"")</f>
        <v/>
      </c>
      <c r="Q336" s="36" t="str">
        <f ca="1">IFERROR(__xludf.DUMMYFUNCTION("""COMPUTED_VALUE"""),"")</f>
        <v/>
      </c>
      <c r="R336" s="36" t="str">
        <f ca="1">IFERROR(__xludf.DUMMYFUNCTION("""COMPUTED_VALUE"""),"")</f>
        <v/>
      </c>
      <c r="S336" s="36" t="str">
        <f ca="1">IFERROR(__xludf.DUMMYFUNCTION("""COMPUTED_VALUE"""),"")</f>
        <v/>
      </c>
      <c r="T336" s="36" t="str">
        <f ca="1">IFERROR(__xludf.DUMMYFUNCTION("""COMPUTED_VALUE"""),"")</f>
        <v/>
      </c>
      <c r="U336" s="36" t="str">
        <f ca="1">IFERROR(__xludf.DUMMYFUNCTION("""COMPUTED_VALUE"""),"")</f>
        <v/>
      </c>
      <c r="V336" s="36" t="str">
        <f ca="1">IFERROR(__xludf.DUMMYFUNCTION("""COMPUTED_VALUE"""),"")</f>
        <v/>
      </c>
      <c r="W336" s="36" t="str">
        <f ca="1">IFERROR(__xludf.DUMMYFUNCTION("""COMPUTED_VALUE"""),"")</f>
        <v/>
      </c>
      <c r="X336" s="36"/>
      <c r="Y336" s="36"/>
      <c r="Z336" s="36"/>
    </row>
    <row r="337" spans="1:26" ht="12.75" hidden="1">
      <c r="A337" s="36" t="str">
        <f ca="1">IFERROR(__xludf.DUMMYFUNCTION("""COMPUTED_VALUE"""),"")</f>
        <v/>
      </c>
      <c r="B337" s="36" t="str">
        <f ca="1">IFERROR(__xludf.DUMMYFUNCTION("""COMPUTED_VALUE"""),"")</f>
        <v/>
      </c>
      <c r="C337" s="36" t="str">
        <f ca="1">IFERROR(__xludf.DUMMYFUNCTION("""COMPUTED_VALUE"""),"")</f>
        <v/>
      </c>
      <c r="D337" s="36" t="str">
        <f ca="1">IFERROR(__xludf.DUMMYFUNCTION("""COMPUTED_VALUE"""),"")</f>
        <v/>
      </c>
      <c r="E337" s="36" t="str">
        <f ca="1">IFERROR(__xludf.DUMMYFUNCTION("""COMPUTED_VALUE"""),"")</f>
        <v/>
      </c>
      <c r="F337" s="36" t="str">
        <f ca="1">IFERROR(__xludf.DUMMYFUNCTION("""COMPUTED_VALUE"""),"")</f>
        <v/>
      </c>
      <c r="G337" s="36" t="str">
        <f ca="1">IFERROR(__xludf.DUMMYFUNCTION("""COMPUTED_VALUE"""),"")</f>
        <v/>
      </c>
      <c r="H337" s="36" t="str">
        <f ca="1">IFERROR(__xludf.DUMMYFUNCTION("""COMPUTED_VALUE"""),"")</f>
        <v/>
      </c>
      <c r="I337" s="36" t="str">
        <f ca="1">IFERROR(__xludf.DUMMYFUNCTION("""COMPUTED_VALUE"""),"")</f>
        <v/>
      </c>
      <c r="J337" s="36" t="str">
        <f ca="1">IFERROR(__xludf.DUMMYFUNCTION("""COMPUTED_VALUE"""),"")</f>
        <v/>
      </c>
      <c r="K337" s="36" t="str">
        <f ca="1">IFERROR(__xludf.DUMMYFUNCTION("""COMPUTED_VALUE"""),"")</f>
        <v/>
      </c>
      <c r="L337" s="36" t="str">
        <f ca="1">IFERROR(__xludf.DUMMYFUNCTION("""COMPUTED_VALUE"""),"")</f>
        <v/>
      </c>
      <c r="M337" s="36" t="str">
        <f ca="1">IFERROR(__xludf.DUMMYFUNCTION("""COMPUTED_VALUE"""),"")</f>
        <v/>
      </c>
      <c r="N337" s="36" t="str">
        <f ca="1">IFERROR(__xludf.DUMMYFUNCTION("""COMPUTED_VALUE"""),"")</f>
        <v/>
      </c>
      <c r="O337" s="36" t="str">
        <f ca="1">IFERROR(__xludf.DUMMYFUNCTION("""COMPUTED_VALUE"""),"")</f>
        <v/>
      </c>
      <c r="P337" s="36" t="str">
        <f ca="1">IFERROR(__xludf.DUMMYFUNCTION("""COMPUTED_VALUE"""),"")</f>
        <v/>
      </c>
      <c r="Q337" s="36" t="str">
        <f ca="1">IFERROR(__xludf.DUMMYFUNCTION("""COMPUTED_VALUE"""),"")</f>
        <v/>
      </c>
      <c r="R337" s="36" t="str">
        <f ca="1">IFERROR(__xludf.DUMMYFUNCTION("""COMPUTED_VALUE"""),"")</f>
        <v/>
      </c>
      <c r="S337" s="36" t="str">
        <f ca="1">IFERROR(__xludf.DUMMYFUNCTION("""COMPUTED_VALUE"""),"")</f>
        <v/>
      </c>
      <c r="T337" s="36" t="str">
        <f ca="1">IFERROR(__xludf.DUMMYFUNCTION("""COMPUTED_VALUE"""),"")</f>
        <v/>
      </c>
      <c r="U337" s="36" t="str">
        <f ca="1">IFERROR(__xludf.DUMMYFUNCTION("""COMPUTED_VALUE"""),"")</f>
        <v/>
      </c>
      <c r="V337" s="36" t="str">
        <f ca="1">IFERROR(__xludf.DUMMYFUNCTION("""COMPUTED_VALUE"""),"")</f>
        <v/>
      </c>
      <c r="W337" s="36" t="str">
        <f ca="1">IFERROR(__xludf.DUMMYFUNCTION("""COMPUTED_VALUE"""),"")</f>
        <v/>
      </c>
      <c r="X337" s="36"/>
      <c r="Y337" s="36"/>
      <c r="Z337" s="36"/>
    </row>
    <row r="338" spans="1:26" ht="12.75" hidden="1">
      <c r="A338" s="36" t="str">
        <f ca="1">IFERROR(__xludf.DUMMYFUNCTION("""COMPUTED_VALUE"""),"")</f>
        <v/>
      </c>
      <c r="B338" s="36" t="str">
        <f ca="1">IFERROR(__xludf.DUMMYFUNCTION("""COMPUTED_VALUE"""),"")</f>
        <v/>
      </c>
      <c r="C338" s="36" t="str">
        <f ca="1">IFERROR(__xludf.DUMMYFUNCTION("""COMPUTED_VALUE"""),"")</f>
        <v/>
      </c>
      <c r="D338" s="36" t="str">
        <f ca="1">IFERROR(__xludf.DUMMYFUNCTION("""COMPUTED_VALUE"""),"")</f>
        <v/>
      </c>
      <c r="E338" s="36" t="str">
        <f ca="1">IFERROR(__xludf.DUMMYFUNCTION("""COMPUTED_VALUE"""),"")</f>
        <v/>
      </c>
      <c r="F338" s="36" t="str">
        <f ca="1">IFERROR(__xludf.DUMMYFUNCTION("""COMPUTED_VALUE"""),"")</f>
        <v/>
      </c>
      <c r="G338" s="36" t="str">
        <f ca="1">IFERROR(__xludf.DUMMYFUNCTION("""COMPUTED_VALUE"""),"")</f>
        <v/>
      </c>
      <c r="H338" s="36" t="str">
        <f ca="1">IFERROR(__xludf.DUMMYFUNCTION("""COMPUTED_VALUE"""),"")</f>
        <v/>
      </c>
      <c r="I338" s="36" t="str">
        <f ca="1">IFERROR(__xludf.DUMMYFUNCTION("""COMPUTED_VALUE"""),"")</f>
        <v/>
      </c>
      <c r="J338" s="36" t="str">
        <f ca="1">IFERROR(__xludf.DUMMYFUNCTION("""COMPUTED_VALUE"""),"")</f>
        <v/>
      </c>
      <c r="K338" s="36" t="str">
        <f ca="1">IFERROR(__xludf.DUMMYFUNCTION("""COMPUTED_VALUE"""),"")</f>
        <v/>
      </c>
      <c r="L338" s="36" t="str">
        <f ca="1">IFERROR(__xludf.DUMMYFUNCTION("""COMPUTED_VALUE"""),"")</f>
        <v/>
      </c>
      <c r="M338" s="36" t="str">
        <f ca="1">IFERROR(__xludf.DUMMYFUNCTION("""COMPUTED_VALUE"""),"")</f>
        <v/>
      </c>
      <c r="N338" s="36" t="str">
        <f ca="1">IFERROR(__xludf.DUMMYFUNCTION("""COMPUTED_VALUE"""),"")</f>
        <v/>
      </c>
      <c r="O338" s="36" t="str">
        <f ca="1">IFERROR(__xludf.DUMMYFUNCTION("""COMPUTED_VALUE"""),"")</f>
        <v/>
      </c>
      <c r="P338" s="36" t="str">
        <f ca="1">IFERROR(__xludf.DUMMYFUNCTION("""COMPUTED_VALUE"""),"")</f>
        <v/>
      </c>
      <c r="Q338" s="36" t="str">
        <f ca="1">IFERROR(__xludf.DUMMYFUNCTION("""COMPUTED_VALUE"""),"")</f>
        <v/>
      </c>
      <c r="R338" s="36" t="str">
        <f ca="1">IFERROR(__xludf.DUMMYFUNCTION("""COMPUTED_VALUE"""),"")</f>
        <v/>
      </c>
      <c r="S338" s="36" t="str">
        <f ca="1">IFERROR(__xludf.DUMMYFUNCTION("""COMPUTED_VALUE"""),"")</f>
        <v/>
      </c>
      <c r="T338" s="36" t="str">
        <f ca="1">IFERROR(__xludf.DUMMYFUNCTION("""COMPUTED_VALUE"""),"")</f>
        <v/>
      </c>
      <c r="U338" s="36" t="str">
        <f ca="1">IFERROR(__xludf.DUMMYFUNCTION("""COMPUTED_VALUE"""),"")</f>
        <v/>
      </c>
      <c r="V338" s="36" t="str">
        <f ca="1">IFERROR(__xludf.DUMMYFUNCTION("""COMPUTED_VALUE"""),"")</f>
        <v/>
      </c>
      <c r="W338" s="36" t="str">
        <f ca="1">IFERROR(__xludf.DUMMYFUNCTION("""COMPUTED_VALUE"""),"")</f>
        <v/>
      </c>
      <c r="X338" s="36"/>
      <c r="Y338" s="36"/>
      <c r="Z338" s="36"/>
    </row>
    <row r="339" spans="1:26" ht="12.75" hidden="1">
      <c r="A339" s="36" t="str">
        <f ca="1">IFERROR(__xludf.DUMMYFUNCTION("""COMPUTED_VALUE"""),"")</f>
        <v/>
      </c>
      <c r="B339" s="36" t="str">
        <f ca="1">IFERROR(__xludf.DUMMYFUNCTION("""COMPUTED_VALUE"""),"")</f>
        <v/>
      </c>
      <c r="C339" s="36" t="str">
        <f ca="1">IFERROR(__xludf.DUMMYFUNCTION("""COMPUTED_VALUE"""),"")</f>
        <v/>
      </c>
      <c r="D339" s="36" t="str">
        <f ca="1">IFERROR(__xludf.DUMMYFUNCTION("""COMPUTED_VALUE"""),"")</f>
        <v/>
      </c>
      <c r="E339" s="36" t="str">
        <f ca="1">IFERROR(__xludf.DUMMYFUNCTION("""COMPUTED_VALUE"""),"")</f>
        <v/>
      </c>
      <c r="F339" s="36" t="str">
        <f ca="1">IFERROR(__xludf.DUMMYFUNCTION("""COMPUTED_VALUE"""),"")</f>
        <v/>
      </c>
      <c r="G339" s="36" t="str">
        <f ca="1">IFERROR(__xludf.DUMMYFUNCTION("""COMPUTED_VALUE"""),"")</f>
        <v/>
      </c>
      <c r="H339" s="36" t="str">
        <f ca="1">IFERROR(__xludf.DUMMYFUNCTION("""COMPUTED_VALUE"""),"")</f>
        <v/>
      </c>
      <c r="I339" s="36" t="str">
        <f ca="1">IFERROR(__xludf.DUMMYFUNCTION("""COMPUTED_VALUE"""),"")</f>
        <v/>
      </c>
      <c r="J339" s="36" t="str">
        <f ca="1">IFERROR(__xludf.DUMMYFUNCTION("""COMPUTED_VALUE"""),"")</f>
        <v/>
      </c>
      <c r="K339" s="36" t="str">
        <f ca="1">IFERROR(__xludf.DUMMYFUNCTION("""COMPUTED_VALUE"""),"")</f>
        <v/>
      </c>
      <c r="L339" s="36" t="str">
        <f ca="1">IFERROR(__xludf.DUMMYFUNCTION("""COMPUTED_VALUE"""),"")</f>
        <v/>
      </c>
      <c r="M339" s="36" t="str">
        <f ca="1">IFERROR(__xludf.DUMMYFUNCTION("""COMPUTED_VALUE"""),"")</f>
        <v/>
      </c>
      <c r="N339" s="36" t="str">
        <f ca="1">IFERROR(__xludf.DUMMYFUNCTION("""COMPUTED_VALUE"""),"")</f>
        <v/>
      </c>
      <c r="O339" s="36" t="str">
        <f ca="1">IFERROR(__xludf.DUMMYFUNCTION("""COMPUTED_VALUE"""),"")</f>
        <v/>
      </c>
      <c r="P339" s="36" t="str">
        <f ca="1">IFERROR(__xludf.DUMMYFUNCTION("""COMPUTED_VALUE"""),"")</f>
        <v/>
      </c>
      <c r="Q339" s="36" t="str">
        <f ca="1">IFERROR(__xludf.DUMMYFUNCTION("""COMPUTED_VALUE"""),"")</f>
        <v/>
      </c>
      <c r="R339" s="36" t="str">
        <f ca="1">IFERROR(__xludf.DUMMYFUNCTION("""COMPUTED_VALUE"""),"")</f>
        <v/>
      </c>
      <c r="S339" s="36" t="str">
        <f ca="1">IFERROR(__xludf.DUMMYFUNCTION("""COMPUTED_VALUE"""),"")</f>
        <v/>
      </c>
      <c r="T339" s="36" t="str">
        <f ca="1">IFERROR(__xludf.DUMMYFUNCTION("""COMPUTED_VALUE"""),"")</f>
        <v/>
      </c>
      <c r="U339" s="36" t="str">
        <f ca="1">IFERROR(__xludf.DUMMYFUNCTION("""COMPUTED_VALUE"""),"")</f>
        <v/>
      </c>
      <c r="V339" s="36" t="str">
        <f ca="1">IFERROR(__xludf.DUMMYFUNCTION("""COMPUTED_VALUE"""),"")</f>
        <v/>
      </c>
      <c r="W339" s="36" t="str">
        <f ca="1">IFERROR(__xludf.DUMMYFUNCTION("""COMPUTED_VALUE"""),"")</f>
        <v/>
      </c>
      <c r="X339" s="36"/>
      <c r="Y339" s="36"/>
      <c r="Z339" s="36"/>
    </row>
    <row r="340" spans="1:26" ht="12.75" hidden="1">
      <c r="A340" s="36" t="str">
        <f ca="1">IFERROR(__xludf.DUMMYFUNCTION("""COMPUTED_VALUE"""),"")</f>
        <v/>
      </c>
      <c r="B340" s="36" t="str">
        <f ca="1">IFERROR(__xludf.DUMMYFUNCTION("""COMPUTED_VALUE"""),"")</f>
        <v/>
      </c>
      <c r="C340" s="36" t="str">
        <f ca="1">IFERROR(__xludf.DUMMYFUNCTION("""COMPUTED_VALUE"""),"")</f>
        <v/>
      </c>
      <c r="D340" s="36" t="str">
        <f ca="1">IFERROR(__xludf.DUMMYFUNCTION("""COMPUTED_VALUE"""),"")</f>
        <v/>
      </c>
      <c r="E340" s="36" t="str">
        <f ca="1">IFERROR(__xludf.DUMMYFUNCTION("""COMPUTED_VALUE"""),"")</f>
        <v/>
      </c>
      <c r="F340" s="36" t="str">
        <f ca="1">IFERROR(__xludf.DUMMYFUNCTION("""COMPUTED_VALUE"""),"")</f>
        <v/>
      </c>
      <c r="G340" s="36" t="str">
        <f ca="1">IFERROR(__xludf.DUMMYFUNCTION("""COMPUTED_VALUE"""),"")</f>
        <v/>
      </c>
      <c r="H340" s="36" t="str">
        <f ca="1">IFERROR(__xludf.DUMMYFUNCTION("""COMPUTED_VALUE"""),"")</f>
        <v/>
      </c>
      <c r="I340" s="36" t="str">
        <f ca="1">IFERROR(__xludf.DUMMYFUNCTION("""COMPUTED_VALUE"""),"")</f>
        <v/>
      </c>
      <c r="J340" s="36" t="str">
        <f ca="1">IFERROR(__xludf.DUMMYFUNCTION("""COMPUTED_VALUE"""),"")</f>
        <v/>
      </c>
      <c r="K340" s="36" t="str">
        <f ca="1">IFERROR(__xludf.DUMMYFUNCTION("""COMPUTED_VALUE"""),"")</f>
        <v/>
      </c>
      <c r="L340" s="36" t="str">
        <f ca="1">IFERROR(__xludf.DUMMYFUNCTION("""COMPUTED_VALUE"""),"")</f>
        <v/>
      </c>
      <c r="M340" s="36" t="str">
        <f ca="1">IFERROR(__xludf.DUMMYFUNCTION("""COMPUTED_VALUE"""),"")</f>
        <v/>
      </c>
      <c r="N340" s="36" t="str">
        <f ca="1">IFERROR(__xludf.DUMMYFUNCTION("""COMPUTED_VALUE"""),"")</f>
        <v/>
      </c>
      <c r="O340" s="36" t="str">
        <f ca="1">IFERROR(__xludf.DUMMYFUNCTION("""COMPUTED_VALUE"""),"")</f>
        <v/>
      </c>
      <c r="P340" s="36" t="str">
        <f ca="1">IFERROR(__xludf.DUMMYFUNCTION("""COMPUTED_VALUE"""),"")</f>
        <v/>
      </c>
      <c r="Q340" s="36" t="str">
        <f ca="1">IFERROR(__xludf.DUMMYFUNCTION("""COMPUTED_VALUE"""),"")</f>
        <v/>
      </c>
      <c r="R340" s="36" t="str">
        <f ca="1">IFERROR(__xludf.DUMMYFUNCTION("""COMPUTED_VALUE"""),"")</f>
        <v/>
      </c>
      <c r="S340" s="36" t="str">
        <f ca="1">IFERROR(__xludf.DUMMYFUNCTION("""COMPUTED_VALUE"""),"")</f>
        <v/>
      </c>
      <c r="T340" s="36" t="str">
        <f ca="1">IFERROR(__xludf.DUMMYFUNCTION("""COMPUTED_VALUE"""),"")</f>
        <v/>
      </c>
      <c r="U340" s="36" t="str">
        <f ca="1">IFERROR(__xludf.DUMMYFUNCTION("""COMPUTED_VALUE"""),"")</f>
        <v/>
      </c>
      <c r="V340" s="36" t="str">
        <f ca="1">IFERROR(__xludf.DUMMYFUNCTION("""COMPUTED_VALUE"""),"")</f>
        <v/>
      </c>
      <c r="W340" s="36" t="str">
        <f ca="1">IFERROR(__xludf.DUMMYFUNCTION("""COMPUTED_VALUE"""),"")</f>
        <v/>
      </c>
      <c r="X340" s="36"/>
      <c r="Y340" s="36"/>
      <c r="Z340" s="36"/>
    </row>
    <row r="341" spans="1:26" ht="12.75" hidden="1">
      <c r="A341" s="36" t="str">
        <f ca="1">IFERROR(__xludf.DUMMYFUNCTION("""COMPUTED_VALUE"""),"")</f>
        <v/>
      </c>
      <c r="B341" s="36" t="str">
        <f ca="1">IFERROR(__xludf.DUMMYFUNCTION("""COMPUTED_VALUE"""),"")</f>
        <v/>
      </c>
      <c r="C341" s="36" t="str">
        <f ca="1">IFERROR(__xludf.DUMMYFUNCTION("""COMPUTED_VALUE"""),"")</f>
        <v/>
      </c>
      <c r="D341" s="36" t="str">
        <f ca="1">IFERROR(__xludf.DUMMYFUNCTION("""COMPUTED_VALUE"""),"")</f>
        <v/>
      </c>
      <c r="E341" s="36" t="str">
        <f ca="1">IFERROR(__xludf.DUMMYFUNCTION("""COMPUTED_VALUE"""),"")</f>
        <v/>
      </c>
      <c r="F341" s="36" t="str">
        <f ca="1">IFERROR(__xludf.DUMMYFUNCTION("""COMPUTED_VALUE"""),"")</f>
        <v/>
      </c>
      <c r="G341" s="36" t="str">
        <f ca="1">IFERROR(__xludf.DUMMYFUNCTION("""COMPUTED_VALUE"""),"")</f>
        <v/>
      </c>
      <c r="H341" s="36" t="str">
        <f ca="1">IFERROR(__xludf.DUMMYFUNCTION("""COMPUTED_VALUE"""),"")</f>
        <v/>
      </c>
      <c r="I341" s="36" t="str">
        <f ca="1">IFERROR(__xludf.DUMMYFUNCTION("""COMPUTED_VALUE"""),"")</f>
        <v/>
      </c>
      <c r="J341" s="36" t="str">
        <f ca="1">IFERROR(__xludf.DUMMYFUNCTION("""COMPUTED_VALUE"""),"")</f>
        <v/>
      </c>
      <c r="K341" s="36" t="str">
        <f ca="1">IFERROR(__xludf.DUMMYFUNCTION("""COMPUTED_VALUE"""),"")</f>
        <v/>
      </c>
      <c r="L341" s="36" t="str">
        <f ca="1">IFERROR(__xludf.DUMMYFUNCTION("""COMPUTED_VALUE"""),"")</f>
        <v/>
      </c>
      <c r="M341" s="36" t="str">
        <f ca="1">IFERROR(__xludf.DUMMYFUNCTION("""COMPUTED_VALUE"""),"")</f>
        <v/>
      </c>
      <c r="N341" s="36" t="str">
        <f ca="1">IFERROR(__xludf.DUMMYFUNCTION("""COMPUTED_VALUE"""),"")</f>
        <v/>
      </c>
      <c r="O341" s="36" t="str">
        <f ca="1">IFERROR(__xludf.DUMMYFUNCTION("""COMPUTED_VALUE"""),"")</f>
        <v/>
      </c>
      <c r="P341" s="36" t="str">
        <f ca="1">IFERROR(__xludf.DUMMYFUNCTION("""COMPUTED_VALUE"""),"")</f>
        <v/>
      </c>
      <c r="Q341" s="36" t="str">
        <f ca="1">IFERROR(__xludf.DUMMYFUNCTION("""COMPUTED_VALUE"""),"")</f>
        <v/>
      </c>
      <c r="R341" s="36" t="str">
        <f ca="1">IFERROR(__xludf.DUMMYFUNCTION("""COMPUTED_VALUE"""),"")</f>
        <v/>
      </c>
      <c r="S341" s="36" t="str">
        <f ca="1">IFERROR(__xludf.DUMMYFUNCTION("""COMPUTED_VALUE"""),"")</f>
        <v/>
      </c>
      <c r="T341" s="36" t="str">
        <f ca="1">IFERROR(__xludf.DUMMYFUNCTION("""COMPUTED_VALUE"""),"")</f>
        <v/>
      </c>
      <c r="U341" s="36" t="str">
        <f ca="1">IFERROR(__xludf.DUMMYFUNCTION("""COMPUTED_VALUE"""),"")</f>
        <v/>
      </c>
      <c r="V341" s="36" t="str">
        <f ca="1">IFERROR(__xludf.DUMMYFUNCTION("""COMPUTED_VALUE"""),"")</f>
        <v/>
      </c>
      <c r="W341" s="36" t="str">
        <f ca="1">IFERROR(__xludf.DUMMYFUNCTION("""COMPUTED_VALUE"""),"")</f>
        <v/>
      </c>
      <c r="X341" s="36"/>
      <c r="Y341" s="36"/>
      <c r="Z341" s="36"/>
    </row>
    <row r="342" spans="1:26" ht="12.75" hidden="1">
      <c r="A342" s="36" t="str">
        <f ca="1">IFERROR(__xludf.DUMMYFUNCTION("""COMPUTED_VALUE"""),"")</f>
        <v/>
      </c>
      <c r="B342" s="36" t="str">
        <f ca="1">IFERROR(__xludf.DUMMYFUNCTION("""COMPUTED_VALUE"""),"")</f>
        <v/>
      </c>
      <c r="C342" s="36" t="str">
        <f ca="1">IFERROR(__xludf.DUMMYFUNCTION("""COMPUTED_VALUE"""),"")</f>
        <v/>
      </c>
      <c r="D342" s="36" t="str">
        <f ca="1">IFERROR(__xludf.DUMMYFUNCTION("""COMPUTED_VALUE"""),"")</f>
        <v/>
      </c>
      <c r="E342" s="36" t="str">
        <f ca="1">IFERROR(__xludf.DUMMYFUNCTION("""COMPUTED_VALUE"""),"")</f>
        <v/>
      </c>
      <c r="F342" s="36" t="str">
        <f ca="1">IFERROR(__xludf.DUMMYFUNCTION("""COMPUTED_VALUE"""),"")</f>
        <v/>
      </c>
      <c r="G342" s="36" t="str">
        <f ca="1">IFERROR(__xludf.DUMMYFUNCTION("""COMPUTED_VALUE"""),"")</f>
        <v/>
      </c>
      <c r="H342" s="36" t="str">
        <f ca="1">IFERROR(__xludf.DUMMYFUNCTION("""COMPUTED_VALUE"""),"")</f>
        <v/>
      </c>
      <c r="I342" s="36" t="str">
        <f ca="1">IFERROR(__xludf.DUMMYFUNCTION("""COMPUTED_VALUE"""),"")</f>
        <v/>
      </c>
      <c r="J342" s="36" t="str">
        <f ca="1">IFERROR(__xludf.DUMMYFUNCTION("""COMPUTED_VALUE"""),"")</f>
        <v/>
      </c>
      <c r="K342" s="36" t="str">
        <f ca="1">IFERROR(__xludf.DUMMYFUNCTION("""COMPUTED_VALUE"""),"")</f>
        <v/>
      </c>
      <c r="L342" s="36" t="str">
        <f ca="1">IFERROR(__xludf.DUMMYFUNCTION("""COMPUTED_VALUE"""),"")</f>
        <v/>
      </c>
      <c r="M342" s="36" t="str">
        <f ca="1">IFERROR(__xludf.DUMMYFUNCTION("""COMPUTED_VALUE"""),"")</f>
        <v/>
      </c>
      <c r="N342" s="36" t="str">
        <f ca="1">IFERROR(__xludf.DUMMYFUNCTION("""COMPUTED_VALUE"""),"")</f>
        <v/>
      </c>
      <c r="O342" s="36" t="str">
        <f ca="1">IFERROR(__xludf.DUMMYFUNCTION("""COMPUTED_VALUE"""),"")</f>
        <v/>
      </c>
      <c r="P342" s="36" t="str">
        <f ca="1">IFERROR(__xludf.DUMMYFUNCTION("""COMPUTED_VALUE"""),"")</f>
        <v/>
      </c>
      <c r="Q342" s="36" t="str">
        <f ca="1">IFERROR(__xludf.DUMMYFUNCTION("""COMPUTED_VALUE"""),"")</f>
        <v/>
      </c>
      <c r="R342" s="36" t="str">
        <f ca="1">IFERROR(__xludf.DUMMYFUNCTION("""COMPUTED_VALUE"""),"")</f>
        <v/>
      </c>
      <c r="S342" s="36" t="str">
        <f ca="1">IFERROR(__xludf.DUMMYFUNCTION("""COMPUTED_VALUE"""),"")</f>
        <v/>
      </c>
      <c r="T342" s="36" t="str">
        <f ca="1">IFERROR(__xludf.DUMMYFUNCTION("""COMPUTED_VALUE"""),"")</f>
        <v/>
      </c>
      <c r="U342" s="36" t="str">
        <f ca="1">IFERROR(__xludf.DUMMYFUNCTION("""COMPUTED_VALUE"""),"")</f>
        <v/>
      </c>
      <c r="V342" s="36" t="str">
        <f ca="1">IFERROR(__xludf.DUMMYFUNCTION("""COMPUTED_VALUE"""),"")</f>
        <v/>
      </c>
      <c r="W342" s="36" t="str">
        <f ca="1">IFERROR(__xludf.DUMMYFUNCTION("""COMPUTED_VALUE"""),"")</f>
        <v/>
      </c>
      <c r="X342" s="36"/>
      <c r="Y342" s="36"/>
      <c r="Z342" s="36"/>
    </row>
    <row r="343" spans="1:26" ht="12.75" hidden="1">
      <c r="A343" s="36" t="str">
        <f ca="1">IFERROR(__xludf.DUMMYFUNCTION("""COMPUTED_VALUE"""),"")</f>
        <v/>
      </c>
      <c r="B343" s="36" t="str">
        <f ca="1">IFERROR(__xludf.DUMMYFUNCTION("""COMPUTED_VALUE"""),"")</f>
        <v/>
      </c>
      <c r="C343" s="36" t="str">
        <f ca="1">IFERROR(__xludf.DUMMYFUNCTION("""COMPUTED_VALUE"""),"")</f>
        <v/>
      </c>
      <c r="D343" s="36" t="str">
        <f ca="1">IFERROR(__xludf.DUMMYFUNCTION("""COMPUTED_VALUE"""),"")</f>
        <v/>
      </c>
      <c r="E343" s="36" t="str">
        <f ca="1">IFERROR(__xludf.DUMMYFUNCTION("""COMPUTED_VALUE"""),"")</f>
        <v/>
      </c>
      <c r="F343" s="36" t="str">
        <f ca="1">IFERROR(__xludf.DUMMYFUNCTION("""COMPUTED_VALUE"""),"")</f>
        <v/>
      </c>
      <c r="G343" s="36" t="str">
        <f ca="1">IFERROR(__xludf.DUMMYFUNCTION("""COMPUTED_VALUE"""),"")</f>
        <v/>
      </c>
      <c r="H343" s="36" t="str">
        <f ca="1">IFERROR(__xludf.DUMMYFUNCTION("""COMPUTED_VALUE"""),"")</f>
        <v/>
      </c>
      <c r="I343" s="36" t="str">
        <f ca="1">IFERROR(__xludf.DUMMYFUNCTION("""COMPUTED_VALUE"""),"")</f>
        <v/>
      </c>
      <c r="J343" s="36" t="str">
        <f ca="1">IFERROR(__xludf.DUMMYFUNCTION("""COMPUTED_VALUE"""),"")</f>
        <v/>
      </c>
      <c r="K343" s="36" t="str">
        <f ca="1">IFERROR(__xludf.DUMMYFUNCTION("""COMPUTED_VALUE"""),"")</f>
        <v/>
      </c>
      <c r="L343" s="36" t="str">
        <f ca="1">IFERROR(__xludf.DUMMYFUNCTION("""COMPUTED_VALUE"""),"")</f>
        <v/>
      </c>
      <c r="M343" s="36" t="str">
        <f ca="1">IFERROR(__xludf.DUMMYFUNCTION("""COMPUTED_VALUE"""),"")</f>
        <v/>
      </c>
      <c r="N343" s="36" t="str">
        <f ca="1">IFERROR(__xludf.DUMMYFUNCTION("""COMPUTED_VALUE"""),"")</f>
        <v/>
      </c>
      <c r="O343" s="36" t="str">
        <f ca="1">IFERROR(__xludf.DUMMYFUNCTION("""COMPUTED_VALUE"""),"")</f>
        <v/>
      </c>
      <c r="P343" s="36" t="str">
        <f ca="1">IFERROR(__xludf.DUMMYFUNCTION("""COMPUTED_VALUE"""),"")</f>
        <v/>
      </c>
      <c r="Q343" s="36" t="str">
        <f ca="1">IFERROR(__xludf.DUMMYFUNCTION("""COMPUTED_VALUE"""),"")</f>
        <v/>
      </c>
      <c r="R343" s="36" t="str">
        <f ca="1">IFERROR(__xludf.DUMMYFUNCTION("""COMPUTED_VALUE"""),"")</f>
        <v/>
      </c>
      <c r="S343" s="36" t="str">
        <f ca="1">IFERROR(__xludf.DUMMYFUNCTION("""COMPUTED_VALUE"""),"")</f>
        <v/>
      </c>
      <c r="T343" s="36" t="str">
        <f ca="1">IFERROR(__xludf.DUMMYFUNCTION("""COMPUTED_VALUE"""),"")</f>
        <v/>
      </c>
      <c r="U343" s="36" t="str">
        <f ca="1">IFERROR(__xludf.DUMMYFUNCTION("""COMPUTED_VALUE"""),"")</f>
        <v/>
      </c>
      <c r="V343" s="36" t="str">
        <f ca="1">IFERROR(__xludf.DUMMYFUNCTION("""COMPUTED_VALUE"""),"")</f>
        <v/>
      </c>
      <c r="W343" s="36" t="str">
        <f ca="1">IFERROR(__xludf.DUMMYFUNCTION("""COMPUTED_VALUE"""),"")</f>
        <v/>
      </c>
      <c r="X343" s="36"/>
      <c r="Y343" s="36"/>
      <c r="Z343" s="36"/>
    </row>
    <row r="344" spans="1:26" ht="12.75" hidden="1">
      <c r="A344" s="36" t="str">
        <f ca="1">IFERROR(__xludf.DUMMYFUNCTION("""COMPUTED_VALUE"""),"")</f>
        <v/>
      </c>
      <c r="B344" s="36" t="str">
        <f ca="1">IFERROR(__xludf.DUMMYFUNCTION("""COMPUTED_VALUE"""),"")</f>
        <v/>
      </c>
      <c r="C344" s="36" t="str">
        <f ca="1">IFERROR(__xludf.DUMMYFUNCTION("""COMPUTED_VALUE"""),"")</f>
        <v/>
      </c>
      <c r="D344" s="36" t="str">
        <f ca="1">IFERROR(__xludf.DUMMYFUNCTION("""COMPUTED_VALUE"""),"")</f>
        <v/>
      </c>
      <c r="E344" s="36" t="str">
        <f ca="1">IFERROR(__xludf.DUMMYFUNCTION("""COMPUTED_VALUE"""),"")</f>
        <v/>
      </c>
      <c r="F344" s="36" t="str">
        <f ca="1">IFERROR(__xludf.DUMMYFUNCTION("""COMPUTED_VALUE"""),"")</f>
        <v/>
      </c>
      <c r="G344" s="36" t="str">
        <f ca="1">IFERROR(__xludf.DUMMYFUNCTION("""COMPUTED_VALUE"""),"")</f>
        <v/>
      </c>
      <c r="H344" s="36" t="str">
        <f ca="1">IFERROR(__xludf.DUMMYFUNCTION("""COMPUTED_VALUE"""),"")</f>
        <v/>
      </c>
      <c r="I344" s="36" t="str">
        <f ca="1">IFERROR(__xludf.DUMMYFUNCTION("""COMPUTED_VALUE"""),"")</f>
        <v/>
      </c>
      <c r="J344" s="36" t="str">
        <f ca="1">IFERROR(__xludf.DUMMYFUNCTION("""COMPUTED_VALUE"""),"")</f>
        <v/>
      </c>
      <c r="K344" s="36" t="str">
        <f ca="1">IFERROR(__xludf.DUMMYFUNCTION("""COMPUTED_VALUE"""),"")</f>
        <v/>
      </c>
      <c r="L344" s="36" t="str">
        <f ca="1">IFERROR(__xludf.DUMMYFUNCTION("""COMPUTED_VALUE"""),"")</f>
        <v/>
      </c>
      <c r="M344" s="36" t="str">
        <f ca="1">IFERROR(__xludf.DUMMYFUNCTION("""COMPUTED_VALUE"""),"")</f>
        <v/>
      </c>
      <c r="N344" s="36" t="str">
        <f ca="1">IFERROR(__xludf.DUMMYFUNCTION("""COMPUTED_VALUE"""),"")</f>
        <v/>
      </c>
      <c r="O344" s="36" t="str">
        <f ca="1">IFERROR(__xludf.DUMMYFUNCTION("""COMPUTED_VALUE"""),"")</f>
        <v/>
      </c>
      <c r="P344" s="36" t="str">
        <f ca="1">IFERROR(__xludf.DUMMYFUNCTION("""COMPUTED_VALUE"""),"")</f>
        <v/>
      </c>
      <c r="Q344" s="36" t="str">
        <f ca="1">IFERROR(__xludf.DUMMYFUNCTION("""COMPUTED_VALUE"""),"")</f>
        <v/>
      </c>
      <c r="R344" s="36" t="str">
        <f ca="1">IFERROR(__xludf.DUMMYFUNCTION("""COMPUTED_VALUE"""),"")</f>
        <v/>
      </c>
      <c r="S344" s="36" t="str">
        <f ca="1">IFERROR(__xludf.DUMMYFUNCTION("""COMPUTED_VALUE"""),"")</f>
        <v/>
      </c>
      <c r="T344" s="36" t="str">
        <f ca="1">IFERROR(__xludf.DUMMYFUNCTION("""COMPUTED_VALUE"""),"")</f>
        <v/>
      </c>
      <c r="U344" s="36" t="str">
        <f ca="1">IFERROR(__xludf.DUMMYFUNCTION("""COMPUTED_VALUE"""),"")</f>
        <v/>
      </c>
      <c r="V344" s="36" t="str">
        <f ca="1">IFERROR(__xludf.DUMMYFUNCTION("""COMPUTED_VALUE"""),"")</f>
        <v/>
      </c>
      <c r="W344" s="36" t="str">
        <f ca="1">IFERROR(__xludf.DUMMYFUNCTION("""COMPUTED_VALUE"""),"")</f>
        <v/>
      </c>
      <c r="X344" s="36"/>
      <c r="Y344" s="36"/>
      <c r="Z344" s="36"/>
    </row>
    <row r="345" spans="1:26" ht="12.75" hidden="1">
      <c r="A345" s="36" t="str">
        <f ca="1">IFERROR(__xludf.DUMMYFUNCTION("""COMPUTED_VALUE"""),"")</f>
        <v/>
      </c>
      <c r="B345" s="36" t="str">
        <f ca="1">IFERROR(__xludf.DUMMYFUNCTION("""COMPUTED_VALUE"""),"")</f>
        <v/>
      </c>
      <c r="C345" s="36" t="str">
        <f ca="1">IFERROR(__xludf.DUMMYFUNCTION("""COMPUTED_VALUE"""),"")</f>
        <v/>
      </c>
      <c r="D345" s="36" t="str">
        <f ca="1">IFERROR(__xludf.DUMMYFUNCTION("""COMPUTED_VALUE"""),"")</f>
        <v/>
      </c>
      <c r="E345" s="36" t="str">
        <f ca="1">IFERROR(__xludf.DUMMYFUNCTION("""COMPUTED_VALUE"""),"")</f>
        <v/>
      </c>
      <c r="F345" s="36" t="str">
        <f ca="1">IFERROR(__xludf.DUMMYFUNCTION("""COMPUTED_VALUE"""),"")</f>
        <v/>
      </c>
      <c r="G345" s="36" t="str">
        <f ca="1">IFERROR(__xludf.DUMMYFUNCTION("""COMPUTED_VALUE"""),"")</f>
        <v/>
      </c>
      <c r="H345" s="36" t="str">
        <f ca="1">IFERROR(__xludf.DUMMYFUNCTION("""COMPUTED_VALUE"""),"")</f>
        <v/>
      </c>
      <c r="I345" s="36" t="str">
        <f ca="1">IFERROR(__xludf.DUMMYFUNCTION("""COMPUTED_VALUE"""),"")</f>
        <v/>
      </c>
      <c r="J345" s="36" t="str">
        <f ca="1">IFERROR(__xludf.DUMMYFUNCTION("""COMPUTED_VALUE"""),"")</f>
        <v/>
      </c>
      <c r="K345" s="36" t="str">
        <f ca="1">IFERROR(__xludf.DUMMYFUNCTION("""COMPUTED_VALUE"""),"")</f>
        <v/>
      </c>
      <c r="L345" s="36" t="str">
        <f ca="1">IFERROR(__xludf.DUMMYFUNCTION("""COMPUTED_VALUE"""),"")</f>
        <v/>
      </c>
      <c r="M345" s="36" t="str">
        <f ca="1">IFERROR(__xludf.DUMMYFUNCTION("""COMPUTED_VALUE"""),"")</f>
        <v/>
      </c>
      <c r="N345" s="36" t="str">
        <f ca="1">IFERROR(__xludf.DUMMYFUNCTION("""COMPUTED_VALUE"""),"")</f>
        <v/>
      </c>
      <c r="O345" s="36" t="str">
        <f ca="1">IFERROR(__xludf.DUMMYFUNCTION("""COMPUTED_VALUE"""),"")</f>
        <v/>
      </c>
      <c r="P345" s="36" t="str">
        <f ca="1">IFERROR(__xludf.DUMMYFUNCTION("""COMPUTED_VALUE"""),"")</f>
        <v/>
      </c>
      <c r="Q345" s="36" t="str">
        <f ca="1">IFERROR(__xludf.DUMMYFUNCTION("""COMPUTED_VALUE"""),"")</f>
        <v/>
      </c>
      <c r="R345" s="36" t="str">
        <f ca="1">IFERROR(__xludf.DUMMYFUNCTION("""COMPUTED_VALUE"""),"")</f>
        <v/>
      </c>
      <c r="S345" s="36" t="str">
        <f ca="1">IFERROR(__xludf.DUMMYFUNCTION("""COMPUTED_VALUE"""),"")</f>
        <v/>
      </c>
      <c r="T345" s="36" t="str">
        <f ca="1">IFERROR(__xludf.DUMMYFUNCTION("""COMPUTED_VALUE"""),"")</f>
        <v/>
      </c>
      <c r="U345" s="36" t="str">
        <f ca="1">IFERROR(__xludf.DUMMYFUNCTION("""COMPUTED_VALUE"""),"")</f>
        <v/>
      </c>
      <c r="V345" s="36" t="str">
        <f ca="1">IFERROR(__xludf.DUMMYFUNCTION("""COMPUTED_VALUE"""),"")</f>
        <v/>
      </c>
      <c r="W345" s="36" t="str">
        <f ca="1">IFERROR(__xludf.DUMMYFUNCTION("""COMPUTED_VALUE"""),"")</f>
        <v/>
      </c>
      <c r="X345" s="36"/>
      <c r="Y345" s="36"/>
      <c r="Z345" s="36"/>
    </row>
    <row r="346" spans="1:26" ht="12.75" hidden="1">
      <c r="A346" s="36" t="str">
        <f ca="1">IFERROR(__xludf.DUMMYFUNCTION("""COMPUTED_VALUE"""),"")</f>
        <v/>
      </c>
      <c r="B346" s="36" t="str">
        <f ca="1">IFERROR(__xludf.DUMMYFUNCTION("""COMPUTED_VALUE"""),"")</f>
        <v/>
      </c>
      <c r="C346" s="36" t="str">
        <f ca="1">IFERROR(__xludf.DUMMYFUNCTION("""COMPUTED_VALUE"""),"")</f>
        <v/>
      </c>
      <c r="D346" s="36" t="str">
        <f ca="1">IFERROR(__xludf.DUMMYFUNCTION("""COMPUTED_VALUE"""),"")</f>
        <v/>
      </c>
      <c r="E346" s="36" t="str">
        <f ca="1">IFERROR(__xludf.DUMMYFUNCTION("""COMPUTED_VALUE"""),"")</f>
        <v/>
      </c>
      <c r="F346" s="36" t="str">
        <f ca="1">IFERROR(__xludf.DUMMYFUNCTION("""COMPUTED_VALUE"""),"")</f>
        <v/>
      </c>
      <c r="G346" s="36" t="str">
        <f ca="1">IFERROR(__xludf.DUMMYFUNCTION("""COMPUTED_VALUE"""),"")</f>
        <v/>
      </c>
      <c r="H346" s="36" t="str">
        <f ca="1">IFERROR(__xludf.DUMMYFUNCTION("""COMPUTED_VALUE"""),"")</f>
        <v/>
      </c>
      <c r="I346" s="36" t="str">
        <f ca="1">IFERROR(__xludf.DUMMYFUNCTION("""COMPUTED_VALUE"""),"")</f>
        <v/>
      </c>
      <c r="J346" s="36" t="str">
        <f ca="1">IFERROR(__xludf.DUMMYFUNCTION("""COMPUTED_VALUE"""),"")</f>
        <v/>
      </c>
      <c r="K346" s="36" t="str">
        <f ca="1">IFERROR(__xludf.DUMMYFUNCTION("""COMPUTED_VALUE"""),"")</f>
        <v/>
      </c>
      <c r="L346" s="36" t="str">
        <f ca="1">IFERROR(__xludf.DUMMYFUNCTION("""COMPUTED_VALUE"""),"")</f>
        <v/>
      </c>
      <c r="M346" s="36" t="str">
        <f ca="1">IFERROR(__xludf.DUMMYFUNCTION("""COMPUTED_VALUE"""),"")</f>
        <v/>
      </c>
      <c r="N346" s="36" t="str">
        <f ca="1">IFERROR(__xludf.DUMMYFUNCTION("""COMPUTED_VALUE"""),"")</f>
        <v/>
      </c>
      <c r="O346" s="36" t="str">
        <f ca="1">IFERROR(__xludf.DUMMYFUNCTION("""COMPUTED_VALUE"""),"")</f>
        <v/>
      </c>
      <c r="P346" s="36" t="str">
        <f ca="1">IFERROR(__xludf.DUMMYFUNCTION("""COMPUTED_VALUE"""),"")</f>
        <v/>
      </c>
      <c r="Q346" s="36" t="str">
        <f ca="1">IFERROR(__xludf.DUMMYFUNCTION("""COMPUTED_VALUE"""),"")</f>
        <v/>
      </c>
      <c r="R346" s="36" t="str">
        <f ca="1">IFERROR(__xludf.DUMMYFUNCTION("""COMPUTED_VALUE"""),"")</f>
        <v/>
      </c>
      <c r="S346" s="36" t="str">
        <f ca="1">IFERROR(__xludf.DUMMYFUNCTION("""COMPUTED_VALUE"""),"")</f>
        <v/>
      </c>
      <c r="T346" s="36" t="str">
        <f ca="1">IFERROR(__xludf.DUMMYFUNCTION("""COMPUTED_VALUE"""),"")</f>
        <v/>
      </c>
      <c r="U346" s="36" t="str">
        <f ca="1">IFERROR(__xludf.DUMMYFUNCTION("""COMPUTED_VALUE"""),"")</f>
        <v/>
      </c>
      <c r="V346" s="36" t="str">
        <f ca="1">IFERROR(__xludf.DUMMYFUNCTION("""COMPUTED_VALUE"""),"")</f>
        <v/>
      </c>
      <c r="W346" s="36" t="str">
        <f ca="1">IFERROR(__xludf.DUMMYFUNCTION("""COMPUTED_VALUE"""),"")</f>
        <v/>
      </c>
      <c r="X346" s="36"/>
      <c r="Y346" s="36"/>
      <c r="Z346" s="36"/>
    </row>
    <row r="347" spans="1:26" ht="12.75" hidden="1">
      <c r="A347" s="36" t="str">
        <f ca="1">IFERROR(__xludf.DUMMYFUNCTION("""COMPUTED_VALUE"""),"")</f>
        <v/>
      </c>
      <c r="B347" s="36" t="str">
        <f ca="1">IFERROR(__xludf.DUMMYFUNCTION("""COMPUTED_VALUE"""),"")</f>
        <v/>
      </c>
      <c r="C347" s="36" t="str">
        <f ca="1">IFERROR(__xludf.DUMMYFUNCTION("""COMPUTED_VALUE"""),"")</f>
        <v/>
      </c>
      <c r="D347" s="36" t="str">
        <f ca="1">IFERROR(__xludf.DUMMYFUNCTION("""COMPUTED_VALUE"""),"")</f>
        <v/>
      </c>
      <c r="E347" s="36" t="str">
        <f ca="1">IFERROR(__xludf.DUMMYFUNCTION("""COMPUTED_VALUE"""),"")</f>
        <v/>
      </c>
      <c r="F347" s="36" t="str">
        <f ca="1">IFERROR(__xludf.DUMMYFUNCTION("""COMPUTED_VALUE"""),"")</f>
        <v/>
      </c>
      <c r="G347" s="36" t="str">
        <f ca="1">IFERROR(__xludf.DUMMYFUNCTION("""COMPUTED_VALUE"""),"")</f>
        <v/>
      </c>
      <c r="H347" s="36" t="str">
        <f ca="1">IFERROR(__xludf.DUMMYFUNCTION("""COMPUTED_VALUE"""),"")</f>
        <v/>
      </c>
      <c r="I347" s="36" t="str">
        <f ca="1">IFERROR(__xludf.DUMMYFUNCTION("""COMPUTED_VALUE"""),"")</f>
        <v/>
      </c>
      <c r="J347" s="36" t="str">
        <f ca="1">IFERROR(__xludf.DUMMYFUNCTION("""COMPUTED_VALUE"""),"")</f>
        <v/>
      </c>
      <c r="K347" s="36" t="str">
        <f ca="1">IFERROR(__xludf.DUMMYFUNCTION("""COMPUTED_VALUE"""),"")</f>
        <v/>
      </c>
      <c r="L347" s="36" t="str">
        <f ca="1">IFERROR(__xludf.DUMMYFUNCTION("""COMPUTED_VALUE"""),"")</f>
        <v/>
      </c>
      <c r="M347" s="36" t="str">
        <f ca="1">IFERROR(__xludf.DUMMYFUNCTION("""COMPUTED_VALUE"""),"")</f>
        <v/>
      </c>
      <c r="N347" s="36" t="str">
        <f ca="1">IFERROR(__xludf.DUMMYFUNCTION("""COMPUTED_VALUE"""),"")</f>
        <v/>
      </c>
      <c r="O347" s="36" t="str">
        <f ca="1">IFERROR(__xludf.DUMMYFUNCTION("""COMPUTED_VALUE"""),"")</f>
        <v/>
      </c>
      <c r="P347" s="36" t="str">
        <f ca="1">IFERROR(__xludf.DUMMYFUNCTION("""COMPUTED_VALUE"""),"")</f>
        <v/>
      </c>
      <c r="Q347" s="36" t="str">
        <f ca="1">IFERROR(__xludf.DUMMYFUNCTION("""COMPUTED_VALUE"""),"")</f>
        <v/>
      </c>
      <c r="R347" s="36" t="str">
        <f ca="1">IFERROR(__xludf.DUMMYFUNCTION("""COMPUTED_VALUE"""),"")</f>
        <v/>
      </c>
      <c r="S347" s="36" t="str">
        <f ca="1">IFERROR(__xludf.DUMMYFUNCTION("""COMPUTED_VALUE"""),"")</f>
        <v/>
      </c>
      <c r="T347" s="36" t="str">
        <f ca="1">IFERROR(__xludf.DUMMYFUNCTION("""COMPUTED_VALUE"""),"")</f>
        <v/>
      </c>
      <c r="U347" s="36" t="str">
        <f ca="1">IFERROR(__xludf.DUMMYFUNCTION("""COMPUTED_VALUE"""),"")</f>
        <v/>
      </c>
      <c r="V347" s="36" t="str">
        <f ca="1">IFERROR(__xludf.DUMMYFUNCTION("""COMPUTED_VALUE"""),"")</f>
        <v/>
      </c>
      <c r="W347" s="36" t="str">
        <f ca="1">IFERROR(__xludf.DUMMYFUNCTION("""COMPUTED_VALUE"""),"")</f>
        <v/>
      </c>
      <c r="X347" s="36"/>
      <c r="Y347" s="36"/>
      <c r="Z347" s="36"/>
    </row>
    <row r="348" spans="1:26" ht="12.75" hidden="1">
      <c r="A348" s="36" t="str">
        <f ca="1">IFERROR(__xludf.DUMMYFUNCTION("""COMPUTED_VALUE"""),"")</f>
        <v/>
      </c>
      <c r="B348" s="36" t="str">
        <f ca="1">IFERROR(__xludf.DUMMYFUNCTION("""COMPUTED_VALUE"""),"")</f>
        <v/>
      </c>
      <c r="C348" s="36" t="str">
        <f ca="1">IFERROR(__xludf.DUMMYFUNCTION("""COMPUTED_VALUE"""),"")</f>
        <v/>
      </c>
      <c r="D348" s="36" t="str">
        <f ca="1">IFERROR(__xludf.DUMMYFUNCTION("""COMPUTED_VALUE"""),"")</f>
        <v/>
      </c>
      <c r="E348" s="36" t="str">
        <f ca="1">IFERROR(__xludf.DUMMYFUNCTION("""COMPUTED_VALUE"""),"")</f>
        <v/>
      </c>
      <c r="F348" s="36" t="str">
        <f ca="1">IFERROR(__xludf.DUMMYFUNCTION("""COMPUTED_VALUE"""),"")</f>
        <v/>
      </c>
      <c r="G348" s="36" t="str">
        <f ca="1">IFERROR(__xludf.DUMMYFUNCTION("""COMPUTED_VALUE"""),"")</f>
        <v/>
      </c>
      <c r="H348" s="36" t="str">
        <f ca="1">IFERROR(__xludf.DUMMYFUNCTION("""COMPUTED_VALUE"""),"")</f>
        <v/>
      </c>
      <c r="I348" s="36" t="str">
        <f ca="1">IFERROR(__xludf.DUMMYFUNCTION("""COMPUTED_VALUE"""),"")</f>
        <v/>
      </c>
      <c r="J348" s="36" t="str">
        <f ca="1">IFERROR(__xludf.DUMMYFUNCTION("""COMPUTED_VALUE"""),"")</f>
        <v/>
      </c>
      <c r="K348" s="36" t="str">
        <f ca="1">IFERROR(__xludf.DUMMYFUNCTION("""COMPUTED_VALUE"""),"")</f>
        <v/>
      </c>
      <c r="L348" s="36" t="str">
        <f ca="1">IFERROR(__xludf.DUMMYFUNCTION("""COMPUTED_VALUE"""),"")</f>
        <v/>
      </c>
      <c r="M348" s="36" t="str">
        <f ca="1">IFERROR(__xludf.DUMMYFUNCTION("""COMPUTED_VALUE"""),"")</f>
        <v/>
      </c>
      <c r="N348" s="36" t="str">
        <f ca="1">IFERROR(__xludf.DUMMYFUNCTION("""COMPUTED_VALUE"""),"")</f>
        <v/>
      </c>
      <c r="O348" s="36" t="str">
        <f ca="1">IFERROR(__xludf.DUMMYFUNCTION("""COMPUTED_VALUE"""),"")</f>
        <v/>
      </c>
      <c r="P348" s="36" t="str">
        <f ca="1">IFERROR(__xludf.DUMMYFUNCTION("""COMPUTED_VALUE"""),"")</f>
        <v/>
      </c>
      <c r="Q348" s="36" t="str">
        <f ca="1">IFERROR(__xludf.DUMMYFUNCTION("""COMPUTED_VALUE"""),"")</f>
        <v/>
      </c>
      <c r="R348" s="36" t="str">
        <f ca="1">IFERROR(__xludf.DUMMYFUNCTION("""COMPUTED_VALUE"""),"")</f>
        <v/>
      </c>
      <c r="S348" s="36" t="str">
        <f ca="1">IFERROR(__xludf.DUMMYFUNCTION("""COMPUTED_VALUE"""),"")</f>
        <v/>
      </c>
      <c r="T348" s="36" t="str">
        <f ca="1">IFERROR(__xludf.DUMMYFUNCTION("""COMPUTED_VALUE"""),"")</f>
        <v/>
      </c>
      <c r="U348" s="36" t="str">
        <f ca="1">IFERROR(__xludf.DUMMYFUNCTION("""COMPUTED_VALUE"""),"")</f>
        <v/>
      </c>
      <c r="V348" s="36" t="str">
        <f ca="1">IFERROR(__xludf.DUMMYFUNCTION("""COMPUTED_VALUE"""),"")</f>
        <v/>
      </c>
      <c r="W348" s="36" t="str">
        <f ca="1">IFERROR(__xludf.DUMMYFUNCTION("""COMPUTED_VALUE"""),"")</f>
        <v/>
      </c>
      <c r="X348" s="36"/>
      <c r="Y348" s="36"/>
      <c r="Z348" s="36"/>
    </row>
    <row r="349" spans="1:26" ht="12.75" hidden="1">
      <c r="A349" s="36" t="str">
        <f ca="1">IFERROR(__xludf.DUMMYFUNCTION("""COMPUTED_VALUE"""),"")</f>
        <v/>
      </c>
      <c r="B349" s="36" t="str">
        <f ca="1">IFERROR(__xludf.DUMMYFUNCTION("""COMPUTED_VALUE"""),"")</f>
        <v/>
      </c>
      <c r="C349" s="36" t="str">
        <f ca="1">IFERROR(__xludf.DUMMYFUNCTION("""COMPUTED_VALUE"""),"")</f>
        <v/>
      </c>
      <c r="D349" s="36" t="str">
        <f ca="1">IFERROR(__xludf.DUMMYFUNCTION("""COMPUTED_VALUE"""),"")</f>
        <v/>
      </c>
      <c r="E349" s="36" t="str">
        <f ca="1">IFERROR(__xludf.DUMMYFUNCTION("""COMPUTED_VALUE"""),"")</f>
        <v/>
      </c>
      <c r="F349" s="36" t="str">
        <f ca="1">IFERROR(__xludf.DUMMYFUNCTION("""COMPUTED_VALUE"""),"")</f>
        <v/>
      </c>
      <c r="G349" s="36" t="str">
        <f ca="1">IFERROR(__xludf.DUMMYFUNCTION("""COMPUTED_VALUE"""),"")</f>
        <v/>
      </c>
      <c r="H349" s="36" t="str">
        <f ca="1">IFERROR(__xludf.DUMMYFUNCTION("""COMPUTED_VALUE"""),"")</f>
        <v/>
      </c>
      <c r="I349" s="36" t="str">
        <f ca="1">IFERROR(__xludf.DUMMYFUNCTION("""COMPUTED_VALUE"""),"")</f>
        <v/>
      </c>
      <c r="J349" s="36" t="str">
        <f ca="1">IFERROR(__xludf.DUMMYFUNCTION("""COMPUTED_VALUE"""),"")</f>
        <v/>
      </c>
      <c r="K349" s="36" t="str">
        <f ca="1">IFERROR(__xludf.DUMMYFUNCTION("""COMPUTED_VALUE"""),"")</f>
        <v/>
      </c>
      <c r="L349" s="36" t="str">
        <f ca="1">IFERROR(__xludf.DUMMYFUNCTION("""COMPUTED_VALUE"""),"")</f>
        <v/>
      </c>
      <c r="M349" s="36" t="str">
        <f ca="1">IFERROR(__xludf.DUMMYFUNCTION("""COMPUTED_VALUE"""),"")</f>
        <v/>
      </c>
      <c r="N349" s="36" t="str">
        <f ca="1">IFERROR(__xludf.DUMMYFUNCTION("""COMPUTED_VALUE"""),"")</f>
        <v/>
      </c>
      <c r="O349" s="36" t="str">
        <f ca="1">IFERROR(__xludf.DUMMYFUNCTION("""COMPUTED_VALUE"""),"")</f>
        <v/>
      </c>
      <c r="P349" s="36" t="str">
        <f ca="1">IFERROR(__xludf.DUMMYFUNCTION("""COMPUTED_VALUE"""),"")</f>
        <v/>
      </c>
      <c r="Q349" s="36" t="str">
        <f ca="1">IFERROR(__xludf.DUMMYFUNCTION("""COMPUTED_VALUE"""),"")</f>
        <v/>
      </c>
      <c r="R349" s="36" t="str">
        <f ca="1">IFERROR(__xludf.DUMMYFUNCTION("""COMPUTED_VALUE"""),"")</f>
        <v/>
      </c>
      <c r="S349" s="36" t="str">
        <f ca="1">IFERROR(__xludf.DUMMYFUNCTION("""COMPUTED_VALUE"""),"")</f>
        <v/>
      </c>
      <c r="T349" s="36" t="str">
        <f ca="1">IFERROR(__xludf.DUMMYFUNCTION("""COMPUTED_VALUE"""),"")</f>
        <v/>
      </c>
      <c r="U349" s="36" t="str">
        <f ca="1">IFERROR(__xludf.DUMMYFUNCTION("""COMPUTED_VALUE"""),"")</f>
        <v/>
      </c>
      <c r="V349" s="36" t="str">
        <f ca="1">IFERROR(__xludf.DUMMYFUNCTION("""COMPUTED_VALUE"""),"")</f>
        <v/>
      </c>
      <c r="W349" s="36" t="str">
        <f ca="1">IFERROR(__xludf.DUMMYFUNCTION("""COMPUTED_VALUE"""),"")</f>
        <v/>
      </c>
      <c r="X349" s="36"/>
      <c r="Y349" s="36"/>
      <c r="Z349" s="36"/>
    </row>
    <row r="350" spans="1:26" ht="12.75" hidden="1">
      <c r="A350" s="36" t="str">
        <f ca="1">IFERROR(__xludf.DUMMYFUNCTION("""COMPUTED_VALUE"""),"")</f>
        <v/>
      </c>
      <c r="B350" s="36" t="str">
        <f ca="1">IFERROR(__xludf.DUMMYFUNCTION("""COMPUTED_VALUE"""),"")</f>
        <v/>
      </c>
      <c r="C350" s="36" t="str">
        <f ca="1">IFERROR(__xludf.DUMMYFUNCTION("""COMPUTED_VALUE"""),"")</f>
        <v/>
      </c>
      <c r="D350" s="36" t="str">
        <f ca="1">IFERROR(__xludf.DUMMYFUNCTION("""COMPUTED_VALUE"""),"")</f>
        <v/>
      </c>
      <c r="E350" s="36" t="str">
        <f ca="1">IFERROR(__xludf.DUMMYFUNCTION("""COMPUTED_VALUE"""),"")</f>
        <v/>
      </c>
      <c r="F350" s="36" t="str">
        <f ca="1">IFERROR(__xludf.DUMMYFUNCTION("""COMPUTED_VALUE"""),"")</f>
        <v/>
      </c>
      <c r="G350" s="36" t="str">
        <f ca="1">IFERROR(__xludf.DUMMYFUNCTION("""COMPUTED_VALUE"""),"")</f>
        <v/>
      </c>
      <c r="H350" s="36" t="str">
        <f ca="1">IFERROR(__xludf.DUMMYFUNCTION("""COMPUTED_VALUE"""),"")</f>
        <v/>
      </c>
      <c r="I350" s="36" t="str">
        <f ca="1">IFERROR(__xludf.DUMMYFUNCTION("""COMPUTED_VALUE"""),"")</f>
        <v/>
      </c>
      <c r="J350" s="36" t="str">
        <f ca="1">IFERROR(__xludf.DUMMYFUNCTION("""COMPUTED_VALUE"""),"")</f>
        <v/>
      </c>
      <c r="K350" s="36" t="str">
        <f ca="1">IFERROR(__xludf.DUMMYFUNCTION("""COMPUTED_VALUE"""),"")</f>
        <v/>
      </c>
      <c r="L350" s="36" t="str">
        <f ca="1">IFERROR(__xludf.DUMMYFUNCTION("""COMPUTED_VALUE"""),"")</f>
        <v/>
      </c>
      <c r="M350" s="36" t="str">
        <f ca="1">IFERROR(__xludf.DUMMYFUNCTION("""COMPUTED_VALUE"""),"")</f>
        <v/>
      </c>
      <c r="N350" s="36" t="str">
        <f ca="1">IFERROR(__xludf.DUMMYFUNCTION("""COMPUTED_VALUE"""),"")</f>
        <v/>
      </c>
      <c r="O350" s="36" t="str">
        <f ca="1">IFERROR(__xludf.DUMMYFUNCTION("""COMPUTED_VALUE"""),"")</f>
        <v/>
      </c>
      <c r="P350" s="36" t="str">
        <f ca="1">IFERROR(__xludf.DUMMYFUNCTION("""COMPUTED_VALUE"""),"")</f>
        <v/>
      </c>
      <c r="Q350" s="36" t="str">
        <f ca="1">IFERROR(__xludf.DUMMYFUNCTION("""COMPUTED_VALUE"""),"")</f>
        <v/>
      </c>
      <c r="R350" s="36" t="str">
        <f ca="1">IFERROR(__xludf.DUMMYFUNCTION("""COMPUTED_VALUE"""),"")</f>
        <v/>
      </c>
      <c r="S350" s="36" t="str">
        <f ca="1">IFERROR(__xludf.DUMMYFUNCTION("""COMPUTED_VALUE"""),"")</f>
        <v/>
      </c>
      <c r="T350" s="36" t="str">
        <f ca="1">IFERROR(__xludf.DUMMYFUNCTION("""COMPUTED_VALUE"""),"")</f>
        <v/>
      </c>
      <c r="U350" s="36" t="str">
        <f ca="1">IFERROR(__xludf.DUMMYFUNCTION("""COMPUTED_VALUE"""),"")</f>
        <v/>
      </c>
      <c r="V350" s="36" t="str">
        <f ca="1">IFERROR(__xludf.DUMMYFUNCTION("""COMPUTED_VALUE"""),"")</f>
        <v/>
      </c>
      <c r="W350" s="36" t="str">
        <f ca="1">IFERROR(__xludf.DUMMYFUNCTION("""COMPUTED_VALUE"""),"")</f>
        <v/>
      </c>
      <c r="X350" s="36"/>
      <c r="Y350" s="36"/>
      <c r="Z350" s="36"/>
    </row>
    <row r="351" spans="1:26" ht="12.75" hidden="1">
      <c r="A351" s="36" t="str">
        <f ca="1">IFERROR(__xludf.DUMMYFUNCTION("""COMPUTED_VALUE"""),"")</f>
        <v/>
      </c>
      <c r="B351" s="36" t="str">
        <f ca="1">IFERROR(__xludf.DUMMYFUNCTION("""COMPUTED_VALUE"""),"")</f>
        <v/>
      </c>
      <c r="C351" s="36" t="str">
        <f ca="1">IFERROR(__xludf.DUMMYFUNCTION("""COMPUTED_VALUE"""),"")</f>
        <v/>
      </c>
      <c r="D351" s="36" t="str">
        <f ca="1">IFERROR(__xludf.DUMMYFUNCTION("""COMPUTED_VALUE"""),"")</f>
        <v/>
      </c>
      <c r="E351" s="36" t="str">
        <f ca="1">IFERROR(__xludf.DUMMYFUNCTION("""COMPUTED_VALUE"""),"")</f>
        <v/>
      </c>
      <c r="F351" s="36" t="str">
        <f ca="1">IFERROR(__xludf.DUMMYFUNCTION("""COMPUTED_VALUE"""),"")</f>
        <v/>
      </c>
      <c r="G351" s="36" t="str">
        <f ca="1">IFERROR(__xludf.DUMMYFUNCTION("""COMPUTED_VALUE"""),"")</f>
        <v/>
      </c>
      <c r="H351" s="36" t="str">
        <f ca="1">IFERROR(__xludf.DUMMYFUNCTION("""COMPUTED_VALUE"""),"")</f>
        <v/>
      </c>
      <c r="I351" s="36" t="str">
        <f ca="1">IFERROR(__xludf.DUMMYFUNCTION("""COMPUTED_VALUE"""),"")</f>
        <v/>
      </c>
      <c r="J351" s="36" t="str">
        <f ca="1">IFERROR(__xludf.DUMMYFUNCTION("""COMPUTED_VALUE"""),"")</f>
        <v/>
      </c>
      <c r="K351" s="36" t="str">
        <f ca="1">IFERROR(__xludf.DUMMYFUNCTION("""COMPUTED_VALUE"""),"")</f>
        <v/>
      </c>
      <c r="L351" s="36" t="str">
        <f ca="1">IFERROR(__xludf.DUMMYFUNCTION("""COMPUTED_VALUE"""),"")</f>
        <v/>
      </c>
      <c r="M351" s="36" t="str">
        <f ca="1">IFERROR(__xludf.DUMMYFUNCTION("""COMPUTED_VALUE"""),"")</f>
        <v/>
      </c>
      <c r="N351" s="36" t="str">
        <f ca="1">IFERROR(__xludf.DUMMYFUNCTION("""COMPUTED_VALUE"""),"")</f>
        <v/>
      </c>
      <c r="O351" s="36" t="str">
        <f ca="1">IFERROR(__xludf.DUMMYFUNCTION("""COMPUTED_VALUE"""),"")</f>
        <v/>
      </c>
      <c r="P351" s="36" t="str">
        <f ca="1">IFERROR(__xludf.DUMMYFUNCTION("""COMPUTED_VALUE"""),"")</f>
        <v/>
      </c>
      <c r="Q351" s="36" t="str">
        <f ca="1">IFERROR(__xludf.DUMMYFUNCTION("""COMPUTED_VALUE"""),"")</f>
        <v/>
      </c>
      <c r="R351" s="36" t="str">
        <f ca="1">IFERROR(__xludf.DUMMYFUNCTION("""COMPUTED_VALUE"""),"")</f>
        <v/>
      </c>
      <c r="S351" s="36" t="str">
        <f ca="1">IFERROR(__xludf.DUMMYFUNCTION("""COMPUTED_VALUE"""),"")</f>
        <v/>
      </c>
      <c r="T351" s="36" t="str">
        <f ca="1">IFERROR(__xludf.DUMMYFUNCTION("""COMPUTED_VALUE"""),"")</f>
        <v/>
      </c>
      <c r="U351" s="36" t="str">
        <f ca="1">IFERROR(__xludf.DUMMYFUNCTION("""COMPUTED_VALUE"""),"")</f>
        <v/>
      </c>
      <c r="V351" s="36" t="str">
        <f ca="1">IFERROR(__xludf.DUMMYFUNCTION("""COMPUTED_VALUE"""),"")</f>
        <v/>
      </c>
      <c r="W351" s="36" t="str">
        <f ca="1">IFERROR(__xludf.DUMMYFUNCTION("""COMPUTED_VALUE"""),"")</f>
        <v/>
      </c>
      <c r="X351" s="36"/>
      <c r="Y351" s="36"/>
      <c r="Z351" s="36"/>
    </row>
    <row r="352" spans="1:26" ht="12.75" hidden="1">
      <c r="A352" s="36" t="str">
        <f ca="1">IFERROR(__xludf.DUMMYFUNCTION("""COMPUTED_VALUE"""),"")</f>
        <v/>
      </c>
      <c r="B352" s="36" t="str">
        <f ca="1">IFERROR(__xludf.DUMMYFUNCTION("""COMPUTED_VALUE"""),"")</f>
        <v/>
      </c>
      <c r="C352" s="36" t="str">
        <f ca="1">IFERROR(__xludf.DUMMYFUNCTION("""COMPUTED_VALUE"""),"")</f>
        <v/>
      </c>
      <c r="D352" s="36" t="str">
        <f ca="1">IFERROR(__xludf.DUMMYFUNCTION("""COMPUTED_VALUE"""),"")</f>
        <v/>
      </c>
      <c r="E352" s="36" t="str">
        <f ca="1">IFERROR(__xludf.DUMMYFUNCTION("""COMPUTED_VALUE"""),"")</f>
        <v/>
      </c>
      <c r="F352" s="36" t="str">
        <f ca="1">IFERROR(__xludf.DUMMYFUNCTION("""COMPUTED_VALUE"""),"")</f>
        <v/>
      </c>
      <c r="G352" s="36" t="str">
        <f ca="1">IFERROR(__xludf.DUMMYFUNCTION("""COMPUTED_VALUE"""),"")</f>
        <v/>
      </c>
      <c r="H352" s="36" t="str">
        <f ca="1">IFERROR(__xludf.DUMMYFUNCTION("""COMPUTED_VALUE"""),"")</f>
        <v/>
      </c>
      <c r="I352" s="36" t="str">
        <f ca="1">IFERROR(__xludf.DUMMYFUNCTION("""COMPUTED_VALUE"""),"")</f>
        <v/>
      </c>
      <c r="J352" s="36" t="str">
        <f ca="1">IFERROR(__xludf.DUMMYFUNCTION("""COMPUTED_VALUE"""),"")</f>
        <v/>
      </c>
      <c r="K352" s="36" t="str">
        <f ca="1">IFERROR(__xludf.DUMMYFUNCTION("""COMPUTED_VALUE"""),"")</f>
        <v/>
      </c>
      <c r="L352" s="36" t="str">
        <f ca="1">IFERROR(__xludf.DUMMYFUNCTION("""COMPUTED_VALUE"""),"")</f>
        <v/>
      </c>
      <c r="M352" s="36" t="str">
        <f ca="1">IFERROR(__xludf.DUMMYFUNCTION("""COMPUTED_VALUE"""),"")</f>
        <v/>
      </c>
      <c r="N352" s="36" t="str">
        <f ca="1">IFERROR(__xludf.DUMMYFUNCTION("""COMPUTED_VALUE"""),"")</f>
        <v/>
      </c>
      <c r="O352" s="36" t="str">
        <f ca="1">IFERROR(__xludf.DUMMYFUNCTION("""COMPUTED_VALUE"""),"")</f>
        <v/>
      </c>
      <c r="P352" s="36" t="str">
        <f ca="1">IFERROR(__xludf.DUMMYFUNCTION("""COMPUTED_VALUE"""),"")</f>
        <v/>
      </c>
      <c r="Q352" s="36" t="str">
        <f ca="1">IFERROR(__xludf.DUMMYFUNCTION("""COMPUTED_VALUE"""),"")</f>
        <v/>
      </c>
      <c r="R352" s="36" t="str">
        <f ca="1">IFERROR(__xludf.DUMMYFUNCTION("""COMPUTED_VALUE"""),"")</f>
        <v/>
      </c>
      <c r="S352" s="36" t="str">
        <f ca="1">IFERROR(__xludf.DUMMYFUNCTION("""COMPUTED_VALUE"""),"")</f>
        <v/>
      </c>
      <c r="T352" s="36" t="str">
        <f ca="1">IFERROR(__xludf.DUMMYFUNCTION("""COMPUTED_VALUE"""),"")</f>
        <v/>
      </c>
      <c r="U352" s="36" t="str">
        <f ca="1">IFERROR(__xludf.DUMMYFUNCTION("""COMPUTED_VALUE"""),"")</f>
        <v/>
      </c>
      <c r="V352" s="36" t="str">
        <f ca="1">IFERROR(__xludf.DUMMYFUNCTION("""COMPUTED_VALUE"""),"")</f>
        <v/>
      </c>
      <c r="W352" s="36" t="str">
        <f ca="1">IFERROR(__xludf.DUMMYFUNCTION("""COMPUTED_VALUE"""),"")</f>
        <v/>
      </c>
      <c r="X352" s="36"/>
      <c r="Y352" s="36"/>
      <c r="Z352" s="36"/>
    </row>
    <row r="353" spans="1:26" ht="12.75" hidden="1">
      <c r="A353" s="36" t="str">
        <f ca="1">IFERROR(__xludf.DUMMYFUNCTION("""COMPUTED_VALUE"""),"")</f>
        <v/>
      </c>
      <c r="B353" s="36" t="str">
        <f ca="1">IFERROR(__xludf.DUMMYFUNCTION("""COMPUTED_VALUE"""),"")</f>
        <v/>
      </c>
      <c r="C353" s="36" t="str">
        <f ca="1">IFERROR(__xludf.DUMMYFUNCTION("""COMPUTED_VALUE"""),"")</f>
        <v/>
      </c>
      <c r="D353" s="36" t="str">
        <f ca="1">IFERROR(__xludf.DUMMYFUNCTION("""COMPUTED_VALUE"""),"")</f>
        <v/>
      </c>
      <c r="E353" s="36" t="str">
        <f ca="1">IFERROR(__xludf.DUMMYFUNCTION("""COMPUTED_VALUE"""),"")</f>
        <v/>
      </c>
      <c r="F353" s="36" t="str">
        <f ca="1">IFERROR(__xludf.DUMMYFUNCTION("""COMPUTED_VALUE"""),"")</f>
        <v/>
      </c>
      <c r="G353" s="36" t="str">
        <f ca="1">IFERROR(__xludf.DUMMYFUNCTION("""COMPUTED_VALUE"""),"")</f>
        <v/>
      </c>
      <c r="H353" s="36" t="str">
        <f ca="1">IFERROR(__xludf.DUMMYFUNCTION("""COMPUTED_VALUE"""),"")</f>
        <v/>
      </c>
      <c r="I353" s="36" t="str">
        <f ca="1">IFERROR(__xludf.DUMMYFUNCTION("""COMPUTED_VALUE"""),"")</f>
        <v/>
      </c>
      <c r="J353" s="36" t="str">
        <f ca="1">IFERROR(__xludf.DUMMYFUNCTION("""COMPUTED_VALUE"""),"")</f>
        <v/>
      </c>
      <c r="K353" s="36" t="str">
        <f ca="1">IFERROR(__xludf.DUMMYFUNCTION("""COMPUTED_VALUE"""),"")</f>
        <v/>
      </c>
      <c r="L353" s="36" t="str">
        <f ca="1">IFERROR(__xludf.DUMMYFUNCTION("""COMPUTED_VALUE"""),"")</f>
        <v/>
      </c>
      <c r="M353" s="36" t="str">
        <f ca="1">IFERROR(__xludf.DUMMYFUNCTION("""COMPUTED_VALUE"""),"")</f>
        <v/>
      </c>
      <c r="N353" s="36" t="str">
        <f ca="1">IFERROR(__xludf.DUMMYFUNCTION("""COMPUTED_VALUE"""),"")</f>
        <v/>
      </c>
      <c r="O353" s="36" t="str">
        <f ca="1">IFERROR(__xludf.DUMMYFUNCTION("""COMPUTED_VALUE"""),"")</f>
        <v/>
      </c>
      <c r="P353" s="36" t="str">
        <f ca="1">IFERROR(__xludf.DUMMYFUNCTION("""COMPUTED_VALUE"""),"")</f>
        <v/>
      </c>
      <c r="Q353" s="36" t="str">
        <f ca="1">IFERROR(__xludf.DUMMYFUNCTION("""COMPUTED_VALUE"""),"")</f>
        <v/>
      </c>
      <c r="R353" s="36" t="str">
        <f ca="1">IFERROR(__xludf.DUMMYFUNCTION("""COMPUTED_VALUE"""),"")</f>
        <v/>
      </c>
      <c r="S353" s="36" t="str">
        <f ca="1">IFERROR(__xludf.DUMMYFUNCTION("""COMPUTED_VALUE"""),"")</f>
        <v/>
      </c>
      <c r="T353" s="36" t="str">
        <f ca="1">IFERROR(__xludf.DUMMYFUNCTION("""COMPUTED_VALUE"""),"")</f>
        <v/>
      </c>
      <c r="U353" s="36" t="str">
        <f ca="1">IFERROR(__xludf.DUMMYFUNCTION("""COMPUTED_VALUE"""),"")</f>
        <v/>
      </c>
      <c r="V353" s="36" t="str">
        <f ca="1">IFERROR(__xludf.DUMMYFUNCTION("""COMPUTED_VALUE"""),"")</f>
        <v/>
      </c>
      <c r="W353" s="36" t="str">
        <f ca="1">IFERROR(__xludf.DUMMYFUNCTION("""COMPUTED_VALUE"""),"")</f>
        <v/>
      </c>
      <c r="X353" s="36"/>
      <c r="Y353" s="36"/>
      <c r="Z353" s="36"/>
    </row>
    <row r="354" spans="1:26" ht="12.75" hidden="1">
      <c r="A354" s="36" t="str">
        <f ca="1">IFERROR(__xludf.DUMMYFUNCTION("""COMPUTED_VALUE"""),"")</f>
        <v/>
      </c>
      <c r="B354" s="36" t="str">
        <f ca="1">IFERROR(__xludf.DUMMYFUNCTION("""COMPUTED_VALUE"""),"")</f>
        <v/>
      </c>
      <c r="C354" s="36" t="str">
        <f ca="1">IFERROR(__xludf.DUMMYFUNCTION("""COMPUTED_VALUE"""),"")</f>
        <v/>
      </c>
      <c r="D354" s="36" t="str">
        <f ca="1">IFERROR(__xludf.DUMMYFUNCTION("""COMPUTED_VALUE"""),"")</f>
        <v/>
      </c>
      <c r="E354" s="36" t="str">
        <f ca="1">IFERROR(__xludf.DUMMYFUNCTION("""COMPUTED_VALUE"""),"")</f>
        <v/>
      </c>
      <c r="F354" s="36" t="str">
        <f ca="1">IFERROR(__xludf.DUMMYFUNCTION("""COMPUTED_VALUE"""),"")</f>
        <v/>
      </c>
      <c r="G354" s="36" t="str">
        <f ca="1">IFERROR(__xludf.DUMMYFUNCTION("""COMPUTED_VALUE"""),"")</f>
        <v/>
      </c>
      <c r="H354" s="36" t="str">
        <f ca="1">IFERROR(__xludf.DUMMYFUNCTION("""COMPUTED_VALUE"""),"")</f>
        <v/>
      </c>
      <c r="I354" s="36" t="str">
        <f ca="1">IFERROR(__xludf.DUMMYFUNCTION("""COMPUTED_VALUE"""),"")</f>
        <v/>
      </c>
      <c r="J354" s="36" t="str">
        <f ca="1">IFERROR(__xludf.DUMMYFUNCTION("""COMPUTED_VALUE"""),"")</f>
        <v/>
      </c>
      <c r="K354" s="36" t="str">
        <f ca="1">IFERROR(__xludf.DUMMYFUNCTION("""COMPUTED_VALUE"""),"")</f>
        <v/>
      </c>
      <c r="L354" s="36" t="str">
        <f ca="1">IFERROR(__xludf.DUMMYFUNCTION("""COMPUTED_VALUE"""),"")</f>
        <v/>
      </c>
      <c r="M354" s="36" t="str">
        <f ca="1">IFERROR(__xludf.DUMMYFUNCTION("""COMPUTED_VALUE"""),"")</f>
        <v/>
      </c>
      <c r="N354" s="36" t="str">
        <f ca="1">IFERROR(__xludf.DUMMYFUNCTION("""COMPUTED_VALUE"""),"")</f>
        <v/>
      </c>
      <c r="O354" s="36" t="str">
        <f ca="1">IFERROR(__xludf.DUMMYFUNCTION("""COMPUTED_VALUE"""),"")</f>
        <v/>
      </c>
      <c r="P354" s="36" t="str">
        <f ca="1">IFERROR(__xludf.DUMMYFUNCTION("""COMPUTED_VALUE"""),"")</f>
        <v/>
      </c>
      <c r="Q354" s="36" t="str">
        <f ca="1">IFERROR(__xludf.DUMMYFUNCTION("""COMPUTED_VALUE"""),"")</f>
        <v/>
      </c>
      <c r="R354" s="36" t="str">
        <f ca="1">IFERROR(__xludf.DUMMYFUNCTION("""COMPUTED_VALUE"""),"")</f>
        <v/>
      </c>
      <c r="S354" s="36" t="str">
        <f ca="1">IFERROR(__xludf.DUMMYFUNCTION("""COMPUTED_VALUE"""),"")</f>
        <v/>
      </c>
      <c r="T354" s="36" t="str">
        <f ca="1">IFERROR(__xludf.DUMMYFUNCTION("""COMPUTED_VALUE"""),"")</f>
        <v/>
      </c>
      <c r="U354" s="36" t="str">
        <f ca="1">IFERROR(__xludf.DUMMYFUNCTION("""COMPUTED_VALUE"""),"")</f>
        <v/>
      </c>
      <c r="V354" s="36" t="str">
        <f ca="1">IFERROR(__xludf.DUMMYFUNCTION("""COMPUTED_VALUE"""),"")</f>
        <v/>
      </c>
      <c r="W354" s="36" t="str">
        <f ca="1">IFERROR(__xludf.DUMMYFUNCTION("""COMPUTED_VALUE"""),"")</f>
        <v/>
      </c>
      <c r="X354" s="36"/>
      <c r="Y354" s="36"/>
      <c r="Z354" s="36"/>
    </row>
    <row r="355" spans="1:26" ht="12.75" hidden="1">
      <c r="A355" s="36" t="str">
        <f ca="1">IFERROR(__xludf.DUMMYFUNCTION("""COMPUTED_VALUE"""),"")</f>
        <v/>
      </c>
      <c r="B355" s="36" t="str">
        <f ca="1">IFERROR(__xludf.DUMMYFUNCTION("""COMPUTED_VALUE"""),"")</f>
        <v/>
      </c>
      <c r="C355" s="36" t="str">
        <f ca="1">IFERROR(__xludf.DUMMYFUNCTION("""COMPUTED_VALUE"""),"")</f>
        <v/>
      </c>
      <c r="D355" s="36" t="str">
        <f ca="1">IFERROR(__xludf.DUMMYFUNCTION("""COMPUTED_VALUE"""),"")</f>
        <v/>
      </c>
      <c r="E355" s="36" t="str">
        <f ca="1">IFERROR(__xludf.DUMMYFUNCTION("""COMPUTED_VALUE"""),"")</f>
        <v/>
      </c>
      <c r="F355" s="36" t="str">
        <f ca="1">IFERROR(__xludf.DUMMYFUNCTION("""COMPUTED_VALUE"""),"")</f>
        <v/>
      </c>
      <c r="G355" s="36" t="str">
        <f ca="1">IFERROR(__xludf.DUMMYFUNCTION("""COMPUTED_VALUE"""),"")</f>
        <v/>
      </c>
      <c r="H355" s="36" t="str">
        <f ca="1">IFERROR(__xludf.DUMMYFUNCTION("""COMPUTED_VALUE"""),"")</f>
        <v/>
      </c>
      <c r="I355" s="36" t="str">
        <f ca="1">IFERROR(__xludf.DUMMYFUNCTION("""COMPUTED_VALUE"""),"")</f>
        <v/>
      </c>
      <c r="J355" s="36" t="str">
        <f ca="1">IFERROR(__xludf.DUMMYFUNCTION("""COMPUTED_VALUE"""),"")</f>
        <v/>
      </c>
      <c r="K355" s="36" t="str">
        <f ca="1">IFERROR(__xludf.DUMMYFUNCTION("""COMPUTED_VALUE"""),"")</f>
        <v/>
      </c>
      <c r="L355" s="36" t="str">
        <f ca="1">IFERROR(__xludf.DUMMYFUNCTION("""COMPUTED_VALUE"""),"")</f>
        <v/>
      </c>
      <c r="M355" s="36" t="str">
        <f ca="1">IFERROR(__xludf.DUMMYFUNCTION("""COMPUTED_VALUE"""),"")</f>
        <v/>
      </c>
      <c r="N355" s="36" t="str">
        <f ca="1">IFERROR(__xludf.DUMMYFUNCTION("""COMPUTED_VALUE"""),"")</f>
        <v/>
      </c>
      <c r="O355" s="36" t="str">
        <f ca="1">IFERROR(__xludf.DUMMYFUNCTION("""COMPUTED_VALUE"""),"")</f>
        <v/>
      </c>
      <c r="P355" s="36" t="str">
        <f ca="1">IFERROR(__xludf.DUMMYFUNCTION("""COMPUTED_VALUE"""),"")</f>
        <v/>
      </c>
      <c r="Q355" s="36" t="str">
        <f ca="1">IFERROR(__xludf.DUMMYFUNCTION("""COMPUTED_VALUE"""),"")</f>
        <v/>
      </c>
      <c r="R355" s="36" t="str">
        <f ca="1">IFERROR(__xludf.DUMMYFUNCTION("""COMPUTED_VALUE"""),"")</f>
        <v/>
      </c>
      <c r="S355" s="36" t="str">
        <f ca="1">IFERROR(__xludf.DUMMYFUNCTION("""COMPUTED_VALUE"""),"")</f>
        <v/>
      </c>
      <c r="T355" s="36" t="str">
        <f ca="1">IFERROR(__xludf.DUMMYFUNCTION("""COMPUTED_VALUE"""),"")</f>
        <v/>
      </c>
      <c r="U355" s="36" t="str">
        <f ca="1">IFERROR(__xludf.DUMMYFUNCTION("""COMPUTED_VALUE"""),"")</f>
        <v/>
      </c>
      <c r="V355" s="36" t="str">
        <f ca="1">IFERROR(__xludf.DUMMYFUNCTION("""COMPUTED_VALUE"""),"")</f>
        <v/>
      </c>
      <c r="W355" s="36" t="str">
        <f ca="1">IFERROR(__xludf.DUMMYFUNCTION("""COMPUTED_VALUE"""),"")</f>
        <v/>
      </c>
      <c r="X355" s="36"/>
      <c r="Y355" s="36"/>
      <c r="Z355" s="36"/>
    </row>
    <row r="356" spans="1:26" ht="12.75" hidden="1">
      <c r="A356" s="36" t="str">
        <f ca="1">IFERROR(__xludf.DUMMYFUNCTION("""COMPUTED_VALUE"""),"")</f>
        <v/>
      </c>
      <c r="B356" s="36" t="str">
        <f ca="1">IFERROR(__xludf.DUMMYFUNCTION("""COMPUTED_VALUE"""),"")</f>
        <v/>
      </c>
      <c r="C356" s="36" t="str">
        <f ca="1">IFERROR(__xludf.DUMMYFUNCTION("""COMPUTED_VALUE"""),"")</f>
        <v/>
      </c>
      <c r="D356" s="36" t="str">
        <f ca="1">IFERROR(__xludf.DUMMYFUNCTION("""COMPUTED_VALUE"""),"")</f>
        <v/>
      </c>
      <c r="E356" s="36" t="str">
        <f ca="1">IFERROR(__xludf.DUMMYFUNCTION("""COMPUTED_VALUE"""),"")</f>
        <v/>
      </c>
      <c r="F356" s="36" t="str">
        <f ca="1">IFERROR(__xludf.DUMMYFUNCTION("""COMPUTED_VALUE"""),"")</f>
        <v/>
      </c>
      <c r="G356" s="36" t="str">
        <f ca="1">IFERROR(__xludf.DUMMYFUNCTION("""COMPUTED_VALUE"""),"")</f>
        <v/>
      </c>
      <c r="H356" s="36" t="str">
        <f ca="1">IFERROR(__xludf.DUMMYFUNCTION("""COMPUTED_VALUE"""),"")</f>
        <v/>
      </c>
      <c r="I356" s="36" t="str">
        <f ca="1">IFERROR(__xludf.DUMMYFUNCTION("""COMPUTED_VALUE"""),"")</f>
        <v/>
      </c>
      <c r="J356" s="36" t="str">
        <f ca="1">IFERROR(__xludf.DUMMYFUNCTION("""COMPUTED_VALUE"""),"")</f>
        <v/>
      </c>
      <c r="K356" s="36" t="str">
        <f ca="1">IFERROR(__xludf.DUMMYFUNCTION("""COMPUTED_VALUE"""),"")</f>
        <v/>
      </c>
      <c r="L356" s="36" t="str">
        <f ca="1">IFERROR(__xludf.DUMMYFUNCTION("""COMPUTED_VALUE"""),"")</f>
        <v/>
      </c>
      <c r="M356" s="36" t="str">
        <f ca="1">IFERROR(__xludf.DUMMYFUNCTION("""COMPUTED_VALUE"""),"")</f>
        <v/>
      </c>
      <c r="N356" s="36" t="str">
        <f ca="1">IFERROR(__xludf.DUMMYFUNCTION("""COMPUTED_VALUE"""),"")</f>
        <v/>
      </c>
      <c r="O356" s="36" t="str">
        <f ca="1">IFERROR(__xludf.DUMMYFUNCTION("""COMPUTED_VALUE"""),"")</f>
        <v/>
      </c>
      <c r="P356" s="36" t="str">
        <f ca="1">IFERROR(__xludf.DUMMYFUNCTION("""COMPUTED_VALUE"""),"")</f>
        <v/>
      </c>
      <c r="Q356" s="36" t="str">
        <f ca="1">IFERROR(__xludf.DUMMYFUNCTION("""COMPUTED_VALUE"""),"")</f>
        <v/>
      </c>
      <c r="R356" s="36" t="str">
        <f ca="1">IFERROR(__xludf.DUMMYFUNCTION("""COMPUTED_VALUE"""),"")</f>
        <v/>
      </c>
      <c r="S356" s="36" t="str">
        <f ca="1">IFERROR(__xludf.DUMMYFUNCTION("""COMPUTED_VALUE"""),"")</f>
        <v/>
      </c>
      <c r="T356" s="36" t="str">
        <f ca="1">IFERROR(__xludf.DUMMYFUNCTION("""COMPUTED_VALUE"""),"")</f>
        <v/>
      </c>
      <c r="U356" s="36" t="str">
        <f ca="1">IFERROR(__xludf.DUMMYFUNCTION("""COMPUTED_VALUE"""),"")</f>
        <v/>
      </c>
      <c r="V356" s="36" t="str">
        <f ca="1">IFERROR(__xludf.DUMMYFUNCTION("""COMPUTED_VALUE"""),"")</f>
        <v/>
      </c>
      <c r="W356" s="36" t="str">
        <f ca="1">IFERROR(__xludf.DUMMYFUNCTION("""COMPUTED_VALUE"""),"")</f>
        <v/>
      </c>
      <c r="X356" s="36"/>
      <c r="Y356" s="36"/>
      <c r="Z356" s="36"/>
    </row>
    <row r="357" spans="1:26" ht="12.75" hidden="1">
      <c r="A357" s="36" t="str">
        <f ca="1">IFERROR(__xludf.DUMMYFUNCTION("""COMPUTED_VALUE"""),"")</f>
        <v/>
      </c>
      <c r="B357" s="36" t="str">
        <f ca="1">IFERROR(__xludf.DUMMYFUNCTION("""COMPUTED_VALUE"""),"")</f>
        <v/>
      </c>
      <c r="C357" s="36" t="str">
        <f ca="1">IFERROR(__xludf.DUMMYFUNCTION("""COMPUTED_VALUE"""),"")</f>
        <v/>
      </c>
      <c r="D357" s="36" t="str">
        <f ca="1">IFERROR(__xludf.DUMMYFUNCTION("""COMPUTED_VALUE"""),"")</f>
        <v/>
      </c>
      <c r="E357" s="36" t="str">
        <f ca="1">IFERROR(__xludf.DUMMYFUNCTION("""COMPUTED_VALUE"""),"")</f>
        <v/>
      </c>
      <c r="F357" s="36" t="str">
        <f ca="1">IFERROR(__xludf.DUMMYFUNCTION("""COMPUTED_VALUE"""),"")</f>
        <v/>
      </c>
      <c r="G357" s="36" t="str">
        <f ca="1">IFERROR(__xludf.DUMMYFUNCTION("""COMPUTED_VALUE"""),"")</f>
        <v/>
      </c>
      <c r="H357" s="36" t="str">
        <f ca="1">IFERROR(__xludf.DUMMYFUNCTION("""COMPUTED_VALUE"""),"")</f>
        <v/>
      </c>
      <c r="I357" s="36" t="str">
        <f ca="1">IFERROR(__xludf.DUMMYFUNCTION("""COMPUTED_VALUE"""),"")</f>
        <v/>
      </c>
      <c r="J357" s="36" t="str">
        <f ca="1">IFERROR(__xludf.DUMMYFUNCTION("""COMPUTED_VALUE"""),"")</f>
        <v/>
      </c>
      <c r="K357" s="36" t="str">
        <f ca="1">IFERROR(__xludf.DUMMYFUNCTION("""COMPUTED_VALUE"""),"")</f>
        <v/>
      </c>
      <c r="L357" s="36" t="str">
        <f ca="1">IFERROR(__xludf.DUMMYFUNCTION("""COMPUTED_VALUE"""),"")</f>
        <v/>
      </c>
      <c r="M357" s="36" t="str">
        <f ca="1">IFERROR(__xludf.DUMMYFUNCTION("""COMPUTED_VALUE"""),"")</f>
        <v/>
      </c>
      <c r="N357" s="36" t="str">
        <f ca="1">IFERROR(__xludf.DUMMYFUNCTION("""COMPUTED_VALUE"""),"")</f>
        <v/>
      </c>
      <c r="O357" s="36" t="str">
        <f ca="1">IFERROR(__xludf.DUMMYFUNCTION("""COMPUTED_VALUE"""),"")</f>
        <v/>
      </c>
      <c r="P357" s="36" t="str">
        <f ca="1">IFERROR(__xludf.DUMMYFUNCTION("""COMPUTED_VALUE"""),"")</f>
        <v/>
      </c>
      <c r="Q357" s="36" t="str">
        <f ca="1">IFERROR(__xludf.DUMMYFUNCTION("""COMPUTED_VALUE"""),"")</f>
        <v/>
      </c>
      <c r="R357" s="36" t="str">
        <f ca="1">IFERROR(__xludf.DUMMYFUNCTION("""COMPUTED_VALUE"""),"")</f>
        <v/>
      </c>
      <c r="S357" s="36" t="str">
        <f ca="1">IFERROR(__xludf.DUMMYFUNCTION("""COMPUTED_VALUE"""),"")</f>
        <v/>
      </c>
      <c r="T357" s="36" t="str">
        <f ca="1">IFERROR(__xludf.DUMMYFUNCTION("""COMPUTED_VALUE"""),"")</f>
        <v/>
      </c>
      <c r="U357" s="36" t="str">
        <f ca="1">IFERROR(__xludf.DUMMYFUNCTION("""COMPUTED_VALUE"""),"")</f>
        <v/>
      </c>
      <c r="V357" s="36" t="str">
        <f ca="1">IFERROR(__xludf.DUMMYFUNCTION("""COMPUTED_VALUE"""),"")</f>
        <v/>
      </c>
      <c r="W357" s="36" t="str">
        <f ca="1">IFERROR(__xludf.DUMMYFUNCTION("""COMPUTED_VALUE"""),"")</f>
        <v/>
      </c>
      <c r="X357" s="36"/>
      <c r="Y357" s="36"/>
      <c r="Z357" s="36"/>
    </row>
    <row r="358" spans="1:26" ht="12.75" hidden="1">
      <c r="A358" s="36" t="str">
        <f ca="1">IFERROR(__xludf.DUMMYFUNCTION("""COMPUTED_VALUE"""),"")</f>
        <v/>
      </c>
      <c r="B358" s="36" t="str">
        <f ca="1">IFERROR(__xludf.DUMMYFUNCTION("""COMPUTED_VALUE"""),"")</f>
        <v/>
      </c>
      <c r="C358" s="36" t="str">
        <f ca="1">IFERROR(__xludf.DUMMYFUNCTION("""COMPUTED_VALUE"""),"")</f>
        <v/>
      </c>
      <c r="D358" s="36" t="str">
        <f ca="1">IFERROR(__xludf.DUMMYFUNCTION("""COMPUTED_VALUE"""),"")</f>
        <v/>
      </c>
      <c r="E358" s="36" t="str">
        <f ca="1">IFERROR(__xludf.DUMMYFUNCTION("""COMPUTED_VALUE"""),"")</f>
        <v/>
      </c>
      <c r="F358" s="36" t="str">
        <f ca="1">IFERROR(__xludf.DUMMYFUNCTION("""COMPUTED_VALUE"""),"")</f>
        <v/>
      </c>
      <c r="G358" s="36" t="str">
        <f ca="1">IFERROR(__xludf.DUMMYFUNCTION("""COMPUTED_VALUE"""),"")</f>
        <v/>
      </c>
      <c r="H358" s="36" t="str">
        <f ca="1">IFERROR(__xludf.DUMMYFUNCTION("""COMPUTED_VALUE"""),"")</f>
        <v/>
      </c>
      <c r="I358" s="36" t="str">
        <f ca="1">IFERROR(__xludf.DUMMYFUNCTION("""COMPUTED_VALUE"""),"")</f>
        <v/>
      </c>
      <c r="J358" s="36" t="str">
        <f ca="1">IFERROR(__xludf.DUMMYFUNCTION("""COMPUTED_VALUE"""),"")</f>
        <v/>
      </c>
      <c r="K358" s="36" t="str">
        <f ca="1">IFERROR(__xludf.DUMMYFUNCTION("""COMPUTED_VALUE"""),"")</f>
        <v/>
      </c>
      <c r="L358" s="36" t="str">
        <f ca="1">IFERROR(__xludf.DUMMYFUNCTION("""COMPUTED_VALUE"""),"")</f>
        <v/>
      </c>
      <c r="M358" s="36" t="str">
        <f ca="1">IFERROR(__xludf.DUMMYFUNCTION("""COMPUTED_VALUE"""),"")</f>
        <v/>
      </c>
      <c r="N358" s="36" t="str">
        <f ca="1">IFERROR(__xludf.DUMMYFUNCTION("""COMPUTED_VALUE"""),"")</f>
        <v/>
      </c>
      <c r="O358" s="36" t="str">
        <f ca="1">IFERROR(__xludf.DUMMYFUNCTION("""COMPUTED_VALUE"""),"")</f>
        <v/>
      </c>
      <c r="P358" s="36" t="str">
        <f ca="1">IFERROR(__xludf.DUMMYFUNCTION("""COMPUTED_VALUE"""),"")</f>
        <v/>
      </c>
      <c r="Q358" s="36" t="str">
        <f ca="1">IFERROR(__xludf.DUMMYFUNCTION("""COMPUTED_VALUE"""),"")</f>
        <v/>
      </c>
      <c r="R358" s="36" t="str">
        <f ca="1">IFERROR(__xludf.DUMMYFUNCTION("""COMPUTED_VALUE"""),"")</f>
        <v/>
      </c>
      <c r="S358" s="36" t="str">
        <f ca="1">IFERROR(__xludf.DUMMYFUNCTION("""COMPUTED_VALUE"""),"")</f>
        <v/>
      </c>
      <c r="T358" s="36" t="str">
        <f ca="1">IFERROR(__xludf.DUMMYFUNCTION("""COMPUTED_VALUE"""),"")</f>
        <v/>
      </c>
      <c r="U358" s="36" t="str">
        <f ca="1">IFERROR(__xludf.DUMMYFUNCTION("""COMPUTED_VALUE"""),"")</f>
        <v/>
      </c>
      <c r="V358" s="36" t="str">
        <f ca="1">IFERROR(__xludf.DUMMYFUNCTION("""COMPUTED_VALUE"""),"")</f>
        <v/>
      </c>
      <c r="W358" s="36" t="str">
        <f ca="1">IFERROR(__xludf.DUMMYFUNCTION("""COMPUTED_VALUE"""),"")</f>
        <v/>
      </c>
      <c r="X358" s="36"/>
      <c r="Y358" s="36"/>
      <c r="Z358" s="36"/>
    </row>
    <row r="359" spans="1:26" ht="12.75" hidden="1">
      <c r="A359" s="36" t="str">
        <f ca="1">IFERROR(__xludf.DUMMYFUNCTION("""COMPUTED_VALUE"""),"")</f>
        <v/>
      </c>
      <c r="B359" s="36" t="str">
        <f ca="1">IFERROR(__xludf.DUMMYFUNCTION("""COMPUTED_VALUE"""),"")</f>
        <v/>
      </c>
      <c r="C359" s="36" t="str">
        <f ca="1">IFERROR(__xludf.DUMMYFUNCTION("""COMPUTED_VALUE"""),"")</f>
        <v/>
      </c>
      <c r="D359" s="36" t="str">
        <f ca="1">IFERROR(__xludf.DUMMYFUNCTION("""COMPUTED_VALUE"""),"")</f>
        <v/>
      </c>
      <c r="E359" s="36" t="str">
        <f ca="1">IFERROR(__xludf.DUMMYFUNCTION("""COMPUTED_VALUE"""),"")</f>
        <v/>
      </c>
      <c r="F359" s="36" t="str">
        <f ca="1">IFERROR(__xludf.DUMMYFUNCTION("""COMPUTED_VALUE"""),"")</f>
        <v/>
      </c>
      <c r="G359" s="36" t="str">
        <f ca="1">IFERROR(__xludf.DUMMYFUNCTION("""COMPUTED_VALUE"""),"")</f>
        <v/>
      </c>
      <c r="H359" s="36" t="str">
        <f ca="1">IFERROR(__xludf.DUMMYFUNCTION("""COMPUTED_VALUE"""),"")</f>
        <v/>
      </c>
      <c r="I359" s="36" t="str">
        <f ca="1">IFERROR(__xludf.DUMMYFUNCTION("""COMPUTED_VALUE"""),"")</f>
        <v/>
      </c>
      <c r="J359" s="36" t="str">
        <f ca="1">IFERROR(__xludf.DUMMYFUNCTION("""COMPUTED_VALUE"""),"")</f>
        <v/>
      </c>
      <c r="K359" s="36" t="str">
        <f ca="1">IFERROR(__xludf.DUMMYFUNCTION("""COMPUTED_VALUE"""),"")</f>
        <v/>
      </c>
      <c r="L359" s="36" t="str">
        <f ca="1">IFERROR(__xludf.DUMMYFUNCTION("""COMPUTED_VALUE"""),"")</f>
        <v/>
      </c>
      <c r="M359" s="36" t="str">
        <f ca="1">IFERROR(__xludf.DUMMYFUNCTION("""COMPUTED_VALUE"""),"")</f>
        <v/>
      </c>
      <c r="N359" s="36" t="str">
        <f ca="1">IFERROR(__xludf.DUMMYFUNCTION("""COMPUTED_VALUE"""),"")</f>
        <v/>
      </c>
      <c r="O359" s="36" t="str">
        <f ca="1">IFERROR(__xludf.DUMMYFUNCTION("""COMPUTED_VALUE"""),"")</f>
        <v/>
      </c>
      <c r="P359" s="36" t="str">
        <f ca="1">IFERROR(__xludf.DUMMYFUNCTION("""COMPUTED_VALUE"""),"")</f>
        <v/>
      </c>
      <c r="Q359" s="36" t="str">
        <f ca="1">IFERROR(__xludf.DUMMYFUNCTION("""COMPUTED_VALUE"""),"")</f>
        <v/>
      </c>
      <c r="R359" s="36" t="str">
        <f ca="1">IFERROR(__xludf.DUMMYFUNCTION("""COMPUTED_VALUE"""),"")</f>
        <v/>
      </c>
      <c r="S359" s="36" t="str">
        <f ca="1">IFERROR(__xludf.DUMMYFUNCTION("""COMPUTED_VALUE"""),"")</f>
        <v/>
      </c>
      <c r="T359" s="36" t="str">
        <f ca="1">IFERROR(__xludf.DUMMYFUNCTION("""COMPUTED_VALUE"""),"")</f>
        <v/>
      </c>
      <c r="U359" s="36" t="str">
        <f ca="1">IFERROR(__xludf.DUMMYFUNCTION("""COMPUTED_VALUE"""),"")</f>
        <v/>
      </c>
      <c r="V359" s="36" t="str">
        <f ca="1">IFERROR(__xludf.DUMMYFUNCTION("""COMPUTED_VALUE"""),"")</f>
        <v/>
      </c>
      <c r="W359" s="36" t="str">
        <f ca="1">IFERROR(__xludf.DUMMYFUNCTION("""COMPUTED_VALUE"""),"")</f>
        <v/>
      </c>
      <c r="X359" s="36"/>
      <c r="Y359" s="36"/>
      <c r="Z359" s="36"/>
    </row>
    <row r="360" spans="1:26" ht="12.75" hidden="1">
      <c r="A360" s="36" t="str">
        <f ca="1">IFERROR(__xludf.DUMMYFUNCTION("""COMPUTED_VALUE"""),"")</f>
        <v/>
      </c>
      <c r="B360" s="36" t="str">
        <f ca="1">IFERROR(__xludf.DUMMYFUNCTION("""COMPUTED_VALUE"""),"")</f>
        <v/>
      </c>
      <c r="C360" s="36" t="str">
        <f ca="1">IFERROR(__xludf.DUMMYFUNCTION("""COMPUTED_VALUE"""),"")</f>
        <v/>
      </c>
      <c r="D360" s="36" t="str">
        <f ca="1">IFERROR(__xludf.DUMMYFUNCTION("""COMPUTED_VALUE"""),"")</f>
        <v/>
      </c>
      <c r="E360" s="36" t="str">
        <f ca="1">IFERROR(__xludf.DUMMYFUNCTION("""COMPUTED_VALUE"""),"")</f>
        <v/>
      </c>
      <c r="F360" s="36" t="str">
        <f ca="1">IFERROR(__xludf.DUMMYFUNCTION("""COMPUTED_VALUE"""),"")</f>
        <v/>
      </c>
      <c r="G360" s="36" t="str">
        <f ca="1">IFERROR(__xludf.DUMMYFUNCTION("""COMPUTED_VALUE"""),"")</f>
        <v/>
      </c>
      <c r="H360" s="36" t="str">
        <f ca="1">IFERROR(__xludf.DUMMYFUNCTION("""COMPUTED_VALUE"""),"")</f>
        <v/>
      </c>
      <c r="I360" s="36" t="str">
        <f ca="1">IFERROR(__xludf.DUMMYFUNCTION("""COMPUTED_VALUE"""),"")</f>
        <v/>
      </c>
      <c r="J360" s="36" t="str">
        <f ca="1">IFERROR(__xludf.DUMMYFUNCTION("""COMPUTED_VALUE"""),"")</f>
        <v/>
      </c>
      <c r="K360" s="36" t="str">
        <f ca="1">IFERROR(__xludf.DUMMYFUNCTION("""COMPUTED_VALUE"""),"")</f>
        <v/>
      </c>
      <c r="L360" s="36" t="str">
        <f ca="1">IFERROR(__xludf.DUMMYFUNCTION("""COMPUTED_VALUE"""),"")</f>
        <v/>
      </c>
      <c r="M360" s="36" t="str">
        <f ca="1">IFERROR(__xludf.DUMMYFUNCTION("""COMPUTED_VALUE"""),"")</f>
        <v/>
      </c>
      <c r="N360" s="36" t="str">
        <f ca="1">IFERROR(__xludf.DUMMYFUNCTION("""COMPUTED_VALUE"""),"")</f>
        <v/>
      </c>
      <c r="O360" s="36" t="str">
        <f ca="1">IFERROR(__xludf.DUMMYFUNCTION("""COMPUTED_VALUE"""),"")</f>
        <v/>
      </c>
      <c r="P360" s="36" t="str">
        <f ca="1">IFERROR(__xludf.DUMMYFUNCTION("""COMPUTED_VALUE"""),"")</f>
        <v/>
      </c>
      <c r="Q360" s="36" t="str">
        <f ca="1">IFERROR(__xludf.DUMMYFUNCTION("""COMPUTED_VALUE"""),"")</f>
        <v/>
      </c>
      <c r="R360" s="36" t="str">
        <f ca="1">IFERROR(__xludf.DUMMYFUNCTION("""COMPUTED_VALUE"""),"")</f>
        <v/>
      </c>
      <c r="S360" s="36" t="str">
        <f ca="1">IFERROR(__xludf.DUMMYFUNCTION("""COMPUTED_VALUE"""),"")</f>
        <v/>
      </c>
      <c r="T360" s="36" t="str">
        <f ca="1">IFERROR(__xludf.DUMMYFUNCTION("""COMPUTED_VALUE"""),"")</f>
        <v/>
      </c>
      <c r="U360" s="36" t="str">
        <f ca="1">IFERROR(__xludf.DUMMYFUNCTION("""COMPUTED_VALUE"""),"")</f>
        <v/>
      </c>
      <c r="V360" s="36" t="str">
        <f ca="1">IFERROR(__xludf.DUMMYFUNCTION("""COMPUTED_VALUE"""),"")</f>
        <v/>
      </c>
      <c r="W360" s="36" t="str">
        <f ca="1">IFERROR(__xludf.DUMMYFUNCTION("""COMPUTED_VALUE"""),"")</f>
        <v/>
      </c>
      <c r="X360" s="36"/>
      <c r="Y360" s="36"/>
      <c r="Z360" s="36"/>
    </row>
    <row r="361" spans="1:26" ht="12.75" hidden="1">
      <c r="A361" s="36" t="str">
        <f ca="1">IFERROR(__xludf.DUMMYFUNCTION("""COMPUTED_VALUE"""),"")</f>
        <v/>
      </c>
      <c r="B361" s="36" t="str">
        <f ca="1">IFERROR(__xludf.DUMMYFUNCTION("""COMPUTED_VALUE"""),"")</f>
        <v/>
      </c>
      <c r="C361" s="36" t="str">
        <f ca="1">IFERROR(__xludf.DUMMYFUNCTION("""COMPUTED_VALUE"""),"")</f>
        <v/>
      </c>
      <c r="D361" s="36" t="str">
        <f ca="1">IFERROR(__xludf.DUMMYFUNCTION("""COMPUTED_VALUE"""),"")</f>
        <v/>
      </c>
      <c r="E361" s="36" t="str">
        <f ca="1">IFERROR(__xludf.DUMMYFUNCTION("""COMPUTED_VALUE"""),"")</f>
        <v/>
      </c>
      <c r="F361" s="36" t="str">
        <f ca="1">IFERROR(__xludf.DUMMYFUNCTION("""COMPUTED_VALUE"""),"")</f>
        <v/>
      </c>
      <c r="G361" s="36" t="str">
        <f ca="1">IFERROR(__xludf.DUMMYFUNCTION("""COMPUTED_VALUE"""),"")</f>
        <v/>
      </c>
      <c r="H361" s="36" t="str">
        <f ca="1">IFERROR(__xludf.DUMMYFUNCTION("""COMPUTED_VALUE"""),"")</f>
        <v/>
      </c>
      <c r="I361" s="36" t="str">
        <f ca="1">IFERROR(__xludf.DUMMYFUNCTION("""COMPUTED_VALUE"""),"")</f>
        <v/>
      </c>
      <c r="J361" s="36" t="str">
        <f ca="1">IFERROR(__xludf.DUMMYFUNCTION("""COMPUTED_VALUE"""),"")</f>
        <v/>
      </c>
      <c r="K361" s="36" t="str">
        <f ca="1">IFERROR(__xludf.DUMMYFUNCTION("""COMPUTED_VALUE"""),"")</f>
        <v/>
      </c>
      <c r="L361" s="36" t="str">
        <f ca="1">IFERROR(__xludf.DUMMYFUNCTION("""COMPUTED_VALUE"""),"")</f>
        <v/>
      </c>
      <c r="M361" s="36" t="str">
        <f ca="1">IFERROR(__xludf.DUMMYFUNCTION("""COMPUTED_VALUE"""),"")</f>
        <v/>
      </c>
      <c r="N361" s="36" t="str">
        <f ca="1">IFERROR(__xludf.DUMMYFUNCTION("""COMPUTED_VALUE"""),"")</f>
        <v/>
      </c>
      <c r="O361" s="36" t="str">
        <f ca="1">IFERROR(__xludf.DUMMYFUNCTION("""COMPUTED_VALUE"""),"")</f>
        <v/>
      </c>
      <c r="P361" s="36" t="str">
        <f ca="1">IFERROR(__xludf.DUMMYFUNCTION("""COMPUTED_VALUE"""),"")</f>
        <v/>
      </c>
      <c r="Q361" s="36" t="str">
        <f ca="1">IFERROR(__xludf.DUMMYFUNCTION("""COMPUTED_VALUE"""),"")</f>
        <v/>
      </c>
      <c r="R361" s="36" t="str">
        <f ca="1">IFERROR(__xludf.DUMMYFUNCTION("""COMPUTED_VALUE"""),"")</f>
        <v/>
      </c>
      <c r="S361" s="36" t="str">
        <f ca="1">IFERROR(__xludf.DUMMYFUNCTION("""COMPUTED_VALUE"""),"")</f>
        <v/>
      </c>
      <c r="T361" s="36" t="str">
        <f ca="1">IFERROR(__xludf.DUMMYFUNCTION("""COMPUTED_VALUE"""),"")</f>
        <v/>
      </c>
      <c r="U361" s="36" t="str">
        <f ca="1">IFERROR(__xludf.DUMMYFUNCTION("""COMPUTED_VALUE"""),"")</f>
        <v/>
      </c>
      <c r="V361" s="36" t="str">
        <f ca="1">IFERROR(__xludf.DUMMYFUNCTION("""COMPUTED_VALUE"""),"")</f>
        <v/>
      </c>
      <c r="W361" s="36" t="str">
        <f ca="1">IFERROR(__xludf.DUMMYFUNCTION("""COMPUTED_VALUE"""),"")</f>
        <v/>
      </c>
      <c r="X361" s="36"/>
      <c r="Y361" s="36"/>
      <c r="Z361" s="36"/>
    </row>
    <row r="362" spans="1:26" ht="12.75" hidden="1">
      <c r="A362" s="36" t="str">
        <f ca="1">IFERROR(__xludf.DUMMYFUNCTION("""COMPUTED_VALUE"""),"")</f>
        <v/>
      </c>
      <c r="B362" s="36" t="str">
        <f ca="1">IFERROR(__xludf.DUMMYFUNCTION("""COMPUTED_VALUE"""),"")</f>
        <v/>
      </c>
      <c r="C362" s="36" t="str">
        <f ca="1">IFERROR(__xludf.DUMMYFUNCTION("""COMPUTED_VALUE"""),"")</f>
        <v/>
      </c>
      <c r="D362" s="36" t="str">
        <f ca="1">IFERROR(__xludf.DUMMYFUNCTION("""COMPUTED_VALUE"""),"")</f>
        <v/>
      </c>
      <c r="E362" s="36" t="str">
        <f ca="1">IFERROR(__xludf.DUMMYFUNCTION("""COMPUTED_VALUE"""),"")</f>
        <v/>
      </c>
      <c r="F362" s="36" t="str">
        <f ca="1">IFERROR(__xludf.DUMMYFUNCTION("""COMPUTED_VALUE"""),"")</f>
        <v/>
      </c>
      <c r="G362" s="36" t="str">
        <f ca="1">IFERROR(__xludf.DUMMYFUNCTION("""COMPUTED_VALUE"""),"")</f>
        <v/>
      </c>
      <c r="H362" s="36" t="str">
        <f ca="1">IFERROR(__xludf.DUMMYFUNCTION("""COMPUTED_VALUE"""),"")</f>
        <v/>
      </c>
      <c r="I362" s="36" t="str">
        <f ca="1">IFERROR(__xludf.DUMMYFUNCTION("""COMPUTED_VALUE"""),"")</f>
        <v/>
      </c>
      <c r="J362" s="36" t="str">
        <f ca="1">IFERROR(__xludf.DUMMYFUNCTION("""COMPUTED_VALUE"""),"")</f>
        <v/>
      </c>
      <c r="K362" s="36" t="str">
        <f ca="1">IFERROR(__xludf.DUMMYFUNCTION("""COMPUTED_VALUE"""),"")</f>
        <v/>
      </c>
      <c r="L362" s="36" t="str">
        <f ca="1">IFERROR(__xludf.DUMMYFUNCTION("""COMPUTED_VALUE"""),"")</f>
        <v/>
      </c>
      <c r="M362" s="36" t="str">
        <f ca="1">IFERROR(__xludf.DUMMYFUNCTION("""COMPUTED_VALUE"""),"")</f>
        <v/>
      </c>
      <c r="N362" s="36" t="str">
        <f ca="1">IFERROR(__xludf.DUMMYFUNCTION("""COMPUTED_VALUE"""),"")</f>
        <v/>
      </c>
      <c r="O362" s="36" t="str">
        <f ca="1">IFERROR(__xludf.DUMMYFUNCTION("""COMPUTED_VALUE"""),"")</f>
        <v/>
      </c>
      <c r="P362" s="36" t="str">
        <f ca="1">IFERROR(__xludf.DUMMYFUNCTION("""COMPUTED_VALUE"""),"")</f>
        <v/>
      </c>
      <c r="Q362" s="36" t="str">
        <f ca="1">IFERROR(__xludf.DUMMYFUNCTION("""COMPUTED_VALUE"""),"")</f>
        <v/>
      </c>
      <c r="R362" s="36" t="str">
        <f ca="1">IFERROR(__xludf.DUMMYFUNCTION("""COMPUTED_VALUE"""),"")</f>
        <v/>
      </c>
      <c r="S362" s="36" t="str">
        <f ca="1">IFERROR(__xludf.DUMMYFUNCTION("""COMPUTED_VALUE"""),"")</f>
        <v/>
      </c>
      <c r="T362" s="36" t="str">
        <f ca="1">IFERROR(__xludf.DUMMYFUNCTION("""COMPUTED_VALUE"""),"")</f>
        <v/>
      </c>
      <c r="U362" s="36" t="str">
        <f ca="1">IFERROR(__xludf.DUMMYFUNCTION("""COMPUTED_VALUE"""),"")</f>
        <v/>
      </c>
      <c r="V362" s="36" t="str">
        <f ca="1">IFERROR(__xludf.DUMMYFUNCTION("""COMPUTED_VALUE"""),"")</f>
        <v/>
      </c>
      <c r="W362" s="36" t="str">
        <f ca="1">IFERROR(__xludf.DUMMYFUNCTION("""COMPUTED_VALUE"""),"")</f>
        <v/>
      </c>
      <c r="X362" s="36"/>
      <c r="Y362" s="36"/>
      <c r="Z362" s="36"/>
    </row>
    <row r="363" spans="1:26" ht="12.75" hidden="1">
      <c r="A363" s="36" t="str">
        <f ca="1">IFERROR(__xludf.DUMMYFUNCTION("""COMPUTED_VALUE"""),"")</f>
        <v/>
      </c>
      <c r="B363" s="36" t="str">
        <f ca="1">IFERROR(__xludf.DUMMYFUNCTION("""COMPUTED_VALUE"""),"")</f>
        <v/>
      </c>
      <c r="C363" s="36" t="str">
        <f ca="1">IFERROR(__xludf.DUMMYFUNCTION("""COMPUTED_VALUE"""),"")</f>
        <v/>
      </c>
      <c r="D363" s="36" t="str">
        <f ca="1">IFERROR(__xludf.DUMMYFUNCTION("""COMPUTED_VALUE"""),"")</f>
        <v/>
      </c>
      <c r="E363" s="36" t="str">
        <f ca="1">IFERROR(__xludf.DUMMYFUNCTION("""COMPUTED_VALUE"""),"")</f>
        <v/>
      </c>
      <c r="F363" s="36" t="str">
        <f ca="1">IFERROR(__xludf.DUMMYFUNCTION("""COMPUTED_VALUE"""),"")</f>
        <v/>
      </c>
      <c r="G363" s="36" t="str">
        <f ca="1">IFERROR(__xludf.DUMMYFUNCTION("""COMPUTED_VALUE"""),"")</f>
        <v/>
      </c>
      <c r="H363" s="36" t="str">
        <f ca="1">IFERROR(__xludf.DUMMYFUNCTION("""COMPUTED_VALUE"""),"")</f>
        <v/>
      </c>
      <c r="I363" s="36" t="str">
        <f ca="1">IFERROR(__xludf.DUMMYFUNCTION("""COMPUTED_VALUE"""),"")</f>
        <v/>
      </c>
      <c r="J363" s="36" t="str">
        <f ca="1">IFERROR(__xludf.DUMMYFUNCTION("""COMPUTED_VALUE"""),"")</f>
        <v/>
      </c>
      <c r="K363" s="36" t="str">
        <f ca="1">IFERROR(__xludf.DUMMYFUNCTION("""COMPUTED_VALUE"""),"")</f>
        <v/>
      </c>
      <c r="L363" s="36" t="str">
        <f ca="1">IFERROR(__xludf.DUMMYFUNCTION("""COMPUTED_VALUE"""),"")</f>
        <v/>
      </c>
      <c r="M363" s="36" t="str">
        <f ca="1">IFERROR(__xludf.DUMMYFUNCTION("""COMPUTED_VALUE"""),"")</f>
        <v/>
      </c>
      <c r="N363" s="36" t="str">
        <f ca="1">IFERROR(__xludf.DUMMYFUNCTION("""COMPUTED_VALUE"""),"")</f>
        <v/>
      </c>
      <c r="O363" s="36" t="str">
        <f ca="1">IFERROR(__xludf.DUMMYFUNCTION("""COMPUTED_VALUE"""),"")</f>
        <v/>
      </c>
      <c r="P363" s="36" t="str">
        <f ca="1">IFERROR(__xludf.DUMMYFUNCTION("""COMPUTED_VALUE"""),"")</f>
        <v/>
      </c>
      <c r="Q363" s="36" t="str">
        <f ca="1">IFERROR(__xludf.DUMMYFUNCTION("""COMPUTED_VALUE"""),"")</f>
        <v/>
      </c>
      <c r="R363" s="36" t="str">
        <f ca="1">IFERROR(__xludf.DUMMYFUNCTION("""COMPUTED_VALUE"""),"")</f>
        <v/>
      </c>
      <c r="S363" s="36" t="str">
        <f ca="1">IFERROR(__xludf.DUMMYFUNCTION("""COMPUTED_VALUE"""),"")</f>
        <v/>
      </c>
      <c r="T363" s="36" t="str">
        <f ca="1">IFERROR(__xludf.DUMMYFUNCTION("""COMPUTED_VALUE"""),"")</f>
        <v/>
      </c>
      <c r="U363" s="36" t="str">
        <f ca="1">IFERROR(__xludf.DUMMYFUNCTION("""COMPUTED_VALUE"""),"")</f>
        <v/>
      </c>
      <c r="V363" s="36" t="str">
        <f ca="1">IFERROR(__xludf.DUMMYFUNCTION("""COMPUTED_VALUE"""),"")</f>
        <v/>
      </c>
      <c r="W363" s="36" t="str">
        <f ca="1">IFERROR(__xludf.DUMMYFUNCTION("""COMPUTED_VALUE"""),"")</f>
        <v/>
      </c>
      <c r="X363" s="36"/>
      <c r="Y363" s="36"/>
      <c r="Z363" s="36"/>
    </row>
    <row r="364" spans="1:26" ht="12.75" hidden="1">
      <c r="A364" s="36" t="str">
        <f ca="1">IFERROR(__xludf.DUMMYFUNCTION("""COMPUTED_VALUE"""),"")</f>
        <v/>
      </c>
      <c r="B364" s="36" t="str">
        <f ca="1">IFERROR(__xludf.DUMMYFUNCTION("""COMPUTED_VALUE"""),"")</f>
        <v/>
      </c>
      <c r="C364" s="36" t="str">
        <f ca="1">IFERROR(__xludf.DUMMYFUNCTION("""COMPUTED_VALUE"""),"")</f>
        <v/>
      </c>
      <c r="D364" s="36" t="str">
        <f ca="1">IFERROR(__xludf.DUMMYFUNCTION("""COMPUTED_VALUE"""),"")</f>
        <v/>
      </c>
      <c r="E364" s="36" t="str">
        <f ca="1">IFERROR(__xludf.DUMMYFUNCTION("""COMPUTED_VALUE"""),"")</f>
        <v/>
      </c>
      <c r="F364" s="36" t="str">
        <f ca="1">IFERROR(__xludf.DUMMYFUNCTION("""COMPUTED_VALUE"""),"")</f>
        <v/>
      </c>
      <c r="G364" s="36" t="str">
        <f ca="1">IFERROR(__xludf.DUMMYFUNCTION("""COMPUTED_VALUE"""),"")</f>
        <v/>
      </c>
      <c r="H364" s="36" t="str">
        <f ca="1">IFERROR(__xludf.DUMMYFUNCTION("""COMPUTED_VALUE"""),"")</f>
        <v/>
      </c>
      <c r="I364" s="36" t="str">
        <f ca="1">IFERROR(__xludf.DUMMYFUNCTION("""COMPUTED_VALUE"""),"")</f>
        <v/>
      </c>
      <c r="J364" s="36" t="str">
        <f ca="1">IFERROR(__xludf.DUMMYFUNCTION("""COMPUTED_VALUE"""),"")</f>
        <v/>
      </c>
      <c r="K364" s="36" t="str">
        <f ca="1">IFERROR(__xludf.DUMMYFUNCTION("""COMPUTED_VALUE"""),"")</f>
        <v/>
      </c>
      <c r="L364" s="36" t="str">
        <f ca="1">IFERROR(__xludf.DUMMYFUNCTION("""COMPUTED_VALUE"""),"")</f>
        <v/>
      </c>
      <c r="M364" s="36" t="str">
        <f ca="1">IFERROR(__xludf.DUMMYFUNCTION("""COMPUTED_VALUE"""),"")</f>
        <v/>
      </c>
      <c r="N364" s="36" t="str">
        <f ca="1">IFERROR(__xludf.DUMMYFUNCTION("""COMPUTED_VALUE"""),"")</f>
        <v/>
      </c>
      <c r="O364" s="36" t="str">
        <f ca="1">IFERROR(__xludf.DUMMYFUNCTION("""COMPUTED_VALUE"""),"")</f>
        <v/>
      </c>
      <c r="P364" s="36" t="str">
        <f ca="1">IFERROR(__xludf.DUMMYFUNCTION("""COMPUTED_VALUE"""),"")</f>
        <v/>
      </c>
      <c r="Q364" s="36" t="str">
        <f ca="1">IFERROR(__xludf.DUMMYFUNCTION("""COMPUTED_VALUE"""),"")</f>
        <v/>
      </c>
      <c r="R364" s="36" t="str">
        <f ca="1">IFERROR(__xludf.DUMMYFUNCTION("""COMPUTED_VALUE"""),"")</f>
        <v/>
      </c>
      <c r="S364" s="36" t="str">
        <f ca="1">IFERROR(__xludf.DUMMYFUNCTION("""COMPUTED_VALUE"""),"")</f>
        <v/>
      </c>
      <c r="T364" s="36" t="str">
        <f ca="1">IFERROR(__xludf.DUMMYFUNCTION("""COMPUTED_VALUE"""),"")</f>
        <v/>
      </c>
      <c r="U364" s="36" t="str">
        <f ca="1">IFERROR(__xludf.DUMMYFUNCTION("""COMPUTED_VALUE"""),"")</f>
        <v/>
      </c>
      <c r="V364" s="36" t="str">
        <f ca="1">IFERROR(__xludf.DUMMYFUNCTION("""COMPUTED_VALUE"""),"")</f>
        <v/>
      </c>
      <c r="W364" s="36" t="str">
        <f ca="1">IFERROR(__xludf.DUMMYFUNCTION("""COMPUTED_VALUE"""),"")</f>
        <v/>
      </c>
      <c r="X364" s="36"/>
      <c r="Y364" s="36"/>
      <c r="Z364" s="36"/>
    </row>
    <row r="365" spans="1:26" ht="12.75" hidden="1">
      <c r="A365" s="36" t="str">
        <f ca="1">IFERROR(__xludf.DUMMYFUNCTION("""COMPUTED_VALUE"""),"")</f>
        <v/>
      </c>
      <c r="B365" s="36" t="str">
        <f ca="1">IFERROR(__xludf.DUMMYFUNCTION("""COMPUTED_VALUE"""),"")</f>
        <v/>
      </c>
      <c r="C365" s="36" t="str">
        <f ca="1">IFERROR(__xludf.DUMMYFUNCTION("""COMPUTED_VALUE"""),"")</f>
        <v/>
      </c>
      <c r="D365" s="36" t="str">
        <f ca="1">IFERROR(__xludf.DUMMYFUNCTION("""COMPUTED_VALUE"""),"")</f>
        <v/>
      </c>
      <c r="E365" s="36" t="str">
        <f ca="1">IFERROR(__xludf.DUMMYFUNCTION("""COMPUTED_VALUE"""),"")</f>
        <v/>
      </c>
      <c r="F365" s="36" t="str">
        <f ca="1">IFERROR(__xludf.DUMMYFUNCTION("""COMPUTED_VALUE"""),"")</f>
        <v/>
      </c>
      <c r="G365" s="36" t="str">
        <f ca="1">IFERROR(__xludf.DUMMYFUNCTION("""COMPUTED_VALUE"""),"")</f>
        <v/>
      </c>
      <c r="H365" s="36" t="str">
        <f ca="1">IFERROR(__xludf.DUMMYFUNCTION("""COMPUTED_VALUE"""),"")</f>
        <v/>
      </c>
      <c r="I365" s="36" t="str">
        <f ca="1">IFERROR(__xludf.DUMMYFUNCTION("""COMPUTED_VALUE"""),"")</f>
        <v/>
      </c>
      <c r="J365" s="36" t="str">
        <f ca="1">IFERROR(__xludf.DUMMYFUNCTION("""COMPUTED_VALUE"""),"")</f>
        <v/>
      </c>
      <c r="K365" s="36" t="str">
        <f ca="1">IFERROR(__xludf.DUMMYFUNCTION("""COMPUTED_VALUE"""),"")</f>
        <v/>
      </c>
      <c r="L365" s="36" t="str">
        <f ca="1">IFERROR(__xludf.DUMMYFUNCTION("""COMPUTED_VALUE"""),"")</f>
        <v/>
      </c>
      <c r="M365" s="36" t="str">
        <f ca="1">IFERROR(__xludf.DUMMYFUNCTION("""COMPUTED_VALUE"""),"")</f>
        <v/>
      </c>
      <c r="N365" s="36" t="str">
        <f ca="1">IFERROR(__xludf.DUMMYFUNCTION("""COMPUTED_VALUE"""),"")</f>
        <v/>
      </c>
      <c r="O365" s="36" t="str">
        <f ca="1">IFERROR(__xludf.DUMMYFUNCTION("""COMPUTED_VALUE"""),"")</f>
        <v/>
      </c>
      <c r="P365" s="36" t="str">
        <f ca="1">IFERROR(__xludf.DUMMYFUNCTION("""COMPUTED_VALUE"""),"")</f>
        <v/>
      </c>
      <c r="Q365" s="36" t="str">
        <f ca="1">IFERROR(__xludf.DUMMYFUNCTION("""COMPUTED_VALUE"""),"")</f>
        <v/>
      </c>
      <c r="R365" s="36" t="str">
        <f ca="1">IFERROR(__xludf.DUMMYFUNCTION("""COMPUTED_VALUE"""),"")</f>
        <v/>
      </c>
      <c r="S365" s="36" t="str">
        <f ca="1">IFERROR(__xludf.DUMMYFUNCTION("""COMPUTED_VALUE"""),"")</f>
        <v/>
      </c>
      <c r="T365" s="36" t="str">
        <f ca="1">IFERROR(__xludf.DUMMYFUNCTION("""COMPUTED_VALUE"""),"")</f>
        <v/>
      </c>
      <c r="U365" s="36" t="str">
        <f ca="1">IFERROR(__xludf.DUMMYFUNCTION("""COMPUTED_VALUE"""),"")</f>
        <v/>
      </c>
      <c r="V365" s="36" t="str">
        <f ca="1">IFERROR(__xludf.DUMMYFUNCTION("""COMPUTED_VALUE"""),"")</f>
        <v/>
      </c>
      <c r="W365" s="36" t="str">
        <f ca="1">IFERROR(__xludf.DUMMYFUNCTION("""COMPUTED_VALUE"""),"")</f>
        <v/>
      </c>
      <c r="X365" s="36"/>
      <c r="Y365" s="36"/>
      <c r="Z365" s="36"/>
    </row>
    <row r="366" spans="1:26" ht="12.75" hidden="1">
      <c r="A366" s="36" t="str">
        <f ca="1">IFERROR(__xludf.DUMMYFUNCTION("""COMPUTED_VALUE"""),"")</f>
        <v/>
      </c>
      <c r="B366" s="36" t="str">
        <f ca="1">IFERROR(__xludf.DUMMYFUNCTION("""COMPUTED_VALUE"""),"")</f>
        <v/>
      </c>
      <c r="C366" s="36" t="str">
        <f ca="1">IFERROR(__xludf.DUMMYFUNCTION("""COMPUTED_VALUE"""),"")</f>
        <v/>
      </c>
      <c r="D366" s="36" t="str">
        <f ca="1">IFERROR(__xludf.DUMMYFUNCTION("""COMPUTED_VALUE"""),"")</f>
        <v/>
      </c>
      <c r="E366" s="36" t="str">
        <f ca="1">IFERROR(__xludf.DUMMYFUNCTION("""COMPUTED_VALUE"""),"")</f>
        <v/>
      </c>
      <c r="F366" s="36" t="str">
        <f ca="1">IFERROR(__xludf.DUMMYFUNCTION("""COMPUTED_VALUE"""),"")</f>
        <v/>
      </c>
      <c r="G366" s="36" t="str">
        <f ca="1">IFERROR(__xludf.DUMMYFUNCTION("""COMPUTED_VALUE"""),"")</f>
        <v/>
      </c>
      <c r="H366" s="36" t="str">
        <f ca="1">IFERROR(__xludf.DUMMYFUNCTION("""COMPUTED_VALUE"""),"")</f>
        <v/>
      </c>
      <c r="I366" s="36" t="str">
        <f ca="1">IFERROR(__xludf.DUMMYFUNCTION("""COMPUTED_VALUE"""),"")</f>
        <v/>
      </c>
      <c r="J366" s="36" t="str">
        <f ca="1">IFERROR(__xludf.DUMMYFUNCTION("""COMPUTED_VALUE"""),"")</f>
        <v/>
      </c>
      <c r="K366" s="36" t="str">
        <f ca="1">IFERROR(__xludf.DUMMYFUNCTION("""COMPUTED_VALUE"""),"")</f>
        <v/>
      </c>
      <c r="L366" s="36" t="str">
        <f ca="1">IFERROR(__xludf.DUMMYFUNCTION("""COMPUTED_VALUE"""),"")</f>
        <v/>
      </c>
      <c r="M366" s="36" t="str">
        <f ca="1">IFERROR(__xludf.DUMMYFUNCTION("""COMPUTED_VALUE"""),"")</f>
        <v/>
      </c>
      <c r="N366" s="36" t="str">
        <f ca="1">IFERROR(__xludf.DUMMYFUNCTION("""COMPUTED_VALUE"""),"")</f>
        <v/>
      </c>
      <c r="O366" s="36" t="str">
        <f ca="1">IFERROR(__xludf.DUMMYFUNCTION("""COMPUTED_VALUE"""),"")</f>
        <v/>
      </c>
      <c r="P366" s="36" t="str">
        <f ca="1">IFERROR(__xludf.DUMMYFUNCTION("""COMPUTED_VALUE"""),"")</f>
        <v/>
      </c>
      <c r="Q366" s="36" t="str">
        <f ca="1">IFERROR(__xludf.DUMMYFUNCTION("""COMPUTED_VALUE"""),"")</f>
        <v/>
      </c>
      <c r="R366" s="36" t="str">
        <f ca="1">IFERROR(__xludf.DUMMYFUNCTION("""COMPUTED_VALUE"""),"")</f>
        <v/>
      </c>
      <c r="S366" s="36" t="str">
        <f ca="1">IFERROR(__xludf.DUMMYFUNCTION("""COMPUTED_VALUE"""),"")</f>
        <v/>
      </c>
      <c r="T366" s="36" t="str">
        <f ca="1">IFERROR(__xludf.DUMMYFUNCTION("""COMPUTED_VALUE"""),"")</f>
        <v/>
      </c>
      <c r="U366" s="36" t="str">
        <f ca="1">IFERROR(__xludf.DUMMYFUNCTION("""COMPUTED_VALUE"""),"")</f>
        <v/>
      </c>
      <c r="V366" s="36" t="str">
        <f ca="1">IFERROR(__xludf.DUMMYFUNCTION("""COMPUTED_VALUE"""),"")</f>
        <v/>
      </c>
      <c r="W366" s="36" t="str">
        <f ca="1">IFERROR(__xludf.DUMMYFUNCTION("""COMPUTED_VALUE"""),"")</f>
        <v/>
      </c>
      <c r="X366" s="36"/>
      <c r="Y366" s="36"/>
      <c r="Z366" s="36"/>
    </row>
    <row r="367" spans="1:26" ht="12.75" hidden="1">
      <c r="A367" s="36" t="str">
        <f ca="1">IFERROR(__xludf.DUMMYFUNCTION("""COMPUTED_VALUE"""),"")</f>
        <v/>
      </c>
      <c r="B367" s="36" t="str">
        <f ca="1">IFERROR(__xludf.DUMMYFUNCTION("""COMPUTED_VALUE"""),"")</f>
        <v/>
      </c>
      <c r="C367" s="36" t="str">
        <f ca="1">IFERROR(__xludf.DUMMYFUNCTION("""COMPUTED_VALUE"""),"")</f>
        <v/>
      </c>
      <c r="D367" s="36" t="str">
        <f ca="1">IFERROR(__xludf.DUMMYFUNCTION("""COMPUTED_VALUE"""),"")</f>
        <v/>
      </c>
      <c r="E367" s="36" t="str">
        <f ca="1">IFERROR(__xludf.DUMMYFUNCTION("""COMPUTED_VALUE"""),"")</f>
        <v/>
      </c>
      <c r="F367" s="36" t="str">
        <f ca="1">IFERROR(__xludf.DUMMYFUNCTION("""COMPUTED_VALUE"""),"")</f>
        <v/>
      </c>
      <c r="G367" s="36" t="str">
        <f ca="1">IFERROR(__xludf.DUMMYFUNCTION("""COMPUTED_VALUE"""),"")</f>
        <v/>
      </c>
      <c r="H367" s="36" t="str">
        <f ca="1">IFERROR(__xludf.DUMMYFUNCTION("""COMPUTED_VALUE"""),"")</f>
        <v/>
      </c>
      <c r="I367" s="36" t="str">
        <f ca="1">IFERROR(__xludf.DUMMYFUNCTION("""COMPUTED_VALUE"""),"")</f>
        <v/>
      </c>
      <c r="J367" s="36" t="str">
        <f ca="1">IFERROR(__xludf.DUMMYFUNCTION("""COMPUTED_VALUE"""),"")</f>
        <v/>
      </c>
      <c r="K367" s="36" t="str">
        <f ca="1">IFERROR(__xludf.DUMMYFUNCTION("""COMPUTED_VALUE"""),"")</f>
        <v/>
      </c>
      <c r="L367" s="36" t="str">
        <f ca="1">IFERROR(__xludf.DUMMYFUNCTION("""COMPUTED_VALUE"""),"")</f>
        <v/>
      </c>
      <c r="M367" s="36" t="str">
        <f ca="1">IFERROR(__xludf.DUMMYFUNCTION("""COMPUTED_VALUE"""),"")</f>
        <v/>
      </c>
      <c r="N367" s="36" t="str">
        <f ca="1">IFERROR(__xludf.DUMMYFUNCTION("""COMPUTED_VALUE"""),"")</f>
        <v/>
      </c>
      <c r="O367" s="36" t="str">
        <f ca="1">IFERROR(__xludf.DUMMYFUNCTION("""COMPUTED_VALUE"""),"")</f>
        <v/>
      </c>
      <c r="P367" s="36" t="str">
        <f ca="1">IFERROR(__xludf.DUMMYFUNCTION("""COMPUTED_VALUE"""),"")</f>
        <v/>
      </c>
      <c r="Q367" s="36" t="str">
        <f ca="1">IFERROR(__xludf.DUMMYFUNCTION("""COMPUTED_VALUE"""),"")</f>
        <v/>
      </c>
      <c r="R367" s="36" t="str">
        <f ca="1">IFERROR(__xludf.DUMMYFUNCTION("""COMPUTED_VALUE"""),"")</f>
        <v/>
      </c>
      <c r="S367" s="36" t="str">
        <f ca="1">IFERROR(__xludf.DUMMYFUNCTION("""COMPUTED_VALUE"""),"")</f>
        <v/>
      </c>
      <c r="T367" s="36" t="str">
        <f ca="1">IFERROR(__xludf.DUMMYFUNCTION("""COMPUTED_VALUE"""),"")</f>
        <v/>
      </c>
      <c r="U367" s="36" t="str">
        <f ca="1">IFERROR(__xludf.DUMMYFUNCTION("""COMPUTED_VALUE"""),"")</f>
        <v/>
      </c>
      <c r="V367" s="36" t="str">
        <f ca="1">IFERROR(__xludf.DUMMYFUNCTION("""COMPUTED_VALUE"""),"")</f>
        <v/>
      </c>
      <c r="W367" s="36" t="str">
        <f ca="1">IFERROR(__xludf.DUMMYFUNCTION("""COMPUTED_VALUE"""),"")</f>
        <v/>
      </c>
      <c r="X367" s="36"/>
      <c r="Y367" s="36"/>
      <c r="Z367" s="36"/>
    </row>
    <row r="368" spans="1:26" ht="12.75" hidden="1">
      <c r="A368" s="36" t="str">
        <f ca="1">IFERROR(__xludf.DUMMYFUNCTION("""COMPUTED_VALUE"""),"")</f>
        <v/>
      </c>
      <c r="B368" s="36" t="str">
        <f ca="1">IFERROR(__xludf.DUMMYFUNCTION("""COMPUTED_VALUE"""),"")</f>
        <v/>
      </c>
      <c r="C368" s="36" t="str">
        <f ca="1">IFERROR(__xludf.DUMMYFUNCTION("""COMPUTED_VALUE"""),"")</f>
        <v/>
      </c>
      <c r="D368" s="36" t="str">
        <f ca="1">IFERROR(__xludf.DUMMYFUNCTION("""COMPUTED_VALUE"""),"")</f>
        <v/>
      </c>
      <c r="E368" s="36" t="str">
        <f ca="1">IFERROR(__xludf.DUMMYFUNCTION("""COMPUTED_VALUE"""),"")</f>
        <v/>
      </c>
      <c r="F368" s="36" t="str">
        <f ca="1">IFERROR(__xludf.DUMMYFUNCTION("""COMPUTED_VALUE"""),"")</f>
        <v/>
      </c>
      <c r="G368" s="36" t="str">
        <f ca="1">IFERROR(__xludf.DUMMYFUNCTION("""COMPUTED_VALUE"""),"")</f>
        <v/>
      </c>
      <c r="H368" s="36" t="str">
        <f ca="1">IFERROR(__xludf.DUMMYFUNCTION("""COMPUTED_VALUE"""),"")</f>
        <v/>
      </c>
      <c r="I368" s="36" t="str">
        <f ca="1">IFERROR(__xludf.DUMMYFUNCTION("""COMPUTED_VALUE"""),"")</f>
        <v/>
      </c>
      <c r="J368" s="36" t="str">
        <f ca="1">IFERROR(__xludf.DUMMYFUNCTION("""COMPUTED_VALUE"""),"")</f>
        <v/>
      </c>
      <c r="K368" s="36" t="str">
        <f ca="1">IFERROR(__xludf.DUMMYFUNCTION("""COMPUTED_VALUE"""),"")</f>
        <v/>
      </c>
      <c r="L368" s="36" t="str">
        <f ca="1">IFERROR(__xludf.DUMMYFUNCTION("""COMPUTED_VALUE"""),"")</f>
        <v/>
      </c>
      <c r="M368" s="36" t="str">
        <f ca="1">IFERROR(__xludf.DUMMYFUNCTION("""COMPUTED_VALUE"""),"")</f>
        <v/>
      </c>
      <c r="N368" s="36" t="str">
        <f ca="1">IFERROR(__xludf.DUMMYFUNCTION("""COMPUTED_VALUE"""),"")</f>
        <v/>
      </c>
      <c r="O368" s="36" t="str">
        <f ca="1">IFERROR(__xludf.DUMMYFUNCTION("""COMPUTED_VALUE"""),"")</f>
        <v/>
      </c>
      <c r="P368" s="36" t="str">
        <f ca="1">IFERROR(__xludf.DUMMYFUNCTION("""COMPUTED_VALUE"""),"")</f>
        <v/>
      </c>
      <c r="Q368" s="36" t="str">
        <f ca="1">IFERROR(__xludf.DUMMYFUNCTION("""COMPUTED_VALUE"""),"")</f>
        <v/>
      </c>
      <c r="R368" s="36" t="str">
        <f ca="1">IFERROR(__xludf.DUMMYFUNCTION("""COMPUTED_VALUE"""),"")</f>
        <v/>
      </c>
      <c r="S368" s="36" t="str">
        <f ca="1">IFERROR(__xludf.DUMMYFUNCTION("""COMPUTED_VALUE"""),"")</f>
        <v/>
      </c>
      <c r="T368" s="36" t="str">
        <f ca="1">IFERROR(__xludf.DUMMYFUNCTION("""COMPUTED_VALUE"""),"")</f>
        <v/>
      </c>
      <c r="U368" s="36" t="str">
        <f ca="1">IFERROR(__xludf.DUMMYFUNCTION("""COMPUTED_VALUE"""),"")</f>
        <v/>
      </c>
      <c r="V368" s="36" t="str">
        <f ca="1">IFERROR(__xludf.DUMMYFUNCTION("""COMPUTED_VALUE"""),"")</f>
        <v/>
      </c>
      <c r="W368" s="36" t="str">
        <f ca="1">IFERROR(__xludf.DUMMYFUNCTION("""COMPUTED_VALUE"""),"")</f>
        <v/>
      </c>
      <c r="X368" s="36"/>
      <c r="Y368" s="36"/>
      <c r="Z368" s="36"/>
    </row>
    <row r="369" spans="1:26" ht="12.75" hidden="1">
      <c r="A369" s="36" t="str">
        <f ca="1">IFERROR(__xludf.DUMMYFUNCTION("""COMPUTED_VALUE"""),"")</f>
        <v/>
      </c>
      <c r="B369" s="36" t="str">
        <f ca="1">IFERROR(__xludf.DUMMYFUNCTION("""COMPUTED_VALUE"""),"")</f>
        <v/>
      </c>
      <c r="C369" s="36" t="str">
        <f ca="1">IFERROR(__xludf.DUMMYFUNCTION("""COMPUTED_VALUE"""),"")</f>
        <v/>
      </c>
      <c r="D369" s="36" t="str">
        <f ca="1">IFERROR(__xludf.DUMMYFUNCTION("""COMPUTED_VALUE"""),"")</f>
        <v/>
      </c>
      <c r="E369" s="36" t="str">
        <f ca="1">IFERROR(__xludf.DUMMYFUNCTION("""COMPUTED_VALUE"""),"")</f>
        <v/>
      </c>
      <c r="F369" s="36" t="str">
        <f ca="1">IFERROR(__xludf.DUMMYFUNCTION("""COMPUTED_VALUE"""),"")</f>
        <v/>
      </c>
      <c r="G369" s="36" t="str">
        <f ca="1">IFERROR(__xludf.DUMMYFUNCTION("""COMPUTED_VALUE"""),"")</f>
        <v/>
      </c>
      <c r="H369" s="36" t="str">
        <f ca="1">IFERROR(__xludf.DUMMYFUNCTION("""COMPUTED_VALUE"""),"")</f>
        <v/>
      </c>
      <c r="I369" s="36" t="str">
        <f ca="1">IFERROR(__xludf.DUMMYFUNCTION("""COMPUTED_VALUE"""),"")</f>
        <v/>
      </c>
      <c r="J369" s="36" t="str">
        <f ca="1">IFERROR(__xludf.DUMMYFUNCTION("""COMPUTED_VALUE"""),"")</f>
        <v/>
      </c>
      <c r="K369" s="36" t="str">
        <f ca="1">IFERROR(__xludf.DUMMYFUNCTION("""COMPUTED_VALUE"""),"")</f>
        <v/>
      </c>
      <c r="L369" s="36" t="str">
        <f ca="1">IFERROR(__xludf.DUMMYFUNCTION("""COMPUTED_VALUE"""),"")</f>
        <v/>
      </c>
      <c r="M369" s="36" t="str">
        <f ca="1">IFERROR(__xludf.DUMMYFUNCTION("""COMPUTED_VALUE"""),"")</f>
        <v/>
      </c>
      <c r="N369" s="36" t="str">
        <f ca="1">IFERROR(__xludf.DUMMYFUNCTION("""COMPUTED_VALUE"""),"")</f>
        <v/>
      </c>
      <c r="O369" s="36" t="str">
        <f ca="1">IFERROR(__xludf.DUMMYFUNCTION("""COMPUTED_VALUE"""),"")</f>
        <v/>
      </c>
      <c r="P369" s="36" t="str">
        <f ca="1">IFERROR(__xludf.DUMMYFUNCTION("""COMPUTED_VALUE"""),"")</f>
        <v/>
      </c>
      <c r="Q369" s="36" t="str">
        <f ca="1">IFERROR(__xludf.DUMMYFUNCTION("""COMPUTED_VALUE"""),"")</f>
        <v/>
      </c>
      <c r="R369" s="36" t="str">
        <f ca="1">IFERROR(__xludf.DUMMYFUNCTION("""COMPUTED_VALUE"""),"")</f>
        <v/>
      </c>
      <c r="S369" s="36" t="str">
        <f ca="1">IFERROR(__xludf.DUMMYFUNCTION("""COMPUTED_VALUE"""),"")</f>
        <v/>
      </c>
      <c r="T369" s="36" t="str">
        <f ca="1">IFERROR(__xludf.DUMMYFUNCTION("""COMPUTED_VALUE"""),"")</f>
        <v/>
      </c>
      <c r="U369" s="36" t="str">
        <f ca="1">IFERROR(__xludf.DUMMYFUNCTION("""COMPUTED_VALUE"""),"")</f>
        <v/>
      </c>
      <c r="V369" s="36" t="str">
        <f ca="1">IFERROR(__xludf.DUMMYFUNCTION("""COMPUTED_VALUE"""),"")</f>
        <v/>
      </c>
      <c r="W369" s="36" t="str">
        <f ca="1">IFERROR(__xludf.DUMMYFUNCTION("""COMPUTED_VALUE"""),"")</f>
        <v/>
      </c>
      <c r="X369" s="36"/>
      <c r="Y369" s="36"/>
      <c r="Z369" s="36"/>
    </row>
    <row r="370" spans="1:26" ht="12.75" hidden="1">
      <c r="A370" s="36" t="str">
        <f ca="1">IFERROR(__xludf.DUMMYFUNCTION("""COMPUTED_VALUE"""),"")</f>
        <v/>
      </c>
      <c r="B370" s="36" t="str">
        <f ca="1">IFERROR(__xludf.DUMMYFUNCTION("""COMPUTED_VALUE"""),"")</f>
        <v/>
      </c>
      <c r="C370" s="36" t="str">
        <f ca="1">IFERROR(__xludf.DUMMYFUNCTION("""COMPUTED_VALUE"""),"")</f>
        <v/>
      </c>
      <c r="D370" s="36" t="str">
        <f ca="1">IFERROR(__xludf.DUMMYFUNCTION("""COMPUTED_VALUE"""),"")</f>
        <v/>
      </c>
      <c r="E370" s="36" t="str">
        <f ca="1">IFERROR(__xludf.DUMMYFUNCTION("""COMPUTED_VALUE"""),"")</f>
        <v/>
      </c>
      <c r="F370" s="36" t="str">
        <f ca="1">IFERROR(__xludf.DUMMYFUNCTION("""COMPUTED_VALUE"""),"")</f>
        <v/>
      </c>
      <c r="G370" s="36" t="str">
        <f ca="1">IFERROR(__xludf.DUMMYFUNCTION("""COMPUTED_VALUE"""),"")</f>
        <v/>
      </c>
      <c r="H370" s="36" t="str">
        <f ca="1">IFERROR(__xludf.DUMMYFUNCTION("""COMPUTED_VALUE"""),"")</f>
        <v/>
      </c>
      <c r="I370" s="36" t="str">
        <f ca="1">IFERROR(__xludf.DUMMYFUNCTION("""COMPUTED_VALUE"""),"")</f>
        <v/>
      </c>
      <c r="J370" s="36" t="str">
        <f ca="1">IFERROR(__xludf.DUMMYFUNCTION("""COMPUTED_VALUE"""),"")</f>
        <v/>
      </c>
      <c r="K370" s="36" t="str">
        <f ca="1">IFERROR(__xludf.DUMMYFUNCTION("""COMPUTED_VALUE"""),"")</f>
        <v/>
      </c>
      <c r="L370" s="36" t="str">
        <f ca="1">IFERROR(__xludf.DUMMYFUNCTION("""COMPUTED_VALUE"""),"")</f>
        <v/>
      </c>
      <c r="M370" s="36" t="str">
        <f ca="1">IFERROR(__xludf.DUMMYFUNCTION("""COMPUTED_VALUE"""),"")</f>
        <v/>
      </c>
      <c r="N370" s="36" t="str">
        <f ca="1">IFERROR(__xludf.DUMMYFUNCTION("""COMPUTED_VALUE"""),"")</f>
        <v/>
      </c>
      <c r="O370" s="36" t="str">
        <f ca="1">IFERROR(__xludf.DUMMYFUNCTION("""COMPUTED_VALUE"""),"")</f>
        <v/>
      </c>
      <c r="P370" s="36" t="str">
        <f ca="1">IFERROR(__xludf.DUMMYFUNCTION("""COMPUTED_VALUE"""),"")</f>
        <v/>
      </c>
      <c r="Q370" s="36" t="str">
        <f ca="1">IFERROR(__xludf.DUMMYFUNCTION("""COMPUTED_VALUE"""),"")</f>
        <v/>
      </c>
      <c r="R370" s="36" t="str">
        <f ca="1">IFERROR(__xludf.DUMMYFUNCTION("""COMPUTED_VALUE"""),"")</f>
        <v/>
      </c>
      <c r="S370" s="36" t="str">
        <f ca="1">IFERROR(__xludf.DUMMYFUNCTION("""COMPUTED_VALUE"""),"")</f>
        <v/>
      </c>
      <c r="T370" s="36" t="str">
        <f ca="1">IFERROR(__xludf.DUMMYFUNCTION("""COMPUTED_VALUE"""),"")</f>
        <v/>
      </c>
      <c r="U370" s="36" t="str">
        <f ca="1">IFERROR(__xludf.DUMMYFUNCTION("""COMPUTED_VALUE"""),"")</f>
        <v/>
      </c>
      <c r="V370" s="36" t="str">
        <f ca="1">IFERROR(__xludf.DUMMYFUNCTION("""COMPUTED_VALUE"""),"")</f>
        <v/>
      </c>
      <c r="W370" s="36" t="str">
        <f ca="1">IFERROR(__xludf.DUMMYFUNCTION("""COMPUTED_VALUE"""),"")</f>
        <v/>
      </c>
      <c r="X370" s="36"/>
      <c r="Y370" s="36"/>
      <c r="Z370" s="36"/>
    </row>
    <row r="371" spans="1:26" ht="12.75" hidden="1">
      <c r="A371" s="36" t="str">
        <f ca="1">IFERROR(__xludf.DUMMYFUNCTION("""COMPUTED_VALUE"""),"")</f>
        <v/>
      </c>
      <c r="B371" s="36" t="str">
        <f ca="1">IFERROR(__xludf.DUMMYFUNCTION("""COMPUTED_VALUE"""),"")</f>
        <v/>
      </c>
      <c r="C371" s="36" t="str">
        <f ca="1">IFERROR(__xludf.DUMMYFUNCTION("""COMPUTED_VALUE"""),"")</f>
        <v/>
      </c>
      <c r="D371" s="36" t="str">
        <f ca="1">IFERROR(__xludf.DUMMYFUNCTION("""COMPUTED_VALUE"""),"")</f>
        <v/>
      </c>
      <c r="E371" s="36" t="str">
        <f ca="1">IFERROR(__xludf.DUMMYFUNCTION("""COMPUTED_VALUE"""),"")</f>
        <v/>
      </c>
      <c r="F371" s="36" t="str">
        <f ca="1">IFERROR(__xludf.DUMMYFUNCTION("""COMPUTED_VALUE"""),"")</f>
        <v/>
      </c>
      <c r="G371" s="36" t="str">
        <f ca="1">IFERROR(__xludf.DUMMYFUNCTION("""COMPUTED_VALUE"""),"")</f>
        <v/>
      </c>
      <c r="H371" s="36" t="str">
        <f ca="1">IFERROR(__xludf.DUMMYFUNCTION("""COMPUTED_VALUE"""),"")</f>
        <v/>
      </c>
      <c r="I371" s="36" t="str">
        <f ca="1">IFERROR(__xludf.DUMMYFUNCTION("""COMPUTED_VALUE"""),"")</f>
        <v/>
      </c>
      <c r="J371" s="36" t="str">
        <f ca="1">IFERROR(__xludf.DUMMYFUNCTION("""COMPUTED_VALUE"""),"")</f>
        <v/>
      </c>
      <c r="K371" s="36" t="str">
        <f ca="1">IFERROR(__xludf.DUMMYFUNCTION("""COMPUTED_VALUE"""),"")</f>
        <v/>
      </c>
      <c r="L371" s="36" t="str">
        <f ca="1">IFERROR(__xludf.DUMMYFUNCTION("""COMPUTED_VALUE"""),"")</f>
        <v/>
      </c>
      <c r="M371" s="36" t="str">
        <f ca="1">IFERROR(__xludf.DUMMYFUNCTION("""COMPUTED_VALUE"""),"")</f>
        <v/>
      </c>
      <c r="N371" s="36" t="str">
        <f ca="1">IFERROR(__xludf.DUMMYFUNCTION("""COMPUTED_VALUE"""),"")</f>
        <v/>
      </c>
      <c r="O371" s="36" t="str">
        <f ca="1">IFERROR(__xludf.DUMMYFUNCTION("""COMPUTED_VALUE"""),"")</f>
        <v/>
      </c>
      <c r="P371" s="36" t="str">
        <f ca="1">IFERROR(__xludf.DUMMYFUNCTION("""COMPUTED_VALUE"""),"")</f>
        <v/>
      </c>
      <c r="Q371" s="36" t="str">
        <f ca="1">IFERROR(__xludf.DUMMYFUNCTION("""COMPUTED_VALUE"""),"")</f>
        <v/>
      </c>
      <c r="R371" s="36" t="str">
        <f ca="1">IFERROR(__xludf.DUMMYFUNCTION("""COMPUTED_VALUE"""),"")</f>
        <v/>
      </c>
      <c r="S371" s="36" t="str">
        <f ca="1">IFERROR(__xludf.DUMMYFUNCTION("""COMPUTED_VALUE"""),"")</f>
        <v/>
      </c>
      <c r="T371" s="36" t="str">
        <f ca="1">IFERROR(__xludf.DUMMYFUNCTION("""COMPUTED_VALUE"""),"")</f>
        <v/>
      </c>
      <c r="U371" s="36" t="str">
        <f ca="1">IFERROR(__xludf.DUMMYFUNCTION("""COMPUTED_VALUE"""),"")</f>
        <v/>
      </c>
      <c r="V371" s="36" t="str">
        <f ca="1">IFERROR(__xludf.DUMMYFUNCTION("""COMPUTED_VALUE"""),"")</f>
        <v/>
      </c>
      <c r="W371" s="36" t="str">
        <f ca="1">IFERROR(__xludf.DUMMYFUNCTION("""COMPUTED_VALUE"""),"")</f>
        <v/>
      </c>
      <c r="X371" s="36"/>
      <c r="Y371" s="36"/>
      <c r="Z371" s="36"/>
    </row>
    <row r="372" spans="1:26" ht="12.75" hidden="1">
      <c r="A372" s="36" t="str">
        <f ca="1">IFERROR(__xludf.DUMMYFUNCTION("""COMPUTED_VALUE"""),"")</f>
        <v/>
      </c>
      <c r="B372" s="36" t="str">
        <f ca="1">IFERROR(__xludf.DUMMYFUNCTION("""COMPUTED_VALUE"""),"")</f>
        <v/>
      </c>
      <c r="C372" s="36" t="str">
        <f ca="1">IFERROR(__xludf.DUMMYFUNCTION("""COMPUTED_VALUE"""),"")</f>
        <v/>
      </c>
      <c r="D372" s="36" t="str">
        <f ca="1">IFERROR(__xludf.DUMMYFUNCTION("""COMPUTED_VALUE"""),"")</f>
        <v/>
      </c>
      <c r="E372" s="36" t="str">
        <f ca="1">IFERROR(__xludf.DUMMYFUNCTION("""COMPUTED_VALUE"""),"")</f>
        <v/>
      </c>
      <c r="F372" s="36" t="str">
        <f ca="1">IFERROR(__xludf.DUMMYFUNCTION("""COMPUTED_VALUE"""),"")</f>
        <v/>
      </c>
      <c r="G372" s="36" t="str">
        <f ca="1">IFERROR(__xludf.DUMMYFUNCTION("""COMPUTED_VALUE"""),"")</f>
        <v/>
      </c>
      <c r="H372" s="36" t="str">
        <f ca="1">IFERROR(__xludf.DUMMYFUNCTION("""COMPUTED_VALUE"""),"")</f>
        <v/>
      </c>
      <c r="I372" s="36" t="str">
        <f ca="1">IFERROR(__xludf.DUMMYFUNCTION("""COMPUTED_VALUE"""),"")</f>
        <v/>
      </c>
      <c r="J372" s="36" t="str">
        <f ca="1">IFERROR(__xludf.DUMMYFUNCTION("""COMPUTED_VALUE"""),"")</f>
        <v/>
      </c>
      <c r="K372" s="36" t="str">
        <f ca="1">IFERROR(__xludf.DUMMYFUNCTION("""COMPUTED_VALUE"""),"")</f>
        <v/>
      </c>
      <c r="L372" s="36" t="str">
        <f ca="1">IFERROR(__xludf.DUMMYFUNCTION("""COMPUTED_VALUE"""),"")</f>
        <v/>
      </c>
      <c r="M372" s="36" t="str">
        <f ca="1">IFERROR(__xludf.DUMMYFUNCTION("""COMPUTED_VALUE"""),"")</f>
        <v/>
      </c>
      <c r="N372" s="36" t="str">
        <f ca="1">IFERROR(__xludf.DUMMYFUNCTION("""COMPUTED_VALUE"""),"")</f>
        <v/>
      </c>
      <c r="O372" s="36" t="str">
        <f ca="1">IFERROR(__xludf.DUMMYFUNCTION("""COMPUTED_VALUE"""),"")</f>
        <v/>
      </c>
      <c r="P372" s="36" t="str">
        <f ca="1">IFERROR(__xludf.DUMMYFUNCTION("""COMPUTED_VALUE"""),"")</f>
        <v/>
      </c>
      <c r="Q372" s="36" t="str">
        <f ca="1">IFERROR(__xludf.DUMMYFUNCTION("""COMPUTED_VALUE"""),"")</f>
        <v/>
      </c>
      <c r="R372" s="36" t="str">
        <f ca="1">IFERROR(__xludf.DUMMYFUNCTION("""COMPUTED_VALUE"""),"")</f>
        <v/>
      </c>
      <c r="S372" s="36" t="str">
        <f ca="1">IFERROR(__xludf.DUMMYFUNCTION("""COMPUTED_VALUE"""),"")</f>
        <v/>
      </c>
      <c r="T372" s="36" t="str">
        <f ca="1">IFERROR(__xludf.DUMMYFUNCTION("""COMPUTED_VALUE"""),"")</f>
        <v/>
      </c>
      <c r="U372" s="36" t="str">
        <f ca="1">IFERROR(__xludf.DUMMYFUNCTION("""COMPUTED_VALUE"""),"")</f>
        <v/>
      </c>
      <c r="V372" s="36" t="str">
        <f ca="1">IFERROR(__xludf.DUMMYFUNCTION("""COMPUTED_VALUE"""),"")</f>
        <v/>
      </c>
      <c r="W372" s="36" t="str">
        <f ca="1">IFERROR(__xludf.DUMMYFUNCTION("""COMPUTED_VALUE"""),"")</f>
        <v/>
      </c>
      <c r="X372" s="36"/>
      <c r="Y372" s="36"/>
      <c r="Z372" s="36"/>
    </row>
    <row r="373" spans="1:26" ht="12.75" hidden="1">
      <c r="A373" s="36" t="str">
        <f ca="1">IFERROR(__xludf.DUMMYFUNCTION("""COMPUTED_VALUE"""),"")</f>
        <v/>
      </c>
      <c r="B373" s="36" t="str">
        <f ca="1">IFERROR(__xludf.DUMMYFUNCTION("""COMPUTED_VALUE"""),"")</f>
        <v/>
      </c>
      <c r="C373" s="36" t="str">
        <f ca="1">IFERROR(__xludf.DUMMYFUNCTION("""COMPUTED_VALUE"""),"")</f>
        <v/>
      </c>
      <c r="D373" s="36" t="str">
        <f ca="1">IFERROR(__xludf.DUMMYFUNCTION("""COMPUTED_VALUE"""),"")</f>
        <v/>
      </c>
      <c r="E373" s="36" t="str">
        <f ca="1">IFERROR(__xludf.DUMMYFUNCTION("""COMPUTED_VALUE"""),"")</f>
        <v/>
      </c>
      <c r="F373" s="36" t="str">
        <f ca="1">IFERROR(__xludf.DUMMYFUNCTION("""COMPUTED_VALUE"""),"")</f>
        <v/>
      </c>
      <c r="G373" s="36" t="str">
        <f ca="1">IFERROR(__xludf.DUMMYFUNCTION("""COMPUTED_VALUE"""),"")</f>
        <v/>
      </c>
      <c r="H373" s="36" t="str">
        <f ca="1">IFERROR(__xludf.DUMMYFUNCTION("""COMPUTED_VALUE"""),"")</f>
        <v/>
      </c>
      <c r="I373" s="36" t="str">
        <f ca="1">IFERROR(__xludf.DUMMYFUNCTION("""COMPUTED_VALUE"""),"")</f>
        <v/>
      </c>
      <c r="J373" s="36" t="str">
        <f ca="1">IFERROR(__xludf.DUMMYFUNCTION("""COMPUTED_VALUE"""),"")</f>
        <v/>
      </c>
      <c r="K373" s="36" t="str">
        <f ca="1">IFERROR(__xludf.DUMMYFUNCTION("""COMPUTED_VALUE"""),"")</f>
        <v/>
      </c>
      <c r="L373" s="36" t="str">
        <f ca="1">IFERROR(__xludf.DUMMYFUNCTION("""COMPUTED_VALUE"""),"")</f>
        <v/>
      </c>
      <c r="M373" s="36" t="str">
        <f ca="1">IFERROR(__xludf.DUMMYFUNCTION("""COMPUTED_VALUE"""),"")</f>
        <v/>
      </c>
      <c r="N373" s="36" t="str">
        <f ca="1">IFERROR(__xludf.DUMMYFUNCTION("""COMPUTED_VALUE"""),"")</f>
        <v/>
      </c>
      <c r="O373" s="36" t="str">
        <f ca="1">IFERROR(__xludf.DUMMYFUNCTION("""COMPUTED_VALUE"""),"")</f>
        <v/>
      </c>
      <c r="P373" s="36" t="str">
        <f ca="1">IFERROR(__xludf.DUMMYFUNCTION("""COMPUTED_VALUE"""),"")</f>
        <v/>
      </c>
      <c r="Q373" s="36" t="str">
        <f ca="1">IFERROR(__xludf.DUMMYFUNCTION("""COMPUTED_VALUE"""),"")</f>
        <v/>
      </c>
      <c r="R373" s="36" t="str">
        <f ca="1">IFERROR(__xludf.DUMMYFUNCTION("""COMPUTED_VALUE"""),"")</f>
        <v/>
      </c>
      <c r="S373" s="36" t="str">
        <f ca="1">IFERROR(__xludf.DUMMYFUNCTION("""COMPUTED_VALUE"""),"")</f>
        <v/>
      </c>
      <c r="T373" s="36" t="str">
        <f ca="1">IFERROR(__xludf.DUMMYFUNCTION("""COMPUTED_VALUE"""),"")</f>
        <v/>
      </c>
      <c r="U373" s="36" t="str">
        <f ca="1">IFERROR(__xludf.DUMMYFUNCTION("""COMPUTED_VALUE"""),"")</f>
        <v/>
      </c>
      <c r="V373" s="36" t="str">
        <f ca="1">IFERROR(__xludf.DUMMYFUNCTION("""COMPUTED_VALUE"""),"")</f>
        <v/>
      </c>
      <c r="W373" s="36" t="str">
        <f ca="1">IFERROR(__xludf.DUMMYFUNCTION("""COMPUTED_VALUE"""),"")</f>
        <v/>
      </c>
      <c r="X373" s="36"/>
      <c r="Y373" s="36"/>
      <c r="Z373" s="36"/>
    </row>
    <row r="374" spans="1:26" ht="12.75" hidden="1">
      <c r="A374" s="36" t="str">
        <f ca="1">IFERROR(__xludf.DUMMYFUNCTION("""COMPUTED_VALUE"""),"")</f>
        <v/>
      </c>
      <c r="B374" s="36" t="str">
        <f ca="1">IFERROR(__xludf.DUMMYFUNCTION("""COMPUTED_VALUE"""),"")</f>
        <v/>
      </c>
      <c r="C374" s="36" t="str">
        <f ca="1">IFERROR(__xludf.DUMMYFUNCTION("""COMPUTED_VALUE"""),"")</f>
        <v/>
      </c>
      <c r="D374" s="36" t="str">
        <f ca="1">IFERROR(__xludf.DUMMYFUNCTION("""COMPUTED_VALUE"""),"")</f>
        <v/>
      </c>
      <c r="E374" s="36" t="str">
        <f ca="1">IFERROR(__xludf.DUMMYFUNCTION("""COMPUTED_VALUE"""),"")</f>
        <v/>
      </c>
      <c r="F374" s="36" t="str">
        <f ca="1">IFERROR(__xludf.DUMMYFUNCTION("""COMPUTED_VALUE"""),"")</f>
        <v/>
      </c>
      <c r="G374" s="36" t="str">
        <f ca="1">IFERROR(__xludf.DUMMYFUNCTION("""COMPUTED_VALUE"""),"")</f>
        <v/>
      </c>
      <c r="H374" s="36" t="str">
        <f ca="1">IFERROR(__xludf.DUMMYFUNCTION("""COMPUTED_VALUE"""),"")</f>
        <v/>
      </c>
      <c r="I374" s="36" t="str">
        <f ca="1">IFERROR(__xludf.DUMMYFUNCTION("""COMPUTED_VALUE"""),"")</f>
        <v/>
      </c>
      <c r="J374" s="36" t="str">
        <f ca="1">IFERROR(__xludf.DUMMYFUNCTION("""COMPUTED_VALUE"""),"")</f>
        <v/>
      </c>
      <c r="K374" s="36" t="str">
        <f ca="1">IFERROR(__xludf.DUMMYFUNCTION("""COMPUTED_VALUE"""),"")</f>
        <v/>
      </c>
      <c r="L374" s="36" t="str">
        <f ca="1">IFERROR(__xludf.DUMMYFUNCTION("""COMPUTED_VALUE"""),"")</f>
        <v/>
      </c>
      <c r="M374" s="36" t="str">
        <f ca="1">IFERROR(__xludf.DUMMYFUNCTION("""COMPUTED_VALUE"""),"")</f>
        <v/>
      </c>
      <c r="N374" s="36" t="str">
        <f ca="1">IFERROR(__xludf.DUMMYFUNCTION("""COMPUTED_VALUE"""),"")</f>
        <v/>
      </c>
      <c r="O374" s="36" t="str">
        <f ca="1">IFERROR(__xludf.DUMMYFUNCTION("""COMPUTED_VALUE"""),"")</f>
        <v/>
      </c>
      <c r="P374" s="36" t="str">
        <f ca="1">IFERROR(__xludf.DUMMYFUNCTION("""COMPUTED_VALUE"""),"")</f>
        <v/>
      </c>
      <c r="Q374" s="36" t="str">
        <f ca="1">IFERROR(__xludf.DUMMYFUNCTION("""COMPUTED_VALUE"""),"")</f>
        <v/>
      </c>
      <c r="R374" s="36" t="str">
        <f ca="1">IFERROR(__xludf.DUMMYFUNCTION("""COMPUTED_VALUE"""),"")</f>
        <v/>
      </c>
      <c r="S374" s="36" t="str">
        <f ca="1">IFERROR(__xludf.DUMMYFUNCTION("""COMPUTED_VALUE"""),"")</f>
        <v/>
      </c>
      <c r="T374" s="36" t="str">
        <f ca="1">IFERROR(__xludf.DUMMYFUNCTION("""COMPUTED_VALUE"""),"")</f>
        <v/>
      </c>
      <c r="U374" s="36" t="str">
        <f ca="1">IFERROR(__xludf.DUMMYFUNCTION("""COMPUTED_VALUE"""),"")</f>
        <v/>
      </c>
      <c r="V374" s="36" t="str">
        <f ca="1">IFERROR(__xludf.DUMMYFUNCTION("""COMPUTED_VALUE"""),"")</f>
        <v/>
      </c>
      <c r="W374" s="36" t="str">
        <f ca="1">IFERROR(__xludf.DUMMYFUNCTION("""COMPUTED_VALUE"""),"")</f>
        <v/>
      </c>
      <c r="X374" s="36"/>
      <c r="Y374" s="36"/>
      <c r="Z374" s="36"/>
    </row>
    <row r="375" spans="1:26" ht="12.75" hidden="1">
      <c r="A375" s="36" t="str">
        <f ca="1">IFERROR(__xludf.DUMMYFUNCTION("""COMPUTED_VALUE"""),"")</f>
        <v/>
      </c>
      <c r="B375" s="36" t="str">
        <f ca="1">IFERROR(__xludf.DUMMYFUNCTION("""COMPUTED_VALUE"""),"")</f>
        <v/>
      </c>
      <c r="C375" s="36" t="str">
        <f ca="1">IFERROR(__xludf.DUMMYFUNCTION("""COMPUTED_VALUE"""),"")</f>
        <v/>
      </c>
      <c r="D375" s="36" t="str">
        <f ca="1">IFERROR(__xludf.DUMMYFUNCTION("""COMPUTED_VALUE"""),"")</f>
        <v/>
      </c>
      <c r="E375" s="36" t="str">
        <f ca="1">IFERROR(__xludf.DUMMYFUNCTION("""COMPUTED_VALUE"""),"")</f>
        <v/>
      </c>
      <c r="F375" s="36" t="str">
        <f ca="1">IFERROR(__xludf.DUMMYFUNCTION("""COMPUTED_VALUE"""),"")</f>
        <v/>
      </c>
      <c r="G375" s="36" t="str">
        <f ca="1">IFERROR(__xludf.DUMMYFUNCTION("""COMPUTED_VALUE"""),"")</f>
        <v/>
      </c>
      <c r="H375" s="36" t="str">
        <f ca="1">IFERROR(__xludf.DUMMYFUNCTION("""COMPUTED_VALUE"""),"")</f>
        <v/>
      </c>
      <c r="I375" s="36" t="str">
        <f ca="1">IFERROR(__xludf.DUMMYFUNCTION("""COMPUTED_VALUE"""),"")</f>
        <v/>
      </c>
      <c r="J375" s="36" t="str">
        <f ca="1">IFERROR(__xludf.DUMMYFUNCTION("""COMPUTED_VALUE"""),"")</f>
        <v/>
      </c>
      <c r="K375" s="36" t="str">
        <f ca="1">IFERROR(__xludf.DUMMYFUNCTION("""COMPUTED_VALUE"""),"")</f>
        <v/>
      </c>
      <c r="L375" s="36" t="str">
        <f ca="1">IFERROR(__xludf.DUMMYFUNCTION("""COMPUTED_VALUE"""),"")</f>
        <v/>
      </c>
      <c r="M375" s="36" t="str">
        <f ca="1">IFERROR(__xludf.DUMMYFUNCTION("""COMPUTED_VALUE"""),"")</f>
        <v/>
      </c>
      <c r="N375" s="36" t="str">
        <f ca="1">IFERROR(__xludf.DUMMYFUNCTION("""COMPUTED_VALUE"""),"")</f>
        <v/>
      </c>
      <c r="O375" s="36" t="str">
        <f ca="1">IFERROR(__xludf.DUMMYFUNCTION("""COMPUTED_VALUE"""),"")</f>
        <v/>
      </c>
      <c r="P375" s="36" t="str">
        <f ca="1">IFERROR(__xludf.DUMMYFUNCTION("""COMPUTED_VALUE"""),"")</f>
        <v/>
      </c>
      <c r="Q375" s="36" t="str">
        <f ca="1">IFERROR(__xludf.DUMMYFUNCTION("""COMPUTED_VALUE"""),"")</f>
        <v/>
      </c>
      <c r="R375" s="36" t="str">
        <f ca="1">IFERROR(__xludf.DUMMYFUNCTION("""COMPUTED_VALUE"""),"")</f>
        <v/>
      </c>
      <c r="S375" s="36" t="str">
        <f ca="1">IFERROR(__xludf.DUMMYFUNCTION("""COMPUTED_VALUE"""),"")</f>
        <v/>
      </c>
      <c r="T375" s="36" t="str">
        <f ca="1">IFERROR(__xludf.DUMMYFUNCTION("""COMPUTED_VALUE"""),"")</f>
        <v/>
      </c>
      <c r="U375" s="36" t="str">
        <f ca="1">IFERROR(__xludf.DUMMYFUNCTION("""COMPUTED_VALUE"""),"")</f>
        <v/>
      </c>
      <c r="V375" s="36" t="str">
        <f ca="1">IFERROR(__xludf.DUMMYFUNCTION("""COMPUTED_VALUE"""),"")</f>
        <v/>
      </c>
      <c r="W375" s="36" t="str">
        <f ca="1">IFERROR(__xludf.DUMMYFUNCTION("""COMPUTED_VALUE"""),"")</f>
        <v/>
      </c>
      <c r="X375" s="36"/>
      <c r="Y375" s="36"/>
      <c r="Z375" s="36"/>
    </row>
    <row r="376" spans="1:26" ht="12.75" hidden="1">
      <c r="A376" s="36" t="str">
        <f ca="1">IFERROR(__xludf.DUMMYFUNCTION("""COMPUTED_VALUE"""),"")</f>
        <v/>
      </c>
      <c r="B376" s="36" t="str">
        <f ca="1">IFERROR(__xludf.DUMMYFUNCTION("""COMPUTED_VALUE"""),"")</f>
        <v/>
      </c>
      <c r="C376" s="36" t="str">
        <f ca="1">IFERROR(__xludf.DUMMYFUNCTION("""COMPUTED_VALUE"""),"")</f>
        <v/>
      </c>
      <c r="D376" s="36" t="str">
        <f ca="1">IFERROR(__xludf.DUMMYFUNCTION("""COMPUTED_VALUE"""),"")</f>
        <v/>
      </c>
      <c r="E376" s="36" t="str">
        <f ca="1">IFERROR(__xludf.DUMMYFUNCTION("""COMPUTED_VALUE"""),"")</f>
        <v/>
      </c>
      <c r="F376" s="36" t="str">
        <f ca="1">IFERROR(__xludf.DUMMYFUNCTION("""COMPUTED_VALUE"""),"")</f>
        <v/>
      </c>
      <c r="G376" s="36" t="str">
        <f ca="1">IFERROR(__xludf.DUMMYFUNCTION("""COMPUTED_VALUE"""),"")</f>
        <v/>
      </c>
      <c r="H376" s="36" t="str">
        <f ca="1">IFERROR(__xludf.DUMMYFUNCTION("""COMPUTED_VALUE"""),"")</f>
        <v/>
      </c>
      <c r="I376" s="36" t="str">
        <f ca="1">IFERROR(__xludf.DUMMYFUNCTION("""COMPUTED_VALUE"""),"")</f>
        <v/>
      </c>
      <c r="J376" s="36" t="str">
        <f ca="1">IFERROR(__xludf.DUMMYFUNCTION("""COMPUTED_VALUE"""),"")</f>
        <v/>
      </c>
      <c r="K376" s="36" t="str">
        <f ca="1">IFERROR(__xludf.DUMMYFUNCTION("""COMPUTED_VALUE"""),"")</f>
        <v/>
      </c>
      <c r="L376" s="36" t="str">
        <f ca="1">IFERROR(__xludf.DUMMYFUNCTION("""COMPUTED_VALUE"""),"")</f>
        <v/>
      </c>
      <c r="M376" s="36" t="str">
        <f ca="1">IFERROR(__xludf.DUMMYFUNCTION("""COMPUTED_VALUE"""),"")</f>
        <v/>
      </c>
      <c r="N376" s="36" t="str">
        <f ca="1">IFERROR(__xludf.DUMMYFUNCTION("""COMPUTED_VALUE"""),"")</f>
        <v/>
      </c>
      <c r="O376" s="36" t="str">
        <f ca="1">IFERROR(__xludf.DUMMYFUNCTION("""COMPUTED_VALUE"""),"")</f>
        <v/>
      </c>
      <c r="P376" s="36" t="str">
        <f ca="1">IFERROR(__xludf.DUMMYFUNCTION("""COMPUTED_VALUE"""),"")</f>
        <v/>
      </c>
      <c r="Q376" s="36" t="str">
        <f ca="1">IFERROR(__xludf.DUMMYFUNCTION("""COMPUTED_VALUE"""),"")</f>
        <v/>
      </c>
      <c r="R376" s="36" t="str">
        <f ca="1">IFERROR(__xludf.DUMMYFUNCTION("""COMPUTED_VALUE"""),"")</f>
        <v/>
      </c>
      <c r="S376" s="36" t="str">
        <f ca="1">IFERROR(__xludf.DUMMYFUNCTION("""COMPUTED_VALUE"""),"")</f>
        <v/>
      </c>
      <c r="T376" s="36" t="str">
        <f ca="1">IFERROR(__xludf.DUMMYFUNCTION("""COMPUTED_VALUE"""),"")</f>
        <v/>
      </c>
      <c r="U376" s="36" t="str">
        <f ca="1">IFERROR(__xludf.DUMMYFUNCTION("""COMPUTED_VALUE"""),"")</f>
        <v/>
      </c>
      <c r="V376" s="36" t="str">
        <f ca="1">IFERROR(__xludf.DUMMYFUNCTION("""COMPUTED_VALUE"""),"")</f>
        <v/>
      </c>
      <c r="W376" s="36" t="str">
        <f ca="1">IFERROR(__xludf.DUMMYFUNCTION("""COMPUTED_VALUE"""),"")</f>
        <v/>
      </c>
      <c r="X376" s="36"/>
      <c r="Y376" s="36"/>
      <c r="Z376" s="36"/>
    </row>
    <row r="377" spans="1:26" ht="12.75" hidden="1">
      <c r="A377" s="36" t="str">
        <f ca="1">IFERROR(__xludf.DUMMYFUNCTION("""COMPUTED_VALUE"""),"")</f>
        <v/>
      </c>
      <c r="B377" s="36" t="str">
        <f ca="1">IFERROR(__xludf.DUMMYFUNCTION("""COMPUTED_VALUE"""),"")</f>
        <v/>
      </c>
      <c r="C377" s="36" t="str">
        <f ca="1">IFERROR(__xludf.DUMMYFUNCTION("""COMPUTED_VALUE"""),"")</f>
        <v/>
      </c>
      <c r="D377" s="36" t="str">
        <f ca="1">IFERROR(__xludf.DUMMYFUNCTION("""COMPUTED_VALUE"""),"")</f>
        <v/>
      </c>
      <c r="E377" s="36" t="str">
        <f ca="1">IFERROR(__xludf.DUMMYFUNCTION("""COMPUTED_VALUE"""),"")</f>
        <v/>
      </c>
      <c r="F377" s="36" t="str">
        <f ca="1">IFERROR(__xludf.DUMMYFUNCTION("""COMPUTED_VALUE"""),"")</f>
        <v/>
      </c>
      <c r="G377" s="36" t="str">
        <f ca="1">IFERROR(__xludf.DUMMYFUNCTION("""COMPUTED_VALUE"""),"")</f>
        <v/>
      </c>
      <c r="H377" s="36" t="str">
        <f ca="1">IFERROR(__xludf.DUMMYFUNCTION("""COMPUTED_VALUE"""),"")</f>
        <v/>
      </c>
      <c r="I377" s="36" t="str">
        <f ca="1">IFERROR(__xludf.DUMMYFUNCTION("""COMPUTED_VALUE"""),"")</f>
        <v/>
      </c>
      <c r="J377" s="36" t="str">
        <f ca="1">IFERROR(__xludf.DUMMYFUNCTION("""COMPUTED_VALUE"""),"")</f>
        <v/>
      </c>
      <c r="K377" s="36" t="str">
        <f ca="1">IFERROR(__xludf.DUMMYFUNCTION("""COMPUTED_VALUE"""),"")</f>
        <v/>
      </c>
      <c r="L377" s="36" t="str">
        <f ca="1">IFERROR(__xludf.DUMMYFUNCTION("""COMPUTED_VALUE"""),"")</f>
        <v/>
      </c>
      <c r="M377" s="36" t="str">
        <f ca="1">IFERROR(__xludf.DUMMYFUNCTION("""COMPUTED_VALUE"""),"")</f>
        <v/>
      </c>
      <c r="N377" s="36" t="str">
        <f ca="1">IFERROR(__xludf.DUMMYFUNCTION("""COMPUTED_VALUE"""),"")</f>
        <v/>
      </c>
      <c r="O377" s="36" t="str">
        <f ca="1">IFERROR(__xludf.DUMMYFUNCTION("""COMPUTED_VALUE"""),"")</f>
        <v/>
      </c>
      <c r="P377" s="36" t="str">
        <f ca="1">IFERROR(__xludf.DUMMYFUNCTION("""COMPUTED_VALUE"""),"")</f>
        <v/>
      </c>
      <c r="Q377" s="36" t="str">
        <f ca="1">IFERROR(__xludf.DUMMYFUNCTION("""COMPUTED_VALUE"""),"")</f>
        <v/>
      </c>
      <c r="R377" s="36" t="str">
        <f ca="1">IFERROR(__xludf.DUMMYFUNCTION("""COMPUTED_VALUE"""),"")</f>
        <v/>
      </c>
      <c r="S377" s="36" t="str">
        <f ca="1">IFERROR(__xludf.DUMMYFUNCTION("""COMPUTED_VALUE"""),"")</f>
        <v/>
      </c>
      <c r="T377" s="36" t="str">
        <f ca="1">IFERROR(__xludf.DUMMYFUNCTION("""COMPUTED_VALUE"""),"")</f>
        <v/>
      </c>
      <c r="U377" s="36" t="str">
        <f ca="1">IFERROR(__xludf.DUMMYFUNCTION("""COMPUTED_VALUE"""),"")</f>
        <v/>
      </c>
      <c r="V377" s="36" t="str">
        <f ca="1">IFERROR(__xludf.DUMMYFUNCTION("""COMPUTED_VALUE"""),"")</f>
        <v/>
      </c>
      <c r="W377" s="36" t="str">
        <f ca="1">IFERROR(__xludf.DUMMYFUNCTION("""COMPUTED_VALUE"""),"")</f>
        <v/>
      </c>
      <c r="X377" s="36"/>
      <c r="Y377" s="36"/>
      <c r="Z377" s="36"/>
    </row>
    <row r="378" spans="1:26" ht="12.75" hidden="1">
      <c r="A378" s="36" t="str">
        <f ca="1">IFERROR(__xludf.DUMMYFUNCTION("""COMPUTED_VALUE"""),"")</f>
        <v/>
      </c>
      <c r="B378" s="36" t="str">
        <f ca="1">IFERROR(__xludf.DUMMYFUNCTION("""COMPUTED_VALUE"""),"")</f>
        <v/>
      </c>
      <c r="C378" s="36" t="str">
        <f ca="1">IFERROR(__xludf.DUMMYFUNCTION("""COMPUTED_VALUE"""),"")</f>
        <v/>
      </c>
      <c r="D378" s="36" t="str">
        <f ca="1">IFERROR(__xludf.DUMMYFUNCTION("""COMPUTED_VALUE"""),"")</f>
        <v/>
      </c>
      <c r="E378" s="36" t="str">
        <f ca="1">IFERROR(__xludf.DUMMYFUNCTION("""COMPUTED_VALUE"""),"")</f>
        <v/>
      </c>
      <c r="F378" s="36" t="str">
        <f ca="1">IFERROR(__xludf.DUMMYFUNCTION("""COMPUTED_VALUE"""),"")</f>
        <v/>
      </c>
      <c r="G378" s="36" t="str">
        <f ca="1">IFERROR(__xludf.DUMMYFUNCTION("""COMPUTED_VALUE"""),"")</f>
        <v/>
      </c>
      <c r="H378" s="36" t="str">
        <f ca="1">IFERROR(__xludf.DUMMYFUNCTION("""COMPUTED_VALUE"""),"")</f>
        <v/>
      </c>
      <c r="I378" s="36" t="str">
        <f ca="1">IFERROR(__xludf.DUMMYFUNCTION("""COMPUTED_VALUE"""),"")</f>
        <v/>
      </c>
      <c r="J378" s="36" t="str">
        <f ca="1">IFERROR(__xludf.DUMMYFUNCTION("""COMPUTED_VALUE"""),"")</f>
        <v/>
      </c>
      <c r="K378" s="36" t="str">
        <f ca="1">IFERROR(__xludf.DUMMYFUNCTION("""COMPUTED_VALUE"""),"")</f>
        <v/>
      </c>
      <c r="L378" s="36" t="str">
        <f ca="1">IFERROR(__xludf.DUMMYFUNCTION("""COMPUTED_VALUE"""),"")</f>
        <v/>
      </c>
      <c r="M378" s="36" t="str">
        <f ca="1">IFERROR(__xludf.DUMMYFUNCTION("""COMPUTED_VALUE"""),"")</f>
        <v/>
      </c>
      <c r="N378" s="36" t="str">
        <f ca="1">IFERROR(__xludf.DUMMYFUNCTION("""COMPUTED_VALUE"""),"")</f>
        <v/>
      </c>
      <c r="O378" s="36" t="str">
        <f ca="1">IFERROR(__xludf.DUMMYFUNCTION("""COMPUTED_VALUE"""),"")</f>
        <v/>
      </c>
      <c r="P378" s="36" t="str">
        <f ca="1">IFERROR(__xludf.DUMMYFUNCTION("""COMPUTED_VALUE"""),"")</f>
        <v/>
      </c>
      <c r="Q378" s="36" t="str">
        <f ca="1">IFERROR(__xludf.DUMMYFUNCTION("""COMPUTED_VALUE"""),"")</f>
        <v/>
      </c>
      <c r="R378" s="36" t="str">
        <f ca="1">IFERROR(__xludf.DUMMYFUNCTION("""COMPUTED_VALUE"""),"")</f>
        <v/>
      </c>
      <c r="S378" s="36" t="str">
        <f ca="1">IFERROR(__xludf.DUMMYFUNCTION("""COMPUTED_VALUE"""),"")</f>
        <v/>
      </c>
      <c r="T378" s="36" t="str">
        <f ca="1">IFERROR(__xludf.DUMMYFUNCTION("""COMPUTED_VALUE"""),"")</f>
        <v/>
      </c>
      <c r="U378" s="36" t="str">
        <f ca="1">IFERROR(__xludf.DUMMYFUNCTION("""COMPUTED_VALUE"""),"")</f>
        <v/>
      </c>
      <c r="V378" s="36" t="str">
        <f ca="1">IFERROR(__xludf.DUMMYFUNCTION("""COMPUTED_VALUE"""),"")</f>
        <v/>
      </c>
      <c r="W378" s="36" t="str">
        <f ca="1">IFERROR(__xludf.DUMMYFUNCTION("""COMPUTED_VALUE"""),"")</f>
        <v/>
      </c>
      <c r="X378" s="36"/>
      <c r="Y378" s="36"/>
      <c r="Z378" s="36"/>
    </row>
    <row r="379" spans="1:26" ht="12.75" hidden="1">
      <c r="A379" s="36" t="str">
        <f ca="1">IFERROR(__xludf.DUMMYFUNCTION("""COMPUTED_VALUE"""),"")</f>
        <v/>
      </c>
      <c r="B379" s="36" t="str">
        <f ca="1">IFERROR(__xludf.DUMMYFUNCTION("""COMPUTED_VALUE"""),"")</f>
        <v/>
      </c>
      <c r="C379" s="36" t="str">
        <f ca="1">IFERROR(__xludf.DUMMYFUNCTION("""COMPUTED_VALUE"""),"")</f>
        <v/>
      </c>
      <c r="D379" s="36" t="str">
        <f ca="1">IFERROR(__xludf.DUMMYFUNCTION("""COMPUTED_VALUE"""),"")</f>
        <v/>
      </c>
      <c r="E379" s="36" t="str">
        <f ca="1">IFERROR(__xludf.DUMMYFUNCTION("""COMPUTED_VALUE"""),"")</f>
        <v/>
      </c>
      <c r="F379" s="36" t="str">
        <f ca="1">IFERROR(__xludf.DUMMYFUNCTION("""COMPUTED_VALUE"""),"")</f>
        <v/>
      </c>
      <c r="G379" s="36" t="str">
        <f ca="1">IFERROR(__xludf.DUMMYFUNCTION("""COMPUTED_VALUE"""),"")</f>
        <v/>
      </c>
      <c r="H379" s="36" t="str">
        <f ca="1">IFERROR(__xludf.DUMMYFUNCTION("""COMPUTED_VALUE"""),"")</f>
        <v/>
      </c>
      <c r="I379" s="36" t="str">
        <f ca="1">IFERROR(__xludf.DUMMYFUNCTION("""COMPUTED_VALUE"""),"")</f>
        <v/>
      </c>
      <c r="J379" s="36" t="str">
        <f ca="1">IFERROR(__xludf.DUMMYFUNCTION("""COMPUTED_VALUE"""),"")</f>
        <v/>
      </c>
      <c r="K379" s="36" t="str">
        <f ca="1">IFERROR(__xludf.DUMMYFUNCTION("""COMPUTED_VALUE"""),"")</f>
        <v/>
      </c>
      <c r="L379" s="36" t="str">
        <f ca="1">IFERROR(__xludf.DUMMYFUNCTION("""COMPUTED_VALUE"""),"")</f>
        <v/>
      </c>
      <c r="M379" s="36" t="str">
        <f ca="1">IFERROR(__xludf.DUMMYFUNCTION("""COMPUTED_VALUE"""),"")</f>
        <v/>
      </c>
      <c r="N379" s="36" t="str">
        <f ca="1">IFERROR(__xludf.DUMMYFUNCTION("""COMPUTED_VALUE"""),"")</f>
        <v/>
      </c>
      <c r="O379" s="36" t="str">
        <f ca="1">IFERROR(__xludf.DUMMYFUNCTION("""COMPUTED_VALUE"""),"")</f>
        <v/>
      </c>
      <c r="P379" s="36" t="str">
        <f ca="1">IFERROR(__xludf.DUMMYFUNCTION("""COMPUTED_VALUE"""),"")</f>
        <v/>
      </c>
      <c r="Q379" s="36" t="str">
        <f ca="1">IFERROR(__xludf.DUMMYFUNCTION("""COMPUTED_VALUE"""),"")</f>
        <v/>
      </c>
      <c r="R379" s="36" t="str">
        <f ca="1">IFERROR(__xludf.DUMMYFUNCTION("""COMPUTED_VALUE"""),"")</f>
        <v/>
      </c>
      <c r="S379" s="36" t="str">
        <f ca="1">IFERROR(__xludf.DUMMYFUNCTION("""COMPUTED_VALUE"""),"")</f>
        <v/>
      </c>
      <c r="T379" s="36" t="str">
        <f ca="1">IFERROR(__xludf.DUMMYFUNCTION("""COMPUTED_VALUE"""),"")</f>
        <v/>
      </c>
      <c r="U379" s="36" t="str">
        <f ca="1">IFERROR(__xludf.DUMMYFUNCTION("""COMPUTED_VALUE"""),"")</f>
        <v/>
      </c>
      <c r="V379" s="36" t="str">
        <f ca="1">IFERROR(__xludf.DUMMYFUNCTION("""COMPUTED_VALUE"""),"")</f>
        <v/>
      </c>
      <c r="W379" s="36" t="str">
        <f ca="1">IFERROR(__xludf.DUMMYFUNCTION("""COMPUTED_VALUE"""),"")</f>
        <v/>
      </c>
      <c r="X379" s="36"/>
      <c r="Y379" s="36"/>
      <c r="Z379" s="36"/>
    </row>
    <row r="380" spans="1:26" ht="12.75" hidden="1">
      <c r="A380" s="36" t="str">
        <f ca="1">IFERROR(__xludf.DUMMYFUNCTION("""COMPUTED_VALUE"""),"")</f>
        <v/>
      </c>
      <c r="B380" s="36" t="str">
        <f ca="1">IFERROR(__xludf.DUMMYFUNCTION("""COMPUTED_VALUE"""),"")</f>
        <v/>
      </c>
      <c r="C380" s="36" t="str">
        <f ca="1">IFERROR(__xludf.DUMMYFUNCTION("""COMPUTED_VALUE"""),"")</f>
        <v/>
      </c>
      <c r="D380" s="36" t="str">
        <f ca="1">IFERROR(__xludf.DUMMYFUNCTION("""COMPUTED_VALUE"""),"")</f>
        <v/>
      </c>
      <c r="E380" s="36" t="str">
        <f ca="1">IFERROR(__xludf.DUMMYFUNCTION("""COMPUTED_VALUE"""),"")</f>
        <v/>
      </c>
      <c r="F380" s="36" t="str">
        <f ca="1">IFERROR(__xludf.DUMMYFUNCTION("""COMPUTED_VALUE"""),"")</f>
        <v/>
      </c>
      <c r="G380" s="36" t="str">
        <f ca="1">IFERROR(__xludf.DUMMYFUNCTION("""COMPUTED_VALUE"""),"")</f>
        <v/>
      </c>
      <c r="H380" s="36" t="str">
        <f ca="1">IFERROR(__xludf.DUMMYFUNCTION("""COMPUTED_VALUE"""),"")</f>
        <v/>
      </c>
      <c r="I380" s="36" t="str">
        <f ca="1">IFERROR(__xludf.DUMMYFUNCTION("""COMPUTED_VALUE"""),"")</f>
        <v/>
      </c>
      <c r="J380" s="36" t="str">
        <f ca="1">IFERROR(__xludf.DUMMYFUNCTION("""COMPUTED_VALUE"""),"")</f>
        <v/>
      </c>
      <c r="K380" s="36" t="str">
        <f ca="1">IFERROR(__xludf.DUMMYFUNCTION("""COMPUTED_VALUE"""),"")</f>
        <v/>
      </c>
      <c r="L380" s="36" t="str">
        <f ca="1">IFERROR(__xludf.DUMMYFUNCTION("""COMPUTED_VALUE"""),"")</f>
        <v/>
      </c>
      <c r="M380" s="36" t="str">
        <f ca="1">IFERROR(__xludf.DUMMYFUNCTION("""COMPUTED_VALUE"""),"")</f>
        <v/>
      </c>
      <c r="N380" s="36" t="str">
        <f ca="1">IFERROR(__xludf.DUMMYFUNCTION("""COMPUTED_VALUE"""),"")</f>
        <v/>
      </c>
      <c r="O380" s="36" t="str">
        <f ca="1">IFERROR(__xludf.DUMMYFUNCTION("""COMPUTED_VALUE"""),"")</f>
        <v/>
      </c>
      <c r="P380" s="36" t="str">
        <f ca="1">IFERROR(__xludf.DUMMYFUNCTION("""COMPUTED_VALUE"""),"")</f>
        <v/>
      </c>
      <c r="Q380" s="36" t="str">
        <f ca="1">IFERROR(__xludf.DUMMYFUNCTION("""COMPUTED_VALUE"""),"")</f>
        <v/>
      </c>
      <c r="R380" s="36" t="str">
        <f ca="1">IFERROR(__xludf.DUMMYFUNCTION("""COMPUTED_VALUE"""),"")</f>
        <v/>
      </c>
      <c r="S380" s="36" t="str">
        <f ca="1">IFERROR(__xludf.DUMMYFUNCTION("""COMPUTED_VALUE"""),"")</f>
        <v/>
      </c>
      <c r="T380" s="36" t="str">
        <f ca="1">IFERROR(__xludf.DUMMYFUNCTION("""COMPUTED_VALUE"""),"")</f>
        <v/>
      </c>
      <c r="U380" s="36" t="str">
        <f ca="1">IFERROR(__xludf.DUMMYFUNCTION("""COMPUTED_VALUE"""),"")</f>
        <v/>
      </c>
      <c r="V380" s="36" t="str">
        <f ca="1">IFERROR(__xludf.DUMMYFUNCTION("""COMPUTED_VALUE"""),"")</f>
        <v/>
      </c>
      <c r="W380" s="36" t="str">
        <f ca="1">IFERROR(__xludf.DUMMYFUNCTION("""COMPUTED_VALUE"""),"")</f>
        <v/>
      </c>
      <c r="X380" s="36"/>
      <c r="Y380" s="36"/>
      <c r="Z380" s="36"/>
    </row>
    <row r="381" spans="1:26" ht="12.75" hidden="1">
      <c r="A381" s="36" t="str">
        <f ca="1">IFERROR(__xludf.DUMMYFUNCTION("""COMPUTED_VALUE"""),"")</f>
        <v/>
      </c>
      <c r="B381" s="36" t="str">
        <f ca="1">IFERROR(__xludf.DUMMYFUNCTION("""COMPUTED_VALUE"""),"")</f>
        <v/>
      </c>
      <c r="C381" s="36" t="str">
        <f ca="1">IFERROR(__xludf.DUMMYFUNCTION("""COMPUTED_VALUE"""),"")</f>
        <v/>
      </c>
      <c r="D381" s="36" t="str">
        <f ca="1">IFERROR(__xludf.DUMMYFUNCTION("""COMPUTED_VALUE"""),"")</f>
        <v/>
      </c>
      <c r="E381" s="36" t="str">
        <f ca="1">IFERROR(__xludf.DUMMYFUNCTION("""COMPUTED_VALUE"""),"")</f>
        <v/>
      </c>
      <c r="F381" s="36" t="str">
        <f ca="1">IFERROR(__xludf.DUMMYFUNCTION("""COMPUTED_VALUE"""),"")</f>
        <v/>
      </c>
      <c r="G381" s="36" t="str">
        <f ca="1">IFERROR(__xludf.DUMMYFUNCTION("""COMPUTED_VALUE"""),"")</f>
        <v/>
      </c>
      <c r="H381" s="36" t="str">
        <f ca="1">IFERROR(__xludf.DUMMYFUNCTION("""COMPUTED_VALUE"""),"")</f>
        <v/>
      </c>
      <c r="I381" s="36" t="str">
        <f ca="1">IFERROR(__xludf.DUMMYFUNCTION("""COMPUTED_VALUE"""),"")</f>
        <v/>
      </c>
      <c r="J381" s="36" t="str">
        <f ca="1">IFERROR(__xludf.DUMMYFUNCTION("""COMPUTED_VALUE"""),"")</f>
        <v/>
      </c>
      <c r="K381" s="36" t="str">
        <f ca="1">IFERROR(__xludf.DUMMYFUNCTION("""COMPUTED_VALUE"""),"")</f>
        <v/>
      </c>
      <c r="L381" s="36" t="str">
        <f ca="1">IFERROR(__xludf.DUMMYFUNCTION("""COMPUTED_VALUE"""),"")</f>
        <v/>
      </c>
      <c r="M381" s="36" t="str">
        <f ca="1">IFERROR(__xludf.DUMMYFUNCTION("""COMPUTED_VALUE"""),"")</f>
        <v/>
      </c>
      <c r="N381" s="36" t="str">
        <f ca="1">IFERROR(__xludf.DUMMYFUNCTION("""COMPUTED_VALUE"""),"")</f>
        <v/>
      </c>
      <c r="O381" s="36" t="str">
        <f ca="1">IFERROR(__xludf.DUMMYFUNCTION("""COMPUTED_VALUE"""),"")</f>
        <v/>
      </c>
      <c r="P381" s="36" t="str">
        <f ca="1">IFERROR(__xludf.DUMMYFUNCTION("""COMPUTED_VALUE"""),"")</f>
        <v/>
      </c>
      <c r="Q381" s="36" t="str">
        <f ca="1">IFERROR(__xludf.DUMMYFUNCTION("""COMPUTED_VALUE"""),"")</f>
        <v/>
      </c>
      <c r="R381" s="36" t="str">
        <f ca="1">IFERROR(__xludf.DUMMYFUNCTION("""COMPUTED_VALUE"""),"")</f>
        <v/>
      </c>
      <c r="S381" s="36" t="str">
        <f ca="1">IFERROR(__xludf.DUMMYFUNCTION("""COMPUTED_VALUE"""),"")</f>
        <v/>
      </c>
      <c r="T381" s="36" t="str">
        <f ca="1">IFERROR(__xludf.DUMMYFUNCTION("""COMPUTED_VALUE"""),"")</f>
        <v/>
      </c>
      <c r="U381" s="36" t="str">
        <f ca="1">IFERROR(__xludf.DUMMYFUNCTION("""COMPUTED_VALUE"""),"")</f>
        <v/>
      </c>
      <c r="V381" s="36" t="str">
        <f ca="1">IFERROR(__xludf.DUMMYFUNCTION("""COMPUTED_VALUE"""),"")</f>
        <v/>
      </c>
      <c r="W381" s="36" t="str">
        <f ca="1">IFERROR(__xludf.DUMMYFUNCTION("""COMPUTED_VALUE"""),"")</f>
        <v/>
      </c>
      <c r="X381" s="36"/>
      <c r="Y381" s="36"/>
      <c r="Z381" s="36"/>
    </row>
    <row r="382" spans="1:26" ht="12.75" hidden="1">
      <c r="A382" s="36" t="str">
        <f ca="1">IFERROR(__xludf.DUMMYFUNCTION("""COMPUTED_VALUE"""),"")</f>
        <v/>
      </c>
      <c r="B382" s="36" t="str">
        <f ca="1">IFERROR(__xludf.DUMMYFUNCTION("""COMPUTED_VALUE"""),"")</f>
        <v/>
      </c>
      <c r="C382" s="36" t="str">
        <f ca="1">IFERROR(__xludf.DUMMYFUNCTION("""COMPUTED_VALUE"""),"")</f>
        <v/>
      </c>
      <c r="D382" s="36" t="str">
        <f ca="1">IFERROR(__xludf.DUMMYFUNCTION("""COMPUTED_VALUE"""),"")</f>
        <v/>
      </c>
      <c r="E382" s="36" t="str">
        <f ca="1">IFERROR(__xludf.DUMMYFUNCTION("""COMPUTED_VALUE"""),"")</f>
        <v/>
      </c>
      <c r="F382" s="36" t="str">
        <f ca="1">IFERROR(__xludf.DUMMYFUNCTION("""COMPUTED_VALUE"""),"")</f>
        <v/>
      </c>
      <c r="G382" s="36" t="str">
        <f ca="1">IFERROR(__xludf.DUMMYFUNCTION("""COMPUTED_VALUE"""),"")</f>
        <v/>
      </c>
      <c r="H382" s="36" t="str">
        <f ca="1">IFERROR(__xludf.DUMMYFUNCTION("""COMPUTED_VALUE"""),"")</f>
        <v/>
      </c>
      <c r="I382" s="36" t="str">
        <f ca="1">IFERROR(__xludf.DUMMYFUNCTION("""COMPUTED_VALUE"""),"")</f>
        <v/>
      </c>
      <c r="J382" s="36" t="str">
        <f ca="1">IFERROR(__xludf.DUMMYFUNCTION("""COMPUTED_VALUE"""),"")</f>
        <v/>
      </c>
      <c r="K382" s="36" t="str">
        <f ca="1">IFERROR(__xludf.DUMMYFUNCTION("""COMPUTED_VALUE"""),"")</f>
        <v/>
      </c>
      <c r="L382" s="36" t="str">
        <f ca="1">IFERROR(__xludf.DUMMYFUNCTION("""COMPUTED_VALUE"""),"")</f>
        <v/>
      </c>
      <c r="M382" s="36" t="str">
        <f ca="1">IFERROR(__xludf.DUMMYFUNCTION("""COMPUTED_VALUE"""),"")</f>
        <v/>
      </c>
      <c r="N382" s="36" t="str">
        <f ca="1">IFERROR(__xludf.DUMMYFUNCTION("""COMPUTED_VALUE"""),"")</f>
        <v/>
      </c>
      <c r="O382" s="36" t="str">
        <f ca="1">IFERROR(__xludf.DUMMYFUNCTION("""COMPUTED_VALUE"""),"")</f>
        <v/>
      </c>
      <c r="P382" s="36" t="str">
        <f ca="1">IFERROR(__xludf.DUMMYFUNCTION("""COMPUTED_VALUE"""),"")</f>
        <v/>
      </c>
      <c r="Q382" s="36" t="str">
        <f ca="1">IFERROR(__xludf.DUMMYFUNCTION("""COMPUTED_VALUE"""),"")</f>
        <v/>
      </c>
      <c r="R382" s="36" t="str">
        <f ca="1">IFERROR(__xludf.DUMMYFUNCTION("""COMPUTED_VALUE"""),"")</f>
        <v/>
      </c>
      <c r="S382" s="36" t="str">
        <f ca="1">IFERROR(__xludf.DUMMYFUNCTION("""COMPUTED_VALUE"""),"")</f>
        <v/>
      </c>
      <c r="T382" s="36" t="str">
        <f ca="1">IFERROR(__xludf.DUMMYFUNCTION("""COMPUTED_VALUE"""),"")</f>
        <v/>
      </c>
      <c r="U382" s="36" t="str">
        <f ca="1">IFERROR(__xludf.DUMMYFUNCTION("""COMPUTED_VALUE"""),"")</f>
        <v/>
      </c>
      <c r="V382" s="36" t="str">
        <f ca="1">IFERROR(__xludf.DUMMYFUNCTION("""COMPUTED_VALUE"""),"")</f>
        <v/>
      </c>
      <c r="W382" s="36" t="str">
        <f ca="1">IFERROR(__xludf.DUMMYFUNCTION("""COMPUTED_VALUE"""),"")</f>
        <v/>
      </c>
      <c r="X382" s="36"/>
      <c r="Y382" s="36"/>
      <c r="Z382" s="36"/>
    </row>
    <row r="383" spans="1:26" ht="12.75" hidden="1">
      <c r="A383" s="36" t="str">
        <f ca="1">IFERROR(__xludf.DUMMYFUNCTION("""COMPUTED_VALUE"""),"")</f>
        <v/>
      </c>
      <c r="B383" s="36" t="str">
        <f ca="1">IFERROR(__xludf.DUMMYFUNCTION("""COMPUTED_VALUE"""),"")</f>
        <v/>
      </c>
      <c r="C383" s="36" t="str">
        <f ca="1">IFERROR(__xludf.DUMMYFUNCTION("""COMPUTED_VALUE"""),"")</f>
        <v/>
      </c>
      <c r="D383" s="36" t="str">
        <f ca="1">IFERROR(__xludf.DUMMYFUNCTION("""COMPUTED_VALUE"""),"")</f>
        <v/>
      </c>
      <c r="E383" s="36" t="str">
        <f ca="1">IFERROR(__xludf.DUMMYFUNCTION("""COMPUTED_VALUE"""),"")</f>
        <v/>
      </c>
      <c r="F383" s="36" t="str">
        <f ca="1">IFERROR(__xludf.DUMMYFUNCTION("""COMPUTED_VALUE"""),"")</f>
        <v/>
      </c>
      <c r="G383" s="36" t="str">
        <f ca="1">IFERROR(__xludf.DUMMYFUNCTION("""COMPUTED_VALUE"""),"")</f>
        <v/>
      </c>
      <c r="H383" s="36" t="str">
        <f ca="1">IFERROR(__xludf.DUMMYFUNCTION("""COMPUTED_VALUE"""),"")</f>
        <v/>
      </c>
      <c r="I383" s="36" t="str">
        <f ca="1">IFERROR(__xludf.DUMMYFUNCTION("""COMPUTED_VALUE"""),"")</f>
        <v/>
      </c>
      <c r="J383" s="36" t="str">
        <f ca="1">IFERROR(__xludf.DUMMYFUNCTION("""COMPUTED_VALUE"""),"")</f>
        <v/>
      </c>
      <c r="K383" s="36" t="str">
        <f ca="1">IFERROR(__xludf.DUMMYFUNCTION("""COMPUTED_VALUE"""),"")</f>
        <v/>
      </c>
      <c r="L383" s="36" t="str">
        <f ca="1">IFERROR(__xludf.DUMMYFUNCTION("""COMPUTED_VALUE"""),"")</f>
        <v/>
      </c>
      <c r="M383" s="36" t="str">
        <f ca="1">IFERROR(__xludf.DUMMYFUNCTION("""COMPUTED_VALUE"""),"")</f>
        <v/>
      </c>
      <c r="N383" s="36" t="str">
        <f ca="1">IFERROR(__xludf.DUMMYFUNCTION("""COMPUTED_VALUE"""),"")</f>
        <v/>
      </c>
      <c r="O383" s="36" t="str">
        <f ca="1">IFERROR(__xludf.DUMMYFUNCTION("""COMPUTED_VALUE"""),"")</f>
        <v/>
      </c>
      <c r="P383" s="36" t="str">
        <f ca="1">IFERROR(__xludf.DUMMYFUNCTION("""COMPUTED_VALUE"""),"")</f>
        <v/>
      </c>
      <c r="Q383" s="36" t="str">
        <f ca="1">IFERROR(__xludf.DUMMYFUNCTION("""COMPUTED_VALUE"""),"")</f>
        <v/>
      </c>
      <c r="R383" s="36" t="str">
        <f ca="1">IFERROR(__xludf.DUMMYFUNCTION("""COMPUTED_VALUE"""),"")</f>
        <v/>
      </c>
      <c r="S383" s="36" t="str">
        <f ca="1">IFERROR(__xludf.DUMMYFUNCTION("""COMPUTED_VALUE"""),"")</f>
        <v/>
      </c>
      <c r="T383" s="36" t="str">
        <f ca="1">IFERROR(__xludf.DUMMYFUNCTION("""COMPUTED_VALUE"""),"")</f>
        <v/>
      </c>
      <c r="U383" s="36" t="str">
        <f ca="1">IFERROR(__xludf.DUMMYFUNCTION("""COMPUTED_VALUE"""),"")</f>
        <v/>
      </c>
      <c r="V383" s="36" t="str">
        <f ca="1">IFERROR(__xludf.DUMMYFUNCTION("""COMPUTED_VALUE"""),"")</f>
        <v/>
      </c>
      <c r="W383" s="36" t="str">
        <f ca="1">IFERROR(__xludf.DUMMYFUNCTION("""COMPUTED_VALUE"""),"")</f>
        <v/>
      </c>
      <c r="X383" s="36"/>
      <c r="Y383" s="36"/>
      <c r="Z383" s="36"/>
    </row>
    <row r="384" spans="1:26" ht="12.75" hidden="1">
      <c r="A384" s="36" t="str">
        <f ca="1">IFERROR(__xludf.DUMMYFUNCTION("""COMPUTED_VALUE"""),"")</f>
        <v/>
      </c>
      <c r="B384" s="36" t="str">
        <f ca="1">IFERROR(__xludf.DUMMYFUNCTION("""COMPUTED_VALUE"""),"")</f>
        <v/>
      </c>
      <c r="C384" s="36" t="str">
        <f ca="1">IFERROR(__xludf.DUMMYFUNCTION("""COMPUTED_VALUE"""),"")</f>
        <v/>
      </c>
      <c r="D384" s="36" t="str">
        <f ca="1">IFERROR(__xludf.DUMMYFUNCTION("""COMPUTED_VALUE"""),"")</f>
        <v/>
      </c>
      <c r="E384" s="36" t="str">
        <f ca="1">IFERROR(__xludf.DUMMYFUNCTION("""COMPUTED_VALUE"""),"")</f>
        <v/>
      </c>
      <c r="F384" s="36" t="str">
        <f ca="1">IFERROR(__xludf.DUMMYFUNCTION("""COMPUTED_VALUE"""),"")</f>
        <v/>
      </c>
      <c r="G384" s="36" t="str">
        <f ca="1">IFERROR(__xludf.DUMMYFUNCTION("""COMPUTED_VALUE"""),"")</f>
        <v/>
      </c>
      <c r="H384" s="36" t="str">
        <f ca="1">IFERROR(__xludf.DUMMYFUNCTION("""COMPUTED_VALUE"""),"")</f>
        <v/>
      </c>
      <c r="I384" s="36" t="str">
        <f ca="1">IFERROR(__xludf.DUMMYFUNCTION("""COMPUTED_VALUE"""),"")</f>
        <v/>
      </c>
      <c r="J384" s="36" t="str">
        <f ca="1">IFERROR(__xludf.DUMMYFUNCTION("""COMPUTED_VALUE"""),"")</f>
        <v/>
      </c>
      <c r="K384" s="36" t="str">
        <f ca="1">IFERROR(__xludf.DUMMYFUNCTION("""COMPUTED_VALUE"""),"")</f>
        <v/>
      </c>
      <c r="L384" s="36" t="str">
        <f ca="1">IFERROR(__xludf.DUMMYFUNCTION("""COMPUTED_VALUE"""),"")</f>
        <v/>
      </c>
      <c r="M384" s="36" t="str">
        <f ca="1">IFERROR(__xludf.DUMMYFUNCTION("""COMPUTED_VALUE"""),"")</f>
        <v/>
      </c>
      <c r="N384" s="36" t="str">
        <f ca="1">IFERROR(__xludf.DUMMYFUNCTION("""COMPUTED_VALUE"""),"")</f>
        <v/>
      </c>
      <c r="O384" s="36" t="str">
        <f ca="1">IFERROR(__xludf.DUMMYFUNCTION("""COMPUTED_VALUE"""),"")</f>
        <v/>
      </c>
      <c r="P384" s="36" t="str">
        <f ca="1">IFERROR(__xludf.DUMMYFUNCTION("""COMPUTED_VALUE"""),"")</f>
        <v/>
      </c>
      <c r="Q384" s="36" t="str">
        <f ca="1">IFERROR(__xludf.DUMMYFUNCTION("""COMPUTED_VALUE"""),"")</f>
        <v/>
      </c>
      <c r="R384" s="36" t="str">
        <f ca="1">IFERROR(__xludf.DUMMYFUNCTION("""COMPUTED_VALUE"""),"")</f>
        <v/>
      </c>
      <c r="S384" s="36" t="str">
        <f ca="1">IFERROR(__xludf.DUMMYFUNCTION("""COMPUTED_VALUE"""),"")</f>
        <v/>
      </c>
      <c r="T384" s="36" t="str">
        <f ca="1">IFERROR(__xludf.DUMMYFUNCTION("""COMPUTED_VALUE"""),"")</f>
        <v/>
      </c>
      <c r="U384" s="36" t="str">
        <f ca="1">IFERROR(__xludf.DUMMYFUNCTION("""COMPUTED_VALUE"""),"")</f>
        <v/>
      </c>
      <c r="V384" s="36" t="str">
        <f ca="1">IFERROR(__xludf.DUMMYFUNCTION("""COMPUTED_VALUE"""),"")</f>
        <v/>
      </c>
      <c r="W384" s="36" t="str">
        <f ca="1">IFERROR(__xludf.DUMMYFUNCTION("""COMPUTED_VALUE"""),"")</f>
        <v/>
      </c>
      <c r="X384" s="36"/>
      <c r="Y384" s="36"/>
      <c r="Z384" s="36"/>
    </row>
    <row r="385" spans="1:26" ht="12.75" hidden="1">
      <c r="A385" s="36" t="str">
        <f ca="1">IFERROR(__xludf.DUMMYFUNCTION("""COMPUTED_VALUE"""),"")</f>
        <v/>
      </c>
      <c r="B385" s="36" t="str">
        <f ca="1">IFERROR(__xludf.DUMMYFUNCTION("""COMPUTED_VALUE"""),"")</f>
        <v/>
      </c>
      <c r="C385" s="36" t="str">
        <f ca="1">IFERROR(__xludf.DUMMYFUNCTION("""COMPUTED_VALUE"""),"")</f>
        <v/>
      </c>
      <c r="D385" s="36" t="str">
        <f ca="1">IFERROR(__xludf.DUMMYFUNCTION("""COMPUTED_VALUE"""),"")</f>
        <v/>
      </c>
      <c r="E385" s="36" t="str">
        <f ca="1">IFERROR(__xludf.DUMMYFUNCTION("""COMPUTED_VALUE"""),"")</f>
        <v/>
      </c>
      <c r="F385" s="36" t="str">
        <f ca="1">IFERROR(__xludf.DUMMYFUNCTION("""COMPUTED_VALUE"""),"")</f>
        <v/>
      </c>
      <c r="G385" s="36" t="str">
        <f ca="1">IFERROR(__xludf.DUMMYFUNCTION("""COMPUTED_VALUE"""),"")</f>
        <v/>
      </c>
      <c r="H385" s="36" t="str">
        <f ca="1">IFERROR(__xludf.DUMMYFUNCTION("""COMPUTED_VALUE"""),"")</f>
        <v/>
      </c>
      <c r="I385" s="36" t="str">
        <f ca="1">IFERROR(__xludf.DUMMYFUNCTION("""COMPUTED_VALUE"""),"")</f>
        <v/>
      </c>
      <c r="J385" s="36" t="str">
        <f ca="1">IFERROR(__xludf.DUMMYFUNCTION("""COMPUTED_VALUE"""),"")</f>
        <v/>
      </c>
      <c r="K385" s="36" t="str">
        <f ca="1">IFERROR(__xludf.DUMMYFUNCTION("""COMPUTED_VALUE"""),"")</f>
        <v/>
      </c>
      <c r="L385" s="36" t="str">
        <f ca="1">IFERROR(__xludf.DUMMYFUNCTION("""COMPUTED_VALUE"""),"")</f>
        <v/>
      </c>
      <c r="M385" s="36" t="str">
        <f ca="1">IFERROR(__xludf.DUMMYFUNCTION("""COMPUTED_VALUE"""),"")</f>
        <v/>
      </c>
      <c r="N385" s="36" t="str">
        <f ca="1">IFERROR(__xludf.DUMMYFUNCTION("""COMPUTED_VALUE"""),"")</f>
        <v/>
      </c>
      <c r="O385" s="36" t="str">
        <f ca="1">IFERROR(__xludf.DUMMYFUNCTION("""COMPUTED_VALUE"""),"")</f>
        <v/>
      </c>
      <c r="P385" s="36" t="str">
        <f ca="1">IFERROR(__xludf.DUMMYFUNCTION("""COMPUTED_VALUE"""),"")</f>
        <v/>
      </c>
      <c r="Q385" s="36" t="str">
        <f ca="1">IFERROR(__xludf.DUMMYFUNCTION("""COMPUTED_VALUE"""),"")</f>
        <v/>
      </c>
      <c r="R385" s="36" t="str">
        <f ca="1">IFERROR(__xludf.DUMMYFUNCTION("""COMPUTED_VALUE"""),"")</f>
        <v/>
      </c>
      <c r="S385" s="36" t="str">
        <f ca="1">IFERROR(__xludf.DUMMYFUNCTION("""COMPUTED_VALUE"""),"")</f>
        <v/>
      </c>
      <c r="T385" s="36" t="str">
        <f ca="1">IFERROR(__xludf.DUMMYFUNCTION("""COMPUTED_VALUE"""),"")</f>
        <v/>
      </c>
      <c r="U385" s="36" t="str">
        <f ca="1">IFERROR(__xludf.DUMMYFUNCTION("""COMPUTED_VALUE"""),"")</f>
        <v/>
      </c>
      <c r="V385" s="36" t="str">
        <f ca="1">IFERROR(__xludf.DUMMYFUNCTION("""COMPUTED_VALUE"""),"")</f>
        <v/>
      </c>
      <c r="W385" s="36" t="str">
        <f ca="1">IFERROR(__xludf.DUMMYFUNCTION("""COMPUTED_VALUE"""),"")</f>
        <v/>
      </c>
      <c r="X385" s="36"/>
      <c r="Y385" s="36"/>
      <c r="Z385" s="36"/>
    </row>
    <row r="386" spans="1:26" ht="12.75" hidden="1">
      <c r="A386" s="36" t="str">
        <f ca="1">IFERROR(__xludf.DUMMYFUNCTION("""COMPUTED_VALUE"""),"")</f>
        <v/>
      </c>
      <c r="B386" s="36" t="str">
        <f ca="1">IFERROR(__xludf.DUMMYFUNCTION("""COMPUTED_VALUE"""),"")</f>
        <v/>
      </c>
      <c r="C386" s="36" t="str">
        <f ca="1">IFERROR(__xludf.DUMMYFUNCTION("""COMPUTED_VALUE"""),"")</f>
        <v/>
      </c>
      <c r="D386" s="36" t="str">
        <f ca="1">IFERROR(__xludf.DUMMYFUNCTION("""COMPUTED_VALUE"""),"")</f>
        <v/>
      </c>
      <c r="E386" s="36" t="str">
        <f ca="1">IFERROR(__xludf.DUMMYFUNCTION("""COMPUTED_VALUE"""),"")</f>
        <v/>
      </c>
      <c r="F386" s="36" t="str">
        <f ca="1">IFERROR(__xludf.DUMMYFUNCTION("""COMPUTED_VALUE"""),"")</f>
        <v/>
      </c>
      <c r="G386" s="36" t="str">
        <f ca="1">IFERROR(__xludf.DUMMYFUNCTION("""COMPUTED_VALUE"""),"")</f>
        <v/>
      </c>
      <c r="H386" s="36" t="str">
        <f ca="1">IFERROR(__xludf.DUMMYFUNCTION("""COMPUTED_VALUE"""),"")</f>
        <v/>
      </c>
      <c r="I386" s="36" t="str">
        <f ca="1">IFERROR(__xludf.DUMMYFUNCTION("""COMPUTED_VALUE"""),"")</f>
        <v/>
      </c>
      <c r="J386" s="36" t="str">
        <f ca="1">IFERROR(__xludf.DUMMYFUNCTION("""COMPUTED_VALUE"""),"")</f>
        <v/>
      </c>
      <c r="K386" s="36" t="str">
        <f ca="1">IFERROR(__xludf.DUMMYFUNCTION("""COMPUTED_VALUE"""),"")</f>
        <v/>
      </c>
      <c r="L386" s="36" t="str">
        <f ca="1">IFERROR(__xludf.DUMMYFUNCTION("""COMPUTED_VALUE"""),"")</f>
        <v/>
      </c>
      <c r="M386" s="36" t="str">
        <f ca="1">IFERROR(__xludf.DUMMYFUNCTION("""COMPUTED_VALUE"""),"")</f>
        <v/>
      </c>
      <c r="N386" s="36" t="str">
        <f ca="1">IFERROR(__xludf.DUMMYFUNCTION("""COMPUTED_VALUE"""),"")</f>
        <v/>
      </c>
      <c r="O386" s="36" t="str">
        <f ca="1">IFERROR(__xludf.DUMMYFUNCTION("""COMPUTED_VALUE"""),"")</f>
        <v/>
      </c>
      <c r="P386" s="36" t="str">
        <f ca="1">IFERROR(__xludf.DUMMYFUNCTION("""COMPUTED_VALUE"""),"")</f>
        <v/>
      </c>
      <c r="Q386" s="36" t="str">
        <f ca="1">IFERROR(__xludf.DUMMYFUNCTION("""COMPUTED_VALUE"""),"")</f>
        <v/>
      </c>
      <c r="R386" s="36" t="str">
        <f ca="1">IFERROR(__xludf.DUMMYFUNCTION("""COMPUTED_VALUE"""),"")</f>
        <v/>
      </c>
      <c r="S386" s="36" t="str">
        <f ca="1">IFERROR(__xludf.DUMMYFUNCTION("""COMPUTED_VALUE"""),"")</f>
        <v/>
      </c>
      <c r="T386" s="36" t="str">
        <f ca="1">IFERROR(__xludf.DUMMYFUNCTION("""COMPUTED_VALUE"""),"")</f>
        <v/>
      </c>
      <c r="U386" s="36" t="str">
        <f ca="1">IFERROR(__xludf.DUMMYFUNCTION("""COMPUTED_VALUE"""),"")</f>
        <v/>
      </c>
      <c r="V386" s="36" t="str">
        <f ca="1">IFERROR(__xludf.DUMMYFUNCTION("""COMPUTED_VALUE"""),"")</f>
        <v/>
      </c>
      <c r="W386" s="36" t="str">
        <f ca="1">IFERROR(__xludf.DUMMYFUNCTION("""COMPUTED_VALUE"""),"")</f>
        <v/>
      </c>
      <c r="X386" s="36"/>
      <c r="Y386" s="36"/>
      <c r="Z386" s="36"/>
    </row>
    <row r="387" spans="1:26" ht="12.75" hidden="1">
      <c r="A387" s="36" t="str">
        <f ca="1">IFERROR(__xludf.DUMMYFUNCTION("""COMPUTED_VALUE"""),"")</f>
        <v/>
      </c>
      <c r="B387" s="36" t="str">
        <f ca="1">IFERROR(__xludf.DUMMYFUNCTION("""COMPUTED_VALUE"""),"")</f>
        <v/>
      </c>
      <c r="C387" s="36" t="str">
        <f ca="1">IFERROR(__xludf.DUMMYFUNCTION("""COMPUTED_VALUE"""),"")</f>
        <v/>
      </c>
      <c r="D387" s="36" t="str">
        <f ca="1">IFERROR(__xludf.DUMMYFUNCTION("""COMPUTED_VALUE"""),"")</f>
        <v/>
      </c>
      <c r="E387" s="36" t="str">
        <f ca="1">IFERROR(__xludf.DUMMYFUNCTION("""COMPUTED_VALUE"""),"")</f>
        <v/>
      </c>
      <c r="F387" s="36" t="str">
        <f ca="1">IFERROR(__xludf.DUMMYFUNCTION("""COMPUTED_VALUE"""),"")</f>
        <v/>
      </c>
      <c r="G387" s="36" t="str">
        <f ca="1">IFERROR(__xludf.DUMMYFUNCTION("""COMPUTED_VALUE"""),"")</f>
        <v/>
      </c>
      <c r="H387" s="36" t="str">
        <f ca="1">IFERROR(__xludf.DUMMYFUNCTION("""COMPUTED_VALUE"""),"")</f>
        <v/>
      </c>
      <c r="I387" s="36" t="str">
        <f ca="1">IFERROR(__xludf.DUMMYFUNCTION("""COMPUTED_VALUE"""),"")</f>
        <v/>
      </c>
      <c r="J387" s="36" t="str">
        <f ca="1">IFERROR(__xludf.DUMMYFUNCTION("""COMPUTED_VALUE"""),"")</f>
        <v/>
      </c>
      <c r="K387" s="36" t="str">
        <f ca="1">IFERROR(__xludf.DUMMYFUNCTION("""COMPUTED_VALUE"""),"")</f>
        <v/>
      </c>
      <c r="L387" s="36" t="str">
        <f ca="1">IFERROR(__xludf.DUMMYFUNCTION("""COMPUTED_VALUE"""),"")</f>
        <v/>
      </c>
      <c r="M387" s="36" t="str">
        <f ca="1">IFERROR(__xludf.DUMMYFUNCTION("""COMPUTED_VALUE"""),"")</f>
        <v/>
      </c>
      <c r="N387" s="36" t="str">
        <f ca="1">IFERROR(__xludf.DUMMYFUNCTION("""COMPUTED_VALUE"""),"")</f>
        <v/>
      </c>
      <c r="O387" s="36" t="str">
        <f ca="1">IFERROR(__xludf.DUMMYFUNCTION("""COMPUTED_VALUE"""),"")</f>
        <v/>
      </c>
      <c r="P387" s="36" t="str">
        <f ca="1">IFERROR(__xludf.DUMMYFUNCTION("""COMPUTED_VALUE"""),"")</f>
        <v/>
      </c>
      <c r="Q387" s="36" t="str">
        <f ca="1">IFERROR(__xludf.DUMMYFUNCTION("""COMPUTED_VALUE"""),"")</f>
        <v/>
      </c>
      <c r="R387" s="36" t="str">
        <f ca="1">IFERROR(__xludf.DUMMYFUNCTION("""COMPUTED_VALUE"""),"")</f>
        <v/>
      </c>
      <c r="S387" s="36" t="str">
        <f ca="1">IFERROR(__xludf.DUMMYFUNCTION("""COMPUTED_VALUE"""),"")</f>
        <v/>
      </c>
      <c r="T387" s="36" t="str">
        <f ca="1">IFERROR(__xludf.DUMMYFUNCTION("""COMPUTED_VALUE"""),"")</f>
        <v/>
      </c>
      <c r="U387" s="36" t="str">
        <f ca="1">IFERROR(__xludf.DUMMYFUNCTION("""COMPUTED_VALUE"""),"")</f>
        <v/>
      </c>
      <c r="V387" s="36" t="str">
        <f ca="1">IFERROR(__xludf.DUMMYFUNCTION("""COMPUTED_VALUE"""),"")</f>
        <v/>
      </c>
      <c r="W387" s="36" t="str">
        <f ca="1">IFERROR(__xludf.DUMMYFUNCTION("""COMPUTED_VALUE"""),"")</f>
        <v/>
      </c>
      <c r="X387" s="36"/>
      <c r="Y387" s="36"/>
      <c r="Z387" s="36"/>
    </row>
    <row r="388" spans="1:26" ht="12.75" hidden="1">
      <c r="A388" s="36" t="str">
        <f ca="1">IFERROR(__xludf.DUMMYFUNCTION("""COMPUTED_VALUE"""),"")</f>
        <v/>
      </c>
      <c r="B388" s="36" t="str">
        <f ca="1">IFERROR(__xludf.DUMMYFUNCTION("""COMPUTED_VALUE"""),"")</f>
        <v/>
      </c>
      <c r="C388" s="36" t="str">
        <f ca="1">IFERROR(__xludf.DUMMYFUNCTION("""COMPUTED_VALUE"""),"")</f>
        <v/>
      </c>
      <c r="D388" s="36" t="str">
        <f ca="1">IFERROR(__xludf.DUMMYFUNCTION("""COMPUTED_VALUE"""),"")</f>
        <v/>
      </c>
      <c r="E388" s="36" t="str">
        <f ca="1">IFERROR(__xludf.DUMMYFUNCTION("""COMPUTED_VALUE"""),"")</f>
        <v/>
      </c>
      <c r="F388" s="36" t="str">
        <f ca="1">IFERROR(__xludf.DUMMYFUNCTION("""COMPUTED_VALUE"""),"")</f>
        <v/>
      </c>
      <c r="G388" s="36" t="str">
        <f ca="1">IFERROR(__xludf.DUMMYFUNCTION("""COMPUTED_VALUE"""),"")</f>
        <v/>
      </c>
      <c r="H388" s="36" t="str">
        <f ca="1">IFERROR(__xludf.DUMMYFUNCTION("""COMPUTED_VALUE"""),"")</f>
        <v/>
      </c>
      <c r="I388" s="36" t="str">
        <f ca="1">IFERROR(__xludf.DUMMYFUNCTION("""COMPUTED_VALUE"""),"")</f>
        <v/>
      </c>
      <c r="J388" s="36" t="str">
        <f ca="1">IFERROR(__xludf.DUMMYFUNCTION("""COMPUTED_VALUE"""),"")</f>
        <v/>
      </c>
      <c r="K388" s="36" t="str">
        <f ca="1">IFERROR(__xludf.DUMMYFUNCTION("""COMPUTED_VALUE"""),"")</f>
        <v/>
      </c>
      <c r="L388" s="36" t="str">
        <f ca="1">IFERROR(__xludf.DUMMYFUNCTION("""COMPUTED_VALUE"""),"")</f>
        <v/>
      </c>
      <c r="M388" s="36" t="str">
        <f ca="1">IFERROR(__xludf.DUMMYFUNCTION("""COMPUTED_VALUE"""),"")</f>
        <v/>
      </c>
      <c r="N388" s="36" t="str">
        <f ca="1">IFERROR(__xludf.DUMMYFUNCTION("""COMPUTED_VALUE"""),"")</f>
        <v/>
      </c>
      <c r="O388" s="36" t="str">
        <f ca="1">IFERROR(__xludf.DUMMYFUNCTION("""COMPUTED_VALUE"""),"")</f>
        <v/>
      </c>
      <c r="P388" s="36" t="str">
        <f ca="1">IFERROR(__xludf.DUMMYFUNCTION("""COMPUTED_VALUE"""),"")</f>
        <v/>
      </c>
      <c r="Q388" s="36" t="str">
        <f ca="1">IFERROR(__xludf.DUMMYFUNCTION("""COMPUTED_VALUE"""),"")</f>
        <v/>
      </c>
      <c r="R388" s="36" t="str">
        <f ca="1">IFERROR(__xludf.DUMMYFUNCTION("""COMPUTED_VALUE"""),"")</f>
        <v/>
      </c>
      <c r="S388" s="36" t="str">
        <f ca="1">IFERROR(__xludf.DUMMYFUNCTION("""COMPUTED_VALUE"""),"")</f>
        <v/>
      </c>
      <c r="T388" s="36" t="str">
        <f ca="1">IFERROR(__xludf.DUMMYFUNCTION("""COMPUTED_VALUE"""),"")</f>
        <v/>
      </c>
      <c r="U388" s="36" t="str">
        <f ca="1">IFERROR(__xludf.DUMMYFUNCTION("""COMPUTED_VALUE"""),"")</f>
        <v/>
      </c>
      <c r="V388" s="36" t="str">
        <f ca="1">IFERROR(__xludf.DUMMYFUNCTION("""COMPUTED_VALUE"""),"")</f>
        <v/>
      </c>
      <c r="W388" s="36" t="str">
        <f ca="1">IFERROR(__xludf.DUMMYFUNCTION("""COMPUTED_VALUE"""),"")</f>
        <v/>
      </c>
      <c r="X388" s="36"/>
      <c r="Y388" s="36"/>
      <c r="Z388" s="36"/>
    </row>
    <row r="389" spans="1:26" ht="12.75" hidden="1">
      <c r="A389" s="36" t="str">
        <f ca="1">IFERROR(__xludf.DUMMYFUNCTION("""COMPUTED_VALUE"""),"")</f>
        <v/>
      </c>
      <c r="B389" s="36" t="str">
        <f ca="1">IFERROR(__xludf.DUMMYFUNCTION("""COMPUTED_VALUE"""),"")</f>
        <v/>
      </c>
      <c r="C389" s="36" t="str">
        <f ca="1">IFERROR(__xludf.DUMMYFUNCTION("""COMPUTED_VALUE"""),"")</f>
        <v/>
      </c>
      <c r="D389" s="36" t="str">
        <f ca="1">IFERROR(__xludf.DUMMYFUNCTION("""COMPUTED_VALUE"""),"")</f>
        <v/>
      </c>
      <c r="E389" s="36" t="str">
        <f ca="1">IFERROR(__xludf.DUMMYFUNCTION("""COMPUTED_VALUE"""),"")</f>
        <v/>
      </c>
      <c r="F389" s="36" t="str">
        <f ca="1">IFERROR(__xludf.DUMMYFUNCTION("""COMPUTED_VALUE"""),"")</f>
        <v/>
      </c>
      <c r="G389" s="36" t="str">
        <f ca="1">IFERROR(__xludf.DUMMYFUNCTION("""COMPUTED_VALUE"""),"")</f>
        <v/>
      </c>
      <c r="H389" s="36" t="str">
        <f ca="1">IFERROR(__xludf.DUMMYFUNCTION("""COMPUTED_VALUE"""),"")</f>
        <v/>
      </c>
      <c r="I389" s="36" t="str">
        <f ca="1">IFERROR(__xludf.DUMMYFUNCTION("""COMPUTED_VALUE"""),"")</f>
        <v/>
      </c>
      <c r="J389" s="36" t="str">
        <f ca="1">IFERROR(__xludf.DUMMYFUNCTION("""COMPUTED_VALUE"""),"")</f>
        <v/>
      </c>
      <c r="K389" s="36" t="str">
        <f ca="1">IFERROR(__xludf.DUMMYFUNCTION("""COMPUTED_VALUE"""),"")</f>
        <v/>
      </c>
      <c r="L389" s="36" t="str">
        <f ca="1">IFERROR(__xludf.DUMMYFUNCTION("""COMPUTED_VALUE"""),"")</f>
        <v/>
      </c>
      <c r="M389" s="36" t="str">
        <f ca="1">IFERROR(__xludf.DUMMYFUNCTION("""COMPUTED_VALUE"""),"")</f>
        <v/>
      </c>
      <c r="N389" s="36" t="str">
        <f ca="1">IFERROR(__xludf.DUMMYFUNCTION("""COMPUTED_VALUE"""),"")</f>
        <v/>
      </c>
      <c r="O389" s="36" t="str">
        <f ca="1">IFERROR(__xludf.DUMMYFUNCTION("""COMPUTED_VALUE"""),"")</f>
        <v/>
      </c>
      <c r="P389" s="36" t="str">
        <f ca="1">IFERROR(__xludf.DUMMYFUNCTION("""COMPUTED_VALUE"""),"")</f>
        <v/>
      </c>
      <c r="Q389" s="36" t="str">
        <f ca="1">IFERROR(__xludf.DUMMYFUNCTION("""COMPUTED_VALUE"""),"")</f>
        <v/>
      </c>
      <c r="R389" s="36" t="str">
        <f ca="1">IFERROR(__xludf.DUMMYFUNCTION("""COMPUTED_VALUE"""),"")</f>
        <v/>
      </c>
      <c r="S389" s="36" t="str">
        <f ca="1">IFERROR(__xludf.DUMMYFUNCTION("""COMPUTED_VALUE"""),"")</f>
        <v/>
      </c>
      <c r="T389" s="36" t="str">
        <f ca="1">IFERROR(__xludf.DUMMYFUNCTION("""COMPUTED_VALUE"""),"")</f>
        <v/>
      </c>
      <c r="U389" s="36" t="str">
        <f ca="1">IFERROR(__xludf.DUMMYFUNCTION("""COMPUTED_VALUE"""),"")</f>
        <v/>
      </c>
      <c r="V389" s="36" t="str">
        <f ca="1">IFERROR(__xludf.DUMMYFUNCTION("""COMPUTED_VALUE"""),"")</f>
        <v/>
      </c>
      <c r="W389" s="36" t="str">
        <f ca="1">IFERROR(__xludf.DUMMYFUNCTION("""COMPUTED_VALUE"""),"")</f>
        <v/>
      </c>
      <c r="X389" s="36"/>
      <c r="Y389" s="36"/>
      <c r="Z389" s="36"/>
    </row>
    <row r="390" spans="1:26" ht="12.75" hidden="1">
      <c r="A390" s="36" t="str">
        <f ca="1">IFERROR(__xludf.DUMMYFUNCTION("""COMPUTED_VALUE"""),"")</f>
        <v/>
      </c>
      <c r="B390" s="36" t="str">
        <f ca="1">IFERROR(__xludf.DUMMYFUNCTION("""COMPUTED_VALUE"""),"")</f>
        <v/>
      </c>
      <c r="C390" s="36" t="str">
        <f ca="1">IFERROR(__xludf.DUMMYFUNCTION("""COMPUTED_VALUE"""),"")</f>
        <v/>
      </c>
      <c r="D390" s="36" t="str">
        <f ca="1">IFERROR(__xludf.DUMMYFUNCTION("""COMPUTED_VALUE"""),"")</f>
        <v/>
      </c>
      <c r="E390" s="36" t="str">
        <f ca="1">IFERROR(__xludf.DUMMYFUNCTION("""COMPUTED_VALUE"""),"")</f>
        <v/>
      </c>
      <c r="F390" s="36" t="str">
        <f ca="1">IFERROR(__xludf.DUMMYFUNCTION("""COMPUTED_VALUE"""),"")</f>
        <v/>
      </c>
      <c r="G390" s="36" t="str">
        <f ca="1">IFERROR(__xludf.DUMMYFUNCTION("""COMPUTED_VALUE"""),"")</f>
        <v/>
      </c>
      <c r="H390" s="36" t="str">
        <f ca="1">IFERROR(__xludf.DUMMYFUNCTION("""COMPUTED_VALUE"""),"")</f>
        <v/>
      </c>
      <c r="I390" s="36" t="str">
        <f ca="1">IFERROR(__xludf.DUMMYFUNCTION("""COMPUTED_VALUE"""),"")</f>
        <v/>
      </c>
      <c r="J390" s="36" t="str">
        <f ca="1">IFERROR(__xludf.DUMMYFUNCTION("""COMPUTED_VALUE"""),"")</f>
        <v/>
      </c>
      <c r="K390" s="36" t="str">
        <f ca="1">IFERROR(__xludf.DUMMYFUNCTION("""COMPUTED_VALUE"""),"")</f>
        <v/>
      </c>
      <c r="L390" s="36" t="str">
        <f ca="1">IFERROR(__xludf.DUMMYFUNCTION("""COMPUTED_VALUE"""),"")</f>
        <v/>
      </c>
      <c r="M390" s="36" t="str">
        <f ca="1">IFERROR(__xludf.DUMMYFUNCTION("""COMPUTED_VALUE"""),"")</f>
        <v/>
      </c>
      <c r="N390" s="36" t="str">
        <f ca="1">IFERROR(__xludf.DUMMYFUNCTION("""COMPUTED_VALUE"""),"")</f>
        <v/>
      </c>
      <c r="O390" s="36" t="str">
        <f ca="1">IFERROR(__xludf.DUMMYFUNCTION("""COMPUTED_VALUE"""),"")</f>
        <v/>
      </c>
      <c r="P390" s="36" t="str">
        <f ca="1">IFERROR(__xludf.DUMMYFUNCTION("""COMPUTED_VALUE"""),"")</f>
        <v/>
      </c>
      <c r="Q390" s="36" t="str">
        <f ca="1">IFERROR(__xludf.DUMMYFUNCTION("""COMPUTED_VALUE"""),"")</f>
        <v/>
      </c>
      <c r="R390" s="36" t="str">
        <f ca="1">IFERROR(__xludf.DUMMYFUNCTION("""COMPUTED_VALUE"""),"")</f>
        <v/>
      </c>
      <c r="S390" s="36" t="str">
        <f ca="1">IFERROR(__xludf.DUMMYFUNCTION("""COMPUTED_VALUE"""),"")</f>
        <v/>
      </c>
      <c r="T390" s="36" t="str">
        <f ca="1">IFERROR(__xludf.DUMMYFUNCTION("""COMPUTED_VALUE"""),"")</f>
        <v/>
      </c>
      <c r="U390" s="36" t="str">
        <f ca="1">IFERROR(__xludf.DUMMYFUNCTION("""COMPUTED_VALUE"""),"")</f>
        <v/>
      </c>
      <c r="V390" s="36" t="str">
        <f ca="1">IFERROR(__xludf.DUMMYFUNCTION("""COMPUTED_VALUE"""),"")</f>
        <v/>
      </c>
      <c r="W390" s="36" t="str">
        <f ca="1">IFERROR(__xludf.DUMMYFUNCTION("""COMPUTED_VALUE"""),"")</f>
        <v/>
      </c>
      <c r="X390" s="36"/>
      <c r="Y390" s="36"/>
      <c r="Z390" s="36"/>
    </row>
    <row r="391" spans="1:26" ht="12.75" hidden="1">
      <c r="A391" s="36" t="str">
        <f ca="1">IFERROR(__xludf.DUMMYFUNCTION("""COMPUTED_VALUE"""),"")</f>
        <v/>
      </c>
      <c r="B391" s="36" t="str">
        <f ca="1">IFERROR(__xludf.DUMMYFUNCTION("""COMPUTED_VALUE"""),"")</f>
        <v/>
      </c>
      <c r="C391" s="36" t="str">
        <f ca="1">IFERROR(__xludf.DUMMYFUNCTION("""COMPUTED_VALUE"""),"")</f>
        <v/>
      </c>
      <c r="D391" s="36" t="str">
        <f ca="1">IFERROR(__xludf.DUMMYFUNCTION("""COMPUTED_VALUE"""),"")</f>
        <v/>
      </c>
      <c r="E391" s="36" t="str">
        <f ca="1">IFERROR(__xludf.DUMMYFUNCTION("""COMPUTED_VALUE"""),"")</f>
        <v/>
      </c>
      <c r="F391" s="36" t="str">
        <f ca="1">IFERROR(__xludf.DUMMYFUNCTION("""COMPUTED_VALUE"""),"")</f>
        <v/>
      </c>
      <c r="G391" s="36" t="str">
        <f ca="1">IFERROR(__xludf.DUMMYFUNCTION("""COMPUTED_VALUE"""),"")</f>
        <v/>
      </c>
      <c r="H391" s="36" t="str">
        <f ca="1">IFERROR(__xludf.DUMMYFUNCTION("""COMPUTED_VALUE"""),"")</f>
        <v/>
      </c>
      <c r="I391" s="36" t="str">
        <f ca="1">IFERROR(__xludf.DUMMYFUNCTION("""COMPUTED_VALUE"""),"")</f>
        <v/>
      </c>
      <c r="J391" s="36" t="str">
        <f ca="1">IFERROR(__xludf.DUMMYFUNCTION("""COMPUTED_VALUE"""),"")</f>
        <v/>
      </c>
      <c r="K391" s="36" t="str">
        <f ca="1">IFERROR(__xludf.DUMMYFUNCTION("""COMPUTED_VALUE"""),"")</f>
        <v/>
      </c>
      <c r="L391" s="36" t="str">
        <f ca="1">IFERROR(__xludf.DUMMYFUNCTION("""COMPUTED_VALUE"""),"")</f>
        <v/>
      </c>
      <c r="M391" s="36" t="str">
        <f ca="1">IFERROR(__xludf.DUMMYFUNCTION("""COMPUTED_VALUE"""),"")</f>
        <v/>
      </c>
      <c r="N391" s="36" t="str">
        <f ca="1">IFERROR(__xludf.DUMMYFUNCTION("""COMPUTED_VALUE"""),"")</f>
        <v/>
      </c>
      <c r="O391" s="36" t="str">
        <f ca="1">IFERROR(__xludf.DUMMYFUNCTION("""COMPUTED_VALUE"""),"")</f>
        <v/>
      </c>
      <c r="P391" s="36" t="str">
        <f ca="1">IFERROR(__xludf.DUMMYFUNCTION("""COMPUTED_VALUE"""),"")</f>
        <v/>
      </c>
      <c r="Q391" s="36" t="str">
        <f ca="1">IFERROR(__xludf.DUMMYFUNCTION("""COMPUTED_VALUE"""),"")</f>
        <v/>
      </c>
      <c r="R391" s="36" t="str">
        <f ca="1">IFERROR(__xludf.DUMMYFUNCTION("""COMPUTED_VALUE"""),"")</f>
        <v/>
      </c>
      <c r="S391" s="36" t="str">
        <f ca="1">IFERROR(__xludf.DUMMYFUNCTION("""COMPUTED_VALUE"""),"")</f>
        <v/>
      </c>
      <c r="T391" s="36" t="str">
        <f ca="1">IFERROR(__xludf.DUMMYFUNCTION("""COMPUTED_VALUE"""),"")</f>
        <v/>
      </c>
      <c r="U391" s="36" t="str">
        <f ca="1">IFERROR(__xludf.DUMMYFUNCTION("""COMPUTED_VALUE"""),"")</f>
        <v/>
      </c>
      <c r="V391" s="36" t="str">
        <f ca="1">IFERROR(__xludf.DUMMYFUNCTION("""COMPUTED_VALUE"""),"")</f>
        <v/>
      </c>
      <c r="W391" s="36" t="str">
        <f ca="1">IFERROR(__xludf.DUMMYFUNCTION("""COMPUTED_VALUE"""),"")</f>
        <v/>
      </c>
      <c r="X391" s="36"/>
      <c r="Y391" s="36"/>
      <c r="Z391" s="36"/>
    </row>
    <row r="392" spans="1:26" ht="12.75" hidden="1">
      <c r="A392" s="36" t="str">
        <f ca="1">IFERROR(__xludf.DUMMYFUNCTION("""COMPUTED_VALUE"""),"")</f>
        <v/>
      </c>
      <c r="B392" s="36" t="str">
        <f ca="1">IFERROR(__xludf.DUMMYFUNCTION("""COMPUTED_VALUE"""),"")</f>
        <v/>
      </c>
      <c r="C392" s="36" t="str">
        <f ca="1">IFERROR(__xludf.DUMMYFUNCTION("""COMPUTED_VALUE"""),"")</f>
        <v/>
      </c>
      <c r="D392" s="36" t="str">
        <f ca="1">IFERROR(__xludf.DUMMYFUNCTION("""COMPUTED_VALUE"""),"")</f>
        <v/>
      </c>
      <c r="E392" s="36" t="str">
        <f ca="1">IFERROR(__xludf.DUMMYFUNCTION("""COMPUTED_VALUE"""),"")</f>
        <v/>
      </c>
      <c r="F392" s="36" t="str">
        <f ca="1">IFERROR(__xludf.DUMMYFUNCTION("""COMPUTED_VALUE"""),"")</f>
        <v/>
      </c>
      <c r="G392" s="36" t="str">
        <f ca="1">IFERROR(__xludf.DUMMYFUNCTION("""COMPUTED_VALUE"""),"")</f>
        <v/>
      </c>
      <c r="H392" s="36" t="str">
        <f ca="1">IFERROR(__xludf.DUMMYFUNCTION("""COMPUTED_VALUE"""),"")</f>
        <v/>
      </c>
      <c r="I392" s="36" t="str">
        <f ca="1">IFERROR(__xludf.DUMMYFUNCTION("""COMPUTED_VALUE"""),"")</f>
        <v/>
      </c>
      <c r="J392" s="36" t="str">
        <f ca="1">IFERROR(__xludf.DUMMYFUNCTION("""COMPUTED_VALUE"""),"")</f>
        <v/>
      </c>
      <c r="K392" s="36" t="str">
        <f ca="1">IFERROR(__xludf.DUMMYFUNCTION("""COMPUTED_VALUE"""),"")</f>
        <v/>
      </c>
      <c r="L392" s="36" t="str">
        <f ca="1">IFERROR(__xludf.DUMMYFUNCTION("""COMPUTED_VALUE"""),"")</f>
        <v/>
      </c>
      <c r="M392" s="36" t="str">
        <f ca="1">IFERROR(__xludf.DUMMYFUNCTION("""COMPUTED_VALUE"""),"")</f>
        <v/>
      </c>
      <c r="N392" s="36" t="str">
        <f ca="1">IFERROR(__xludf.DUMMYFUNCTION("""COMPUTED_VALUE"""),"")</f>
        <v/>
      </c>
      <c r="O392" s="36" t="str">
        <f ca="1">IFERROR(__xludf.DUMMYFUNCTION("""COMPUTED_VALUE"""),"")</f>
        <v/>
      </c>
      <c r="P392" s="36" t="str">
        <f ca="1">IFERROR(__xludf.DUMMYFUNCTION("""COMPUTED_VALUE"""),"")</f>
        <v/>
      </c>
      <c r="Q392" s="36" t="str">
        <f ca="1">IFERROR(__xludf.DUMMYFUNCTION("""COMPUTED_VALUE"""),"")</f>
        <v/>
      </c>
      <c r="R392" s="36" t="str">
        <f ca="1">IFERROR(__xludf.DUMMYFUNCTION("""COMPUTED_VALUE"""),"")</f>
        <v/>
      </c>
      <c r="S392" s="36" t="str">
        <f ca="1">IFERROR(__xludf.DUMMYFUNCTION("""COMPUTED_VALUE"""),"")</f>
        <v/>
      </c>
      <c r="T392" s="36" t="str">
        <f ca="1">IFERROR(__xludf.DUMMYFUNCTION("""COMPUTED_VALUE"""),"")</f>
        <v/>
      </c>
      <c r="U392" s="36" t="str">
        <f ca="1">IFERROR(__xludf.DUMMYFUNCTION("""COMPUTED_VALUE"""),"")</f>
        <v/>
      </c>
      <c r="V392" s="36" t="str">
        <f ca="1">IFERROR(__xludf.DUMMYFUNCTION("""COMPUTED_VALUE"""),"")</f>
        <v/>
      </c>
      <c r="W392" s="36" t="str">
        <f ca="1">IFERROR(__xludf.DUMMYFUNCTION("""COMPUTED_VALUE"""),"")</f>
        <v/>
      </c>
      <c r="X392" s="36"/>
      <c r="Y392" s="36"/>
      <c r="Z392" s="36"/>
    </row>
    <row r="393" spans="1:26" ht="12.75" hidden="1">
      <c r="A393" s="36" t="str">
        <f ca="1">IFERROR(__xludf.DUMMYFUNCTION("""COMPUTED_VALUE"""),"")</f>
        <v/>
      </c>
      <c r="B393" s="36" t="str">
        <f ca="1">IFERROR(__xludf.DUMMYFUNCTION("""COMPUTED_VALUE"""),"")</f>
        <v/>
      </c>
      <c r="C393" s="36" t="str">
        <f ca="1">IFERROR(__xludf.DUMMYFUNCTION("""COMPUTED_VALUE"""),"")</f>
        <v/>
      </c>
      <c r="D393" s="36" t="str">
        <f ca="1">IFERROR(__xludf.DUMMYFUNCTION("""COMPUTED_VALUE"""),"")</f>
        <v/>
      </c>
      <c r="E393" s="36" t="str">
        <f ca="1">IFERROR(__xludf.DUMMYFUNCTION("""COMPUTED_VALUE"""),"")</f>
        <v/>
      </c>
      <c r="F393" s="36" t="str">
        <f ca="1">IFERROR(__xludf.DUMMYFUNCTION("""COMPUTED_VALUE"""),"")</f>
        <v/>
      </c>
      <c r="G393" s="36" t="str">
        <f ca="1">IFERROR(__xludf.DUMMYFUNCTION("""COMPUTED_VALUE"""),"")</f>
        <v/>
      </c>
      <c r="H393" s="36" t="str">
        <f ca="1">IFERROR(__xludf.DUMMYFUNCTION("""COMPUTED_VALUE"""),"")</f>
        <v/>
      </c>
      <c r="I393" s="36" t="str">
        <f ca="1">IFERROR(__xludf.DUMMYFUNCTION("""COMPUTED_VALUE"""),"")</f>
        <v/>
      </c>
      <c r="J393" s="36" t="str">
        <f ca="1">IFERROR(__xludf.DUMMYFUNCTION("""COMPUTED_VALUE"""),"")</f>
        <v/>
      </c>
      <c r="K393" s="36" t="str">
        <f ca="1">IFERROR(__xludf.DUMMYFUNCTION("""COMPUTED_VALUE"""),"")</f>
        <v/>
      </c>
      <c r="L393" s="36" t="str">
        <f ca="1">IFERROR(__xludf.DUMMYFUNCTION("""COMPUTED_VALUE"""),"")</f>
        <v/>
      </c>
      <c r="M393" s="36" t="str">
        <f ca="1">IFERROR(__xludf.DUMMYFUNCTION("""COMPUTED_VALUE"""),"")</f>
        <v/>
      </c>
      <c r="N393" s="36" t="str">
        <f ca="1">IFERROR(__xludf.DUMMYFUNCTION("""COMPUTED_VALUE"""),"")</f>
        <v/>
      </c>
      <c r="O393" s="36" t="str">
        <f ca="1">IFERROR(__xludf.DUMMYFUNCTION("""COMPUTED_VALUE"""),"")</f>
        <v/>
      </c>
      <c r="P393" s="36" t="str">
        <f ca="1">IFERROR(__xludf.DUMMYFUNCTION("""COMPUTED_VALUE"""),"")</f>
        <v/>
      </c>
      <c r="Q393" s="36" t="str">
        <f ca="1">IFERROR(__xludf.DUMMYFUNCTION("""COMPUTED_VALUE"""),"")</f>
        <v/>
      </c>
      <c r="R393" s="36" t="str">
        <f ca="1">IFERROR(__xludf.DUMMYFUNCTION("""COMPUTED_VALUE"""),"")</f>
        <v/>
      </c>
      <c r="S393" s="36" t="str">
        <f ca="1">IFERROR(__xludf.DUMMYFUNCTION("""COMPUTED_VALUE"""),"")</f>
        <v/>
      </c>
      <c r="T393" s="36" t="str">
        <f ca="1">IFERROR(__xludf.DUMMYFUNCTION("""COMPUTED_VALUE"""),"")</f>
        <v/>
      </c>
      <c r="U393" s="36" t="str">
        <f ca="1">IFERROR(__xludf.DUMMYFUNCTION("""COMPUTED_VALUE"""),"")</f>
        <v/>
      </c>
      <c r="V393" s="36" t="str">
        <f ca="1">IFERROR(__xludf.DUMMYFUNCTION("""COMPUTED_VALUE"""),"")</f>
        <v/>
      </c>
      <c r="W393" s="36" t="str">
        <f ca="1">IFERROR(__xludf.DUMMYFUNCTION("""COMPUTED_VALUE"""),"")</f>
        <v/>
      </c>
      <c r="X393" s="36"/>
      <c r="Y393" s="36"/>
      <c r="Z393" s="36"/>
    </row>
    <row r="394" spans="1:26" ht="12.75" hidden="1">
      <c r="A394" s="36" t="str">
        <f ca="1">IFERROR(__xludf.DUMMYFUNCTION("""COMPUTED_VALUE"""),"")</f>
        <v/>
      </c>
      <c r="B394" s="36" t="str">
        <f ca="1">IFERROR(__xludf.DUMMYFUNCTION("""COMPUTED_VALUE"""),"")</f>
        <v/>
      </c>
      <c r="C394" s="36" t="str">
        <f ca="1">IFERROR(__xludf.DUMMYFUNCTION("""COMPUTED_VALUE"""),"")</f>
        <v/>
      </c>
      <c r="D394" s="36" t="str">
        <f ca="1">IFERROR(__xludf.DUMMYFUNCTION("""COMPUTED_VALUE"""),"")</f>
        <v/>
      </c>
      <c r="E394" s="36" t="str">
        <f ca="1">IFERROR(__xludf.DUMMYFUNCTION("""COMPUTED_VALUE"""),"")</f>
        <v/>
      </c>
      <c r="F394" s="36" t="str">
        <f ca="1">IFERROR(__xludf.DUMMYFUNCTION("""COMPUTED_VALUE"""),"")</f>
        <v/>
      </c>
      <c r="G394" s="36" t="str">
        <f ca="1">IFERROR(__xludf.DUMMYFUNCTION("""COMPUTED_VALUE"""),"")</f>
        <v/>
      </c>
      <c r="H394" s="36" t="str">
        <f ca="1">IFERROR(__xludf.DUMMYFUNCTION("""COMPUTED_VALUE"""),"")</f>
        <v/>
      </c>
      <c r="I394" s="36" t="str">
        <f ca="1">IFERROR(__xludf.DUMMYFUNCTION("""COMPUTED_VALUE"""),"")</f>
        <v/>
      </c>
      <c r="J394" s="36" t="str">
        <f ca="1">IFERROR(__xludf.DUMMYFUNCTION("""COMPUTED_VALUE"""),"")</f>
        <v/>
      </c>
      <c r="K394" s="36" t="str">
        <f ca="1">IFERROR(__xludf.DUMMYFUNCTION("""COMPUTED_VALUE"""),"")</f>
        <v/>
      </c>
      <c r="L394" s="36" t="str">
        <f ca="1">IFERROR(__xludf.DUMMYFUNCTION("""COMPUTED_VALUE"""),"")</f>
        <v/>
      </c>
      <c r="M394" s="36" t="str">
        <f ca="1">IFERROR(__xludf.DUMMYFUNCTION("""COMPUTED_VALUE"""),"")</f>
        <v/>
      </c>
      <c r="N394" s="36" t="str">
        <f ca="1">IFERROR(__xludf.DUMMYFUNCTION("""COMPUTED_VALUE"""),"")</f>
        <v/>
      </c>
      <c r="O394" s="36" t="str">
        <f ca="1">IFERROR(__xludf.DUMMYFUNCTION("""COMPUTED_VALUE"""),"")</f>
        <v/>
      </c>
      <c r="P394" s="36" t="str">
        <f ca="1">IFERROR(__xludf.DUMMYFUNCTION("""COMPUTED_VALUE"""),"")</f>
        <v/>
      </c>
      <c r="Q394" s="36" t="str">
        <f ca="1">IFERROR(__xludf.DUMMYFUNCTION("""COMPUTED_VALUE"""),"")</f>
        <v/>
      </c>
      <c r="R394" s="36" t="str">
        <f ca="1">IFERROR(__xludf.DUMMYFUNCTION("""COMPUTED_VALUE"""),"")</f>
        <v/>
      </c>
      <c r="S394" s="36" t="str">
        <f ca="1">IFERROR(__xludf.DUMMYFUNCTION("""COMPUTED_VALUE"""),"")</f>
        <v/>
      </c>
      <c r="T394" s="36" t="str">
        <f ca="1">IFERROR(__xludf.DUMMYFUNCTION("""COMPUTED_VALUE"""),"")</f>
        <v/>
      </c>
      <c r="U394" s="36" t="str">
        <f ca="1">IFERROR(__xludf.DUMMYFUNCTION("""COMPUTED_VALUE"""),"")</f>
        <v/>
      </c>
      <c r="V394" s="36" t="str">
        <f ca="1">IFERROR(__xludf.DUMMYFUNCTION("""COMPUTED_VALUE"""),"")</f>
        <v/>
      </c>
      <c r="W394" s="36" t="str">
        <f ca="1">IFERROR(__xludf.DUMMYFUNCTION("""COMPUTED_VALUE"""),"")</f>
        <v/>
      </c>
      <c r="X394" s="36"/>
      <c r="Y394" s="36"/>
      <c r="Z394" s="36"/>
    </row>
    <row r="395" spans="1:26" ht="12.75" hidden="1">
      <c r="A395" s="36" t="str">
        <f ca="1">IFERROR(__xludf.DUMMYFUNCTION("""COMPUTED_VALUE"""),"")</f>
        <v/>
      </c>
      <c r="B395" s="36" t="str">
        <f ca="1">IFERROR(__xludf.DUMMYFUNCTION("""COMPUTED_VALUE"""),"")</f>
        <v/>
      </c>
      <c r="C395" s="36" t="str">
        <f ca="1">IFERROR(__xludf.DUMMYFUNCTION("""COMPUTED_VALUE"""),"")</f>
        <v/>
      </c>
      <c r="D395" s="36" t="str">
        <f ca="1">IFERROR(__xludf.DUMMYFUNCTION("""COMPUTED_VALUE"""),"")</f>
        <v/>
      </c>
      <c r="E395" s="36" t="str">
        <f ca="1">IFERROR(__xludf.DUMMYFUNCTION("""COMPUTED_VALUE"""),"")</f>
        <v/>
      </c>
      <c r="F395" s="36" t="str">
        <f ca="1">IFERROR(__xludf.DUMMYFUNCTION("""COMPUTED_VALUE"""),"")</f>
        <v/>
      </c>
      <c r="G395" s="36" t="str">
        <f ca="1">IFERROR(__xludf.DUMMYFUNCTION("""COMPUTED_VALUE"""),"")</f>
        <v/>
      </c>
      <c r="H395" s="36" t="str">
        <f ca="1">IFERROR(__xludf.DUMMYFUNCTION("""COMPUTED_VALUE"""),"")</f>
        <v/>
      </c>
      <c r="I395" s="36" t="str">
        <f ca="1">IFERROR(__xludf.DUMMYFUNCTION("""COMPUTED_VALUE"""),"")</f>
        <v/>
      </c>
      <c r="J395" s="36" t="str">
        <f ca="1">IFERROR(__xludf.DUMMYFUNCTION("""COMPUTED_VALUE"""),"")</f>
        <v/>
      </c>
      <c r="K395" s="36" t="str">
        <f ca="1">IFERROR(__xludf.DUMMYFUNCTION("""COMPUTED_VALUE"""),"")</f>
        <v/>
      </c>
      <c r="L395" s="36" t="str">
        <f ca="1">IFERROR(__xludf.DUMMYFUNCTION("""COMPUTED_VALUE"""),"")</f>
        <v/>
      </c>
      <c r="M395" s="36" t="str">
        <f ca="1">IFERROR(__xludf.DUMMYFUNCTION("""COMPUTED_VALUE"""),"")</f>
        <v/>
      </c>
      <c r="N395" s="36" t="str">
        <f ca="1">IFERROR(__xludf.DUMMYFUNCTION("""COMPUTED_VALUE"""),"")</f>
        <v/>
      </c>
      <c r="O395" s="36" t="str">
        <f ca="1">IFERROR(__xludf.DUMMYFUNCTION("""COMPUTED_VALUE"""),"")</f>
        <v/>
      </c>
      <c r="P395" s="36" t="str">
        <f ca="1">IFERROR(__xludf.DUMMYFUNCTION("""COMPUTED_VALUE"""),"")</f>
        <v/>
      </c>
      <c r="Q395" s="36" t="str">
        <f ca="1">IFERROR(__xludf.DUMMYFUNCTION("""COMPUTED_VALUE"""),"")</f>
        <v/>
      </c>
      <c r="R395" s="36" t="str">
        <f ca="1">IFERROR(__xludf.DUMMYFUNCTION("""COMPUTED_VALUE"""),"")</f>
        <v/>
      </c>
      <c r="S395" s="36" t="str">
        <f ca="1">IFERROR(__xludf.DUMMYFUNCTION("""COMPUTED_VALUE"""),"")</f>
        <v/>
      </c>
      <c r="T395" s="36" t="str">
        <f ca="1">IFERROR(__xludf.DUMMYFUNCTION("""COMPUTED_VALUE"""),"")</f>
        <v/>
      </c>
      <c r="U395" s="36" t="str">
        <f ca="1">IFERROR(__xludf.DUMMYFUNCTION("""COMPUTED_VALUE"""),"")</f>
        <v/>
      </c>
      <c r="V395" s="36" t="str">
        <f ca="1">IFERROR(__xludf.DUMMYFUNCTION("""COMPUTED_VALUE"""),"")</f>
        <v/>
      </c>
      <c r="W395" s="36" t="str">
        <f ca="1">IFERROR(__xludf.DUMMYFUNCTION("""COMPUTED_VALUE"""),"")</f>
        <v/>
      </c>
      <c r="X395" s="36"/>
      <c r="Y395" s="36"/>
      <c r="Z395" s="36"/>
    </row>
    <row r="396" spans="1:26" ht="12.75" hidden="1">
      <c r="A396" s="36" t="str">
        <f ca="1">IFERROR(__xludf.DUMMYFUNCTION("""COMPUTED_VALUE"""),"")</f>
        <v/>
      </c>
      <c r="B396" s="36" t="str">
        <f ca="1">IFERROR(__xludf.DUMMYFUNCTION("""COMPUTED_VALUE"""),"")</f>
        <v/>
      </c>
      <c r="C396" s="36" t="str">
        <f ca="1">IFERROR(__xludf.DUMMYFUNCTION("""COMPUTED_VALUE"""),"")</f>
        <v/>
      </c>
      <c r="D396" s="36" t="str">
        <f ca="1">IFERROR(__xludf.DUMMYFUNCTION("""COMPUTED_VALUE"""),"")</f>
        <v/>
      </c>
      <c r="E396" s="36" t="str">
        <f ca="1">IFERROR(__xludf.DUMMYFUNCTION("""COMPUTED_VALUE"""),"")</f>
        <v/>
      </c>
      <c r="F396" s="36" t="str">
        <f ca="1">IFERROR(__xludf.DUMMYFUNCTION("""COMPUTED_VALUE"""),"")</f>
        <v/>
      </c>
      <c r="G396" s="36" t="str">
        <f ca="1">IFERROR(__xludf.DUMMYFUNCTION("""COMPUTED_VALUE"""),"")</f>
        <v/>
      </c>
      <c r="H396" s="36" t="str">
        <f ca="1">IFERROR(__xludf.DUMMYFUNCTION("""COMPUTED_VALUE"""),"")</f>
        <v/>
      </c>
      <c r="I396" s="36" t="str">
        <f ca="1">IFERROR(__xludf.DUMMYFUNCTION("""COMPUTED_VALUE"""),"")</f>
        <v/>
      </c>
      <c r="J396" s="36" t="str">
        <f ca="1">IFERROR(__xludf.DUMMYFUNCTION("""COMPUTED_VALUE"""),"")</f>
        <v/>
      </c>
      <c r="K396" s="36" t="str">
        <f ca="1">IFERROR(__xludf.DUMMYFUNCTION("""COMPUTED_VALUE"""),"")</f>
        <v/>
      </c>
      <c r="L396" s="36" t="str">
        <f ca="1">IFERROR(__xludf.DUMMYFUNCTION("""COMPUTED_VALUE"""),"")</f>
        <v/>
      </c>
      <c r="M396" s="36" t="str">
        <f ca="1">IFERROR(__xludf.DUMMYFUNCTION("""COMPUTED_VALUE"""),"")</f>
        <v/>
      </c>
      <c r="N396" s="36" t="str">
        <f ca="1">IFERROR(__xludf.DUMMYFUNCTION("""COMPUTED_VALUE"""),"")</f>
        <v/>
      </c>
      <c r="O396" s="36" t="str">
        <f ca="1">IFERROR(__xludf.DUMMYFUNCTION("""COMPUTED_VALUE"""),"")</f>
        <v/>
      </c>
      <c r="P396" s="36" t="str">
        <f ca="1">IFERROR(__xludf.DUMMYFUNCTION("""COMPUTED_VALUE"""),"")</f>
        <v/>
      </c>
      <c r="Q396" s="36" t="str">
        <f ca="1">IFERROR(__xludf.DUMMYFUNCTION("""COMPUTED_VALUE"""),"")</f>
        <v/>
      </c>
      <c r="R396" s="36" t="str">
        <f ca="1">IFERROR(__xludf.DUMMYFUNCTION("""COMPUTED_VALUE"""),"")</f>
        <v/>
      </c>
      <c r="S396" s="36" t="str">
        <f ca="1">IFERROR(__xludf.DUMMYFUNCTION("""COMPUTED_VALUE"""),"")</f>
        <v/>
      </c>
      <c r="T396" s="36" t="str">
        <f ca="1">IFERROR(__xludf.DUMMYFUNCTION("""COMPUTED_VALUE"""),"")</f>
        <v/>
      </c>
      <c r="U396" s="36" t="str">
        <f ca="1">IFERROR(__xludf.DUMMYFUNCTION("""COMPUTED_VALUE"""),"")</f>
        <v/>
      </c>
      <c r="V396" s="36" t="str">
        <f ca="1">IFERROR(__xludf.DUMMYFUNCTION("""COMPUTED_VALUE"""),"")</f>
        <v/>
      </c>
      <c r="W396" s="36" t="str">
        <f ca="1">IFERROR(__xludf.DUMMYFUNCTION("""COMPUTED_VALUE"""),"")</f>
        <v/>
      </c>
      <c r="X396" s="36"/>
      <c r="Y396" s="36"/>
      <c r="Z396" s="36"/>
    </row>
    <row r="397" spans="1:26" ht="12.75" hidden="1">
      <c r="A397" s="36" t="str">
        <f ca="1">IFERROR(__xludf.DUMMYFUNCTION("""COMPUTED_VALUE"""),"")</f>
        <v/>
      </c>
      <c r="B397" s="36" t="str">
        <f ca="1">IFERROR(__xludf.DUMMYFUNCTION("""COMPUTED_VALUE"""),"")</f>
        <v/>
      </c>
      <c r="C397" s="36" t="str">
        <f ca="1">IFERROR(__xludf.DUMMYFUNCTION("""COMPUTED_VALUE"""),"")</f>
        <v/>
      </c>
      <c r="D397" s="36" t="str">
        <f ca="1">IFERROR(__xludf.DUMMYFUNCTION("""COMPUTED_VALUE"""),"")</f>
        <v/>
      </c>
      <c r="E397" s="36" t="str">
        <f ca="1">IFERROR(__xludf.DUMMYFUNCTION("""COMPUTED_VALUE"""),"")</f>
        <v/>
      </c>
      <c r="F397" s="36" t="str">
        <f ca="1">IFERROR(__xludf.DUMMYFUNCTION("""COMPUTED_VALUE"""),"")</f>
        <v/>
      </c>
      <c r="G397" s="36" t="str">
        <f ca="1">IFERROR(__xludf.DUMMYFUNCTION("""COMPUTED_VALUE"""),"")</f>
        <v/>
      </c>
      <c r="H397" s="36" t="str">
        <f ca="1">IFERROR(__xludf.DUMMYFUNCTION("""COMPUTED_VALUE"""),"")</f>
        <v/>
      </c>
      <c r="I397" s="36" t="str">
        <f ca="1">IFERROR(__xludf.DUMMYFUNCTION("""COMPUTED_VALUE"""),"")</f>
        <v/>
      </c>
      <c r="J397" s="36" t="str">
        <f ca="1">IFERROR(__xludf.DUMMYFUNCTION("""COMPUTED_VALUE"""),"")</f>
        <v/>
      </c>
      <c r="K397" s="36" t="str">
        <f ca="1">IFERROR(__xludf.DUMMYFUNCTION("""COMPUTED_VALUE"""),"")</f>
        <v/>
      </c>
      <c r="L397" s="36" t="str">
        <f ca="1">IFERROR(__xludf.DUMMYFUNCTION("""COMPUTED_VALUE"""),"")</f>
        <v/>
      </c>
      <c r="M397" s="36" t="str">
        <f ca="1">IFERROR(__xludf.DUMMYFUNCTION("""COMPUTED_VALUE"""),"")</f>
        <v/>
      </c>
      <c r="N397" s="36" t="str">
        <f ca="1">IFERROR(__xludf.DUMMYFUNCTION("""COMPUTED_VALUE"""),"")</f>
        <v/>
      </c>
      <c r="O397" s="36" t="str">
        <f ca="1">IFERROR(__xludf.DUMMYFUNCTION("""COMPUTED_VALUE"""),"")</f>
        <v/>
      </c>
      <c r="P397" s="36" t="str">
        <f ca="1">IFERROR(__xludf.DUMMYFUNCTION("""COMPUTED_VALUE"""),"")</f>
        <v/>
      </c>
      <c r="Q397" s="36" t="str">
        <f ca="1">IFERROR(__xludf.DUMMYFUNCTION("""COMPUTED_VALUE"""),"")</f>
        <v/>
      </c>
      <c r="R397" s="36" t="str">
        <f ca="1">IFERROR(__xludf.DUMMYFUNCTION("""COMPUTED_VALUE"""),"")</f>
        <v/>
      </c>
      <c r="S397" s="36" t="str">
        <f ca="1">IFERROR(__xludf.DUMMYFUNCTION("""COMPUTED_VALUE"""),"")</f>
        <v/>
      </c>
      <c r="T397" s="36" t="str">
        <f ca="1">IFERROR(__xludf.DUMMYFUNCTION("""COMPUTED_VALUE"""),"")</f>
        <v/>
      </c>
      <c r="U397" s="36" t="str">
        <f ca="1">IFERROR(__xludf.DUMMYFUNCTION("""COMPUTED_VALUE"""),"")</f>
        <v/>
      </c>
      <c r="V397" s="36" t="str">
        <f ca="1">IFERROR(__xludf.DUMMYFUNCTION("""COMPUTED_VALUE"""),"")</f>
        <v/>
      </c>
      <c r="W397" s="36" t="str">
        <f ca="1">IFERROR(__xludf.DUMMYFUNCTION("""COMPUTED_VALUE"""),"")</f>
        <v/>
      </c>
      <c r="X397" s="36"/>
      <c r="Y397" s="36"/>
      <c r="Z397" s="36"/>
    </row>
    <row r="398" spans="1:26" ht="12.75" hidden="1">
      <c r="A398" s="36" t="str">
        <f ca="1">IFERROR(__xludf.DUMMYFUNCTION("""COMPUTED_VALUE"""),"")</f>
        <v/>
      </c>
      <c r="B398" s="36" t="str">
        <f ca="1">IFERROR(__xludf.DUMMYFUNCTION("""COMPUTED_VALUE"""),"")</f>
        <v/>
      </c>
      <c r="C398" s="36" t="str">
        <f ca="1">IFERROR(__xludf.DUMMYFUNCTION("""COMPUTED_VALUE"""),"")</f>
        <v/>
      </c>
      <c r="D398" s="36" t="str">
        <f ca="1">IFERROR(__xludf.DUMMYFUNCTION("""COMPUTED_VALUE"""),"")</f>
        <v/>
      </c>
      <c r="E398" s="36" t="str">
        <f ca="1">IFERROR(__xludf.DUMMYFUNCTION("""COMPUTED_VALUE"""),"")</f>
        <v/>
      </c>
      <c r="F398" s="36" t="str">
        <f ca="1">IFERROR(__xludf.DUMMYFUNCTION("""COMPUTED_VALUE"""),"")</f>
        <v/>
      </c>
      <c r="G398" s="36" t="str">
        <f ca="1">IFERROR(__xludf.DUMMYFUNCTION("""COMPUTED_VALUE"""),"")</f>
        <v/>
      </c>
      <c r="H398" s="36" t="str">
        <f ca="1">IFERROR(__xludf.DUMMYFUNCTION("""COMPUTED_VALUE"""),"")</f>
        <v/>
      </c>
      <c r="I398" s="36" t="str">
        <f ca="1">IFERROR(__xludf.DUMMYFUNCTION("""COMPUTED_VALUE"""),"")</f>
        <v/>
      </c>
      <c r="J398" s="36" t="str">
        <f ca="1">IFERROR(__xludf.DUMMYFUNCTION("""COMPUTED_VALUE"""),"")</f>
        <v/>
      </c>
      <c r="K398" s="36" t="str">
        <f ca="1">IFERROR(__xludf.DUMMYFUNCTION("""COMPUTED_VALUE"""),"")</f>
        <v/>
      </c>
      <c r="L398" s="36" t="str">
        <f ca="1">IFERROR(__xludf.DUMMYFUNCTION("""COMPUTED_VALUE"""),"")</f>
        <v/>
      </c>
      <c r="M398" s="36" t="str">
        <f ca="1">IFERROR(__xludf.DUMMYFUNCTION("""COMPUTED_VALUE"""),"")</f>
        <v/>
      </c>
      <c r="N398" s="36" t="str">
        <f ca="1">IFERROR(__xludf.DUMMYFUNCTION("""COMPUTED_VALUE"""),"")</f>
        <v/>
      </c>
      <c r="O398" s="36" t="str">
        <f ca="1">IFERROR(__xludf.DUMMYFUNCTION("""COMPUTED_VALUE"""),"")</f>
        <v/>
      </c>
      <c r="P398" s="36" t="str">
        <f ca="1">IFERROR(__xludf.DUMMYFUNCTION("""COMPUTED_VALUE"""),"")</f>
        <v/>
      </c>
      <c r="Q398" s="36" t="str">
        <f ca="1">IFERROR(__xludf.DUMMYFUNCTION("""COMPUTED_VALUE"""),"")</f>
        <v/>
      </c>
      <c r="R398" s="36" t="str">
        <f ca="1">IFERROR(__xludf.DUMMYFUNCTION("""COMPUTED_VALUE"""),"")</f>
        <v/>
      </c>
      <c r="S398" s="36" t="str">
        <f ca="1">IFERROR(__xludf.DUMMYFUNCTION("""COMPUTED_VALUE"""),"")</f>
        <v/>
      </c>
      <c r="T398" s="36" t="str">
        <f ca="1">IFERROR(__xludf.DUMMYFUNCTION("""COMPUTED_VALUE"""),"")</f>
        <v/>
      </c>
      <c r="U398" s="36" t="str">
        <f ca="1">IFERROR(__xludf.DUMMYFUNCTION("""COMPUTED_VALUE"""),"")</f>
        <v/>
      </c>
      <c r="V398" s="36" t="str">
        <f ca="1">IFERROR(__xludf.DUMMYFUNCTION("""COMPUTED_VALUE"""),"")</f>
        <v/>
      </c>
      <c r="W398" s="36" t="str">
        <f ca="1">IFERROR(__xludf.DUMMYFUNCTION("""COMPUTED_VALUE"""),"")</f>
        <v/>
      </c>
      <c r="X398" s="36"/>
      <c r="Y398" s="36"/>
      <c r="Z398" s="36"/>
    </row>
    <row r="399" spans="1:26" ht="12.75" hidden="1">
      <c r="A399" s="36" t="str">
        <f ca="1">IFERROR(__xludf.DUMMYFUNCTION("""COMPUTED_VALUE"""),"")</f>
        <v/>
      </c>
      <c r="B399" s="36" t="str">
        <f ca="1">IFERROR(__xludf.DUMMYFUNCTION("""COMPUTED_VALUE"""),"")</f>
        <v/>
      </c>
      <c r="C399" s="36" t="str">
        <f ca="1">IFERROR(__xludf.DUMMYFUNCTION("""COMPUTED_VALUE"""),"")</f>
        <v/>
      </c>
      <c r="D399" s="36" t="str">
        <f ca="1">IFERROR(__xludf.DUMMYFUNCTION("""COMPUTED_VALUE"""),"")</f>
        <v/>
      </c>
      <c r="E399" s="36" t="str">
        <f ca="1">IFERROR(__xludf.DUMMYFUNCTION("""COMPUTED_VALUE"""),"")</f>
        <v/>
      </c>
      <c r="F399" s="36" t="str">
        <f ca="1">IFERROR(__xludf.DUMMYFUNCTION("""COMPUTED_VALUE"""),"")</f>
        <v/>
      </c>
      <c r="G399" s="36" t="str">
        <f ca="1">IFERROR(__xludf.DUMMYFUNCTION("""COMPUTED_VALUE"""),"")</f>
        <v/>
      </c>
      <c r="H399" s="36" t="str">
        <f ca="1">IFERROR(__xludf.DUMMYFUNCTION("""COMPUTED_VALUE"""),"")</f>
        <v/>
      </c>
      <c r="I399" s="36" t="str">
        <f ca="1">IFERROR(__xludf.DUMMYFUNCTION("""COMPUTED_VALUE"""),"")</f>
        <v/>
      </c>
      <c r="J399" s="36" t="str">
        <f ca="1">IFERROR(__xludf.DUMMYFUNCTION("""COMPUTED_VALUE"""),"")</f>
        <v/>
      </c>
      <c r="K399" s="36" t="str">
        <f ca="1">IFERROR(__xludf.DUMMYFUNCTION("""COMPUTED_VALUE"""),"")</f>
        <v/>
      </c>
      <c r="L399" s="36" t="str">
        <f ca="1">IFERROR(__xludf.DUMMYFUNCTION("""COMPUTED_VALUE"""),"")</f>
        <v/>
      </c>
      <c r="M399" s="36" t="str">
        <f ca="1">IFERROR(__xludf.DUMMYFUNCTION("""COMPUTED_VALUE"""),"")</f>
        <v/>
      </c>
      <c r="N399" s="36" t="str">
        <f ca="1">IFERROR(__xludf.DUMMYFUNCTION("""COMPUTED_VALUE"""),"")</f>
        <v/>
      </c>
      <c r="O399" s="36" t="str">
        <f ca="1">IFERROR(__xludf.DUMMYFUNCTION("""COMPUTED_VALUE"""),"")</f>
        <v/>
      </c>
      <c r="P399" s="36" t="str">
        <f ca="1">IFERROR(__xludf.DUMMYFUNCTION("""COMPUTED_VALUE"""),"")</f>
        <v/>
      </c>
      <c r="Q399" s="36" t="str">
        <f ca="1">IFERROR(__xludf.DUMMYFUNCTION("""COMPUTED_VALUE"""),"")</f>
        <v/>
      </c>
      <c r="R399" s="36" t="str">
        <f ca="1">IFERROR(__xludf.DUMMYFUNCTION("""COMPUTED_VALUE"""),"")</f>
        <v/>
      </c>
      <c r="S399" s="36" t="str">
        <f ca="1">IFERROR(__xludf.DUMMYFUNCTION("""COMPUTED_VALUE"""),"")</f>
        <v/>
      </c>
      <c r="T399" s="36" t="str">
        <f ca="1">IFERROR(__xludf.DUMMYFUNCTION("""COMPUTED_VALUE"""),"")</f>
        <v/>
      </c>
      <c r="U399" s="36" t="str">
        <f ca="1">IFERROR(__xludf.DUMMYFUNCTION("""COMPUTED_VALUE"""),"")</f>
        <v/>
      </c>
      <c r="V399" s="36" t="str">
        <f ca="1">IFERROR(__xludf.DUMMYFUNCTION("""COMPUTED_VALUE"""),"")</f>
        <v/>
      </c>
      <c r="W399" s="36" t="str">
        <f ca="1">IFERROR(__xludf.DUMMYFUNCTION("""COMPUTED_VALUE"""),"")</f>
        <v/>
      </c>
      <c r="X399" s="36"/>
      <c r="Y399" s="36"/>
      <c r="Z399" s="36"/>
    </row>
    <row r="400" spans="1:26" ht="12.75" hidden="1">
      <c r="A400" s="36" t="str">
        <f ca="1">IFERROR(__xludf.DUMMYFUNCTION("""COMPUTED_VALUE"""),"")</f>
        <v/>
      </c>
      <c r="B400" s="36" t="str">
        <f ca="1">IFERROR(__xludf.DUMMYFUNCTION("""COMPUTED_VALUE"""),"")</f>
        <v/>
      </c>
      <c r="C400" s="36" t="str">
        <f ca="1">IFERROR(__xludf.DUMMYFUNCTION("""COMPUTED_VALUE"""),"")</f>
        <v/>
      </c>
      <c r="D400" s="36" t="str">
        <f ca="1">IFERROR(__xludf.DUMMYFUNCTION("""COMPUTED_VALUE"""),"")</f>
        <v/>
      </c>
      <c r="E400" s="36" t="str">
        <f ca="1">IFERROR(__xludf.DUMMYFUNCTION("""COMPUTED_VALUE"""),"")</f>
        <v/>
      </c>
      <c r="F400" s="36" t="str">
        <f ca="1">IFERROR(__xludf.DUMMYFUNCTION("""COMPUTED_VALUE"""),"")</f>
        <v/>
      </c>
      <c r="G400" s="36" t="str">
        <f ca="1">IFERROR(__xludf.DUMMYFUNCTION("""COMPUTED_VALUE"""),"")</f>
        <v/>
      </c>
      <c r="H400" s="36" t="str">
        <f ca="1">IFERROR(__xludf.DUMMYFUNCTION("""COMPUTED_VALUE"""),"")</f>
        <v/>
      </c>
      <c r="I400" s="36" t="str">
        <f ca="1">IFERROR(__xludf.DUMMYFUNCTION("""COMPUTED_VALUE"""),"")</f>
        <v/>
      </c>
      <c r="J400" s="36" t="str">
        <f ca="1">IFERROR(__xludf.DUMMYFUNCTION("""COMPUTED_VALUE"""),"")</f>
        <v/>
      </c>
      <c r="K400" s="36" t="str">
        <f ca="1">IFERROR(__xludf.DUMMYFUNCTION("""COMPUTED_VALUE"""),"")</f>
        <v/>
      </c>
      <c r="L400" s="36" t="str">
        <f ca="1">IFERROR(__xludf.DUMMYFUNCTION("""COMPUTED_VALUE"""),"")</f>
        <v/>
      </c>
      <c r="M400" s="36" t="str">
        <f ca="1">IFERROR(__xludf.DUMMYFUNCTION("""COMPUTED_VALUE"""),"")</f>
        <v/>
      </c>
      <c r="N400" s="36" t="str">
        <f ca="1">IFERROR(__xludf.DUMMYFUNCTION("""COMPUTED_VALUE"""),"")</f>
        <v/>
      </c>
      <c r="O400" s="36" t="str">
        <f ca="1">IFERROR(__xludf.DUMMYFUNCTION("""COMPUTED_VALUE"""),"")</f>
        <v/>
      </c>
      <c r="P400" s="36" t="str">
        <f ca="1">IFERROR(__xludf.DUMMYFUNCTION("""COMPUTED_VALUE"""),"")</f>
        <v/>
      </c>
      <c r="Q400" s="36" t="str">
        <f ca="1">IFERROR(__xludf.DUMMYFUNCTION("""COMPUTED_VALUE"""),"")</f>
        <v/>
      </c>
      <c r="R400" s="36" t="str">
        <f ca="1">IFERROR(__xludf.DUMMYFUNCTION("""COMPUTED_VALUE"""),"")</f>
        <v/>
      </c>
      <c r="S400" s="36" t="str">
        <f ca="1">IFERROR(__xludf.DUMMYFUNCTION("""COMPUTED_VALUE"""),"")</f>
        <v/>
      </c>
      <c r="T400" s="36" t="str">
        <f ca="1">IFERROR(__xludf.DUMMYFUNCTION("""COMPUTED_VALUE"""),"")</f>
        <v/>
      </c>
      <c r="U400" s="36" t="str">
        <f ca="1">IFERROR(__xludf.DUMMYFUNCTION("""COMPUTED_VALUE"""),"")</f>
        <v/>
      </c>
      <c r="V400" s="36" t="str">
        <f ca="1">IFERROR(__xludf.DUMMYFUNCTION("""COMPUTED_VALUE"""),"")</f>
        <v/>
      </c>
      <c r="W400" s="36" t="str">
        <f ca="1">IFERROR(__xludf.DUMMYFUNCTION("""COMPUTED_VALUE"""),"")</f>
        <v/>
      </c>
      <c r="X400" s="36"/>
      <c r="Y400" s="36"/>
      <c r="Z400" s="36"/>
    </row>
    <row r="401" spans="1:26" ht="12.75" hidden="1">
      <c r="A401" s="36" t="str">
        <f ca="1">IFERROR(__xludf.DUMMYFUNCTION("""COMPUTED_VALUE"""),"")</f>
        <v/>
      </c>
      <c r="B401" s="36" t="str">
        <f ca="1">IFERROR(__xludf.DUMMYFUNCTION("""COMPUTED_VALUE"""),"")</f>
        <v/>
      </c>
      <c r="C401" s="36" t="str">
        <f ca="1">IFERROR(__xludf.DUMMYFUNCTION("""COMPUTED_VALUE"""),"")</f>
        <v/>
      </c>
      <c r="D401" s="36" t="str">
        <f ca="1">IFERROR(__xludf.DUMMYFUNCTION("""COMPUTED_VALUE"""),"")</f>
        <v/>
      </c>
      <c r="E401" s="36" t="str">
        <f ca="1">IFERROR(__xludf.DUMMYFUNCTION("""COMPUTED_VALUE"""),"")</f>
        <v/>
      </c>
      <c r="F401" s="36" t="str">
        <f ca="1">IFERROR(__xludf.DUMMYFUNCTION("""COMPUTED_VALUE"""),"")</f>
        <v/>
      </c>
      <c r="G401" s="36" t="str">
        <f ca="1">IFERROR(__xludf.DUMMYFUNCTION("""COMPUTED_VALUE"""),"")</f>
        <v/>
      </c>
      <c r="H401" s="36" t="str">
        <f ca="1">IFERROR(__xludf.DUMMYFUNCTION("""COMPUTED_VALUE"""),"")</f>
        <v/>
      </c>
      <c r="I401" s="36" t="str">
        <f ca="1">IFERROR(__xludf.DUMMYFUNCTION("""COMPUTED_VALUE"""),"")</f>
        <v/>
      </c>
      <c r="J401" s="36" t="str">
        <f ca="1">IFERROR(__xludf.DUMMYFUNCTION("""COMPUTED_VALUE"""),"")</f>
        <v/>
      </c>
      <c r="K401" s="36" t="str">
        <f ca="1">IFERROR(__xludf.DUMMYFUNCTION("""COMPUTED_VALUE"""),"")</f>
        <v/>
      </c>
      <c r="L401" s="36" t="str">
        <f ca="1">IFERROR(__xludf.DUMMYFUNCTION("""COMPUTED_VALUE"""),"")</f>
        <v/>
      </c>
      <c r="M401" s="36" t="str">
        <f ca="1">IFERROR(__xludf.DUMMYFUNCTION("""COMPUTED_VALUE"""),"")</f>
        <v/>
      </c>
      <c r="N401" s="36" t="str">
        <f ca="1">IFERROR(__xludf.DUMMYFUNCTION("""COMPUTED_VALUE"""),"")</f>
        <v/>
      </c>
      <c r="O401" s="36" t="str">
        <f ca="1">IFERROR(__xludf.DUMMYFUNCTION("""COMPUTED_VALUE"""),"")</f>
        <v/>
      </c>
      <c r="P401" s="36" t="str">
        <f ca="1">IFERROR(__xludf.DUMMYFUNCTION("""COMPUTED_VALUE"""),"")</f>
        <v/>
      </c>
      <c r="Q401" s="36" t="str">
        <f ca="1">IFERROR(__xludf.DUMMYFUNCTION("""COMPUTED_VALUE"""),"")</f>
        <v/>
      </c>
      <c r="R401" s="36" t="str">
        <f ca="1">IFERROR(__xludf.DUMMYFUNCTION("""COMPUTED_VALUE"""),"")</f>
        <v/>
      </c>
      <c r="S401" s="36" t="str">
        <f ca="1">IFERROR(__xludf.DUMMYFUNCTION("""COMPUTED_VALUE"""),"")</f>
        <v/>
      </c>
      <c r="T401" s="36" t="str">
        <f ca="1">IFERROR(__xludf.DUMMYFUNCTION("""COMPUTED_VALUE"""),"")</f>
        <v/>
      </c>
      <c r="U401" s="36" t="str">
        <f ca="1">IFERROR(__xludf.DUMMYFUNCTION("""COMPUTED_VALUE"""),"")</f>
        <v/>
      </c>
      <c r="V401" s="36" t="str">
        <f ca="1">IFERROR(__xludf.DUMMYFUNCTION("""COMPUTED_VALUE"""),"")</f>
        <v/>
      </c>
      <c r="W401" s="36" t="str">
        <f ca="1">IFERROR(__xludf.DUMMYFUNCTION("""COMPUTED_VALUE"""),"")</f>
        <v/>
      </c>
      <c r="X401" s="36"/>
      <c r="Y401" s="36"/>
      <c r="Z401" s="36"/>
    </row>
    <row r="402" spans="1:26" ht="12.75" hidden="1">
      <c r="A402" s="36" t="str">
        <f ca="1">IFERROR(__xludf.DUMMYFUNCTION("""COMPUTED_VALUE"""),"")</f>
        <v/>
      </c>
      <c r="B402" s="36" t="str">
        <f ca="1">IFERROR(__xludf.DUMMYFUNCTION("""COMPUTED_VALUE"""),"")</f>
        <v/>
      </c>
      <c r="C402" s="36" t="str">
        <f ca="1">IFERROR(__xludf.DUMMYFUNCTION("""COMPUTED_VALUE"""),"")</f>
        <v/>
      </c>
      <c r="D402" s="36" t="str">
        <f ca="1">IFERROR(__xludf.DUMMYFUNCTION("""COMPUTED_VALUE"""),"")</f>
        <v/>
      </c>
      <c r="E402" s="36" t="str">
        <f ca="1">IFERROR(__xludf.DUMMYFUNCTION("""COMPUTED_VALUE"""),"")</f>
        <v/>
      </c>
      <c r="F402" s="36" t="str">
        <f ca="1">IFERROR(__xludf.DUMMYFUNCTION("""COMPUTED_VALUE"""),"")</f>
        <v/>
      </c>
      <c r="G402" s="36" t="str">
        <f ca="1">IFERROR(__xludf.DUMMYFUNCTION("""COMPUTED_VALUE"""),"")</f>
        <v/>
      </c>
      <c r="H402" s="36" t="str">
        <f ca="1">IFERROR(__xludf.DUMMYFUNCTION("""COMPUTED_VALUE"""),"")</f>
        <v/>
      </c>
      <c r="I402" s="36" t="str">
        <f ca="1">IFERROR(__xludf.DUMMYFUNCTION("""COMPUTED_VALUE"""),"")</f>
        <v/>
      </c>
      <c r="J402" s="36" t="str">
        <f ca="1">IFERROR(__xludf.DUMMYFUNCTION("""COMPUTED_VALUE"""),"")</f>
        <v/>
      </c>
      <c r="K402" s="36" t="str">
        <f ca="1">IFERROR(__xludf.DUMMYFUNCTION("""COMPUTED_VALUE"""),"")</f>
        <v/>
      </c>
      <c r="L402" s="36" t="str">
        <f ca="1">IFERROR(__xludf.DUMMYFUNCTION("""COMPUTED_VALUE"""),"")</f>
        <v/>
      </c>
      <c r="M402" s="36" t="str">
        <f ca="1">IFERROR(__xludf.DUMMYFUNCTION("""COMPUTED_VALUE"""),"")</f>
        <v/>
      </c>
      <c r="N402" s="36" t="str">
        <f ca="1">IFERROR(__xludf.DUMMYFUNCTION("""COMPUTED_VALUE"""),"")</f>
        <v/>
      </c>
      <c r="O402" s="36" t="str">
        <f ca="1">IFERROR(__xludf.DUMMYFUNCTION("""COMPUTED_VALUE"""),"")</f>
        <v/>
      </c>
      <c r="P402" s="36" t="str">
        <f ca="1">IFERROR(__xludf.DUMMYFUNCTION("""COMPUTED_VALUE"""),"")</f>
        <v/>
      </c>
      <c r="Q402" s="36" t="str">
        <f ca="1">IFERROR(__xludf.DUMMYFUNCTION("""COMPUTED_VALUE"""),"")</f>
        <v/>
      </c>
      <c r="R402" s="36" t="str">
        <f ca="1">IFERROR(__xludf.DUMMYFUNCTION("""COMPUTED_VALUE"""),"")</f>
        <v/>
      </c>
      <c r="S402" s="36" t="str">
        <f ca="1">IFERROR(__xludf.DUMMYFUNCTION("""COMPUTED_VALUE"""),"")</f>
        <v/>
      </c>
      <c r="T402" s="36" t="str">
        <f ca="1">IFERROR(__xludf.DUMMYFUNCTION("""COMPUTED_VALUE"""),"")</f>
        <v/>
      </c>
      <c r="U402" s="36" t="str">
        <f ca="1">IFERROR(__xludf.DUMMYFUNCTION("""COMPUTED_VALUE"""),"")</f>
        <v/>
      </c>
      <c r="V402" s="36" t="str">
        <f ca="1">IFERROR(__xludf.DUMMYFUNCTION("""COMPUTED_VALUE"""),"")</f>
        <v/>
      </c>
      <c r="W402" s="36" t="str">
        <f ca="1">IFERROR(__xludf.DUMMYFUNCTION("""COMPUTED_VALUE"""),"")</f>
        <v/>
      </c>
      <c r="X402" s="36"/>
      <c r="Y402" s="36"/>
      <c r="Z402" s="36"/>
    </row>
    <row r="403" spans="1:26" ht="12.75" hidden="1">
      <c r="A403" s="36" t="str">
        <f ca="1">IFERROR(__xludf.DUMMYFUNCTION("""COMPUTED_VALUE"""),"")</f>
        <v/>
      </c>
      <c r="B403" s="36" t="str">
        <f ca="1">IFERROR(__xludf.DUMMYFUNCTION("""COMPUTED_VALUE"""),"")</f>
        <v/>
      </c>
      <c r="C403" s="36" t="str">
        <f ca="1">IFERROR(__xludf.DUMMYFUNCTION("""COMPUTED_VALUE"""),"")</f>
        <v/>
      </c>
      <c r="D403" s="36" t="str">
        <f ca="1">IFERROR(__xludf.DUMMYFUNCTION("""COMPUTED_VALUE"""),"")</f>
        <v/>
      </c>
      <c r="E403" s="36" t="str">
        <f ca="1">IFERROR(__xludf.DUMMYFUNCTION("""COMPUTED_VALUE"""),"")</f>
        <v/>
      </c>
      <c r="F403" s="36" t="str">
        <f ca="1">IFERROR(__xludf.DUMMYFUNCTION("""COMPUTED_VALUE"""),"")</f>
        <v/>
      </c>
      <c r="G403" s="36" t="str">
        <f ca="1">IFERROR(__xludf.DUMMYFUNCTION("""COMPUTED_VALUE"""),"")</f>
        <v/>
      </c>
      <c r="H403" s="36" t="str">
        <f ca="1">IFERROR(__xludf.DUMMYFUNCTION("""COMPUTED_VALUE"""),"")</f>
        <v/>
      </c>
      <c r="I403" s="36" t="str">
        <f ca="1">IFERROR(__xludf.DUMMYFUNCTION("""COMPUTED_VALUE"""),"")</f>
        <v/>
      </c>
      <c r="J403" s="36" t="str">
        <f ca="1">IFERROR(__xludf.DUMMYFUNCTION("""COMPUTED_VALUE"""),"")</f>
        <v/>
      </c>
      <c r="K403" s="36" t="str">
        <f ca="1">IFERROR(__xludf.DUMMYFUNCTION("""COMPUTED_VALUE"""),"")</f>
        <v/>
      </c>
      <c r="L403" s="36" t="str">
        <f ca="1">IFERROR(__xludf.DUMMYFUNCTION("""COMPUTED_VALUE"""),"")</f>
        <v/>
      </c>
      <c r="M403" s="36" t="str">
        <f ca="1">IFERROR(__xludf.DUMMYFUNCTION("""COMPUTED_VALUE"""),"")</f>
        <v/>
      </c>
      <c r="N403" s="36" t="str">
        <f ca="1">IFERROR(__xludf.DUMMYFUNCTION("""COMPUTED_VALUE"""),"")</f>
        <v/>
      </c>
      <c r="O403" s="36" t="str">
        <f ca="1">IFERROR(__xludf.DUMMYFUNCTION("""COMPUTED_VALUE"""),"")</f>
        <v/>
      </c>
      <c r="P403" s="36" t="str">
        <f ca="1">IFERROR(__xludf.DUMMYFUNCTION("""COMPUTED_VALUE"""),"")</f>
        <v/>
      </c>
      <c r="Q403" s="36" t="str">
        <f ca="1">IFERROR(__xludf.DUMMYFUNCTION("""COMPUTED_VALUE"""),"")</f>
        <v/>
      </c>
      <c r="R403" s="36" t="str">
        <f ca="1">IFERROR(__xludf.DUMMYFUNCTION("""COMPUTED_VALUE"""),"")</f>
        <v/>
      </c>
      <c r="S403" s="36" t="str">
        <f ca="1">IFERROR(__xludf.DUMMYFUNCTION("""COMPUTED_VALUE"""),"")</f>
        <v/>
      </c>
      <c r="T403" s="36" t="str">
        <f ca="1">IFERROR(__xludf.DUMMYFUNCTION("""COMPUTED_VALUE"""),"")</f>
        <v/>
      </c>
      <c r="U403" s="36" t="str">
        <f ca="1">IFERROR(__xludf.DUMMYFUNCTION("""COMPUTED_VALUE"""),"")</f>
        <v/>
      </c>
      <c r="V403" s="36" t="str">
        <f ca="1">IFERROR(__xludf.DUMMYFUNCTION("""COMPUTED_VALUE"""),"")</f>
        <v/>
      </c>
      <c r="W403" s="36" t="str">
        <f ca="1">IFERROR(__xludf.DUMMYFUNCTION("""COMPUTED_VALUE"""),"")</f>
        <v/>
      </c>
      <c r="X403" s="36"/>
      <c r="Y403" s="36"/>
      <c r="Z403" s="36"/>
    </row>
    <row r="404" spans="1:26" ht="12.75" hidden="1">
      <c r="A404" s="36" t="str">
        <f ca="1">IFERROR(__xludf.DUMMYFUNCTION("""COMPUTED_VALUE"""),"")</f>
        <v/>
      </c>
      <c r="B404" s="36" t="str">
        <f ca="1">IFERROR(__xludf.DUMMYFUNCTION("""COMPUTED_VALUE"""),"")</f>
        <v/>
      </c>
      <c r="C404" s="36" t="str">
        <f ca="1">IFERROR(__xludf.DUMMYFUNCTION("""COMPUTED_VALUE"""),"")</f>
        <v/>
      </c>
      <c r="D404" s="36" t="str">
        <f ca="1">IFERROR(__xludf.DUMMYFUNCTION("""COMPUTED_VALUE"""),"")</f>
        <v/>
      </c>
      <c r="E404" s="36" t="str">
        <f ca="1">IFERROR(__xludf.DUMMYFUNCTION("""COMPUTED_VALUE"""),"")</f>
        <v/>
      </c>
      <c r="F404" s="36" t="str">
        <f ca="1">IFERROR(__xludf.DUMMYFUNCTION("""COMPUTED_VALUE"""),"")</f>
        <v/>
      </c>
      <c r="G404" s="36" t="str">
        <f ca="1">IFERROR(__xludf.DUMMYFUNCTION("""COMPUTED_VALUE"""),"")</f>
        <v/>
      </c>
      <c r="H404" s="36" t="str">
        <f ca="1">IFERROR(__xludf.DUMMYFUNCTION("""COMPUTED_VALUE"""),"")</f>
        <v/>
      </c>
      <c r="I404" s="36" t="str">
        <f ca="1">IFERROR(__xludf.DUMMYFUNCTION("""COMPUTED_VALUE"""),"")</f>
        <v/>
      </c>
      <c r="J404" s="36" t="str">
        <f ca="1">IFERROR(__xludf.DUMMYFUNCTION("""COMPUTED_VALUE"""),"")</f>
        <v/>
      </c>
      <c r="K404" s="36" t="str">
        <f ca="1">IFERROR(__xludf.DUMMYFUNCTION("""COMPUTED_VALUE"""),"")</f>
        <v/>
      </c>
      <c r="L404" s="36" t="str">
        <f ca="1">IFERROR(__xludf.DUMMYFUNCTION("""COMPUTED_VALUE"""),"")</f>
        <v/>
      </c>
      <c r="M404" s="36" t="str">
        <f ca="1">IFERROR(__xludf.DUMMYFUNCTION("""COMPUTED_VALUE"""),"")</f>
        <v/>
      </c>
      <c r="N404" s="36" t="str">
        <f ca="1">IFERROR(__xludf.DUMMYFUNCTION("""COMPUTED_VALUE"""),"")</f>
        <v/>
      </c>
      <c r="O404" s="36" t="str">
        <f ca="1">IFERROR(__xludf.DUMMYFUNCTION("""COMPUTED_VALUE"""),"")</f>
        <v/>
      </c>
      <c r="P404" s="36" t="str">
        <f ca="1">IFERROR(__xludf.DUMMYFUNCTION("""COMPUTED_VALUE"""),"")</f>
        <v/>
      </c>
      <c r="Q404" s="36" t="str">
        <f ca="1">IFERROR(__xludf.DUMMYFUNCTION("""COMPUTED_VALUE"""),"")</f>
        <v/>
      </c>
      <c r="R404" s="36" t="str">
        <f ca="1">IFERROR(__xludf.DUMMYFUNCTION("""COMPUTED_VALUE"""),"")</f>
        <v/>
      </c>
      <c r="S404" s="36" t="str">
        <f ca="1">IFERROR(__xludf.DUMMYFUNCTION("""COMPUTED_VALUE"""),"")</f>
        <v/>
      </c>
      <c r="T404" s="36" t="str">
        <f ca="1">IFERROR(__xludf.DUMMYFUNCTION("""COMPUTED_VALUE"""),"")</f>
        <v/>
      </c>
      <c r="U404" s="36" t="str">
        <f ca="1">IFERROR(__xludf.DUMMYFUNCTION("""COMPUTED_VALUE"""),"")</f>
        <v/>
      </c>
      <c r="V404" s="36" t="str">
        <f ca="1">IFERROR(__xludf.DUMMYFUNCTION("""COMPUTED_VALUE"""),"")</f>
        <v/>
      </c>
      <c r="W404" s="36" t="str">
        <f ca="1">IFERROR(__xludf.DUMMYFUNCTION("""COMPUTED_VALUE"""),"")</f>
        <v/>
      </c>
      <c r="X404" s="36"/>
      <c r="Y404" s="36"/>
      <c r="Z404" s="36"/>
    </row>
    <row r="405" spans="1:26" ht="12.75" hidden="1">
      <c r="A405" s="36" t="str">
        <f ca="1">IFERROR(__xludf.DUMMYFUNCTION("""COMPUTED_VALUE"""),"")</f>
        <v/>
      </c>
      <c r="B405" s="36" t="str">
        <f ca="1">IFERROR(__xludf.DUMMYFUNCTION("""COMPUTED_VALUE"""),"")</f>
        <v/>
      </c>
      <c r="C405" s="36" t="str">
        <f ca="1">IFERROR(__xludf.DUMMYFUNCTION("""COMPUTED_VALUE"""),"")</f>
        <v/>
      </c>
      <c r="D405" s="36" t="str">
        <f ca="1">IFERROR(__xludf.DUMMYFUNCTION("""COMPUTED_VALUE"""),"")</f>
        <v/>
      </c>
      <c r="E405" s="36" t="str">
        <f ca="1">IFERROR(__xludf.DUMMYFUNCTION("""COMPUTED_VALUE"""),"")</f>
        <v/>
      </c>
      <c r="F405" s="36" t="str">
        <f ca="1">IFERROR(__xludf.DUMMYFUNCTION("""COMPUTED_VALUE"""),"")</f>
        <v/>
      </c>
      <c r="G405" s="36" t="str">
        <f ca="1">IFERROR(__xludf.DUMMYFUNCTION("""COMPUTED_VALUE"""),"")</f>
        <v/>
      </c>
      <c r="H405" s="36" t="str">
        <f ca="1">IFERROR(__xludf.DUMMYFUNCTION("""COMPUTED_VALUE"""),"")</f>
        <v/>
      </c>
      <c r="I405" s="36" t="str">
        <f ca="1">IFERROR(__xludf.DUMMYFUNCTION("""COMPUTED_VALUE"""),"")</f>
        <v/>
      </c>
      <c r="J405" s="36" t="str">
        <f ca="1">IFERROR(__xludf.DUMMYFUNCTION("""COMPUTED_VALUE"""),"")</f>
        <v/>
      </c>
      <c r="K405" s="36" t="str">
        <f ca="1">IFERROR(__xludf.DUMMYFUNCTION("""COMPUTED_VALUE"""),"")</f>
        <v/>
      </c>
      <c r="L405" s="36" t="str">
        <f ca="1">IFERROR(__xludf.DUMMYFUNCTION("""COMPUTED_VALUE"""),"")</f>
        <v/>
      </c>
      <c r="M405" s="36" t="str">
        <f ca="1">IFERROR(__xludf.DUMMYFUNCTION("""COMPUTED_VALUE"""),"")</f>
        <v/>
      </c>
      <c r="N405" s="36" t="str">
        <f ca="1">IFERROR(__xludf.DUMMYFUNCTION("""COMPUTED_VALUE"""),"")</f>
        <v/>
      </c>
      <c r="O405" s="36" t="str">
        <f ca="1">IFERROR(__xludf.DUMMYFUNCTION("""COMPUTED_VALUE"""),"")</f>
        <v/>
      </c>
      <c r="P405" s="36" t="str">
        <f ca="1">IFERROR(__xludf.DUMMYFUNCTION("""COMPUTED_VALUE"""),"")</f>
        <v/>
      </c>
      <c r="Q405" s="36" t="str">
        <f ca="1">IFERROR(__xludf.DUMMYFUNCTION("""COMPUTED_VALUE"""),"")</f>
        <v/>
      </c>
      <c r="R405" s="36" t="str">
        <f ca="1">IFERROR(__xludf.DUMMYFUNCTION("""COMPUTED_VALUE"""),"")</f>
        <v/>
      </c>
      <c r="S405" s="36" t="str">
        <f ca="1">IFERROR(__xludf.DUMMYFUNCTION("""COMPUTED_VALUE"""),"")</f>
        <v/>
      </c>
      <c r="T405" s="36" t="str">
        <f ca="1">IFERROR(__xludf.DUMMYFUNCTION("""COMPUTED_VALUE"""),"")</f>
        <v/>
      </c>
      <c r="U405" s="36" t="str">
        <f ca="1">IFERROR(__xludf.DUMMYFUNCTION("""COMPUTED_VALUE"""),"")</f>
        <v/>
      </c>
      <c r="V405" s="36" t="str">
        <f ca="1">IFERROR(__xludf.DUMMYFUNCTION("""COMPUTED_VALUE"""),"")</f>
        <v/>
      </c>
      <c r="W405" s="36" t="str">
        <f ca="1">IFERROR(__xludf.DUMMYFUNCTION("""COMPUTED_VALUE"""),"")</f>
        <v/>
      </c>
      <c r="X405" s="36"/>
      <c r="Y405" s="36"/>
      <c r="Z405" s="36"/>
    </row>
    <row r="406" spans="1:26" ht="12.75" hidden="1">
      <c r="A406" s="36" t="str">
        <f ca="1">IFERROR(__xludf.DUMMYFUNCTION("""COMPUTED_VALUE"""),"")</f>
        <v/>
      </c>
      <c r="B406" s="36" t="str">
        <f ca="1">IFERROR(__xludf.DUMMYFUNCTION("""COMPUTED_VALUE"""),"")</f>
        <v/>
      </c>
      <c r="C406" s="36" t="str">
        <f ca="1">IFERROR(__xludf.DUMMYFUNCTION("""COMPUTED_VALUE"""),"")</f>
        <v/>
      </c>
      <c r="D406" s="36" t="str">
        <f ca="1">IFERROR(__xludf.DUMMYFUNCTION("""COMPUTED_VALUE"""),"")</f>
        <v/>
      </c>
      <c r="E406" s="36" t="str">
        <f ca="1">IFERROR(__xludf.DUMMYFUNCTION("""COMPUTED_VALUE"""),"")</f>
        <v/>
      </c>
      <c r="F406" s="36" t="str">
        <f ca="1">IFERROR(__xludf.DUMMYFUNCTION("""COMPUTED_VALUE"""),"")</f>
        <v/>
      </c>
      <c r="G406" s="36" t="str">
        <f ca="1">IFERROR(__xludf.DUMMYFUNCTION("""COMPUTED_VALUE"""),"")</f>
        <v/>
      </c>
      <c r="H406" s="36" t="str">
        <f ca="1">IFERROR(__xludf.DUMMYFUNCTION("""COMPUTED_VALUE"""),"")</f>
        <v/>
      </c>
      <c r="I406" s="36" t="str">
        <f ca="1">IFERROR(__xludf.DUMMYFUNCTION("""COMPUTED_VALUE"""),"")</f>
        <v/>
      </c>
      <c r="J406" s="36" t="str">
        <f ca="1">IFERROR(__xludf.DUMMYFUNCTION("""COMPUTED_VALUE"""),"")</f>
        <v/>
      </c>
      <c r="K406" s="36" t="str">
        <f ca="1">IFERROR(__xludf.DUMMYFUNCTION("""COMPUTED_VALUE"""),"")</f>
        <v/>
      </c>
      <c r="L406" s="36" t="str">
        <f ca="1">IFERROR(__xludf.DUMMYFUNCTION("""COMPUTED_VALUE"""),"")</f>
        <v/>
      </c>
      <c r="M406" s="36" t="str">
        <f ca="1">IFERROR(__xludf.DUMMYFUNCTION("""COMPUTED_VALUE"""),"")</f>
        <v/>
      </c>
      <c r="N406" s="36" t="str">
        <f ca="1">IFERROR(__xludf.DUMMYFUNCTION("""COMPUTED_VALUE"""),"")</f>
        <v/>
      </c>
      <c r="O406" s="36" t="str">
        <f ca="1">IFERROR(__xludf.DUMMYFUNCTION("""COMPUTED_VALUE"""),"")</f>
        <v/>
      </c>
      <c r="P406" s="36" t="str">
        <f ca="1">IFERROR(__xludf.DUMMYFUNCTION("""COMPUTED_VALUE"""),"")</f>
        <v/>
      </c>
      <c r="Q406" s="36" t="str">
        <f ca="1">IFERROR(__xludf.DUMMYFUNCTION("""COMPUTED_VALUE"""),"")</f>
        <v/>
      </c>
      <c r="R406" s="36" t="str">
        <f ca="1">IFERROR(__xludf.DUMMYFUNCTION("""COMPUTED_VALUE"""),"")</f>
        <v/>
      </c>
      <c r="S406" s="36" t="str">
        <f ca="1">IFERROR(__xludf.DUMMYFUNCTION("""COMPUTED_VALUE"""),"")</f>
        <v/>
      </c>
      <c r="T406" s="36" t="str">
        <f ca="1">IFERROR(__xludf.DUMMYFUNCTION("""COMPUTED_VALUE"""),"")</f>
        <v/>
      </c>
      <c r="U406" s="36" t="str">
        <f ca="1">IFERROR(__xludf.DUMMYFUNCTION("""COMPUTED_VALUE"""),"")</f>
        <v/>
      </c>
      <c r="V406" s="36" t="str">
        <f ca="1">IFERROR(__xludf.DUMMYFUNCTION("""COMPUTED_VALUE"""),"")</f>
        <v/>
      </c>
      <c r="W406" s="36" t="str">
        <f ca="1">IFERROR(__xludf.DUMMYFUNCTION("""COMPUTED_VALUE"""),"")</f>
        <v/>
      </c>
      <c r="X406" s="36"/>
      <c r="Y406" s="36"/>
      <c r="Z406" s="36"/>
    </row>
    <row r="407" spans="1:26" ht="12.75" hidden="1">
      <c r="A407" s="36" t="str">
        <f ca="1">IFERROR(__xludf.DUMMYFUNCTION("""COMPUTED_VALUE"""),"")</f>
        <v/>
      </c>
      <c r="B407" s="36" t="str">
        <f ca="1">IFERROR(__xludf.DUMMYFUNCTION("""COMPUTED_VALUE"""),"")</f>
        <v/>
      </c>
      <c r="C407" s="36" t="str">
        <f ca="1">IFERROR(__xludf.DUMMYFUNCTION("""COMPUTED_VALUE"""),"")</f>
        <v/>
      </c>
      <c r="D407" s="36" t="str">
        <f ca="1">IFERROR(__xludf.DUMMYFUNCTION("""COMPUTED_VALUE"""),"")</f>
        <v/>
      </c>
      <c r="E407" s="36" t="str">
        <f ca="1">IFERROR(__xludf.DUMMYFUNCTION("""COMPUTED_VALUE"""),"")</f>
        <v/>
      </c>
      <c r="F407" s="36" t="str">
        <f ca="1">IFERROR(__xludf.DUMMYFUNCTION("""COMPUTED_VALUE"""),"")</f>
        <v/>
      </c>
      <c r="G407" s="36" t="str">
        <f ca="1">IFERROR(__xludf.DUMMYFUNCTION("""COMPUTED_VALUE"""),"")</f>
        <v/>
      </c>
      <c r="H407" s="36" t="str">
        <f ca="1">IFERROR(__xludf.DUMMYFUNCTION("""COMPUTED_VALUE"""),"")</f>
        <v/>
      </c>
      <c r="I407" s="36" t="str">
        <f ca="1">IFERROR(__xludf.DUMMYFUNCTION("""COMPUTED_VALUE"""),"")</f>
        <v/>
      </c>
      <c r="J407" s="36" t="str">
        <f ca="1">IFERROR(__xludf.DUMMYFUNCTION("""COMPUTED_VALUE"""),"")</f>
        <v/>
      </c>
      <c r="K407" s="36" t="str">
        <f ca="1">IFERROR(__xludf.DUMMYFUNCTION("""COMPUTED_VALUE"""),"")</f>
        <v/>
      </c>
      <c r="L407" s="36" t="str">
        <f ca="1">IFERROR(__xludf.DUMMYFUNCTION("""COMPUTED_VALUE"""),"")</f>
        <v/>
      </c>
      <c r="M407" s="36" t="str">
        <f ca="1">IFERROR(__xludf.DUMMYFUNCTION("""COMPUTED_VALUE"""),"")</f>
        <v/>
      </c>
      <c r="N407" s="36" t="str">
        <f ca="1">IFERROR(__xludf.DUMMYFUNCTION("""COMPUTED_VALUE"""),"")</f>
        <v/>
      </c>
      <c r="O407" s="36" t="str">
        <f ca="1">IFERROR(__xludf.DUMMYFUNCTION("""COMPUTED_VALUE"""),"")</f>
        <v/>
      </c>
      <c r="P407" s="36" t="str">
        <f ca="1">IFERROR(__xludf.DUMMYFUNCTION("""COMPUTED_VALUE"""),"")</f>
        <v/>
      </c>
      <c r="Q407" s="36" t="str">
        <f ca="1">IFERROR(__xludf.DUMMYFUNCTION("""COMPUTED_VALUE"""),"")</f>
        <v/>
      </c>
      <c r="R407" s="36" t="str">
        <f ca="1">IFERROR(__xludf.DUMMYFUNCTION("""COMPUTED_VALUE"""),"")</f>
        <v/>
      </c>
      <c r="S407" s="36" t="str">
        <f ca="1">IFERROR(__xludf.DUMMYFUNCTION("""COMPUTED_VALUE"""),"")</f>
        <v/>
      </c>
      <c r="T407" s="36" t="str">
        <f ca="1">IFERROR(__xludf.DUMMYFUNCTION("""COMPUTED_VALUE"""),"")</f>
        <v/>
      </c>
      <c r="U407" s="36" t="str">
        <f ca="1">IFERROR(__xludf.DUMMYFUNCTION("""COMPUTED_VALUE"""),"")</f>
        <v/>
      </c>
      <c r="V407" s="36" t="str">
        <f ca="1">IFERROR(__xludf.DUMMYFUNCTION("""COMPUTED_VALUE"""),"")</f>
        <v/>
      </c>
      <c r="W407" s="36" t="str">
        <f ca="1">IFERROR(__xludf.DUMMYFUNCTION("""COMPUTED_VALUE"""),"")</f>
        <v/>
      </c>
      <c r="X407" s="36"/>
      <c r="Y407" s="36"/>
      <c r="Z407" s="36"/>
    </row>
    <row r="408" spans="1:26" ht="12.75" hidden="1">
      <c r="A408" s="36" t="str">
        <f ca="1">IFERROR(__xludf.DUMMYFUNCTION("""COMPUTED_VALUE"""),"")</f>
        <v/>
      </c>
      <c r="B408" s="36" t="str">
        <f ca="1">IFERROR(__xludf.DUMMYFUNCTION("""COMPUTED_VALUE"""),"")</f>
        <v/>
      </c>
      <c r="C408" s="36" t="str">
        <f ca="1">IFERROR(__xludf.DUMMYFUNCTION("""COMPUTED_VALUE"""),"")</f>
        <v/>
      </c>
      <c r="D408" s="36" t="str">
        <f ca="1">IFERROR(__xludf.DUMMYFUNCTION("""COMPUTED_VALUE"""),"")</f>
        <v/>
      </c>
      <c r="E408" s="36" t="str">
        <f ca="1">IFERROR(__xludf.DUMMYFUNCTION("""COMPUTED_VALUE"""),"")</f>
        <v/>
      </c>
      <c r="F408" s="36" t="str">
        <f ca="1">IFERROR(__xludf.DUMMYFUNCTION("""COMPUTED_VALUE"""),"")</f>
        <v/>
      </c>
      <c r="G408" s="36" t="str">
        <f ca="1">IFERROR(__xludf.DUMMYFUNCTION("""COMPUTED_VALUE"""),"")</f>
        <v/>
      </c>
      <c r="H408" s="36" t="str">
        <f ca="1">IFERROR(__xludf.DUMMYFUNCTION("""COMPUTED_VALUE"""),"")</f>
        <v/>
      </c>
      <c r="I408" s="36" t="str">
        <f ca="1">IFERROR(__xludf.DUMMYFUNCTION("""COMPUTED_VALUE"""),"")</f>
        <v/>
      </c>
      <c r="J408" s="36" t="str">
        <f ca="1">IFERROR(__xludf.DUMMYFUNCTION("""COMPUTED_VALUE"""),"")</f>
        <v/>
      </c>
      <c r="K408" s="36" t="str">
        <f ca="1">IFERROR(__xludf.DUMMYFUNCTION("""COMPUTED_VALUE"""),"")</f>
        <v/>
      </c>
      <c r="L408" s="36" t="str">
        <f ca="1">IFERROR(__xludf.DUMMYFUNCTION("""COMPUTED_VALUE"""),"")</f>
        <v/>
      </c>
      <c r="M408" s="36" t="str">
        <f ca="1">IFERROR(__xludf.DUMMYFUNCTION("""COMPUTED_VALUE"""),"")</f>
        <v/>
      </c>
      <c r="N408" s="36" t="str">
        <f ca="1">IFERROR(__xludf.DUMMYFUNCTION("""COMPUTED_VALUE"""),"")</f>
        <v/>
      </c>
      <c r="O408" s="36" t="str">
        <f ca="1">IFERROR(__xludf.DUMMYFUNCTION("""COMPUTED_VALUE"""),"")</f>
        <v/>
      </c>
      <c r="P408" s="36" t="str">
        <f ca="1">IFERROR(__xludf.DUMMYFUNCTION("""COMPUTED_VALUE"""),"")</f>
        <v/>
      </c>
      <c r="Q408" s="36" t="str">
        <f ca="1">IFERROR(__xludf.DUMMYFUNCTION("""COMPUTED_VALUE"""),"")</f>
        <v/>
      </c>
      <c r="R408" s="36" t="str">
        <f ca="1">IFERROR(__xludf.DUMMYFUNCTION("""COMPUTED_VALUE"""),"")</f>
        <v/>
      </c>
      <c r="S408" s="36" t="str">
        <f ca="1">IFERROR(__xludf.DUMMYFUNCTION("""COMPUTED_VALUE"""),"")</f>
        <v/>
      </c>
      <c r="T408" s="36" t="str">
        <f ca="1">IFERROR(__xludf.DUMMYFUNCTION("""COMPUTED_VALUE"""),"")</f>
        <v/>
      </c>
      <c r="U408" s="36" t="str">
        <f ca="1">IFERROR(__xludf.DUMMYFUNCTION("""COMPUTED_VALUE"""),"")</f>
        <v/>
      </c>
      <c r="V408" s="36" t="str">
        <f ca="1">IFERROR(__xludf.DUMMYFUNCTION("""COMPUTED_VALUE"""),"")</f>
        <v/>
      </c>
      <c r="W408" s="36" t="str">
        <f ca="1">IFERROR(__xludf.DUMMYFUNCTION("""COMPUTED_VALUE"""),"")</f>
        <v/>
      </c>
      <c r="X408" s="36"/>
      <c r="Y408" s="36"/>
      <c r="Z408" s="36"/>
    </row>
    <row r="409" spans="1:26" ht="12.75" hidden="1">
      <c r="A409" s="36" t="str">
        <f ca="1">IFERROR(__xludf.DUMMYFUNCTION("""COMPUTED_VALUE"""),"")</f>
        <v/>
      </c>
      <c r="B409" s="36" t="str">
        <f ca="1">IFERROR(__xludf.DUMMYFUNCTION("""COMPUTED_VALUE"""),"")</f>
        <v/>
      </c>
      <c r="C409" s="36" t="str">
        <f ca="1">IFERROR(__xludf.DUMMYFUNCTION("""COMPUTED_VALUE"""),"")</f>
        <v/>
      </c>
      <c r="D409" s="36" t="str">
        <f ca="1">IFERROR(__xludf.DUMMYFUNCTION("""COMPUTED_VALUE"""),"")</f>
        <v/>
      </c>
      <c r="E409" s="36" t="str">
        <f ca="1">IFERROR(__xludf.DUMMYFUNCTION("""COMPUTED_VALUE"""),"")</f>
        <v/>
      </c>
      <c r="F409" s="36" t="str">
        <f ca="1">IFERROR(__xludf.DUMMYFUNCTION("""COMPUTED_VALUE"""),"")</f>
        <v/>
      </c>
      <c r="G409" s="36" t="str">
        <f ca="1">IFERROR(__xludf.DUMMYFUNCTION("""COMPUTED_VALUE"""),"")</f>
        <v/>
      </c>
      <c r="H409" s="36" t="str">
        <f ca="1">IFERROR(__xludf.DUMMYFUNCTION("""COMPUTED_VALUE"""),"")</f>
        <v/>
      </c>
      <c r="I409" s="36" t="str">
        <f ca="1">IFERROR(__xludf.DUMMYFUNCTION("""COMPUTED_VALUE"""),"")</f>
        <v/>
      </c>
      <c r="J409" s="36" t="str">
        <f ca="1">IFERROR(__xludf.DUMMYFUNCTION("""COMPUTED_VALUE"""),"")</f>
        <v/>
      </c>
      <c r="K409" s="36" t="str">
        <f ca="1">IFERROR(__xludf.DUMMYFUNCTION("""COMPUTED_VALUE"""),"")</f>
        <v/>
      </c>
      <c r="L409" s="36" t="str">
        <f ca="1">IFERROR(__xludf.DUMMYFUNCTION("""COMPUTED_VALUE"""),"")</f>
        <v/>
      </c>
      <c r="M409" s="36" t="str">
        <f ca="1">IFERROR(__xludf.DUMMYFUNCTION("""COMPUTED_VALUE"""),"")</f>
        <v/>
      </c>
      <c r="N409" s="36" t="str">
        <f ca="1">IFERROR(__xludf.DUMMYFUNCTION("""COMPUTED_VALUE"""),"")</f>
        <v/>
      </c>
      <c r="O409" s="36" t="str">
        <f ca="1">IFERROR(__xludf.DUMMYFUNCTION("""COMPUTED_VALUE"""),"")</f>
        <v/>
      </c>
      <c r="P409" s="36" t="str">
        <f ca="1">IFERROR(__xludf.DUMMYFUNCTION("""COMPUTED_VALUE"""),"")</f>
        <v/>
      </c>
      <c r="Q409" s="36" t="str">
        <f ca="1">IFERROR(__xludf.DUMMYFUNCTION("""COMPUTED_VALUE"""),"")</f>
        <v/>
      </c>
      <c r="R409" s="36" t="str">
        <f ca="1">IFERROR(__xludf.DUMMYFUNCTION("""COMPUTED_VALUE"""),"")</f>
        <v/>
      </c>
      <c r="S409" s="36" t="str">
        <f ca="1">IFERROR(__xludf.DUMMYFUNCTION("""COMPUTED_VALUE"""),"")</f>
        <v/>
      </c>
      <c r="T409" s="36" t="str">
        <f ca="1">IFERROR(__xludf.DUMMYFUNCTION("""COMPUTED_VALUE"""),"")</f>
        <v/>
      </c>
      <c r="U409" s="36" t="str">
        <f ca="1">IFERROR(__xludf.DUMMYFUNCTION("""COMPUTED_VALUE"""),"")</f>
        <v/>
      </c>
      <c r="V409" s="36" t="str">
        <f ca="1">IFERROR(__xludf.DUMMYFUNCTION("""COMPUTED_VALUE"""),"")</f>
        <v/>
      </c>
      <c r="W409" s="36" t="str">
        <f ca="1">IFERROR(__xludf.DUMMYFUNCTION("""COMPUTED_VALUE"""),"")</f>
        <v/>
      </c>
      <c r="X409" s="36"/>
      <c r="Y409" s="36"/>
      <c r="Z409" s="36"/>
    </row>
    <row r="410" spans="1:26" ht="12.75" hidden="1">
      <c r="A410" s="36" t="str">
        <f ca="1">IFERROR(__xludf.DUMMYFUNCTION("""COMPUTED_VALUE"""),"")</f>
        <v/>
      </c>
      <c r="B410" s="36" t="str">
        <f ca="1">IFERROR(__xludf.DUMMYFUNCTION("""COMPUTED_VALUE"""),"")</f>
        <v/>
      </c>
      <c r="C410" s="36" t="str">
        <f ca="1">IFERROR(__xludf.DUMMYFUNCTION("""COMPUTED_VALUE"""),"")</f>
        <v/>
      </c>
      <c r="D410" s="36" t="str">
        <f ca="1">IFERROR(__xludf.DUMMYFUNCTION("""COMPUTED_VALUE"""),"")</f>
        <v/>
      </c>
      <c r="E410" s="36" t="str">
        <f ca="1">IFERROR(__xludf.DUMMYFUNCTION("""COMPUTED_VALUE"""),"")</f>
        <v/>
      </c>
      <c r="F410" s="36" t="str">
        <f ca="1">IFERROR(__xludf.DUMMYFUNCTION("""COMPUTED_VALUE"""),"")</f>
        <v/>
      </c>
      <c r="G410" s="36" t="str">
        <f ca="1">IFERROR(__xludf.DUMMYFUNCTION("""COMPUTED_VALUE"""),"")</f>
        <v/>
      </c>
      <c r="H410" s="36" t="str">
        <f ca="1">IFERROR(__xludf.DUMMYFUNCTION("""COMPUTED_VALUE"""),"")</f>
        <v/>
      </c>
      <c r="I410" s="36" t="str">
        <f ca="1">IFERROR(__xludf.DUMMYFUNCTION("""COMPUTED_VALUE"""),"")</f>
        <v/>
      </c>
      <c r="J410" s="36" t="str">
        <f ca="1">IFERROR(__xludf.DUMMYFUNCTION("""COMPUTED_VALUE"""),"")</f>
        <v/>
      </c>
      <c r="K410" s="36" t="str">
        <f ca="1">IFERROR(__xludf.DUMMYFUNCTION("""COMPUTED_VALUE"""),"")</f>
        <v/>
      </c>
      <c r="L410" s="36" t="str">
        <f ca="1">IFERROR(__xludf.DUMMYFUNCTION("""COMPUTED_VALUE"""),"")</f>
        <v/>
      </c>
      <c r="M410" s="36" t="str">
        <f ca="1">IFERROR(__xludf.DUMMYFUNCTION("""COMPUTED_VALUE"""),"")</f>
        <v/>
      </c>
      <c r="N410" s="36" t="str">
        <f ca="1">IFERROR(__xludf.DUMMYFUNCTION("""COMPUTED_VALUE"""),"")</f>
        <v/>
      </c>
      <c r="O410" s="36" t="str">
        <f ca="1">IFERROR(__xludf.DUMMYFUNCTION("""COMPUTED_VALUE"""),"")</f>
        <v/>
      </c>
      <c r="P410" s="36" t="str">
        <f ca="1">IFERROR(__xludf.DUMMYFUNCTION("""COMPUTED_VALUE"""),"")</f>
        <v/>
      </c>
      <c r="Q410" s="36" t="str">
        <f ca="1">IFERROR(__xludf.DUMMYFUNCTION("""COMPUTED_VALUE"""),"")</f>
        <v/>
      </c>
      <c r="R410" s="36" t="str">
        <f ca="1">IFERROR(__xludf.DUMMYFUNCTION("""COMPUTED_VALUE"""),"")</f>
        <v/>
      </c>
      <c r="S410" s="36" t="str">
        <f ca="1">IFERROR(__xludf.DUMMYFUNCTION("""COMPUTED_VALUE"""),"")</f>
        <v/>
      </c>
      <c r="T410" s="36" t="str">
        <f ca="1">IFERROR(__xludf.DUMMYFUNCTION("""COMPUTED_VALUE"""),"")</f>
        <v/>
      </c>
      <c r="U410" s="36" t="str">
        <f ca="1">IFERROR(__xludf.DUMMYFUNCTION("""COMPUTED_VALUE"""),"")</f>
        <v/>
      </c>
      <c r="V410" s="36" t="str">
        <f ca="1">IFERROR(__xludf.DUMMYFUNCTION("""COMPUTED_VALUE"""),"")</f>
        <v/>
      </c>
      <c r="W410" s="36" t="str">
        <f ca="1">IFERROR(__xludf.DUMMYFUNCTION("""COMPUTED_VALUE"""),"")</f>
        <v/>
      </c>
      <c r="X410" s="36"/>
      <c r="Y410" s="36"/>
      <c r="Z410" s="36"/>
    </row>
    <row r="411" spans="1:26" ht="12.75" hidden="1">
      <c r="A411" s="36" t="str">
        <f ca="1">IFERROR(__xludf.DUMMYFUNCTION("""COMPUTED_VALUE"""),"")</f>
        <v/>
      </c>
      <c r="B411" s="36" t="str">
        <f ca="1">IFERROR(__xludf.DUMMYFUNCTION("""COMPUTED_VALUE"""),"")</f>
        <v/>
      </c>
      <c r="C411" s="36" t="str">
        <f ca="1">IFERROR(__xludf.DUMMYFUNCTION("""COMPUTED_VALUE"""),"")</f>
        <v/>
      </c>
      <c r="D411" s="36" t="str">
        <f ca="1">IFERROR(__xludf.DUMMYFUNCTION("""COMPUTED_VALUE"""),"")</f>
        <v/>
      </c>
      <c r="E411" s="36" t="str">
        <f ca="1">IFERROR(__xludf.DUMMYFUNCTION("""COMPUTED_VALUE"""),"")</f>
        <v/>
      </c>
      <c r="F411" s="36" t="str">
        <f ca="1">IFERROR(__xludf.DUMMYFUNCTION("""COMPUTED_VALUE"""),"")</f>
        <v/>
      </c>
      <c r="G411" s="36" t="str">
        <f ca="1">IFERROR(__xludf.DUMMYFUNCTION("""COMPUTED_VALUE"""),"")</f>
        <v/>
      </c>
      <c r="H411" s="36" t="str">
        <f ca="1">IFERROR(__xludf.DUMMYFUNCTION("""COMPUTED_VALUE"""),"")</f>
        <v/>
      </c>
      <c r="I411" s="36" t="str">
        <f ca="1">IFERROR(__xludf.DUMMYFUNCTION("""COMPUTED_VALUE"""),"")</f>
        <v/>
      </c>
      <c r="J411" s="36" t="str">
        <f ca="1">IFERROR(__xludf.DUMMYFUNCTION("""COMPUTED_VALUE"""),"")</f>
        <v/>
      </c>
      <c r="K411" s="36" t="str">
        <f ca="1">IFERROR(__xludf.DUMMYFUNCTION("""COMPUTED_VALUE"""),"")</f>
        <v/>
      </c>
      <c r="L411" s="36" t="str">
        <f ca="1">IFERROR(__xludf.DUMMYFUNCTION("""COMPUTED_VALUE"""),"")</f>
        <v/>
      </c>
      <c r="M411" s="36" t="str">
        <f ca="1">IFERROR(__xludf.DUMMYFUNCTION("""COMPUTED_VALUE"""),"")</f>
        <v/>
      </c>
      <c r="N411" s="36" t="str">
        <f ca="1">IFERROR(__xludf.DUMMYFUNCTION("""COMPUTED_VALUE"""),"")</f>
        <v/>
      </c>
      <c r="O411" s="36" t="str">
        <f ca="1">IFERROR(__xludf.DUMMYFUNCTION("""COMPUTED_VALUE"""),"")</f>
        <v/>
      </c>
      <c r="P411" s="36" t="str">
        <f ca="1">IFERROR(__xludf.DUMMYFUNCTION("""COMPUTED_VALUE"""),"")</f>
        <v/>
      </c>
      <c r="Q411" s="36" t="str">
        <f ca="1">IFERROR(__xludf.DUMMYFUNCTION("""COMPUTED_VALUE"""),"")</f>
        <v/>
      </c>
      <c r="R411" s="36" t="str">
        <f ca="1">IFERROR(__xludf.DUMMYFUNCTION("""COMPUTED_VALUE"""),"")</f>
        <v/>
      </c>
      <c r="S411" s="36" t="str">
        <f ca="1">IFERROR(__xludf.DUMMYFUNCTION("""COMPUTED_VALUE"""),"")</f>
        <v/>
      </c>
      <c r="T411" s="36" t="str">
        <f ca="1">IFERROR(__xludf.DUMMYFUNCTION("""COMPUTED_VALUE"""),"")</f>
        <v/>
      </c>
      <c r="U411" s="36" t="str">
        <f ca="1">IFERROR(__xludf.DUMMYFUNCTION("""COMPUTED_VALUE"""),"")</f>
        <v/>
      </c>
      <c r="V411" s="36" t="str">
        <f ca="1">IFERROR(__xludf.DUMMYFUNCTION("""COMPUTED_VALUE"""),"")</f>
        <v/>
      </c>
      <c r="W411" s="36" t="str">
        <f ca="1">IFERROR(__xludf.DUMMYFUNCTION("""COMPUTED_VALUE"""),"")</f>
        <v/>
      </c>
      <c r="X411" s="36"/>
      <c r="Y411" s="36"/>
      <c r="Z411" s="36"/>
    </row>
    <row r="412" spans="1:26" ht="12.75" hidden="1">
      <c r="A412" s="36" t="str">
        <f ca="1">IFERROR(__xludf.DUMMYFUNCTION("""COMPUTED_VALUE"""),"")</f>
        <v/>
      </c>
      <c r="B412" s="36" t="str">
        <f ca="1">IFERROR(__xludf.DUMMYFUNCTION("""COMPUTED_VALUE"""),"")</f>
        <v/>
      </c>
      <c r="C412" s="36" t="str">
        <f ca="1">IFERROR(__xludf.DUMMYFUNCTION("""COMPUTED_VALUE"""),"")</f>
        <v/>
      </c>
      <c r="D412" s="36" t="str">
        <f ca="1">IFERROR(__xludf.DUMMYFUNCTION("""COMPUTED_VALUE"""),"")</f>
        <v/>
      </c>
      <c r="E412" s="36" t="str">
        <f ca="1">IFERROR(__xludf.DUMMYFUNCTION("""COMPUTED_VALUE"""),"")</f>
        <v/>
      </c>
      <c r="F412" s="36" t="str">
        <f ca="1">IFERROR(__xludf.DUMMYFUNCTION("""COMPUTED_VALUE"""),"")</f>
        <v/>
      </c>
      <c r="G412" s="36" t="str">
        <f ca="1">IFERROR(__xludf.DUMMYFUNCTION("""COMPUTED_VALUE"""),"")</f>
        <v/>
      </c>
      <c r="H412" s="36" t="str">
        <f ca="1">IFERROR(__xludf.DUMMYFUNCTION("""COMPUTED_VALUE"""),"")</f>
        <v/>
      </c>
      <c r="I412" s="36" t="str">
        <f ca="1">IFERROR(__xludf.DUMMYFUNCTION("""COMPUTED_VALUE"""),"")</f>
        <v/>
      </c>
      <c r="J412" s="36" t="str">
        <f ca="1">IFERROR(__xludf.DUMMYFUNCTION("""COMPUTED_VALUE"""),"")</f>
        <v/>
      </c>
      <c r="K412" s="36" t="str">
        <f ca="1">IFERROR(__xludf.DUMMYFUNCTION("""COMPUTED_VALUE"""),"")</f>
        <v/>
      </c>
      <c r="L412" s="36" t="str">
        <f ca="1">IFERROR(__xludf.DUMMYFUNCTION("""COMPUTED_VALUE"""),"")</f>
        <v/>
      </c>
      <c r="M412" s="36" t="str">
        <f ca="1">IFERROR(__xludf.DUMMYFUNCTION("""COMPUTED_VALUE"""),"")</f>
        <v/>
      </c>
      <c r="N412" s="36" t="str">
        <f ca="1">IFERROR(__xludf.DUMMYFUNCTION("""COMPUTED_VALUE"""),"")</f>
        <v/>
      </c>
      <c r="O412" s="36" t="str">
        <f ca="1">IFERROR(__xludf.DUMMYFUNCTION("""COMPUTED_VALUE"""),"")</f>
        <v/>
      </c>
      <c r="P412" s="36" t="str">
        <f ca="1">IFERROR(__xludf.DUMMYFUNCTION("""COMPUTED_VALUE"""),"")</f>
        <v/>
      </c>
      <c r="Q412" s="36" t="str">
        <f ca="1">IFERROR(__xludf.DUMMYFUNCTION("""COMPUTED_VALUE"""),"")</f>
        <v/>
      </c>
      <c r="R412" s="36" t="str">
        <f ca="1">IFERROR(__xludf.DUMMYFUNCTION("""COMPUTED_VALUE"""),"")</f>
        <v/>
      </c>
      <c r="S412" s="36" t="str">
        <f ca="1">IFERROR(__xludf.DUMMYFUNCTION("""COMPUTED_VALUE"""),"")</f>
        <v/>
      </c>
      <c r="T412" s="36" t="str">
        <f ca="1">IFERROR(__xludf.DUMMYFUNCTION("""COMPUTED_VALUE"""),"")</f>
        <v/>
      </c>
      <c r="U412" s="36" t="str">
        <f ca="1">IFERROR(__xludf.DUMMYFUNCTION("""COMPUTED_VALUE"""),"")</f>
        <v/>
      </c>
      <c r="V412" s="36" t="str">
        <f ca="1">IFERROR(__xludf.DUMMYFUNCTION("""COMPUTED_VALUE"""),"")</f>
        <v/>
      </c>
      <c r="W412" s="36" t="str">
        <f ca="1">IFERROR(__xludf.DUMMYFUNCTION("""COMPUTED_VALUE"""),"")</f>
        <v/>
      </c>
      <c r="X412" s="36"/>
      <c r="Y412" s="36"/>
      <c r="Z412" s="36"/>
    </row>
    <row r="413" spans="1:26" ht="12.75" hidden="1">
      <c r="A413" s="36" t="str">
        <f ca="1">IFERROR(__xludf.DUMMYFUNCTION("""COMPUTED_VALUE"""),"")</f>
        <v/>
      </c>
      <c r="B413" s="36" t="str">
        <f ca="1">IFERROR(__xludf.DUMMYFUNCTION("""COMPUTED_VALUE"""),"")</f>
        <v/>
      </c>
      <c r="C413" s="36" t="str">
        <f ca="1">IFERROR(__xludf.DUMMYFUNCTION("""COMPUTED_VALUE"""),"")</f>
        <v/>
      </c>
      <c r="D413" s="36" t="str">
        <f ca="1">IFERROR(__xludf.DUMMYFUNCTION("""COMPUTED_VALUE"""),"")</f>
        <v/>
      </c>
      <c r="E413" s="36" t="str">
        <f ca="1">IFERROR(__xludf.DUMMYFUNCTION("""COMPUTED_VALUE"""),"")</f>
        <v/>
      </c>
      <c r="F413" s="36" t="str">
        <f ca="1">IFERROR(__xludf.DUMMYFUNCTION("""COMPUTED_VALUE"""),"")</f>
        <v/>
      </c>
      <c r="G413" s="36" t="str">
        <f ca="1">IFERROR(__xludf.DUMMYFUNCTION("""COMPUTED_VALUE"""),"")</f>
        <v/>
      </c>
      <c r="H413" s="36" t="str">
        <f ca="1">IFERROR(__xludf.DUMMYFUNCTION("""COMPUTED_VALUE"""),"")</f>
        <v/>
      </c>
      <c r="I413" s="36" t="str">
        <f ca="1">IFERROR(__xludf.DUMMYFUNCTION("""COMPUTED_VALUE"""),"")</f>
        <v/>
      </c>
      <c r="J413" s="36" t="str">
        <f ca="1">IFERROR(__xludf.DUMMYFUNCTION("""COMPUTED_VALUE"""),"")</f>
        <v/>
      </c>
      <c r="K413" s="36" t="str">
        <f ca="1">IFERROR(__xludf.DUMMYFUNCTION("""COMPUTED_VALUE"""),"")</f>
        <v/>
      </c>
      <c r="L413" s="36" t="str">
        <f ca="1">IFERROR(__xludf.DUMMYFUNCTION("""COMPUTED_VALUE"""),"")</f>
        <v/>
      </c>
      <c r="M413" s="36" t="str">
        <f ca="1">IFERROR(__xludf.DUMMYFUNCTION("""COMPUTED_VALUE"""),"")</f>
        <v/>
      </c>
      <c r="N413" s="36" t="str">
        <f ca="1">IFERROR(__xludf.DUMMYFUNCTION("""COMPUTED_VALUE"""),"")</f>
        <v/>
      </c>
      <c r="O413" s="36" t="str">
        <f ca="1">IFERROR(__xludf.DUMMYFUNCTION("""COMPUTED_VALUE"""),"")</f>
        <v/>
      </c>
      <c r="P413" s="36" t="str">
        <f ca="1">IFERROR(__xludf.DUMMYFUNCTION("""COMPUTED_VALUE"""),"")</f>
        <v/>
      </c>
      <c r="Q413" s="36" t="str">
        <f ca="1">IFERROR(__xludf.DUMMYFUNCTION("""COMPUTED_VALUE"""),"")</f>
        <v/>
      </c>
      <c r="R413" s="36" t="str">
        <f ca="1">IFERROR(__xludf.DUMMYFUNCTION("""COMPUTED_VALUE"""),"")</f>
        <v/>
      </c>
      <c r="S413" s="36" t="str">
        <f ca="1">IFERROR(__xludf.DUMMYFUNCTION("""COMPUTED_VALUE"""),"")</f>
        <v/>
      </c>
      <c r="T413" s="36" t="str">
        <f ca="1">IFERROR(__xludf.DUMMYFUNCTION("""COMPUTED_VALUE"""),"")</f>
        <v/>
      </c>
      <c r="U413" s="36" t="str">
        <f ca="1">IFERROR(__xludf.DUMMYFUNCTION("""COMPUTED_VALUE"""),"")</f>
        <v/>
      </c>
      <c r="V413" s="36" t="str">
        <f ca="1">IFERROR(__xludf.DUMMYFUNCTION("""COMPUTED_VALUE"""),"")</f>
        <v/>
      </c>
      <c r="W413" s="36" t="str">
        <f ca="1">IFERROR(__xludf.DUMMYFUNCTION("""COMPUTED_VALUE"""),"")</f>
        <v/>
      </c>
      <c r="X413" s="36"/>
      <c r="Y413" s="36"/>
      <c r="Z413" s="36"/>
    </row>
    <row r="414" spans="1:26" ht="12.75" hidden="1">
      <c r="A414" s="36" t="str">
        <f ca="1">IFERROR(__xludf.DUMMYFUNCTION("""COMPUTED_VALUE"""),"")</f>
        <v/>
      </c>
      <c r="B414" s="36" t="str">
        <f ca="1">IFERROR(__xludf.DUMMYFUNCTION("""COMPUTED_VALUE"""),"")</f>
        <v/>
      </c>
      <c r="C414" s="36" t="str">
        <f ca="1">IFERROR(__xludf.DUMMYFUNCTION("""COMPUTED_VALUE"""),"")</f>
        <v/>
      </c>
      <c r="D414" s="36" t="str">
        <f ca="1">IFERROR(__xludf.DUMMYFUNCTION("""COMPUTED_VALUE"""),"")</f>
        <v/>
      </c>
      <c r="E414" s="36" t="str">
        <f ca="1">IFERROR(__xludf.DUMMYFUNCTION("""COMPUTED_VALUE"""),"")</f>
        <v/>
      </c>
      <c r="F414" s="36" t="str">
        <f ca="1">IFERROR(__xludf.DUMMYFUNCTION("""COMPUTED_VALUE"""),"")</f>
        <v/>
      </c>
      <c r="G414" s="36" t="str">
        <f ca="1">IFERROR(__xludf.DUMMYFUNCTION("""COMPUTED_VALUE"""),"")</f>
        <v/>
      </c>
      <c r="H414" s="36" t="str">
        <f ca="1">IFERROR(__xludf.DUMMYFUNCTION("""COMPUTED_VALUE"""),"")</f>
        <v/>
      </c>
      <c r="I414" s="36" t="str">
        <f ca="1">IFERROR(__xludf.DUMMYFUNCTION("""COMPUTED_VALUE"""),"")</f>
        <v/>
      </c>
      <c r="J414" s="36" t="str">
        <f ca="1">IFERROR(__xludf.DUMMYFUNCTION("""COMPUTED_VALUE"""),"")</f>
        <v/>
      </c>
      <c r="K414" s="36" t="str">
        <f ca="1">IFERROR(__xludf.DUMMYFUNCTION("""COMPUTED_VALUE"""),"")</f>
        <v/>
      </c>
      <c r="L414" s="36" t="str">
        <f ca="1">IFERROR(__xludf.DUMMYFUNCTION("""COMPUTED_VALUE"""),"")</f>
        <v/>
      </c>
      <c r="M414" s="36" t="str">
        <f ca="1">IFERROR(__xludf.DUMMYFUNCTION("""COMPUTED_VALUE"""),"")</f>
        <v/>
      </c>
      <c r="N414" s="36" t="str">
        <f ca="1">IFERROR(__xludf.DUMMYFUNCTION("""COMPUTED_VALUE"""),"")</f>
        <v/>
      </c>
      <c r="O414" s="36" t="str">
        <f ca="1">IFERROR(__xludf.DUMMYFUNCTION("""COMPUTED_VALUE"""),"")</f>
        <v/>
      </c>
      <c r="P414" s="36" t="str">
        <f ca="1">IFERROR(__xludf.DUMMYFUNCTION("""COMPUTED_VALUE"""),"")</f>
        <v/>
      </c>
      <c r="Q414" s="36" t="str">
        <f ca="1">IFERROR(__xludf.DUMMYFUNCTION("""COMPUTED_VALUE"""),"")</f>
        <v/>
      </c>
      <c r="R414" s="36" t="str">
        <f ca="1">IFERROR(__xludf.DUMMYFUNCTION("""COMPUTED_VALUE"""),"")</f>
        <v/>
      </c>
      <c r="S414" s="36" t="str">
        <f ca="1">IFERROR(__xludf.DUMMYFUNCTION("""COMPUTED_VALUE"""),"")</f>
        <v/>
      </c>
      <c r="T414" s="36" t="str">
        <f ca="1">IFERROR(__xludf.DUMMYFUNCTION("""COMPUTED_VALUE"""),"")</f>
        <v/>
      </c>
      <c r="U414" s="36" t="str">
        <f ca="1">IFERROR(__xludf.DUMMYFUNCTION("""COMPUTED_VALUE"""),"")</f>
        <v/>
      </c>
      <c r="V414" s="36" t="str">
        <f ca="1">IFERROR(__xludf.DUMMYFUNCTION("""COMPUTED_VALUE"""),"")</f>
        <v/>
      </c>
      <c r="W414" s="36" t="str">
        <f ca="1">IFERROR(__xludf.DUMMYFUNCTION("""COMPUTED_VALUE"""),"")</f>
        <v/>
      </c>
      <c r="X414" s="36"/>
      <c r="Y414" s="36"/>
      <c r="Z414" s="36"/>
    </row>
    <row r="415" spans="1:26" ht="12.75" hidden="1">
      <c r="A415" s="36" t="str">
        <f ca="1">IFERROR(__xludf.DUMMYFUNCTION("""COMPUTED_VALUE"""),"")</f>
        <v/>
      </c>
      <c r="B415" s="36" t="str">
        <f ca="1">IFERROR(__xludf.DUMMYFUNCTION("""COMPUTED_VALUE"""),"")</f>
        <v/>
      </c>
      <c r="C415" s="36" t="str">
        <f ca="1">IFERROR(__xludf.DUMMYFUNCTION("""COMPUTED_VALUE"""),"")</f>
        <v/>
      </c>
      <c r="D415" s="36" t="str">
        <f ca="1">IFERROR(__xludf.DUMMYFUNCTION("""COMPUTED_VALUE"""),"")</f>
        <v/>
      </c>
      <c r="E415" s="36" t="str">
        <f ca="1">IFERROR(__xludf.DUMMYFUNCTION("""COMPUTED_VALUE"""),"")</f>
        <v/>
      </c>
      <c r="F415" s="36" t="str">
        <f ca="1">IFERROR(__xludf.DUMMYFUNCTION("""COMPUTED_VALUE"""),"")</f>
        <v/>
      </c>
      <c r="G415" s="36" t="str">
        <f ca="1">IFERROR(__xludf.DUMMYFUNCTION("""COMPUTED_VALUE"""),"")</f>
        <v/>
      </c>
      <c r="H415" s="36" t="str">
        <f ca="1">IFERROR(__xludf.DUMMYFUNCTION("""COMPUTED_VALUE"""),"")</f>
        <v/>
      </c>
      <c r="I415" s="36" t="str">
        <f ca="1">IFERROR(__xludf.DUMMYFUNCTION("""COMPUTED_VALUE"""),"")</f>
        <v/>
      </c>
      <c r="J415" s="36" t="str">
        <f ca="1">IFERROR(__xludf.DUMMYFUNCTION("""COMPUTED_VALUE"""),"")</f>
        <v/>
      </c>
      <c r="K415" s="36" t="str">
        <f ca="1">IFERROR(__xludf.DUMMYFUNCTION("""COMPUTED_VALUE"""),"")</f>
        <v/>
      </c>
      <c r="L415" s="36" t="str">
        <f ca="1">IFERROR(__xludf.DUMMYFUNCTION("""COMPUTED_VALUE"""),"")</f>
        <v/>
      </c>
      <c r="M415" s="36" t="str">
        <f ca="1">IFERROR(__xludf.DUMMYFUNCTION("""COMPUTED_VALUE"""),"")</f>
        <v/>
      </c>
      <c r="N415" s="36" t="str">
        <f ca="1">IFERROR(__xludf.DUMMYFUNCTION("""COMPUTED_VALUE"""),"")</f>
        <v/>
      </c>
      <c r="O415" s="36" t="str">
        <f ca="1">IFERROR(__xludf.DUMMYFUNCTION("""COMPUTED_VALUE"""),"")</f>
        <v/>
      </c>
      <c r="P415" s="36" t="str">
        <f ca="1">IFERROR(__xludf.DUMMYFUNCTION("""COMPUTED_VALUE"""),"")</f>
        <v/>
      </c>
      <c r="Q415" s="36" t="str">
        <f ca="1">IFERROR(__xludf.DUMMYFUNCTION("""COMPUTED_VALUE"""),"")</f>
        <v/>
      </c>
      <c r="R415" s="36" t="str">
        <f ca="1">IFERROR(__xludf.DUMMYFUNCTION("""COMPUTED_VALUE"""),"")</f>
        <v/>
      </c>
      <c r="S415" s="36" t="str">
        <f ca="1">IFERROR(__xludf.DUMMYFUNCTION("""COMPUTED_VALUE"""),"")</f>
        <v/>
      </c>
      <c r="T415" s="36" t="str">
        <f ca="1">IFERROR(__xludf.DUMMYFUNCTION("""COMPUTED_VALUE"""),"")</f>
        <v/>
      </c>
      <c r="U415" s="36" t="str">
        <f ca="1">IFERROR(__xludf.DUMMYFUNCTION("""COMPUTED_VALUE"""),"")</f>
        <v/>
      </c>
      <c r="V415" s="36" t="str">
        <f ca="1">IFERROR(__xludf.DUMMYFUNCTION("""COMPUTED_VALUE"""),"")</f>
        <v/>
      </c>
      <c r="W415" s="36" t="str">
        <f ca="1">IFERROR(__xludf.DUMMYFUNCTION("""COMPUTED_VALUE"""),"")</f>
        <v/>
      </c>
      <c r="X415" s="36"/>
      <c r="Y415" s="36"/>
      <c r="Z415" s="36"/>
    </row>
    <row r="416" spans="1:26" ht="12.75" hidden="1">
      <c r="A416" s="36" t="str">
        <f ca="1">IFERROR(__xludf.DUMMYFUNCTION("""COMPUTED_VALUE"""),"")</f>
        <v/>
      </c>
      <c r="B416" s="36" t="str">
        <f ca="1">IFERROR(__xludf.DUMMYFUNCTION("""COMPUTED_VALUE"""),"")</f>
        <v/>
      </c>
      <c r="C416" s="36" t="str">
        <f ca="1">IFERROR(__xludf.DUMMYFUNCTION("""COMPUTED_VALUE"""),"")</f>
        <v/>
      </c>
      <c r="D416" s="36" t="str">
        <f ca="1">IFERROR(__xludf.DUMMYFUNCTION("""COMPUTED_VALUE"""),"")</f>
        <v/>
      </c>
      <c r="E416" s="36" t="str">
        <f ca="1">IFERROR(__xludf.DUMMYFUNCTION("""COMPUTED_VALUE"""),"")</f>
        <v/>
      </c>
      <c r="F416" s="36" t="str">
        <f ca="1">IFERROR(__xludf.DUMMYFUNCTION("""COMPUTED_VALUE"""),"")</f>
        <v/>
      </c>
      <c r="G416" s="36" t="str">
        <f ca="1">IFERROR(__xludf.DUMMYFUNCTION("""COMPUTED_VALUE"""),"")</f>
        <v/>
      </c>
      <c r="H416" s="36" t="str">
        <f ca="1">IFERROR(__xludf.DUMMYFUNCTION("""COMPUTED_VALUE"""),"")</f>
        <v/>
      </c>
      <c r="I416" s="36" t="str">
        <f ca="1">IFERROR(__xludf.DUMMYFUNCTION("""COMPUTED_VALUE"""),"")</f>
        <v/>
      </c>
      <c r="J416" s="36" t="str">
        <f ca="1">IFERROR(__xludf.DUMMYFUNCTION("""COMPUTED_VALUE"""),"")</f>
        <v/>
      </c>
      <c r="K416" s="36" t="str">
        <f ca="1">IFERROR(__xludf.DUMMYFUNCTION("""COMPUTED_VALUE"""),"")</f>
        <v/>
      </c>
      <c r="L416" s="36" t="str">
        <f ca="1">IFERROR(__xludf.DUMMYFUNCTION("""COMPUTED_VALUE"""),"")</f>
        <v/>
      </c>
      <c r="M416" s="36" t="str">
        <f ca="1">IFERROR(__xludf.DUMMYFUNCTION("""COMPUTED_VALUE"""),"")</f>
        <v/>
      </c>
      <c r="N416" s="36" t="str">
        <f ca="1">IFERROR(__xludf.DUMMYFUNCTION("""COMPUTED_VALUE"""),"")</f>
        <v/>
      </c>
      <c r="O416" s="36" t="str">
        <f ca="1">IFERROR(__xludf.DUMMYFUNCTION("""COMPUTED_VALUE"""),"")</f>
        <v/>
      </c>
      <c r="P416" s="36" t="str">
        <f ca="1">IFERROR(__xludf.DUMMYFUNCTION("""COMPUTED_VALUE"""),"")</f>
        <v/>
      </c>
      <c r="Q416" s="36" t="str">
        <f ca="1">IFERROR(__xludf.DUMMYFUNCTION("""COMPUTED_VALUE"""),"")</f>
        <v/>
      </c>
      <c r="R416" s="36" t="str">
        <f ca="1">IFERROR(__xludf.DUMMYFUNCTION("""COMPUTED_VALUE"""),"")</f>
        <v/>
      </c>
      <c r="S416" s="36" t="str">
        <f ca="1">IFERROR(__xludf.DUMMYFUNCTION("""COMPUTED_VALUE"""),"")</f>
        <v/>
      </c>
      <c r="T416" s="36" t="str">
        <f ca="1">IFERROR(__xludf.DUMMYFUNCTION("""COMPUTED_VALUE"""),"")</f>
        <v/>
      </c>
      <c r="U416" s="36" t="str">
        <f ca="1">IFERROR(__xludf.DUMMYFUNCTION("""COMPUTED_VALUE"""),"")</f>
        <v/>
      </c>
      <c r="V416" s="36" t="str">
        <f ca="1">IFERROR(__xludf.DUMMYFUNCTION("""COMPUTED_VALUE"""),"")</f>
        <v/>
      </c>
      <c r="W416" s="36" t="str">
        <f ca="1">IFERROR(__xludf.DUMMYFUNCTION("""COMPUTED_VALUE"""),"")</f>
        <v/>
      </c>
      <c r="X416" s="36"/>
      <c r="Y416" s="36"/>
      <c r="Z416" s="36"/>
    </row>
    <row r="417" spans="1:26" ht="12.75" hidden="1">
      <c r="A417" s="36" t="str">
        <f ca="1">IFERROR(__xludf.DUMMYFUNCTION("""COMPUTED_VALUE"""),"")</f>
        <v/>
      </c>
      <c r="B417" s="36" t="str">
        <f ca="1">IFERROR(__xludf.DUMMYFUNCTION("""COMPUTED_VALUE"""),"")</f>
        <v/>
      </c>
      <c r="C417" s="36" t="str">
        <f ca="1">IFERROR(__xludf.DUMMYFUNCTION("""COMPUTED_VALUE"""),"")</f>
        <v/>
      </c>
      <c r="D417" s="36" t="str">
        <f ca="1">IFERROR(__xludf.DUMMYFUNCTION("""COMPUTED_VALUE"""),"")</f>
        <v/>
      </c>
      <c r="E417" s="36" t="str">
        <f ca="1">IFERROR(__xludf.DUMMYFUNCTION("""COMPUTED_VALUE"""),"")</f>
        <v/>
      </c>
      <c r="F417" s="36" t="str">
        <f ca="1">IFERROR(__xludf.DUMMYFUNCTION("""COMPUTED_VALUE"""),"")</f>
        <v/>
      </c>
      <c r="G417" s="36" t="str">
        <f ca="1">IFERROR(__xludf.DUMMYFUNCTION("""COMPUTED_VALUE"""),"")</f>
        <v/>
      </c>
      <c r="H417" s="36" t="str">
        <f ca="1">IFERROR(__xludf.DUMMYFUNCTION("""COMPUTED_VALUE"""),"")</f>
        <v/>
      </c>
      <c r="I417" s="36" t="str">
        <f ca="1">IFERROR(__xludf.DUMMYFUNCTION("""COMPUTED_VALUE"""),"")</f>
        <v/>
      </c>
      <c r="J417" s="36" t="str">
        <f ca="1">IFERROR(__xludf.DUMMYFUNCTION("""COMPUTED_VALUE"""),"")</f>
        <v/>
      </c>
      <c r="K417" s="36" t="str">
        <f ca="1">IFERROR(__xludf.DUMMYFUNCTION("""COMPUTED_VALUE"""),"")</f>
        <v/>
      </c>
      <c r="L417" s="36" t="str">
        <f ca="1">IFERROR(__xludf.DUMMYFUNCTION("""COMPUTED_VALUE"""),"")</f>
        <v/>
      </c>
      <c r="M417" s="36" t="str">
        <f ca="1">IFERROR(__xludf.DUMMYFUNCTION("""COMPUTED_VALUE"""),"")</f>
        <v/>
      </c>
      <c r="N417" s="36" t="str">
        <f ca="1">IFERROR(__xludf.DUMMYFUNCTION("""COMPUTED_VALUE"""),"")</f>
        <v/>
      </c>
      <c r="O417" s="36" t="str">
        <f ca="1">IFERROR(__xludf.DUMMYFUNCTION("""COMPUTED_VALUE"""),"")</f>
        <v/>
      </c>
      <c r="P417" s="36" t="str">
        <f ca="1">IFERROR(__xludf.DUMMYFUNCTION("""COMPUTED_VALUE"""),"")</f>
        <v/>
      </c>
      <c r="Q417" s="36" t="str">
        <f ca="1">IFERROR(__xludf.DUMMYFUNCTION("""COMPUTED_VALUE"""),"")</f>
        <v/>
      </c>
      <c r="R417" s="36" t="str">
        <f ca="1">IFERROR(__xludf.DUMMYFUNCTION("""COMPUTED_VALUE"""),"")</f>
        <v/>
      </c>
      <c r="S417" s="36" t="str">
        <f ca="1">IFERROR(__xludf.DUMMYFUNCTION("""COMPUTED_VALUE"""),"")</f>
        <v/>
      </c>
      <c r="T417" s="36" t="str">
        <f ca="1">IFERROR(__xludf.DUMMYFUNCTION("""COMPUTED_VALUE"""),"")</f>
        <v/>
      </c>
      <c r="U417" s="36" t="str">
        <f ca="1">IFERROR(__xludf.DUMMYFUNCTION("""COMPUTED_VALUE"""),"")</f>
        <v/>
      </c>
      <c r="V417" s="36" t="str">
        <f ca="1">IFERROR(__xludf.DUMMYFUNCTION("""COMPUTED_VALUE"""),"")</f>
        <v/>
      </c>
      <c r="W417" s="36" t="str">
        <f ca="1">IFERROR(__xludf.DUMMYFUNCTION("""COMPUTED_VALUE"""),"")</f>
        <v/>
      </c>
      <c r="X417" s="36"/>
      <c r="Y417" s="36"/>
      <c r="Z417" s="36"/>
    </row>
    <row r="418" spans="1:26" ht="12.75" hidden="1">
      <c r="A418" s="36" t="str">
        <f ca="1">IFERROR(__xludf.DUMMYFUNCTION("""COMPUTED_VALUE"""),"")</f>
        <v/>
      </c>
      <c r="B418" s="36" t="str">
        <f ca="1">IFERROR(__xludf.DUMMYFUNCTION("""COMPUTED_VALUE"""),"")</f>
        <v/>
      </c>
      <c r="C418" s="36" t="str">
        <f ca="1">IFERROR(__xludf.DUMMYFUNCTION("""COMPUTED_VALUE"""),"")</f>
        <v/>
      </c>
      <c r="D418" s="36" t="str">
        <f ca="1">IFERROR(__xludf.DUMMYFUNCTION("""COMPUTED_VALUE"""),"")</f>
        <v/>
      </c>
      <c r="E418" s="36" t="str">
        <f ca="1">IFERROR(__xludf.DUMMYFUNCTION("""COMPUTED_VALUE"""),"")</f>
        <v/>
      </c>
      <c r="F418" s="36" t="str">
        <f ca="1">IFERROR(__xludf.DUMMYFUNCTION("""COMPUTED_VALUE"""),"")</f>
        <v/>
      </c>
      <c r="G418" s="36" t="str">
        <f ca="1">IFERROR(__xludf.DUMMYFUNCTION("""COMPUTED_VALUE"""),"")</f>
        <v/>
      </c>
      <c r="H418" s="36" t="str">
        <f ca="1">IFERROR(__xludf.DUMMYFUNCTION("""COMPUTED_VALUE"""),"")</f>
        <v/>
      </c>
      <c r="I418" s="36" t="str">
        <f ca="1">IFERROR(__xludf.DUMMYFUNCTION("""COMPUTED_VALUE"""),"")</f>
        <v/>
      </c>
      <c r="J418" s="36" t="str">
        <f ca="1">IFERROR(__xludf.DUMMYFUNCTION("""COMPUTED_VALUE"""),"")</f>
        <v/>
      </c>
      <c r="K418" s="36" t="str">
        <f ca="1">IFERROR(__xludf.DUMMYFUNCTION("""COMPUTED_VALUE"""),"")</f>
        <v/>
      </c>
      <c r="L418" s="36" t="str">
        <f ca="1">IFERROR(__xludf.DUMMYFUNCTION("""COMPUTED_VALUE"""),"")</f>
        <v/>
      </c>
      <c r="M418" s="36" t="str">
        <f ca="1">IFERROR(__xludf.DUMMYFUNCTION("""COMPUTED_VALUE"""),"")</f>
        <v/>
      </c>
      <c r="N418" s="36" t="str">
        <f ca="1">IFERROR(__xludf.DUMMYFUNCTION("""COMPUTED_VALUE"""),"")</f>
        <v/>
      </c>
      <c r="O418" s="36" t="str">
        <f ca="1">IFERROR(__xludf.DUMMYFUNCTION("""COMPUTED_VALUE"""),"")</f>
        <v/>
      </c>
      <c r="P418" s="36" t="str">
        <f ca="1">IFERROR(__xludf.DUMMYFUNCTION("""COMPUTED_VALUE"""),"")</f>
        <v/>
      </c>
      <c r="Q418" s="36" t="str">
        <f ca="1">IFERROR(__xludf.DUMMYFUNCTION("""COMPUTED_VALUE"""),"")</f>
        <v/>
      </c>
      <c r="R418" s="36" t="str">
        <f ca="1">IFERROR(__xludf.DUMMYFUNCTION("""COMPUTED_VALUE"""),"")</f>
        <v/>
      </c>
      <c r="S418" s="36" t="str">
        <f ca="1">IFERROR(__xludf.DUMMYFUNCTION("""COMPUTED_VALUE"""),"")</f>
        <v/>
      </c>
      <c r="T418" s="36" t="str">
        <f ca="1">IFERROR(__xludf.DUMMYFUNCTION("""COMPUTED_VALUE"""),"")</f>
        <v/>
      </c>
      <c r="U418" s="36" t="str">
        <f ca="1">IFERROR(__xludf.DUMMYFUNCTION("""COMPUTED_VALUE"""),"")</f>
        <v/>
      </c>
      <c r="V418" s="36" t="str">
        <f ca="1">IFERROR(__xludf.DUMMYFUNCTION("""COMPUTED_VALUE"""),"")</f>
        <v/>
      </c>
      <c r="W418" s="36" t="str">
        <f ca="1">IFERROR(__xludf.DUMMYFUNCTION("""COMPUTED_VALUE"""),"")</f>
        <v/>
      </c>
      <c r="X418" s="36"/>
      <c r="Y418" s="36"/>
      <c r="Z418" s="36"/>
    </row>
    <row r="419" spans="1:26" ht="12.75" hidden="1">
      <c r="A419" s="36" t="str">
        <f ca="1">IFERROR(__xludf.DUMMYFUNCTION("""COMPUTED_VALUE"""),"")</f>
        <v/>
      </c>
      <c r="B419" s="36" t="str">
        <f ca="1">IFERROR(__xludf.DUMMYFUNCTION("""COMPUTED_VALUE"""),"")</f>
        <v/>
      </c>
      <c r="C419" s="36" t="str">
        <f ca="1">IFERROR(__xludf.DUMMYFUNCTION("""COMPUTED_VALUE"""),"")</f>
        <v/>
      </c>
      <c r="D419" s="36" t="str">
        <f ca="1">IFERROR(__xludf.DUMMYFUNCTION("""COMPUTED_VALUE"""),"")</f>
        <v/>
      </c>
      <c r="E419" s="36" t="str">
        <f ca="1">IFERROR(__xludf.DUMMYFUNCTION("""COMPUTED_VALUE"""),"")</f>
        <v/>
      </c>
      <c r="F419" s="36" t="str">
        <f ca="1">IFERROR(__xludf.DUMMYFUNCTION("""COMPUTED_VALUE"""),"")</f>
        <v/>
      </c>
      <c r="G419" s="36" t="str">
        <f ca="1">IFERROR(__xludf.DUMMYFUNCTION("""COMPUTED_VALUE"""),"")</f>
        <v/>
      </c>
      <c r="H419" s="36" t="str">
        <f ca="1">IFERROR(__xludf.DUMMYFUNCTION("""COMPUTED_VALUE"""),"")</f>
        <v/>
      </c>
      <c r="I419" s="36" t="str">
        <f ca="1">IFERROR(__xludf.DUMMYFUNCTION("""COMPUTED_VALUE"""),"")</f>
        <v/>
      </c>
      <c r="J419" s="36" t="str">
        <f ca="1">IFERROR(__xludf.DUMMYFUNCTION("""COMPUTED_VALUE"""),"")</f>
        <v/>
      </c>
      <c r="K419" s="36" t="str">
        <f ca="1">IFERROR(__xludf.DUMMYFUNCTION("""COMPUTED_VALUE"""),"")</f>
        <v/>
      </c>
      <c r="L419" s="36" t="str">
        <f ca="1">IFERROR(__xludf.DUMMYFUNCTION("""COMPUTED_VALUE"""),"")</f>
        <v/>
      </c>
      <c r="M419" s="36" t="str">
        <f ca="1">IFERROR(__xludf.DUMMYFUNCTION("""COMPUTED_VALUE"""),"")</f>
        <v/>
      </c>
      <c r="N419" s="36" t="str">
        <f ca="1">IFERROR(__xludf.DUMMYFUNCTION("""COMPUTED_VALUE"""),"")</f>
        <v/>
      </c>
      <c r="O419" s="36" t="str">
        <f ca="1">IFERROR(__xludf.DUMMYFUNCTION("""COMPUTED_VALUE"""),"")</f>
        <v/>
      </c>
      <c r="P419" s="36" t="str">
        <f ca="1">IFERROR(__xludf.DUMMYFUNCTION("""COMPUTED_VALUE"""),"")</f>
        <v/>
      </c>
      <c r="Q419" s="36" t="str">
        <f ca="1">IFERROR(__xludf.DUMMYFUNCTION("""COMPUTED_VALUE"""),"")</f>
        <v/>
      </c>
      <c r="R419" s="36" t="str">
        <f ca="1">IFERROR(__xludf.DUMMYFUNCTION("""COMPUTED_VALUE"""),"")</f>
        <v/>
      </c>
      <c r="S419" s="36" t="str">
        <f ca="1">IFERROR(__xludf.DUMMYFUNCTION("""COMPUTED_VALUE"""),"")</f>
        <v/>
      </c>
      <c r="T419" s="36" t="str">
        <f ca="1">IFERROR(__xludf.DUMMYFUNCTION("""COMPUTED_VALUE"""),"")</f>
        <v/>
      </c>
      <c r="U419" s="36" t="str">
        <f ca="1">IFERROR(__xludf.DUMMYFUNCTION("""COMPUTED_VALUE"""),"")</f>
        <v/>
      </c>
      <c r="V419" s="36" t="str">
        <f ca="1">IFERROR(__xludf.DUMMYFUNCTION("""COMPUTED_VALUE"""),"")</f>
        <v/>
      </c>
      <c r="W419" s="36" t="str">
        <f ca="1">IFERROR(__xludf.DUMMYFUNCTION("""COMPUTED_VALUE"""),"")</f>
        <v/>
      </c>
      <c r="X419" s="36"/>
      <c r="Y419" s="36"/>
      <c r="Z419" s="36"/>
    </row>
    <row r="420" spans="1:26" ht="12.75" hidden="1">
      <c r="A420" s="36" t="str">
        <f ca="1">IFERROR(__xludf.DUMMYFUNCTION("""COMPUTED_VALUE"""),"")</f>
        <v/>
      </c>
      <c r="B420" s="36" t="str">
        <f ca="1">IFERROR(__xludf.DUMMYFUNCTION("""COMPUTED_VALUE"""),"")</f>
        <v/>
      </c>
      <c r="C420" s="36" t="str">
        <f ca="1">IFERROR(__xludf.DUMMYFUNCTION("""COMPUTED_VALUE"""),"")</f>
        <v/>
      </c>
      <c r="D420" s="36" t="str">
        <f ca="1">IFERROR(__xludf.DUMMYFUNCTION("""COMPUTED_VALUE"""),"")</f>
        <v/>
      </c>
      <c r="E420" s="36" t="str">
        <f ca="1">IFERROR(__xludf.DUMMYFUNCTION("""COMPUTED_VALUE"""),"")</f>
        <v/>
      </c>
      <c r="F420" s="36" t="str">
        <f ca="1">IFERROR(__xludf.DUMMYFUNCTION("""COMPUTED_VALUE"""),"")</f>
        <v/>
      </c>
      <c r="G420" s="36" t="str">
        <f ca="1">IFERROR(__xludf.DUMMYFUNCTION("""COMPUTED_VALUE"""),"")</f>
        <v/>
      </c>
      <c r="H420" s="36" t="str">
        <f ca="1">IFERROR(__xludf.DUMMYFUNCTION("""COMPUTED_VALUE"""),"")</f>
        <v/>
      </c>
      <c r="I420" s="36" t="str">
        <f ca="1">IFERROR(__xludf.DUMMYFUNCTION("""COMPUTED_VALUE"""),"")</f>
        <v/>
      </c>
      <c r="J420" s="36" t="str">
        <f ca="1">IFERROR(__xludf.DUMMYFUNCTION("""COMPUTED_VALUE"""),"")</f>
        <v/>
      </c>
      <c r="K420" s="36" t="str">
        <f ca="1">IFERROR(__xludf.DUMMYFUNCTION("""COMPUTED_VALUE"""),"")</f>
        <v/>
      </c>
      <c r="L420" s="36" t="str">
        <f ca="1">IFERROR(__xludf.DUMMYFUNCTION("""COMPUTED_VALUE"""),"")</f>
        <v/>
      </c>
      <c r="M420" s="36" t="str">
        <f ca="1">IFERROR(__xludf.DUMMYFUNCTION("""COMPUTED_VALUE"""),"")</f>
        <v/>
      </c>
      <c r="N420" s="36" t="str">
        <f ca="1">IFERROR(__xludf.DUMMYFUNCTION("""COMPUTED_VALUE"""),"")</f>
        <v/>
      </c>
      <c r="O420" s="36" t="str">
        <f ca="1">IFERROR(__xludf.DUMMYFUNCTION("""COMPUTED_VALUE"""),"")</f>
        <v/>
      </c>
      <c r="P420" s="36" t="str">
        <f ca="1">IFERROR(__xludf.DUMMYFUNCTION("""COMPUTED_VALUE"""),"")</f>
        <v/>
      </c>
      <c r="Q420" s="36" t="str">
        <f ca="1">IFERROR(__xludf.DUMMYFUNCTION("""COMPUTED_VALUE"""),"")</f>
        <v/>
      </c>
      <c r="R420" s="36" t="str">
        <f ca="1">IFERROR(__xludf.DUMMYFUNCTION("""COMPUTED_VALUE"""),"")</f>
        <v/>
      </c>
      <c r="S420" s="36" t="str">
        <f ca="1">IFERROR(__xludf.DUMMYFUNCTION("""COMPUTED_VALUE"""),"")</f>
        <v/>
      </c>
      <c r="T420" s="36" t="str">
        <f ca="1">IFERROR(__xludf.DUMMYFUNCTION("""COMPUTED_VALUE"""),"")</f>
        <v/>
      </c>
      <c r="U420" s="36" t="str">
        <f ca="1">IFERROR(__xludf.DUMMYFUNCTION("""COMPUTED_VALUE"""),"")</f>
        <v/>
      </c>
      <c r="V420" s="36" t="str">
        <f ca="1">IFERROR(__xludf.DUMMYFUNCTION("""COMPUTED_VALUE"""),"")</f>
        <v/>
      </c>
      <c r="W420" s="36" t="str">
        <f ca="1">IFERROR(__xludf.DUMMYFUNCTION("""COMPUTED_VALUE"""),"")</f>
        <v/>
      </c>
      <c r="X420" s="36"/>
      <c r="Y420" s="36"/>
      <c r="Z420" s="36"/>
    </row>
    <row r="421" spans="1:26" ht="12.75" hidden="1">
      <c r="A421" s="36" t="str">
        <f ca="1">IFERROR(__xludf.DUMMYFUNCTION("""COMPUTED_VALUE"""),"")</f>
        <v/>
      </c>
      <c r="B421" s="36" t="str">
        <f ca="1">IFERROR(__xludf.DUMMYFUNCTION("""COMPUTED_VALUE"""),"")</f>
        <v/>
      </c>
      <c r="C421" s="36" t="str">
        <f ca="1">IFERROR(__xludf.DUMMYFUNCTION("""COMPUTED_VALUE"""),"")</f>
        <v/>
      </c>
      <c r="D421" s="36" t="str">
        <f ca="1">IFERROR(__xludf.DUMMYFUNCTION("""COMPUTED_VALUE"""),"")</f>
        <v/>
      </c>
      <c r="E421" s="36" t="str">
        <f ca="1">IFERROR(__xludf.DUMMYFUNCTION("""COMPUTED_VALUE"""),"")</f>
        <v/>
      </c>
      <c r="F421" s="36" t="str">
        <f ca="1">IFERROR(__xludf.DUMMYFUNCTION("""COMPUTED_VALUE"""),"")</f>
        <v/>
      </c>
      <c r="G421" s="36" t="str">
        <f ca="1">IFERROR(__xludf.DUMMYFUNCTION("""COMPUTED_VALUE"""),"")</f>
        <v/>
      </c>
      <c r="H421" s="36" t="str">
        <f ca="1">IFERROR(__xludf.DUMMYFUNCTION("""COMPUTED_VALUE"""),"")</f>
        <v/>
      </c>
      <c r="I421" s="36" t="str">
        <f ca="1">IFERROR(__xludf.DUMMYFUNCTION("""COMPUTED_VALUE"""),"")</f>
        <v/>
      </c>
      <c r="J421" s="36" t="str">
        <f ca="1">IFERROR(__xludf.DUMMYFUNCTION("""COMPUTED_VALUE"""),"")</f>
        <v/>
      </c>
      <c r="K421" s="36" t="str">
        <f ca="1">IFERROR(__xludf.DUMMYFUNCTION("""COMPUTED_VALUE"""),"")</f>
        <v/>
      </c>
      <c r="L421" s="36" t="str">
        <f ca="1">IFERROR(__xludf.DUMMYFUNCTION("""COMPUTED_VALUE"""),"")</f>
        <v/>
      </c>
      <c r="M421" s="36" t="str">
        <f ca="1">IFERROR(__xludf.DUMMYFUNCTION("""COMPUTED_VALUE"""),"")</f>
        <v/>
      </c>
      <c r="N421" s="36" t="str">
        <f ca="1">IFERROR(__xludf.DUMMYFUNCTION("""COMPUTED_VALUE"""),"")</f>
        <v/>
      </c>
      <c r="O421" s="36" t="str">
        <f ca="1">IFERROR(__xludf.DUMMYFUNCTION("""COMPUTED_VALUE"""),"")</f>
        <v/>
      </c>
      <c r="P421" s="36" t="str">
        <f ca="1">IFERROR(__xludf.DUMMYFUNCTION("""COMPUTED_VALUE"""),"")</f>
        <v/>
      </c>
      <c r="Q421" s="36" t="str">
        <f ca="1">IFERROR(__xludf.DUMMYFUNCTION("""COMPUTED_VALUE"""),"")</f>
        <v/>
      </c>
      <c r="R421" s="36" t="str">
        <f ca="1">IFERROR(__xludf.DUMMYFUNCTION("""COMPUTED_VALUE"""),"")</f>
        <v/>
      </c>
      <c r="S421" s="36" t="str">
        <f ca="1">IFERROR(__xludf.DUMMYFUNCTION("""COMPUTED_VALUE"""),"")</f>
        <v/>
      </c>
      <c r="T421" s="36" t="str">
        <f ca="1">IFERROR(__xludf.DUMMYFUNCTION("""COMPUTED_VALUE"""),"")</f>
        <v/>
      </c>
      <c r="U421" s="36" t="str">
        <f ca="1">IFERROR(__xludf.DUMMYFUNCTION("""COMPUTED_VALUE"""),"")</f>
        <v/>
      </c>
      <c r="V421" s="36" t="str">
        <f ca="1">IFERROR(__xludf.DUMMYFUNCTION("""COMPUTED_VALUE"""),"")</f>
        <v/>
      </c>
      <c r="W421" s="36" t="str">
        <f ca="1">IFERROR(__xludf.DUMMYFUNCTION("""COMPUTED_VALUE"""),"")</f>
        <v/>
      </c>
      <c r="X421" s="36"/>
      <c r="Y421" s="36"/>
      <c r="Z421" s="36"/>
    </row>
    <row r="422" spans="1:26" ht="12.75" hidden="1">
      <c r="A422" s="36" t="str">
        <f ca="1">IFERROR(__xludf.DUMMYFUNCTION("""COMPUTED_VALUE"""),"")</f>
        <v/>
      </c>
      <c r="B422" s="36" t="str">
        <f ca="1">IFERROR(__xludf.DUMMYFUNCTION("""COMPUTED_VALUE"""),"")</f>
        <v/>
      </c>
      <c r="C422" s="36" t="str">
        <f ca="1">IFERROR(__xludf.DUMMYFUNCTION("""COMPUTED_VALUE"""),"")</f>
        <v/>
      </c>
      <c r="D422" s="36" t="str">
        <f ca="1">IFERROR(__xludf.DUMMYFUNCTION("""COMPUTED_VALUE"""),"")</f>
        <v/>
      </c>
      <c r="E422" s="36" t="str">
        <f ca="1">IFERROR(__xludf.DUMMYFUNCTION("""COMPUTED_VALUE"""),"")</f>
        <v/>
      </c>
      <c r="F422" s="36" t="str">
        <f ca="1">IFERROR(__xludf.DUMMYFUNCTION("""COMPUTED_VALUE"""),"")</f>
        <v/>
      </c>
      <c r="G422" s="36" t="str">
        <f ca="1">IFERROR(__xludf.DUMMYFUNCTION("""COMPUTED_VALUE"""),"")</f>
        <v/>
      </c>
      <c r="H422" s="36" t="str">
        <f ca="1">IFERROR(__xludf.DUMMYFUNCTION("""COMPUTED_VALUE"""),"")</f>
        <v/>
      </c>
      <c r="I422" s="36" t="str">
        <f ca="1">IFERROR(__xludf.DUMMYFUNCTION("""COMPUTED_VALUE"""),"")</f>
        <v/>
      </c>
      <c r="J422" s="36" t="str">
        <f ca="1">IFERROR(__xludf.DUMMYFUNCTION("""COMPUTED_VALUE"""),"")</f>
        <v/>
      </c>
      <c r="K422" s="36" t="str">
        <f ca="1">IFERROR(__xludf.DUMMYFUNCTION("""COMPUTED_VALUE"""),"")</f>
        <v/>
      </c>
      <c r="L422" s="36" t="str">
        <f ca="1">IFERROR(__xludf.DUMMYFUNCTION("""COMPUTED_VALUE"""),"")</f>
        <v/>
      </c>
      <c r="M422" s="36" t="str">
        <f ca="1">IFERROR(__xludf.DUMMYFUNCTION("""COMPUTED_VALUE"""),"")</f>
        <v/>
      </c>
      <c r="N422" s="36" t="str">
        <f ca="1">IFERROR(__xludf.DUMMYFUNCTION("""COMPUTED_VALUE"""),"")</f>
        <v/>
      </c>
      <c r="O422" s="36" t="str">
        <f ca="1">IFERROR(__xludf.DUMMYFUNCTION("""COMPUTED_VALUE"""),"")</f>
        <v/>
      </c>
      <c r="P422" s="36" t="str">
        <f ca="1">IFERROR(__xludf.DUMMYFUNCTION("""COMPUTED_VALUE"""),"")</f>
        <v/>
      </c>
      <c r="Q422" s="36" t="str">
        <f ca="1">IFERROR(__xludf.DUMMYFUNCTION("""COMPUTED_VALUE"""),"")</f>
        <v/>
      </c>
      <c r="R422" s="36" t="str">
        <f ca="1">IFERROR(__xludf.DUMMYFUNCTION("""COMPUTED_VALUE"""),"")</f>
        <v/>
      </c>
      <c r="S422" s="36" t="str">
        <f ca="1">IFERROR(__xludf.DUMMYFUNCTION("""COMPUTED_VALUE"""),"")</f>
        <v/>
      </c>
      <c r="T422" s="36" t="str">
        <f ca="1">IFERROR(__xludf.DUMMYFUNCTION("""COMPUTED_VALUE"""),"")</f>
        <v/>
      </c>
      <c r="U422" s="36" t="str">
        <f ca="1">IFERROR(__xludf.DUMMYFUNCTION("""COMPUTED_VALUE"""),"")</f>
        <v/>
      </c>
      <c r="V422" s="36" t="str">
        <f ca="1">IFERROR(__xludf.DUMMYFUNCTION("""COMPUTED_VALUE"""),"")</f>
        <v/>
      </c>
      <c r="W422" s="36" t="str">
        <f ca="1">IFERROR(__xludf.DUMMYFUNCTION("""COMPUTED_VALUE"""),"")</f>
        <v/>
      </c>
      <c r="X422" s="36"/>
      <c r="Y422" s="36"/>
      <c r="Z422" s="36"/>
    </row>
    <row r="423" spans="1:26" ht="12.75" hidden="1">
      <c r="A423" s="36" t="str">
        <f ca="1">IFERROR(__xludf.DUMMYFUNCTION("""COMPUTED_VALUE"""),"")</f>
        <v/>
      </c>
      <c r="B423" s="36" t="str">
        <f ca="1">IFERROR(__xludf.DUMMYFUNCTION("""COMPUTED_VALUE"""),"")</f>
        <v/>
      </c>
      <c r="C423" s="36" t="str">
        <f ca="1">IFERROR(__xludf.DUMMYFUNCTION("""COMPUTED_VALUE"""),"")</f>
        <v/>
      </c>
      <c r="D423" s="36" t="str">
        <f ca="1">IFERROR(__xludf.DUMMYFUNCTION("""COMPUTED_VALUE"""),"")</f>
        <v/>
      </c>
      <c r="E423" s="36" t="str">
        <f ca="1">IFERROR(__xludf.DUMMYFUNCTION("""COMPUTED_VALUE"""),"")</f>
        <v/>
      </c>
      <c r="F423" s="36" t="str">
        <f ca="1">IFERROR(__xludf.DUMMYFUNCTION("""COMPUTED_VALUE"""),"")</f>
        <v/>
      </c>
      <c r="G423" s="36" t="str">
        <f ca="1">IFERROR(__xludf.DUMMYFUNCTION("""COMPUTED_VALUE"""),"")</f>
        <v/>
      </c>
      <c r="H423" s="36" t="str">
        <f ca="1">IFERROR(__xludf.DUMMYFUNCTION("""COMPUTED_VALUE"""),"")</f>
        <v/>
      </c>
      <c r="I423" s="36" t="str">
        <f ca="1">IFERROR(__xludf.DUMMYFUNCTION("""COMPUTED_VALUE"""),"")</f>
        <v/>
      </c>
      <c r="J423" s="36" t="str">
        <f ca="1">IFERROR(__xludf.DUMMYFUNCTION("""COMPUTED_VALUE"""),"")</f>
        <v/>
      </c>
      <c r="K423" s="36" t="str">
        <f ca="1">IFERROR(__xludf.DUMMYFUNCTION("""COMPUTED_VALUE"""),"")</f>
        <v/>
      </c>
      <c r="L423" s="36" t="str">
        <f ca="1">IFERROR(__xludf.DUMMYFUNCTION("""COMPUTED_VALUE"""),"")</f>
        <v/>
      </c>
      <c r="M423" s="36" t="str">
        <f ca="1">IFERROR(__xludf.DUMMYFUNCTION("""COMPUTED_VALUE"""),"")</f>
        <v/>
      </c>
      <c r="N423" s="36" t="str">
        <f ca="1">IFERROR(__xludf.DUMMYFUNCTION("""COMPUTED_VALUE"""),"")</f>
        <v/>
      </c>
      <c r="O423" s="36" t="str">
        <f ca="1">IFERROR(__xludf.DUMMYFUNCTION("""COMPUTED_VALUE"""),"")</f>
        <v/>
      </c>
      <c r="P423" s="36" t="str">
        <f ca="1">IFERROR(__xludf.DUMMYFUNCTION("""COMPUTED_VALUE"""),"")</f>
        <v/>
      </c>
      <c r="Q423" s="36" t="str">
        <f ca="1">IFERROR(__xludf.DUMMYFUNCTION("""COMPUTED_VALUE"""),"")</f>
        <v/>
      </c>
      <c r="R423" s="36" t="str">
        <f ca="1">IFERROR(__xludf.DUMMYFUNCTION("""COMPUTED_VALUE"""),"")</f>
        <v/>
      </c>
      <c r="S423" s="36" t="str">
        <f ca="1">IFERROR(__xludf.DUMMYFUNCTION("""COMPUTED_VALUE"""),"")</f>
        <v/>
      </c>
      <c r="T423" s="36" t="str">
        <f ca="1">IFERROR(__xludf.DUMMYFUNCTION("""COMPUTED_VALUE"""),"")</f>
        <v/>
      </c>
      <c r="U423" s="36" t="str">
        <f ca="1">IFERROR(__xludf.DUMMYFUNCTION("""COMPUTED_VALUE"""),"")</f>
        <v/>
      </c>
      <c r="V423" s="36" t="str">
        <f ca="1">IFERROR(__xludf.DUMMYFUNCTION("""COMPUTED_VALUE"""),"")</f>
        <v/>
      </c>
      <c r="W423" s="36" t="str">
        <f ca="1">IFERROR(__xludf.DUMMYFUNCTION("""COMPUTED_VALUE"""),"")</f>
        <v/>
      </c>
      <c r="X423" s="36"/>
      <c r="Y423" s="36"/>
      <c r="Z423" s="36"/>
    </row>
    <row r="424" spans="1:26" ht="12.75" hidden="1">
      <c r="A424" s="36" t="str">
        <f ca="1">IFERROR(__xludf.DUMMYFUNCTION("""COMPUTED_VALUE"""),"")</f>
        <v/>
      </c>
      <c r="B424" s="36" t="str">
        <f ca="1">IFERROR(__xludf.DUMMYFUNCTION("""COMPUTED_VALUE"""),"")</f>
        <v/>
      </c>
      <c r="C424" s="36" t="str">
        <f ca="1">IFERROR(__xludf.DUMMYFUNCTION("""COMPUTED_VALUE"""),"")</f>
        <v/>
      </c>
      <c r="D424" s="36" t="str">
        <f ca="1">IFERROR(__xludf.DUMMYFUNCTION("""COMPUTED_VALUE"""),"")</f>
        <v/>
      </c>
      <c r="E424" s="36" t="str">
        <f ca="1">IFERROR(__xludf.DUMMYFUNCTION("""COMPUTED_VALUE"""),"")</f>
        <v/>
      </c>
      <c r="F424" s="36" t="str">
        <f ca="1">IFERROR(__xludf.DUMMYFUNCTION("""COMPUTED_VALUE"""),"")</f>
        <v/>
      </c>
      <c r="G424" s="36" t="str">
        <f ca="1">IFERROR(__xludf.DUMMYFUNCTION("""COMPUTED_VALUE"""),"")</f>
        <v/>
      </c>
      <c r="H424" s="36" t="str">
        <f ca="1">IFERROR(__xludf.DUMMYFUNCTION("""COMPUTED_VALUE"""),"")</f>
        <v/>
      </c>
      <c r="I424" s="36" t="str">
        <f ca="1">IFERROR(__xludf.DUMMYFUNCTION("""COMPUTED_VALUE"""),"")</f>
        <v/>
      </c>
      <c r="J424" s="36" t="str">
        <f ca="1">IFERROR(__xludf.DUMMYFUNCTION("""COMPUTED_VALUE"""),"")</f>
        <v/>
      </c>
      <c r="K424" s="36" t="str">
        <f ca="1">IFERROR(__xludf.DUMMYFUNCTION("""COMPUTED_VALUE"""),"")</f>
        <v/>
      </c>
      <c r="L424" s="36" t="str">
        <f ca="1">IFERROR(__xludf.DUMMYFUNCTION("""COMPUTED_VALUE"""),"")</f>
        <v/>
      </c>
      <c r="M424" s="36" t="str">
        <f ca="1">IFERROR(__xludf.DUMMYFUNCTION("""COMPUTED_VALUE"""),"")</f>
        <v/>
      </c>
      <c r="N424" s="36" t="str">
        <f ca="1">IFERROR(__xludf.DUMMYFUNCTION("""COMPUTED_VALUE"""),"")</f>
        <v/>
      </c>
      <c r="O424" s="36" t="str">
        <f ca="1">IFERROR(__xludf.DUMMYFUNCTION("""COMPUTED_VALUE"""),"")</f>
        <v/>
      </c>
      <c r="P424" s="36" t="str">
        <f ca="1">IFERROR(__xludf.DUMMYFUNCTION("""COMPUTED_VALUE"""),"")</f>
        <v/>
      </c>
      <c r="Q424" s="36" t="str">
        <f ca="1">IFERROR(__xludf.DUMMYFUNCTION("""COMPUTED_VALUE"""),"")</f>
        <v/>
      </c>
      <c r="R424" s="36" t="str">
        <f ca="1">IFERROR(__xludf.DUMMYFUNCTION("""COMPUTED_VALUE"""),"")</f>
        <v/>
      </c>
      <c r="S424" s="36" t="str">
        <f ca="1">IFERROR(__xludf.DUMMYFUNCTION("""COMPUTED_VALUE"""),"")</f>
        <v/>
      </c>
      <c r="T424" s="36" t="str">
        <f ca="1">IFERROR(__xludf.DUMMYFUNCTION("""COMPUTED_VALUE"""),"")</f>
        <v/>
      </c>
      <c r="U424" s="36" t="str">
        <f ca="1">IFERROR(__xludf.DUMMYFUNCTION("""COMPUTED_VALUE"""),"")</f>
        <v/>
      </c>
      <c r="V424" s="36" t="str">
        <f ca="1">IFERROR(__xludf.DUMMYFUNCTION("""COMPUTED_VALUE"""),"")</f>
        <v/>
      </c>
      <c r="W424" s="36" t="str">
        <f ca="1">IFERROR(__xludf.DUMMYFUNCTION("""COMPUTED_VALUE"""),"")</f>
        <v/>
      </c>
      <c r="X424" s="36"/>
      <c r="Y424" s="36"/>
      <c r="Z424" s="36"/>
    </row>
    <row r="425" spans="1:26" ht="12.75" hidden="1">
      <c r="A425" s="36" t="str">
        <f ca="1">IFERROR(__xludf.DUMMYFUNCTION("""COMPUTED_VALUE"""),"")</f>
        <v/>
      </c>
      <c r="B425" s="36" t="str">
        <f ca="1">IFERROR(__xludf.DUMMYFUNCTION("""COMPUTED_VALUE"""),"")</f>
        <v/>
      </c>
      <c r="C425" s="36" t="str">
        <f ca="1">IFERROR(__xludf.DUMMYFUNCTION("""COMPUTED_VALUE"""),"")</f>
        <v/>
      </c>
      <c r="D425" s="36" t="str">
        <f ca="1">IFERROR(__xludf.DUMMYFUNCTION("""COMPUTED_VALUE"""),"")</f>
        <v/>
      </c>
      <c r="E425" s="36" t="str">
        <f ca="1">IFERROR(__xludf.DUMMYFUNCTION("""COMPUTED_VALUE"""),"")</f>
        <v/>
      </c>
      <c r="F425" s="36" t="str">
        <f ca="1">IFERROR(__xludf.DUMMYFUNCTION("""COMPUTED_VALUE"""),"")</f>
        <v/>
      </c>
      <c r="G425" s="36" t="str">
        <f ca="1">IFERROR(__xludf.DUMMYFUNCTION("""COMPUTED_VALUE"""),"")</f>
        <v/>
      </c>
      <c r="H425" s="36" t="str">
        <f ca="1">IFERROR(__xludf.DUMMYFUNCTION("""COMPUTED_VALUE"""),"")</f>
        <v/>
      </c>
      <c r="I425" s="36" t="str">
        <f ca="1">IFERROR(__xludf.DUMMYFUNCTION("""COMPUTED_VALUE"""),"")</f>
        <v/>
      </c>
      <c r="J425" s="36" t="str">
        <f ca="1">IFERROR(__xludf.DUMMYFUNCTION("""COMPUTED_VALUE"""),"")</f>
        <v/>
      </c>
      <c r="K425" s="36" t="str">
        <f ca="1">IFERROR(__xludf.DUMMYFUNCTION("""COMPUTED_VALUE"""),"")</f>
        <v/>
      </c>
      <c r="L425" s="36" t="str">
        <f ca="1">IFERROR(__xludf.DUMMYFUNCTION("""COMPUTED_VALUE"""),"")</f>
        <v/>
      </c>
      <c r="M425" s="36" t="str">
        <f ca="1">IFERROR(__xludf.DUMMYFUNCTION("""COMPUTED_VALUE"""),"")</f>
        <v/>
      </c>
      <c r="N425" s="36" t="str">
        <f ca="1">IFERROR(__xludf.DUMMYFUNCTION("""COMPUTED_VALUE"""),"")</f>
        <v/>
      </c>
      <c r="O425" s="36" t="str">
        <f ca="1">IFERROR(__xludf.DUMMYFUNCTION("""COMPUTED_VALUE"""),"")</f>
        <v/>
      </c>
      <c r="P425" s="36" t="str">
        <f ca="1">IFERROR(__xludf.DUMMYFUNCTION("""COMPUTED_VALUE"""),"")</f>
        <v/>
      </c>
      <c r="Q425" s="36" t="str">
        <f ca="1">IFERROR(__xludf.DUMMYFUNCTION("""COMPUTED_VALUE"""),"")</f>
        <v/>
      </c>
      <c r="R425" s="36" t="str">
        <f ca="1">IFERROR(__xludf.DUMMYFUNCTION("""COMPUTED_VALUE"""),"")</f>
        <v/>
      </c>
      <c r="S425" s="36" t="str">
        <f ca="1">IFERROR(__xludf.DUMMYFUNCTION("""COMPUTED_VALUE"""),"")</f>
        <v/>
      </c>
      <c r="T425" s="36" t="str">
        <f ca="1">IFERROR(__xludf.DUMMYFUNCTION("""COMPUTED_VALUE"""),"")</f>
        <v/>
      </c>
      <c r="U425" s="36" t="str">
        <f ca="1">IFERROR(__xludf.DUMMYFUNCTION("""COMPUTED_VALUE"""),"")</f>
        <v/>
      </c>
      <c r="V425" s="36" t="str">
        <f ca="1">IFERROR(__xludf.DUMMYFUNCTION("""COMPUTED_VALUE"""),"")</f>
        <v/>
      </c>
      <c r="W425" s="36" t="str">
        <f ca="1">IFERROR(__xludf.DUMMYFUNCTION("""COMPUTED_VALUE"""),"")</f>
        <v/>
      </c>
      <c r="X425" s="36"/>
      <c r="Y425" s="36"/>
      <c r="Z425" s="36"/>
    </row>
    <row r="426" spans="1:26" ht="12.75" hidden="1">
      <c r="A426" s="36" t="str">
        <f ca="1">IFERROR(__xludf.DUMMYFUNCTION("""COMPUTED_VALUE"""),"")</f>
        <v/>
      </c>
      <c r="B426" s="36" t="str">
        <f ca="1">IFERROR(__xludf.DUMMYFUNCTION("""COMPUTED_VALUE"""),"")</f>
        <v/>
      </c>
      <c r="C426" s="36" t="str">
        <f ca="1">IFERROR(__xludf.DUMMYFUNCTION("""COMPUTED_VALUE"""),"")</f>
        <v/>
      </c>
      <c r="D426" s="36" t="str">
        <f ca="1">IFERROR(__xludf.DUMMYFUNCTION("""COMPUTED_VALUE"""),"")</f>
        <v/>
      </c>
      <c r="E426" s="36" t="str">
        <f ca="1">IFERROR(__xludf.DUMMYFUNCTION("""COMPUTED_VALUE"""),"")</f>
        <v/>
      </c>
      <c r="F426" s="36" t="str">
        <f ca="1">IFERROR(__xludf.DUMMYFUNCTION("""COMPUTED_VALUE"""),"")</f>
        <v/>
      </c>
      <c r="G426" s="36" t="str">
        <f ca="1">IFERROR(__xludf.DUMMYFUNCTION("""COMPUTED_VALUE"""),"")</f>
        <v/>
      </c>
      <c r="H426" s="36" t="str">
        <f ca="1">IFERROR(__xludf.DUMMYFUNCTION("""COMPUTED_VALUE"""),"")</f>
        <v/>
      </c>
      <c r="I426" s="36" t="str">
        <f ca="1">IFERROR(__xludf.DUMMYFUNCTION("""COMPUTED_VALUE"""),"")</f>
        <v/>
      </c>
      <c r="J426" s="36" t="str">
        <f ca="1">IFERROR(__xludf.DUMMYFUNCTION("""COMPUTED_VALUE"""),"")</f>
        <v/>
      </c>
      <c r="K426" s="36" t="str">
        <f ca="1">IFERROR(__xludf.DUMMYFUNCTION("""COMPUTED_VALUE"""),"")</f>
        <v/>
      </c>
      <c r="L426" s="36" t="str">
        <f ca="1">IFERROR(__xludf.DUMMYFUNCTION("""COMPUTED_VALUE"""),"")</f>
        <v/>
      </c>
      <c r="M426" s="36" t="str">
        <f ca="1">IFERROR(__xludf.DUMMYFUNCTION("""COMPUTED_VALUE"""),"")</f>
        <v/>
      </c>
      <c r="N426" s="36" t="str">
        <f ca="1">IFERROR(__xludf.DUMMYFUNCTION("""COMPUTED_VALUE"""),"")</f>
        <v/>
      </c>
      <c r="O426" s="36" t="str">
        <f ca="1">IFERROR(__xludf.DUMMYFUNCTION("""COMPUTED_VALUE"""),"")</f>
        <v/>
      </c>
      <c r="P426" s="36" t="str">
        <f ca="1">IFERROR(__xludf.DUMMYFUNCTION("""COMPUTED_VALUE"""),"")</f>
        <v/>
      </c>
      <c r="Q426" s="36" t="str">
        <f ca="1">IFERROR(__xludf.DUMMYFUNCTION("""COMPUTED_VALUE"""),"")</f>
        <v/>
      </c>
      <c r="R426" s="36" t="str">
        <f ca="1">IFERROR(__xludf.DUMMYFUNCTION("""COMPUTED_VALUE"""),"")</f>
        <v/>
      </c>
      <c r="S426" s="36" t="str">
        <f ca="1">IFERROR(__xludf.DUMMYFUNCTION("""COMPUTED_VALUE"""),"")</f>
        <v/>
      </c>
      <c r="T426" s="36" t="str">
        <f ca="1">IFERROR(__xludf.DUMMYFUNCTION("""COMPUTED_VALUE"""),"")</f>
        <v/>
      </c>
      <c r="U426" s="36" t="str">
        <f ca="1">IFERROR(__xludf.DUMMYFUNCTION("""COMPUTED_VALUE"""),"")</f>
        <v/>
      </c>
      <c r="V426" s="36" t="str">
        <f ca="1">IFERROR(__xludf.DUMMYFUNCTION("""COMPUTED_VALUE"""),"")</f>
        <v/>
      </c>
      <c r="W426" s="36" t="str">
        <f ca="1">IFERROR(__xludf.DUMMYFUNCTION("""COMPUTED_VALUE"""),"")</f>
        <v/>
      </c>
      <c r="X426" s="36"/>
      <c r="Y426" s="36"/>
      <c r="Z426" s="36"/>
    </row>
    <row r="427" spans="1:26" ht="12.75" hidden="1">
      <c r="A427" s="36" t="str">
        <f ca="1">IFERROR(__xludf.DUMMYFUNCTION("""COMPUTED_VALUE"""),"")</f>
        <v/>
      </c>
      <c r="B427" s="36" t="str">
        <f ca="1">IFERROR(__xludf.DUMMYFUNCTION("""COMPUTED_VALUE"""),"")</f>
        <v/>
      </c>
      <c r="C427" s="36" t="str">
        <f ca="1">IFERROR(__xludf.DUMMYFUNCTION("""COMPUTED_VALUE"""),"")</f>
        <v/>
      </c>
      <c r="D427" s="36" t="str">
        <f ca="1">IFERROR(__xludf.DUMMYFUNCTION("""COMPUTED_VALUE"""),"")</f>
        <v/>
      </c>
      <c r="E427" s="36" t="str">
        <f ca="1">IFERROR(__xludf.DUMMYFUNCTION("""COMPUTED_VALUE"""),"")</f>
        <v/>
      </c>
      <c r="F427" s="36" t="str">
        <f ca="1">IFERROR(__xludf.DUMMYFUNCTION("""COMPUTED_VALUE"""),"")</f>
        <v/>
      </c>
      <c r="G427" s="36" t="str">
        <f ca="1">IFERROR(__xludf.DUMMYFUNCTION("""COMPUTED_VALUE"""),"")</f>
        <v/>
      </c>
      <c r="H427" s="36" t="str">
        <f ca="1">IFERROR(__xludf.DUMMYFUNCTION("""COMPUTED_VALUE"""),"")</f>
        <v/>
      </c>
      <c r="I427" s="36" t="str">
        <f ca="1">IFERROR(__xludf.DUMMYFUNCTION("""COMPUTED_VALUE"""),"")</f>
        <v/>
      </c>
      <c r="J427" s="36" t="str">
        <f ca="1">IFERROR(__xludf.DUMMYFUNCTION("""COMPUTED_VALUE"""),"")</f>
        <v/>
      </c>
      <c r="K427" s="36" t="str">
        <f ca="1">IFERROR(__xludf.DUMMYFUNCTION("""COMPUTED_VALUE"""),"")</f>
        <v/>
      </c>
      <c r="L427" s="36" t="str">
        <f ca="1">IFERROR(__xludf.DUMMYFUNCTION("""COMPUTED_VALUE"""),"")</f>
        <v/>
      </c>
      <c r="M427" s="36" t="str">
        <f ca="1">IFERROR(__xludf.DUMMYFUNCTION("""COMPUTED_VALUE"""),"")</f>
        <v/>
      </c>
      <c r="N427" s="36" t="str">
        <f ca="1">IFERROR(__xludf.DUMMYFUNCTION("""COMPUTED_VALUE"""),"")</f>
        <v/>
      </c>
      <c r="O427" s="36" t="str">
        <f ca="1">IFERROR(__xludf.DUMMYFUNCTION("""COMPUTED_VALUE"""),"")</f>
        <v/>
      </c>
      <c r="P427" s="36" t="str">
        <f ca="1">IFERROR(__xludf.DUMMYFUNCTION("""COMPUTED_VALUE"""),"")</f>
        <v/>
      </c>
      <c r="Q427" s="36" t="str">
        <f ca="1">IFERROR(__xludf.DUMMYFUNCTION("""COMPUTED_VALUE"""),"")</f>
        <v/>
      </c>
      <c r="R427" s="36" t="str">
        <f ca="1">IFERROR(__xludf.DUMMYFUNCTION("""COMPUTED_VALUE"""),"")</f>
        <v/>
      </c>
      <c r="S427" s="36" t="str">
        <f ca="1">IFERROR(__xludf.DUMMYFUNCTION("""COMPUTED_VALUE"""),"")</f>
        <v/>
      </c>
      <c r="T427" s="36" t="str">
        <f ca="1">IFERROR(__xludf.DUMMYFUNCTION("""COMPUTED_VALUE"""),"")</f>
        <v/>
      </c>
      <c r="U427" s="36" t="str">
        <f ca="1">IFERROR(__xludf.DUMMYFUNCTION("""COMPUTED_VALUE"""),"")</f>
        <v/>
      </c>
      <c r="V427" s="36" t="str">
        <f ca="1">IFERROR(__xludf.DUMMYFUNCTION("""COMPUTED_VALUE"""),"")</f>
        <v/>
      </c>
      <c r="W427" s="36" t="str">
        <f ca="1">IFERROR(__xludf.DUMMYFUNCTION("""COMPUTED_VALUE"""),"")</f>
        <v/>
      </c>
      <c r="X427" s="36"/>
      <c r="Y427" s="36"/>
      <c r="Z427" s="36"/>
    </row>
    <row r="428" spans="1:26" ht="12.75" hidden="1">
      <c r="A428" s="36" t="str">
        <f ca="1">IFERROR(__xludf.DUMMYFUNCTION("""COMPUTED_VALUE"""),"")</f>
        <v/>
      </c>
      <c r="B428" s="36" t="str">
        <f ca="1">IFERROR(__xludf.DUMMYFUNCTION("""COMPUTED_VALUE"""),"")</f>
        <v/>
      </c>
      <c r="C428" s="36" t="str">
        <f ca="1">IFERROR(__xludf.DUMMYFUNCTION("""COMPUTED_VALUE"""),"")</f>
        <v/>
      </c>
      <c r="D428" s="36" t="str">
        <f ca="1">IFERROR(__xludf.DUMMYFUNCTION("""COMPUTED_VALUE"""),"")</f>
        <v/>
      </c>
      <c r="E428" s="36" t="str">
        <f ca="1">IFERROR(__xludf.DUMMYFUNCTION("""COMPUTED_VALUE"""),"")</f>
        <v/>
      </c>
      <c r="F428" s="36" t="str">
        <f ca="1">IFERROR(__xludf.DUMMYFUNCTION("""COMPUTED_VALUE"""),"")</f>
        <v/>
      </c>
      <c r="G428" s="36" t="str">
        <f ca="1">IFERROR(__xludf.DUMMYFUNCTION("""COMPUTED_VALUE"""),"")</f>
        <v/>
      </c>
      <c r="H428" s="36" t="str">
        <f ca="1">IFERROR(__xludf.DUMMYFUNCTION("""COMPUTED_VALUE"""),"")</f>
        <v/>
      </c>
      <c r="I428" s="36" t="str">
        <f ca="1">IFERROR(__xludf.DUMMYFUNCTION("""COMPUTED_VALUE"""),"")</f>
        <v/>
      </c>
      <c r="J428" s="36" t="str">
        <f ca="1">IFERROR(__xludf.DUMMYFUNCTION("""COMPUTED_VALUE"""),"")</f>
        <v/>
      </c>
      <c r="K428" s="36" t="str">
        <f ca="1">IFERROR(__xludf.DUMMYFUNCTION("""COMPUTED_VALUE"""),"")</f>
        <v/>
      </c>
      <c r="L428" s="36" t="str">
        <f ca="1">IFERROR(__xludf.DUMMYFUNCTION("""COMPUTED_VALUE"""),"")</f>
        <v/>
      </c>
      <c r="M428" s="36" t="str">
        <f ca="1">IFERROR(__xludf.DUMMYFUNCTION("""COMPUTED_VALUE"""),"")</f>
        <v/>
      </c>
      <c r="N428" s="36" t="str">
        <f ca="1">IFERROR(__xludf.DUMMYFUNCTION("""COMPUTED_VALUE"""),"")</f>
        <v/>
      </c>
      <c r="O428" s="36" t="str">
        <f ca="1">IFERROR(__xludf.DUMMYFUNCTION("""COMPUTED_VALUE"""),"")</f>
        <v/>
      </c>
      <c r="P428" s="36" t="str">
        <f ca="1">IFERROR(__xludf.DUMMYFUNCTION("""COMPUTED_VALUE"""),"")</f>
        <v/>
      </c>
      <c r="Q428" s="36" t="str">
        <f ca="1">IFERROR(__xludf.DUMMYFUNCTION("""COMPUTED_VALUE"""),"")</f>
        <v/>
      </c>
      <c r="R428" s="36" t="str">
        <f ca="1">IFERROR(__xludf.DUMMYFUNCTION("""COMPUTED_VALUE"""),"")</f>
        <v/>
      </c>
      <c r="S428" s="36" t="str">
        <f ca="1">IFERROR(__xludf.DUMMYFUNCTION("""COMPUTED_VALUE"""),"")</f>
        <v/>
      </c>
      <c r="T428" s="36" t="str">
        <f ca="1">IFERROR(__xludf.DUMMYFUNCTION("""COMPUTED_VALUE"""),"")</f>
        <v/>
      </c>
      <c r="U428" s="36" t="str">
        <f ca="1">IFERROR(__xludf.DUMMYFUNCTION("""COMPUTED_VALUE"""),"")</f>
        <v/>
      </c>
      <c r="V428" s="36" t="str">
        <f ca="1">IFERROR(__xludf.DUMMYFUNCTION("""COMPUTED_VALUE"""),"")</f>
        <v/>
      </c>
      <c r="W428" s="36" t="str">
        <f ca="1">IFERROR(__xludf.DUMMYFUNCTION("""COMPUTED_VALUE"""),"")</f>
        <v/>
      </c>
      <c r="X428" s="36"/>
      <c r="Y428" s="36"/>
      <c r="Z428" s="36"/>
    </row>
    <row r="429" spans="1:26" ht="12.75" hidden="1">
      <c r="A429" s="36" t="str">
        <f ca="1">IFERROR(__xludf.DUMMYFUNCTION("""COMPUTED_VALUE"""),"")</f>
        <v/>
      </c>
      <c r="B429" s="36" t="str">
        <f ca="1">IFERROR(__xludf.DUMMYFUNCTION("""COMPUTED_VALUE"""),"")</f>
        <v/>
      </c>
      <c r="C429" s="36" t="str">
        <f ca="1">IFERROR(__xludf.DUMMYFUNCTION("""COMPUTED_VALUE"""),"")</f>
        <v/>
      </c>
      <c r="D429" s="36" t="str">
        <f ca="1">IFERROR(__xludf.DUMMYFUNCTION("""COMPUTED_VALUE"""),"")</f>
        <v/>
      </c>
      <c r="E429" s="36" t="str">
        <f ca="1">IFERROR(__xludf.DUMMYFUNCTION("""COMPUTED_VALUE"""),"")</f>
        <v/>
      </c>
      <c r="F429" s="36" t="str">
        <f ca="1">IFERROR(__xludf.DUMMYFUNCTION("""COMPUTED_VALUE"""),"")</f>
        <v/>
      </c>
      <c r="G429" s="36" t="str">
        <f ca="1">IFERROR(__xludf.DUMMYFUNCTION("""COMPUTED_VALUE"""),"")</f>
        <v/>
      </c>
      <c r="H429" s="36" t="str">
        <f ca="1">IFERROR(__xludf.DUMMYFUNCTION("""COMPUTED_VALUE"""),"")</f>
        <v/>
      </c>
      <c r="I429" s="36" t="str">
        <f ca="1">IFERROR(__xludf.DUMMYFUNCTION("""COMPUTED_VALUE"""),"")</f>
        <v/>
      </c>
      <c r="J429" s="36" t="str">
        <f ca="1">IFERROR(__xludf.DUMMYFUNCTION("""COMPUTED_VALUE"""),"")</f>
        <v/>
      </c>
      <c r="K429" s="36" t="str">
        <f ca="1">IFERROR(__xludf.DUMMYFUNCTION("""COMPUTED_VALUE"""),"")</f>
        <v/>
      </c>
      <c r="L429" s="36" t="str">
        <f ca="1">IFERROR(__xludf.DUMMYFUNCTION("""COMPUTED_VALUE"""),"")</f>
        <v/>
      </c>
      <c r="M429" s="36" t="str">
        <f ca="1">IFERROR(__xludf.DUMMYFUNCTION("""COMPUTED_VALUE"""),"")</f>
        <v/>
      </c>
      <c r="N429" s="36" t="str">
        <f ca="1">IFERROR(__xludf.DUMMYFUNCTION("""COMPUTED_VALUE"""),"")</f>
        <v/>
      </c>
      <c r="O429" s="36" t="str">
        <f ca="1">IFERROR(__xludf.DUMMYFUNCTION("""COMPUTED_VALUE"""),"")</f>
        <v/>
      </c>
      <c r="P429" s="36" t="str">
        <f ca="1">IFERROR(__xludf.DUMMYFUNCTION("""COMPUTED_VALUE"""),"")</f>
        <v/>
      </c>
      <c r="Q429" s="36" t="str">
        <f ca="1">IFERROR(__xludf.DUMMYFUNCTION("""COMPUTED_VALUE"""),"")</f>
        <v/>
      </c>
      <c r="R429" s="36" t="str">
        <f ca="1">IFERROR(__xludf.DUMMYFUNCTION("""COMPUTED_VALUE"""),"")</f>
        <v/>
      </c>
      <c r="S429" s="36" t="str">
        <f ca="1">IFERROR(__xludf.DUMMYFUNCTION("""COMPUTED_VALUE"""),"")</f>
        <v/>
      </c>
      <c r="T429" s="36" t="str">
        <f ca="1">IFERROR(__xludf.DUMMYFUNCTION("""COMPUTED_VALUE"""),"")</f>
        <v/>
      </c>
      <c r="U429" s="36" t="str">
        <f ca="1">IFERROR(__xludf.DUMMYFUNCTION("""COMPUTED_VALUE"""),"")</f>
        <v/>
      </c>
      <c r="V429" s="36" t="str">
        <f ca="1">IFERROR(__xludf.DUMMYFUNCTION("""COMPUTED_VALUE"""),"")</f>
        <v/>
      </c>
      <c r="W429" s="36" t="str">
        <f ca="1">IFERROR(__xludf.DUMMYFUNCTION("""COMPUTED_VALUE"""),"")</f>
        <v/>
      </c>
      <c r="X429" s="36"/>
      <c r="Y429" s="36"/>
      <c r="Z429" s="36"/>
    </row>
    <row r="430" spans="1:26" ht="12.75" hidden="1">
      <c r="A430" s="36" t="str">
        <f ca="1">IFERROR(__xludf.DUMMYFUNCTION("""COMPUTED_VALUE"""),"")</f>
        <v/>
      </c>
      <c r="B430" s="36" t="str">
        <f ca="1">IFERROR(__xludf.DUMMYFUNCTION("""COMPUTED_VALUE"""),"")</f>
        <v/>
      </c>
      <c r="C430" s="36" t="str">
        <f ca="1">IFERROR(__xludf.DUMMYFUNCTION("""COMPUTED_VALUE"""),"")</f>
        <v/>
      </c>
      <c r="D430" s="36" t="str">
        <f ca="1">IFERROR(__xludf.DUMMYFUNCTION("""COMPUTED_VALUE"""),"")</f>
        <v/>
      </c>
      <c r="E430" s="36" t="str">
        <f ca="1">IFERROR(__xludf.DUMMYFUNCTION("""COMPUTED_VALUE"""),"")</f>
        <v/>
      </c>
      <c r="F430" s="36" t="str">
        <f ca="1">IFERROR(__xludf.DUMMYFUNCTION("""COMPUTED_VALUE"""),"")</f>
        <v/>
      </c>
      <c r="G430" s="36" t="str">
        <f ca="1">IFERROR(__xludf.DUMMYFUNCTION("""COMPUTED_VALUE"""),"")</f>
        <v/>
      </c>
      <c r="H430" s="36" t="str">
        <f ca="1">IFERROR(__xludf.DUMMYFUNCTION("""COMPUTED_VALUE"""),"")</f>
        <v/>
      </c>
      <c r="I430" s="36" t="str">
        <f ca="1">IFERROR(__xludf.DUMMYFUNCTION("""COMPUTED_VALUE"""),"")</f>
        <v/>
      </c>
      <c r="J430" s="36" t="str">
        <f ca="1">IFERROR(__xludf.DUMMYFUNCTION("""COMPUTED_VALUE"""),"")</f>
        <v/>
      </c>
      <c r="K430" s="36" t="str">
        <f ca="1">IFERROR(__xludf.DUMMYFUNCTION("""COMPUTED_VALUE"""),"")</f>
        <v/>
      </c>
      <c r="L430" s="36" t="str">
        <f ca="1">IFERROR(__xludf.DUMMYFUNCTION("""COMPUTED_VALUE"""),"")</f>
        <v/>
      </c>
      <c r="M430" s="36" t="str">
        <f ca="1">IFERROR(__xludf.DUMMYFUNCTION("""COMPUTED_VALUE"""),"")</f>
        <v/>
      </c>
      <c r="N430" s="36" t="str">
        <f ca="1">IFERROR(__xludf.DUMMYFUNCTION("""COMPUTED_VALUE"""),"")</f>
        <v/>
      </c>
      <c r="O430" s="36" t="str">
        <f ca="1">IFERROR(__xludf.DUMMYFUNCTION("""COMPUTED_VALUE"""),"")</f>
        <v/>
      </c>
      <c r="P430" s="36" t="str">
        <f ca="1">IFERROR(__xludf.DUMMYFUNCTION("""COMPUTED_VALUE"""),"")</f>
        <v/>
      </c>
      <c r="Q430" s="36" t="str">
        <f ca="1">IFERROR(__xludf.DUMMYFUNCTION("""COMPUTED_VALUE"""),"")</f>
        <v/>
      </c>
      <c r="R430" s="36" t="str">
        <f ca="1">IFERROR(__xludf.DUMMYFUNCTION("""COMPUTED_VALUE"""),"")</f>
        <v/>
      </c>
      <c r="S430" s="36" t="str">
        <f ca="1">IFERROR(__xludf.DUMMYFUNCTION("""COMPUTED_VALUE"""),"")</f>
        <v/>
      </c>
      <c r="T430" s="36" t="str">
        <f ca="1">IFERROR(__xludf.DUMMYFUNCTION("""COMPUTED_VALUE"""),"")</f>
        <v/>
      </c>
      <c r="U430" s="36" t="str">
        <f ca="1">IFERROR(__xludf.DUMMYFUNCTION("""COMPUTED_VALUE"""),"")</f>
        <v/>
      </c>
      <c r="V430" s="36" t="str">
        <f ca="1">IFERROR(__xludf.DUMMYFUNCTION("""COMPUTED_VALUE"""),"")</f>
        <v/>
      </c>
      <c r="W430" s="36" t="str">
        <f ca="1">IFERROR(__xludf.DUMMYFUNCTION("""COMPUTED_VALUE"""),"")</f>
        <v/>
      </c>
      <c r="X430" s="36"/>
      <c r="Y430" s="36"/>
      <c r="Z430" s="36"/>
    </row>
    <row r="431" spans="1:26" ht="12.75" hidden="1">
      <c r="A431" s="36" t="str">
        <f ca="1">IFERROR(__xludf.DUMMYFUNCTION("""COMPUTED_VALUE"""),"")</f>
        <v/>
      </c>
      <c r="B431" s="36" t="str">
        <f ca="1">IFERROR(__xludf.DUMMYFUNCTION("""COMPUTED_VALUE"""),"")</f>
        <v/>
      </c>
      <c r="C431" s="36" t="str">
        <f ca="1">IFERROR(__xludf.DUMMYFUNCTION("""COMPUTED_VALUE"""),"")</f>
        <v/>
      </c>
      <c r="D431" s="36" t="str">
        <f ca="1">IFERROR(__xludf.DUMMYFUNCTION("""COMPUTED_VALUE"""),"")</f>
        <v/>
      </c>
      <c r="E431" s="36" t="str">
        <f ca="1">IFERROR(__xludf.DUMMYFUNCTION("""COMPUTED_VALUE"""),"")</f>
        <v/>
      </c>
      <c r="F431" s="36" t="str">
        <f ca="1">IFERROR(__xludf.DUMMYFUNCTION("""COMPUTED_VALUE"""),"")</f>
        <v/>
      </c>
      <c r="G431" s="36" t="str">
        <f ca="1">IFERROR(__xludf.DUMMYFUNCTION("""COMPUTED_VALUE"""),"")</f>
        <v/>
      </c>
      <c r="H431" s="36" t="str">
        <f ca="1">IFERROR(__xludf.DUMMYFUNCTION("""COMPUTED_VALUE"""),"")</f>
        <v/>
      </c>
      <c r="I431" s="36" t="str">
        <f ca="1">IFERROR(__xludf.DUMMYFUNCTION("""COMPUTED_VALUE"""),"")</f>
        <v/>
      </c>
      <c r="J431" s="36" t="str">
        <f ca="1">IFERROR(__xludf.DUMMYFUNCTION("""COMPUTED_VALUE"""),"")</f>
        <v/>
      </c>
      <c r="K431" s="36" t="str">
        <f ca="1">IFERROR(__xludf.DUMMYFUNCTION("""COMPUTED_VALUE"""),"")</f>
        <v/>
      </c>
      <c r="L431" s="36" t="str">
        <f ca="1">IFERROR(__xludf.DUMMYFUNCTION("""COMPUTED_VALUE"""),"")</f>
        <v/>
      </c>
      <c r="M431" s="36" t="str">
        <f ca="1">IFERROR(__xludf.DUMMYFUNCTION("""COMPUTED_VALUE"""),"")</f>
        <v/>
      </c>
      <c r="N431" s="36" t="str">
        <f ca="1">IFERROR(__xludf.DUMMYFUNCTION("""COMPUTED_VALUE"""),"")</f>
        <v/>
      </c>
      <c r="O431" s="36" t="str">
        <f ca="1">IFERROR(__xludf.DUMMYFUNCTION("""COMPUTED_VALUE"""),"")</f>
        <v/>
      </c>
      <c r="P431" s="36" t="str">
        <f ca="1">IFERROR(__xludf.DUMMYFUNCTION("""COMPUTED_VALUE"""),"")</f>
        <v/>
      </c>
      <c r="Q431" s="36" t="str">
        <f ca="1">IFERROR(__xludf.DUMMYFUNCTION("""COMPUTED_VALUE"""),"")</f>
        <v/>
      </c>
      <c r="R431" s="36" t="str">
        <f ca="1">IFERROR(__xludf.DUMMYFUNCTION("""COMPUTED_VALUE"""),"")</f>
        <v/>
      </c>
      <c r="S431" s="36" t="str">
        <f ca="1">IFERROR(__xludf.DUMMYFUNCTION("""COMPUTED_VALUE"""),"")</f>
        <v/>
      </c>
      <c r="T431" s="36" t="str">
        <f ca="1">IFERROR(__xludf.DUMMYFUNCTION("""COMPUTED_VALUE"""),"")</f>
        <v/>
      </c>
      <c r="U431" s="36" t="str">
        <f ca="1">IFERROR(__xludf.DUMMYFUNCTION("""COMPUTED_VALUE"""),"")</f>
        <v/>
      </c>
      <c r="V431" s="36" t="str">
        <f ca="1">IFERROR(__xludf.DUMMYFUNCTION("""COMPUTED_VALUE"""),"")</f>
        <v/>
      </c>
      <c r="W431" s="36" t="str">
        <f ca="1">IFERROR(__xludf.DUMMYFUNCTION("""COMPUTED_VALUE"""),"")</f>
        <v/>
      </c>
      <c r="X431" s="36"/>
      <c r="Y431" s="36"/>
      <c r="Z431" s="36"/>
    </row>
    <row r="432" spans="1:26" ht="12.75" hidden="1">
      <c r="A432" s="36" t="str">
        <f ca="1">IFERROR(__xludf.DUMMYFUNCTION("""COMPUTED_VALUE"""),"")</f>
        <v/>
      </c>
      <c r="B432" s="36" t="str">
        <f ca="1">IFERROR(__xludf.DUMMYFUNCTION("""COMPUTED_VALUE"""),"")</f>
        <v/>
      </c>
      <c r="C432" s="36" t="str">
        <f ca="1">IFERROR(__xludf.DUMMYFUNCTION("""COMPUTED_VALUE"""),"")</f>
        <v/>
      </c>
      <c r="D432" s="36" t="str">
        <f ca="1">IFERROR(__xludf.DUMMYFUNCTION("""COMPUTED_VALUE"""),"")</f>
        <v/>
      </c>
      <c r="E432" s="36" t="str">
        <f ca="1">IFERROR(__xludf.DUMMYFUNCTION("""COMPUTED_VALUE"""),"")</f>
        <v/>
      </c>
      <c r="F432" s="36" t="str">
        <f ca="1">IFERROR(__xludf.DUMMYFUNCTION("""COMPUTED_VALUE"""),"")</f>
        <v/>
      </c>
      <c r="G432" s="36" t="str">
        <f ca="1">IFERROR(__xludf.DUMMYFUNCTION("""COMPUTED_VALUE"""),"")</f>
        <v/>
      </c>
      <c r="H432" s="36" t="str">
        <f ca="1">IFERROR(__xludf.DUMMYFUNCTION("""COMPUTED_VALUE"""),"")</f>
        <v/>
      </c>
      <c r="I432" s="36" t="str">
        <f ca="1">IFERROR(__xludf.DUMMYFUNCTION("""COMPUTED_VALUE"""),"")</f>
        <v/>
      </c>
      <c r="J432" s="36" t="str">
        <f ca="1">IFERROR(__xludf.DUMMYFUNCTION("""COMPUTED_VALUE"""),"")</f>
        <v/>
      </c>
      <c r="K432" s="36" t="str">
        <f ca="1">IFERROR(__xludf.DUMMYFUNCTION("""COMPUTED_VALUE"""),"")</f>
        <v/>
      </c>
      <c r="L432" s="36" t="str">
        <f ca="1">IFERROR(__xludf.DUMMYFUNCTION("""COMPUTED_VALUE"""),"")</f>
        <v/>
      </c>
      <c r="M432" s="36" t="str">
        <f ca="1">IFERROR(__xludf.DUMMYFUNCTION("""COMPUTED_VALUE"""),"")</f>
        <v/>
      </c>
      <c r="N432" s="36" t="str">
        <f ca="1">IFERROR(__xludf.DUMMYFUNCTION("""COMPUTED_VALUE"""),"")</f>
        <v/>
      </c>
      <c r="O432" s="36" t="str">
        <f ca="1">IFERROR(__xludf.DUMMYFUNCTION("""COMPUTED_VALUE"""),"")</f>
        <v/>
      </c>
      <c r="P432" s="36" t="str">
        <f ca="1">IFERROR(__xludf.DUMMYFUNCTION("""COMPUTED_VALUE"""),"")</f>
        <v/>
      </c>
      <c r="Q432" s="36" t="str">
        <f ca="1">IFERROR(__xludf.DUMMYFUNCTION("""COMPUTED_VALUE"""),"")</f>
        <v/>
      </c>
      <c r="R432" s="36" t="str">
        <f ca="1">IFERROR(__xludf.DUMMYFUNCTION("""COMPUTED_VALUE"""),"")</f>
        <v/>
      </c>
      <c r="S432" s="36" t="str">
        <f ca="1">IFERROR(__xludf.DUMMYFUNCTION("""COMPUTED_VALUE"""),"")</f>
        <v/>
      </c>
      <c r="T432" s="36" t="str">
        <f ca="1">IFERROR(__xludf.DUMMYFUNCTION("""COMPUTED_VALUE"""),"")</f>
        <v/>
      </c>
      <c r="U432" s="36" t="str">
        <f ca="1">IFERROR(__xludf.DUMMYFUNCTION("""COMPUTED_VALUE"""),"")</f>
        <v/>
      </c>
      <c r="V432" s="36" t="str">
        <f ca="1">IFERROR(__xludf.DUMMYFUNCTION("""COMPUTED_VALUE"""),"")</f>
        <v/>
      </c>
      <c r="W432" s="36" t="str">
        <f ca="1">IFERROR(__xludf.DUMMYFUNCTION("""COMPUTED_VALUE"""),"")</f>
        <v/>
      </c>
      <c r="X432" s="36"/>
      <c r="Y432" s="36"/>
      <c r="Z432" s="36"/>
    </row>
    <row r="433" spans="1:26" ht="12.75" hidden="1">
      <c r="A433" s="36" t="str">
        <f ca="1">IFERROR(__xludf.DUMMYFUNCTION("""COMPUTED_VALUE"""),"")</f>
        <v/>
      </c>
      <c r="B433" s="36" t="str">
        <f ca="1">IFERROR(__xludf.DUMMYFUNCTION("""COMPUTED_VALUE"""),"")</f>
        <v/>
      </c>
      <c r="C433" s="36" t="str">
        <f ca="1">IFERROR(__xludf.DUMMYFUNCTION("""COMPUTED_VALUE"""),"")</f>
        <v/>
      </c>
      <c r="D433" s="36" t="str">
        <f ca="1">IFERROR(__xludf.DUMMYFUNCTION("""COMPUTED_VALUE"""),"")</f>
        <v/>
      </c>
      <c r="E433" s="36" t="str">
        <f ca="1">IFERROR(__xludf.DUMMYFUNCTION("""COMPUTED_VALUE"""),"")</f>
        <v/>
      </c>
      <c r="F433" s="36" t="str">
        <f ca="1">IFERROR(__xludf.DUMMYFUNCTION("""COMPUTED_VALUE"""),"")</f>
        <v/>
      </c>
      <c r="G433" s="36" t="str">
        <f ca="1">IFERROR(__xludf.DUMMYFUNCTION("""COMPUTED_VALUE"""),"")</f>
        <v/>
      </c>
      <c r="H433" s="36" t="str">
        <f ca="1">IFERROR(__xludf.DUMMYFUNCTION("""COMPUTED_VALUE"""),"")</f>
        <v/>
      </c>
      <c r="I433" s="36" t="str">
        <f ca="1">IFERROR(__xludf.DUMMYFUNCTION("""COMPUTED_VALUE"""),"")</f>
        <v/>
      </c>
      <c r="J433" s="36" t="str">
        <f ca="1">IFERROR(__xludf.DUMMYFUNCTION("""COMPUTED_VALUE"""),"")</f>
        <v/>
      </c>
      <c r="K433" s="36" t="str">
        <f ca="1">IFERROR(__xludf.DUMMYFUNCTION("""COMPUTED_VALUE"""),"")</f>
        <v/>
      </c>
      <c r="L433" s="36" t="str">
        <f ca="1">IFERROR(__xludf.DUMMYFUNCTION("""COMPUTED_VALUE"""),"")</f>
        <v/>
      </c>
      <c r="M433" s="36" t="str">
        <f ca="1">IFERROR(__xludf.DUMMYFUNCTION("""COMPUTED_VALUE"""),"")</f>
        <v/>
      </c>
      <c r="N433" s="36" t="str">
        <f ca="1">IFERROR(__xludf.DUMMYFUNCTION("""COMPUTED_VALUE"""),"")</f>
        <v/>
      </c>
      <c r="O433" s="36" t="str">
        <f ca="1">IFERROR(__xludf.DUMMYFUNCTION("""COMPUTED_VALUE"""),"")</f>
        <v/>
      </c>
      <c r="P433" s="36" t="str">
        <f ca="1">IFERROR(__xludf.DUMMYFUNCTION("""COMPUTED_VALUE"""),"")</f>
        <v/>
      </c>
      <c r="Q433" s="36" t="str">
        <f ca="1">IFERROR(__xludf.DUMMYFUNCTION("""COMPUTED_VALUE"""),"")</f>
        <v/>
      </c>
      <c r="R433" s="36" t="str">
        <f ca="1">IFERROR(__xludf.DUMMYFUNCTION("""COMPUTED_VALUE"""),"")</f>
        <v/>
      </c>
      <c r="S433" s="36" t="str">
        <f ca="1">IFERROR(__xludf.DUMMYFUNCTION("""COMPUTED_VALUE"""),"")</f>
        <v/>
      </c>
      <c r="T433" s="36" t="str">
        <f ca="1">IFERROR(__xludf.DUMMYFUNCTION("""COMPUTED_VALUE"""),"")</f>
        <v/>
      </c>
      <c r="U433" s="36" t="str">
        <f ca="1">IFERROR(__xludf.DUMMYFUNCTION("""COMPUTED_VALUE"""),"")</f>
        <v/>
      </c>
      <c r="V433" s="36" t="str">
        <f ca="1">IFERROR(__xludf.DUMMYFUNCTION("""COMPUTED_VALUE"""),"")</f>
        <v/>
      </c>
      <c r="W433" s="36" t="str">
        <f ca="1">IFERROR(__xludf.DUMMYFUNCTION("""COMPUTED_VALUE"""),"")</f>
        <v/>
      </c>
      <c r="X433" s="36"/>
      <c r="Y433" s="36"/>
      <c r="Z433" s="36"/>
    </row>
    <row r="434" spans="1:26" ht="12.75" hidden="1">
      <c r="A434" s="36" t="str">
        <f ca="1">IFERROR(__xludf.DUMMYFUNCTION("""COMPUTED_VALUE"""),"")</f>
        <v/>
      </c>
      <c r="B434" s="36" t="str">
        <f ca="1">IFERROR(__xludf.DUMMYFUNCTION("""COMPUTED_VALUE"""),"")</f>
        <v/>
      </c>
      <c r="C434" s="36" t="str">
        <f ca="1">IFERROR(__xludf.DUMMYFUNCTION("""COMPUTED_VALUE"""),"")</f>
        <v/>
      </c>
      <c r="D434" s="36" t="str">
        <f ca="1">IFERROR(__xludf.DUMMYFUNCTION("""COMPUTED_VALUE"""),"")</f>
        <v/>
      </c>
      <c r="E434" s="36" t="str">
        <f ca="1">IFERROR(__xludf.DUMMYFUNCTION("""COMPUTED_VALUE"""),"")</f>
        <v/>
      </c>
      <c r="F434" s="36" t="str">
        <f ca="1">IFERROR(__xludf.DUMMYFUNCTION("""COMPUTED_VALUE"""),"")</f>
        <v/>
      </c>
      <c r="G434" s="36" t="str">
        <f ca="1">IFERROR(__xludf.DUMMYFUNCTION("""COMPUTED_VALUE"""),"")</f>
        <v/>
      </c>
      <c r="H434" s="36" t="str">
        <f ca="1">IFERROR(__xludf.DUMMYFUNCTION("""COMPUTED_VALUE"""),"")</f>
        <v/>
      </c>
      <c r="I434" s="36" t="str">
        <f ca="1">IFERROR(__xludf.DUMMYFUNCTION("""COMPUTED_VALUE"""),"")</f>
        <v/>
      </c>
      <c r="J434" s="36" t="str">
        <f ca="1">IFERROR(__xludf.DUMMYFUNCTION("""COMPUTED_VALUE"""),"")</f>
        <v/>
      </c>
      <c r="K434" s="36" t="str">
        <f ca="1">IFERROR(__xludf.DUMMYFUNCTION("""COMPUTED_VALUE"""),"")</f>
        <v/>
      </c>
      <c r="L434" s="36" t="str">
        <f ca="1">IFERROR(__xludf.DUMMYFUNCTION("""COMPUTED_VALUE"""),"")</f>
        <v/>
      </c>
      <c r="M434" s="36" t="str">
        <f ca="1">IFERROR(__xludf.DUMMYFUNCTION("""COMPUTED_VALUE"""),"")</f>
        <v/>
      </c>
      <c r="N434" s="36" t="str">
        <f ca="1">IFERROR(__xludf.DUMMYFUNCTION("""COMPUTED_VALUE"""),"")</f>
        <v/>
      </c>
      <c r="O434" s="36" t="str">
        <f ca="1">IFERROR(__xludf.DUMMYFUNCTION("""COMPUTED_VALUE"""),"")</f>
        <v/>
      </c>
      <c r="P434" s="36" t="str">
        <f ca="1">IFERROR(__xludf.DUMMYFUNCTION("""COMPUTED_VALUE"""),"")</f>
        <v/>
      </c>
      <c r="Q434" s="36" t="str">
        <f ca="1">IFERROR(__xludf.DUMMYFUNCTION("""COMPUTED_VALUE"""),"")</f>
        <v/>
      </c>
      <c r="R434" s="36" t="str">
        <f ca="1">IFERROR(__xludf.DUMMYFUNCTION("""COMPUTED_VALUE"""),"")</f>
        <v/>
      </c>
      <c r="S434" s="36" t="str">
        <f ca="1">IFERROR(__xludf.DUMMYFUNCTION("""COMPUTED_VALUE"""),"")</f>
        <v/>
      </c>
      <c r="T434" s="36" t="str">
        <f ca="1">IFERROR(__xludf.DUMMYFUNCTION("""COMPUTED_VALUE"""),"")</f>
        <v/>
      </c>
      <c r="U434" s="36" t="str">
        <f ca="1">IFERROR(__xludf.DUMMYFUNCTION("""COMPUTED_VALUE"""),"")</f>
        <v/>
      </c>
      <c r="V434" s="36" t="str">
        <f ca="1">IFERROR(__xludf.DUMMYFUNCTION("""COMPUTED_VALUE"""),"")</f>
        <v/>
      </c>
      <c r="W434" s="36" t="str">
        <f ca="1">IFERROR(__xludf.DUMMYFUNCTION("""COMPUTED_VALUE"""),"")</f>
        <v/>
      </c>
      <c r="X434" s="36"/>
      <c r="Y434" s="36"/>
      <c r="Z434" s="36"/>
    </row>
    <row r="435" spans="1:26" ht="12.75" hidden="1">
      <c r="A435" s="36" t="str">
        <f ca="1">IFERROR(__xludf.DUMMYFUNCTION("""COMPUTED_VALUE"""),"")</f>
        <v/>
      </c>
      <c r="B435" s="36" t="str">
        <f ca="1">IFERROR(__xludf.DUMMYFUNCTION("""COMPUTED_VALUE"""),"")</f>
        <v/>
      </c>
      <c r="C435" s="36" t="str">
        <f ca="1">IFERROR(__xludf.DUMMYFUNCTION("""COMPUTED_VALUE"""),"")</f>
        <v/>
      </c>
      <c r="D435" s="36" t="str">
        <f ca="1">IFERROR(__xludf.DUMMYFUNCTION("""COMPUTED_VALUE"""),"")</f>
        <v/>
      </c>
      <c r="E435" s="36" t="str">
        <f ca="1">IFERROR(__xludf.DUMMYFUNCTION("""COMPUTED_VALUE"""),"")</f>
        <v/>
      </c>
      <c r="F435" s="36" t="str">
        <f ca="1">IFERROR(__xludf.DUMMYFUNCTION("""COMPUTED_VALUE"""),"")</f>
        <v/>
      </c>
      <c r="G435" s="36" t="str">
        <f ca="1">IFERROR(__xludf.DUMMYFUNCTION("""COMPUTED_VALUE"""),"")</f>
        <v/>
      </c>
      <c r="H435" s="36" t="str">
        <f ca="1">IFERROR(__xludf.DUMMYFUNCTION("""COMPUTED_VALUE"""),"")</f>
        <v/>
      </c>
      <c r="I435" s="36" t="str">
        <f ca="1">IFERROR(__xludf.DUMMYFUNCTION("""COMPUTED_VALUE"""),"")</f>
        <v/>
      </c>
      <c r="J435" s="36" t="str">
        <f ca="1">IFERROR(__xludf.DUMMYFUNCTION("""COMPUTED_VALUE"""),"")</f>
        <v/>
      </c>
      <c r="K435" s="36" t="str">
        <f ca="1">IFERROR(__xludf.DUMMYFUNCTION("""COMPUTED_VALUE"""),"")</f>
        <v/>
      </c>
      <c r="L435" s="36" t="str">
        <f ca="1">IFERROR(__xludf.DUMMYFUNCTION("""COMPUTED_VALUE"""),"")</f>
        <v/>
      </c>
      <c r="M435" s="36" t="str">
        <f ca="1">IFERROR(__xludf.DUMMYFUNCTION("""COMPUTED_VALUE"""),"")</f>
        <v/>
      </c>
      <c r="N435" s="36" t="str">
        <f ca="1">IFERROR(__xludf.DUMMYFUNCTION("""COMPUTED_VALUE"""),"")</f>
        <v/>
      </c>
      <c r="O435" s="36" t="str">
        <f ca="1">IFERROR(__xludf.DUMMYFUNCTION("""COMPUTED_VALUE"""),"")</f>
        <v/>
      </c>
      <c r="P435" s="36" t="str">
        <f ca="1">IFERROR(__xludf.DUMMYFUNCTION("""COMPUTED_VALUE"""),"")</f>
        <v/>
      </c>
      <c r="Q435" s="36" t="str">
        <f ca="1">IFERROR(__xludf.DUMMYFUNCTION("""COMPUTED_VALUE"""),"")</f>
        <v/>
      </c>
      <c r="R435" s="36" t="str">
        <f ca="1">IFERROR(__xludf.DUMMYFUNCTION("""COMPUTED_VALUE"""),"")</f>
        <v/>
      </c>
      <c r="S435" s="36" t="str">
        <f ca="1">IFERROR(__xludf.DUMMYFUNCTION("""COMPUTED_VALUE"""),"")</f>
        <v/>
      </c>
      <c r="T435" s="36" t="str">
        <f ca="1">IFERROR(__xludf.DUMMYFUNCTION("""COMPUTED_VALUE"""),"")</f>
        <v/>
      </c>
      <c r="U435" s="36" t="str">
        <f ca="1">IFERROR(__xludf.DUMMYFUNCTION("""COMPUTED_VALUE"""),"")</f>
        <v/>
      </c>
      <c r="V435" s="36" t="str">
        <f ca="1">IFERROR(__xludf.DUMMYFUNCTION("""COMPUTED_VALUE"""),"")</f>
        <v/>
      </c>
      <c r="W435" s="36" t="str">
        <f ca="1">IFERROR(__xludf.DUMMYFUNCTION("""COMPUTED_VALUE"""),"")</f>
        <v/>
      </c>
      <c r="X435" s="36"/>
      <c r="Y435" s="36"/>
      <c r="Z435" s="36"/>
    </row>
    <row r="436" spans="1:26" ht="12.75" hidden="1">
      <c r="A436" s="36" t="str">
        <f ca="1">IFERROR(__xludf.DUMMYFUNCTION("""COMPUTED_VALUE"""),"")</f>
        <v/>
      </c>
      <c r="B436" s="36" t="str">
        <f ca="1">IFERROR(__xludf.DUMMYFUNCTION("""COMPUTED_VALUE"""),"")</f>
        <v/>
      </c>
      <c r="C436" s="36" t="str">
        <f ca="1">IFERROR(__xludf.DUMMYFUNCTION("""COMPUTED_VALUE"""),"")</f>
        <v/>
      </c>
      <c r="D436" s="36" t="str">
        <f ca="1">IFERROR(__xludf.DUMMYFUNCTION("""COMPUTED_VALUE"""),"")</f>
        <v/>
      </c>
      <c r="E436" s="36" t="str">
        <f ca="1">IFERROR(__xludf.DUMMYFUNCTION("""COMPUTED_VALUE"""),"")</f>
        <v/>
      </c>
      <c r="F436" s="36" t="str">
        <f ca="1">IFERROR(__xludf.DUMMYFUNCTION("""COMPUTED_VALUE"""),"")</f>
        <v/>
      </c>
      <c r="G436" s="36" t="str">
        <f ca="1">IFERROR(__xludf.DUMMYFUNCTION("""COMPUTED_VALUE"""),"")</f>
        <v/>
      </c>
      <c r="H436" s="36" t="str">
        <f ca="1">IFERROR(__xludf.DUMMYFUNCTION("""COMPUTED_VALUE"""),"")</f>
        <v/>
      </c>
      <c r="I436" s="36" t="str">
        <f ca="1">IFERROR(__xludf.DUMMYFUNCTION("""COMPUTED_VALUE"""),"")</f>
        <v/>
      </c>
      <c r="J436" s="36" t="str">
        <f ca="1">IFERROR(__xludf.DUMMYFUNCTION("""COMPUTED_VALUE"""),"")</f>
        <v/>
      </c>
      <c r="K436" s="36" t="str">
        <f ca="1">IFERROR(__xludf.DUMMYFUNCTION("""COMPUTED_VALUE"""),"")</f>
        <v/>
      </c>
      <c r="L436" s="36" t="str">
        <f ca="1">IFERROR(__xludf.DUMMYFUNCTION("""COMPUTED_VALUE"""),"")</f>
        <v/>
      </c>
      <c r="M436" s="36" t="str">
        <f ca="1">IFERROR(__xludf.DUMMYFUNCTION("""COMPUTED_VALUE"""),"")</f>
        <v/>
      </c>
      <c r="N436" s="36" t="str">
        <f ca="1">IFERROR(__xludf.DUMMYFUNCTION("""COMPUTED_VALUE"""),"")</f>
        <v/>
      </c>
      <c r="O436" s="36" t="str">
        <f ca="1">IFERROR(__xludf.DUMMYFUNCTION("""COMPUTED_VALUE"""),"")</f>
        <v/>
      </c>
      <c r="P436" s="36" t="str">
        <f ca="1">IFERROR(__xludf.DUMMYFUNCTION("""COMPUTED_VALUE"""),"")</f>
        <v/>
      </c>
      <c r="Q436" s="36" t="str">
        <f ca="1">IFERROR(__xludf.DUMMYFUNCTION("""COMPUTED_VALUE"""),"")</f>
        <v/>
      </c>
      <c r="R436" s="36" t="str">
        <f ca="1">IFERROR(__xludf.DUMMYFUNCTION("""COMPUTED_VALUE"""),"")</f>
        <v/>
      </c>
      <c r="S436" s="36" t="str">
        <f ca="1">IFERROR(__xludf.DUMMYFUNCTION("""COMPUTED_VALUE"""),"")</f>
        <v/>
      </c>
      <c r="T436" s="36" t="str">
        <f ca="1">IFERROR(__xludf.DUMMYFUNCTION("""COMPUTED_VALUE"""),"")</f>
        <v/>
      </c>
      <c r="U436" s="36" t="str">
        <f ca="1">IFERROR(__xludf.DUMMYFUNCTION("""COMPUTED_VALUE"""),"")</f>
        <v/>
      </c>
      <c r="V436" s="36" t="str">
        <f ca="1">IFERROR(__xludf.DUMMYFUNCTION("""COMPUTED_VALUE"""),"")</f>
        <v/>
      </c>
      <c r="W436" s="36" t="str">
        <f ca="1">IFERROR(__xludf.DUMMYFUNCTION("""COMPUTED_VALUE"""),"")</f>
        <v/>
      </c>
      <c r="X436" s="36"/>
      <c r="Y436" s="36"/>
      <c r="Z436" s="36"/>
    </row>
    <row r="437" spans="1:26" ht="12.75" hidden="1">
      <c r="A437" s="36" t="str">
        <f ca="1">IFERROR(__xludf.DUMMYFUNCTION("""COMPUTED_VALUE"""),"")</f>
        <v/>
      </c>
      <c r="B437" s="36" t="str">
        <f ca="1">IFERROR(__xludf.DUMMYFUNCTION("""COMPUTED_VALUE"""),"")</f>
        <v/>
      </c>
      <c r="C437" s="36" t="str">
        <f ca="1">IFERROR(__xludf.DUMMYFUNCTION("""COMPUTED_VALUE"""),"")</f>
        <v/>
      </c>
      <c r="D437" s="36" t="str">
        <f ca="1">IFERROR(__xludf.DUMMYFUNCTION("""COMPUTED_VALUE"""),"")</f>
        <v/>
      </c>
      <c r="E437" s="36" t="str">
        <f ca="1">IFERROR(__xludf.DUMMYFUNCTION("""COMPUTED_VALUE"""),"")</f>
        <v/>
      </c>
      <c r="F437" s="36" t="str">
        <f ca="1">IFERROR(__xludf.DUMMYFUNCTION("""COMPUTED_VALUE"""),"")</f>
        <v/>
      </c>
      <c r="G437" s="36" t="str">
        <f ca="1">IFERROR(__xludf.DUMMYFUNCTION("""COMPUTED_VALUE"""),"")</f>
        <v/>
      </c>
      <c r="H437" s="36" t="str">
        <f ca="1">IFERROR(__xludf.DUMMYFUNCTION("""COMPUTED_VALUE"""),"")</f>
        <v/>
      </c>
      <c r="I437" s="36" t="str">
        <f ca="1">IFERROR(__xludf.DUMMYFUNCTION("""COMPUTED_VALUE"""),"")</f>
        <v/>
      </c>
      <c r="J437" s="36" t="str">
        <f ca="1">IFERROR(__xludf.DUMMYFUNCTION("""COMPUTED_VALUE"""),"")</f>
        <v/>
      </c>
      <c r="K437" s="36" t="str">
        <f ca="1">IFERROR(__xludf.DUMMYFUNCTION("""COMPUTED_VALUE"""),"")</f>
        <v/>
      </c>
      <c r="L437" s="36" t="str">
        <f ca="1">IFERROR(__xludf.DUMMYFUNCTION("""COMPUTED_VALUE"""),"")</f>
        <v/>
      </c>
      <c r="M437" s="36" t="str">
        <f ca="1">IFERROR(__xludf.DUMMYFUNCTION("""COMPUTED_VALUE"""),"")</f>
        <v/>
      </c>
      <c r="N437" s="36" t="str">
        <f ca="1">IFERROR(__xludf.DUMMYFUNCTION("""COMPUTED_VALUE"""),"")</f>
        <v/>
      </c>
      <c r="O437" s="36" t="str">
        <f ca="1">IFERROR(__xludf.DUMMYFUNCTION("""COMPUTED_VALUE"""),"")</f>
        <v/>
      </c>
      <c r="P437" s="36" t="str">
        <f ca="1">IFERROR(__xludf.DUMMYFUNCTION("""COMPUTED_VALUE"""),"")</f>
        <v/>
      </c>
      <c r="Q437" s="36" t="str">
        <f ca="1">IFERROR(__xludf.DUMMYFUNCTION("""COMPUTED_VALUE"""),"")</f>
        <v/>
      </c>
      <c r="R437" s="36" t="str">
        <f ca="1">IFERROR(__xludf.DUMMYFUNCTION("""COMPUTED_VALUE"""),"")</f>
        <v/>
      </c>
      <c r="S437" s="36" t="str">
        <f ca="1">IFERROR(__xludf.DUMMYFUNCTION("""COMPUTED_VALUE"""),"")</f>
        <v/>
      </c>
      <c r="T437" s="36" t="str">
        <f ca="1">IFERROR(__xludf.DUMMYFUNCTION("""COMPUTED_VALUE"""),"")</f>
        <v/>
      </c>
      <c r="U437" s="36" t="str">
        <f ca="1">IFERROR(__xludf.DUMMYFUNCTION("""COMPUTED_VALUE"""),"")</f>
        <v/>
      </c>
      <c r="V437" s="36" t="str">
        <f ca="1">IFERROR(__xludf.DUMMYFUNCTION("""COMPUTED_VALUE"""),"")</f>
        <v/>
      </c>
      <c r="W437" s="36" t="str">
        <f ca="1">IFERROR(__xludf.DUMMYFUNCTION("""COMPUTED_VALUE"""),"")</f>
        <v/>
      </c>
      <c r="X437" s="36"/>
      <c r="Y437" s="36"/>
      <c r="Z437" s="36"/>
    </row>
    <row r="438" spans="1:26" ht="12.75" hidden="1">
      <c r="A438" s="36" t="str">
        <f ca="1">IFERROR(__xludf.DUMMYFUNCTION("""COMPUTED_VALUE"""),"")</f>
        <v/>
      </c>
      <c r="B438" s="36" t="str">
        <f ca="1">IFERROR(__xludf.DUMMYFUNCTION("""COMPUTED_VALUE"""),"")</f>
        <v/>
      </c>
      <c r="C438" s="36" t="str">
        <f ca="1">IFERROR(__xludf.DUMMYFUNCTION("""COMPUTED_VALUE"""),"")</f>
        <v/>
      </c>
      <c r="D438" s="36" t="str">
        <f ca="1">IFERROR(__xludf.DUMMYFUNCTION("""COMPUTED_VALUE"""),"")</f>
        <v/>
      </c>
      <c r="E438" s="36" t="str">
        <f ca="1">IFERROR(__xludf.DUMMYFUNCTION("""COMPUTED_VALUE"""),"")</f>
        <v/>
      </c>
      <c r="F438" s="36" t="str">
        <f ca="1">IFERROR(__xludf.DUMMYFUNCTION("""COMPUTED_VALUE"""),"")</f>
        <v/>
      </c>
      <c r="G438" s="36" t="str">
        <f ca="1">IFERROR(__xludf.DUMMYFUNCTION("""COMPUTED_VALUE"""),"")</f>
        <v/>
      </c>
      <c r="H438" s="36" t="str">
        <f ca="1">IFERROR(__xludf.DUMMYFUNCTION("""COMPUTED_VALUE"""),"")</f>
        <v/>
      </c>
      <c r="I438" s="36" t="str">
        <f ca="1">IFERROR(__xludf.DUMMYFUNCTION("""COMPUTED_VALUE"""),"")</f>
        <v/>
      </c>
      <c r="J438" s="36" t="str">
        <f ca="1">IFERROR(__xludf.DUMMYFUNCTION("""COMPUTED_VALUE"""),"")</f>
        <v/>
      </c>
      <c r="K438" s="36" t="str">
        <f ca="1">IFERROR(__xludf.DUMMYFUNCTION("""COMPUTED_VALUE"""),"")</f>
        <v/>
      </c>
      <c r="L438" s="36" t="str">
        <f ca="1">IFERROR(__xludf.DUMMYFUNCTION("""COMPUTED_VALUE"""),"")</f>
        <v/>
      </c>
      <c r="M438" s="36" t="str">
        <f ca="1">IFERROR(__xludf.DUMMYFUNCTION("""COMPUTED_VALUE"""),"")</f>
        <v/>
      </c>
      <c r="N438" s="36" t="str">
        <f ca="1">IFERROR(__xludf.DUMMYFUNCTION("""COMPUTED_VALUE"""),"")</f>
        <v/>
      </c>
      <c r="O438" s="36" t="str">
        <f ca="1">IFERROR(__xludf.DUMMYFUNCTION("""COMPUTED_VALUE"""),"")</f>
        <v/>
      </c>
      <c r="P438" s="36" t="str">
        <f ca="1">IFERROR(__xludf.DUMMYFUNCTION("""COMPUTED_VALUE"""),"")</f>
        <v/>
      </c>
      <c r="Q438" s="36" t="str">
        <f ca="1">IFERROR(__xludf.DUMMYFUNCTION("""COMPUTED_VALUE"""),"")</f>
        <v/>
      </c>
      <c r="R438" s="36" t="str">
        <f ca="1">IFERROR(__xludf.DUMMYFUNCTION("""COMPUTED_VALUE"""),"")</f>
        <v/>
      </c>
      <c r="S438" s="36" t="str">
        <f ca="1">IFERROR(__xludf.DUMMYFUNCTION("""COMPUTED_VALUE"""),"")</f>
        <v/>
      </c>
      <c r="T438" s="36" t="str">
        <f ca="1">IFERROR(__xludf.DUMMYFUNCTION("""COMPUTED_VALUE"""),"")</f>
        <v/>
      </c>
      <c r="U438" s="36" t="str">
        <f ca="1">IFERROR(__xludf.DUMMYFUNCTION("""COMPUTED_VALUE"""),"")</f>
        <v/>
      </c>
      <c r="V438" s="36" t="str">
        <f ca="1">IFERROR(__xludf.DUMMYFUNCTION("""COMPUTED_VALUE"""),"")</f>
        <v/>
      </c>
      <c r="W438" s="36" t="str">
        <f ca="1">IFERROR(__xludf.DUMMYFUNCTION("""COMPUTED_VALUE"""),"")</f>
        <v/>
      </c>
      <c r="X438" s="36"/>
      <c r="Y438" s="36"/>
      <c r="Z438" s="36"/>
    </row>
    <row r="439" spans="1:26" ht="12.75" hidden="1">
      <c r="A439" s="36" t="str">
        <f ca="1">IFERROR(__xludf.DUMMYFUNCTION("""COMPUTED_VALUE"""),"")</f>
        <v/>
      </c>
      <c r="B439" s="36" t="str">
        <f ca="1">IFERROR(__xludf.DUMMYFUNCTION("""COMPUTED_VALUE"""),"")</f>
        <v/>
      </c>
      <c r="C439" s="36" t="str">
        <f ca="1">IFERROR(__xludf.DUMMYFUNCTION("""COMPUTED_VALUE"""),"")</f>
        <v/>
      </c>
      <c r="D439" s="36" t="str">
        <f ca="1">IFERROR(__xludf.DUMMYFUNCTION("""COMPUTED_VALUE"""),"")</f>
        <v/>
      </c>
      <c r="E439" s="36" t="str">
        <f ca="1">IFERROR(__xludf.DUMMYFUNCTION("""COMPUTED_VALUE"""),"")</f>
        <v/>
      </c>
      <c r="F439" s="36" t="str">
        <f ca="1">IFERROR(__xludf.DUMMYFUNCTION("""COMPUTED_VALUE"""),"")</f>
        <v/>
      </c>
      <c r="G439" s="36" t="str">
        <f ca="1">IFERROR(__xludf.DUMMYFUNCTION("""COMPUTED_VALUE"""),"")</f>
        <v/>
      </c>
      <c r="H439" s="36" t="str">
        <f ca="1">IFERROR(__xludf.DUMMYFUNCTION("""COMPUTED_VALUE"""),"")</f>
        <v/>
      </c>
      <c r="I439" s="36" t="str">
        <f ca="1">IFERROR(__xludf.DUMMYFUNCTION("""COMPUTED_VALUE"""),"")</f>
        <v/>
      </c>
      <c r="J439" s="36" t="str">
        <f ca="1">IFERROR(__xludf.DUMMYFUNCTION("""COMPUTED_VALUE"""),"")</f>
        <v/>
      </c>
      <c r="K439" s="36" t="str">
        <f ca="1">IFERROR(__xludf.DUMMYFUNCTION("""COMPUTED_VALUE"""),"")</f>
        <v/>
      </c>
      <c r="L439" s="36" t="str">
        <f ca="1">IFERROR(__xludf.DUMMYFUNCTION("""COMPUTED_VALUE"""),"")</f>
        <v/>
      </c>
      <c r="M439" s="36" t="str">
        <f ca="1">IFERROR(__xludf.DUMMYFUNCTION("""COMPUTED_VALUE"""),"")</f>
        <v/>
      </c>
      <c r="N439" s="36" t="str">
        <f ca="1">IFERROR(__xludf.DUMMYFUNCTION("""COMPUTED_VALUE"""),"")</f>
        <v/>
      </c>
      <c r="O439" s="36" t="str">
        <f ca="1">IFERROR(__xludf.DUMMYFUNCTION("""COMPUTED_VALUE"""),"")</f>
        <v/>
      </c>
      <c r="P439" s="36" t="str">
        <f ca="1">IFERROR(__xludf.DUMMYFUNCTION("""COMPUTED_VALUE"""),"")</f>
        <v/>
      </c>
      <c r="Q439" s="36" t="str">
        <f ca="1">IFERROR(__xludf.DUMMYFUNCTION("""COMPUTED_VALUE"""),"")</f>
        <v/>
      </c>
      <c r="R439" s="36" t="str">
        <f ca="1">IFERROR(__xludf.DUMMYFUNCTION("""COMPUTED_VALUE"""),"")</f>
        <v/>
      </c>
      <c r="S439" s="36" t="str">
        <f ca="1">IFERROR(__xludf.DUMMYFUNCTION("""COMPUTED_VALUE"""),"")</f>
        <v/>
      </c>
      <c r="T439" s="36" t="str">
        <f ca="1">IFERROR(__xludf.DUMMYFUNCTION("""COMPUTED_VALUE"""),"")</f>
        <v/>
      </c>
      <c r="U439" s="36" t="str">
        <f ca="1">IFERROR(__xludf.DUMMYFUNCTION("""COMPUTED_VALUE"""),"")</f>
        <v/>
      </c>
      <c r="V439" s="36" t="str">
        <f ca="1">IFERROR(__xludf.DUMMYFUNCTION("""COMPUTED_VALUE"""),"")</f>
        <v/>
      </c>
      <c r="W439" s="36" t="str">
        <f ca="1">IFERROR(__xludf.DUMMYFUNCTION("""COMPUTED_VALUE"""),"")</f>
        <v/>
      </c>
      <c r="X439" s="36"/>
      <c r="Y439" s="36"/>
      <c r="Z439" s="36"/>
    </row>
    <row r="440" spans="1:26" ht="12.75" hidden="1">
      <c r="A440" s="36" t="str">
        <f ca="1">IFERROR(__xludf.DUMMYFUNCTION("""COMPUTED_VALUE"""),"")</f>
        <v/>
      </c>
      <c r="B440" s="36" t="str">
        <f ca="1">IFERROR(__xludf.DUMMYFUNCTION("""COMPUTED_VALUE"""),"")</f>
        <v/>
      </c>
      <c r="C440" s="36" t="str">
        <f ca="1">IFERROR(__xludf.DUMMYFUNCTION("""COMPUTED_VALUE"""),"")</f>
        <v/>
      </c>
      <c r="D440" s="36" t="str">
        <f ca="1">IFERROR(__xludf.DUMMYFUNCTION("""COMPUTED_VALUE"""),"")</f>
        <v/>
      </c>
      <c r="E440" s="36" t="str">
        <f ca="1">IFERROR(__xludf.DUMMYFUNCTION("""COMPUTED_VALUE"""),"")</f>
        <v/>
      </c>
      <c r="F440" s="36" t="str">
        <f ca="1">IFERROR(__xludf.DUMMYFUNCTION("""COMPUTED_VALUE"""),"")</f>
        <v/>
      </c>
      <c r="G440" s="36" t="str">
        <f ca="1">IFERROR(__xludf.DUMMYFUNCTION("""COMPUTED_VALUE"""),"")</f>
        <v/>
      </c>
      <c r="H440" s="36" t="str">
        <f ca="1">IFERROR(__xludf.DUMMYFUNCTION("""COMPUTED_VALUE"""),"")</f>
        <v/>
      </c>
      <c r="I440" s="36" t="str">
        <f ca="1">IFERROR(__xludf.DUMMYFUNCTION("""COMPUTED_VALUE"""),"")</f>
        <v/>
      </c>
      <c r="J440" s="36" t="str">
        <f ca="1">IFERROR(__xludf.DUMMYFUNCTION("""COMPUTED_VALUE"""),"")</f>
        <v/>
      </c>
      <c r="K440" s="36" t="str">
        <f ca="1">IFERROR(__xludf.DUMMYFUNCTION("""COMPUTED_VALUE"""),"")</f>
        <v/>
      </c>
      <c r="L440" s="36" t="str">
        <f ca="1">IFERROR(__xludf.DUMMYFUNCTION("""COMPUTED_VALUE"""),"")</f>
        <v/>
      </c>
      <c r="M440" s="36" t="str">
        <f ca="1">IFERROR(__xludf.DUMMYFUNCTION("""COMPUTED_VALUE"""),"")</f>
        <v/>
      </c>
      <c r="N440" s="36" t="str">
        <f ca="1">IFERROR(__xludf.DUMMYFUNCTION("""COMPUTED_VALUE"""),"")</f>
        <v/>
      </c>
      <c r="O440" s="36" t="str">
        <f ca="1">IFERROR(__xludf.DUMMYFUNCTION("""COMPUTED_VALUE"""),"")</f>
        <v/>
      </c>
      <c r="P440" s="36" t="str">
        <f ca="1">IFERROR(__xludf.DUMMYFUNCTION("""COMPUTED_VALUE"""),"")</f>
        <v/>
      </c>
      <c r="Q440" s="36" t="str">
        <f ca="1">IFERROR(__xludf.DUMMYFUNCTION("""COMPUTED_VALUE"""),"")</f>
        <v/>
      </c>
      <c r="R440" s="36" t="str">
        <f ca="1">IFERROR(__xludf.DUMMYFUNCTION("""COMPUTED_VALUE"""),"")</f>
        <v/>
      </c>
      <c r="S440" s="36" t="str">
        <f ca="1">IFERROR(__xludf.DUMMYFUNCTION("""COMPUTED_VALUE"""),"")</f>
        <v/>
      </c>
      <c r="T440" s="36" t="str">
        <f ca="1">IFERROR(__xludf.DUMMYFUNCTION("""COMPUTED_VALUE"""),"")</f>
        <v/>
      </c>
      <c r="U440" s="36" t="str">
        <f ca="1">IFERROR(__xludf.DUMMYFUNCTION("""COMPUTED_VALUE"""),"")</f>
        <v/>
      </c>
      <c r="V440" s="36" t="str">
        <f ca="1">IFERROR(__xludf.DUMMYFUNCTION("""COMPUTED_VALUE"""),"")</f>
        <v/>
      </c>
      <c r="W440" s="36" t="str">
        <f ca="1">IFERROR(__xludf.DUMMYFUNCTION("""COMPUTED_VALUE"""),"")</f>
        <v/>
      </c>
      <c r="X440" s="36"/>
      <c r="Y440" s="36"/>
      <c r="Z440" s="36"/>
    </row>
    <row r="441" spans="1:26" ht="12.75" hidden="1">
      <c r="A441" s="36" t="str">
        <f ca="1">IFERROR(__xludf.DUMMYFUNCTION("""COMPUTED_VALUE"""),"")</f>
        <v/>
      </c>
      <c r="B441" s="36" t="str">
        <f ca="1">IFERROR(__xludf.DUMMYFUNCTION("""COMPUTED_VALUE"""),"")</f>
        <v/>
      </c>
      <c r="C441" s="36" t="str">
        <f ca="1">IFERROR(__xludf.DUMMYFUNCTION("""COMPUTED_VALUE"""),"")</f>
        <v/>
      </c>
      <c r="D441" s="36" t="str">
        <f ca="1">IFERROR(__xludf.DUMMYFUNCTION("""COMPUTED_VALUE"""),"")</f>
        <v/>
      </c>
      <c r="E441" s="36" t="str">
        <f ca="1">IFERROR(__xludf.DUMMYFUNCTION("""COMPUTED_VALUE"""),"")</f>
        <v/>
      </c>
      <c r="F441" s="36" t="str">
        <f ca="1">IFERROR(__xludf.DUMMYFUNCTION("""COMPUTED_VALUE"""),"")</f>
        <v/>
      </c>
      <c r="G441" s="36" t="str">
        <f ca="1">IFERROR(__xludf.DUMMYFUNCTION("""COMPUTED_VALUE"""),"")</f>
        <v/>
      </c>
      <c r="H441" s="36" t="str">
        <f ca="1">IFERROR(__xludf.DUMMYFUNCTION("""COMPUTED_VALUE"""),"")</f>
        <v/>
      </c>
      <c r="I441" s="36" t="str">
        <f ca="1">IFERROR(__xludf.DUMMYFUNCTION("""COMPUTED_VALUE"""),"")</f>
        <v/>
      </c>
      <c r="J441" s="36" t="str">
        <f ca="1">IFERROR(__xludf.DUMMYFUNCTION("""COMPUTED_VALUE"""),"")</f>
        <v/>
      </c>
      <c r="K441" s="36" t="str">
        <f ca="1">IFERROR(__xludf.DUMMYFUNCTION("""COMPUTED_VALUE"""),"")</f>
        <v/>
      </c>
      <c r="L441" s="36" t="str">
        <f ca="1">IFERROR(__xludf.DUMMYFUNCTION("""COMPUTED_VALUE"""),"")</f>
        <v/>
      </c>
      <c r="M441" s="36" t="str">
        <f ca="1">IFERROR(__xludf.DUMMYFUNCTION("""COMPUTED_VALUE"""),"")</f>
        <v/>
      </c>
      <c r="N441" s="36" t="str">
        <f ca="1">IFERROR(__xludf.DUMMYFUNCTION("""COMPUTED_VALUE"""),"")</f>
        <v/>
      </c>
      <c r="O441" s="36" t="str">
        <f ca="1">IFERROR(__xludf.DUMMYFUNCTION("""COMPUTED_VALUE"""),"")</f>
        <v/>
      </c>
      <c r="P441" s="36" t="str">
        <f ca="1">IFERROR(__xludf.DUMMYFUNCTION("""COMPUTED_VALUE"""),"")</f>
        <v/>
      </c>
      <c r="Q441" s="36" t="str">
        <f ca="1">IFERROR(__xludf.DUMMYFUNCTION("""COMPUTED_VALUE"""),"")</f>
        <v/>
      </c>
      <c r="R441" s="36" t="str">
        <f ca="1">IFERROR(__xludf.DUMMYFUNCTION("""COMPUTED_VALUE"""),"")</f>
        <v/>
      </c>
      <c r="S441" s="36" t="str">
        <f ca="1">IFERROR(__xludf.DUMMYFUNCTION("""COMPUTED_VALUE"""),"")</f>
        <v/>
      </c>
      <c r="T441" s="36" t="str">
        <f ca="1">IFERROR(__xludf.DUMMYFUNCTION("""COMPUTED_VALUE"""),"")</f>
        <v/>
      </c>
      <c r="U441" s="36" t="str">
        <f ca="1">IFERROR(__xludf.DUMMYFUNCTION("""COMPUTED_VALUE"""),"")</f>
        <v/>
      </c>
      <c r="V441" s="36" t="str">
        <f ca="1">IFERROR(__xludf.DUMMYFUNCTION("""COMPUTED_VALUE"""),"")</f>
        <v/>
      </c>
      <c r="W441" s="36" t="str">
        <f ca="1">IFERROR(__xludf.DUMMYFUNCTION("""COMPUTED_VALUE"""),"")</f>
        <v/>
      </c>
      <c r="X441" s="36"/>
      <c r="Y441" s="36"/>
      <c r="Z441" s="36"/>
    </row>
    <row r="442" spans="1:26" ht="12.75" hidden="1">
      <c r="A442" s="36" t="str">
        <f ca="1">IFERROR(__xludf.DUMMYFUNCTION("""COMPUTED_VALUE"""),"")</f>
        <v/>
      </c>
      <c r="B442" s="36" t="str">
        <f ca="1">IFERROR(__xludf.DUMMYFUNCTION("""COMPUTED_VALUE"""),"")</f>
        <v/>
      </c>
      <c r="C442" s="36" t="str">
        <f ca="1">IFERROR(__xludf.DUMMYFUNCTION("""COMPUTED_VALUE"""),"")</f>
        <v/>
      </c>
      <c r="D442" s="36" t="str">
        <f ca="1">IFERROR(__xludf.DUMMYFUNCTION("""COMPUTED_VALUE"""),"")</f>
        <v/>
      </c>
      <c r="E442" s="36" t="str">
        <f ca="1">IFERROR(__xludf.DUMMYFUNCTION("""COMPUTED_VALUE"""),"")</f>
        <v/>
      </c>
      <c r="F442" s="36" t="str">
        <f ca="1">IFERROR(__xludf.DUMMYFUNCTION("""COMPUTED_VALUE"""),"")</f>
        <v/>
      </c>
      <c r="G442" s="36" t="str">
        <f ca="1">IFERROR(__xludf.DUMMYFUNCTION("""COMPUTED_VALUE"""),"")</f>
        <v/>
      </c>
      <c r="H442" s="36" t="str">
        <f ca="1">IFERROR(__xludf.DUMMYFUNCTION("""COMPUTED_VALUE"""),"")</f>
        <v/>
      </c>
      <c r="I442" s="36" t="str">
        <f ca="1">IFERROR(__xludf.DUMMYFUNCTION("""COMPUTED_VALUE"""),"")</f>
        <v/>
      </c>
      <c r="J442" s="36" t="str">
        <f ca="1">IFERROR(__xludf.DUMMYFUNCTION("""COMPUTED_VALUE"""),"")</f>
        <v/>
      </c>
      <c r="K442" s="36" t="str">
        <f ca="1">IFERROR(__xludf.DUMMYFUNCTION("""COMPUTED_VALUE"""),"")</f>
        <v/>
      </c>
      <c r="L442" s="36" t="str">
        <f ca="1">IFERROR(__xludf.DUMMYFUNCTION("""COMPUTED_VALUE"""),"")</f>
        <v/>
      </c>
      <c r="M442" s="36" t="str">
        <f ca="1">IFERROR(__xludf.DUMMYFUNCTION("""COMPUTED_VALUE"""),"")</f>
        <v/>
      </c>
      <c r="N442" s="36" t="str">
        <f ca="1">IFERROR(__xludf.DUMMYFUNCTION("""COMPUTED_VALUE"""),"")</f>
        <v/>
      </c>
      <c r="O442" s="36" t="str">
        <f ca="1">IFERROR(__xludf.DUMMYFUNCTION("""COMPUTED_VALUE"""),"")</f>
        <v/>
      </c>
      <c r="P442" s="36" t="str">
        <f ca="1">IFERROR(__xludf.DUMMYFUNCTION("""COMPUTED_VALUE"""),"")</f>
        <v/>
      </c>
      <c r="Q442" s="36" t="str">
        <f ca="1">IFERROR(__xludf.DUMMYFUNCTION("""COMPUTED_VALUE"""),"")</f>
        <v/>
      </c>
      <c r="R442" s="36" t="str">
        <f ca="1">IFERROR(__xludf.DUMMYFUNCTION("""COMPUTED_VALUE"""),"")</f>
        <v/>
      </c>
      <c r="S442" s="36" t="str">
        <f ca="1">IFERROR(__xludf.DUMMYFUNCTION("""COMPUTED_VALUE"""),"")</f>
        <v/>
      </c>
      <c r="T442" s="36" t="str">
        <f ca="1">IFERROR(__xludf.DUMMYFUNCTION("""COMPUTED_VALUE"""),"")</f>
        <v/>
      </c>
      <c r="U442" s="36" t="str">
        <f ca="1">IFERROR(__xludf.DUMMYFUNCTION("""COMPUTED_VALUE"""),"")</f>
        <v/>
      </c>
      <c r="V442" s="36" t="str">
        <f ca="1">IFERROR(__xludf.DUMMYFUNCTION("""COMPUTED_VALUE"""),"")</f>
        <v/>
      </c>
      <c r="W442" s="36" t="str">
        <f ca="1">IFERROR(__xludf.DUMMYFUNCTION("""COMPUTED_VALUE"""),"")</f>
        <v/>
      </c>
      <c r="X442" s="36"/>
      <c r="Y442" s="36"/>
      <c r="Z442" s="36"/>
    </row>
    <row r="443" spans="1:26" ht="12.75" hidden="1">
      <c r="A443" s="36" t="str">
        <f ca="1">IFERROR(__xludf.DUMMYFUNCTION("""COMPUTED_VALUE"""),"")</f>
        <v/>
      </c>
      <c r="B443" s="36" t="str">
        <f ca="1">IFERROR(__xludf.DUMMYFUNCTION("""COMPUTED_VALUE"""),"")</f>
        <v/>
      </c>
      <c r="C443" s="36" t="str">
        <f ca="1">IFERROR(__xludf.DUMMYFUNCTION("""COMPUTED_VALUE"""),"")</f>
        <v/>
      </c>
      <c r="D443" s="36" t="str">
        <f ca="1">IFERROR(__xludf.DUMMYFUNCTION("""COMPUTED_VALUE"""),"")</f>
        <v/>
      </c>
      <c r="E443" s="36" t="str">
        <f ca="1">IFERROR(__xludf.DUMMYFUNCTION("""COMPUTED_VALUE"""),"")</f>
        <v/>
      </c>
      <c r="F443" s="36" t="str">
        <f ca="1">IFERROR(__xludf.DUMMYFUNCTION("""COMPUTED_VALUE"""),"")</f>
        <v/>
      </c>
      <c r="G443" s="36" t="str">
        <f ca="1">IFERROR(__xludf.DUMMYFUNCTION("""COMPUTED_VALUE"""),"")</f>
        <v/>
      </c>
      <c r="H443" s="36" t="str">
        <f ca="1">IFERROR(__xludf.DUMMYFUNCTION("""COMPUTED_VALUE"""),"")</f>
        <v/>
      </c>
      <c r="I443" s="36" t="str">
        <f ca="1">IFERROR(__xludf.DUMMYFUNCTION("""COMPUTED_VALUE"""),"")</f>
        <v/>
      </c>
      <c r="J443" s="36" t="str">
        <f ca="1">IFERROR(__xludf.DUMMYFUNCTION("""COMPUTED_VALUE"""),"")</f>
        <v/>
      </c>
      <c r="K443" s="36" t="str">
        <f ca="1">IFERROR(__xludf.DUMMYFUNCTION("""COMPUTED_VALUE"""),"")</f>
        <v/>
      </c>
      <c r="L443" s="36" t="str">
        <f ca="1">IFERROR(__xludf.DUMMYFUNCTION("""COMPUTED_VALUE"""),"")</f>
        <v/>
      </c>
      <c r="M443" s="36" t="str">
        <f ca="1">IFERROR(__xludf.DUMMYFUNCTION("""COMPUTED_VALUE"""),"")</f>
        <v/>
      </c>
      <c r="N443" s="36" t="str">
        <f ca="1">IFERROR(__xludf.DUMMYFUNCTION("""COMPUTED_VALUE"""),"")</f>
        <v/>
      </c>
      <c r="O443" s="36" t="str">
        <f ca="1">IFERROR(__xludf.DUMMYFUNCTION("""COMPUTED_VALUE"""),"")</f>
        <v/>
      </c>
      <c r="P443" s="36" t="str">
        <f ca="1">IFERROR(__xludf.DUMMYFUNCTION("""COMPUTED_VALUE"""),"")</f>
        <v/>
      </c>
      <c r="Q443" s="36" t="str">
        <f ca="1">IFERROR(__xludf.DUMMYFUNCTION("""COMPUTED_VALUE"""),"")</f>
        <v/>
      </c>
      <c r="R443" s="36" t="str">
        <f ca="1">IFERROR(__xludf.DUMMYFUNCTION("""COMPUTED_VALUE"""),"")</f>
        <v/>
      </c>
      <c r="S443" s="36" t="str">
        <f ca="1">IFERROR(__xludf.DUMMYFUNCTION("""COMPUTED_VALUE"""),"")</f>
        <v/>
      </c>
      <c r="T443" s="36" t="str">
        <f ca="1">IFERROR(__xludf.DUMMYFUNCTION("""COMPUTED_VALUE"""),"")</f>
        <v/>
      </c>
      <c r="U443" s="36" t="str">
        <f ca="1">IFERROR(__xludf.DUMMYFUNCTION("""COMPUTED_VALUE"""),"")</f>
        <v/>
      </c>
      <c r="V443" s="36" t="str">
        <f ca="1">IFERROR(__xludf.DUMMYFUNCTION("""COMPUTED_VALUE"""),"")</f>
        <v/>
      </c>
      <c r="W443" s="36" t="str">
        <f ca="1">IFERROR(__xludf.DUMMYFUNCTION("""COMPUTED_VALUE"""),"")</f>
        <v/>
      </c>
      <c r="X443" s="36"/>
      <c r="Y443" s="36"/>
      <c r="Z443" s="36"/>
    </row>
    <row r="444" spans="1:26" ht="12.75" hidden="1">
      <c r="A444" s="36" t="str">
        <f ca="1">IFERROR(__xludf.DUMMYFUNCTION("""COMPUTED_VALUE"""),"")</f>
        <v/>
      </c>
      <c r="B444" s="36" t="str">
        <f ca="1">IFERROR(__xludf.DUMMYFUNCTION("""COMPUTED_VALUE"""),"")</f>
        <v/>
      </c>
      <c r="C444" s="36" t="str">
        <f ca="1">IFERROR(__xludf.DUMMYFUNCTION("""COMPUTED_VALUE"""),"")</f>
        <v/>
      </c>
      <c r="D444" s="36" t="str">
        <f ca="1">IFERROR(__xludf.DUMMYFUNCTION("""COMPUTED_VALUE"""),"")</f>
        <v/>
      </c>
      <c r="E444" s="36" t="str">
        <f ca="1">IFERROR(__xludf.DUMMYFUNCTION("""COMPUTED_VALUE"""),"")</f>
        <v/>
      </c>
      <c r="F444" s="36" t="str">
        <f ca="1">IFERROR(__xludf.DUMMYFUNCTION("""COMPUTED_VALUE"""),"")</f>
        <v/>
      </c>
      <c r="G444" s="36" t="str">
        <f ca="1">IFERROR(__xludf.DUMMYFUNCTION("""COMPUTED_VALUE"""),"")</f>
        <v/>
      </c>
      <c r="H444" s="36" t="str">
        <f ca="1">IFERROR(__xludf.DUMMYFUNCTION("""COMPUTED_VALUE"""),"")</f>
        <v/>
      </c>
      <c r="I444" s="36" t="str">
        <f ca="1">IFERROR(__xludf.DUMMYFUNCTION("""COMPUTED_VALUE"""),"")</f>
        <v/>
      </c>
      <c r="J444" s="36" t="str">
        <f ca="1">IFERROR(__xludf.DUMMYFUNCTION("""COMPUTED_VALUE"""),"")</f>
        <v/>
      </c>
      <c r="K444" s="36" t="str">
        <f ca="1">IFERROR(__xludf.DUMMYFUNCTION("""COMPUTED_VALUE"""),"")</f>
        <v/>
      </c>
      <c r="L444" s="36" t="str">
        <f ca="1">IFERROR(__xludf.DUMMYFUNCTION("""COMPUTED_VALUE"""),"")</f>
        <v/>
      </c>
      <c r="M444" s="36" t="str">
        <f ca="1">IFERROR(__xludf.DUMMYFUNCTION("""COMPUTED_VALUE"""),"")</f>
        <v/>
      </c>
      <c r="N444" s="36" t="str">
        <f ca="1">IFERROR(__xludf.DUMMYFUNCTION("""COMPUTED_VALUE"""),"")</f>
        <v/>
      </c>
      <c r="O444" s="36" t="str">
        <f ca="1">IFERROR(__xludf.DUMMYFUNCTION("""COMPUTED_VALUE"""),"")</f>
        <v/>
      </c>
      <c r="P444" s="36" t="str">
        <f ca="1">IFERROR(__xludf.DUMMYFUNCTION("""COMPUTED_VALUE"""),"")</f>
        <v/>
      </c>
      <c r="Q444" s="36" t="str">
        <f ca="1">IFERROR(__xludf.DUMMYFUNCTION("""COMPUTED_VALUE"""),"")</f>
        <v/>
      </c>
      <c r="R444" s="36" t="str">
        <f ca="1">IFERROR(__xludf.DUMMYFUNCTION("""COMPUTED_VALUE"""),"")</f>
        <v/>
      </c>
      <c r="S444" s="36" t="str">
        <f ca="1">IFERROR(__xludf.DUMMYFUNCTION("""COMPUTED_VALUE"""),"")</f>
        <v/>
      </c>
      <c r="T444" s="36" t="str">
        <f ca="1">IFERROR(__xludf.DUMMYFUNCTION("""COMPUTED_VALUE"""),"")</f>
        <v/>
      </c>
      <c r="U444" s="36" t="str">
        <f ca="1">IFERROR(__xludf.DUMMYFUNCTION("""COMPUTED_VALUE"""),"")</f>
        <v/>
      </c>
      <c r="V444" s="36" t="str">
        <f ca="1">IFERROR(__xludf.DUMMYFUNCTION("""COMPUTED_VALUE"""),"")</f>
        <v/>
      </c>
      <c r="W444" s="36" t="str">
        <f ca="1">IFERROR(__xludf.DUMMYFUNCTION("""COMPUTED_VALUE"""),"")</f>
        <v/>
      </c>
      <c r="X444" s="36"/>
      <c r="Y444" s="36"/>
      <c r="Z444" s="36"/>
    </row>
    <row r="445" spans="1:26" ht="12.75" hidden="1">
      <c r="A445" s="36" t="str">
        <f ca="1">IFERROR(__xludf.DUMMYFUNCTION("""COMPUTED_VALUE"""),"")</f>
        <v/>
      </c>
      <c r="B445" s="36" t="str">
        <f ca="1">IFERROR(__xludf.DUMMYFUNCTION("""COMPUTED_VALUE"""),"")</f>
        <v/>
      </c>
      <c r="C445" s="36" t="str">
        <f ca="1">IFERROR(__xludf.DUMMYFUNCTION("""COMPUTED_VALUE"""),"")</f>
        <v/>
      </c>
      <c r="D445" s="36" t="str">
        <f ca="1">IFERROR(__xludf.DUMMYFUNCTION("""COMPUTED_VALUE"""),"")</f>
        <v/>
      </c>
      <c r="E445" s="36" t="str">
        <f ca="1">IFERROR(__xludf.DUMMYFUNCTION("""COMPUTED_VALUE"""),"")</f>
        <v/>
      </c>
      <c r="F445" s="36" t="str">
        <f ca="1">IFERROR(__xludf.DUMMYFUNCTION("""COMPUTED_VALUE"""),"")</f>
        <v/>
      </c>
      <c r="G445" s="36" t="str">
        <f ca="1">IFERROR(__xludf.DUMMYFUNCTION("""COMPUTED_VALUE"""),"")</f>
        <v/>
      </c>
      <c r="H445" s="36" t="str">
        <f ca="1">IFERROR(__xludf.DUMMYFUNCTION("""COMPUTED_VALUE"""),"")</f>
        <v/>
      </c>
      <c r="I445" s="36" t="str">
        <f ca="1">IFERROR(__xludf.DUMMYFUNCTION("""COMPUTED_VALUE"""),"")</f>
        <v/>
      </c>
      <c r="J445" s="36" t="str">
        <f ca="1">IFERROR(__xludf.DUMMYFUNCTION("""COMPUTED_VALUE"""),"")</f>
        <v/>
      </c>
      <c r="K445" s="36" t="str">
        <f ca="1">IFERROR(__xludf.DUMMYFUNCTION("""COMPUTED_VALUE"""),"")</f>
        <v/>
      </c>
      <c r="L445" s="36" t="str">
        <f ca="1">IFERROR(__xludf.DUMMYFUNCTION("""COMPUTED_VALUE"""),"")</f>
        <v/>
      </c>
      <c r="M445" s="36" t="str">
        <f ca="1">IFERROR(__xludf.DUMMYFUNCTION("""COMPUTED_VALUE"""),"")</f>
        <v/>
      </c>
      <c r="N445" s="36" t="str">
        <f ca="1">IFERROR(__xludf.DUMMYFUNCTION("""COMPUTED_VALUE"""),"")</f>
        <v/>
      </c>
      <c r="O445" s="36" t="str">
        <f ca="1">IFERROR(__xludf.DUMMYFUNCTION("""COMPUTED_VALUE"""),"")</f>
        <v/>
      </c>
      <c r="P445" s="36" t="str">
        <f ca="1">IFERROR(__xludf.DUMMYFUNCTION("""COMPUTED_VALUE"""),"")</f>
        <v/>
      </c>
      <c r="Q445" s="36" t="str">
        <f ca="1">IFERROR(__xludf.DUMMYFUNCTION("""COMPUTED_VALUE"""),"")</f>
        <v/>
      </c>
      <c r="R445" s="36" t="str">
        <f ca="1">IFERROR(__xludf.DUMMYFUNCTION("""COMPUTED_VALUE"""),"")</f>
        <v/>
      </c>
      <c r="S445" s="36" t="str">
        <f ca="1">IFERROR(__xludf.DUMMYFUNCTION("""COMPUTED_VALUE"""),"")</f>
        <v/>
      </c>
      <c r="T445" s="36" t="str">
        <f ca="1">IFERROR(__xludf.DUMMYFUNCTION("""COMPUTED_VALUE"""),"")</f>
        <v/>
      </c>
      <c r="U445" s="36" t="str">
        <f ca="1">IFERROR(__xludf.DUMMYFUNCTION("""COMPUTED_VALUE"""),"")</f>
        <v/>
      </c>
      <c r="V445" s="36" t="str">
        <f ca="1">IFERROR(__xludf.DUMMYFUNCTION("""COMPUTED_VALUE"""),"")</f>
        <v/>
      </c>
      <c r="W445" s="36" t="str">
        <f ca="1">IFERROR(__xludf.DUMMYFUNCTION("""COMPUTED_VALUE"""),"")</f>
        <v/>
      </c>
      <c r="X445" s="36"/>
      <c r="Y445" s="36"/>
      <c r="Z445" s="36"/>
    </row>
    <row r="446" spans="1:26" ht="12.75" hidden="1">
      <c r="A446" s="36" t="str">
        <f ca="1">IFERROR(__xludf.DUMMYFUNCTION("""COMPUTED_VALUE"""),"")</f>
        <v/>
      </c>
      <c r="B446" s="36" t="str">
        <f ca="1">IFERROR(__xludf.DUMMYFUNCTION("""COMPUTED_VALUE"""),"")</f>
        <v/>
      </c>
      <c r="C446" s="36" t="str">
        <f ca="1">IFERROR(__xludf.DUMMYFUNCTION("""COMPUTED_VALUE"""),"")</f>
        <v/>
      </c>
      <c r="D446" s="36" t="str">
        <f ca="1">IFERROR(__xludf.DUMMYFUNCTION("""COMPUTED_VALUE"""),"")</f>
        <v/>
      </c>
      <c r="E446" s="36" t="str">
        <f ca="1">IFERROR(__xludf.DUMMYFUNCTION("""COMPUTED_VALUE"""),"")</f>
        <v/>
      </c>
      <c r="F446" s="36" t="str">
        <f ca="1">IFERROR(__xludf.DUMMYFUNCTION("""COMPUTED_VALUE"""),"")</f>
        <v/>
      </c>
      <c r="G446" s="36" t="str">
        <f ca="1">IFERROR(__xludf.DUMMYFUNCTION("""COMPUTED_VALUE"""),"")</f>
        <v/>
      </c>
      <c r="H446" s="36" t="str">
        <f ca="1">IFERROR(__xludf.DUMMYFUNCTION("""COMPUTED_VALUE"""),"")</f>
        <v/>
      </c>
      <c r="I446" s="36" t="str">
        <f ca="1">IFERROR(__xludf.DUMMYFUNCTION("""COMPUTED_VALUE"""),"")</f>
        <v/>
      </c>
      <c r="J446" s="36" t="str">
        <f ca="1">IFERROR(__xludf.DUMMYFUNCTION("""COMPUTED_VALUE"""),"")</f>
        <v/>
      </c>
      <c r="K446" s="36" t="str">
        <f ca="1">IFERROR(__xludf.DUMMYFUNCTION("""COMPUTED_VALUE"""),"")</f>
        <v/>
      </c>
      <c r="L446" s="36" t="str">
        <f ca="1">IFERROR(__xludf.DUMMYFUNCTION("""COMPUTED_VALUE"""),"")</f>
        <v/>
      </c>
      <c r="M446" s="36" t="str">
        <f ca="1">IFERROR(__xludf.DUMMYFUNCTION("""COMPUTED_VALUE"""),"")</f>
        <v/>
      </c>
      <c r="N446" s="36" t="str">
        <f ca="1">IFERROR(__xludf.DUMMYFUNCTION("""COMPUTED_VALUE"""),"")</f>
        <v/>
      </c>
      <c r="O446" s="36" t="str">
        <f ca="1">IFERROR(__xludf.DUMMYFUNCTION("""COMPUTED_VALUE"""),"")</f>
        <v/>
      </c>
      <c r="P446" s="36" t="str">
        <f ca="1">IFERROR(__xludf.DUMMYFUNCTION("""COMPUTED_VALUE"""),"")</f>
        <v/>
      </c>
      <c r="Q446" s="36" t="str">
        <f ca="1">IFERROR(__xludf.DUMMYFUNCTION("""COMPUTED_VALUE"""),"")</f>
        <v/>
      </c>
      <c r="R446" s="36" t="str">
        <f ca="1">IFERROR(__xludf.DUMMYFUNCTION("""COMPUTED_VALUE"""),"")</f>
        <v/>
      </c>
      <c r="S446" s="36" t="str">
        <f ca="1">IFERROR(__xludf.DUMMYFUNCTION("""COMPUTED_VALUE"""),"")</f>
        <v/>
      </c>
      <c r="T446" s="36" t="str">
        <f ca="1">IFERROR(__xludf.DUMMYFUNCTION("""COMPUTED_VALUE"""),"")</f>
        <v/>
      </c>
      <c r="U446" s="36" t="str">
        <f ca="1">IFERROR(__xludf.DUMMYFUNCTION("""COMPUTED_VALUE"""),"")</f>
        <v/>
      </c>
      <c r="V446" s="36" t="str">
        <f ca="1">IFERROR(__xludf.DUMMYFUNCTION("""COMPUTED_VALUE"""),"")</f>
        <v/>
      </c>
      <c r="W446" s="36" t="str">
        <f ca="1">IFERROR(__xludf.DUMMYFUNCTION("""COMPUTED_VALUE"""),"")</f>
        <v/>
      </c>
      <c r="X446" s="36"/>
      <c r="Y446" s="36"/>
      <c r="Z446" s="36"/>
    </row>
    <row r="447" spans="1:26" ht="12.75" hidden="1">
      <c r="A447" s="36" t="str">
        <f ca="1">IFERROR(__xludf.DUMMYFUNCTION("""COMPUTED_VALUE"""),"")</f>
        <v/>
      </c>
      <c r="B447" s="36" t="str">
        <f ca="1">IFERROR(__xludf.DUMMYFUNCTION("""COMPUTED_VALUE"""),"")</f>
        <v/>
      </c>
      <c r="C447" s="36" t="str">
        <f ca="1">IFERROR(__xludf.DUMMYFUNCTION("""COMPUTED_VALUE"""),"")</f>
        <v/>
      </c>
      <c r="D447" s="36" t="str">
        <f ca="1">IFERROR(__xludf.DUMMYFUNCTION("""COMPUTED_VALUE"""),"")</f>
        <v/>
      </c>
      <c r="E447" s="36" t="str">
        <f ca="1">IFERROR(__xludf.DUMMYFUNCTION("""COMPUTED_VALUE"""),"")</f>
        <v/>
      </c>
      <c r="F447" s="36" t="str">
        <f ca="1">IFERROR(__xludf.DUMMYFUNCTION("""COMPUTED_VALUE"""),"")</f>
        <v/>
      </c>
      <c r="G447" s="36" t="str">
        <f ca="1">IFERROR(__xludf.DUMMYFUNCTION("""COMPUTED_VALUE"""),"")</f>
        <v/>
      </c>
      <c r="H447" s="36" t="str">
        <f ca="1">IFERROR(__xludf.DUMMYFUNCTION("""COMPUTED_VALUE"""),"")</f>
        <v/>
      </c>
      <c r="I447" s="36" t="str">
        <f ca="1">IFERROR(__xludf.DUMMYFUNCTION("""COMPUTED_VALUE"""),"")</f>
        <v/>
      </c>
      <c r="J447" s="36" t="str">
        <f ca="1">IFERROR(__xludf.DUMMYFUNCTION("""COMPUTED_VALUE"""),"")</f>
        <v/>
      </c>
      <c r="K447" s="36" t="str">
        <f ca="1">IFERROR(__xludf.DUMMYFUNCTION("""COMPUTED_VALUE"""),"")</f>
        <v/>
      </c>
      <c r="L447" s="36" t="str">
        <f ca="1">IFERROR(__xludf.DUMMYFUNCTION("""COMPUTED_VALUE"""),"")</f>
        <v/>
      </c>
      <c r="M447" s="36" t="str">
        <f ca="1">IFERROR(__xludf.DUMMYFUNCTION("""COMPUTED_VALUE"""),"")</f>
        <v/>
      </c>
      <c r="N447" s="36" t="str">
        <f ca="1">IFERROR(__xludf.DUMMYFUNCTION("""COMPUTED_VALUE"""),"")</f>
        <v/>
      </c>
      <c r="O447" s="36" t="str">
        <f ca="1">IFERROR(__xludf.DUMMYFUNCTION("""COMPUTED_VALUE"""),"")</f>
        <v/>
      </c>
      <c r="P447" s="36" t="str">
        <f ca="1">IFERROR(__xludf.DUMMYFUNCTION("""COMPUTED_VALUE"""),"")</f>
        <v/>
      </c>
      <c r="Q447" s="36" t="str">
        <f ca="1">IFERROR(__xludf.DUMMYFUNCTION("""COMPUTED_VALUE"""),"")</f>
        <v/>
      </c>
      <c r="R447" s="36" t="str">
        <f ca="1">IFERROR(__xludf.DUMMYFUNCTION("""COMPUTED_VALUE"""),"")</f>
        <v/>
      </c>
      <c r="S447" s="36" t="str">
        <f ca="1">IFERROR(__xludf.DUMMYFUNCTION("""COMPUTED_VALUE"""),"")</f>
        <v/>
      </c>
      <c r="T447" s="36" t="str">
        <f ca="1">IFERROR(__xludf.DUMMYFUNCTION("""COMPUTED_VALUE"""),"")</f>
        <v/>
      </c>
      <c r="U447" s="36" t="str">
        <f ca="1">IFERROR(__xludf.DUMMYFUNCTION("""COMPUTED_VALUE"""),"")</f>
        <v/>
      </c>
      <c r="V447" s="36" t="str">
        <f ca="1">IFERROR(__xludf.DUMMYFUNCTION("""COMPUTED_VALUE"""),"")</f>
        <v/>
      </c>
      <c r="W447" s="36" t="str">
        <f ca="1">IFERROR(__xludf.DUMMYFUNCTION("""COMPUTED_VALUE"""),"")</f>
        <v/>
      </c>
      <c r="X447" s="36"/>
      <c r="Y447" s="36"/>
      <c r="Z447" s="36"/>
    </row>
    <row r="448" spans="1:26" ht="12.75" hidden="1">
      <c r="A448" s="36" t="str">
        <f ca="1">IFERROR(__xludf.DUMMYFUNCTION("""COMPUTED_VALUE"""),"")</f>
        <v/>
      </c>
      <c r="B448" s="36" t="str">
        <f ca="1">IFERROR(__xludf.DUMMYFUNCTION("""COMPUTED_VALUE"""),"")</f>
        <v/>
      </c>
      <c r="C448" s="36" t="str">
        <f ca="1">IFERROR(__xludf.DUMMYFUNCTION("""COMPUTED_VALUE"""),"")</f>
        <v/>
      </c>
      <c r="D448" s="36" t="str">
        <f ca="1">IFERROR(__xludf.DUMMYFUNCTION("""COMPUTED_VALUE"""),"")</f>
        <v/>
      </c>
      <c r="E448" s="36" t="str">
        <f ca="1">IFERROR(__xludf.DUMMYFUNCTION("""COMPUTED_VALUE"""),"")</f>
        <v/>
      </c>
      <c r="F448" s="36" t="str">
        <f ca="1">IFERROR(__xludf.DUMMYFUNCTION("""COMPUTED_VALUE"""),"")</f>
        <v/>
      </c>
      <c r="G448" s="36" t="str">
        <f ca="1">IFERROR(__xludf.DUMMYFUNCTION("""COMPUTED_VALUE"""),"")</f>
        <v/>
      </c>
      <c r="H448" s="36" t="str">
        <f ca="1">IFERROR(__xludf.DUMMYFUNCTION("""COMPUTED_VALUE"""),"")</f>
        <v/>
      </c>
      <c r="I448" s="36" t="str">
        <f ca="1">IFERROR(__xludf.DUMMYFUNCTION("""COMPUTED_VALUE"""),"")</f>
        <v/>
      </c>
      <c r="J448" s="36" t="str">
        <f ca="1">IFERROR(__xludf.DUMMYFUNCTION("""COMPUTED_VALUE"""),"")</f>
        <v/>
      </c>
      <c r="K448" s="36" t="str">
        <f ca="1">IFERROR(__xludf.DUMMYFUNCTION("""COMPUTED_VALUE"""),"")</f>
        <v/>
      </c>
      <c r="L448" s="36" t="str">
        <f ca="1">IFERROR(__xludf.DUMMYFUNCTION("""COMPUTED_VALUE"""),"")</f>
        <v/>
      </c>
      <c r="M448" s="36" t="str">
        <f ca="1">IFERROR(__xludf.DUMMYFUNCTION("""COMPUTED_VALUE"""),"")</f>
        <v/>
      </c>
      <c r="N448" s="36" t="str">
        <f ca="1">IFERROR(__xludf.DUMMYFUNCTION("""COMPUTED_VALUE"""),"")</f>
        <v/>
      </c>
      <c r="O448" s="36" t="str">
        <f ca="1">IFERROR(__xludf.DUMMYFUNCTION("""COMPUTED_VALUE"""),"")</f>
        <v/>
      </c>
      <c r="P448" s="36" t="str">
        <f ca="1">IFERROR(__xludf.DUMMYFUNCTION("""COMPUTED_VALUE"""),"")</f>
        <v/>
      </c>
      <c r="Q448" s="36" t="str">
        <f ca="1">IFERROR(__xludf.DUMMYFUNCTION("""COMPUTED_VALUE"""),"")</f>
        <v/>
      </c>
      <c r="R448" s="36" t="str">
        <f ca="1">IFERROR(__xludf.DUMMYFUNCTION("""COMPUTED_VALUE"""),"")</f>
        <v/>
      </c>
      <c r="S448" s="36" t="str">
        <f ca="1">IFERROR(__xludf.DUMMYFUNCTION("""COMPUTED_VALUE"""),"")</f>
        <v/>
      </c>
      <c r="T448" s="36" t="str">
        <f ca="1">IFERROR(__xludf.DUMMYFUNCTION("""COMPUTED_VALUE"""),"")</f>
        <v/>
      </c>
      <c r="U448" s="36" t="str">
        <f ca="1">IFERROR(__xludf.DUMMYFUNCTION("""COMPUTED_VALUE"""),"")</f>
        <v/>
      </c>
      <c r="V448" s="36" t="str">
        <f ca="1">IFERROR(__xludf.DUMMYFUNCTION("""COMPUTED_VALUE"""),"")</f>
        <v/>
      </c>
      <c r="W448" s="36" t="str">
        <f ca="1">IFERROR(__xludf.DUMMYFUNCTION("""COMPUTED_VALUE"""),"")</f>
        <v/>
      </c>
      <c r="X448" s="36"/>
      <c r="Y448" s="36"/>
      <c r="Z448" s="36"/>
    </row>
    <row r="449" spans="1:26" ht="12.75" hidden="1">
      <c r="A449" s="36" t="str">
        <f ca="1">IFERROR(__xludf.DUMMYFUNCTION("""COMPUTED_VALUE"""),"")</f>
        <v/>
      </c>
      <c r="B449" s="36" t="str">
        <f ca="1">IFERROR(__xludf.DUMMYFUNCTION("""COMPUTED_VALUE"""),"")</f>
        <v/>
      </c>
      <c r="C449" s="36" t="str">
        <f ca="1">IFERROR(__xludf.DUMMYFUNCTION("""COMPUTED_VALUE"""),"")</f>
        <v/>
      </c>
      <c r="D449" s="36" t="str">
        <f ca="1">IFERROR(__xludf.DUMMYFUNCTION("""COMPUTED_VALUE"""),"")</f>
        <v/>
      </c>
      <c r="E449" s="36" t="str">
        <f ca="1">IFERROR(__xludf.DUMMYFUNCTION("""COMPUTED_VALUE"""),"")</f>
        <v/>
      </c>
      <c r="F449" s="36" t="str">
        <f ca="1">IFERROR(__xludf.DUMMYFUNCTION("""COMPUTED_VALUE"""),"")</f>
        <v/>
      </c>
      <c r="G449" s="36" t="str">
        <f ca="1">IFERROR(__xludf.DUMMYFUNCTION("""COMPUTED_VALUE"""),"")</f>
        <v/>
      </c>
      <c r="H449" s="36" t="str">
        <f ca="1">IFERROR(__xludf.DUMMYFUNCTION("""COMPUTED_VALUE"""),"")</f>
        <v/>
      </c>
      <c r="I449" s="36" t="str">
        <f ca="1">IFERROR(__xludf.DUMMYFUNCTION("""COMPUTED_VALUE"""),"")</f>
        <v/>
      </c>
      <c r="J449" s="36" t="str">
        <f ca="1">IFERROR(__xludf.DUMMYFUNCTION("""COMPUTED_VALUE"""),"")</f>
        <v/>
      </c>
      <c r="K449" s="36" t="str">
        <f ca="1">IFERROR(__xludf.DUMMYFUNCTION("""COMPUTED_VALUE"""),"")</f>
        <v/>
      </c>
      <c r="L449" s="36" t="str">
        <f ca="1">IFERROR(__xludf.DUMMYFUNCTION("""COMPUTED_VALUE"""),"")</f>
        <v/>
      </c>
      <c r="M449" s="36" t="str">
        <f ca="1">IFERROR(__xludf.DUMMYFUNCTION("""COMPUTED_VALUE"""),"")</f>
        <v/>
      </c>
      <c r="N449" s="36" t="str">
        <f ca="1">IFERROR(__xludf.DUMMYFUNCTION("""COMPUTED_VALUE"""),"")</f>
        <v/>
      </c>
      <c r="O449" s="36" t="str">
        <f ca="1">IFERROR(__xludf.DUMMYFUNCTION("""COMPUTED_VALUE"""),"")</f>
        <v/>
      </c>
      <c r="P449" s="36" t="str">
        <f ca="1">IFERROR(__xludf.DUMMYFUNCTION("""COMPUTED_VALUE"""),"")</f>
        <v/>
      </c>
      <c r="Q449" s="36" t="str">
        <f ca="1">IFERROR(__xludf.DUMMYFUNCTION("""COMPUTED_VALUE"""),"")</f>
        <v/>
      </c>
      <c r="R449" s="36" t="str">
        <f ca="1">IFERROR(__xludf.DUMMYFUNCTION("""COMPUTED_VALUE"""),"")</f>
        <v/>
      </c>
      <c r="S449" s="36" t="str">
        <f ca="1">IFERROR(__xludf.DUMMYFUNCTION("""COMPUTED_VALUE"""),"")</f>
        <v/>
      </c>
      <c r="T449" s="36" t="str">
        <f ca="1">IFERROR(__xludf.DUMMYFUNCTION("""COMPUTED_VALUE"""),"")</f>
        <v/>
      </c>
      <c r="U449" s="36" t="str">
        <f ca="1">IFERROR(__xludf.DUMMYFUNCTION("""COMPUTED_VALUE"""),"")</f>
        <v/>
      </c>
      <c r="V449" s="36" t="str">
        <f ca="1">IFERROR(__xludf.DUMMYFUNCTION("""COMPUTED_VALUE"""),"")</f>
        <v/>
      </c>
      <c r="W449" s="36" t="str">
        <f ca="1">IFERROR(__xludf.DUMMYFUNCTION("""COMPUTED_VALUE"""),"")</f>
        <v/>
      </c>
      <c r="X449" s="36"/>
      <c r="Y449" s="36"/>
      <c r="Z449" s="36"/>
    </row>
    <row r="450" spans="1:26" ht="12.75" hidden="1">
      <c r="A450" s="36" t="str">
        <f ca="1">IFERROR(__xludf.DUMMYFUNCTION("""COMPUTED_VALUE"""),"")</f>
        <v/>
      </c>
      <c r="B450" s="36" t="str">
        <f ca="1">IFERROR(__xludf.DUMMYFUNCTION("""COMPUTED_VALUE"""),"")</f>
        <v/>
      </c>
      <c r="C450" s="36" t="str">
        <f ca="1">IFERROR(__xludf.DUMMYFUNCTION("""COMPUTED_VALUE"""),"")</f>
        <v/>
      </c>
      <c r="D450" s="36" t="str">
        <f ca="1">IFERROR(__xludf.DUMMYFUNCTION("""COMPUTED_VALUE"""),"")</f>
        <v/>
      </c>
      <c r="E450" s="36" t="str">
        <f ca="1">IFERROR(__xludf.DUMMYFUNCTION("""COMPUTED_VALUE"""),"")</f>
        <v/>
      </c>
      <c r="F450" s="36" t="str">
        <f ca="1">IFERROR(__xludf.DUMMYFUNCTION("""COMPUTED_VALUE"""),"")</f>
        <v/>
      </c>
      <c r="G450" s="36" t="str">
        <f ca="1">IFERROR(__xludf.DUMMYFUNCTION("""COMPUTED_VALUE"""),"")</f>
        <v/>
      </c>
      <c r="H450" s="36" t="str">
        <f ca="1">IFERROR(__xludf.DUMMYFUNCTION("""COMPUTED_VALUE"""),"")</f>
        <v/>
      </c>
      <c r="I450" s="36" t="str">
        <f ca="1">IFERROR(__xludf.DUMMYFUNCTION("""COMPUTED_VALUE"""),"")</f>
        <v/>
      </c>
      <c r="J450" s="36" t="str">
        <f ca="1">IFERROR(__xludf.DUMMYFUNCTION("""COMPUTED_VALUE"""),"")</f>
        <v/>
      </c>
      <c r="K450" s="36" t="str">
        <f ca="1">IFERROR(__xludf.DUMMYFUNCTION("""COMPUTED_VALUE"""),"")</f>
        <v/>
      </c>
      <c r="L450" s="36" t="str">
        <f ca="1">IFERROR(__xludf.DUMMYFUNCTION("""COMPUTED_VALUE"""),"")</f>
        <v/>
      </c>
      <c r="M450" s="36" t="str">
        <f ca="1">IFERROR(__xludf.DUMMYFUNCTION("""COMPUTED_VALUE"""),"")</f>
        <v/>
      </c>
      <c r="N450" s="36" t="str">
        <f ca="1">IFERROR(__xludf.DUMMYFUNCTION("""COMPUTED_VALUE"""),"")</f>
        <v/>
      </c>
      <c r="O450" s="36" t="str">
        <f ca="1">IFERROR(__xludf.DUMMYFUNCTION("""COMPUTED_VALUE"""),"")</f>
        <v/>
      </c>
      <c r="P450" s="36" t="str">
        <f ca="1">IFERROR(__xludf.DUMMYFUNCTION("""COMPUTED_VALUE"""),"")</f>
        <v/>
      </c>
      <c r="Q450" s="36" t="str">
        <f ca="1">IFERROR(__xludf.DUMMYFUNCTION("""COMPUTED_VALUE"""),"")</f>
        <v/>
      </c>
      <c r="R450" s="36" t="str">
        <f ca="1">IFERROR(__xludf.DUMMYFUNCTION("""COMPUTED_VALUE"""),"")</f>
        <v/>
      </c>
      <c r="S450" s="36" t="str">
        <f ca="1">IFERROR(__xludf.DUMMYFUNCTION("""COMPUTED_VALUE"""),"")</f>
        <v/>
      </c>
      <c r="T450" s="36" t="str">
        <f ca="1">IFERROR(__xludf.DUMMYFUNCTION("""COMPUTED_VALUE"""),"")</f>
        <v/>
      </c>
      <c r="U450" s="36" t="str">
        <f ca="1">IFERROR(__xludf.DUMMYFUNCTION("""COMPUTED_VALUE"""),"")</f>
        <v/>
      </c>
      <c r="V450" s="36" t="str">
        <f ca="1">IFERROR(__xludf.DUMMYFUNCTION("""COMPUTED_VALUE"""),"")</f>
        <v/>
      </c>
      <c r="W450" s="36" t="str">
        <f ca="1">IFERROR(__xludf.DUMMYFUNCTION("""COMPUTED_VALUE"""),"")</f>
        <v/>
      </c>
      <c r="X450" s="36"/>
      <c r="Y450" s="36"/>
      <c r="Z450" s="36"/>
    </row>
    <row r="451" spans="1:26" ht="12.75" hidden="1">
      <c r="A451" s="36" t="str">
        <f ca="1">IFERROR(__xludf.DUMMYFUNCTION("""COMPUTED_VALUE"""),"")</f>
        <v/>
      </c>
      <c r="B451" s="36" t="str">
        <f ca="1">IFERROR(__xludf.DUMMYFUNCTION("""COMPUTED_VALUE"""),"")</f>
        <v/>
      </c>
      <c r="C451" s="36" t="str">
        <f ca="1">IFERROR(__xludf.DUMMYFUNCTION("""COMPUTED_VALUE"""),"")</f>
        <v/>
      </c>
      <c r="D451" s="36" t="str">
        <f ca="1">IFERROR(__xludf.DUMMYFUNCTION("""COMPUTED_VALUE"""),"")</f>
        <v/>
      </c>
      <c r="E451" s="36" t="str">
        <f ca="1">IFERROR(__xludf.DUMMYFUNCTION("""COMPUTED_VALUE"""),"")</f>
        <v/>
      </c>
      <c r="F451" s="36" t="str">
        <f ca="1">IFERROR(__xludf.DUMMYFUNCTION("""COMPUTED_VALUE"""),"")</f>
        <v/>
      </c>
      <c r="G451" s="36" t="str">
        <f ca="1">IFERROR(__xludf.DUMMYFUNCTION("""COMPUTED_VALUE"""),"")</f>
        <v/>
      </c>
      <c r="H451" s="36" t="str">
        <f ca="1">IFERROR(__xludf.DUMMYFUNCTION("""COMPUTED_VALUE"""),"")</f>
        <v/>
      </c>
      <c r="I451" s="36" t="str">
        <f ca="1">IFERROR(__xludf.DUMMYFUNCTION("""COMPUTED_VALUE"""),"")</f>
        <v/>
      </c>
      <c r="J451" s="36" t="str">
        <f ca="1">IFERROR(__xludf.DUMMYFUNCTION("""COMPUTED_VALUE"""),"")</f>
        <v/>
      </c>
      <c r="K451" s="36" t="str">
        <f ca="1">IFERROR(__xludf.DUMMYFUNCTION("""COMPUTED_VALUE"""),"")</f>
        <v/>
      </c>
      <c r="L451" s="36" t="str">
        <f ca="1">IFERROR(__xludf.DUMMYFUNCTION("""COMPUTED_VALUE"""),"")</f>
        <v/>
      </c>
      <c r="M451" s="36" t="str">
        <f ca="1">IFERROR(__xludf.DUMMYFUNCTION("""COMPUTED_VALUE"""),"")</f>
        <v/>
      </c>
      <c r="N451" s="36" t="str">
        <f ca="1">IFERROR(__xludf.DUMMYFUNCTION("""COMPUTED_VALUE"""),"")</f>
        <v/>
      </c>
      <c r="O451" s="36" t="str">
        <f ca="1">IFERROR(__xludf.DUMMYFUNCTION("""COMPUTED_VALUE"""),"")</f>
        <v/>
      </c>
      <c r="P451" s="36" t="str">
        <f ca="1">IFERROR(__xludf.DUMMYFUNCTION("""COMPUTED_VALUE"""),"")</f>
        <v/>
      </c>
      <c r="Q451" s="36" t="str">
        <f ca="1">IFERROR(__xludf.DUMMYFUNCTION("""COMPUTED_VALUE"""),"")</f>
        <v/>
      </c>
      <c r="R451" s="36" t="str">
        <f ca="1">IFERROR(__xludf.DUMMYFUNCTION("""COMPUTED_VALUE"""),"")</f>
        <v/>
      </c>
      <c r="S451" s="36" t="str">
        <f ca="1">IFERROR(__xludf.DUMMYFUNCTION("""COMPUTED_VALUE"""),"")</f>
        <v/>
      </c>
      <c r="T451" s="36" t="str">
        <f ca="1">IFERROR(__xludf.DUMMYFUNCTION("""COMPUTED_VALUE"""),"")</f>
        <v/>
      </c>
      <c r="U451" s="36" t="str">
        <f ca="1">IFERROR(__xludf.DUMMYFUNCTION("""COMPUTED_VALUE"""),"")</f>
        <v/>
      </c>
      <c r="V451" s="36" t="str">
        <f ca="1">IFERROR(__xludf.DUMMYFUNCTION("""COMPUTED_VALUE"""),"")</f>
        <v/>
      </c>
      <c r="W451" s="36" t="str">
        <f ca="1">IFERROR(__xludf.DUMMYFUNCTION("""COMPUTED_VALUE"""),"")</f>
        <v/>
      </c>
      <c r="X451" s="36"/>
      <c r="Y451" s="36"/>
      <c r="Z451" s="36"/>
    </row>
    <row r="452" spans="1:26" ht="12.75" hidden="1">
      <c r="A452" s="36" t="str">
        <f ca="1">IFERROR(__xludf.DUMMYFUNCTION("""COMPUTED_VALUE"""),"")</f>
        <v/>
      </c>
      <c r="B452" s="36" t="str">
        <f ca="1">IFERROR(__xludf.DUMMYFUNCTION("""COMPUTED_VALUE"""),"")</f>
        <v/>
      </c>
      <c r="C452" s="36" t="str">
        <f ca="1">IFERROR(__xludf.DUMMYFUNCTION("""COMPUTED_VALUE"""),"")</f>
        <v/>
      </c>
      <c r="D452" s="36" t="str">
        <f ca="1">IFERROR(__xludf.DUMMYFUNCTION("""COMPUTED_VALUE"""),"")</f>
        <v/>
      </c>
      <c r="E452" s="36" t="str">
        <f ca="1">IFERROR(__xludf.DUMMYFUNCTION("""COMPUTED_VALUE"""),"")</f>
        <v/>
      </c>
      <c r="F452" s="36" t="str">
        <f ca="1">IFERROR(__xludf.DUMMYFUNCTION("""COMPUTED_VALUE"""),"")</f>
        <v/>
      </c>
      <c r="G452" s="36" t="str">
        <f ca="1">IFERROR(__xludf.DUMMYFUNCTION("""COMPUTED_VALUE"""),"")</f>
        <v/>
      </c>
      <c r="H452" s="36" t="str">
        <f ca="1">IFERROR(__xludf.DUMMYFUNCTION("""COMPUTED_VALUE"""),"")</f>
        <v/>
      </c>
      <c r="I452" s="36" t="str">
        <f ca="1">IFERROR(__xludf.DUMMYFUNCTION("""COMPUTED_VALUE"""),"")</f>
        <v/>
      </c>
      <c r="J452" s="36" t="str">
        <f ca="1">IFERROR(__xludf.DUMMYFUNCTION("""COMPUTED_VALUE"""),"")</f>
        <v/>
      </c>
      <c r="K452" s="36" t="str">
        <f ca="1">IFERROR(__xludf.DUMMYFUNCTION("""COMPUTED_VALUE"""),"")</f>
        <v/>
      </c>
      <c r="L452" s="36" t="str">
        <f ca="1">IFERROR(__xludf.DUMMYFUNCTION("""COMPUTED_VALUE"""),"")</f>
        <v/>
      </c>
      <c r="M452" s="36" t="str">
        <f ca="1">IFERROR(__xludf.DUMMYFUNCTION("""COMPUTED_VALUE"""),"")</f>
        <v/>
      </c>
      <c r="N452" s="36" t="str">
        <f ca="1">IFERROR(__xludf.DUMMYFUNCTION("""COMPUTED_VALUE"""),"")</f>
        <v/>
      </c>
      <c r="O452" s="36" t="str">
        <f ca="1">IFERROR(__xludf.DUMMYFUNCTION("""COMPUTED_VALUE"""),"")</f>
        <v/>
      </c>
      <c r="P452" s="36" t="str">
        <f ca="1">IFERROR(__xludf.DUMMYFUNCTION("""COMPUTED_VALUE"""),"")</f>
        <v/>
      </c>
      <c r="Q452" s="36" t="str">
        <f ca="1">IFERROR(__xludf.DUMMYFUNCTION("""COMPUTED_VALUE"""),"")</f>
        <v/>
      </c>
      <c r="R452" s="36" t="str">
        <f ca="1">IFERROR(__xludf.DUMMYFUNCTION("""COMPUTED_VALUE"""),"")</f>
        <v/>
      </c>
      <c r="S452" s="36" t="str">
        <f ca="1">IFERROR(__xludf.DUMMYFUNCTION("""COMPUTED_VALUE"""),"")</f>
        <v/>
      </c>
      <c r="T452" s="36" t="str">
        <f ca="1">IFERROR(__xludf.DUMMYFUNCTION("""COMPUTED_VALUE"""),"")</f>
        <v/>
      </c>
      <c r="U452" s="36" t="str">
        <f ca="1">IFERROR(__xludf.DUMMYFUNCTION("""COMPUTED_VALUE"""),"")</f>
        <v/>
      </c>
      <c r="V452" s="36" t="str">
        <f ca="1">IFERROR(__xludf.DUMMYFUNCTION("""COMPUTED_VALUE"""),"")</f>
        <v/>
      </c>
      <c r="W452" s="36" t="str">
        <f ca="1">IFERROR(__xludf.DUMMYFUNCTION("""COMPUTED_VALUE"""),"")</f>
        <v/>
      </c>
      <c r="X452" s="36"/>
      <c r="Y452" s="36"/>
      <c r="Z452" s="36"/>
    </row>
    <row r="453" spans="1:26" ht="12.75" hidden="1">
      <c r="A453" s="36" t="str">
        <f ca="1">IFERROR(__xludf.DUMMYFUNCTION("""COMPUTED_VALUE"""),"")</f>
        <v/>
      </c>
      <c r="B453" s="36" t="str">
        <f ca="1">IFERROR(__xludf.DUMMYFUNCTION("""COMPUTED_VALUE"""),"")</f>
        <v/>
      </c>
      <c r="C453" s="36" t="str">
        <f ca="1">IFERROR(__xludf.DUMMYFUNCTION("""COMPUTED_VALUE"""),"")</f>
        <v/>
      </c>
      <c r="D453" s="36" t="str">
        <f ca="1">IFERROR(__xludf.DUMMYFUNCTION("""COMPUTED_VALUE"""),"")</f>
        <v/>
      </c>
      <c r="E453" s="36" t="str">
        <f ca="1">IFERROR(__xludf.DUMMYFUNCTION("""COMPUTED_VALUE"""),"")</f>
        <v/>
      </c>
      <c r="F453" s="36" t="str">
        <f ca="1">IFERROR(__xludf.DUMMYFUNCTION("""COMPUTED_VALUE"""),"")</f>
        <v/>
      </c>
      <c r="G453" s="36" t="str">
        <f ca="1">IFERROR(__xludf.DUMMYFUNCTION("""COMPUTED_VALUE"""),"")</f>
        <v/>
      </c>
      <c r="H453" s="36" t="str">
        <f ca="1">IFERROR(__xludf.DUMMYFUNCTION("""COMPUTED_VALUE"""),"")</f>
        <v/>
      </c>
      <c r="I453" s="36" t="str">
        <f ca="1">IFERROR(__xludf.DUMMYFUNCTION("""COMPUTED_VALUE"""),"")</f>
        <v/>
      </c>
      <c r="J453" s="36" t="str">
        <f ca="1">IFERROR(__xludf.DUMMYFUNCTION("""COMPUTED_VALUE"""),"")</f>
        <v/>
      </c>
      <c r="K453" s="36" t="str">
        <f ca="1">IFERROR(__xludf.DUMMYFUNCTION("""COMPUTED_VALUE"""),"")</f>
        <v/>
      </c>
      <c r="L453" s="36" t="str">
        <f ca="1">IFERROR(__xludf.DUMMYFUNCTION("""COMPUTED_VALUE"""),"")</f>
        <v/>
      </c>
      <c r="M453" s="36" t="str">
        <f ca="1">IFERROR(__xludf.DUMMYFUNCTION("""COMPUTED_VALUE"""),"")</f>
        <v/>
      </c>
      <c r="N453" s="36" t="str">
        <f ca="1">IFERROR(__xludf.DUMMYFUNCTION("""COMPUTED_VALUE"""),"")</f>
        <v/>
      </c>
      <c r="O453" s="36" t="str">
        <f ca="1">IFERROR(__xludf.DUMMYFUNCTION("""COMPUTED_VALUE"""),"")</f>
        <v/>
      </c>
      <c r="P453" s="36" t="str">
        <f ca="1">IFERROR(__xludf.DUMMYFUNCTION("""COMPUTED_VALUE"""),"")</f>
        <v/>
      </c>
      <c r="Q453" s="36" t="str">
        <f ca="1">IFERROR(__xludf.DUMMYFUNCTION("""COMPUTED_VALUE"""),"")</f>
        <v/>
      </c>
      <c r="R453" s="36" t="str">
        <f ca="1">IFERROR(__xludf.DUMMYFUNCTION("""COMPUTED_VALUE"""),"")</f>
        <v/>
      </c>
      <c r="S453" s="36" t="str">
        <f ca="1">IFERROR(__xludf.DUMMYFUNCTION("""COMPUTED_VALUE"""),"")</f>
        <v/>
      </c>
      <c r="T453" s="36" t="str">
        <f ca="1">IFERROR(__xludf.DUMMYFUNCTION("""COMPUTED_VALUE"""),"")</f>
        <v/>
      </c>
      <c r="U453" s="36" t="str">
        <f ca="1">IFERROR(__xludf.DUMMYFUNCTION("""COMPUTED_VALUE"""),"")</f>
        <v/>
      </c>
      <c r="V453" s="36" t="str">
        <f ca="1">IFERROR(__xludf.DUMMYFUNCTION("""COMPUTED_VALUE"""),"")</f>
        <v/>
      </c>
      <c r="W453" s="36" t="str">
        <f ca="1">IFERROR(__xludf.DUMMYFUNCTION("""COMPUTED_VALUE"""),"")</f>
        <v/>
      </c>
      <c r="X453" s="36"/>
      <c r="Y453" s="36"/>
      <c r="Z453" s="36"/>
    </row>
    <row r="454" spans="1:26" ht="12.75" hidden="1">
      <c r="A454" s="36" t="str">
        <f ca="1">IFERROR(__xludf.DUMMYFUNCTION("""COMPUTED_VALUE"""),"")</f>
        <v/>
      </c>
      <c r="B454" s="36" t="str">
        <f ca="1">IFERROR(__xludf.DUMMYFUNCTION("""COMPUTED_VALUE"""),"")</f>
        <v/>
      </c>
      <c r="C454" s="36" t="str">
        <f ca="1">IFERROR(__xludf.DUMMYFUNCTION("""COMPUTED_VALUE"""),"")</f>
        <v/>
      </c>
      <c r="D454" s="36" t="str">
        <f ca="1">IFERROR(__xludf.DUMMYFUNCTION("""COMPUTED_VALUE"""),"")</f>
        <v/>
      </c>
      <c r="E454" s="36" t="str">
        <f ca="1">IFERROR(__xludf.DUMMYFUNCTION("""COMPUTED_VALUE"""),"")</f>
        <v/>
      </c>
      <c r="F454" s="36" t="str">
        <f ca="1">IFERROR(__xludf.DUMMYFUNCTION("""COMPUTED_VALUE"""),"")</f>
        <v/>
      </c>
      <c r="G454" s="36" t="str">
        <f ca="1">IFERROR(__xludf.DUMMYFUNCTION("""COMPUTED_VALUE"""),"")</f>
        <v/>
      </c>
      <c r="H454" s="36" t="str">
        <f ca="1">IFERROR(__xludf.DUMMYFUNCTION("""COMPUTED_VALUE"""),"")</f>
        <v/>
      </c>
      <c r="I454" s="36" t="str">
        <f ca="1">IFERROR(__xludf.DUMMYFUNCTION("""COMPUTED_VALUE"""),"")</f>
        <v/>
      </c>
      <c r="J454" s="36" t="str">
        <f ca="1">IFERROR(__xludf.DUMMYFUNCTION("""COMPUTED_VALUE"""),"")</f>
        <v/>
      </c>
      <c r="K454" s="36" t="str">
        <f ca="1">IFERROR(__xludf.DUMMYFUNCTION("""COMPUTED_VALUE"""),"")</f>
        <v/>
      </c>
      <c r="L454" s="36" t="str">
        <f ca="1">IFERROR(__xludf.DUMMYFUNCTION("""COMPUTED_VALUE"""),"")</f>
        <v/>
      </c>
      <c r="M454" s="36" t="str">
        <f ca="1">IFERROR(__xludf.DUMMYFUNCTION("""COMPUTED_VALUE"""),"")</f>
        <v/>
      </c>
      <c r="N454" s="36" t="str">
        <f ca="1">IFERROR(__xludf.DUMMYFUNCTION("""COMPUTED_VALUE"""),"")</f>
        <v/>
      </c>
      <c r="O454" s="36" t="str">
        <f ca="1">IFERROR(__xludf.DUMMYFUNCTION("""COMPUTED_VALUE"""),"")</f>
        <v/>
      </c>
      <c r="P454" s="36" t="str">
        <f ca="1">IFERROR(__xludf.DUMMYFUNCTION("""COMPUTED_VALUE"""),"")</f>
        <v/>
      </c>
      <c r="Q454" s="36" t="str">
        <f ca="1">IFERROR(__xludf.DUMMYFUNCTION("""COMPUTED_VALUE"""),"")</f>
        <v/>
      </c>
      <c r="R454" s="36" t="str">
        <f ca="1">IFERROR(__xludf.DUMMYFUNCTION("""COMPUTED_VALUE"""),"")</f>
        <v/>
      </c>
      <c r="S454" s="36" t="str">
        <f ca="1">IFERROR(__xludf.DUMMYFUNCTION("""COMPUTED_VALUE"""),"")</f>
        <v/>
      </c>
      <c r="T454" s="36" t="str">
        <f ca="1">IFERROR(__xludf.DUMMYFUNCTION("""COMPUTED_VALUE"""),"")</f>
        <v/>
      </c>
      <c r="U454" s="36" t="str">
        <f ca="1">IFERROR(__xludf.DUMMYFUNCTION("""COMPUTED_VALUE"""),"")</f>
        <v/>
      </c>
      <c r="V454" s="36" t="str">
        <f ca="1">IFERROR(__xludf.DUMMYFUNCTION("""COMPUTED_VALUE"""),"")</f>
        <v/>
      </c>
      <c r="W454" s="36" t="str">
        <f ca="1">IFERROR(__xludf.DUMMYFUNCTION("""COMPUTED_VALUE"""),"")</f>
        <v/>
      </c>
      <c r="X454" s="36"/>
      <c r="Y454" s="36"/>
      <c r="Z454" s="36"/>
    </row>
    <row r="455" spans="1:26" ht="12.75" hidden="1">
      <c r="A455" s="36" t="str">
        <f ca="1">IFERROR(__xludf.DUMMYFUNCTION("""COMPUTED_VALUE"""),"")</f>
        <v/>
      </c>
      <c r="B455" s="36" t="str">
        <f ca="1">IFERROR(__xludf.DUMMYFUNCTION("""COMPUTED_VALUE"""),"")</f>
        <v/>
      </c>
      <c r="C455" s="36" t="str">
        <f ca="1">IFERROR(__xludf.DUMMYFUNCTION("""COMPUTED_VALUE"""),"")</f>
        <v/>
      </c>
      <c r="D455" s="36" t="str">
        <f ca="1">IFERROR(__xludf.DUMMYFUNCTION("""COMPUTED_VALUE"""),"")</f>
        <v/>
      </c>
      <c r="E455" s="36" t="str">
        <f ca="1">IFERROR(__xludf.DUMMYFUNCTION("""COMPUTED_VALUE"""),"")</f>
        <v/>
      </c>
      <c r="F455" s="36" t="str">
        <f ca="1">IFERROR(__xludf.DUMMYFUNCTION("""COMPUTED_VALUE"""),"")</f>
        <v/>
      </c>
      <c r="G455" s="36" t="str">
        <f ca="1">IFERROR(__xludf.DUMMYFUNCTION("""COMPUTED_VALUE"""),"")</f>
        <v/>
      </c>
      <c r="H455" s="36" t="str">
        <f ca="1">IFERROR(__xludf.DUMMYFUNCTION("""COMPUTED_VALUE"""),"")</f>
        <v/>
      </c>
      <c r="I455" s="36" t="str">
        <f ca="1">IFERROR(__xludf.DUMMYFUNCTION("""COMPUTED_VALUE"""),"")</f>
        <v/>
      </c>
      <c r="J455" s="36" t="str">
        <f ca="1">IFERROR(__xludf.DUMMYFUNCTION("""COMPUTED_VALUE"""),"")</f>
        <v/>
      </c>
      <c r="K455" s="36" t="str">
        <f ca="1">IFERROR(__xludf.DUMMYFUNCTION("""COMPUTED_VALUE"""),"")</f>
        <v/>
      </c>
      <c r="L455" s="36" t="str">
        <f ca="1">IFERROR(__xludf.DUMMYFUNCTION("""COMPUTED_VALUE"""),"")</f>
        <v/>
      </c>
      <c r="M455" s="36" t="str">
        <f ca="1">IFERROR(__xludf.DUMMYFUNCTION("""COMPUTED_VALUE"""),"")</f>
        <v/>
      </c>
      <c r="N455" s="36" t="str">
        <f ca="1">IFERROR(__xludf.DUMMYFUNCTION("""COMPUTED_VALUE"""),"")</f>
        <v/>
      </c>
      <c r="O455" s="36" t="str">
        <f ca="1">IFERROR(__xludf.DUMMYFUNCTION("""COMPUTED_VALUE"""),"")</f>
        <v/>
      </c>
      <c r="P455" s="36" t="str">
        <f ca="1">IFERROR(__xludf.DUMMYFUNCTION("""COMPUTED_VALUE"""),"")</f>
        <v/>
      </c>
      <c r="Q455" s="36" t="str">
        <f ca="1">IFERROR(__xludf.DUMMYFUNCTION("""COMPUTED_VALUE"""),"")</f>
        <v/>
      </c>
      <c r="R455" s="36" t="str">
        <f ca="1">IFERROR(__xludf.DUMMYFUNCTION("""COMPUTED_VALUE"""),"")</f>
        <v/>
      </c>
      <c r="S455" s="36" t="str">
        <f ca="1">IFERROR(__xludf.DUMMYFUNCTION("""COMPUTED_VALUE"""),"")</f>
        <v/>
      </c>
      <c r="T455" s="36" t="str">
        <f ca="1">IFERROR(__xludf.DUMMYFUNCTION("""COMPUTED_VALUE"""),"")</f>
        <v/>
      </c>
      <c r="U455" s="36" t="str">
        <f ca="1">IFERROR(__xludf.DUMMYFUNCTION("""COMPUTED_VALUE"""),"")</f>
        <v/>
      </c>
      <c r="V455" s="36" t="str">
        <f ca="1">IFERROR(__xludf.DUMMYFUNCTION("""COMPUTED_VALUE"""),"")</f>
        <v/>
      </c>
      <c r="W455" s="36" t="str">
        <f ca="1">IFERROR(__xludf.DUMMYFUNCTION("""COMPUTED_VALUE"""),"")</f>
        <v/>
      </c>
      <c r="X455" s="36"/>
      <c r="Y455" s="36"/>
      <c r="Z455" s="36"/>
    </row>
    <row r="456" spans="1:26" ht="12.75" hidden="1">
      <c r="A456" s="36" t="str">
        <f ca="1">IFERROR(__xludf.DUMMYFUNCTION("""COMPUTED_VALUE"""),"")</f>
        <v/>
      </c>
      <c r="B456" s="36" t="str">
        <f ca="1">IFERROR(__xludf.DUMMYFUNCTION("""COMPUTED_VALUE"""),"")</f>
        <v/>
      </c>
      <c r="C456" s="36" t="str">
        <f ca="1">IFERROR(__xludf.DUMMYFUNCTION("""COMPUTED_VALUE"""),"")</f>
        <v/>
      </c>
      <c r="D456" s="36" t="str">
        <f ca="1">IFERROR(__xludf.DUMMYFUNCTION("""COMPUTED_VALUE"""),"")</f>
        <v/>
      </c>
      <c r="E456" s="36" t="str">
        <f ca="1">IFERROR(__xludf.DUMMYFUNCTION("""COMPUTED_VALUE"""),"")</f>
        <v/>
      </c>
      <c r="F456" s="36" t="str">
        <f ca="1">IFERROR(__xludf.DUMMYFUNCTION("""COMPUTED_VALUE"""),"")</f>
        <v/>
      </c>
      <c r="G456" s="36" t="str">
        <f ca="1">IFERROR(__xludf.DUMMYFUNCTION("""COMPUTED_VALUE"""),"")</f>
        <v/>
      </c>
      <c r="H456" s="36" t="str">
        <f ca="1">IFERROR(__xludf.DUMMYFUNCTION("""COMPUTED_VALUE"""),"")</f>
        <v/>
      </c>
      <c r="I456" s="36" t="str">
        <f ca="1">IFERROR(__xludf.DUMMYFUNCTION("""COMPUTED_VALUE"""),"")</f>
        <v/>
      </c>
      <c r="J456" s="36" t="str">
        <f ca="1">IFERROR(__xludf.DUMMYFUNCTION("""COMPUTED_VALUE"""),"")</f>
        <v/>
      </c>
      <c r="K456" s="36" t="str">
        <f ca="1">IFERROR(__xludf.DUMMYFUNCTION("""COMPUTED_VALUE"""),"")</f>
        <v/>
      </c>
      <c r="L456" s="36" t="str">
        <f ca="1">IFERROR(__xludf.DUMMYFUNCTION("""COMPUTED_VALUE"""),"")</f>
        <v/>
      </c>
      <c r="M456" s="36" t="str">
        <f ca="1">IFERROR(__xludf.DUMMYFUNCTION("""COMPUTED_VALUE"""),"")</f>
        <v/>
      </c>
      <c r="N456" s="36" t="str">
        <f ca="1">IFERROR(__xludf.DUMMYFUNCTION("""COMPUTED_VALUE"""),"")</f>
        <v/>
      </c>
      <c r="O456" s="36" t="str">
        <f ca="1">IFERROR(__xludf.DUMMYFUNCTION("""COMPUTED_VALUE"""),"")</f>
        <v/>
      </c>
      <c r="P456" s="36" t="str">
        <f ca="1">IFERROR(__xludf.DUMMYFUNCTION("""COMPUTED_VALUE"""),"")</f>
        <v/>
      </c>
      <c r="Q456" s="36" t="str">
        <f ca="1">IFERROR(__xludf.DUMMYFUNCTION("""COMPUTED_VALUE"""),"")</f>
        <v/>
      </c>
      <c r="R456" s="36" t="str">
        <f ca="1">IFERROR(__xludf.DUMMYFUNCTION("""COMPUTED_VALUE"""),"")</f>
        <v/>
      </c>
      <c r="S456" s="36" t="str">
        <f ca="1">IFERROR(__xludf.DUMMYFUNCTION("""COMPUTED_VALUE"""),"")</f>
        <v/>
      </c>
      <c r="T456" s="36" t="str">
        <f ca="1">IFERROR(__xludf.DUMMYFUNCTION("""COMPUTED_VALUE"""),"")</f>
        <v/>
      </c>
      <c r="U456" s="36" t="str">
        <f ca="1">IFERROR(__xludf.DUMMYFUNCTION("""COMPUTED_VALUE"""),"")</f>
        <v/>
      </c>
      <c r="V456" s="36" t="str">
        <f ca="1">IFERROR(__xludf.DUMMYFUNCTION("""COMPUTED_VALUE"""),"")</f>
        <v/>
      </c>
      <c r="W456" s="36" t="str">
        <f ca="1">IFERROR(__xludf.DUMMYFUNCTION("""COMPUTED_VALUE"""),"")</f>
        <v/>
      </c>
      <c r="X456" s="36"/>
      <c r="Y456" s="36"/>
      <c r="Z456" s="36"/>
    </row>
    <row r="457" spans="1:26" ht="12.75" hidden="1">
      <c r="A457" s="36" t="str">
        <f ca="1">IFERROR(__xludf.DUMMYFUNCTION("""COMPUTED_VALUE"""),"")</f>
        <v/>
      </c>
      <c r="B457" s="36" t="str">
        <f ca="1">IFERROR(__xludf.DUMMYFUNCTION("""COMPUTED_VALUE"""),"")</f>
        <v/>
      </c>
      <c r="C457" s="36" t="str">
        <f ca="1">IFERROR(__xludf.DUMMYFUNCTION("""COMPUTED_VALUE"""),"")</f>
        <v/>
      </c>
      <c r="D457" s="36" t="str">
        <f ca="1">IFERROR(__xludf.DUMMYFUNCTION("""COMPUTED_VALUE"""),"")</f>
        <v/>
      </c>
      <c r="E457" s="36" t="str">
        <f ca="1">IFERROR(__xludf.DUMMYFUNCTION("""COMPUTED_VALUE"""),"")</f>
        <v/>
      </c>
      <c r="F457" s="36" t="str">
        <f ca="1">IFERROR(__xludf.DUMMYFUNCTION("""COMPUTED_VALUE"""),"")</f>
        <v/>
      </c>
      <c r="G457" s="36" t="str">
        <f ca="1">IFERROR(__xludf.DUMMYFUNCTION("""COMPUTED_VALUE"""),"")</f>
        <v/>
      </c>
      <c r="H457" s="36" t="str">
        <f ca="1">IFERROR(__xludf.DUMMYFUNCTION("""COMPUTED_VALUE"""),"")</f>
        <v/>
      </c>
      <c r="I457" s="36" t="str">
        <f ca="1">IFERROR(__xludf.DUMMYFUNCTION("""COMPUTED_VALUE"""),"")</f>
        <v/>
      </c>
      <c r="J457" s="36" t="str">
        <f ca="1">IFERROR(__xludf.DUMMYFUNCTION("""COMPUTED_VALUE"""),"")</f>
        <v/>
      </c>
      <c r="K457" s="36" t="str">
        <f ca="1">IFERROR(__xludf.DUMMYFUNCTION("""COMPUTED_VALUE"""),"")</f>
        <v/>
      </c>
      <c r="L457" s="36" t="str">
        <f ca="1">IFERROR(__xludf.DUMMYFUNCTION("""COMPUTED_VALUE"""),"")</f>
        <v/>
      </c>
      <c r="M457" s="36" t="str">
        <f ca="1">IFERROR(__xludf.DUMMYFUNCTION("""COMPUTED_VALUE"""),"")</f>
        <v/>
      </c>
      <c r="N457" s="36" t="str">
        <f ca="1">IFERROR(__xludf.DUMMYFUNCTION("""COMPUTED_VALUE"""),"")</f>
        <v/>
      </c>
      <c r="O457" s="36" t="str">
        <f ca="1">IFERROR(__xludf.DUMMYFUNCTION("""COMPUTED_VALUE"""),"")</f>
        <v/>
      </c>
      <c r="P457" s="36" t="str">
        <f ca="1">IFERROR(__xludf.DUMMYFUNCTION("""COMPUTED_VALUE"""),"")</f>
        <v/>
      </c>
      <c r="Q457" s="36" t="str">
        <f ca="1">IFERROR(__xludf.DUMMYFUNCTION("""COMPUTED_VALUE"""),"")</f>
        <v/>
      </c>
      <c r="R457" s="36" t="str">
        <f ca="1">IFERROR(__xludf.DUMMYFUNCTION("""COMPUTED_VALUE"""),"")</f>
        <v/>
      </c>
      <c r="S457" s="36" t="str">
        <f ca="1">IFERROR(__xludf.DUMMYFUNCTION("""COMPUTED_VALUE"""),"")</f>
        <v/>
      </c>
      <c r="T457" s="36" t="str">
        <f ca="1">IFERROR(__xludf.DUMMYFUNCTION("""COMPUTED_VALUE"""),"")</f>
        <v/>
      </c>
      <c r="U457" s="36" t="str">
        <f ca="1">IFERROR(__xludf.DUMMYFUNCTION("""COMPUTED_VALUE"""),"")</f>
        <v/>
      </c>
      <c r="V457" s="36" t="str">
        <f ca="1">IFERROR(__xludf.DUMMYFUNCTION("""COMPUTED_VALUE"""),"")</f>
        <v/>
      </c>
      <c r="W457" s="36" t="str">
        <f ca="1">IFERROR(__xludf.DUMMYFUNCTION("""COMPUTED_VALUE"""),"")</f>
        <v/>
      </c>
      <c r="X457" s="36"/>
      <c r="Y457" s="36"/>
      <c r="Z457" s="36"/>
    </row>
    <row r="458" spans="1:26" ht="12.75" hidden="1">
      <c r="A458" s="36" t="str">
        <f ca="1">IFERROR(__xludf.DUMMYFUNCTION("""COMPUTED_VALUE"""),"")</f>
        <v/>
      </c>
      <c r="B458" s="36" t="str">
        <f ca="1">IFERROR(__xludf.DUMMYFUNCTION("""COMPUTED_VALUE"""),"")</f>
        <v/>
      </c>
      <c r="C458" s="36" t="str">
        <f ca="1">IFERROR(__xludf.DUMMYFUNCTION("""COMPUTED_VALUE"""),"")</f>
        <v/>
      </c>
      <c r="D458" s="36" t="str">
        <f ca="1">IFERROR(__xludf.DUMMYFUNCTION("""COMPUTED_VALUE"""),"")</f>
        <v/>
      </c>
      <c r="E458" s="36" t="str">
        <f ca="1">IFERROR(__xludf.DUMMYFUNCTION("""COMPUTED_VALUE"""),"")</f>
        <v/>
      </c>
      <c r="F458" s="36" t="str">
        <f ca="1">IFERROR(__xludf.DUMMYFUNCTION("""COMPUTED_VALUE"""),"")</f>
        <v/>
      </c>
      <c r="G458" s="36" t="str">
        <f ca="1">IFERROR(__xludf.DUMMYFUNCTION("""COMPUTED_VALUE"""),"")</f>
        <v/>
      </c>
      <c r="H458" s="36" t="str">
        <f ca="1">IFERROR(__xludf.DUMMYFUNCTION("""COMPUTED_VALUE"""),"")</f>
        <v/>
      </c>
      <c r="I458" s="36" t="str">
        <f ca="1">IFERROR(__xludf.DUMMYFUNCTION("""COMPUTED_VALUE"""),"")</f>
        <v/>
      </c>
      <c r="J458" s="36" t="str">
        <f ca="1">IFERROR(__xludf.DUMMYFUNCTION("""COMPUTED_VALUE"""),"")</f>
        <v/>
      </c>
      <c r="K458" s="36" t="str">
        <f ca="1">IFERROR(__xludf.DUMMYFUNCTION("""COMPUTED_VALUE"""),"")</f>
        <v/>
      </c>
      <c r="L458" s="36" t="str">
        <f ca="1">IFERROR(__xludf.DUMMYFUNCTION("""COMPUTED_VALUE"""),"")</f>
        <v/>
      </c>
      <c r="M458" s="36" t="str">
        <f ca="1">IFERROR(__xludf.DUMMYFUNCTION("""COMPUTED_VALUE"""),"")</f>
        <v/>
      </c>
      <c r="N458" s="36" t="str">
        <f ca="1">IFERROR(__xludf.DUMMYFUNCTION("""COMPUTED_VALUE"""),"")</f>
        <v/>
      </c>
      <c r="O458" s="36" t="str">
        <f ca="1">IFERROR(__xludf.DUMMYFUNCTION("""COMPUTED_VALUE"""),"")</f>
        <v/>
      </c>
      <c r="P458" s="36" t="str">
        <f ca="1">IFERROR(__xludf.DUMMYFUNCTION("""COMPUTED_VALUE"""),"")</f>
        <v/>
      </c>
      <c r="Q458" s="36" t="str">
        <f ca="1">IFERROR(__xludf.DUMMYFUNCTION("""COMPUTED_VALUE"""),"")</f>
        <v/>
      </c>
      <c r="R458" s="36" t="str">
        <f ca="1">IFERROR(__xludf.DUMMYFUNCTION("""COMPUTED_VALUE"""),"")</f>
        <v/>
      </c>
      <c r="S458" s="36" t="str">
        <f ca="1">IFERROR(__xludf.DUMMYFUNCTION("""COMPUTED_VALUE"""),"")</f>
        <v/>
      </c>
      <c r="T458" s="36" t="str">
        <f ca="1">IFERROR(__xludf.DUMMYFUNCTION("""COMPUTED_VALUE"""),"")</f>
        <v/>
      </c>
      <c r="U458" s="36" t="str">
        <f ca="1">IFERROR(__xludf.DUMMYFUNCTION("""COMPUTED_VALUE"""),"")</f>
        <v/>
      </c>
      <c r="V458" s="36" t="str">
        <f ca="1">IFERROR(__xludf.DUMMYFUNCTION("""COMPUTED_VALUE"""),"")</f>
        <v/>
      </c>
      <c r="W458" s="36" t="str">
        <f ca="1">IFERROR(__xludf.DUMMYFUNCTION("""COMPUTED_VALUE"""),"")</f>
        <v/>
      </c>
      <c r="X458" s="36"/>
      <c r="Y458" s="36"/>
      <c r="Z458" s="36"/>
    </row>
    <row r="459" spans="1:26" ht="12.75" hidden="1">
      <c r="A459" s="36" t="str">
        <f ca="1">IFERROR(__xludf.DUMMYFUNCTION("""COMPUTED_VALUE"""),"")</f>
        <v/>
      </c>
      <c r="B459" s="36" t="str">
        <f ca="1">IFERROR(__xludf.DUMMYFUNCTION("""COMPUTED_VALUE"""),"")</f>
        <v/>
      </c>
      <c r="C459" s="36" t="str">
        <f ca="1">IFERROR(__xludf.DUMMYFUNCTION("""COMPUTED_VALUE"""),"")</f>
        <v/>
      </c>
      <c r="D459" s="36" t="str">
        <f ca="1">IFERROR(__xludf.DUMMYFUNCTION("""COMPUTED_VALUE"""),"")</f>
        <v/>
      </c>
      <c r="E459" s="36" t="str">
        <f ca="1">IFERROR(__xludf.DUMMYFUNCTION("""COMPUTED_VALUE"""),"")</f>
        <v/>
      </c>
      <c r="F459" s="36" t="str">
        <f ca="1">IFERROR(__xludf.DUMMYFUNCTION("""COMPUTED_VALUE"""),"")</f>
        <v/>
      </c>
      <c r="G459" s="36" t="str">
        <f ca="1">IFERROR(__xludf.DUMMYFUNCTION("""COMPUTED_VALUE"""),"")</f>
        <v/>
      </c>
      <c r="H459" s="36" t="str">
        <f ca="1">IFERROR(__xludf.DUMMYFUNCTION("""COMPUTED_VALUE"""),"")</f>
        <v/>
      </c>
      <c r="I459" s="36" t="str">
        <f ca="1">IFERROR(__xludf.DUMMYFUNCTION("""COMPUTED_VALUE"""),"")</f>
        <v/>
      </c>
      <c r="J459" s="36" t="str">
        <f ca="1">IFERROR(__xludf.DUMMYFUNCTION("""COMPUTED_VALUE"""),"")</f>
        <v/>
      </c>
      <c r="K459" s="36" t="str">
        <f ca="1">IFERROR(__xludf.DUMMYFUNCTION("""COMPUTED_VALUE"""),"")</f>
        <v/>
      </c>
      <c r="L459" s="36" t="str">
        <f ca="1">IFERROR(__xludf.DUMMYFUNCTION("""COMPUTED_VALUE"""),"")</f>
        <v/>
      </c>
      <c r="M459" s="36" t="str">
        <f ca="1">IFERROR(__xludf.DUMMYFUNCTION("""COMPUTED_VALUE"""),"")</f>
        <v/>
      </c>
      <c r="N459" s="36" t="str">
        <f ca="1">IFERROR(__xludf.DUMMYFUNCTION("""COMPUTED_VALUE"""),"")</f>
        <v/>
      </c>
      <c r="O459" s="36" t="str">
        <f ca="1">IFERROR(__xludf.DUMMYFUNCTION("""COMPUTED_VALUE"""),"")</f>
        <v/>
      </c>
      <c r="P459" s="36" t="str">
        <f ca="1">IFERROR(__xludf.DUMMYFUNCTION("""COMPUTED_VALUE"""),"")</f>
        <v/>
      </c>
      <c r="Q459" s="36" t="str">
        <f ca="1">IFERROR(__xludf.DUMMYFUNCTION("""COMPUTED_VALUE"""),"")</f>
        <v/>
      </c>
      <c r="R459" s="36" t="str">
        <f ca="1">IFERROR(__xludf.DUMMYFUNCTION("""COMPUTED_VALUE"""),"")</f>
        <v/>
      </c>
      <c r="S459" s="36" t="str">
        <f ca="1">IFERROR(__xludf.DUMMYFUNCTION("""COMPUTED_VALUE"""),"")</f>
        <v/>
      </c>
      <c r="T459" s="36" t="str">
        <f ca="1">IFERROR(__xludf.DUMMYFUNCTION("""COMPUTED_VALUE"""),"")</f>
        <v/>
      </c>
      <c r="U459" s="36" t="str">
        <f ca="1">IFERROR(__xludf.DUMMYFUNCTION("""COMPUTED_VALUE"""),"")</f>
        <v/>
      </c>
      <c r="V459" s="36" t="str">
        <f ca="1">IFERROR(__xludf.DUMMYFUNCTION("""COMPUTED_VALUE"""),"")</f>
        <v/>
      </c>
      <c r="W459" s="36" t="str">
        <f ca="1">IFERROR(__xludf.DUMMYFUNCTION("""COMPUTED_VALUE"""),"")</f>
        <v/>
      </c>
      <c r="X459" s="36"/>
      <c r="Y459" s="36"/>
      <c r="Z459" s="36"/>
    </row>
    <row r="460" spans="1:26" ht="12.75" hidden="1">
      <c r="A460" s="36" t="str">
        <f ca="1">IFERROR(__xludf.DUMMYFUNCTION("""COMPUTED_VALUE"""),"")</f>
        <v/>
      </c>
      <c r="B460" s="36" t="str">
        <f ca="1">IFERROR(__xludf.DUMMYFUNCTION("""COMPUTED_VALUE"""),"")</f>
        <v/>
      </c>
      <c r="C460" s="36" t="str">
        <f ca="1">IFERROR(__xludf.DUMMYFUNCTION("""COMPUTED_VALUE"""),"")</f>
        <v/>
      </c>
      <c r="D460" s="36" t="str">
        <f ca="1">IFERROR(__xludf.DUMMYFUNCTION("""COMPUTED_VALUE"""),"")</f>
        <v/>
      </c>
      <c r="E460" s="36" t="str">
        <f ca="1">IFERROR(__xludf.DUMMYFUNCTION("""COMPUTED_VALUE"""),"")</f>
        <v/>
      </c>
      <c r="F460" s="36" t="str">
        <f ca="1">IFERROR(__xludf.DUMMYFUNCTION("""COMPUTED_VALUE"""),"")</f>
        <v/>
      </c>
      <c r="G460" s="36" t="str">
        <f ca="1">IFERROR(__xludf.DUMMYFUNCTION("""COMPUTED_VALUE"""),"")</f>
        <v/>
      </c>
      <c r="H460" s="36" t="str">
        <f ca="1">IFERROR(__xludf.DUMMYFUNCTION("""COMPUTED_VALUE"""),"")</f>
        <v/>
      </c>
      <c r="I460" s="36" t="str">
        <f ca="1">IFERROR(__xludf.DUMMYFUNCTION("""COMPUTED_VALUE"""),"")</f>
        <v/>
      </c>
      <c r="J460" s="36" t="str">
        <f ca="1">IFERROR(__xludf.DUMMYFUNCTION("""COMPUTED_VALUE"""),"")</f>
        <v/>
      </c>
      <c r="K460" s="36" t="str">
        <f ca="1">IFERROR(__xludf.DUMMYFUNCTION("""COMPUTED_VALUE"""),"")</f>
        <v/>
      </c>
      <c r="L460" s="36" t="str">
        <f ca="1">IFERROR(__xludf.DUMMYFUNCTION("""COMPUTED_VALUE"""),"")</f>
        <v/>
      </c>
      <c r="M460" s="36" t="str">
        <f ca="1">IFERROR(__xludf.DUMMYFUNCTION("""COMPUTED_VALUE"""),"")</f>
        <v/>
      </c>
      <c r="N460" s="36" t="str">
        <f ca="1">IFERROR(__xludf.DUMMYFUNCTION("""COMPUTED_VALUE"""),"")</f>
        <v/>
      </c>
      <c r="O460" s="36" t="str">
        <f ca="1">IFERROR(__xludf.DUMMYFUNCTION("""COMPUTED_VALUE"""),"")</f>
        <v/>
      </c>
      <c r="P460" s="36" t="str">
        <f ca="1">IFERROR(__xludf.DUMMYFUNCTION("""COMPUTED_VALUE"""),"")</f>
        <v/>
      </c>
      <c r="Q460" s="36" t="str">
        <f ca="1">IFERROR(__xludf.DUMMYFUNCTION("""COMPUTED_VALUE"""),"")</f>
        <v/>
      </c>
      <c r="R460" s="36" t="str">
        <f ca="1">IFERROR(__xludf.DUMMYFUNCTION("""COMPUTED_VALUE"""),"")</f>
        <v/>
      </c>
      <c r="S460" s="36" t="str">
        <f ca="1">IFERROR(__xludf.DUMMYFUNCTION("""COMPUTED_VALUE"""),"")</f>
        <v/>
      </c>
      <c r="T460" s="36" t="str">
        <f ca="1">IFERROR(__xludf.DUMMYFUNCTION("""COMPUTED_VALUE"""),"")</f>
        <v/>
      </c>
      <c r="U460" s="36" t="str">
        <f ca="1">IFERROR(__xludf.DUMMYFUNCTION("""COMPUTED_VALUE"""),"")</f>
        <v/>
      </c>
      <c r="V460" s="36" t="str">
        <f ca="1">IFERROR(__xludf.DUMMYFUNCTION("""COMPUTED_VALUE"""),"")</f>
        <v/>
      </c>
      <c r="W460" s="36" t="str">
        <f ca="1">IFERROR(__xludf.DUMMYFUNCTION("""COMPUTED_VALUE"""),"")</f>
        <v/>
      </c>
      <c r="X460" s="36"/>
      <c r="Y460" s="36"/>
      <c r="Z460" s="36"/>
    </row>
    <row r="461" spans="1:26" ht="12.75" hidden="1">
      <c r="A461" s="36" t="str">
        <f ca="1">IFERROR(__xludf.DUMMYFUNCTION("""COMPUTED_VALUE"""),"")</f>
        <v/>
      </c>
      <c r="B461" s="36" t="str">
        <f ca="1">IFERROR(__xludf.DUMMYFUNCTION("""COMPUTED_VALUE"""),"")</f>
        <v/>
      </c>
      <c r="C461" s="36" t="str">
        <f ca="1">IFERROR(__xludf.DUMMYFUNCTION("""COMPUTED_VALUE"""),"")</f>
        <v/>
      </c>
      <c r="D461" s="36" t="str">
        <f ca="1">IFERROR(__xludf.DUMMYFUNCTION("""COMPUTED_VALUE"""),"")</f>
        <v/>
      </c>
      <c r="E461" s="36" t="str">
        <f ca="1">IFERROR(__xludf.DUMMYFUNCTION("""COMPUTED_VALUE"""),"")</f>
        <v/>
      </c>
      <c r="F461" s="36" t="str">
        <f ca="1">IFERROR(__xludf.DUMMYFUNCTION("""COMPUTED_VALUE"""),"")</f>
        <v/>
      </c>
      <c r="G461" s="36" t="str">
        <f ca="1">IFERROR(__xludf.DUMMYFUNCTION("""COMPUTED_VALUE"""),"")</f>
        <v/>
      </c>
      <c r="H461" s="36" t="str">
        <f ca="1">IFERROR(__xludf.DUMMYFUNCTION("""COMPUTED_VALUE"""),"")</f>
        <v/>
      </c>
      <c r="I461" s="36" t="str">
        <f ca="1">IFERROR(__xludf.DUMMYFUNCTION("""COMPUTED_VALUE"""),"")</f>
        <v/>
      </c>
      <c r="J461" s="36" t="str">
        <f ca="1">IFERROR(__xludf.DUMMYFUNCTION("""COMPUTED_VALUE"""),"")</f>
        <v/>
      </c>
      <c r="K461" s="36" t="str">
        <f ca="1">IFERROR(__xludf.DUMMYFUNCTION("""COMPUTED_VALUE"""),"")</f>
        <v/>
      </c>
      <c r="L461" s="36" t="str">
        <f ca="1">IFERROR(__xludf.DUMMYFUNCTION("""COMPUTED_VALUE"""),"")</f>
        <v/>
      </c>
      <c r="M461" s="36" t="str">
        <f ca="1">IFERROR(__xludf.DUMMYFUNCTION("""COMPUTED_VALUE"""),"")</f>
        <v/>
      </c>
      <c r="N461" s="36" t="str">
        <f ca="1">IFERROR(__xludf.DUMMYFUNCTION("""COMPUTED_VALUE"""),"")</f>
        <v/>
      </c>
      <c r="O461" s="36" t="str">
        <f ca="1">IFERROR(__xludf.DUMMYFUNCTION("""COMPUTED_VALUE"""),"")</f>
        <v/>
      </c>
      <c r="P461" s="36" t="str">
        <f ca="1">IFERROR(__xludf.DUMMYFUNCTION("""COMPUTED_VALUE"""),"")</f>
        <v/>
      </c>
      <c r="Q461" s="36" t="str">
        <f ca="1">IFERROR(__xludf.DUMMYFUNCTION("""COMPUTED_VALUE"""),"")</f>
        <v/>
      </c>
      <c r="R461" s="36" t="str">
        <f ca="1">IFERROR(__xludf.DUMMYFUNCTION("""COMPUTED_VALUE"""),"")</f>
        <v/>
      </c>
      <c r="S461" s="36" t="str">
        <f ca="1">IFERROR(__xludf.DUMMYFUNCTION("""COMPUTED_VALUE"""),"")</f>
        <v/>
      </c>
      <c r="T461" s="36" t="str">
        <f ca="1">IFERROR(__xludf.DUMMYFUNCTION("""COMPUTED_VALUE"""),"")</f>
        <v/>
      </c>
      <c r="U461" s="36" t="str">
        <f ca="1">IFERROR(__xludf.DUMMYFUNCTION("""COMPUTED_VALUE"""),"")</f>
        <v/>
      </c>
      <c r="V461" s="36" t="str">
        <f ca="1">IFERROR(__xludf.DUMMYFUNCTION("""COMPUTED_VALUE"""),"")</f>
        <v/>
      </c>
      <c r="W461" s="36" t="str">
        <f ca="1">IFERROR(__xludf.DUMMYFUNCTION("""COMPUTED_VALUE"""),"")</f>
        <v/>
      </c>
      <c r="X461" s="36"/>
      <c r="Y461" s="36"/>
      <c r="Z461" s="36"/>
    </row>
    <row r="462" spans="1:26" ht="12.75" hidden="1">
      <c r="A462" s="36" t="str">
        <f ca="1">IFERROR(__xludf.DUMMYFUNCTION("""COMPUTED_VALUE"""),"")</f>
        <v/>
      </c>
      <c r="B462" s="36" t="str">
        <f ca="1">IFERROR(__xludf.DUMMYFUNCTION("""COMPUTED_VALUE"""),"")</f>
        <v/>
      </c>
      <c r="C462" s="36" t="str">
        <f ca="1">IFERROR(__xludf.DUMMYFUNCTION("""COMPUTED_VALUE"""),"")</f>
        <v/>
      </c>
      <c r="D462" s="36" t="str">
        <f ca="1">IFERROR(__xludf.DUMMYFUNCTION("""COMPUTED_VALUE"""),"")</f>
        <v/>
      </c>
      <c r="E462" s="36" t="str">
        <f ca="1">IFERROR(__xludf.DUMMYFUNCTION("""COMPUTED_VALUE"""),"")</f>
        <v/>
      </c>
      <c r="F462" s="36" t="str">
        <f ca="1">IFERROR(__xludf.DUMMYFUNCTION("""COMPUTED_VALUE"""),"")</f>
        <v/>
      </c>
      <c r="G462" s="36" t="str">
        <f ca="1">IFERROR(__xludf.DUMMYFUNCTION("""COMPUTED_VALUE"""),"")</f>
        <v/>
      </c>
      <c r="H462" s="36" t="str">
        <f ca="1">IFERROR(__xludf.DUMMYFUNCTION("""COMPUTED_VALUE"""),"")</f>
        <v/>
      </c>
      <c r="I462" s="36" t="str">
        <f ca="1">IFERROR(__xludf.DUMMYFUNCTION("""COMPUTED_VALUE"""),"")</f>
        <v/>
      </c>
      <c r="J462" s="36" t="str">
        <f ca="1">IFERROR(__xludf.DUMMYFUNCTION("""COMPUTED_VALUE"""),"")</f>
        <v/>
      </c>
      <c r="K462" s="36" t="str">
        <f ca="1">IFERROR(__xludf.DUMMYFUNCTION("""COMPUTED_VALUE"""),"")</f>
        <v/>
      </c>
      <c r="L462" s="36" t="str">
        <f ca="1">IFERROR(__xludf.DUMMYFUNCTION("""COMPUTED_VALUE"""),"")</f>
        <v/>
      </c>
      <c r="M462" s="36" t="str">
        <f ca="1">IFERROR(__xludf.DUMMYFUNCTION("""COMPUTED_VALUE"""),"")</f>
        <v/>
      </c>
      <c r="N462" s="36" t="str">
        <f ca="1">IFERROR(__xludf.DUMMYFUNCTION("""COMPUTED_VALUE"""),"")</f>
        <v/>
      </c>
      <c r="O462" s="36" t="str">
        <f ca="1">IFERROR(__xludf.DUMMYFUNCTION("""COMPUTED_VALUE"""),"")</f>
        <v/>
      </c>
      <c r="P462" s="36" t="str">
        <f ca="1">IFERROR(__xludf.DUMMYFUNCTION("""COMPUTED_VALUE"""),"")</f>
        <v/>
      </c>
      <c r="Q462" s="36" t="str">
        <f ca="1">IFERROR(__xludf.DUMMYFUNCTION("""COMPUTED_VALUE"""),"")</f>
        <v/>
      </c>
      <c r="R462" s="36" t="str">
        <f ca="1">IFERROR(__xludf.DUMMYFUNCTION("""COMPUTED_VALUE"""),"")</f>
        <v/>
      </c>
      <c r="S462" s="36" t="str">
        <f ca="1">IFERROR(__xludf.DUMMYFUNCTION("""COMPUTED_VALUE"""),"")</f>
        <v/>
      </c>
      <c r="T462" s="36" t="str">
        <f ca="1">IFERROR(__xludf.DUMMYFUNCTION("""COMPUTED_VALUE"""),"")</f>
        <v/>
      </c>
      <c r="U462" s="36" t="str">
        <f ca="1">IFERROR(__xludf.DUMMYFUNCTION("""COMPUTED_VALUE"""),"")</f>
        <v/>
      </c>
      <c r="V462" s="36" t="str">
        <f ca="1">IFERROR(__xludf.DUMMYFUNCTION("""COMPUTED_VALUE"""),"")</f>
        <v/>
      </c>
      <c r="W462" s="36" t="str">
        <f ca="1">IFERROR(__xludf.DUMMYFUNCTION("""COMPUTED_VALUE"""),"")</f>
        <v/>
      </c>
      <c r="X462" s="36"/>
      <c r="Y462" s="36"/>
      <c r="Z462" s="36"/>
    </row>
    <row r="463" spans="1:26" ht="12.75" hidden="1">
      <c r="A463" s="36" t="str">
        <f ca="1">IFERROR(__xludf.DUMMYFUNCTION("""COMPUTED_VALUE"""),"")</f>
        <v/>
      </c>
      <c r="B463" s="36" t="str">
        <f ca="1">IFERROR(__xludf.DUMMYFUNCTION("""COMPUTED_VALUE"""),"")</f>
        <v/>
      </c>
      <c r="C463" s="36" t="str">
        <f ca="1">IFERROR(__xludf.DUMMYFUNCTION("""COMPUTED_VALUE"""),"")</f>
        <v/>
      </c>
      <c r="D463" s="36" t="str">
        <f ca="1">IFERROR(__xludf.DUMMYFUNCTION("""COMPUTED_VALUE"""),"")</f>
        <v/>
      </c>
      <c r="E463" s="36" t="str">
        <f ca="1">IFERROR(__xludf.DUMMYFUNCTION("""COMPUTED_VALUE"""),"")</f>
        <v/>
      </c>
      <c r="F463" s="36" t="str">
        <f ca="1">IFERROR(__xludf.DUMMYFUNCTION("""COMPUTED_VALUE"""),"")</f>
        <v/>
      </c>
      <c r="G463" s="36" t="str">
        <f ca="1">IFERROR(__xludf.DUMMYFUNCTION("""COMPUTED_VALUE"""),"")</f>
        <v/>
      </c>
      <c r="H463" s="36" t="str">
        <f ca="1">IFERROR(__xludf.DUMMYFUNCTION("""COMPUTED_VALUE"""),"")</f>
        <v/>
      </c>
      <c r="I463" s="36" t="str">
        <f ca="1">IFERROR(__xludf.DUMMYFUNCTION("""COMPUTED_VALUE"""),"")</f>
        <v/>
      </c>
      <c r="J463" s="36" t="str">
        <f ca="1">IFERROR(__xludf.DUMMYFUNCTION("""COMPUTED_VALUE"""),"")</f>
        <v/>
      </c>
      <c r="K463" s="36" t="str">
        <f ca="1">IFERROR(__xludf.DUMMYFUNCTION("""COMPUTED_VALUE"""),"")</f>
        <v/>
      </c>
      <c r="L463" s="36" t="str">
        <f ca="1">IFERROR(__xludf.DUMMYFUNCTION("""COMPUTED_VALUE"""),"")</f>
        <v/>
      </c>
      <c r="M463" s="36" t="str">
        <f ca="1">IFERROR(__xludf.DUMMYFUNCTION("""COMPUTED_VALUE"""),"")</f>
        <v/>
      </c>
      <c r="N463" s="36" t="str">
        <f ca="1">IFERROR(__xludf.DUMMYFUNCTION("""COMPUTED_VALUE"""),"")</f>
        <v/>
      </c>
      <c r="O463" s="36" t="str">
        <f ca="1">IFERROR(__xludf.DUMMYFUNCTION("""COMPUTED_VALUE"""),"")</f>
        <v/>
      </c>
      <c r="P463" s="36" t="str">
        <f ca="1">IFERROR(__xludf.DUMMYFUNCTION("""COMPUTED_VALUE"""),"")</f>
        <v/>
      </c>
      <c r="Q463" s="36" t="str">
        <f ca="1">IFERROR(__xludf.DUMMYFUNCTION("""COMPUTED_VALUE"""),"")</f>
        <v/>
      </c>
      <c r="R463" s="36" t="str">
        <f ca="1">IFERROR(__xludf.DUMMYFUNCTION("""COMPUTED_VALUE"""),"")</f>
        <v/>
      </c>
      <c r="S463" s="36" t="str">
        <f ca="1">IFERROR(__xludf.DUMMYFUNCTION("""COMPUTED_VALUE"""),"")</f>
        <v/>
      </c>
      <c r="T463" s="36" t="str">
        <f ca="1">IFERROR(__xludf.DUMMYFUNCTION("""COMPUTED_VALUE"""),"")</f>
        <v/>
      </c>
      <c r="U463" s="36" t="str">
        <f ca="1">IFERROR(__xludf.DUMMYFUNCTION("""COMPUTED_VALUE"""),"")</f>
        <v/>
      </c>
      <c r="V463" s="36" t="str">
        <f ca="1">IFERROR(__xludf.DUMMYFUNCTION("""COMPUTED_VALUE"""),"")</f>
        <v/>
      </c>
      <c r="W463" s="36" t="str">
        <f ca="1">IFERROR(__xludf.DUMMYFUNCTION("""COMPUTED_VALUE"""),"")</f>
        <v/>
      </c>
      <c r="X463" s="36"/>
      <c r="Y463" s="36"/>
      <c r="Z463" s="36"/>
    </row>
    <row r="464" spans="1:26" ht="12.75" hidden="1">
      <c r="A464" s="36" t="str">
        <f ca="1">IFERROR(__xludf.DUMMYFUNCTION("""COMPUTED_VALUE"""),"")</f>
        <v/>
      </c>
      <c r="B464" s="36" t="str">
        <f ca="1">IFERROR(__xludf.DUMMYFUNCTION("""COMPUTED_VALUE"""),"")</f>
        <v/>
      </c>
      <c r="C464" s="36" t="str">
        <f ca="1">IFERROR(__xludf.DUMMYFUNCTION("""COMPUTED_VALUE"""),"")</f>
        <v/>
      </c>
      <c r="D464" s="36" t="str">
        <f ca="1">IFERROR(__xludf.DUMMYFUNCTION("""COMPUTED_VALUE"""),"")</f>
        <v/>
      </c>
      <c r="E464" s="36" t="str">
        <f ca="1">IFERROR(__xludf.DUMMYFUNCTION("""COMPUTED_VALUE"""),"")</f>
        <v/>
      </c>
      <c r="F464" s="36" t="str">
        <f ca="1">IFERROR(__xludf.DUMMYFUNCTION("""COMPUTED_VALUE"""),"")</f>
        <v/>
      </c>
      <c r="G464" s="36" t="str">
        <f ca="1">IFERROR(__xludf.DUMMYFUNCTION("""COMPUTED_VALUE"""),"")</f>
        <v/>
      </c>
      <c r="H464" s="36" t="str">
        <f ca="1">IFERROR(__xludf.DUMMYFUNCTION("""COMPUTED_VALUE"""),"")</f>
        <v/>
      </c>
      <c r="I464" s="36" t="str">
        <f ca="1">IFERROR(__xludf.DUMMYFUNCTION("""COMPUTED_VALUE"""),"")</f>
        <v/>
      </c>
      <c r="J464" s="36" t="str">
        <f ca="1">IFERROR(__xludf.DUMMYFUNCTION("""COMPUTED_VALUE"""),"")</f>
        <v/>
      </c>
      <c r="K464" s="36" t="str">
        <f ca="1">IFERROR(__xludf.DUMMYFUNCTION("""COMPUTED_VALUE"""),"")</f>
        <v/>
      </c>
      <c r="L464" s="36" t="str">
        <f ca="1">IFERROR(__xludf.DUMMYFUNCTION("""COMPUTED_VALUE"""),"")</f>
        <v/>
      </c>
      <c r="M464" s="36" t="str">
        <f ca="1">IFERROR(__xludf.DUMMYFUNCTION("""COMPUTED_VALUE"""),"")</f>
        <v/>
      </c>
      <c r="N464" s="36" t="str">
        <f ca="1">IFERROR(__xludf.DUMMYFUNCTION("""COMPUTED_VALUE"""),"")</f>
        <v/>
      </c>
      <c r="O464" s="36" t="str">
        <f ca="1">IFERROR(__xludf.DUMMYFUNCTION("""COMPUTED_VALUE"""),"")</f>
        <v/>
      </c>
      <c r="P464" s="36" t="str">
        <f ca="1">IFERROR(__xludf.DUMMYFUNCTION("""COMPUTED_VALUE"""),"")</f>
        <v/>
      </c>
      <c r="Q464" s="36" t="str">
        <f ca="1">IFERROR(__xludf.DUMMYFUNCTION("""COMPUTED_VALUE"""),"")</f>
        <v/>
      </c>
      <c r="R464" s="36" t="str">
        <f ca="1">IFERROR(__xludf.DUMMYFUNCTION("""COMPUTED_VALUE"""),"")</f>
        <v/>
      </c>
      <c r="S464" s="36" t="str">
        <f ca="1">IFERROR(__xludf.DUMMYFUNCTION("""COMPUTED_VALUE"""),"")</f>
        <v/>
      </c>
      <c r="T464" s="36" t="str">
        <f ca="1">IFERROR(__xludf.DUMMYFUNCTION("""COMPUTED_VALUE"""),"")</f>
        <v/>
      </c>
      <c r="U464" s="36" t="str">
        <f ca="1">IFERROR(__xludf.DUMMYFUNCTION("""COMPUTED_VALUE"""),"")</f>
        <v/>
      </c>
      <c r="V464" s="36" t="str">
        <f ca="1">IFERROR(__xludf.DUMMYFUNCTION("""COMPUTED_VALUE"""),"")</f>
        <v/>
      </c>
      <c r="W464" s="36" t="str">
        <f ca="1">IFERROR(__xludf.DUMMYFUNCTION("""COMPUTED_VALUE"""),"")</f>
        <v/>
      </c>
      <c r="X464" s="36"/>
      <c r="Y464" s="36"/>
      <c r="Z464" s="36"/>
    </row>
    <row r="465" spans="1:26" ht="12.75" hidden="1">
      <c r="A465" s="36" t="str">
        <f ca="1">IFERROR(__xludf.DUMMYFUNCTION("""COMPUTED_VALUE"""),"")</f>
        <v/>
      </c>
      <c r="B465" s="36" t="str">
        <f ca="1">IFERROR(__xludf.DUMMYFUNCTION("""COMPUTED_VALUE"""),"")</f>
        <v/>
      </c>
      <c r="C465" s="36" t="str">
        <f ca="1">IFERROR(__xludf.DUMMYFUNCTION("""COMPUTED_VALUE"""),"")</f>
        <v/>
      </c>
      <c r="D465" s="36" t="str">
        <f ca="1">IFERROR(__xludf.DUMMYFUNCTION("""COMPUTED_VALUE"""),"")</f>
        <v/>
      </c>
      <c r="E465" s="36" t="str">
        <f ca="1">IFERROR(__xludf.DUMMYFUNCTION("""COMPUTED_VALUE"""),"")</f>
        <v/>
      </c>
      <c r="F465" s="36" t="str">
        <f ca="1">IFERROR(__xludf.DUMMYFUNCTION("""COMPUTED_VALUE"""),"")</f>
        <v/>
      </c>
      <c r="G465" s="36" t="str">
        <f ca="1">IFERROR(__xludf.DUMMYFUNCTION("""COMPUTED_VALUE"""),"")</f>
        <v/>
      </c>
      <c r="H465" s="36" t="str">
        <f ca="1">IFERROR(__xludf.DUMMYFUNCTION("""COMPUTED_VALUE"""),"")</f>
        <v/>
      </c>
      <c r="I465" s="36" t="str">
        <f ca="1">IFERROR(__xludf.DUMMYFUNCTION("""COMPUTED_VALUE"""),"")</f>
        <v/>
      </c>
      <c r="J465" s="36" t="str">
        <f ca="1">IFERROR(__xludf.DUMMYFUNCTION("""COMPUTED_VALUE"""),"")</f>
        <v/>
      </c>
      <c r="K465" s="36" t="str">
        <f ca="1">IFERROR(__xludf.DUMMYFUNCTION("""COMPUTED_VALUE"""),"")</f>
        <v/>
      </c>
      <c r="L465" s="36" t="str">
        <f ca="1">IFERROR(__xludf.DUMMYFUNCTION("""COMPUTED_VALUE"""),"")</f>
        <v/>
      </c>
      <c r="M465" s="36" t="str">
        <f ca="1">IFERROR(__xludf.DUMMYFUNCTION("""COMPUTED_VALUE"""),"")</f>
        <v/>
      </c>
      <c r="N465" s="36" t="str">
        <f ca="1">IFERROR(__xludf.DUMMYFUNCTION("""COMPUTED_VALUE"""),"")</f>
        <v/>
      </c>
      <c r="O465" s="36" t="str">
        <f ca="1">IFERROR(__xludf.DUMMYFUNCTION("""COMPUTED_VALUE"""),"")</f>
        <v/>
      </c>
      <c r="P465" s="36" t="str">
        <f ca="1">IFERROR(__xludf.DUMMYFUNCTION("""COMPUTED_VALUE"""),"")</f>
        <v/>
      </c>
      <c r="Q465" s="36" t="str">
        <f ca="1">IFERROR(__xludf.DUMMYFUNCTION("""COMPUTED_VALUE"""),"")</f>
        <v/>
      </c>
      <c r="R465" s="36" t="str">
        <f ca="1">IFERROR(__xludf.DUMMYFUNCTION("""COMPUTED_VALUE"""),"")</f>
        <v/>
      </c>
      <c r="S465" s="36" t="str">
        <f ca="1">IFERROR(__xludf.DUMMYFUNCTION("""COMPUTED_VALUE"""),"")</f>
        <v/>
      </c>
      <c r="T465" s="36" t="str">
        <f ca="1">IFERROR(__xludf.DUMMYFUNCTION("""COMPUTED_VALUE"""),"")</f>
        <v/>
      </c>
      <c r="U465" s="36" t="str">
        <f ca="1">IFERROR(__xludf.DUMMYFUNCTION("""COMPUTED_VALUE"""),"")</f>
        <v/>
      </c>
      <c r="V465" s="36" t="str">
        <f ca="1">IFERROR(__xludf.DUMMYFUNCTION("""COMPUTED_VALUE"""),"")</f>
        <v/>
      </c>
      <c r="W465" s="36" t="str">
        <f ca="1">IFERROR(__xludf.DUMMYFUNCTION("""COMPUTED_VALUE"""),"")</f>
        <v/>
      </c>
      <c r="X465" s="36"/>
      <c r="Y465" s="36"/>
      <c r="Z465" s="36"/>
    </row>
    <row r="466" spans="1:26" ht="12.75" hidden="1">
      <c r="A466" s="36" t="str">
        <f ca="1">IFERROR(__xludf.DUMMYFUNCTION("""COMPUTED_VALUE"""),"")</f>
        <v/>
      </c>
      <c r="B466" s="36" t="str">
        <f ca="1">IFERROR(__xludf.DUMMYFUNCTION("""COMPUTED_VALUE"""),"")</f>
        <v/>
      </c>
      <c r="C466" s="36" t="str">
        <f ca="1">IFERROR(__xludf.DUMMYFUNCTION("""COMPUTED_VALUE"""),"")</f>
        <v/>
      </c>
      <c r="D466" s="36" t="str">
        <f ca="1">IFERROR(__xludf.DUMMYFUNCTION("""COMPUTED_VALUE"""),"")</f>
        <v/>
      </c>
      <c r="E466" s="36" t="str">
        <f ca="1">IFERROR(__xludf.DUMMYFUNCTION("""COMPUTED_VALUE"""),"")</f>
        <v/>
      </c>
      <c r="F466" s="36" t="str">
        <f ca="1">IFERROR(__xludf.DUMMYFUNCTION("""COMPUTED_VALUE"""),"")</f>
        <v/>
      </c>
      <c r="G466" s="36" t="str">
        <f ca="1">IFERROR(__xludf.DUMMYFUNCTION("""COMPUTED_VALUE"""),"")</f>
        <v/>
      </c>
      <c r="H466" s="36" t="str">
        <f ca="1">IFERROR(__xludf.DUMMYFUNCTION("""COMPUTED_VALUE"""),"")</f>
        <v/>
      </c>
      <c r="I466" s="36" t="str">
        <f ca="1">IFERROR(__xludf.DUMMYFUNCTION("""COMPUTED_VALUE"""),"")</f>
        <v/>
      </c>
      <c r="J466" s="36" t="str">
        <f ca="1">IFERROR(__xludf.DUMMYFUNCTION("""COMPUTED_VALUE"""),"")</f>
        <v/>
      </c>
      <c r="K466" s="36" t="str">
        <f ca="1">IFERROR(__xludf.DUMMYFUNCTION("""COMPUTED_VALUE"""),"")</f>
        <v/>
      </c>
      <c r="L466" s="36" t="str">
        <f ca="1">IFERROR(__xludf.DUMMYFUNCTION("""COMPUTED_VALUE"""),"")</f>
        <v/>
      </c>
      <c r="M466" s="36" t="str">
        <f ca="1">IFERROR(__xludf.DUMMYFUNCTION("""COMPUTED_VALUE"""),"")</f>
        <v/>
      </c>
      <c r="N466" s="36" t="str">
        <f ca="1">IFERROR(__xludf.DUMMYFUNCTION("""COMPUTED_VALUE"""),"")</f>
        <v/>
      </c>
      <c r="O466" s="36" t="str">
        <f ca="1">IFERROR(__xludf.DUMMYFUNCTION("""COMPUTED_VALUE"""),"")</f>
        <v/>
      </c>
      <c r="P466" s="36" t="str">
        <f ca="1">IFERROR(__xludf.DUMMYFUNCTION("""COMPUTED_VALUE"""),"")</f>
        <v/>
      </c>
      <c r="Q466" s="36" t="str">
        <f ca="1">IFERROR(__xludf.DUMMYFUNCTION("""COMPUTED_VALUE"""),"")</f>
        <v/>
      </c>
      <c r="R466" s="36" t="str">
        <f ca="1">IFERROR(__xludf.DUMMYFUNCTION("""COMPUTED_VALUE"""),"")</f>
        <v/>
      </c>
      <c r="S466" s="36" t="str">
        <f ca="1">IFERROR(__xludf.DUMMYFUNCTION("""COMPUTED_VALUE"""),"")</f>
        <v/>
      </c>
      <c r="T466" s="36" t="str">
        <f ca="1">IFERROR(__xludf.DUMMYFUNCTION("""COMPUTED_VALUE"""),"")</f>
        <v/>
      </c>
      <c r="U466" s="36" t="str">
        <f ca="1">IFERROR(__xludf.DUMMYFUNCTION("""COMPUTED_VALUE"""),"")</f>
        <v/>
      </c>
      <c r="V466" s="36" t="str">
        <f ca="1">IFERROR(__xludf.DUMMYFUNCTION("""COMPUTED_VALUE"""),"")</f>
        <v/>
      </c>
      <c r="W466" s="36" t="str">
        <f ca="1">IFERROR(__xludf.DUMMYFUNCTION("""COMPUTED_VALUE"""),"")</f>
        <v/>
      </c>
      <c r="X466" s="36"/>
      <c r="Y466" s="36"/>
      <c r="Z466" s="36"/>
    </row>
    <row r="467" spans="1:26" ht="12.75" hidden="1">
      <c r="A467" s="36" t="str">
        <f ca="1">IFERROR(__xludf.DUMMYFUNCTION("""COMPUTED_VALUE"""),"")</f>
        <v/>
      </c>
      <c r="B467" s="36" t="str">
        <f ca="1">IFERROR(__xludf.DUMMYFUNCTION("""COMPUTED_VALUE"""),"")</f>
        <v/>
      </c>
      <c r="C467" s="36" t="str">
        <f ca="1">IFERROR(__xludf.DUMMYFUNCTION("""COMPUTED_VALUE"""),"")</f>
        <v/>
      </c>
      <c r="D467" s="36" t="str">
        <f ca="1">IFERROR(__xludf.DUMMYFUNCTION("""COMPUTED_VALUE"""),"")</f>
        <v/>
      </c>
      <c r="E467" s="36" t="str">
        <f ca="1">IFERROR(__xludf.DUMMYFUNCTION("""COMPUTED_VALUE"""),"")</f>
        <v/>
      </c>
      <c r="F467" s="36" t="str">
        <f ca="1">IFERROR(__xludf.DUMMYFUNCTION("""COMPUTED_VALUE"""),"")</f>
        <v/>
      </c>
      <c r="G467" s="36" t="str">
        <f ca="1">IFERROR(__xludf.DUMMYFUNCTION("""COMPUTED_VALUE"""),"")</f>
        <v/>
      </c>
      <c r="H467" s="36" t="str">
        <f ca="1">IFERROR(__xludf.DUMMYFUNCTION("""COMPUTED_VALUE"""),"")</f>
        <v/>
      </c>
      <c r="I467" s="36" t="str">
        <f ca="1">IFERROR(__xludf.DUMMYFUNCTION("""COMPUTED_VALUE"""),"")</f>
        <v/>
      </c>
      <c r="J467" s="36" t="str">
        <f ca="1">IFERROR(__xludf.DUMMYFUNCTION("""COMPUTED_VALUE"""),"")</f>
        <v/>
      </c>
      <c r="K467" s="36" t="str">
        <f ca="1">IFERROR(__xludf.DUMMYFUNCTION("""COMPUTED_VALUE"""),"")</f>
        <v/>
      </c>
      <c r="L467" s="36" t="str">
        <f ca="1">IFERROR(__xludf.DUMMYFUNCTION("""COMPUTED_VALUE"""),"")</f>
        <v/>
      </c>
      <c r="M467" s="36" t="str">
        <f ca="1">IFERROR(__xludf.DUMMYFUNCTION("""COMPUTED_VALUE"""),"")</f>
        <v/>
      </c>
      <c r="N467" s="36" t="str">
        <f ca="1">IFERROR(__xludf.DUMMYFUNCTION("""COMPUTED_VALUE"""),"")</f>
        <v/>
      </c>
      <c r="O467" s="36" t="str">
        <f ca="1">IFERROR(__xludf.DUMMYFUNCTION("""COMPUTED_VALUE"""),"")</f>
        <v/>
      </c>
      <c r="P467" s="36" t="str">
        <f ca="1">IFERROR(__xludf.DUMMYFUNCTION("""COMPUTED_VALUE"""),"")</f>
        <v/>
      </c>
      <c r="Q467" s="36" t="str">
        <f ca="1">IFERROR(__xludf.DUMMYFUNCTION("""COMPUTED_VALUE"""),"")</f>
        <v/>
      </c>
      <c r="R467" s="36" t="str">
        <f ca="1">IFERROR(__xludf.DUMMYFUNCTION("""COMPUTED_VALUE"""),"")</f>
        <v/>
      </c>
      <c r="S467" s="36" t="str">
        <f ca="1">IFERROR(__xludf.DUMMYFUNCTION("""COMPUTED_VALUE"""),"")</f>
        <v/>
      </c>
      <c r="T467" s="36" t="str">
        <f ca="1">IFERROR(__xludf.DUMMYFUNCTION("""COMPUTED_VALUE"""),"")</f>
        <v/>
      </c>
      <c r="U467" s="36" t="str">
        <f ca="1">IFERROR(__xludf.DUMMYFUNCTION("""COMPUTED_VALUE"""),"")</f>
        <v/>
      </c>
      <c r="V467" s="36" t="str">
        <f ca="1">IFERROR(__xludf.DUMMYFUNCTION("""COMPUTED_VALUE"""),"")</f>
        <v/>
      </c>
      <c r="W467" s="36" t="str">
        <f ca="1">IFERROR(__xludf.DUMMYFUNCTION("""COMPUTED_VALUE"""),"")</f>
        <v/>
      </c>
      <c r="X467" s="36"/>
      <c r="Y467" s="36"/>
      <c r="Z467" s="36"/>
    </row>
    <row r="468" spans="1:26" ht="12.75" hidden="1">
      <c r="A468" s="36" t="str">
        <f ca="1">IFERROR(__xludf.DUMMYFUNCTION("""COMPUTED_VALUE"""),"")</f>
        <v/>
      </c>
      <c r="B468" s="36" t="str">
        <f ca="1">IFERROR(__xludf.DUMMYFUNCTION("""COMPUTED_VALUE"""),"")</f>
        <v/>
      </c>
      <c r="C468" s="36" t="str">
        <f ca="1">IFERROR(__xludf.DUMMYFUNCTION("""COMPUTED_VALUE"""),"")</f>
        <v/>
      </c>
      <c r="D468" s="36" t="str">
        <f ca="1">IFERROR(__xludf.DUMMYFUNCTION("""COMPUTED_VALUE"""),"")</f>
        <v/>
      </c>
      <c r="E468" s="36" t="str">
        <f ca="1">IFERROR(__xludf.DUMMYFUNCTION("""COMPUTED_VALUE"""),"")</f>
        <v/>
      </c>
      <c r="F468" s="36" t="str">
        <f ca="1">IFERROR(__xludf.DUMMYFUNCTION("""COMPUTED_VALUE"""),"")</f>
        <v/>
      </c>
      <c r="G468" s="36" t="str">
        <f ca="1">IFERROR(__xludf.DUMMYFUNCTION("""COMPUTED_VALUE"""),"")</f>
        <v/>
      </c>
      <c r="H468" s="36" t="str">
        <f ca="1">IFERROR(__xludf.DUMMYFUNCTION("""COMPUTED_VALUE"""),"")</f>
        <v/>
      </c>
      <c r="I468" s="36" t="str">
        <f ca="1">IFERROR(__xludf.DUMMYFUNCTION("""COMPUTED_VALUE"""),"")</f>
        <v/>
      </c>
      <c r="J468" s="36" t="str">
        <f ca="1">IFERROR(__xludf.DUMMYFUNCTION("""COMPUTED_VALUE"""),"")</f>
        <v/>
      </c>
      <c r="K468" s="36" t="str">
        <f ca="1">IFERROR(__xludf.DUMMYFUNCTION("""COMPUTED_VALUE"""),"")</f>
        <v/>
      </c>
      <c r="L468" s="36" t="str">
        <f ca="1">IFERROR(__xludf.DUMMYFUNCTION("""COMPUTED_VALUE"""),"")</f>
        <v/>
      </c>
      <c r="M468" s="36" t="str">
        <f ca="1">IFERROR(__xludf.DUMMYFUNCTION("""COMPUTED_VALUE"""),"")</f>
        <v/>
      </c>
      <c r="N468" s="36" t="str">
        <f ca="1">IFERROR(__xludf.DUMMYFUNCTION("""COMPUTED_VALUE"""),"")</f>
        <v/>
      </c>
      <c r="O468" s="36" t="str">
        <f ca="1">IFERROR(__xludf.DUMMYFUNCTION("""COMPUTED_VALUE"""),"")</f>
        <v/>
      </c>
      <c r="P468" s="36" t="str">
        <f ca="1">IFERROR(__xludf.DUMMYFUNCTION("""COMPUTED_VALUE"""),"")</f>
        <v/>
      </c>
      <c r="Q468" s="36" t="str">
        <f ca="1">IFERROR(__xludf.DUMMYFUNCTION("""COMPUTED_VALUE"""),"")</f>
        <v/>
      </c>
      <c r="R468" s="36" t="str">
        <f ca="1">IFERROR(__xludf.DUMMYFUNCTION("""COMPUTED_VALUE"""),"")</f>
        <v/>
      </c>
      <c r="S468" s="36" t="str">
        <f ca="1">IFERROR(__xludf.DUMMYFUNCTION("""COMPUTED_VALUE"""),"")</f>
        <v/>
      </c>
      <c r="T468" s="36" t="str">
        <f ca="1">IFERROR(__xludf.DUMMYFUNCTION("""COMPUTED_VALUE"""),"")</f>
        <v/>
      </c>
      <c r="U468" s="36" t="str">
        <f ca="1">IFERROR(__xludf.DUMMYFUNCTION("""COMPUTED_VALUE"""),"")</f>
        <v/>
      </c>
      <c r="V468" s="36" t="str">
        <f ca="1">IFERROR(__xludf.DUMMYFUNCTION("""COMPUTED_VALUE"""),"")</f>
        <v/>
      </c>
      <c r="W468" s="36" t="str">
        <f ca="1">IFERROR(__xludf.DUMMYFUNCTION("""COMPUTED_VALUE"""),"")</f>
        <v/>
      </c>
      <c r="X468" s="36"/>
      <c r="Y468" s="36"/>
      <c r="Z468" s="36"/>
    </row>
    <row r="469" spans="1:26" ht="12.75" hidden="1">
      <c r="A469" s="36" t="str">
        <f ca="1">IFERROR(__xludf.DUMMYFUNCTION("""COMPUTED_VALUE"""),"")</f>
        <v/>
      </c>
      <c r="B469" s="36" t="str">
        <f ca="1">IFERROR(__xludf.DUMMYFUNCTION("""COMPUTED_VALUE"""),"")</f>
        <v/>
      </c>
      <c r="C469" s="36" t="str">
        <f ca="1">IFERROR(__xludf.DUMMYFUNCTION("""COMPUTED_VALUE"""),"")</f>
        <v/>
      </c>
      <c r="D469" s="36" t="str">
        <f ca="1">IFERROR(__xludf.DUMMYFUNCTION("""COMPUTED_VALUE"""),"")</f>
        <v/>
      </c>
      <c r="E469" s="36" t="str">
        <f ca="1">IFERROR(__xludf.DUMMYFUNCTION("""COMPUTED_VALUE"""),"")</f>
        <v/>
      </c>
      <c r="F469" s="36" t="str">
        <f ca="1">IFERROR(__xludf.DUMMYFUNCTION("""COMPUTED_VALUE"""),"")</f>
        <v/>
      </c>
      <c r="G469" s="36" t="str">
        <f ca="1">IFERROR(__xludf.DUMMYFUNCTION("""COMPUTED_VALUE"""),"")</f>
        <v/>
      </c>
      <c r="H469" s="36" t="str">
        <f ca="1">IFERROR(__xludf.DUMMYFUNCTION("""COMPUTED_VALUE"""),"")</f>
        <v/>
      </c>
      <c r="I469" s="36" t="str">
        <f ca="1">IFERROR(__xludf.DUMMYFUNCTION("""COMPUTED_VALUE"""),"")</f>
        <v/>
      </c>
      <c r="J469" s="36" t="str">
        <f ca="1">IFERROR(__xludf.DUMMYFUNCTION("""COMPUTED_VALUE"""),"")</f>
        <v/>
      </c>
      <c r="K469" s="36" t="str">
        <f ca="1">IFERROR(__xludf.DUMMYFUNCTION("""COMPUTED_VALUE"""),"")</f>
        <v/>
      </c>
      <c r="L469" s="36" t="str">
        <f ca="1">IFERROR(__xludf.DUMMYFUNCTION("""COMPUTED_VALUE"""),"")</f>
        <v/>
      </c>
      <c r="M469" s="36" t="str">
        <f ca="1">IFERROR(__xludf.DUMMYFUNCTION("""COMPUTED_VALUE"""),"")</f>
        <v/>
      </c>
      <c r="N469" s="36" t="str">
        <f ca="1">IFERROR(__xludf.DUMMYFUNCTION("""COMPUTED_VALUE"""),"")</f>
        <v/>
      </c>
      <c r="O469" s="36" t="str">
        <f ca="1">IFERROR(__xludf.DUMMYFUNCTION("""COMPUTED_VALUE"""),"")</f>
        <v/>
      </c>
      <c r="P469" s="36" t="str">
        <f ca="1">IFERROR(__xludf.DUMMYFUNCTION("""COMPUTED_VALUE"""),"")</f>
        <v/>
      </c>
      <c r="Q469" s="36" t="str">
        <f ca="1">IFERROR(__xludf.DUMMYFUNCTION("""COMPUTED_VALUE"""),"")</f>
        <v/>
      </c>
      <c r="R469" s="36" t="str">
        <f ca="1">IFERROR(__xludf.DUMMYFUNCTION("""COMPUTED_VALUE"""),"")</f>
        <v/>
      </c>
      <c r="S469" s="36" t="str">
        <f ca="1">IFERROR(__xludf.DUMMYFUNCTION("""COMPUTED_VALUE"""),"")</f>
        <v/>
      </c>
      <c r="T469" s="36" t="str">
        <f ca="1">IFERROR(__xludf.DUMMYFUNCTION("""COMPUTED_VALUE"""),"")</f>
        <v/>
      </c>
      <c r="U469" s="36" t="str">
        <f ca="1">IFERROR(__xludf.DUMMYFUNCTION("""COMPUTED_VALUE"""),"")</f>
        <v/>
      </c>
      <c r="V469" s="36" t="str">
        <f ca="1">IFERROR(__xludf.DUMMYFUNCTION("""COMPUTED_VALUE"""),"")</f>
        <v/>
      </c>
      <c r="W469" s="36" t="str">
        <f ca="1">IFERROR(__xludf.DUMMYFUNCTION("""COMPUTED_VALUE"""),"")</f>
        <v/>
      </c>
      <c r="X469" s="36"/>
      <c r="Y469" s="36"/>
      <c r="Z469" s="36"/>
    </row>
    <row r="470" spans="1:26" ht="12.75" hidden="1">
      <c r="A470" s="36" t="str">
        <f ca="1">IFERROR(__xludf.DUMMYFUNCTION("""COMPUTED_VALUE"""),"")</f>
        <v/>
      </c>
      <c r="B470" s="36" t="str">
        <f ca="1">IFERROR(__xludf.DUMMYFUNCTION("""COMPUTED_VALUE"""),"")</f>
        <v/>
      </c>
      <c r="C470" s="36" t="str">
        <f ca="1">IFERROR(__xludf.DUMMYFUNCTION("""COMPUTED_VALUE"""),"")</f>
        <v/>
      </c>
      <c r="D470" s="36" t="str">
        <f ca="1">IFERROR(__xludf.DUMMYFUNCTION("""COMPUTED_VALUE"""),"")</f>
        <v/>
      </c>
      <c r="E470" s="36" t="str">
        <f ca="1">IFERROR(__xludf.DUMMYFUNCTION("""COMPUTED_VALUE"""),"")</f>
        <v/>
      </c>
      <c r="F470" s="36" t="str">
        <f ca="1">IFERROR(__xludf.DUMMYFUNCTION("""COMPUTED_VALUE"""),"")</f>
        <v/>
      </c>
      <c r="G470" s="36" t="str">
        <f ca="1">IFERROR(__xludf.DUMMYFUNCTION("""COMPUTED_VALUE"""),"")</f>
        <v/>
      </c>
      <c r="H470" s="36" t="str">
        <f ca="1">IFERROR(__xludf.DUMMYFUNCTION("""COMPUTED_VALUE"""),"")</f>
        <v/>
      </c>
      <c r="I470" s="36" t="str">
        <f ca="1">IFERROR(__xludf.DUMMYFUNCTION("""COMPUTED_VALUE"""),"")</f>
        <v/>
      </c>
      <c r="J470" s="36" t="str">
        <f ca="1">IFERROR(__xludf.DUMMYFUNCTION("""COMPUTED_VALUE"""),"")</f>
        <v/>
      </c>
      <c r="K470" s="36" t="str">
        <f ca="1">IFERROR(__xludf.DUMMYFUNCTION("""COMPUTED_VALUE"""),"")</f>
        <v/>
      </c>
      <c r="L470" s="36" t="str">
        <f ca="1">IFERROR(__xludf.DUMMYFUNCTION("""COMPUTED_VALUE"""),"")</f>
        <v/>
      </c>
      <c r="M470" s="36" t="str">
        <f ca="1">IFERROR(__xludf.DUMMYFUNCTION("""COMPUTED_VALUE"""),"")</f>
        <v/>
      </c>
      <c r="N470" s="36" t="str">
        <f ca="1">IFERROR(__xludf.DUMMYFUNCTION("""COMPUTED_VALUE"""),"")</f>
        <v/>
      </c>
      <c r="O470" s="36" t="str">
        <f ca="1">IFERROR(__xludf.DUMMYFUNCTION("""COMPUTED_VALUE"""),"")</f>
        <v/>
      </c>
      <c r="P470" s="36" t="str">
        <f ca="1">IFERROR(__xludf.DUMMYFUNCTION("""COMPUTED_VALUE"""),"")</f>
        <v/>
      </c>
      <c r="Q470" s="36" t="str">
        <f ca="1">IFERROR(__xludf.DUMMYFUNCTION("""COMPUTED_VALUE"""),"")</f>
        <v/>
      </c>
      <c r="R470" s="36" t="str">
        <f ca="1">IFERROR(__xludf.DUMMYFUNCTION("""COMPUTED_VALUE"""),"")</f>
        <v/>
      </c>
      <c r="S470" s="36" t="str">
        <f ca="1">IFERROR(__xludf.DUMMYFUNCTION("""COMPUTED_VALUE"""),"")</f>
        <v/>
      </c>
      <c r="T470" s="36" t="str">
        <f ca="1">IFERROR(__xludf.DUMMYFUNCTION("""COMPUTED_VALUE"""),"")</f>
        <v/>
      </c>
      <c r="U470" s="36" t="str">
        <f ca="1">IFERROR(__xludf.DUMMYFUNCTION("""COMPUTED_VALUE"""),"")</f>
        <v/>
      </c>
      <c r="V470" s="36" t="str">
        <f ca="1">IFERROR(__xludf.DUMMYFUNCTION("""COMPUTED_VALUE"""),"")</f>
        <v/>
      </c>
      <c r="W470" s="36" t="str">
        <f ca="1">IFERROR(__xludf.DUMMYFUNCTION("""COMPUTED_VALUE"""),"")</f>
        <v/>
      </c>
      <c r="X470" s="36"/>
      <c r="Y470" s="36"/>
      <c r="Z470" s="36"/>
    </row>
    <row r="471" spans="1:26" ht="12.75" hidden="1">
      <c r="A471" s="36" t="str">
        <f ca="1">IFERROR(__xludf.DUMMYFUNCTION("""COMPUTED_VALUE"""),"")</f>
        <v/>
      </c>
      <c r="B471" s="36" t="str">
        <f ca="1">IFERROR(__xludf.DUMMYFUNCTION("""COMPUTED_VALUE"""),"")</f>
        <v/>
      </c>
      <c r="C471" s="36" t="str">
        <f ca="1">IFERROR(__xludf.DUMMYFUNCTION("""COMPUTED_VALUE"""),"")</f>
        <v/>
      </c>
      <c r="D471" s="36" t="str">
        <f ca="1">IFERROR(__xludf.DUMMYFUNCTION("""COMPUTED_VALUE"""),"")</f>
        <v/>
      </c>
      <c r="E471" s="36" t="str">
        <f ca="1">IFERROR(__xludf.DUMMYFUNCTION("""COMPUTED_VALUE"""),"")</f>
        <v/>
      </c>
      <c r="F471" s="36" t="str">
        <f ca="1">IFERROR(__xludf.DUMMYFUNCTION("""COMPUTED_VALUE"""),"")</f>
        <v/>
      </c>
      <c r="G471" s="36" t="str">
        <f ca="1">IFERROR(__xludf.DUMMYFUNCTION("""COMPUTED_VALUE"""),"")</f>
        <v/>
      </c>
      <c r="H471" s="36" t="str">
        <f ca="1">IFERROR(__xludf.DUMMYFUNCTION("""COMPUTED_VALUE"""),"")</f>
        <v/>
      </c>
      <c r="I471" s="36" t="str">
        <f ca="1">IFERROR(__xludf.DUMMYFUNCTION("""COMPUTED_VALUE"""),"")</f>
        <v/>
      </c>
      <c r="J471" s="36" t="str">
        <f ca="1">IFERROR(__xludf.DUMMYFUNCTION("""COMPUTED_VALUE"""),"")</f>
        <v/>
      </c>
      <c r="K471" s="36" t="str">
        <f ca="1">IFERROR(__xludf.DUMMYFUNCTION("""COMPUTED_VALUE"""),"")</f>
        <v/>
      </c>
      <c r="L471" s="36" t="str">
        <f ca="1">IFERROR(__xludf.DUMMYFUNCTION("""COMPUTED_VALUE"""),"")</f>
        <v/>
      </c>
      <c r="M471" s="36" t="str">
        <f ca="1">IFERROR(__xludf.DUMMYFUNCTION("""COMPUTED_VALUE"""),"")</f>
        <v/>
      </c>
      <c r="N471" s="36" t="str">
        <f ca="1">IFERROR(__xludf.DUMMYFUNCTION("""COMPUTED_VALUE"""),"")</f>
        <v/>
      </c>
      <c r="O471" s="36" t="str">
        <f ca="1">IFERROR(__xludf.DUMMYFUNCTION("""COMPUTED_VALUE"""),"")</f>
        <v/>
      </c>
      <c r="P471" s="36" t="str">
        <f ca="1">IFERROR(__xludf.DUMMYFUNCTION("""COMPUTED_VALUE"""),"")</f>
        <v/>
      </c>
      <c r="Q471" s="36" t="str">
        <f ca="1">IFERROR(__xludf.DUMMYFUNCTION("""COMPUTED_VALUE"""),"")</f>
        <v/>
      </c>
      <c r="R471" s="36" t="str">
        <f ca="1">IFERROR(__xludf.DUMMYFUNCTION("""COMPUTED_VALUE"""),"")</f>
        <v/>
      </c>
      <c r="S471" s="36" t="str">
        <f ca="1">IFERROR(__xludf.DUMMYFUNCTION("""COMPUTED_VALUE"""),"")</f>
        <v/>
      </c>
      <c r="T471" s="36" t="str">
        <f ca="1">IFERROR(__xludf.DUMMYFUNCTION("""COMPUTED_VALUE"""),"")</f>
        <v/>
      </c>
      <c r="U471" s="36" t="str">
        <f ca="1">IFERROR(__xludf.DUMMYFUNCTION("""COMPUTED_VALUE"""),"")</f>
        <v/>
      </c>
      <c r="V471" s="36" t="str">
        <f ca="1">IFERROR(__xludf.DUMMYFUNCTION("""COMPUTED_VALUE"""),"")</f>
        <v/>
      </c>
      <c r="W471" s="36" t="str">
        <f ca="1">IFERROR(__xludf.DUMMYFUNCTION("""COMPUTED_VALUE"""),"")</f>
        <v/>
      </c>
      <c r="X471" s="36"/>
      <c r="Y471" s="36"/>
      <c r="Z471" s="36"/>
    </row>
    <row r="472" spans="1:26" ht="12.75" hidden="1">
      <c r="A472" s="36" t="str">
        <f ca="1">IFERROR(__xludf.DUMMYFUNCTION("""COMPUTED_VALUE"""),"")</f>
        <v/>
      </c>
      <c r="B472" s="36" t="str">
        <f ca="1">IFERROR(__xludf.DUMMYFUNCTION("""COMPUTED_VALUE"""),"")</f>
        <v/>
      </c>
      <c r="C472" s="36" t="str">
        <f ca="1">IFERROR(__xludf.DUMMYFUNCTION("""COMPUTED_VALUE"""),"")</f>
        <v/>
      </c>
      <c r="D472" s="36" t="str">
        <f ca="1">IFERROR(__xludf.DUMMYFUNCTION("""COMPUTED_VALUE"""),"")</f>
        <v/>
      </c>
      <c r="E472" s="36" t="str">
        <f ca="1">IFERROR(__xludf.DUMMYFUNCTION("""COMPUTED_VALUE"""),"")</f>
        <v/>
      </c>
      <c r="F472" s="36" t="str">
        <f ca="1">IFERROR(__xludf.DUMMYFUNCTION("""COMPUTED_VALUE"""),"")</f>
        <v/>
      </c>
      <c r="G472" s="36" t="str">
        <f ca="1">IFERROR(__xludf.DUMMYFUNCTION("""COMPUTED_VALUE"""),"")</f>
        <v/>
      </c>
      <c r="H472" s="36" t="str">
        <f ca="1">IFERROR(__xludf.DUMMYFUNCTION("""COMPUTED_VALUE"""),"")</f>
        <v/>
      </c>
      <c r="I472" s="36" t="str">
        <f ca="1">IFERROR(__xludf.DUMMYFUNCTION("""COMPUTED_VALUE"""),"")</f>
        <v/>
      </c>
      <c r="J472" s="36" t="str">
        <f ca="1">IFERROR(__xludf.DUMMYFUNCTION("""COMPUTED_VALUE"""),"")</f>
        <v/>
      </c>
      <c r="K472" s="36" t="str">
        <f ca="1">IFERROR(__xludf.DUMMYFUNCTION("""COMPUTED_VALUE"""),"")</f>
        <v/>
      </c>
      <c r="L472" s="36" t="str">
        <f ca="1">IFERROR(__xludf.DUMMYFUNCTION("""COMPUTED_VALUE"""),"")</f>
        <v/>
      </c>
      <c r="M472" s="36" t="str">
        <f ca="1">IFERROR(__xludf.DUMMYFUNCTION("""COMPUTED_VALUE"""),"")</f>
        <v/>
      </c>
      <c r="N472" s="36" t="str">
        <f ca="1">IFERROR(__xludf.DUMMYFUNCTION("""COMPUTED_VALUE"""),"")</f>
        <v/>
      </c>
      <c r="O472" s="36" t="str">
        <f ca="1">IFERROR(__xludf.DUMMYFUNCTION("""COMPUTED_VALUE"""),"")</f>
        <v/>
      </c>
      <c r="P472" s="36" t="str">
        <f ca="1">IFERROR(__xludf.DUMMYFUNCTION("""COMPUTED_VALUE"""),"")</f>
        <v/>
      </c>
      <c r="Q472" s="36" t="str">
        <f ca="1">IFERROR(__xludf.DUMMYFUNCTION("""COMPUTED_VALUE"""),"")</f>
        <v/>
      </c>
      <c r="R472" s="36" t="str">
        <f ca="1">IFERROR(__xludf.DUMMYFUNCTION("""COMPUTED_VALUE"""),"")</f>
        <v/>
      </c>
      <c r="S472" s="36" t="str">
        <f ca="1">IFERROR(__xludf.DUMMYFUNCTION("""COMPUTED_VALUE"""),"")</f>
        <v/>
      </c>
      <c r="T472" s="36" t="str">
        <f ca="1">IFERROR(__xludf.DUMMYFUNCTION("""COMPUTED_VALUE"""),"")</f>
        <v/>
      </c>
      <c r="U472" s="36" t="str">
        <f ca="1">IFERROR(__xludf.DUMMYFUNCTION("""COMPUTED_VALUE"""),"")</f>
        <v/>
      </c>
      <c r="V472" s="36" t="str">
        <f ca="1">IFERROR(__xludf.DUMMYFUNCTION("""COMPUTED_VALUE"""),"")</f>
        <v/>
      </c>
      <c r="W472" s="36" t="str">
        <f ca="1">IFERROR(__xludf.DUMMYFUNCTION("""COMPUTED_VALUE"""),"")</f>
        <v/>
      </c>
      <c r="X472" s="36"/>
      <c r="Y472" s="36"/>
      <c r="Z472" s="36"/>
    </row>
    <row r="473" spans="1:26" ht="12.75" hidden="1">
      <c r="A473" s="36" t="str">
        <f ca="1">IFERROR(__xludf.DUMMYFUNCTION("""COMPUTED_VALUE"""),"")</f>
        <v/>
      </c>
      <c r="B473" s="36" t="str">
        <f ca="1">IFERROR(__xludf.DUMMYFUNCTION("""COMPUTED_VALUE"""),"")</f>
        <v/>
      </c>
      <c r="C473" s="36" t="str">
        <f ca="1">IFERROR(__xludf.DUMMYFUNCTION("""COMPUTED_VALUE"""),"")</f>
        <v/>
      </c>
      <c r="D473" s="36" t="str">
        <f ca="1">IFERROR(__xludf.DUMMYFUNCTION("""COMPUTED_VALUE"""),"")</f>
        <v/>
      </c>
      <c r="E473" s="36" t="str">
        <f ca="1">IFERROR(__xludf.DUMMYFUNCTION("""COMPUTED_VALUE"""),"")</f>
        <v/>
      </c>
      <c r="F473" s="36" t="str">
        <f ca="1">IFERROR(__xludf.DUMMYFUNCTION("""COMPUTED_VALUE"""),"")</f>
        <v/>
      </c>
      <c r="G473" s="36" t="str">
        <f ca="1">IFERROR(__xludf.DUMMYFUNCTION("""COMPUTED_VALUE"""),"")</f>
        <v/>
      </c>
      <c r="H473" s="36" t="str">
        <f ca="1">IFERROR(__xludf.DUMMYFUNCTION("""COMPUTED_VALUE"""),"")</f>
        <v/>
      </c>
      <c r="I473" s="36" t="str">
        <f ca="1">IFERROR(__xludf.DUMMYFUNCTION("""COMPUTED_VALUE"""),"")</f>
        <v/>
      </c>
      <c r="J473" s="36" t="str">
        <f ca="1">IFERROR(__xludf.DUMMYFUNCTION("""COMPUTED_VALUE"""),"")</f>
        <v/>
      </c>
      <c r="K473" s="36" t="str">
        <f ca="1">IFERROR(__xludf.DUMMYFUNCTION("""COMPUTED_VALUE"""),"")</f>
        <v/>
      </c>
      <c r="L473" s="36" t="str">
        <f ca="1">IFERROR(__xludf.DUMMYFUNCTION("""COMPUTED_VALUE"""),"")</f>
        <v/>
      </c>
      <c r="M473" s="36" t="str">
        <f ca="1">IFERROR(__xludf.DUMMYFUNCTION("""COMPUTED_VALUE"""),"")</f>
        <v/>
      </c>
      <c r="N473" s="36" t="str">
        <f ca="1">IFERROR(__xludf.DUMMYFUNCTION("""COMPUTED_VALUE"""),"")</f>
        <v/>
      </c>
      <c r="O473" s="36" t="str">
        <f ca="1">IFERROR(__xludf.DUMMYFUNCTION("""COMPUTED_VALUE"""),"")</f>
        <v/>
      </c>
      <c r="P473" s="36" t="str">
        <f ca="1">IFERROR(__xludf.DUMMYFUNCTION("""COMPUTED_VALUE"""),"")</f>
        <v/>
      </c>
      <c r="Q473" s="36" t="str">
        <f ca="1">IFERROR(__xludf.DUMMYFUNCTION("""COMPUTED_VALUE"""),"")</f>
        <v/>
      </c>
      <c r="R473" s="36" t="str">
        <f ca="1">IFERROR(__xludf.DUMMYFUNCTION("""COMPUTED_VALUE"""),"")</f>
        <v/>
      </c>
      <c r="S473" s="36" t="str">
        <f ca="1">IFERROR(__xludf.DUMMYFUNCTION("""COMPUTED_VALUE"""),"")</f>
        <v/>
      </c>
      <c r="T473" s="36" t="str">
        <f ca="1">IFERROR(__xludf.DUMMYFUNCTION("""COMPUTED_VALUE"""),"")</f>
        <v/>
      </c>
      <c r="U473" s="36" t="str">
        <f ca="1">IFERROR(__xludf.DUMMYFUNCTION("""COMPUTED_VALUE"""),"")</f>
        <v/>
      </c>
      <c r="V473" s="36" t="str">
        <f ca="1">IFERROR(__xludf.DUMMYFUNCTION("""COMPUTED_VALUE"""),"")</f>
        <v/>
      </c>
      <c r="W473" s="36" t="str">
        <f ca="1">IFERROR(__xludf.DUMMYFUNCTION("""COMPUTED_VALUE"""),"")</f>
        <v/>
      </c>
      <c r="X473" s="36"/>
      <c r="Y473" s="36"/>
      <c r="Z473" s="36"/>
    </row>
    <row r="474" spans="1:26" ht="12.75" hidden="1">
      <c r="A474" s="36" t="str">
        <f ca="1">IFERROR(__xludf.DUMMYFUNCTION("""COMPUTED_VALUE"""),"")</f>
        <v/>
      </c>
      <c r="B474" s="36" t="str">
        <f ca="1">IFERROR(__xludf.DUMMYFUNCTION("""COMPUTED_VALUE"""),"")</f>
        <v/>
      </c>
      <c r="C474" s="36" t="str">
        <f ca="1">IFERROR(__xludf.DUMMYFUNCTION("""COMPUTED_VALUE"""),"")</f>
        <v/>
      </c>
      <c r="D474" s="36" t="str">
        <f ca="1">IFERROR(__xludf.DUMMYFUNCTION("""COMPUTED_VALUE"""),"")</f>
        <v/>
      </c>
      <c r="E474" s="36" t="str">
        <f ca="1">IFERROR(__xludf.DUMMYFUNCTION("""COMPUTED_VALUE"""),"")</f>
        <v/>
      </c>
      <c r="F474" s="36" t="str">
        <f ca="1">IFERROR(__xludf.DUMMYFUNCTION("""COMPUTED_VALUE"""),"")</f>
        <v/>
      </c>
      <c r="G474" s="36" t="str">
        <f ca="1">IFERROR(__xludf.DUMMYFUNCTION("""COMPUTED_VALUE"""),"")</f>
        <v/>
      </c>
      <c r="H474" s="36" t="str">
        <f ca="1">IFERROR(__xludf.DUMMYFUNCTION("""COMPUTED_VALUE"""),"")</f>
        <v/>
      </c>
      <c r="I474" s="36" t="str">
        <f ca="1">IFERROR(__xludf.DUMMYFUNCTION("""COMPUTED_VALUE"""),"")</f>
        <v/>
      </c>
      <c r="J474" s="36" t="str">
        <f ca="1">IFERROR(__xludf.DUMMYFUNCTION("""COMPUTED_VALUE"""),"")</f>
        <v/>
      </c>
      <c r="K474" s="36" t="str">
        <f ca="1">IFERROR(__xludf.DUMMYFUNCTION("""COMPUTED_VALUE"""),"")</f>
        <v/>
      </c>
      <c r="L474" s="36" t="str">
        <f ca="1">IFERROR(__xludf.DUMMYFUNCTION("""COMPUTED_VALUE"""),"")</f>
        <v/>
      </c>
      <c r="M474" s="36" t="str">
        <f ca="1">IFERROR(__xludf.DUMMYFUNCTION("""COMPUTED_VALUE"""),"")</f>
        <v/>
      </c>
      <c r="N474" s="36" t="str">
        <f ca="1">IFERROR(__xludf.DUMMYFUNCTION("""COMPUTED_VALUE"""),"")</f>
        <v/>
      </c>
      <c r="O474" s="36" t="str">
        <f ca="1">IFERROR(__xludf.DUMMYFUNCTION("""COMPUTED_VALUE"""),"")</f>
        <v/>
      </c>
      <c r="P474" s="36" t="str">
        <f ca="1">IFERROR(__xludf.DUMMYFUNCTION("""COMPUTED_VALUE"""),"")</f>
        <v/>
      </c>
      <c r="Q474" s="36" t="str">
        <f ca="1">IFERROR(__xludf.DUMMYFUNCTION("""COMPUTED_VALUE"""),"")</f>
        <v/>
      </c>
      <c r="R474" s="36" t="str">
        <f ca="1">IFERROR(__xludf.DUMMYFUNCTION("""COMPUTED_VALUE"""),"")</f>
        <v/>
      </c>
      <c r="S474" s="36" t="str">
        <f ca="1">IFERROR(__xludf.DUMMYFUNCTION("""COMPUTED_VALUE"""),"")</f>
        <v/>
      </c>
      <c r="T474" s="36" t="str">
        <f ca="1">IFERROR(__xludf.DUMMYFUNCTION("""COMPUTED_VALUE"""),"")</f>
        <v/>
      </c>
      <c r="U474" s="36" t="str">
        <f ca="1">IFERROR(__xludf.DUMMYFUNCTION("""COMPUTED_VALUE"""),"")</f>
        <v/>
      </c>
      <c r="V474" s="36" t="str">
        <f ca="1">IFERROR(__xludf.DUMMYFUNCTION("""COMPUTED_VALUE"""),"")</f>
        <v/>
      </c>
      <c r="W474" s="36" t="str">
        <f ca="1">IFERROR(__xludf.DUMMYFUNCTION("""COMPUTED_VALUE"""),"")</f>
        <v/>
      </c>
      <c r="X474" s="36"/>
      <c r="Y474" s="36"/>
      <c r="Z474" s="36"/>
    </row>
    <row r="475" spans="1:26" ht="12.75" hidden="1">
      <c r="A475" s="36" t="str">
        <f ca="1">IFERROR(__xludf.DUMMYFUNCTION("""COMPUTED_VALUE"""),"")</f>
        <v/>
      </c>
      <c r="B475" s="36" t="str">
        <f ca="1">IFERROR(__xludf.DUMMYFUNCTION("""COMPUTED_VALUE"""),"")</f>
        <v/>
      </c>
      <c r="C475" s="36" t="str">
        <f ca="1">IFERROR(__xludf.DUMMYFUNCTION("""COMPUTED_VALUE"""),"")</f>
        <v/>
      </c>
      <c r="D475" s="36" t="str">
        <f ca="1">IFERROR(__xludf.DUMMYFUNCTION("""COMPUTED_VALUE"""),"")</f>
        <v/>
      </c>
      <c r="E475" s="36" t="str">
        <f ca="1">IFERROR(__xludf.DUMMYFUNCTION("""COMPUTED_VALUE"""),"")</f>
        <v/>
      </c>
      <c r="F475" s="36" t="str">
        <f ca="1">IFERROR(__xludf.DUMMYFUNCTION("""COMPUTED_VALUE"""),"")</f>
        <v/>
      </c>
      <c r="G475" s="36" t="str">
        <f ca="1">IFERROR(__xludf.DUMMYFUNCTION("""COMPUTED_VALUE"""),"")</f>
        <v/>
      </c>
      <c r="H475" s="36" t="str">
        <f ca="1">IFERROR(__xludf.DUMMYFUNCTION("""COMPUTED_VALUE"""),"")</f>
        <v/>
      </c>
      <c r="I475" s="36" t="str">
        <f ca="1">IFERROR(__xludf.DUMMYFUNCTION("""COMPUTED_VALUE"""),"")</f>
        <v/>
      </c>
      <c r="J475" s="36" t="str">
        <f ca="1">IFERROR(__xludf.DUMMYFUNCTION("""COMPUTED_VALUE"""),"")</f>
        <v/>
      </c>
      <c r="K475" s="36" t="str">
        <f ca="1">IFERROR(__xludf.DUMMYFUNCTION("""COMPUTED_VALUE"""),"")</f>
        <v/>
      </c>
      <c r="L475" s="36" t="str">
        <f ca="1">IFERROR(__xludf.DUMMYFUNCTION("""COMPUTED_VALUE"""),"")</f>
        <v/>
      </c>
      <c r="M475" s="36" t="str">
        <f ca="1">IFERROR(__xludf.DUMMYFUNCTION("""COMPUTED_VALUE"""),"")</f>
        <v/>
      </c>
      <c r="N475" s="36" t="str">
        <f ca="1">IFERROR(__xludf.DUMMYFUNCTION("""COMPUTED_VALUE"""),"")</f>
        <v/>
      </c>
      <c r="O475" s="36" t="str">
        <f ca="1">IFERROR(__xludf.DUMMYFUNCTION("""COMPUTED_VALUE"""),"")</f>
        <v/>
      </c>
      <c r="P475" s="36" t="str">
        <f ca="1">IFERROR(__xludf.DUMMYFUNCTION("""COMPUTED_VALUE"""),"")</f>
        <v/>
      </c>
      <c r="Q475" s="36" t="str">
        <f ca="1">IFERROR(__xludf.DUMMYFUNCTION("""COMPUTED_VALUE"""),"")</f>
        <v/>
      </c>
      <c r="R475" s="36" t="str">
        <f ca="1">IFERROR(__xludf.DUMMYFUNCTION("""COMPUTED_VALUE"""),"")</f>
        <v/>
      </c>
      <c r="S475" s="36" t="str">
        <f ca="1">IFERROR(__xludf.DUMMYFUNCTION("""COMPUTED_VALUE"""),"")</f>
        <v/>
      </c>
      <c r="T475" s="36" t="str">
        <f ca="1">IFERROR(__xludf.DUMMYFUNCTION("""COMPUTED_VALUE"""),"")</f>
        <v/>
      </c>
      <c r="U475" s="36" t="str">
        <f ca="1">IFERROR(__xludf.DUMMYFUNCTION("""COMPUTED_VALUE"""),"")</f>
        <v/>
      </c>
      <c r="V475" s="36" t="str">
        <f ca="1">IFERROR(__xludf.DUMMYFUNCTION("""COMPUTED_VALUE"""),"")</f>
        <v/>
      </c>
      <c r="W475" s="36" t="str">
        <f ca="1">IFERROR(__xludf.DUMMYFUNCTION("""COMPUTED_VALUE"""),"")</f>
        <v/>
      </c>
      <c r="X475" s="36"/>
      <c r="Y475" s="36"/>
      <c r="Z475" s="36"/>
    </row>
    <row r="476" spans="1:26" ht="12.75" hidden="1">
      <c r="A476" s="36" t="str">
        <f ca="1">IFERROR(__xludf.DUMMYFUNCTION("""COMPUTED_VALUE"""),"")</f>
        <v/>
      </c>
      <c r="B476" s="36" t="str">
        <f ca="1">IFERROR(__xludf.DUMMYFUNCTION("""COMPUTED_VALUE"""),"")</f>
        <v/>
      </c>
      <c r="C476" s="36" t="str">
        <f ca="1">IFERROR(__xludf.DUMMYFUNCTION("""COMPUTED_VALUE"""),"")</f>
        <v/>
      </c>
      <c r="D476" s="36" t="str">
        <f ca="1">IFERROR(__xludf.DUMMYFUNCTION("""COMPUTED_VALUE"""),"")</f>
        <v/>
      </c>
      <c r="E476" s="36" t="str">
        <f ca="1">IFERROR(__xludf.DUMMYFUNCTION("""COMPUTED_VALUE"""),"")</f>
        <v/>
      </c>
      <c r="F476" s="36" t="str">
        <f ca="1">IFERROR(__xludf.DUMMYFUNCTION("""COMPUTED_VALUE"""),"")</f>
        <v/>
      </c>
      <c r="G476" s="36" t="str">
        <f ca="1">IFERROR(__xludf.DUMMYFUNCTION("""COMPUTED_VALUE"""),"")</f>
        <v/>
      </c>
      <c r="H476" s="36" t="str">
        <f ca="1">IFERROR(__xludf.DUMMYFUNCTION("""COMPUTED_VALUE"""),"")</f>
        <v/>
      </c>
      <c r="I476" s="36" t="str">
        <f ca="1">IFERROR(__xludf.DUMMYFUNCTION("""COMPUTED_VALUE"""),"")</f>
        <v/>
      </c>
      <c r="J476" s="36" t="str">
        <f ca="1">IFERROR(__xludf.DUMMYFUNCTION("""COMPUTED_VALUE"""),"")</f>
        <v/>
      </c>
      <c r="K476" s="36" t="str">
        <f ca="1">IFERROR(__xludf.DUMMYFUNCTION("""COMPUTED_VALUE"""),"")</f>
        <v/>
      </c>
      <c r="L476" s="36" t="str">
        <f ca="1">IFERROR(__xludf.DUMMYFUNCTION("""COMPUTED_VALUE"""),"")</f>
        <v/>
      </c>
      <c r="M476" s="36" t="str">
        <f ca="1">IFERROR(__xludf.DUMMYFUNCTION("""COMPUTED_VALUE"""),"")</f>
        <v/>
      </c>
      <c r="N476" s="36" t="str">
        <f ca="1">IFERROR(__xludf.DUMMYFUNCTION("""COMPUTED_VALUE"""),"")</f>
        <v/>
      </c>
      <c r="O476" s="36" t="str">
        <f ca="1">IFERROR(__xludf.DUMMYFUNCTION("""COMPUTED_VALUE"""),"")</f>
        <v/>
      </c>
      <c r="P476" s="36" t="str">
        <f ca="1">IFERROR(__xludf.DUMMYFUNCTION("""COMPUTED_VALUE"""),"")</f>
        <v/>
      </c>
      <c r="Q476" s="36" t="str">
        <f ca="1">IFERROR(__xludf.DUMMYFUNCTION("""COMPUTED_VALUE"""),"")</f>
        <v/>
      </c>
      <c r="R476" s="36" t="str">
        <f ca="1">IFERROR(__xludf.DUMMYFUNCTION("""COMPUTED_VALUE"""),"")</f>
        <v/>
      </c>
      <c r="S476" s="36" t="str">
        <f ca="1">IFERROR(__xludf.DUMMYFUNCTION("""COMPUTED_VALUE"""),"")</f>
        <v/>
      </c>
      <c r="T476" s="36" t="str">
        <f ca="1">IFERROR(__xludf.DUMMYFUNCTION("""COMPUTED_VALUE"""),"")</f>
        <v/>
      </c>
      <c r="U476" s="36" t="str">
        <f ca="1">IFERROR(__xludf.DUMMYFUNCTION("""COMPUTED_VALUE"""),"")</f>
        <v/>
      </c>
      <c r="V476" s="36" t="str">
        <f ca="1">IFERROR(__xludf.DUMMYFUNCTION("""COMPUTED_VALUE"""),"")</f>
        <v/>
      </c>
      <c r="W476" s="36" t="str">
        <f ca="1">IFERROR(__xludf.DUMMYFUNCTION("""COMPUTED_VALUE"""),"")</f>
        <v/>
      </c>
      <c r="X476" s="36"/>
      <c r="Y476" s="36"/>
      <c r="Z476" s="36"/>
    </row>
    <row r="477" spans="1:26" ht="12.75" hidden="1">
      <c r="A477" s="36" t="str">
        <f ca="1">IFERROR(__xludf.DUMMYFUNCTION("""COMPUTED_VALUE"""),"")</f>
        <v/>
      </c>
      <c r="B477" s="36" t="str">
        <f ca="1">IFERROR(__xludf.DUMMYFUNCTION("""COMPUTED_VALUE"""),"")</f>
        <v/>
      </c>
      <c r="C477" s="36" t="str">
        <f ca="1">IFERROR(__xludf.DUMMYFUNCTION("""COMPUTED_VALUE"""),"")</f>
        <v/>
      </c>
      <c r="D477" s="36" t="str">
        <f ca="1">IFERROR(__xludf.DUMMYFUNCTION("""COMPUTED_VALUE"""),"")</f>
        <v/>
      </c>
      <c r="E477" s="36" t="str">
        <f ca="1">IFERROR(__xludf.DUMMYFUNCTION("""COMPUTED_VALUE"""),"")</f>
        <v/>
      </c>
      <c r="F477" s="36" t="str">
        <f ca="1">IFERROR(__xludf.DUMMYFUNCTION("""COMPUTED_VALUE"""),"")</f>
        <v/>
      </c>
      <c r="G477" s="36" t="str">
        <f ca="1">IFERROR(__xludf.DUMMYFUNCTION("""COMPUTED_VALUE"""),"")</f>
        <v/>
      </c>
      <c r="H477" s="36" t="str">
        <f ca="1">IFERROR(__xludf.DUMMYFUNCTION("""COMPUTED_VALUE"""),"")</f>
        <v/>
      </c>
      <c r="I477" s="36" t="str">
        <f ca="1">IFERROR(__xludf.DUMMYFUNCTION("""COMPUTED_VALUE"""),"")</f>
        <v/>
      </c>
      <c r="J477" s="36" t="str">
        <f ca="1">IFERROR(__xludf.DUMMYFUNCTION("""COMPUTED_VALUE"""),"")</f>
        <v/>
      </c>
      <c r="K477" s="36" t="str">
        <f ca="1">IFERROR(__xludf.DUMMYFUNCTION("""COMPUTED_VALUE"""),"")</f>
        <v/>
      </c>
      <c r="L477" s="36" t="str">
        <f ca="1">IFERROR(__xludf.DUMMYFUNCTION("""COMPUTED_VALUE"""),"")</f>
        <v/>
      </c>
      <c r="M477" s="36" t="str">
        <f ca="1">IFERROR(__xludf.DUMMYFUNCTION("""COMPUTED_VALUE"""),"")</f>
        <v/>
      </c>
      <c r="N477" s="36" t="str">
        <f ca="1">IFERROR(__xludf.DUMMYFUNCTION("""COMPUTED_VALUE"""),"")</f>
        <v/>
      </c>
      <c r="O477" s="36" t="str">
        <f ca="1">IFERROR(__xludf.DUMMYFUNCTION("""COMPUTED_VALUE"""),"")</f>
        <v/>
      </c>
      <c r="P477" s="36" t="str">
        <f ca="1">IFERROR(__xludf.DUMMYFUNCTION("""COMPUTED_VALUE"""),"")</f>
        <v/>
      </c>
      <c r="Q477" s="36" t="str">
        <f ca="1">IFERROR(__xludf.DUMMYFUNCTION("""COMPUTED_VALUE"""),"")</f>
        <v/>
      </c>
      <c r="R477" s="36" t="str">
        <f ca="1">IFERROR(__xludf.DUMMYFUNCTION("""COMPUTED_VALUE"""),"")</f>
        <v/>
      </c>
      <c r="S477" s="36" t="str">
        <f ca="1">IFERROR(__xludf.DUMMYFUNCTION("""COMPUTED_VALUE"""),"")</f>
        <v/>
      </c>
      <c r="T477" s="36" t="str">
        <f ca="1">IFERROR(__xludf.DUMMYFUNCTION("""COMPUTED_VALUE"""),"")</f>
        <v/>
      </c>
      <c r="U477" s="36" t="str">
        <f ca="1">IFERROR(__xludf.DUMMYFUNCTION("""COMPUTED_VALUE"""),"")</f>
        <v/>
      </c>
      <c r="V477" s="36" t="str">
        <f ca="1">IFERROR(__xludf.DUMMYFUNCTION("""COMPUTED_VALUE"""),"")</f>
        <v/>
      </c>
      <c r="W477" s="36" t="str">
        <f ca="1">IFERROR(__xludf.DUMMYFUNCTION("""COMPUTED_VALUE"""),"")</f>
        <v/>
      </c>
      <c r="X477" s="36"/>
      <c r="Y477" s="36"/>
      <c r="Z477" s="36"/>
    </row>
    <row r="478" spans="1:26" ht="12.75" hidden="1">
      <c r="A478" s="36" t="str">
        <f ca="1">IFERROR(__xludf.DUMMYFUNCTION("""COMPUTED_VALUE"""),"")</f>
        <v/>
      </c>
      <c r="B478" s="36" t="str">
        <f ca="1">IFERROR(__xludf.DUMMYFUNCTION("""COMPUTED_VALUE"""),"")</f>
        <v/>
      </c>
      <c r="C478" s="36" t="str">
        <f ca="1">IFERROR(__xludf.DUMMYFUNCTION("""COMPUTED_VALUE"""),"")</f>
        <v/>
      </c>
      <c r="D478" s="36" t="str">
        <f ca="1">IFERROR(__xludf.DUMMYFUNCTION("""COMPUTED_VALUE"""),"")</f>
        <v/>
      </c>
      <c r="E478" s="36" t="str">
        <f ca="1">IFERROR(__xludf.DUMMYFUNCTION("""COMPUTED_VALUE"""),"")</f>
        <v/>
      </c>
      <c r="F478" s="36" t="str">
        <f ca="1">IFERROR(__xludf.DUMMYFUNCTION("""COMPUTED_VALUE"""),"")</f>
        <v/>
      </c>
      <c r="G478" s="36" t="str">
        <f ca="1">IFERROR(__xludf.DUMMYFUNCTION("""COMPUTED_VALUE"""),"")</f>
        <v/>
      </c>
      <c r="H478" s="36" t="str">
        <f ca="1">IFERROR(__xludf.DUMMYFUNCTION("""COMPUTED_VALUE"""),"")</f>
        <v/>
      </c>
      <c r="I478" s="36" t="str">
        <f ca="1">IFERROR(__xludf.DUMMYFUNCTION("""COMPUTED_VALUE"""),"")</f>
        <v/>
      </c>
      <c r="J478" s="36" t="str">
        <f ca="1">IFERROR(__xludf.DUMMYFUNCTION("""COMPUTED_VALUE"""),"")</f>
        <v/>
      </c>
      <c r="K478" s="36" t="str">
        <f ca="1">IFERROR(__xludf.DUMMYFUNCTION("""COMPUTED_VALUE"""),"")</f>
        <v/>
      </c>
      <c r="L478" s="36" t="str">
        <f ca="1">IFERROR(__xludf.DUMMYFUNCTION("""COMPUTED_VALUE"""),"")</f>
        <v/>
      </c>
      <c r="M478" s="36" t="str">
        <f ca="1">IFERROR(__xludf.DUMMYFUNCTION("""COMPUTED_VALUE"""),"")</f>
        <v/>
      </c>
      <c r="N478" s="36" t="str">
        <f ca="1">IFERROR(__xludf.DUMMYFUNCTION("""COMPUTED_VALUE"""),"")</f>
        <v/>
      </c>
      <c r="O478" s="36" t="str">
        <f ca="1">IFERROR(__xludf.DUMMYFUNCTION("""COMPUTED_VALUE"""),"")</f>
        <v/>
      </c>
      <c r="P478" s="36" t="str">
        <f ca="1">IFERROR(__xludf.DUMMYFUNCTION("""COMPUTED_VALUE"""),"")</f>
        <v/>
      </c>
      <c r="Q478" s="36" t="str">
        <f ca="1">IFERROR(__xludf.DUMMYFUNCTION("""COMPUTED_VALUE"""),"")</f>
        <v/>
      </c>
      <c r="R478" s="36" t="str">
        <f ca="1">IFERROR(__xludf.DUMMYFUNCTION("""COMPUTED_VALUE"""),"")</f>
        <v/>
      </c>
      <c r="S478" s="36" t="str">
        <f ca="1">IFERROR(__xludf.DUMMYFUNCTION("""COMPUTED_VALUE"""),"")</f>
        <v/>
      </c>
      <c r="T478" s="36" t="str">
        <f ca="1">IFERROR(__xludf.DUMMYFUNCTION("""COMPUTED_VALUE"""),"")</f>
        <v/>
      </c>
      <c r="U478" s="36" t="str">
        <f ca="1">IFERROR(__xludf.DUMMYFUNCTION("""COMPUTED_VALUE"""),"")</f>
        <v/>
      </c>
      <c r="V478" s="36" t="str">
        <f ca="1">IFERROR(__xludf.DUMMYFUNCTION("""COMPUTED_VALUE"""),"")</f>
        <v/>
      </c>
      <c r="W478" s="36" t="str">
        <f ca="1">IFERROR(__xludf.DUMMYFUNCTION("""COMPUTED_VALUE"""),"")</f>
        <v/>
      </c>
      <c r="X478" s="36"/>
      <c r="Y478" s="36"/>
      <c r="Z478" s="36"/>
    </row>
    <row r="479" spans="1:26" ht="12.75" hidden="1">
      <c r="A479" s="36" t="str">
        <f ca="1">IFERROR(__xludf.DUMMYFUNCTION("""COMPUTED_VALUE"""),"")</f>
        <v/>
      </c>
      <c r="B479" s="36" t="str">
        <f ca="1">IFERROR(__xludf.DUMMYFUNCTION("""COMPUTED_VALUE"""),"")</f>
        <v/>
      </c>
      <c r="C479" s="36" t="str">
        <f ca="1">IFERROR(__xludf.DUMMYFUNCTION("""COMPUTED_VALUE"""),"")</f>
        <v/>
      </c>
      <c r="D479" s="36" t="str">
        <f ca="1">IFERROR(__xludf.DUMMYFUNCTION("""COMPUTED_VALUE"""),"")</f>
        <v/>
      </c>
      <c r="E479" s="36" t="str">
        <f ca="1">IFERROR(__xludf.DUMMYFUNCTION("""COMPUTED_VALUE"""),"")</f>
        <v/>
      </c>
      <c r="F479" s="36" t="str">
        <f ca="1">IFERROR(__xludf.DUMMYFUNCTION("""COMPUTED_VALUE"""),"")</f>
        <v/>
      </c>
      <c r="G479" s="36" t="str">
        <f ca="1">IFERROR(__xludf.DUMMYFUNCTION("""COMPUTED_VALUE"""),"")</f>
        <v/>
      </c>
      <c r="H479" s="36" t="str">
        <f ca="1">IFERROR(__xludf.DUMMYFUNCTION("""COMPUTED_VALUE"""),"")</f>
        <v/>
      </c>
      <c r="I479" s="36" t="str">
        <f ca="1">IFERROR(__xludf.DUMMYFUNCTION("""COMPUTED_VALUE"""),"")</f>
        <v/>
      </c>
      <c r="J479" s="36" t="str">
        <f ca="1">IFERROR(__xludf.DUMMYFUNCTION("""COMPUTED_VALUE"""),"")</f>
        <v/>
      </c>
      <c r="K479" s="36" t="str">
        <f ca="1">IFERROR(__xludf.DUMMYFUNCTION("""COMPUTED_VALUE"""),"")</f>
        <v/>
      </c>
      <c r="L479" s="36" t="str">
        <f ca="1">IFERROR(__xludf.DUMMYFUNCTION("""COMPUTED_VALUE"""),"")</f>
        <v/>
      </c>
      <c r="M479" s="36" t="str">
        <f ca="1">IFERROR(__xludf.DUMMYFUNCTION("""COMPUTED_VALUE"""),"")</f>
        <v/>
      </c>
      <c r="N479" s="36" t="str">
        <f ca="1">IFERROR(__xludf.DUMMYFUNCTION("""COMPUTED_VALUE"""),"")</f>
        <v/>
      </c>
      <c r="O479" s="36" t="str">
        <f ca="1">IFERROR(__xludf.DUMMYFUNCTION("""COMPUTED_VALUE"""),"")</f>
        <v/>
      </c>
      <c r="P479" s="36" t="str">
        <f ca="1">IFERROR(__xludf.DUMMYFUNCTION("""COMPUTED_VALUE"""),"")</f>
        <v/>
      </c>
      <c r="Q479" s="36" t="str">
        <f ca="1">IFERROR(__xludf.DUMMYFUNCTION("""COMPUTED_VALUE"""),"")</f>
        <v/>
      </c>
      <c r="R479" s="36" t="str">
        <f ca="1">IFERROR(__xludf.DUMMYFUNCTION("""COMPUTED_VALUE"""),"")</f>
        <v/>
      </c>
      <c r="S479" s="36" t="str">
        <f ca="1">IFERROR(__xludf.DUMMYFUNCTION("""COMPUTED_VALUE"""),"")</f>
        <v/>
      </c>
      <c r="T479" s="36" t="str">
        <f ca="1">IFERROR(__xludf.DUMMYFUNCTION("""COMPUTED_VALUE"""),"")</f>
        <v/>
      </c>
      <c r="U479" s="36" t="str">
        <f ca="1">IFERROR(__xludf.DUMMYFUNCTION("""COMPUTED_VALUE"""),"")</f>
        <v/>
      </c>
      <c r="V479" s="36" t="str">
        <f ca="1">IFERROR(__xludf.DUMMYFUNCTION("""COMPUTED_VALUE"""),"")</f>
        <v/>
      </c>
      <c r="W479" s="36" t="str">
        <f ca="1">IFERROR(__xludf.DUMMYFUNCTION("""COMPUTED_VALUE"""),"")</f>
        <v/>
      </c>
      <c r="X479" s="36"/>
      <c r="Y479" s="36"/>
      <c r="Z479" s="36"/>
    </row>
    <row r="480" spans="1:26" ht="12.75" hidden="1">
      <c r="A480" s="36" t="str">
        <f ca="1">IFERROR(__xludf.DUMMYFUNCTION("""COMPUTED_VALUE"""),"")</f>
        <v/>
      </c>
      <c r="B480" s="36" t="str">
        <f ca="1">IFERROR(__xludf.DUMMYFUNCTION("""COMPUTED_VALUE"""),"")</f>
        <v/>
      </c>
      <c r="C480" s="36" t="str">
        <f ca="1">IFERROR(__xludf.DUMMYFUNCTION("""COMPUTED_VALUE"""),"")</f>
        <v/>
      </c>
      <c r="D480" s="36" t="str">
        <f ca="1">IFERROR(__xludf.DUMMYFUNCTION("""COMPUTED_VALUE"""),"")</f>
        <v/>
      </c>
      <c r="E480" s="36" t="str">
        <f ca="1">IFERROR(__xludf.DUMMYFUNCTION("""COMPUTED_VALUE"""),"")</f>
        <v/>
      </c>
      <c r="F480" s="36" t="str">
        <f ca="1">IFERROR(__xludf.DUMMYFUNCTION("""COMPUTED_VALUE"""),"")</f>
        <v/>
      </c>
      <c r="G480" s="36" t="str">
        <f ca="1">IFERROR(__xludf.DUMMYFUNCTION("""COMPUTED_VALUE"""),"")</f>
        <v/>
      </c>
      <c r="H480" s="36" t="str">
        <f ca="1">IFERROR(__xludf.DUMMYFUNCTION("""COMPUTED_VALUE"""),"")</f>
        <v/>
      </c>
      <c r="I480" s="36" t="str">
        <f ca="1">IFERROR(__xludf.DUMMYFUNCTION("""COMPUTED_VALUE"""),"")</f>
        <v/>
      </c>
      <c r="J480" s="36" t="str">
        <f ca="1">IFERROR(__xludf.DUMMYFUNCTION("""COMPUTED_VALUE"""),"")</f>
        <v/>
      </c>
      <c r="K480" s="36" t="str">
        <f ca="1">IFERROR(__xludf.DUMMYFUNCTION("""COMPUTED_VALUE"""),"")</f>
        <v/>
      </c>
      <c r="L480" s="36" t="str">
        <f ca="1">IFERROR(__xludf.DUMMYFUNCTION("""COMPUTED_VALUE"""),"")</f>
        <v/>
      </c>
      <c r="M480" s="36" t="str">
        <f ca="1">IFERROR(__xludf.DUMMYFUNCTION("""COMPUTED_VALUE"""),"")</f>
        <v/>
      </c>
      <c r="N480" s="36" t="str">
        <f ca="1">IFERROR(__xludf.DUMMYFUNCTION("""COMPUTED_VALUE"""),"")</f>
        <v/>
      </c>
      <c r="O480" s="36" t="str">
        <f ca="1">IFERROR(__xludf.DUMMYFUNCTION("""COMPUTED_VALUE"""),"")</f>
        <v/>
      </c>
      <c r="P480" s="36" t="str">
        <f ca="1">IFERROR(__xludf.DUMMYFUNCTION("""COMPUTED_VALUE"""),"")</f>
        <v/>
      </c>
      <c r="Q480" s="36" t="str">
        <f ca="1">IFERROR(__xludf.DUMMYFUNCTION("""COMPUTED_VALUE"""),"")</f>
        <v/>
      </c>
      <c r="R480" s="36" t="str">
        <f ca="1">IFERROR(__xludf.DUMMYFUNCTION("""COMPUTED_VALUE"""),"")</f>
        <v/>
      </c>
      <c r="S480" s="36" t="str">
        <f ca="1">IFERROR(__xludf.DUMMYFUNCTION("""COMPUTED_VALUE"""),"")</f>
        <v/>
      </c>
      <c r="T480" s="36" t="str">
        <f ca="1">IFERROR(__xludf.DUMMYFUNCTION("""COMPUTED_VALUE"""),"")</f>
        <v/>
      </c>
      <c r="U480" s="36" t="str">
        <f ca="1">IFERROR(__xludf.DUMMYFUNCTION("""COMPUTED_VALUE"""),"")</f>
        <v/>
      </c>
      <c r="V480" s="36" t="str">
        <f ca="1">IFERROR(__xludf.DUMMYFUNCTION("""COMPUTED_VALUE"""),"")</f>
        <v/>
      </c>
      <c r="W480" s="36" t="str">
        <f ca="1">IFERROR(__xludf.DUMMYFUNCTION("""COMPUTED_VALUE"""),"")</f>
        <v/>
      </c>
      <c r="X480" s="36"/>
      <c r="Y480" s="36"/>
      <c r="Z480" s="36"/>
    </row>
    <row r="481" spans="1:26" ht="12.75" hidden="1">
      <c r="A481" s="36" t="str">
        <f ca="1">IFERROR(__xludf.DUMMYFUNCTION("""COMPUTED_VALUE"""),"")</f>
        <v/>
      </c>
      <c r="B481" s="36" t="str">
        <f ca="1">IFERROR(__xludf.DUMMYFUNCTION("""COMPUTED_VALUE"""),"")</f>
        <v/>
      </c>
      <c r="C481" s="36" t="str">
        <f ca="1">IFERROR(__xludf.DUMMYFUNCTION("""COMPUTED_VALUE"""),"")</f>
        <v/>
      </c>
      <c r="D481" s="36" t="str">
        <f ca="1">IFERROR(__xludf.DUMMYFUNCTION("""COMPUTED_VALUE"""),"")</f>
        <v/>
      </c>
      <c r="E481" s="36" t="str">
        <f ca="1">IFERROR(__xludf.DUMMYFUNCTION("""COMPUTED_VALUE"""),"")</f>
        <v/>
      </c>
      <c r="F481" s="36" t="str">
        <f ca="1">IFERROR(__xludf.DUMMYFUNCTION("""COMPUTED_VALUE"""),"")</f>
        <v/>
      </c>
      <c r="G481" s="36" t="str">
        <f ca="1">IFERROR(__xludf.DUMMYFUNCTION("""COMPUTED_VALUE"""),"")</f>
        <v/>
      </c>
      <c r="H481" s="36" t="str">
        <f ca="1">IFERROR(__xludf.DUMMYFUNCTION("""COMPUTED_VALUE"""),"")</f>
        <v/>
      </c>
      <c r="I481" s="36" t="str">
        <f ca="1">IFERROR(__xludf.DUMMYFUNCTION("""COMPUTED_VALUE"""),"")</f>
        <v/>
      </c>
      <c r="J481" s="36" t="str">
        <f ca="1">IFERROR(__xludf.DUMMYFUNCTION("""COMPUTED_VALUE"""),"")</f>
        <v/>
      </c>
      <c r="K481" s="36" t="str">
        <f ca="1">IFERROR(__xludf.DUMMYFUNCTION("""COMPUTED_VALUE"""),"")</f>
        <v/>
      </c>
      <c r="L481" s="36" t="str">
        <f ca="1">IFERROR(__xludf.DUMMYFUNCTION("""COMPUTED_VALUE"""),"")</f>
        <v/>
      </c>
      <c r="M481" s="36" t="str">
        <f ca="1">IFERROR(__xludf.DUMMYFUNCTION("""COMPUTED_VALUE"""),"")</f>
        <v/>
      </c>
      <c r="N481" s="36" t="str">
        <f ca="1">IFERROR(__xludf.DUMMYFUNCTION("""COMPUTED_VALUE"""),"")</f>
        <v/>
      </c>
      <c r="O481" s="36" t="str">
        <f ca="1">IFERROR(__xludf.DUMMYFUNCTION("""COMPUTED_VALUE"""),"")</f>
        <v/>
      </c>
      <c r="P481" s="36" t="str">
        <f ca="1">IFERROR(__xludf.DUMMYFUNCTION("""COMPUTED_VALUE"""),"")</f>
        <v/>
      </c>
      <c r="Q481" s="36" t="str">
        <f ca="1">IFERROR(__xludf.DUMMYFUNCTION("""COMPUTED_VALUE"""),"")</f>
        <v/>
      </c>
      <c r="R481" s="36" t="str">
        <f ca="1">IFERROR(__xludf.DUMMYFUNCTION("""COMPUTED_VALUE"""),"")</f>
        <v/>
      </c>
      <c r="S481" s="36" t="str">
        <f ca="1">IFERROR(__xludf.DUMMYFUNCTION("""COMPUTED_VALUE"""),"")</f>
        <v/>
      </c>
      <c r="T481" s="36" t="str">
        <f ca="1">IFERROR(__xludf.DUMMYFUNCTION("""COMPUTED_VALUE"""),"")</f>
        <v/>
      </c>
      <c r="U481" s="36" t="str">
        <f ca="1">IFERROR(__xludf.DUMMYFUNCTION("""COMPUTED_VALUE"""),"")</f>
        <v/>
      </c>
      <c r="V481" s="36" t="str">
        <f ca="1">IFERROR(__xludf.DUMMYFUNCTION("""COMPUTED_VALUE"""),"")</f>
        <v/>
      </c>
      <c r="W481" s="36" t="str">
        <f ca="1">IFERROR(__xludf.DUMMYFUNCTION("""COMPUTED_VALUE"""),"")</f>
        <v/>
      </c>
      <c r="X481" s="36"/>
      <c r="Y481" s="36"/>
      <c r="Z481" s="36"/>
    </row>
    <row r="482" spans="1:26" ht="12.75" hidden="1">
      <c r="A482" s="36" t="str">
        <f ca="1">IFERROR(__xludf.DUMMYFUNCTION("""COMPUTED_VALUE"""),"")</f>
        <v/>
      </c>
      <c r="B482" s="36" t="str">
        <f ca="1">IFERROR(__xludf.DUMMYFUNCTION("""COMPUTED_VALUE"""),"")</f>
        <v/>
      </c>
      <c r="C482" s="36" t="str">
        <f ca="1">IFERROR(__xludf.DUMMYFUNCTION("""COMPUTED_VALUE"""),"")</f>
        <v/>
      </c>
      <c r="D482" s="36" t="str">
        <f ca="1">IFERROR(__xludf.DUMMYFUNCTION("""COMPUTED_VALUE"""),"")</f>
        <v/>
      </c>
      <c r="E482" s="36" t="str">
        <f ca="1">IFERROR(__xludf.DUMMYFUNCTION("""COMPUTED_VALUE"""),"")</f>
        <v/>
      </c>
      <c r="F482" s="36" t="str">
        <f ca="1">IFERROR(__xludf.DUMMYFUNCTION("""COMPUTED_VALUE"""),"")</f>
        <v/>
      </c>
      <c r="G482" s="36" t="str">
        <f ca="1">IFERROR(__xludf.DUMMYFUNCTION("""COMPUTED_VALUE"""),"")</f>
        <v/>
      </c>
      <c r="H482" s="36" t="str">
        <f ca="1">IFERROR(__xludf.DUMMYFUNCTION("""COMPUTED_VALUE"""),"")</f>
        <v/>
      </c>
      <c r="I482" s="36" t="str">
        <f ca="1">IFERROR(__xludf.DUMMYFUNCTION("""COMPUTED_VALUE"""),"")</f>
        <v/>
      </c>
      <c r="J482" s="36" t="str">
        <f ca="1">IFERROR(__xludf.DUMMYFUNCTION("""COMPUTED_VALUE"""),"")</f>
        <v/>
      </c>
      <c r="K482" s="36" t="str">
        <f ca="1">IFERROR(__xludf.DUMMYFUNCTION("""COMPUTED_VALUE"""),"")</f>
        <v/>
      </c>
      <c r="L482" s="36" t="str">
        <f ca="1">IFERROR(__xludf.DUMMYFUNCTION("""COMPUTED_VALUE"""),"")</f>
        <v/>
      </c>
      <c r="M482" s="36" t="str">
        <f ca="1">IFERROR(__xludf.DUMMYFUNCTION("""COMPUTED_VALUE"""),"")</f>
        <v/>
      </c>
      <c r="N482" s="36" t="str">
        <f ca="1">IFERROR(__xludf.DUMMYFUNCTION("""COMPUTED_VALUE"""),"")</f>
        <v/>
      </c>
      <c r="O482" s="36" t="str">
        <f ca="1">IFERROR(__xludf.DUMMYFUNCTION("""COMPUTED_VALUE"""),"")</f>
        <v/>
      </c>
      <c r="P482" s="36" t="str">
        <f ca="1">IFERROR(__xludf.DUMMYFUNCTION("""COMPUTED_VALUE"""),"")</f>
        <v/>
      </c>
      <c r="Q482" s="36" t="str">
        <f ca="1">IFERROR(__xludf.DUMMYFUNCTION("""COMPUTED_VALUE"""),"")</f>
        <v/>
      </c>
      <c r="R482" s="36" t="str">
        <f ca="1">IFERROR(__xludf.DUMMYFUNCTION("""COMPUTED_VALUE"""),"")</f>
        <v/>
      </c>
      <c r="S482" s="36" t="str">
        <f ca="1">IFERROR(__xludf.DUMMYFUNCTION("""COMPUTED_VALUE"""),"")</f>
        <v/>
      </c>
      <c r="T482" s="36" t="str">
        <f ca="1">IFERROR(__xludf.DUMMYFUNCTION("""COMPUTED_VALUE"""),"")</f>
        <v/>
      </c>
      <c r="U482" s="36" t="str">
        <f ca="1">IFERROR(__xludf.DUMMYFUNCTION("""COMPUTED_VALUE"""),"")</f>
        <v/>
      </c>
      <c r="V482" s="36" t="str">
        <f ca="1">IFERROR(__xludf.DUMMYFUNCTION("""COMPUTED_VALUE"""),"")</f>
        <v/>
      </c>
      <c r="W482" s="36" t="str">
        <f ca="1">IFERROR(__xludf.DUMMYFUNCTION("""COMPUTED_VALUE"""),"")</f>
        <v/>
      </c>
      <c r="X482" s="36"/>
      <c r="Y482" s="36"/>
      <c r="Z482" s="36"/>
    </row>
    <row r="483" spans="1:26" ht="12.75" hidden="1">
      <c r="A483" s="36" t="str">
        <f ca="1">IFERROR(__xludf.DUMMYFUNCTION("""COMPUTED_VALUE"""),"")</f>
        <v/>
      </c>
      <c r="B483" s="36" t="str">
        <f ca="1">IFERROR(__xludf.DUMMYFUNCTION("""COMPUTED_VALUE"""),"")</f>
        <v/>
      </c>
      <c r="C483" s="36" t="str">
        <f ca="1">IFERROR(__xludf.DUMMYFUNCTION("""COMPUTED_VALUE"""),"")</f>
        <v/>
      </c>
      <c r="D483" s="36" t="str">
        <f ca="1">IFERROR(__xludf.DUMMYFUNCTION("""COMPUTED_VALUE"""),"")</f>
        <v/>
      </c>
      <c r="E483" s="36" t="str">
        <f ca="1">IFERROR(__xludf.DUMMYFUNCTION("""COMPUTED_VALUE"""),"")</f>
        <v/>
      </c>
      <c r="F483" s="36" t="str">
        <f ca="1">IFERROR(__xludf.DUMMYFUNCTION("""COMPUTED_VALUE"""),"")</f>
        <v/>
      </c>
      <c r="G483" s="36" t="str">
        <f ca="1">IFERROR(__xludf.DUMMYFUNCTION("""COMPUTED_VALUE"""),"")</f>
        <v/>
      </c>
      <c r="H483" s="36" t="str">
        <f ca="1">IFERROR(__xludf.DUMMYFUNCTION("""COMPUTED_VALUE"""),"")</f>
        <v/>
      </c>
      <c r="I483" s="36" t="str">
        <f ca="1">IFERROR(__xludf.DUMMYFUNCTION("""COMPUTED_VALUE"""),"")</f>
        <v/>
      </c>
      <c r="J483" s="36" t="str">
        <f ca="1">IFERROR(__xludf.DUMMYFUNCTION("""COMPUTED_VALUE"""),"")</f>
        <v/>
      </c>
      <c r="K483" s="36" t="str">
        <f ca="1">IFERROR(__xludf.DUMMYFUNCTION("""COMPUTED_VALUE"""),"")</f>
        <v/>
      </c>
      <c r="L483" s="36" t="str">
        <f ca="1">IFERROR(__xludf.DUMMYFUNCTION("""COMPUTED_VALUE"""),"")</f>
        <v/>
      </c>
      <c r="M483" s="36" t="str">
        <f ca="1">IFERROR(__xludf.DUMMYFUNCTION("""COMPUTED_VALUE"""),"")</f>
        <v/>
      </c>
      <c r="N483" s="36" t="str">
        <f ca="1">IFERROR(__xludf.DUMMYFUNCTION("""COMPUTED_VALUE"""),"")</f>
        <v/>
      </c>
      <c r="O483" s="36" t="str">
        <f ca="1">IFERROR(__xludf.DUMMYFUNCTION("""COMPUTED_VALUE"""),"")</f>
        <v/>
      </c>
      <c r="P483" s="36" t="str">
        <f ca="1">IFERROR(__xludf.DUMMYFUNCTION("""COMPUTED_VALUE"""),"")</f>
        <v/>
      </c>
      <c r="Q483" s="36" t="str">
        <f ca="1">IFERROR(__xludf.DUMMYFUNCTION("""COMPUTED_VALUE"""),"")</f>
        <v/>
      </c>
      <c r="R483" s="36" t="str">
        <f ca="1">IFERROR(__xludf.DUMMYFUNCTION("""COMPUTED_VALUE"""),"")</f>
        <v/>
      </c>
      <c r="S483" s="36" t="str">
        <f ca="1">IFERROR(__xludf.DUMMYFUNCTION("""COMPUTED_VALUE"""),"")</f>
        <v/>
      </c>
      <c r="T483" s="36" t="str">
        <f ca="1">IFERROR(__xludf.DUMMYFUNCTION("""COMPUTED_VALUE"""),"")</f>
        <v/>
      </c>
      <c r="U483" s="36" t="str">
        <f ca="1">IFERROR(__xludf.DUMMYFUNCTION("""COMPUTED_VALUE"""),"")</f>
        <v/>
      </c>
      <c r="V483" s="36" t="str">
        <f ca="1">IFERROR(__xludf.DUMMYFUNCTION("""COMPUTED_VALUE"""),"")</f>
        <v/>
      </c>
      <c r="W483" s="36" t="str">
        <f ca="1">IFERROR(__xludf.DUMMYFUNCTION("""COMPUTED_VALUE"""),"")</f>
        <v/>
      </c>
      <c r="X483" s="36"/>
      <c r="Y483" s="36"/>
      <c r="Z483" s="36"/>
    </row>
    <row r="484" spans="1:26" ht="12.75" hidden="1">
      <c r="A484" s="36" t="str">
        <f ca="1">IFERROR(__xludf.DUMMYFUNCTION("""COMPUTED_VALUE"""),"")</f>
        <v/>
      </c>
      <c r="B484" s="36" t="str">
        <f ca="1">IFERROR(__xludf.DUMMYFUNCTION("""COMPUTED_VALUE"""),"")</f>
        <v/>
      </c>
      <c r="C484" s="36" t="str">
        <f ca="1">IFERROR(__xludf.DUMMYFUNCTION("""COMPUTED_VALUE"""),"")</f>
        <v/>
      </c>
      <c r="D484" s="36" t="str">
        <f ca="1">IFERROR(__xludf.DUMMYFUNCTION("""COMPUTED_VALUE"""),"")</f>
        <v/>
      </c>
      <c r="E484" s="36" t="str">
        <f ca="1">IFERROR(__xludf.DUMMYFUNCTION("""COMPUTED_VALUE"""),"")</f>
        <v/>
      </c>
      <c r="F484" s="36" t="str">
        <f ca="1">IFERROR(__xludf.DUMMYFUNCTION("""COMPUTED_VALUE"""),"")</f>
        <v/>
      </c>
      <c r="G484" s="36" t="str">
        <f ca="1">IFERROR(__xludf.DUMMYFUNCTION("""COMPUTED_VALUE"""),"")</f>
        <v/>
      </c>
      <c r="H484" s="36" t="str">
        <f ca="1">IFERROR(__xludf.DUMMYFUNCTION("""COMPUTED_VALUE"""),"")</f>
        <v/>
      </c>
      <c r="I484" s="36" t="str">
        <f ca="1">IFERROR(__xludf.DUMMYFUNCTION("""COMPUTED_VALUE"""),"")</f>
        <v/>
      </c>
      <c r="J484" s="36" t="str">
        <f ca="1">IFERROR(__xludf.DUMMYFUNCTION("""COMPUTED_VALUE"""),"")</f>
        <v/>
      </c>
      <c r="K484" s="36" t="str">
        <f ca="1">IFERROR(__xludf.DUMMYFUNCTION("""COMPUTED_VALUE"""),"")</f>
        <v/>
      </c>
      <c r="L484" s="36" t="str">
        <f ca="1">IFERROR(__xludf.DUMMYFUNCTION("""COMPUTED_VALUE"""),"")</f>
        <v/>
      </c>
      <c r="M484" s="36" t="str">
        <f ca="1">IFERROR(__xludf.DUMMYFUNCTION("""COMPUTED_VALUE"""),"")</f>
        <v/>
      </c>
      <c r="N484" s="36" t="str">
        <f ca="1">IFERROR(__xludf.DUMMYFUNCTION("""COMPUTED_VALUE"""),"")</f>
        <v/>
      </c>
      <c r="O484" s="36" t="str">
        <f ca="1">IFERROR(__xludf.DUMMYFUNCTION("""COMPUTED_VALUE"""),"")</f>
        <v/>
      </c>
      <c r="P484" s="36" t="str">
        <f ca="1">IFERROR(__xludf.DUMMYFUNCTION("""COMPUTED_VALUE"""),"")</f>
        <v/>
      </c>
      <c r="Q484" s="36" t="str">
        <f ca="1">IFERROR(__xludf.DUMMYFUNCTION("""COMPUTED_VALUE"""),"")</f>
        <v/>
      </c>
      <c r="R484" s="36" t="str">
        <f ca="1">IFERROR(__xludf.DUMMYFUNCTION("""COMPUTED_VALUE"""),"")</f>
        <v/>
      </c>
      <c r="S484" s="36" t="str">
        <f ca="1">IFERROR(__xludf.DUMMYFUNCTION("""COMPUTED_VALUE"""),"")</f>
        <v/>
      </c>
      <c r="T484" s="36" t="str">
        <f ca="1">IFERROR(__xludf.DUMMYFUNCTION("""COMPUTED_VALUE"""),"")</f>
        <v/>
      </c>
      <c r="U484" s="36" t="str">
        <f ca="1">IFERROR(__xludf.DUMMYFUNCTION("""COMPUTED_VALUE"""),"")</f>
        <v/>
      </c>
      <c r="V484" s="36" t="str">
        <f ca="1">IFERROR(__xludf.DUMMYFUNCTION("""COMPUTED_VALUE"""),"")</f>
        <v/>
      </c>
      <c r="W484" s="36" t="str">
        <f ca="1">IFERROR(__xludf.DUMMYFUNCTION("""COMPUTED_VALUE"""),"")</f>
        <v/>
      </c>
      <c r="X484" s="36"/>
      <c r="Y484" s="36"/>
      <c r="Z484" s="36"/>
    </row>
    <row r="485" spans="1:26" ht="12.75" hidden="1">
      <c r="A485" s="36" t="str">
        <f ca="1">IFERROR(__xludf.DUMMYFUNCTION("""COMPUTED_VALUE"""),"")</f>
        <v/>
      </c>
      <c r="B485" s="36" t="str">
        <f ca="1">IFERROR(__xludf.DUMMYFUNCTION("""COMPUTED_VALUE"""),"")</f>
        <v/>
      </c>
      <c r="C485" s="36" t="str">
        <f ca="1">IFERROR(__xludf.DUMMYFUNCTION("""COMPUTED_VALUE"""),"")</f>
        <v/>
      </c>
      <c r="D485" s="36" t="str">
        <f ca="1">IFERROR(__xludf.DUMMYFUNCTION("""COMPUTED_VALUE"""),"")</f>
        <v/>
      </c>
      <c r="E485" s="36" t="str">
        <f ca="1">IFERROR(__xludf.DUMMYFUNCTION("""COMPUTED_VALUE"""),"")</f>
        <v/>
      </c>
      <c r="F485" s="36" t="str">
        <f ca="1">IFERROR(__xludf.DUMMYFUNCTION("""COMPUTED_VALUE"""),"")</f>
        <v/>
      </c>
      <c r="G485" s="36" t="str">
        <f ca="1">IFERROR(__xludf.DUMMYFUNCTION("""COMPUTED_VALUE"""),"")</f>
        <v/>
      </c>
      <c r="H485" s="36" t="str">
        <f ca="1">IFERROR(__xludf.DUMMYFUNCTION("""COMPUTED_VALUE"""),"")</f>
        <v/>
      </c>
      <c r="I485" s="36" t="str">
        <f ca="1">IFERROR(__xludf.DUMMYFUNCTION("""COMPUTED_VALUE"""),"")</f>
        <v/>
      </c>
      <c r="J485" s="36" t="str">
        <f ca="1">IFERROR(__xludf.DUMMYFUNCTION("""COMPUTED_VALUE"""),"")</f>
        <v/>
      </c>
      <c r="K485" s="36" t="str">
        <f ca="1">IFERROR(__xludf.DUMMYFUNCTION("""COMPUTED_VALUE"""),"")</f>
        <v/>
      </c>
      <c r="L485" s="36" t="str">
        <f ca="1">IFERROR(__xludf.DUMMYFUNCTION("""COMPUTED_VALUE"""),"")</f>
        <v/>
      </c>
      <c r="M485" s="36" t="str">
        <f ca="1">IFERROR(__xludf.DUMMYFUNCTION("""COMPUTED_VALUE"""),"")</f>
        <v/>
      </c>
      <c r="N485" s="36" t="str">
        <f ca="1">IFERROR(__xludf.DUMMYFUNCTION("""COMPUTED_VALUE"""),"")</f>
        <v/>
      </c>
      <c r="O485" s="36" t="str">
        <f ca="1">IFERROR(__xludf.DUMMYFUNCTION("""COMPUTED_VALUE"""),"")</f>
        <v/>
      </c>
      <c r="P485" s="36" t="str">
        <f ca="1">IFERROR(__xludf.DUMMYFUNCTION("""COMPUTED_VALUE"""),"")</f>
        <v/>
      </c>
      <c r="Q485" s="36" t="str">
        <f ca="1">IFERROR(__xludf.DUMMYFUNCTION("""COMPUTED_VALUE"""),"")</f>
        <v/>
      </c>
      <c r="R485" s="36" t="str">
        <f ca="1">IFERROR(__xludf.DUMMYFUNCTION("""COMPUTED_VALUE"""),"")</f>
        <v/>
      </c>
      <c r="S485" s="36" t="str">
        <f ca="1">IFERROR(__xludf.DUMMYFUNCTION("""COMPUTED_VALUE"""),"")</f>
        <v/>
      </c>
      <c r="T485" s="36" t="str">
        <f ca="1">IFERROR(__xludf.DUMMYFUNCTION("""COMPUTED_VALUE"""),"")</f>
        <v/>
      </c>
      <c r="U485" s="36" t="str">
        <f ca="1">IFERROR(__xludf.DUMMYFUNCTION("""COMPUTED_VALUE"""),"")</f>
        <v/>
      </c>
      <c r="V485" s="36" t="str">
        <f ca="1">IFERROR(__xludf.DUMMYFUNCTION("""COMPUTED_VALUE"""),"")</f>
        <v/>
      </c>
      <c r="W485" s="36" t="str">
        <f ca="1">IFERROR(__xludf.DUMMYFUNCTION("""COMPUTED_VALUE"""),"")</f>
        <v/>
      </c>
      <c r="X485" s="36"/>
      <c r="Y485" s="36"/>
      <c r="Z485" s="36"/>
    </row>
    <row r="486" spans="1:26" ht="12.75" hidden="1">
      <c r="A486" s="36" t="str">
        <f ca="1">IFERROR(__xludf.DUMMYFUNCTION("""COMPUTED_VALUE"""),"")</f>
        <v/>
      </c>
      <c r="B486" s="36" t="str">
        <f ca="1">IFERROR(__xludf.DUMMYFUNCTION("""COMPUTED_VALUE"""),"")</f>
        <v/>
      </c>
      <c r="C486" s="36" t="str">
        <f ca="1">IFERROR(__xludf.DUMMYFUNCTION("""COMPUTED_VALUE"""),"")</f>
        <v/>
      </c>
      <c r="D486" s="36" t="str">
        <f ca="1">IFERROR(__xludf.DUMMYFUNCTION("""COMPUTED_VALUE"""),"")</f>
        <v/>
      </c>
      <c r="E486" s="36" t="str">
        <f ca="1">IFERROR(__xludf.DUMMYFUNCTION("""COMPUTED_VALUE"""),"")</f>
        <v/>
      </c>
      <c r="F486" s="36" t="str">
        <f ca="1">IFERROR(__xludf.DUMMYFUNCTION("""COMPUTED_VALUE"""),"")</f>
        <v/>
      </c>
      <c r="G486" s="36" t="str">
        <f ca="1">IFERROR(__xludf.DUMMYFUNCTION("""COMPUTED_VALUE"""),"")</f>
        <v/>
      </c>
      <c r="H486" s="36" t="str">
        <f ca="1">IFERROR(__xludf.DUMMYFUNCTION("""COMPUTED_VALUE"""),"")</f>
        <v/>
      </c>
      <c r="I486" s="36" t="str">
        <f ca="1">IFERROR(__xludf.DUMMYFUNCTION("""COMPUTED_VALUE"""),"")</f>
        <v/>
      </c>
      <c r="J486" s="36" t="str">
        <f ca="1">IFERROR(__xludf.DUMMYFUNCTION("""COMPUTED_VALUE"""),"")</f>
        <v/>
      </c>
      <c r="K486" s="36" t="str">
        <f ca="1">IFERROR(__xludf.DUMMYFUNCTION("""COMPUTED_VALUE"""),"")</f>
        <v/>
      </c>
      <c r="L486" s="36" t="str">
        <f ca="1">IFERROR(__xludf.DUMMYFUNCTION("""COMPUTED_VALUE"""),"")</f>
        <v/>
      </c>
      <c r="M486" s="36" t="str">
        <f ca="1">IFERROR(__xludf.DUMMYFUNCTION("""COMPUTED_VALUE"""),"")</f>
        <v/>
      </c>
      <c r="N486" s="36" t="str">
        <f ca="1">IFERROR(__xludf.DUMMYFUNCTION("""COMPUTED_VALUE"""),"")</f>
        <v/>
      </c>
      <c r="O486" s="36" t="str">
        <f ca="1">IFERROR(__xludf.DUMMYFUNCTION("""COMPUTED_VALUE"""),"")</f>
        <v/>
      </c>
      <c r="P486" s="36" t="str">
        <f ca="1">IFERROR(__xludf.DUMMYFUNCTION("""COMPUTED_VALUE"""),"")</f>
        <v/>
      </c>
      <c r="Q486" s="36" t="str">
        <f ca="1">IFERROR(__xludf.DUMMYFUNCTION("""COMPUTED_VALUE"""),"")</f>
        <v/>
      </c>
      <c r="R486" s="36" t="str">
        <f ca="1">IFERROR(__xludf.DUMMYFUNCTION("""COMPUTED_VALUE"""),"")</f>
        <v/>
      </c>
      <c r="S486" s="36" t="str">
        <f ca="1">IFERROR(__xludf.DUMMYFUNCTION("""COMPUTED_VALUE"""),"")</f>
        <v/>
      </c>
      <c r="T486" s="36" t="str">
        <f ca="1">IFERROR(__xludf.DUMMYFUNCTION("""COMPUTED_VALUE"""),"")</f>
        <v/>
      </c>
      <c r="U486" s="36" t="str">
        <f ca="1">IFERROR(__xludf.DUMMYFUNCTION("""COMPUTED_VALUE"""),"")</f>
        <v/>
      </c>
      <c r="V486" s="36" t="str">
        <f ca="1">IFERROR(__xludf.DUMMYFUNCTION("""COMPUTED_VALUE"""),"")</f>
        <v/>
      </c>
      <c r="W486" s="36" t="str">
        <f ca="1">IFERROR(__xludf.DUMMYFUNCTION("""COMPUTED_VALUE"""),"")</f>
        <v/>
      </c>
      <c r="X486" s="36"/>
      <c r="Y486" s="36"/>
      <c r="Z486" s="36"/>
    </row>
    <row r="487" spans="1:26" ht="12.75" hidden="1">
      <c r="A487" s="36" t="str">
        <f ca="1">IFERROR(__xludf.DUMMYFUNCTION("""COMPUTED_VALUE"""),"")</f>
        <v/>
      </c>
      <c r="B487" s="36" t="str">
        <f ca="1">IFERROR(__xludf.DUMMYFUNCTION("""COMPUTED_VALUE"""),"")</f>
        <v/>
      </c>
      <c r="C487" s="36" t="str">
        <f ca="1">IFERROR(__xludf.DUMMYFUNCTION("""COMPUTED_VALUE"""),"")</f>
        <v/>
      </c>
      <c r="D487" s="36" t="str">
        <f ca="1">IFERROR(__xludf.DUMMYFUNCTION("""COMPUTED_VALUE"""),"")</f>
        <v/>
      </c>
      <c r="E487" s="36" t="str">
        <f ca="1">IFERROR(__xludf.DUMMYFUNCTION("""COMPUTED_VALUE"""),"")</f>
        <v/>
      </c>
      <c r="F487" s="36" t="str">
        <f ca="1">IFERROR(__xludf.DUMMYFUNCTION("""COMPUTED_VALUE"""),"")</f>
        <v/>
      </c>
      <c r="G487" s="36" t="str">
        <f ca="1">IFERROR(__xludf.DUMMYFUNCTION("""COMPUTED_VALUE"""),"")</f>
        <v/>
      </c>
      <c r="H487" s="36" t="str">
        <f ca="1">IFERROR(__xludf.DUMMYFUNCTION("""COMPUTED_VALUE"""),"")</f>
        <v/>
      </c>
      <c r="I487" s="36" t="str">
        <f ca="1">IFERROR(__xludf.DUMMYFUNCTION("""COMPUTED_VALUE"""),"")</f>
        <v/>
      </c>
      <c r="J487" s="36" t="str">
        <f ca="1">IFERROR(__xludf.DUMMYFUNCTION("""COMPUTED_VALUE"""),"")</f>
        <v/>
      </c>
      <c r="K487" s="36" t="str">
        <f ca="1">IFERROR(__xludf.DUMMYFUNCTION("""COMPUTED_VALUE"""),"")</f>
        <v/>
      </c>
      <c r="L487" s="36" t="str">
        <f ca="1">IFERROR(__xludf.DUMMYFUNCTION("""COMPUTED_VALUE"""),"")</f>
        <v/>
      </c>
      <c r="M487" s="36" t="str">
        <f ca="1">IFERROR(__xludf.DUMMYFUNCTION("""COMPUTED_VALUE"""),"")</f>
        <v/>
      </c>
      <c r="N487" s="36" t="str">
        <f ca="1">IFERROR(__xludf.DUMMYFUNCTION("""COMPUTED_VALUE"""),"")</f>
        <v/>
      </c>
      <c r="O487" s="36" t="str">
        <f ca="1">IFERROR(__xludf.DUMMYFUNCTION("""COMPUTED_VALUE"""),"")</f>
        <v/>
      </c>
      <c r="P487" s="36" t="str">
        <f ca="1">IFERROR(__xludf.DUMMYFUNCTION("""COMPUTED_VALUE"""),"")</f>
        <v/>
      </c>
      <c r="Q487" s="36" t="str">
        <f ca="1">IFERROR(__xludf.DUMMYFUNCTION("""COMPUTED_VALUE"""),"")</f>
        <v/>
      </c>
      <c r="R487" s="36" t="str">
        <f ca="1">IFERROR(__xludf.DUMMYFUNCTION("""COMPUTED_VALUE"""),"")</f>
        <v/>
      </c>
      <c r="S487" s="36" t="str">
        <f ca="1">IFERROR(__xludf.DUMMYFUNCTION("""COMPUTED_VALUE"""),"")</f>
        <v/>
      </c>
      <c r="T487" s="36" t="str">
        <f ca="1">IFERROR(__xludf.DUMMYFUNCTION("""COMPUTED_VALUE"""),"")</f>
        <v/>
      </c>
      <c r="U487" s="36" t="str">
        <f ca="1">IFERROR(__xludf.DUMMYFUNCTION("""COMPUTED_VALUE"""),"")</f>
        <v/>
      </c>
      <c r="V487" s="36" t="str">
        <f ca="1">IFERROR(__xludf.DUMMYFUNCTION("""COMPUTED_VALUE"""),"")</f>
        <v/>
      </c>
      <c r="W487" s="36" t="str">
        <f ca="1">IFERROR(__xludf.DUMMYFUNCTION("""COMPUTED_VALUE"""),"")</f>
        <v/>
      </c>
      <c r="X487" s="36"/>
      <c r="Y487" s="36"/>
      <c r="Z487" s="36"/>
    </row>
    <row r="488" spans="1:26" ht="12.75" hidden="1">
      <c r="A488" s="36" t="str">
        <f ca="1">IFERROR(__xludf.DUMMYFUNCTION("""COMPUTED_VALUE"""),"")</f>
        <v/>
      </c>
      <c r="B488" s="36" t="str">
        <f ca="1">IFERROR(__xludf.DUMMYFUNCTION("""COMPUTED_VALUE"""),"")</f>
        <v/>
      </c>
      <c r="C488" s="36" t="str">
        <f ca="1">IFERROR(__xludf.DUMMYFUNCTION("""COMPUTED_VALUE"""),"")</f>
        <v/>
      </c>
      <c r="D488" s="36" t="str">
        <f ca="1">IFERROR(__xludf.DUMMYFUNCTION("""COMPUTED_VALUE"""),"")</f>
        <v/>
      </c>
      <c r="E488" s="36" t="str">
        <f ca="1">IFERROR(__xludf.DUMMYFUNCTION("""COMPUTED_VALUE"""),"")</f>
        <v/>
      </c>
      <c r="F488" s="36" t="str">
        <f ca="1">IFERROR(__xludf.DUMMYFUNCTION("""COMPUTED_VALUE"""),"")</f>
        <v/>
      </c>
      <c r="G488" s="36" t="str">
        <f ca="1">IFERROR(__xludf.DUMMYFUNCTION("""COMPUTED_VALUE"""),"")</f>
        <v/>
      </c>
      <c r="H488" s="36" t="str">
        <f ca="1">IFERROR(__xludf.DUMMYFUNCTION("""COMPUTED_VALUE"""),"")</f>
        <v/>
      </c>
      <c r="I488" s="36" t="str">
        <f ca="1">IFERROR(__xludf.DUMMYFUNCTION("""COMPUTED_VALUE"""),"")</f>
        <v/>
      </c>
      <c r="J488" s="36" t="str">
        <f ca="1">IFERROR(__xludf.DUMMYFUNCTION("""COMPUTED_VALUE"""),"")</f>
        <v/>
      </c>
      <c r="K488" s="36" t="str">
        <f ca="1">IFERROR(__xludf.DUMMYFUNCTION("""COMPUTED_VALUE"""),"")</f>
        <v/>
      </c>
      <c r="L488" s="36" t="str">
        <f ca="1">IFERROR(__xludf.DUMMYFUNCTION("""COMPUTED_VALUE"""),"")</f>
        <v/>
      </c>
      <c r="M488" s="36" t="str">
        <f ca="1">IFERROR(__xludf.DUMMYFUNCTION("""COMPUTED_VALUE"""),"")</f>
        <v/>
      </c>
      <c r="N488" s="36" t="str">
        <f ca="1">IFERROR(__xludf.DUMMYFUNCTION("""COMPUTED_VALUE"""),"")</f>
        <v/>
      </c>
      <c r="O488" s="36" t="str">
        <f ca="1">IFERROR(__xludf.DUMMYFUNCTION("""COMPUTED_VALUE"""),"")</f>
        <v/>
      </c>
      <c r="P488" s="36" t="str">
        <f ca="1">IFERROR(__xludf.DUMMYFUNCTION("""COMPUTED_VALUE"""),"")</f>
        <v/>
      </c>
      <c r="Q488" s="36" t="str">
        <f ca="1">IFERROR(__xludf.DUMMYFUNCTION("""COMPUTED_VALUE"""),"")</f>
        <v/>
      </c>
      <c r="R488" s="36" t="str">
        <f ca="1">IFERROR(__xludf.DUMMYFUNCTION("""COMPUTED_VALUE"""),"")</f>
        <v/>
      </c>
      <c r="S488" s="36" t="str">
        <f ca="1">IFERROR(__xludf.DUMMYFUNCTION("""COMPUTED_VALUE"""),"")</f>
        <v/>
      </c>
      <c r="T488" s="36" t="str">
        <f ca="1">IFERROR(__xludf.DUMMYFUNCTION("""COMPUTED_VALUE"""),"")</f>
        <v/>
      </c>
      <c r="U488" s="36" t="str">
        <f ca="1">IFERROR(__xludf.DUMMYFUNCTION("""COMPUTED_VALUE"""),"")</f>
        <v/>
      </c>
      <c r="V488" s="36" t="str">
        <f ca="1">IFERROR(__xludf.DUMMYFUNCTION("""COMPUTED_VALUE"""),"")</f>
        <v/>
      </c>
      <c r="W488" s="36" t="str">
        <f ca="1">IFERROR(__xludf.DUMMYFUNCTION("""COMPUTED_VALUE"""),"")</f>
        <v/>
      </c>
      <c r="X488" s="36"/>
      <c r="Y488" s="36"/>
      <c r="Z488" s="36"/>
    </row>
    <row r="489" spans="1:26" ht="12.75" hidden="1">
      <c r="A489" s="36" t="str">
        <f ca="1">IFERROR(__xludf.DUMMYFUNCTION("""COMPUTED_VALUE"""),"")</f>
        <v/>
      </c>
      <c r="B489" s="36" t="str">
        <f ca="1">IFERROR(__xludf.DUMMYFUNCTION("""COMPUTED_VALUE"""),"")</f>
        <v/>
      </c>
      <c r="C489" s="36" t="str">
        <f ca="1">IFERROR(__xludf.DUMMYFUNCTION("""COMPUTED_VALUE"""),"")</f>
        <v/>
      </c>
      <c r="D489" s="36" t="str">
        <f ca="1">IFERROR(__xludf.DUMMYFUNCTION("""COMPUTED_VALUE"""),"")</f>
        <v/>
      </c>
      <c r="E489" s="36" t="str">
        <f ca="1">IFERROR(__xludf.DUMMYFUNCTION("""COMPUTED_VALUE"""),"")</f>
        <v/>
      </c>
      <c r="F489" s="36" t="str">
        <f ca="1">IFERROR(__xludf.DUMMYFUNCTION("""COMPUTED_VALUE"""),"")</f>
        <v/>
      </c>
      <c r="G489" s="36" t="str">
        <f ca="1">IFERROR(__xludf.DUMMYFUNCTION("""COMPUTED_VALUE"""),"")</f>
        <v/>
      </c>
      <c r="H489" s="36" t="str">
        <f ca="1">IFERROR(__xludf.DUMMYFUNCTION("""COMPUTED_VALUE"""),"")</f>
        <v/>
      </c>
      <c r="I489" s="36" t="str">
        <f ca="1">IFERROR(__xludf.DUMMYFUNCTION("""COMPUTED_VALUE"""),"")</f>
        <v/>
      </c>
      <c r="J489" s="36" t="str">
        <f ca="1">IFERROR(__xludf.DUMMYFUNCTION("""COMPUTED_VALUE"""),"")</f>
        <v/>
      </c>
      <c r="K489" s="36" t="str">
        <f ca="1">IFERROR(__xludf.DUMMYFUNCTION("""COMPUTED_VALUE"""),"")</f>
        <v/>
      </c>
      <c r="L489" s="36" t="str">
        <f ca="1">IFERROR(__xludf.DUMMYFUNCTION("""COMPUTED_VALUE"""),"")</f>
        <v/>
      </c>
      <c r="M489" s="36" t="str">
        <f ca="1">IFERROR(__xludf.DUMMYFUNCTION("""COMPUTED_VALUE"""),"")</f>
        <v/>
      </c>
      <c r="N489" s="36" t="str">
        <f ca="1">IFERROR(__xludf.DUMMYFUNCTION("""COMPUTED_VALUE"""),"")</f>
        <v/>
      </c>
      <c r="O489" s="36" t="str">
        <f ca="1">IFERROR(__xludf.DUMMYFUNCTION("""COMPUTED_VALUE"""),"")</f>
        <v/>
      </c>
      <c r="P489" s="36" t="str">
        <f ca="1">IFERROR(__xludf.DUMMYFUNCTION("""COMPUTED_VALUE"""),"")</f>
        <v/>
      </c>
      <c r="Q489" s="36" t="str">
        <f ca="1">IFERROR(__xludf.DUMMYFUNCTION("""COMPUTED_VALUE"""),"")</f>
        <v/>
      </c>
      <c r="R489" s="36" t="str">
        <f ca="1">IFERROR(__xludf.DUMMYFUNCTION("""COMPUTED_VALUE"""),"")</f>
        <v/>
      </c>
      <c r="S489" s="36" t="str">
        <f ca="1">IFERROR(__xludf.DUMMYFUNCTION("""COMPUTED_VALUE"""),"")</f>
        <v/>
      </c>
      <c r="T489" s="36" t="str">
        <f ca="1">IFERROR(__xludf.DUMMYFUNCTION("""COMPUTED_VALUE"""),"")</f>
        <v/>
      </c>
      <c r="U489" s="36" t="str">
        <f ca="1">IFERROR(__xludf.DUMMYFUNCTION("""COMPUTED_VALUE"""),"")</f>
        <v/>
      </c>
      <c r="V489" s="36" t="str">
        <f ca="1">IFERROR(__xludf.DUMMYFUNCTION("""COMPUTED_VALUE"""),"")</f>
        <v/>
      </c>
      <c r="W489" s="36" t="str">
        <f ca="1">IFERROR(__xludf.DUMMYFUNCTION("""COMPUTED_VALUE"""),"")</f>
        <v/>
      </c>
      <c r="X489" s="36"/>
      <c r="Y489" s="36"/>
      <c r="Z489" s="36"/>
    </row>
    <row r="490" spans="1:26" ht="12.75" hidden="1">
      <c r="A490" s="36" t="str">
        <f ca="1">IFERROR(__xludf.DUMMYFUNCTION("""COMPUTED_VALUE"""),"")</f>
        <v/>
      </c>
      <c r="B490" s="36" t="str">
        <f ca="1">IFERROR(__xludf.DUMMYFUNCTION("""COMPUTED_VALUE"""),"")</f>
        <v/>
      </c>
      <c r="C490" s="36" t="str">
        <f ca="1">IFERROR(__xludf.DUMMYFUNCTION("""COMPUTED_VALUE"""),"")</f>
        <v/>
      </c>
      <c r="D490" s="36" t="str">
        <f ca="1">IFERROR(__xludf.DUMMYFUNCTION("""COMPUTED_VALUE"""),"")</f>
        <v/>
      </c>
      <c r="E490" s="36" t="str">
        <f ca="1">IFERROR(__xludf.DUMMYFUNCTION("""COMPUTED_VALUE"""),"")</f>
        <v/>
      </c>
      <c r="F490" s="36" t="str">
        <f ca="1">IFERROR(__xludf.DUMMYFUNCTION("""COMPUTED_VALUE"""),"")</f>
        <v/>
      </c>
      <c r="G490" s="36" t="str">
        <f ca="1">IFERROR(__xludf.DUMMYFUNCTION("""COMPUTED_VALUE"""),"")</f>
        <v/>
      </c>
      <c r="H490" s="36" t="str">
        <f ca="1">IFERROR(__xludf.DUMMYFUNCTION("""COMPUTED_VALUE"""),"")</f>
        <v/>
      </c>
      <c r="I490" s="36" t="str">
        <f ca="1">IFERROR(__xludf.DUMMYFUNCTION("""COMPUTED_VALUE"""),"")</f>
        <v/>
      </c>
      <c r="J490" s="36" t="str">
        <f ca="1">IFERROR(__xludf.DUMMYFUNCTION("""COMPUTED_VALUE"""),"")</f>
        <v/>
      </c>
      <c r="K490" s="36" t="str">
        <f ca="1">IFERROR(__xludf.DUMMYFUNCTION("""COMPUTED_VALUE"""),"")</f>
        <v/>
      </c>
      <c r="L490" s="36" t="str">
        <f ca="1">IFERROR(__xludf.DUMMYFUNCTION("""COMPUTED_VALUE"""),"")</f>
        <v/>
      </c>
      <c r="M490" s="36" t="str">
        <f ca="1">IFERROR(__xludf.DUMMYFUNCTION("""COMPUTED_VALUE"""),"")</f>
        <v/>
      </c>
      <c r="N490" s="36" t="str">
        <f ca="1">IFERROR(__xludf.DUMMYFUNCTION("""COMPUTED_VALUE"""),"")</f>
        <v/>
      </c>
      <c r="O490" s="36" t="str">
        <f ca="1">IFERROR(__xludf.DUMMYFUNCTION("""COMPUTED_VALUE"""),"")</f>
        <v/>
      </c>
      <c r="P490" s="36" t="str">
        <f ca="1">IFERROR(__xludf.DUMMYFUNCTION("""COMPUTED_VALUE"""),"")</f>
        <v/>
      </c>
      <c r="Q490" s="36" t="str">
        <f ca="1">IFERROR(__xludf.DUMMYFUNCTION("""COMPUTED_VALUE"""),"")</f>
        <v/>
      </c>
      <c r="R490" s="36" t="str">
        <f ca="1">IFERROR(__xludf.DUMMYFUNCTION("""COMPUTED_VALUE"""),"")</f>
        <v/>
      </c>
      <c r="S490" s="36" t="str">
        <f ca="1">IFERROR(__xludf.DUMMYFUNCTION("""COMPUTED_VALUE"""),"")</f>
        <v/>
      </c>
      <c r="T490" s="36" t="str">
        <f ca="1">IFERROR(__xludf.DUMMYFUNCTION("""COMPUTED_VALUE"""),"")</f>
        <v/>
      </c>
      <c r="U490" s="36" t="str">
        <f ca="1">IFERROR(__xludf.DUMMYFUNCTION("""COMPUTED_VALUE"""),"")</f>
        <v/>
      </c>
      <c r="V490" s="36" t="str">
        <f ca="1">IFERROR(__xludf.DUMMYFUNCTION("""COMPUTED_VALUE"""),"")</f>
        <v/>
      </c>
      <c r="W490" s="36" t="str">
        <f ca="1">IFERROR(__xludf.DUMMYFUNCTION("""COMPUTED_VALUE"""),"")</f>
        <v/>
      </c>
      <c r="X490" s="36"/>
      <c r="Y490" s="36"/>
      <c r="Z490" s="36"/>
    </row>
    <row r="491" spans="1:26" ht="12.75" hidden="1">
      <c r="A491" s="36" t="str">
        <f ca="1">IFERROR(__xludf.DUMMYFUNCTION("""COMPUTED_VALUE"""),"")</f>
        <v/>
      </c>
      <c r="B491" s="36" t="str">
        <f ca="1">IFERROR(__xludf.DUMMYFUNCTION("""COMPUTED_VALUE"""),"")</f>
        <v/>
      </c>
      <c r="C491" s="36" t="str">
        <f ca="1">IFERROR(__xludf.DUMMYFUNCTION("""COMPUTED_VALUE"""),"")</f>
        <v/>
      </c>
      <c r="D491" s="36" t="str">
        <f ca="1">IFERROR(__xludf.DUMMYFUNCTION("""COMPUTED_VALUE"""),"")</f>
        <v/>
      </c>
      <c r="E491" s="36" t="str">
        <f ca="1">IFERROR(__xludf.DUMMYFUNCTION("""COMPUTED_VALUE"""),"")</f>
        <v/>
      </c>
      <c r="F491" s="36" t="str">
        <f ca="1">IFERROR(__xludf.DUMMYFUNCTION("""COMPUTED_VALUE"""),"")</f>
        <v/>
      </c>
      <c r="G491" s="36" t="str">
        <f ca="1">IFERROR(__xludf.DUMMYFUNCTION("""COMPUTED_VALUE"""),"")</f>
        <v/>
      </c>
      <c r="H491" s="36" t="str">
        <f ca="1">IFERROR(__xludf.DUMMYFUNCTION("""COMPUTED_VALUE"""),"")</f>
        <v/>
      </c>
      <c r="I491" s="36" t="str">
        <f ca="1">IFERROR(__xludf.DUMMYFUNCTION("""COMPUTED_VALUE"""),"")</f>
        <v/>
      </c>
      <c r="J491" s="36" t="str">
        <f ca="1">IFERROR(__xludf.DUMMYFUNCTION("""COMPUTED_VALUE"""),"")</f>
        <v/>
      </c>
      <c r="K491" s="36" t="str">
        <f ca="1">IFERROR(__xludf.DUMMYFUNCTION("""COMPUTED_VALUE"""),"")</f>
        <v/>
      </c>
      <c r="L491" s="36" t="str">
        <f ca="1">IFERROR(__xludf.DUMMYFUNCTION("""COMPUTED_VALUE"""),"")</f>
        <v/>
      </c>
      <c r="M491" s="36" t="str">
        <f ca="1">IFERROR(__xludf.DUMMYFUNCTION("""COMPUTED_VALUE"""),"")</f>
        <v/>
      </c>
      <c r="N491" s="36" t="str">
        <f ca="1">IFERROR(__xludf.DUMMYFUNCTION("""COMPUTED_VALUE"""),"")</f>
        <v/>
      </c>
      <c r="O491" s="36" t="str">
        <f ca="1">IFERROR(__xludf.DUMMYFUNCTION("""COMPUTED_VALUE"""),"")</f>
        <v/>
      </c>
      <c r="P491" s="36" t="str">
        <f ca="1">IFERROR(__xludf.DUMMYFUNCTION("""COMPUTED_VALUE"""),"")</f>
        <v/>
      </c>
      <c r="Q491" s="36" t="str">
        <f ca="1">IFERROR(__xludf.DUMMYFUNCTION("""COMPUTED_VALUE"""),"")</f>
        <v/>
      </c>
      <c r="R491" s="36" t="str">
        <f ca="1">IFERROR(__xludf.DUMMYFUNCTION("""COMPUTED_VALUE"""),"")</f>
        <v/>
      </c>
      <c r="S491" s="36" t="str">
        <f ca="1">IFERROR(__xludf.DUMMYFUNCTION("""COMPUTED_VALUE"""),"")</f>
        <v/>
      </c>
      <c r="T491" s="36" t="str">
        <f ca="1">IFERROR(__xludf.DUMMYFUNCTION("""COMPUTED_VALUE"""),"")</f>
        <v/>
      </c>
      <c r="U491" s="36" t="str">
        <f ca="1">IFERROR(__xludf.DUMMYFUNCTION("""COMPUTED_VALUE"""),"")</f>
        <v/>
      </c>
      <c r="V491" s="36" t="str">
        <f ca="1">IFERROR(__xludf.DUMMYFUNCTION("""COMPUTED_VALUE"""),"")</f>
        <v/>
      </c>
      <c r="W491" s="36" t="str">
        <f ca="1">IFERROR(__xludf.DUMMYFUNCTION("""COMPUTED_VALUE"""),"")</f>
        <v/>
      </c>
      <c r="X491" s="36"/>
      <c r="Y491" s="36"/>
      <c r="Z491" s="36"/>
    </row>
    <row r="492" spans="1:26" ht="12.75" hidden="1">
      <c r="A492" s="36" t="str">
        <f ca="1">IFERROR(__xludf.DUMMYFUNCTION("""COMPUTED_VALUE"""),"")</f>
        <v/>
      </c>
      <c r="B492" s="36" t="str">
        <f ca="1">IFERROR(__xludf.DUMMYFUNCTION("""COMPUTED_VALUE"""),"")</f>
        <v/>
      </c>
      <c r="C492" s="36" t="str">
        <f ca="1">IFERROR(__xludf.DUMMYFUNCTION("""COMPUTED_VALUE"""),"")</f>
        <v/>
      </c>
      <c r="D492" s="36" t="str">
        <f ca="1">IFERROR(__xludf.DUMMYFUNCTION("""COMPUTED_VALUE"""),"")</f>
        <v/>
      </c>
      <c r="E492" s="36" t="str">
        <f ca="1">IFERROR(__xludf.DUMMYFUNCTION("""COMPUTED_VALUE"""),"")</f>
        <v/>
      </c>
      <c r="F492" s="36" t="str">
        <f ca="1">IFERROR(__xludf.DUMMYFUNCTION("""COMPUTED_VALUE"""),"")</f>
        <v/>
      </c>
      <c r="G492" s="36" t="str">
        <f ca="1">IFERROR(__xludf.DUMMYFUNCTION("""COMPUTED_VALUE"""),"")</f>
        <v/>
      </c>
      <c r="H492" s="36" t="str">
        <f ca="1">IFERROR(__xludf.DUMMYFUNCTION("""COMPUTED_VALUE"""),"")</f>
        <v/>
      </c>
      <c r="I492" s="36" t="str">
        <f ca="1">IFERROR(__xludf.DUMMYFUNCTION("""COMPUTED_VALUE"""),"")</f>
        <v/>
      </c>
      <c r="J492" s="36" t="str">
        <f ca="1">IFERROR(__xludf.DUMMYFUNCTION("""COMPUTED_VALUE"""),"")</f>
        <v/>
      </c>
      <c r="K492" s="36" t="str">
        <f ca="1">IFERROR(__xludf.DUMMYFUNCTION("""COMPUTED_VALUE"""),"")</f>
        <v/>
      </c>
      <c r="L492" s="36" t="str">
        <f ca="1">IFERROR(__xludf.DUMMYFUNCTION("""COMPUTED_VALUE"""),"")</f>
        <v/>
      </c>
      <c r="M492" s="36" t="str">
        <f ca="1">IFERROR(__xludf.DUMMYFUNCTION("""COMPUTED_VALUE"""),"")</f>
        <v/>
      </c>
      <c r="N492" s="36" t="str">
        <f ca="1">IFERROR(__xludf.DUMMYFUNCTION("""COMPUTED_VALUE"""),"")</f>
        <v/>
      </c>
      <c r="O492" s="36" t="str">
        <f ca="1">IFERROR(__xludf.DUMMYFUNCTION("""COMPUTED_VALUE"""),"")</f>
        <v/>
      </c>
      <c r="P492" s="36" t="str">
        <f ca="1">IFERROR(__xludf.DUMMYFUNCTION("""COMPUTED_VALUE"""),"")</f>
        <v/>
      </c>
      <c r="Q492" s="36" t="str">
        <f ca="1">IFERROR(__xludf.DUMMYFUNCTION("""COMPUTED_VALUE"""),"")</f>
        <v/>
      </c>
      <c r="R492" s="36" t="str">
        <f ca="1">IFERROR(__xludf.DUMMYFUNCTION("""COMPUTED_VALUE"""),"")</f>
        <v/>
      </c>
      <c r="S492" s="36" t="str">
        <f ca="1">IFERROR(__xludf.DUMMYFUNCTION("""COMPUTED_VALUE"""),"")</f>
        <v/>
      </c>
      <c r="T492" s="36" t="str">
        <f ca="1">IFERROR(__xludf.DUMMYFUNCTION("""COMPUTED_VALUE"""),"")</f>
        <v/>
      </c>
      <c r="U492" s="36" t="str">
        <f ca="1">IFERROR(__xludf.DUMMYFUNCTION("""COMPUTED_VALUE"""),"")</f>
        <v/>
      </c>
      <c r="V492" s="36" t="str">
        <f ca="1">IFERROR(__xludf.DUMMYFUNCTION("""COMPUTED_VALUE"""),"")</f>
        <v/>
      </c>
      <c r="W492" s="36" t="str">
        <f ca="1">IFERROR(__xludf.DUMMYFUNCTION("""COMPUTED_VALUE"""),"")</f>
        <v/>
      </c>
      <c r="X492" s="36"/>
      <c r="Y492" s="36"/>
      <c r="Z492" s="36"/>
    </row>
    <row r="493" spans="1:26" ht="12.75" hidden="1">
      <c r="A493" s="36" t="str">
        <f ca="1">IFERROR(__xludf.DUMMYFUNCTION("""COMPUTED_VALUE"""),"")</f>
        <v/>
      </c>
      <c r="B493" s="36" t="str">
        <f ca="1">IFERROR(__xludf.DUMMYFUNCTION("""COMPUTED_VALUE"""),"")</f>
        <v/>
      </c>
      <c r="C493" s="36" t="str">
        <f ca="1">IFERROR(__xludf.DUMMYFUNCTION("""COMPUTED_VALUE"""),"")</f>
        <v/>
      </c>
      <c r="D493" s="36" t="str">
        <f ca="1">IFERROR(__xludf.DUMMYFUNCTION("""COMPUTED_VALUE"""),"")</f>
        <v/>
      </c>
      <c r="E493" s="36" t="str">
        <f ca="1">IFERROR(__xludf.DUMMYFUNCTION("""COMPUTED_VALUE"""),"")</f>
        <v/>
      </c>
      <c r="F493" s="36" t="str">
        <f ca="1">IFERROR(__xludf.DUMMYFUNCTION("""COMPUTED_VALUE"""),"")</f>
        <v/>
      </c>
      <c r="G493" s="36" t="str">
        <f ca="1">IFERROR(__xludf.DUMMYFUNCTION("""COMPUTED_VALUE"""),"")</f>
        <v/>
      </c>
      <c r="H493" s="36" t="str">
        <f ca="1">IFERROR(__xludf.DUMMYFUNCTION("""COMPUTED_VALUE"""),"")</f>
        <v/>
      </c>
      <c r="I493" s="36" t="str">
        <f ca="1">IFERROR(__xludf.DUMMYFUNCTION("""COMPUTED_VALUE"""),"")</f>
        <v/>
      </c>
      <c r="J493" s="36" t="str">
        <f ca="1">IFERROR(__xludf.DUMMYFUNCTION("""COMPUTED_VALUE"""),"")</f>
        <v/>
      </c>
      <c r="K493" s="36" t="str">
        <f ca="1">IFERROR(__xludf.DUMMYFUNCTION("""COMPUTED_VALUE"""),"")</f>
        <v/>
      </c>
      <c r="L493" s="36" t="str">
        <f ca="1">IFERROR(__xludf.DUMMYFUNCTION("""COMPUTED_VALUE"""),"")</f>
        <v/>
      </c>
      <c r="M493" s="36" t="str">
        <f ca="1">IFERROR(__xludf.DUMMYFUNCTION("""COMPUTED_VALUE"""),"")</f>
        <v/>
      </c>
      <c r="N493" s="36" t="str">
        <f ca="1">IFERROR(__xludf.DUMMYFUNCTION("""COMPUTED_VALUE"""),"")</f>
        <v/>
      </c>
      <c r="O493" s="36" t="str">
        <f ca="1">IFERROR(__xludf.DUMMYFUNCTION("""COMPUTED_VALUE"""),"")</f>
        <v/>
      </c>
      <c r="P493" s="36" t="str">
        <f ca="1">IFERROR(__xludf.DUMMYFUNCTION("""COMPUTED_VALUE"""),"")</f>
        <v/>
      </c>
      <c r="Q493" s="36" t="str">
        <f ca="1">IFERROR(__xludf.DUMMYFUNCTION("""COMPUTED_VALUE"""),"")</f>
        <v/>
      </c>
      <c r="R493" s="36" t="str">
        <f ca="1">IFERROR(__xludf.DUMMYFUNCTION("""COMPUTED_VALUE"""),"")</f>
        <v/>
      </c>
      <c r="S493" s="36" t="str">
        <f ca="1">IFERROR(__xludf.DUMMYFUNCTION("""COMPUTED_VALUE"""),"")</f>
        <v/>
      </c>
      <c r="T493" s="36" t="str">
        <f ca="1">IFERROR(__xludf.DUMMYFUNCTION("""COMPUTED_VALUE"""),"")</f>
        <v/>
      </c>
      <c r="U493" s="36" t="str">
        <f ca="1">IFERROR(__xludf.DUMMYFUNCTION("""COMPUTED_VALUE"""),"")</f>
        <v/>
      </c>
      <c r="V493" s="36" t="str">
        <f ca="1">IFERROR(__xludf.DUMMYFUNCTION("""COMPUTED_VALUE"""),"")</f>
        <v/>
      </c>
      <c r="W493" s="36" t="str">
        <f ca="1">IFERROR(__xludf.DUMMYFUNCTION("""COMPUTED_VALUE"""),"")</f>
        <v/>
      </c>
      <c r="X493" s="36"/>
      <c r="Y493" s="36"/>
      <c r="Z493" s="36"/>
    </row>
    <row r="494" spans="1:26" ht="12.75" hidden="1">
      <c r="A494" s="36" t="str">
        <f ca="1">IFERROR(__xludf.DUMMYFUNCTION("""COMPUTED_VALUE"""),"")</f>
        <v/>
      </c>
      <c r="B494" s="36" t="str">
        <f ca="1">IFERROR(__xludf.DUMMYFUNCTION("""COMPUTED_VALUE"""),"")</f>
        <v/>
      </c>
      <c r="C494" s="36" t="str">
        <f ca="1">IFERROR(__xludf.DUMMYFUNCTION("""COMPUTED_VALUE"""),"")</f>
        <v/>
      </c>
      <c r="D494" s="36" t="str">
        <f ca="1">IFERROR(__xludf.DUMMYFUNCTION("""COMPUTED_VALUE"""),"")</f>
        <v/>
      </c>
      <c r="E494" s="36" t="str">
        <f ca="1">IFERROR(__xludf.DUMMYFUNCTION("""COMPUTED_VALUE"""),"")</f>
        <v/>
      </c>
      <c r="F494" s="36" t="str">
        <f ca="1">IFERROR(__xludf.DUMMYFUNCTION("""COMPUTED_VALUE"""),"")</f>
        <v/>
      </c>
      <c r="G494" s="36" t="str">
        <f ca="1">IFERROR(__xludf.DUMMYFUNCTION("""COMPUTED_VALUE"""),"")</f>
        <v/>
      </c>
      <c r="H494" s="36" t="str">
        <f ca="1">IFERROR(__xludf.DUMMYFUNCTION("""COMPUTED_VALUE"""),"")</f>
        <v/>
      </c>
      <c r="I494" s="36" t="str">
        <f ca="1">IFERROR(__xludf.DUMMYFUNCTION("""COMPUTED_VALUE"""),"")</f>
        <v/>
      </c>
      <c r="J494" s="36" t="str">
        <f ca="1">IFERROR(__xludf.DUMMYFUNCTION("""COMPUTED_VALUE"""),"")</f>
        <v/>
      </c>
      <c r="K494" s="36" t="str">
        <f ca="1">IFERROR(__xludf.DUMMYFUNCTION("""COMPUTED_VALUE"""),"")</f>
        <v/>
      </c>
      <c r="L494" s="36" t="str">
        <f ca="1">IFERROR(__xludf.DUMMYFUNCTION("""COMPUTED_VALUE"""),"")</f>
        <v/>
      </c>
      <c r="M494" s="36" t="str">
        <f ca="1">IFERROR(__xludf.DUMMYFUNCTION("""COMPUTED_VALUE"""),"")</f>
        <v/>
      </c>
      <c r="N494" s="36" t="str">
        <f ca="1">IFERROR(__xludf.DUMMYFUNCTION("""COMPUTED_VALUE"""),"")</f>
        <v/>
      </c>
      <c r="O494" s="36" t="str">
        <f ca="1">IFERROR(__xludf.DUMMYFUNCTION("""COMPUTED_VALUE"""),"")</f>
        <v/>
      </c>
      <c r="P494" s="36" t="str">
        <f ca="1">IFERROR(__xludf.DUMMYFUNCTION("""COMPUTED_VALUE"""),"")</f>
        <v/>
      </c>
      <c r="Q494" s="36" t="str">
        <f ca="1">IFERROR(__xludf.DUMMYFUNCTION("""COMPUTED_VALUE"""),"")</f>
        <v/>
      </c>
      <c r="R494" s="36" t="str">
        <f ca="1">IFERROR(__xludf.DUMMYFUNCTION("""COMPUTED_VALUE"""),"")</f>
        <v/>
      </c>
      <c r="S494" s="36" t="str">
        <f ca="1">IFERROR(__xludf.DUMMYFUNCTION("""COMPUTED_VALUE"""),"")</f>
        <v/>
      </c>
      <c r="T494" s="36" t="str">
        <f ca="1">IFERROR(__xludf.DUMMYFUNCTION("""COMPUTED_VALUE"""),"")</f>
        <v/>
      </c>
      <c r="U494" s="36" t="str">
        <f ca="1">IFERROR(__xludf.DUMMYFUNCTION("""COMPUTED_VALUE"""),"")</f>
        <v/>
      </c>
      <c r="V494" s="36" t="str">
        <f ca="1">IFERROR(__xludf.DUMMYFUNCTION("""COMPUTED_VALUE"""),"")</f>
        <v/>
      </c>
      <c r="W494" s="36" t="str">
        <f ca="1">IFERROR(__xludf.DUMMYFUNCTION("""COMPUTED_VALUE"""),"")</f>
        <v/>
      </c>
      <c r="X494" s="36"/>
      <c r="Y494" s="36"/>
      <c r="Z494" s="36"/>
    </row>
    <row r="495" spans="1:26" ht="12.75" hidden="1">
      <c r="A495" s="36" t="str">
        <f ca="1">IFERROR(__xludf.DUMMYFUNCTION("""COMPUTED_VALUE"""),"")</f>
        <v/>
      </c>
      <c r="B495" s="36" t="str">
        <f ca="1">IFERROR(__xludf.DUMMYFUNCTION("""COMPUTED_VALUE"""),"")</f>
        <v/>
      </c>
      <c r="C495" s="36" t="str">
        <f ca="1">IFERROR(__xludf.DUMMYFUNCTION("""COMPUTED_VALUE"""),"")</f>
        <v/>
      </c>
      <c r="D495" s="36" t="str">
        <f ca="1">IFERROR(__xludf.DUMMYFUNCTION("""COMPUTED_VALUE"""),"")</f>
        <v/>
      </c>
      <c r="E495" s="36" t="str">
        <f ca="1">IFERROR(__xludf.DUMMYFUNCTION("""COMPUTED_VALUE"""),"")</f>
        <v/>
      </c>
      <c r="F495" s="36" t="str">
        <f ca="1">IFERROR(__xludf.DUMMYFUNCTION("""COMPUTED_VALUE"""),"")</f>
        <v/>
      </c>
      <c r="G495" s="36" t="str">
        <f ca="1">IFERROR(__xludf.DUMMYFUNCTION("""COMPUTED_VALUE"""),"")</f>
        <v/>
      </c>
      <c r="H495" s="36" t="str">
        <f ca="1">IFERROR(__xludf.DUMMYFUNCTION("""COMPUTED_VALUE"""),"")</f>
        <v/>
      </c>
      <c r="I495" s="36" t="str">
        <f ca="1">IFERROR(__xludf.DUMMYFUNCTION("""COMPUTED_VALUE"""),"")</f>
        <v/>
      </c>
      <c r="J495" s="36" t="str">
        <f ca="1">IFERROR(__xludf.DUMMYFUNCTION("""COMPUTED_VALUE"""),"")</f>
        <v/>
      </c>
      <c r="K495" s="36" t="str">
        <f ca="1">IFERROR(__xludf.DUMMYFUNCTION("""COMPUTED_VALUE"""),"")</f>
        <v/>
      </c>
      <c r="L495" s="36" t="str">
        <f ca="1">IFERROR(__xludf.DUMMYFUNCTION("""COMPUTED_VALUE"""),"")</f>
        <v/>
      </c>
      <c r="M495" s="36" t="str">
        <f ca="1">IFERROR(__xludf.DUMMYFUNCTION("""COMPUTED_VALUE"""),"")</f>
        <v/>
      </c>
      <c r="N495" s="36" t="str">
        <f ca="1">IFERROR(__xludf.DUMMYFUNCTION("""COMPUTED_VALUE"""),"")</f>
        <v/>
      </c>
      <c r="O495" s="36" t="str">
        <f ca="1">IFERROR(__xludf.DUMMYFUNCTION("""COMPUTED_VALUE"""),"")</f>
        <v/>
      </c>
      <c r="P495" s="36" t="str">
        <f ca="1">IFERROR(__xludf.DUMMYFUNCTION("""COMPUTED_VALUE"""),"")</f>
        <v/>
      </c>
      <c r="Q495" s="36" t="str">
        <f ca="1">IFERROR(__xludf.DUMMYFUNCTION("""COMPUTED_VALUE"""),"")</f>
        <v/>
      </c>
      <c r="R495" s="36" t="str">
        <f ca="1">IFERROR(__xludf.DUMMYFUNCTION("""COMPUTED_VALUE"""),"")</f>
        <v/>
      </c>
      <c r="S495" s="36" t="str">
        <f ca="1">IFERROR(__xludf.DUMMYFUNCTION("""COMPUTED_VALUE"""),"")</f>
        <v/>
      </c>
      <c r="T495" s="36" t="str">
        <f ca="1">IFERROR(__xludf.DUMMYFUNCTION("""COMPUTED_VALUE"""),"")</f>
        <v/>
      </c>
      <c r="U495" s="36" t="str">
        <f ca="1">IFERROR(__xludf.DUMMYFUNCTION("""COMPUTED_VALUE"""),"")</f>
        <v/>
      </c>
      <c r="V495" s="36" t="str">
        <f ca="1">IFERROR(__xludf.DUMMYFUNCTION("""COMPUTED_VALUE"""),"")</f>
        <v/>
      </c>
      <c r="W495" s="36" t="str">
        <f ca="1">IFERROR(__xludf.DUMMYFUNCTION("""COMPUTED_VALUE"""),"")</f>
        <v/>
      </c>
      <c r="X495" s="36"/>
      <c r="Y495" s="36"/>
      <c r="Z495" s="36"/>
    </row>
    <row r="496" spans="1:26" ht="12.75" hidden="1">
      <c r="A496" s="36" t="str">
        <f ca="1">IFERROR(__xludf.DUMMYFUNCTION("""COMPUTED_VALUE"""),"")</f>
        <v/>
      </c>
      <c r="B496" s="36" t="str">
        <f ca="1">IFERROR(__xludf.DUMMYFUNCTION("""COMPUTED_VALUE"""),"")</f>
        <v/>
      </c>
      <c r="C496" s="36" t="str">
        <f ca="1">IFERROR(__xludf.DUMMYFUNCTION("""COMPUTED_VALUE"""),"")</f>
        <v/>
      </c>
      <c r="D496" s="36" t="str">
        <f ca="1">IFERROR(__xludf.DUMMYFUNCTION("""COMPUTED_VALUE"""),"")</f>
        <v/>
      </c>
      <c r="E496" s="36" t="str">
        <f ca="1">IFERROR(__xludf.DUMMYFUNCTION("""COMPUTED_VALUE"""),"")</f>
        <v/>
      </c>
      <c r="F496" s="36" t="str">
        <f ca="1">IFERROR(__xludf.DUMMYFUNCTION("""COMPUTED_VALUE"""),"")</f>
        <v/>
      </c>
      <c r="G496" s="36" t="str">
        <f ca="1">IFERROR(__xludf.DUMMYFUNCTION("""COMPUTED_VALUE"""),"")</f>
        <v/>
      </c>
      <c r="H496" s="36" t="str">
        <f ca="1">IFERROR(__xludf.DUMMYFUNCTION("""COMPUTED_VALUE"""),"")</f>
        <v/>
      </c>
      <c r="I496" s="36" t="str">
        <f ca="1">IFERROR(__xludf.DUMMYFUNCTION("""COMPUTED_VALUE"""),"")</f>
        <v/>
      </c>
      <c r="J496" s="36" t="str">
        <f ca="1">IFERROR(__xludf.DUMMYFUNCTION("""COMPUTED_VALUE"""),"")</f>
        <v/>
      </c>
      <c r="K496" s="36" t="str">
        <f ca="1">IFERROR(__xludf.DUMMYFUNCTION("""COMPUTED_VALUE"""),"")</f>
        <v/>
      </c>
      <c r="L496" s="36" t="str">
        <f ca="1">IFERROR(__xludf.DUMMYFUNCTION("""COMPUTED_VALUE"""),"")</f>
        <v/>
      </c>
      <c r="M496" s="36" t="str">
        <f ca="1">IFERROR(__xludf.DUMMYFUNCTION("""COMPUTED_VALUE"""),"")</f>
        <v/>
      </c>
      <c r="N496" s="36" t="str">
        <f ca="1">IFERROR(__xludf.DUMMYFUNCTION("""COMPUTED_VALUE"""),"")</f>
        <v/>
      </c>
      <c r="O496" s="36" t="str">
        <f ca="1">IFERROR(__xludf.DUMMYFUNCTION("""COMPUTED_VALUE"""),"")</f>
        <v/>
      </c>
      <c r="P496" s="36" t="str">
        <f ca="1">IFERROR(__xludf.DUMMYFUNCTION("""COMPUTED_VALUE"""),"")</f>
        <v/>
      </c>
      <c r="Q496" s="36" t="str">
        <f ca="1">IFERROR(__xludf.DUMMYFUNCTION("""COMPUTED_VALUE"""),"")</f>
        <v/>
      </c>
      <c r="R496" s="36" t="str">
        <f ca="1">IFERROR(__xludf.DUMMYFUNCTION("""COMPUTED_VALUE"""),"")</f>
        <v/>
      </c>
      <c r="S496" s="36" t="str">
        <f ca="1">IFERROR(__xludf.DUMMYFUNCTION("""COMPUTED_VALUE"""),"")</f>
        <v/>
      </c>
      <c r="T496" s="36" t="str">
        <f ca="1">IFERROR(__xludf.DUMMYFUNCTION("""COMPUTED_VALUE"""),"")</f>
        <v/>
      </c>
      <c r="U496" s="36" t="str">
        <f ca="1">IFERROR(__xludf.DUMMYFUNCTION("""COMPUTED_VALUE"""),"")</f>
        <v/>
      </c>
      <c r="V496" s="36" t="str">
        <f ca="1">IFERROR(__xludf.DUMMYFUNCTION("""COMPUTED_VALUE"""),"")</f>
        <v/>
      </c>
      <c r="W496" s="36" t="str">
        <f ca="1">IFERROR(__xludf.DUMMYFUNCTION("""COMPUTED_VALUE"""),"")</f>
        <v/>
      </c>
      <c r="X496" s="36"/>
      <c r="Y496" s="36"/>
      <c r="Z496" s="36"/>
    </row>
    <row r="497" spans="1:26" ht="12.75" hidden="1">
      <c r="A497" s="36" t="str">
        <f ca="1">IFERROR(__xludf.DUMMYFUNCTION("""COMPUTED_VALUE"""),"")</f>
        <v/>
      </c>
      <c r="B497" s="36" t="str">
        <f ca="1">IFERROR(__xludf.DUMMYFUNCTION("""COMPUTED_VALUE"""),"")</f>
        <v/>
      </c>
      <c r="C497" s="36" t="str">
        <f ca="1">IFERROR(__xludf.DUMMYFUNCTION("""COMPUTED_VALUE"""),"")</f>
        <v/>
      </c>
      <c r="D497" s="36" t="str">
        <f ca="1">IFERROR(__xludf.DUMMYFUNCTION("""COMPUTED_VALUE"""),"")</f>
        <v/>
      </c>
      <c r="E497" s="36" t="str">
        <f ca="1">IFERROR(__xludf.DUMMYFUNCTION("""COMPUTED_VALUE"""),"")</f>
        <v/>
      </c>
      <c r="F497" s="36" t="str">
        <f ca="1">IFERROR(__xludf.DUMMYFUNCTION("""COMPUTED_VALUE"""),"")</f>
        <v/>
      </c>
      <c r="G497" s="36" t="str">
        <f ca="1">IFERROR(__xludf.DUMMYFUNCTION("""COMPUTED_VALUE"""),"")</f>
        <v/>
      </c>
      <c r="H497" s="36" t="str">
        <f ca="1">IFERROR(__xludf.DUMMYFUNCTION("""COMPUTED_VALUE"""),"")</f>
        <v/>
      </c>
      <c r="I497" s="36" t="str">
        <f ca="1">IFERROR(__xludf.DUMMYFUNCTION("""COMPUTED_VALUE"""),"")</f>
        <v/>
      </c>
      <c r="J497" s="36" t="str">
        <f ca="1">IFERROR(__xludf.DUMMYFUNCTION("""COMPUTED_VALUE"""),"")</f>
        <v/>
      </c>
      <c r="K497" s="36" t="str">
        <f ca="1">IFERROR(__xludf.DUMMYFUNCTION("""COMPUTED_VALUE"""),"")</f>
        <v/>
      </c>
      <c r="L497" s="36" t="str">
        <f ca="1">IFERROR(__xludf.DUMMYFUNCTION("""COMPUTED_VALUE"""),"")</f>
        <v/>
      </c>
      <c r="M497" s="36" t="str">
        <f ca="1">IFERROR(__xludf.DUMMYFUNCTION("""COMPUTED_VALUE"""),"")</f>
        <v/>
      </c>
      <c r="N497" s="36" t="str">
        <f ca="1">IFERROR(__xludf.DUMMYFUNCTION("""COMPUTED_VALUE"""),"")</f>
        <v/>
      </c>
      <c r="O497" s="36" t="str">
        <f ca="1">IFERROR(__xludf.DUMMYFUNCTION("""COMPUTED_VALUE"""),"")</f>
        <v/>
      </c>
      <c r="P497" s="36" t="str">
        <f ca="1">IFERROR(__xludf.DUMMYFUNCTION("""COMPUTED_VALUE"""),"")</f>
        <v/>
      </c>
      <c r="Q497" s="36" t="str">
        <f ca="1">IFERROR(__xludf.DUMMYFUNCTION("""COMPUTED_VALUE"""),"")</f>
        <v/>
      </c>
      <c r="R497" s="36" t="str">
        <f ca="1">IFERROR(__xludf.DUMMYFUNCTION("""COMPUTED_VALUE"""),"")</f>
        <v/>
      </c>
      <c r="S497" s="36" t="str">
        <f ca="1">IFERROR(__xludf.DUMMYFUNCTION("""COMPUTED_VALUE"""),"")</f>
        <v/>
      </c>
      <c r="T497" s="36" t="str">
        <f ca="1">IFERROR(__xludf.DUMMYFUNCTION("""COMPUTED_VALUE"""),"")</f>
        <v/>
      </c>
      <c r="U497" s="36" t="str">
        <f ca="1">IFERROR(__xludf.DUMMYFUNCTION("""COMPUTED_VALUE"""),"")</f>
        <v/>
      </c>
      <c r="V497" s="36" t="str">
        <f ca="1">IFERROR(__xludf.DUMMYFUNCTION("""COMPUTED_VALUE"""),"")</f>
        <v/>
      </c>
      <c r="W497" s="36" t="str">
        <f ca="1">IFERROR(__xludf.DUMMYFUNCTION("""COMPUTED_VALUE"""),"")</f>
        <v/>
      </c>
      <c r="X497" s="36"/>
      <c r="Y497" s="36"/>
      <c r="Z497" s="36"/>
    </row>
    <row r="498" spans="1:26" ht="12.75" hidden="1">
      <c r="A498" s="36" t="str">
        <f ca="1">IFERROR(__xludf.DUMMYFUNCTION("""COMPUTED_VALUE"""),"")</f>
        <v/>
      </c>
      <c r="B498" s="36" t="str">
        <f ca="1">IFERROR(__xludf.DUMMYFUNCTION("""COMPUTED_VALUE"""),"")</f>
        <v/>
      </c>
      <c r="C498" s="36" t="str">
        <f ca="1">IFERROR(__xludf.DUMMYFUNCTION("""COMPUTED_VALUE"""),"")</f>
        <v/>
      </c>
      <c r="D498" s="36" t="str">
        <f ca="1">IFERROR(__xludf.DUMMYFUNCTION("""COMPUTED_VALUE"""),"")</f>
        <v/>
      </c>
      <c r="E498" s="36" t="str">
        <f ca="1">IFERROR(__xludf.DUMMYFUNCTION("""COMPUTED_VALUE"""),"")</f>
        <v/>
      </c>
      <c r="F498" s="36" t="str">
        <f ca="1">IFERROR(__xludf.DUMMYFUNCTION("""COMPUTED_VALUE"""),"")</f>
        <v/>
      </c>
      <c r="G498" s="36" t="str">
        <f ca="1">IFERROR(__xludf.DUMMYFUNCTION("""COMPUTED_VALUE"""),"")</f>
        <v/>
      </c>
      <c r="H498" s="36" t="str">
        <f ca="1">IFERROR(__xludf.DUMMYFUNCTION("""COMPUTED_VALUE"""),"")</f>
        <v/>
      </c>
      <c r="I498" s="36" t="str">
        <f ca="1">IFERROR(__xludf.DUMMYFUNCTION("""COMPUTED_VALUE"""),"")</f>
        <v/>
      </c>
      <c r="J498" s="36" t="str">
        <f ca="1">IFERROR(__xludf.DUMMYFUNCTION("""COMPUTED_VALUE"""),"")</f>
        <v/>
      </c>
      <c r="K498" s="36" t="str">
        <f ca="1">IFERROR(__xludf.DUMMYFUNCTION("""COMPUTED_VALUE"""),"")</f>
        <v/>
      </c>
      <c r="L498" s="36" t="str">
        <f ca="1">IFERROR(__xludf.DUMMYFUNCTION("""COMPUTED_VALUE"""),"")</f>
        <v/>
      </c>
      <c r="M498" s="36" t="str">
        <f ca="1">IFERROR(__xludf.DUMMYFUNCTION("""COMPUTED_VALUE"""),"")</f>
        <v/>
      </c>
      <c r="N498" s="36" t="str">
        <f ca="1">IFERROR(__xludf.DUMMYFUNCTION("""COMPUTED_VALUE"""),"")</f>
        <v/>
      </c>
      <c r="O498" s="36" t="str">
        <f ca="1">IFERROR(__xludf.DUMMYFUNCTION("""COMPUTED_VALUE"""),"")</f>
        <v/>
      </c>
      <c r="P498" s="36" t="str">
        <f ca="1">IFERROR(__xludf.DUMMYFUNCTION("""COMPUTED_VALUE"""),"")</f>
        <v/>
      </c>
      <c r="Q498" s="36" t="str">
        <f ca="1">IFERROR(__xludf.DUMMYFUNCTION("""COMPUTED_VALUE"""),"")</f>
        <v/>
      </c>
      <c r="R498" s="36" t="str">
        <f ca="1">IFERROR(__xludf.DUMMYFUNCTION("""COMPUTED_VALUE"""),"")</f>
        <v/>
      </c>
      <c r="S498" s="36" t="str">
        <f ca="1">IFERROR(__xludf.DUMMYFUNCTION("""COMPUTED_VALUE"""),"")</f>
        <v/>
      </c>
      <c r="T498" s="36" t="str">
        <f ca="1">IFERROR(__xludf.DUMMYFUNCTION("""COMPUTED_VALUE"""),"")</f>
        <v/>
      </c>
      <c r="U498" s="36" t="str">
        <f ca="1">IFERROR(__xludf.DUMMYFUNCTION("""COMPUTED_VALUE"""),"")</f>
        <v/>
      </c>
      <c r="V498" s="36" t="str">
        <f ca="1">IFERROR(__xludf.DUMMYFUNCTION("""COMPUTED_VALUE"""),"")</f>
        <v/>
      </c>
      <c r="W498" s="36" t="str">
        <f ca="1">IFERROR(__xludf.DUMMYFUNCTION("""COMPUTED_VALUE"""),"")</f>
        <v/>
      </c>
      <c r="X498" s="36"/>
      <c r="Y498" s="36"/>
      <c r="Z498" s="36"/>
    </row>
    <row r="499" spans="1:26" ht="12.75" hidden="1">
      <c r="A499" s="36" t="str">
        <f ca="1">IFERROR(__xludf.DUMMYFUNCTION("""COMPUTED_VALUE"""),"")</f>
        <v/>
      </c>
      <c r="B499" s="36" t="str">
        <f ca="1">IFERROR(__xludf.DUMMYFUNCTION("""COMPUTED_VALUE"""),"")</f>
        <v/>
      </c>
      <c r="C499" s="36" t="str">
        <f ca="1">IFERROR(__xludf.DUMMYFUNCTION("""COMPUTED_VALUE"""),"")</f>
        <v/>
      </c>
      <c r="D499" s="36" t="str">
        <f ca="1">IFERROR(__xludf.DUMMYFUNCTION("""COMPUTED_VALUE"""),"")</f>
        <v/>
      </c>
      <c r="E499" s="36" t="str">
        <f ca="1">IFERROR(__xludf.DUMMYFUNCTION("""COMPUTED_VALUE"""),"")</f>
        <v/>
      </c>
      <c r="F499" s="36" t="str">
        <f ca="1">IFERROR(__xludf.DUMMYFUNCTION("""COMPUTED_VALUE"""),"")</f>
        <v/>
      </c>
      <c r="G499" s="36" t="str">
        <f ca="1">IFERROR(__xludf.DUMMYFUNCTION("""COMPUTED_VALUE"""),"")</f>
        <v/>
      </c>
      <c r="H499" s="36" t="str">
        <f ca="1">IFERROR(__xludf.DUMMYFUNCTION("""COMPUTED_VALUE"""),"")</f>
        <v/>
      </c>
      <c r="I499" s="36" t="str">
        <f ca="1">IFERROR(__xludf.DUMMYFUNCTION("""COMPUTED_VALUE"""),"")</f>
        <v/>
      </c>
      <c r="J499" s="36" t="str">
        <f ca="1">IFERROR(__xludf.DUMMYFUNCTION("""COMPUTED_VALUE"""),"")</f>
        <v/>
      </c>
      <c r="K499" s="36" t="str">
        <f ca="1">IFERROR(__xludf.DUMMYFUNCTION("""COMPUTED_VALUE"""),"")</f>
        <v/>
      </c>
      <c r="L499" s="36" t="str">
        <f ca="1">IFERROR(__xludf.DUMMYFUNCTION("""COMPUTED_VALUE"""),"")</f>
        <v/>
      </c>
      <c r="M499" s="36" t="str">
        <f ca="1">IFERROR(__xludf.DUMMYFUNCTION("""COMPUTED_VALUE"""),"")</f>
        <v/>
      </c>
      <c r="N499" s="36" t="str">
        <f ca="1">IFERROR(__xludf.DUMMYFUNCTION("""COMPUTED_VALUE"""),"")</f>
        <v/>
      </c>
      <c r="O499" s="36" t="str">
        <f ca="1">IFERROR(__xludf.DUMMYFUNCTION("""COMPUTED_VALUE"""),"")</f>
        <v/>
      </c>
      <c r="P499" s="36" t="str">
        <f ca="1">IFERROR(__xludf.DUMMYFUNCTION("""COMPUTED_VALUE"""),"")</f>
        <v/>
      </c>
      <c r="Q499" s="36" t="str">
        <f ca="1">IFERROR(__xludf.DUMMYFUNCTION("""COMPUTED_VALUE"""),"")</f>
        <v/>
      </c>
      <c r="R499" s="36" t="str">
        <f ca="1">IFERROR(__xludf.DUMMYFUNCTION("""COMPUTED_VALUE"""),"")</f>
        <v/>
      </c>
      <c r="S499" s="36" t="str">
        <f ca="1">IFERROR(__xludf.DUMMYFUNCTION("""COMPUTED_VALUE"""),"")</f>
        <v/>
      </c>
      <c r="T499" s="36" t="str">
        <f ca="1">IFERROR(__xludf.DUMMYFUNCTION("""COMPUTED_VALUE"""),"")</f>
        <v/>
      </c>
      <c r="U499" s="36" t="str">
        <f ca="1">IFERROR(__xludf.DUMMYFUNCTION("""COMPUTED_VALUE"""),"")</f>
        <v/>
      </c>
      <c r="V499" s="36" t="str">
        <f ca="1">IFERROR(__xludf.DUMMYFUNCTION("""COMPUTED_VALUE"""),"")</f>
        <v/>
      </c>
      <c r="W499" s="36" t="str">
        <f ca="1">IFERROR(__xludf.DUMMYFUNCTION("""COMPUTED_VALUE"""),"")</f>
        <v/>
      </c>
      <c r="X499" s="36"/>
      <c r="Y499" s="36"/>
      <c r="Z499" s="36"/>
    </row>
    <row r="500" spans="1:26" ht="12.75" hidden="1">
      <c r="A500" s="36" t="str">
        <f ca="1">IFERROR(__xludf.DUMMYFUNCTION("""COMPUTED_VALUE"""),"")</f>
        <v/>
      </c>
      <c r="B500" s="36" t="str">
        <f ca="1">IFERROR(__xludf.DUMMYFUNCTION("""COMPUTED_VALUE"""),"")</f>
        <v/>
      </c>
      <c r="C500" s="36" t="str">
        <f ca="1">IFERROR(__xludf.DUMMYFUNCTION("""COMPUTED_VALUE"""),"")</f>
        <v/>
      </c>
      <c r="D500" s="36" t="str">
        <f ca="1">IFERROR(__xludf.DUMMYFUNCTION("""COMPUTED_VALUE"""),"")</f>
        <v/>
      </c>
      <c r="E500" s="36" t="str">
        <f ca="1">IFERROR(__xludf.DUMMYFUNCTION("""COMPUTED_VALUE"""),"")</f>
        <v/>
      </c>
      <c r="F500" s="36" t="str">
        <f ca="1">IFERROR(__xludf.DUMMYFUNCTION("""COMPUTED_VALUE"""),"")</f>
        <v/>
      </c>
      <c r="G500" s="36" t="str">
        <f ca="1">IFERROR(__xludf.DUMMYFUNCTION("""COMPUTED_VALUE"""),"")</f>
        <v/>
      </c>
      <c r="H500" s="36" t="str">
        <f ca="1">IFERROR(__xludf.DUMMYFUNCTION("""COMPUTED_VALUE"""),"")</f>
        <v/>
      </c>
      <c r="I500" s="36" t="str">
        <f ca="1">IFERROR(__xludf.DUMMYFUNCTION("""COMPUTED_VALUE"""),"")</f>
        <v/>
      </c>
      <c r="J500" s="36" t="str">
        <f ca="1">IFERROR(__xludf.DUMMYFUNCTION("""COMPUTED_VALUE"""),"")</f>
        <v/>
      </c>
      <c r="K500" s="36" t="str">
        <f ca="1">IFERROR(__xludf.DUMMYFUNCTION("""COMPUTED_VALUE"""),"")</f>
        <v/>
      </c>
      <c r="L500" s="36" t="str">
        <f ca="1">IFERROR(__xludf.DUMMYFUNCTION("""COMPUTED_VALUE"""),"")</f>
        <v/>
      </c>
      <c r="M500" s="36" t="str">
        <f ca="1">IFERROR(__xludf.DUMMYFUNCTION("""COMPUTED_VALUE"""),"")</f>
        <v/>
      </c>
      <c r="N500" s="36" t="str">
        <f ca="1">IFERROR(__xludf.DUMMYFUNCTION("""COMPUTED_VALUE"""),"")</f>
        <v/>
      </c>
      <c r="O500" s="36" t="str">
        <f ca="1">IFERROR(__xludf.DUMMYFUNCTION("""COMPUTED_VALUE"""),"")</f>
        <v/>
      </c>
      <c r="P500" s="36" t="str">
        <f ca="1">IFERROR(__xludf.DUMMYFUNCTION("""COMPUTED_VALUE"""),"")</f>
        <v/>
      </c>
      <c r="Q500" s="36" t="str">
        <f ca="1">IFERROR(__xludf.DUMMYFUNCTION("""COMPUTED_VALUE"""),"")</f>
        <v/>
      </c>
      <c r="R500" s="36" t="str">
        <f ca="1">IFERROR(__xludf.DUMMYFUNCTION("""COMPUTED_VALUE"""),"")</f>
        <v/>
      </c>
      <c r="S500" s="36" t="str">
        <f ca="1">IFERROR(__xludf.DUMMYFUNCTION("""COMPUTED_VALUE"""),"")</f>
        <v/>
      </c>
      <c r="T500" s="36" t="str">
        <f ca="1">IFERROR(__xludf.DUMMYFUNCTION("""COMPUTED_VALUE"""),"")</f>
        <v/>
      </c>
      <c r="U500" s="36" t="str">
        <f ca="1">IFERROR(__xludf.DUMMYFUNCTION("""COMPUTED_VALUE"""),"")</f>
        <v/>
      </c>
      <c r="V500" s="36" t="str">
        <f ca="1">IFERROR(__xludf.DUMMYFUNCTION("""COMPUTED_VALUE"""),"")</f>
        <v/>
      </c>
      <c r="W500" s="36" t="str">
        <f ca="1">IFERROR(__xludf.DUMMYFUNCTION("""COMPUTED_VALUE"""),"")</f>
        <v/>
      </c>
      <c r="X500" s="36"/>
      <c r="Y500" s="36"/>
      <c r="Z500" s="36"/>
    </row>
    <row r="501" spans="1:26" ht="12.75" hidden="1">
      <c r="A501" s="36" t="str">
        <f ca="1">IFERROR(__xludf.DUMMYFUNCTION("""COMPUTED_VALUE"""),"")</f>
        <v/>
      </c>
      <c r="B501" s="36" t="str">
        <f ca="1">IFERROR(__xludf.DUMMYFUNCTION("""COMPUTED_VALUE"""),"")</f>
        <v/>
      </c>
      <c r="C501" s="36" t="str">
        <f ca="1">IFERROR(__xludf.DUMMYFUNCTION("""COMPUTED_VALUE"""),"")</f>
        <v/>
      </c>
      <c r="D501" s="36" t="str">
        <f ca="1">IFERROR(__xludf.DUMMYFUNCTION("""COMPUTED_VALUE"""),"")</f>
        <v/>
      </c>
      <c r="E501" s="36" t="str">
        <f ca="1">IFERROR(__xludf.DUMMYFUNCTION("""COMPUTED_VALUE"""),"")</f>
        <v/>
      </c>
      <c r="F501" s="36" t="str">
        <f ca="1">IFERROR(__xludf.DUMMYFUNCTION("""COMPUTED_VALUE"""),"")</f>
        <v/>
      </c>
      <c r="G501" s="36" t="str">
        <f ca="1">IFERROR(__xludf.DUMMYFUNCTION("""COMPUTED_VALUE"""),"")</f>
        <v/>
      </c>
      <c r="H501" s="36" t="str">
        <f ca="1">IFERROR(__xludf.DUMMYFUNCTION("""COMPUTED_VALUE"""),"")</f>
        <v/>
      </c>
      <c r="I501" s="36" t="str">
        <f ca="1">IFERROR(__xludf.DUMMYFUNCTION("""COMPUTED_VALUE"""),"")</f>
        <v/>
      </c>
      <c r="J501" s="36" t="str">
        <f ca="1">IFERROR(__xludf.DUMMYFUNCTION("""COMPUTED_VALUE"""),"")</f>
        <v/>
      </c>
      <c r="K501" s="36" t="str">
        <f ca="1">IFERROR(__xludf.DUMMYFUNCTION("""COMPUTED_VALUE"""),"")</f>
        <v/>
      </c>
      <c r="L501" s="36" t="str">
        <f ca="1">IFERROR(__xludf.DUMMYFUNCTION("""COMPUTED_VALUE"""),"")</f>
        <v/>
      </c>
      <c r="M501" s="36" t="str">
        <f ca="1">IFERROR(__xludf.DUMMYFUNCTION("""COMPUTED_VALUE"""),"")</f>
        <v/>
      </c>
      <c r="N501" s="36" t="str">
        <f ca="1">IFERROR(__xludf.DUMMYFUNCTION("""COMPUTED_VALUE"""),"")</f>
        <v/>
      </c>
      <c r="O501" s="36" t="str">
        <f ca="1">IFERROR(__xludf.DUMMYFUNCTION("""COMPUTED_VALUE"""),"")</f>
        <v/>
      </c>
      <c r="P501" s="36" t="str">
        <f ca="1">IFERROR(__xludf.DUMMYFUNCTION("""COMPUTED_VALUE"""),"")</f>
        <v/>
      </c>
      <c r="Q501" s="36" t="str">
        <f ca="1">IFERROR(__xludf.DUMMYFUNCTION("""COMPUTED_VALUE"""),"")</f>
        <v/>
      </c>
      <c r="R501" s="36" t="str">
        <f ca="1">IFERROR(__xludf.DUMMYFUNCTION("""COMPUTED_VALUE"""),"")</f>
        <v/>
      </c>
      <c r="S501" s="36" t="str">
        <f ca="1">IFERROR(__xludf.DUMMYFUNCTION("""COMPUTED_VALUE"""),"")</f>
        <v/>
      </c>
      <c r="T501" s="36" t="str">
        <f ca="1">IFERROR(__xludf.DUMMYFUNCTION("""COMPUTED_VALUE"""),"")</f>
        <v/>
      </c>
      <c r="U501" s="36" t="str">
        <f ca="1">IFERROR(__xludf.DUMMYFUNCTION("""COMPUTED_VALUE"""),"")</f>
        <v/>
      </c>
      <c r="V501" s="36" t="str">
        <f ca="1">IFERROR(__xludf.DUMMYFUNCTION("""COMPUTED_VALUE"""),"")</f>
        <v/>
      </c>
      <c r="W501" s="36" t="str">
        <f ca="1">IFERROR(__xludf.DUMMYFUNCTION("""COMPUTED_VALUE"""),"")</f>
        <v/>
      </c>
      <c r="X501" s="36"/>
      <c r="Y501" s="36"/>
      <c r="Z501" s="36"/>
    </row>
    <row r="502" spans="1:26" ht="12.75" hidden="1">
      <c r="A502" s="36" t="str">
        <f ca="1">IFERROR(__xludf.DUMMYFUNCTION("""COMPUTED_VALUE"""),"")</f>
        <v/>
      </c>
      <c r="B502" s="36" t="str">
        <f ca="1">IFERROR(__xludf.DUMMYFUNCTION("""COMPUTED_VALUE"""),"")</f>
        <v/>
      </c>
      <c r="C502" s="36" t="str">
        <f ca="1">IFERROR(__xludf.DUMMYFUNCTION("""COMPUTED_VALUE"""),"")</f>
        <v/>
      </c>
      <c r="D502" s="36" t="str">
        <f ca="1">IFERROR(__xludf.DUMMYFUNCTION("""COMPUTED_VALUE"""),"")</f>
        <v/>
      </c>
      <c r="E502" s="36" t="str">
        <f ca="1">IFERROR(__xludf.DUMMYFUNCTION("""COMPUTED_VALUE"""),"")</f>
        <v/>
      </c>
      <c r="F502" s="36" t="str">
        <f ca="1">IFERROR(__xludf.DUMMYFUNCTION("""COMPUTED_VALUE"""),"")</f>
        <v/>
      </c>
      <c r="G502" s="36" t="str">
        <f ca="1">IFERROR(__xludf.DUMMYFUNCTION("""COMPUTED_VALUE"""),"")</f>
        <v/>
      </c>
      <c r="H502" s="36" t="str">
        <f ca="1">IFERROR(__xludf.DUMMYFUNCTION("""COMPUTED_VALUE"""),"")</f>
        <v/>
      </c>
      <c r="I502" s="36" t="str">
        <f ca="1">IFERROR(__xludf.DUMMYFUNCTION("""COMPUTED_VALUE"""),"")</f>
        <v/>
      </c>
      <c r="J502" s="36" t="str">
        <f ca="1">IFERROR(__xludf.DUMMYFUNCTION("""COMPUTED_VALUE"""),"")</f>
        <v/>
      </c>
      <c r="K502" s="36" t="str">
        <f ca="1">IFERROR(__xludf.DUMMYFUNCTION("""COMPUTED_VALUE"""),"")</f>
        <v/>
      </c>
      <c r="L502" s="36" t="str">
        <f ca="1">IFERROR(__xludf.DUMMYFUNCTION("""COMPUTED_VALUE"""),"")</f>
        <v/>
      </c>
      <c r="M502" s="36" t="str">
        <f ca="1">IFERROR(__xludf.DUMMYFUNCTION("""COMPUTED_VALUE"""),"")</f>
        <v/>
      </c>
      <c r="N502" s="36" t="str">
        <f ca="1">IFERROR(__xludf.DUMMYFUNCTION("""COMPUTED_VALUE"""),"")</f>
        <v/>
      </c>
      <c r="O502" s="36" t="str">
        <f ca="1">IFERROR(__xludf.DUMMYFUNCTION("""COMPUTED_VALUE"""),"")</f>
        <v/>
      </c>
      <c r="P502" s="36" t="str">
        <f ca="1">IFERROR(__xludf.DUMMYFUNCTION("""COMPUTED_VALUE"""),"")</f>
        <v/>
      </c>
      <c r="Q502" s="36" t="str">
        <f ca="1">IFERROR(__xludf.DUMMYFUNCTION("""COMPUTED_VALUE"""),"")</f>
        <v/>
      </c>
      <c r="R502" s="36" t="str">
        <f ca="1">IFERROR(__xludf.DUMMYFUNCTION("""COMPUTED_VALUE"""),"")</f>
        <v/>
      </c>
      <c r="S502" s="36" t="str">
        <f ca="1">IFERROR(__xludf.DUMMYFUNCTION("""COMPUTED_VALUE"""),"")</f>
        <v/>
      </c>
      <c r="T502" s="36" t="str">
        <f ca="1">IFERROR(__xludf.DUMMYFUNCTION("""COMPUTED_VALUE"""),"")</f>
        <v/>
      </c>
      <c r="U502" s="36" t="str">
        <f ca="1">IFERROR(__xludf.DUMMYFUNCTION("""COMPUTED_VALUE"""),"")</f>
        <v/>
      </c>
      <c r="V502" s="36" t="str">
        <f ca="1">IFERROR(__xludf.DUMMYFUNCTION("""COMPUTED_VALUE"""),"")</f>
        <v/>
      </c>
      <c r="W502" s="36" t="str">
        <f ca="1">IFERROR(__xludf.DUMMYFUNCTION("""COMPUTED_VALUE"""),"")</f>
        <v/>
      </c>
      <c r="X502" s="36"/>
      <c r="Y502" s="36"/>
      <c r="Z502" s="36"/>
    </row>
    <row r="503" spans="1:26" ht="12.75" hidden="1">
      <c r="A503" s="36" t="str">
        <f ca="1">IFERROR(__xludf.DUMMYFUNCTION("""COMPUTED_VALUE"""),"")</f>
        <v/>
      </c>
      <c r="B503" s="36" t="str">
        <f ca="1">IFERROR(__xludf.DUMMYFUNCTION("""COMPUTED_VALUE"""),"")</f>
        <v/>
      </c>
      <c r="C503" s="36" t="str">
        <f ca="1">IFERROR(__xludf.DUMMYFUNCTION("""COMPUTED_VALUE"""),"")</f>
        <v/>
      </c>
      <c r="D503" s="36" t="str">
        <f ca="1">IFERROR(__xludf.DUMMYFUNCTION("""COMPUTED_VALUE"""),"")</f>
        <v/>
      </c>
      <c r="E503" s="36" t="str">
        <f ca="1">IFERROR(__xludf.DUMMYFUNCTION("""COMPUTED_VALUE"""),"")</f>
        <v/>
      </c>
      <c r="F503" s="36" t="str">
        <f ca="1">IFERROR(__xludf.DUMMYFUNCTION("""COMPUTED_VALUE"""),"")</f>
        <v/>
      </c>
      <c r="G503" s="36" t="str">
        <f ca="1">IFERROR(__xludf.DUMMYFUNCTION("""COMPUTED_VALUE"""),"")</f>
        <v/>
      </c>
      <c r="H503" s="36" t="str">
        <f ca="1">IFERROR(__xludf.DUMMYFUNCTION("""COMPUTED_VALUE"""),"")</f>
        <v/>
      </c>
      <c r="I503" s="36" t="str">
        <f ca="1">IFERROR(__xludf.DUMMYFUNCTION("""COMPUTED_VALUE"""),"")</f>
        <v/>
      </c>
      <c r="J503" s="36" t="str">
        <f ca="1">IFERROR(__xludf.DUMMYFUNCTION("""COMPUTED_VALUE"""),"")</f>
        <v/>
      </c>
      <c r="K503" s="36" t="str">
        <f ca="1">IFERROR(__xludf.DUMMYFUNCTION("""COMPUTED_VALUE"""),"")</f>
        <v/>
      </c>
      <c r="L503" s="36" t="str">
        <f ca="1">IFERROR(__xludf.DUMMYFUNCTION("""COMPUTED_VALUE"""),"")</f>
        <v/>
      </c>
      <c r="M503" s="36" t="str">
        <f ca="1">IFERROR(__xludf.DUMMYFUNCTION("""COMPUTED_VALUE"""),"")</f>
        <v/>
      </c>
      <c r="N503" s="36" t="str">
        <f ca="1">IFERROR(__xludf.DUMMYFUNCTION("""COMPUTED_VALUE"""),"")</f>
        <v/>
      </c>
      <c r="O503" s="36" t="str">
        <f ca="1">IFERROR(__xludf.DUMMYFUNCTION("""COMPUTED_VALUE"""),"")</f>
        <v/>
      </c>
      <c r="P503" s="36" t="str">
        <f ca="1">IFERROR(__xludf.DUMMYFUNCTION("""COMPUTED_VALUE"""),"")</f>
        <v/>
      </c>
      <c r="Q503" s="36" t="str">
        <f ca="1">IFERROR(__xludf.DUMMYFUNCTION("""COMPUTED_VALUE"""),"")</f>
        <v/>
      </c>
      <c r="R503" s="36" t="str">
        <f ca="1">IFERROR(__xludf.DUMMYFUNCTION("""COMPUTED_VALUE"""),"")</f>
        <v/>
      </c>
      <c r="S503" s="36" t="str">
        <f ca="1">IFERROR(__xludf.DUMMYFUNCTION("""COMPUTED_VALUE"""),"")</f>
        <v/>
      </c>
      <c r="T503" s="36" t="str">
        <f ca="1">IFERROR(__xludf.DUMMYFUNCTION("""COMPUTED_VALUE"""),"")</f>
        <v/>
      </c>
      <c r="U503" s="36" t="str">
        <f ca="1">IFERROR(__xludf.DUMMYFUNCTION("""COMPUTED_VALUE"""),"")</f>
        <v/>
      </c>
      <c r="V503" s="36" t="str">
        <f ca="1">IFERROR(__xludf.DUMMYFUNCTION("""COMPUTED_VALUE"""),"")</f>
        <v/>
      </c>
      <c r="W503" s="36" t="str">
        <f ca="1">IFERROR(__xludf.DUMMYFUNCTION("""COMPUTED_VALUE"""),"")</f>
        <v/>
      </c>
      <c r="X503" s="36"/>
      <c r="Y503" s="36"/>
      <c r="Z503" s="36"/>
    </row>
    <row r="504" spans="1:26" ht="12.75" hidden="1">
      <c r="A504" s="36" t="str">
        <f ca="1">IFERROR(__xludf.DUMMYFUNCTION("""COMPUTED_VALUE"""),"")</f>
        <v/>
      </c>
      <c r="B504" s="36" t="str">
        <f ca="1">IFERROR(__xludf.DUMMYFUNCTION("""COMPUTED_VALUE"""),"")</f>
        <v/>
      </c>
      <c r="C504" s="36" t="str">
        <f ca="1">IFERROR(__xludf.DUMMYFUNCTION("""COMPUTED_VALUE"""),"")</f>
        <v/>
      </c>
      <c r="D504" s="36" t="str">
        <f ca="1">IFERROR(__xludf.DUMMYFUNCTION("""COMPUTED_VALUE"""),"")</f>
        <v/>
      </c>
      <c r="E504" s="36" t="str">
        <f ca="1">IFERROR(__xludf.DUMMYFUNCTION("""COMPUTED_VALUE"""),"")</f>
        <v/>
      </c>
      <c r="F504" s="36" t="str">
        <f ca="1">IFERROR(__xludf.DUMMYFUNCTION("""COMPUTED_VALUE"""),"")</f>
        <v/>
      </c>
      <c r="G504" s="36" t="str">
        <f ca="1">IFERROR(__xludf.DUMMYFUNCTION("""COMPUTED_VALUE"""),"")</f>
        <v/>
      </c>
      <c r="H504" s="36" t="str">
        <f ca="1">IFERROR(__xludf.DUMMYFUNCTION("""COMPUTED_VALUE"""),"")</f>
        <v/>
      </c>
      <c r="I504" s="36" t="str">
        <f ca="1">IFERROR(__xludf.DUMMYFUNCTION("""COMPUTED_VALUE"""),"")</f>
        <v/>
      </c>
      <c r="J504" s="36" t="str">
        <f ca="1">IFERROR(__xludf.DUMMYFUNCTION("""COMPUTED_VALUE"""),"")</f>
        <v/>
      </c>
      <c r="K504" s="36" t="str">
        <f ca="1">IFERROR(__xludf.DUMMYFUNCTION("""COMPUTED_VALUE"""),"")</f>
        <v/>
      </c>
      <c r="L504" s="36" t="str">
        <f ca="1">IFERROR(__xludf.DUMMYFUNCTION("""COMPUTED_VALUE"""),"")</f>
        <v/>
      </c>
      <c r="M504" s="36" t="str">
        <f ca="1">IFERROR(__xludf.DUMMYFUNCTION("""COMPUTED_VALUE"""),"")</f>
        <v/>
      </c>
      <c r="N504" s="36" t="str">
        <f ca="1">IFERROR(__xludf.DUMMYFUNCTION("""COMPUTED_VALUE"""),"")</f>
        <v/>
      </c>
      <c r="O504" s="36" t="str">
        <f ca="1">IFERROR(__xludf.DUMMYFUNCTION("""COMPUTED_VALUE"""),"")</f>
        <v/>
      </c>
      <c r="P504" s="36" t="str">
        <f ca="1">IFERROR(__xludf.DUMMYFUNCTION("""COMPUTED_VALUE"""),"")</f>
        <v/>
      </c>
      <c r="Q504" s="36" t="str">
        <f ca="1">IFERROR(__xludf.DUMMYFUNCTION("""COMPUTED_VALUE"""),"")</f>
        <v/>
      </c>
      <c r="R504" s="36" t="str">
        <f ca="1">IFERROR(__xludf.DUMMYFUNCTION("""COMPUTED_VALUE"""),"")</f>
        <v/>
      </c>
      <c r="S504" s="36" t="str">
        <f ca="1">IFERROR(__xludf.DUMMYFUNCTION("""COMPUTED_VALUE"""),"")</f>
        <v/>
      </c>
      <c r="T504" s="36" t="str">
        <f ca="1">IFERROR(__xludf.DUMMYFUNCTION("""COMPUTED_VALUE"""),"")</f>
        <v/>
      </c>
      <c r="U504" s="36" t="str">
        <f ca="1">IFERROR(__xludf.DUMMYFUNCTION("""COMPUTED_VALUE"""),"")</f>
        <v/>
      </c>
      <c r="V504" s="36" t="str">
        <f ca="1">IFERROR(__xludf.DUMMYFUNCTION("""COMPUTED_VALUE"""),"")</f>
        <v/>
      </c>
      <c r="W504" s="36" t="str">
        <f ca="1">IFERROR(__xludf.DUMMYFUNCTION("""COMPUTED_VALUE"""),"")</f>
        <v/>
      </c>
      <c r="X504" s="36"/>
      <c r="Y504" s="36"/>
      <c r="Z504" s="36"/>
    </row>
    <row r="505" spans="1:26" ht="12.75" hidden="1">
      <c r="A505" s="36" t="str">
        <f ca="1">IFERROR(__xludf.DUMMYFUNCTION("""COMPUTED_VALUE"""),"")</f>
        <v/>
      </c>
      <c r="B505" s="36" t="str">
        <f ca="1">IFERROR(__xludf.DUMMYFUNCTION("""COMPUTED_VALUE"""),"")</f>
        <v/>
      </c>
      <c r="C505" s="36" t="str">
        <f ca="1">IFERROR(__xludf.DUMMYFUNCTION("""COMPUTED_VALUE"""),"")</f>
        <v/>
      </c>
      <c r="D505" s="36" t="str">
        <f ca="1">IFERROR(__xludf.DUMMYFUNCTION("""COMPUTED_VALUE"""),"")</f>
        <v/>
      </c>
      <c r="E505" s="36" t="str">
        <f ca="1">IFERROR(__xludf.DUMMYFUNCTION("""COMPUTED_VALUE"""),"")</f>
        <v/>
      </c>
      <c r="F505" s="36" t="str">
        <f ca="1">IFERROR(__xludf.DUMMYFUNCTION("""COMPUTED_VALUE"""),"")</f>
        <v/>
      </c>
      <c r="G505" s="36" t="str">
        <f ca="1">IFERROR(__xludf.DUMMYFUNCTION("""COMPUTED_VALUE"""),"")</f>
        <v/>
      </c>
      <c r="H505" s="36" t="str">
        <f ca="1">IFERROR(__xludf.DUMMYFUNCTION("""COMPUTED_VALUE"""),"")</f>
        <v/>
      </c>
      <c r="I505" s="36" t="str">
        <f ca="1">IFERROR(__xludf.DUMMYFUNCTION("""COMPUTED_VALUE"""),"")</f>
        <v/>
      </c>
      <c r="J505" s="36" t="str">
        <f ca="1">IFERROR(__xludf.DUMMYFUNCTION("""COMPUTED_VALUE"""),"")</f>
        <v/>
      </c>
      <c r="K505" s="36" t="str">
        <f ca="1">IFERROR(__xludf.DUMMYFUNCTION("""COMPUTED_VALUE"""),"")</f>
        <v/>
      </c>
      <c r="L505" s="36" t="str">
        <f ca="1">IFERROR(__xludf.DUMMYFUNCTION("""COMPUTED_VALUE"""),"")</f>
        <v/>
      </c>
      <c r="M505" s="36" t="str">
        <f ca="1">IFERROR(__xludf.DUMMYFUNCTION("""COMPUTED_VALUE"""),"")</f>
        <v/>
      </c>
      <c r="N505" s="36" t="str">
        <f ca="1">IFERROR(__xludf.DUMMYFUNCTION("""COMPUTED_VALUE"""),"")</f>
        <v/>
      </c>
      <c r="O505" s="36" t="str">
        <f ca="1">IFERROR(__xludf.DUMMYFUNCTION("""COMPUTED_VALUE"""),"")</f>
        <v/>
      </c>
      <c r="P505" s="36" t="str">
        <f ca="1">IFERROR(__xludf.DUMMYFUNCTION("""COMPUTED_VALUE"""),"")</f>
        <v/>
      </c>
      <c r="Q505" s="36" t="str">
        <f ca="1">IFERROR(__xludf.DUMMYFUNCTION("""COMPUTED_VALUE"""),"")</f>
        <v/>
      </c>
      <c r="R505" s="36" t="str">
        <f ca="1">IFERROR(__xludf.DUMMYFUNCTION("""COMPUTED_VALUE"""),"")</f>
        <v/>
      </c>
      <c r="S505" s="36" t="str">
        <f ca="1">IFERROR(__xludf.DUMMYFUNCTION("""COMPUTED_VALUE"""),"")</f>
        <v/>
      </c>
      <c r="T505" s="36" t="str">
        <f ca="1">IFERROR(__xludf.DUMMYFUNCTION("""COMPUTED_VALUE"""),"")</f>
        <v/>
      </c>
      <c r="U505" s="36" t="str">
        <f ca="1">IFERROR(__xludf.DUMMYFUNCTION("""COMPUTED_VALUE"""),"")</f>
        <v/>
      </c>
      <c r="V505" s="36" t="str">
        <f ca="1">IFERROR(__xludf.DUMMYFUNCTION("""COMPUTED_VALUE"""),"")</f>
        <v/>
      </c>
      <c r="W505" s="36" t="str">
        <f ca="1">IFERROR(__xludf.DUMMYFUNCTION("""COMPUTED_VALUE"""),"")</f>
        <v/>
      </c>
      <c r="X505" s="36"/>
      <c r="Y505" s="36"/>
      <c r="Z505" s="36"/>
    </row>
    <row r="506" spans="1:26" ht="12.75" hidden="1">
      <c r="A506" s="36" t="str">
        <f ca="1">IFERROR(__xludf.DUMMYFUNCTION("""COMPUTED_VALUE"""),"")</f>
        <v/>
      </c>
      <c r="B506" s="36" t="str">
        <f ca="1">IFERROR(__xludf.DUMMYFUNCTION("""COMPUTED_VALUE"""),"")</f>
        <v/>
      </c>
      <c r="C506" s="36" t="str">
        <f ca="1">IFERROR(__xludf.DUMMYFUNCTION("""COMPUTED_VALUE"""),"")</f>
        <v/>
      </c>
      <c r="D506" s="36" t="str">
        <f ca="1">IFERROR(__xludf.DUMMYFUNCTION("""COMPUTED_VALUE"""),"")</f>
        <v/>
      </c>
      <c r="E506" s="36" t="str">
        <f ca="1">IFERROR(__xludf.DUMMYFUNCTION("""COMPUTED_VALUE"""),"")</f>
        <v/>
      </c>
      <c r="F506" s="36" t="str">
        <f ca="1">IFERROR(__xludf.DUMMYFUNCTION("""COMPUTED_VALUE"""),"")</f>
        <v/>
      </c>
      <c r="G506" s="36" t="str">
        <f ca="1">IFERROR(__xludf.DUMMYFUNCTION("""COMPUTED_VALUE"""),"")</f>
        <v/>
      </c>
      <c r="H506" s="36" t="str">
        <f ca="1">IFERROR(__xludf.DUMMYFUNCTION("""COMPUTED_VALUE"""),"")</f>
        <v/>
      </c>
      <c r="I506" s="36" t="str">
        <f ca="1">IFERROR(__xludf.DUMMYFUNCTION("""COMPUTED_VALUE"""),"")</f>
        <v/>
      </c>
      <c r="J506" s="36" t="str">
        <f ca="1">IFERROR(__xludf.DUMMYFUNCTION("""COMPUTED_VALUE"""),"")</f>
        <v/>
      </c>
      <c r="K506" s="36" t="str">
        <f ca="1">IFERROR(__xludf.DUMMYFUNCTION("""COMPUTED_VALUE"""),"")</f>
        <v/>
      </c>
      <c r="L506" s="36" t="str">
        <f ca="1">IFERROR(__xludf.DUMMYFUNCTION("""COMPUTED_VALUE"""),"")</f>
        <v/>
      </c>
      <c r="M506" s="36" t="str">
        <f ca="1">IFERROR(__xludf.DUMMYFUNCTION("""COMPUTED_VALUE"""),"")</f>
        <v/>
      </c>
      <c r="N506" s="36" t="str">
        <f ca="1">IFERROR(__xludf.DUMMYFUNCTION("""COMPUTED_VALUE"""),"")</f>
        <v/>
      </c>
      <c r="O506" s="36" t="str">
        <f ca="1">IFERROR(__xludf.DUMMYFUNCTION("""COMPUTED_VALUE"""),"")</f>
        <v/>
      </c>
      <c r="P506" s="36" t="str">
        <f ca="1">IFERROR(__xludf.DUMMYFUNCTION("""COMPUTED_VALUE"""),"")</f>
        <v/>
      </c>
      <c r="Q506" s="36" t="str">
        <f ca="1">IFERROR(__xludf.DUMMYFUNCTION("""COMPUTED_VALUE"""),"")</f>
        <v/>
      </c>
      <c r="R506" s="36" t="str">
        <f ca="1">IFERROR(__xludf.DUMMYFUNCTION("""COMPUTED_VALUE"""),"")</f>
        <v/>
      </c>
      <c r="S506" s="36" t="str">
        <f ca="1">IFERROR(__xludf.DUMMYFUNCTION("""COMPUTED_VALUE"""),"")</f>
        <v/>
      </c>
      <c r="T506" s="36" t="str">
        <f ca="1">IFERROR(__xludf.DUMMYFUNCTION("""COMPUTED_VALUE"""),"")</f>
        <v/>
      </c>
      <c r="U506" s="36" t="str">
        <f ca="1">IFERROR(__xludf.DUMMYFUNCTION("""COMPUTED_VALUE"""),"")</f>
        <v/>
      </c>
      <c r="V506" s="36" t="str">
        <f ca="1">IFERROR(__xludf.DUMMYFUNCTION("""COMPUTED_VALUE"""),"")</f>
        <v/>
      </c>
      <c r="W506" s="36" t="str">
        <f ca="1">IFERROR(__xludf.DUMMYFUNCTION("""COMPUTED_VALUE"""),"")</f>
        <v/>
      </c>
      <c r="X506" s="36"/>
      <c r="Y506" s="36"/>
      <c r="Z506" s="36"/>
    </row>
    <row r="507" spans="1:26" ht="12.75" hidden="1">
      <c r="A507" s="36" t="str">
        <f ca="1">IFERROR(__xludf.DUMMYFUNCTION("""COMPUTED_VALUE"""),"")</f>
        <v/>
      </c>
      <c r="B507" s="36" t="str">
        <f ca="1">IFERROR(__xludf.DUMMYFUNCTION("""COMPUTED_VALUE"""),"")</f>
        <v/>
      </c>
      <c r="C507" s="36" t="str">
        <f ca="1">IFERROR(__xludf.DUMMYFUNCTION("""COMPUTED_VALUE"""),"")</f>
        <v/>
      </c>
      <c r="D507" s="36" t="str">
        <f ca="1">IFERROR(__xludf.DUMMYFUNCTION("""COMPUTED_VALUE"""),"")</f>
        <v/>
      </c>
      <c r="E507" s="36" t="str">
        <f ca="1">IFERROR(__xludf.DUMMYFUNCTION("""COMPUTED_VALUE"""),"")</f>
        <v/>
      </c>
      <c r="F507" s="36" t="str">
        <f ca="1">IFERROR(__xludf.DUMMYFUNCTION("""COMPUTED_VALUE"""),"")</f>
        <v/>
      </c>
      <c r="G507" s="36" t="str">
        <f ca="1">IFERROR(__xludf.DUMMYFUNCTION("""COMPUTED_VALUE"""),"")</f>
        <v/>
      </c>
      <c r="H507" s="36" t="str">
        <f ca="1">IFERROR(__xludf.DUMMYFUNCTION("""COMPUTED_VALUE"""),"")</f>
        <v/>
      </c>
      <c r="I507" s="36" t="str">
        <f ca="1">IFERROR(__xludf.DUMMYFUNCTION("""COMPUTED_VALUE"""),"")</f>
        <v/>
      </c>
      <c r="J507" s="36" t="str">
        <f ca="1">IFERROR(__xludf.DUMMYFUNCTION("""COMPUTED_VALUE"""),"")</f>
        <v/>
      </c>
      <c r="K507" s="36" t="str">
        <f ca="1">IFERROR(__xludf.DUMMYFUNCTION("""COMPUTED_VALUE"""),"")</f>
        <v/>
      </c>
      <c r="L507" s="36" t="str">
        <f ca="1">IFERROR(__xludf.DUMMYFUNCTION("""COMPUTED_VALUE"""),"")</f>
        <v/>
      </c>
      <c r="M507" s="36" t="str">
        <f ca="1">IFERROR(__xludf.DUMMYFUNCTION("""COMPUTED_VALUE"""),"")</f>
        <v/>
      </c>
      <c r="N507" s="36" t="str">
        <f ca="1">IFERROR(__xludf.DUMMYFUNCTION("""COMPUTED_VALUE"""),"")</f>
        <v/>
      </c>
      <c r="O507" s="36" t="str">
        <f ca="1">IFERROR(__xludf.DUMMYFUNCTION("""COMPUTED_VALUE"""),"")</f>
        <v/>
      </c>
      <c r="P507" s="36" t="str">
        <f ca="1">IFERROR(__xludf.DUMMYFUNCTION("""COMPUTED_VALUE"""),"")</f>
        <v/>
      </c>
      <c r="Q507" s="36" t="str">
        <f ca="1">IFERROR(__xludf.DUMMYFUNCTION("""COMPUTED_VALUE"""),"")</f>
        <v/>
      </c>
      <c r="R507" s="36" t="str">
        <f ca="1">IFERROR(__xludf.DUMMYFUNCTION("""COMPUTED_VALUE"""),"")</f>
        <v/>
      </c>
      <c r="S507" s="36" t="str">
        <f ca="1">IFERROR(__xludf.DUMMYFUNCTION("""COMPUTED_VALUE"""),"")</f>
        <v/>
      </c>
      <c r="T507" s="36" t="str">
        <f ca="1">IFERROR(__xludf.DUMMYFUNCTION("""COMPUTED_VALUE"""),"")</f>
        <v/>
      </c>
      <c r="U507" s="36" t="str">
        <f ca="1">IFERROR(__xludf.DUMMYFUNCTION("""COMPUTED_VALUE"""),"")</f>
        <v/>
      </c>
      <c r="V507" s="36" t="str">
        <f ca="1">IFERROR(__xludf.DUMMYFUNCTION("""COMPUTED_VALUE"""),"")</f>
        <v/>
      </c>
      <c r="W507" s="36" t="str">
        <f ca="1">IFERROR(__xludf.DUMMYFUNCTION("""COMPUTED_VALUE"""),"")</f>
        <v/>
      </c>
      <c r="X507" s="36"/>
      <c r="Y507" s="36"/>
      <c r="Z507" s="36"/>
    </row>
    <row r="508" spans="1:26" ht="12.75" hidden="1">
      <c r="A508" s="36" t="str">
        <f ca="1">IFERROR(__xludf.DUMMYFUNCTION("""COMPUTED_VALUE"""),"")</f>
        <v/>
      </c>
      <c r="B508" s="36" t="str">
        <f ca="1">IFERROR(__xludf.DUMMYFUNCTION("""COMPUTED_VALUE"""),"")</f>
        <v/>
      </c>
      <c r="C508" s="36" t="str">
        <f ca="1">IFERROR(__xludf.DUMMYFUNCTION("""COMPUTED_VALUE"""),"")</f>
        <v/>
      </c>
      <c r="D508" s="36" t="str">
        <f ca="1">IFERROR(__xludf.DUMMYFUNCTION("""COMPUTED_VALUE"""),"")</f>
        <v/>
      </c>
      <c r="E508" s="36" t="str">
        <f ca="1">IFERROR(__xludf.DUMMYFUNCTION("""COMPUTED_VALUE"""),"")</f>
        <v/>
      </c>
      <c r="F508" s="36" t="str">
        <f ca="1">IFERROR(__xludf.DUMMYFUNCTION("""COMPUTED_VALUE"""),"")</f>
        <v/>
      </c>
      <c r="G508" s="36" t="str">
        <f ca="1">IFERROR(__xludf.DUMMYFUNCTION("""COMPUTED_VALUE"""),"")</f>
        <v/>
      </c>
      <c r="H508" s="36" t="str">
        <f ca="1">IFERROR(__xludf.DUMMYFUNCTION("""COMPUTED_VALUE"""),"")</f>
        <v/>
      </c>
      <c r="I508" s="36" t="str">
        <f ca="1">IFERROR(__xludf.DUMMYFUNCTION("""COMPUTED_VALUE"""),"")</f>
        <v/>
      </c>
      <c r="J508" s="36" t="str">
        <f ca="1">IFERROR(__xludf.DUMMYFUNCTION("""COMPUTED_VALUE"""),"")</f>
        <v/>
      </c>
      <c r="K508" s="36" t="str">
        <f ca="1">IFERROR(__xludf.DUMMYFUNCTION("""COMPUTED_VALUE"""),"")</f>
        <v/>
      </c>
      <c r="L508" s="36" t="str">
        <f ca="1">IFERROR(__xludf.DUMMYFUNCTION("""COMPUTED_VALUE"""),"")</f>
        <v/>
      </c>
      <c r="M508" s="36" t="str">
        <f ca="1">IFERROR(__xludf.DUMMYFUNCTION("""COMPUTED_VALUE"""),"")</f>
        <v/>
      </c>
      <c r="N508" s="36" t="str">
        <f ca="1">IFERROR(__xludf.DUMMYFUNCTION("""COMPUTED_VALUE"""),"")</f>
        <v/>
      </c>
      <c r="O508" s="36" t="str">
        <f ca="1">IFERROR(__xludf.DUMMYFUNCTION("""COMPUTED_VALUE"""),"")</f>
        <v/>
      </c>
      <c r="P508" s="36" t="str">
        <f ca="1">IFERROR(__xludf.DUMMYFUNCTION("""COMPUTED_VALUE"""),"")</f>
        <v/>
      </c>
      <c r="Q508" s="36" t="str">
        <f ca="1">IFERROR(__xludf.DUMMYFUNCTION("""COMPUTED_VALUE"""),"")</f>
        <v/>
      </c>
      <c r="R508" s="36" t="str">
        <f ca="1">IFERROR(__xludf.DUMMYFUNCTION("""COMPUTED_VALUE"""),"")</f>
        <v/>
      </c>
      <c r="S508" s="36" t="str">
        <f ca="1">IFERROR(__xludf.DUMMYFUNCTION("""COMPUTED_VALUE"""),"")</f>
        <v/>
      </c>
      <c r="T508" s="36" t="str">
        <f ca="1">IFERROR(__xludf.DUMMYFUNCTION("""COMPUTED_VALUE"""),"")</f>
        <v/>
      </c>
      <c r="U508" s="36" t="str">
        <f ca="1">IFERROR(__xludf.DUMMYFUNCTION("""COMPUTED_VALUE"""),"")</f>
        <v/>
      </c>
      <c r="V508" s="36" t="str">
        <f ca="1">IFERROR(__xludf.DUMMYFUNCTION("""COMPUTED_VALUE"""),"")</f>
        <v/>
      </c>
      <c r="W508" s="36" t="str">
        <f ca="1">IFERROR(__xludf.DUMMYFUNCTION("""COMPUTED_VALUE"""),"")</f>
        <v/>
      </c>
      <c r="X508" s="36"/>
      <c r="Y508" s="36"/>
      <c r="Z508" s="36"/>
    </row>
    <row r="509" spans="1:26" ht="12.75" hidden="1">
      <c r="A509" s="36" t="str">
        <f ca="1">IFERROR(__xludf.DUMMYFUNCTION("""COMPUTED_VALUE"""),"")</f>
        <v/>
      </c>
      <c r="B509" s="36" t="str">
        <f ca="1">IFERROR(__xludf.DUMMYFUNCTION("""COMPUTED_VALUE"""),"")</f>
        <v/>
      </c>
      <c r="C509" s="36" t="str">
        <f ca="1">IFERROR(__xludf.DUMMYFUNCTION("""COMPUTED_VALUE"""),"")</f>
        <v/>
      </c>
      <c r="D509" s="36" t="str">
        <f ca="1">IFERROR(__xludf.DUMMYFUNCTION("""COMPUTED_VALUE"""),"")</f>
        <v/>
      </c>
      <c r="E509" s="36" t="str">
        <f ca="1">IFERROR(__xludf.DUMMYFUNCTION("""COMPUTED_VALUE"""),"")</f>
        <v/>
      </c>
      <c r="F509" s="36" t="str">
        <f ca="1">IFERROR(__xludf.DUMMYFUNCTION("""COMPUTED_VALUE"""),"")</f>
        <v/>
      </c>
      <c r="G509" s="36" t="str">
        <f ca="1">IFERROR(__xludf.DUMMYFUNCTION("""COMPUTED_VALUE"""),"")</f>
        <v/>
      </c>
      <c r="H509" s="36" t="str">
        <f ca="1">IFERROR(__xludf.DUMMYFUNCTION("""COMPUTED_VALUE"""),"")</f>
        <v/>
      </c>
      <c r="I509" s="36" t="str">
        <f ca="1">IFERROR(__xludf.DUMMYFUNCTION("""COMPUTED_VALUE"""),"")</f>
        <v/>
      </c>
      <c r="J509" s="36" t="str">
        <f ca="1">IFERROR(__xludf.DUMMYFUNCTION("""COMPUTED_VALUE"""),"")</f>
        <v/>
      </c>
      <c r="K509" s="36" t="str">
        <f ca="1">IFERROR(__xludf.DUMMYFUNCTION("""COMPUTED_VALUE"""),"")</f>
        <v/>
      </c>
      <c r="L509" s="36" t="str">
        <f ca="1">IFERROR(__xludf.DUMMYFUNCTION("""COMPUTED_VALUE"""),"")</f>
        <v/>
      </c>
      <c r="M509" s="36" t="str">
        <f ca="1">IFERROR(__xludf.DUMMYFUNCTION("""COMPUTED_VALUE"""),"")</f>
        <v/>
      </c>
      <c r="N509" s="36" t="str">
        <f ca="1">IFERROR(__xludf.DUMMYFUNCTION("""COMPUTED_VALUE"""),"")</f>
        <v/>
      </c>
      <c r="O509" s="36" t="str">
        <f ca="1">IFERROR(__xludf.DUMMYFUNCTION("""COMPUTED_VALUE"""),"")</f>
        <v/>
      </c>
      <c r="P509" s="36" t="str">
        <f ca="1">IFERROR(__xludf.DUMMYFUNCTION("""COMPUTED_VALUE"""),"")</f>
        <v/>
      </c>
      <c r="Q509" s="36" t="str">
        <f ca="1">IFERROR(__xludf.DUMMYFUNCTION("""COMPUTED_VALUE"""),"")</f>
        <v/>
      </c>
      <c r="R509" s="36" t="str">
        <f ca="1">IFERROR(__xludf.DUMMYFUNCTION("""COMPUTED_VALUE"""),"")</f>
        <v/>
      </c>
      <c r="S509" s="36" t="str">
        <f ca="1">IFERROR(__xludf.DUMMYFUNCTION("""COMPUTED_VALUE"""),"")</f>
        <v/>
      </c>
      <c r="T509" s="36" t="str">
        <f ca="1">IFERROR(__xludf.DUMMYFUNCTION("""COMPUTED_VALUE"""),"")</f>
        <v/>
      </c>
      <c r="U509" s="36" t="str">
        <f ca="1">IFERROR(__xludf.DUMMYFUNCTION("""COMPUTED_VALUE"""),"")</f>
        <v/>
      </c>
      <c r="V509" s="36" t="str">
        <f ca="1">IFERROR(__xludf.DUMMYFUNCTION("""COMPUTED_VALUE"""),"")</f>
        <v/>
      </c>
      <c r="W509" s="36" t="str">
        <f ca="1">IFERROR(__xludf.DUMMYFUNCTION("""COMPUTED_VALUE"""),"")</f>
        <v/>
      </c>
      <c r="X509" s="36"/>
      <c r="Y509" s="36"/>
      <c r="Z509" s="36"/>
    </row>
    <row r="510" spans="1:26" ht="12.75" hidden="1">
      <c r="A510" s="36" t="str">
        <f ca="1">IFERROR(__xludf.DUMMYFUNCTION("""COMPUTED_VALUE"""),"")</f>
        <v/>
      </c>
      <c r="B510" s="36" t="str">
        <f ca="1">IFERROR(__xludf.DUMMYFUNCTION("""COMPUTED_VALUE"""),"")</f>
        <v/>
      </c>
      <c r="C510" s="36" t="str">
        <f ca="1">IFERROR(__xludf.DUMMYFUNCTION("""COMPUTED_VALUE"""),"")</f>
        <v/>
      </c>
      <c r="D510" s="36" t="str">
        <f ca="1">IFERROR(__xludf.DUMMYFUNCTION("""COMPUTED_VALUE"""),"")</f>
        <v/>
      </c>
      <c r="E510" s="36" t="str">
        <f ca="1">IFERROR(__xludf.DUMMYFUNCTION("""COMPUTED_VALUE"""),"")</f>
        <v/>
      </c>
      <c r="F510" s="36" t="str">
        <f ca="1">IFERROR(__xludf.DUMMYFUNCTION("""COMPUTED_VALUE"""),"")</f>
        <v/>
      </c>
      <c r="G510" s="36" t="str">
        <f ca="1">IFERROR(__xludf.DUMMYFUNCTION("""COMPUTED_VALUE"""),"")</f>
        <v/>
      </c>
      <c r="H510" s="36" t="str">
        <f ca="1">IFERROR(__xludf.DUMMYFUNCTION("""COMPUTED_VALUE"""),"")</f>
        <v/>
      </c>
      <c r="I510" s="36" t="str">
        <f ca="1">IFERROR(__xludf.DUMMYFUNCTION("""COMPUTED_VALUE"""),"")</f>
        <v/>
      </c>
      <c r="J510" s="36" t="str">
        <f ca="1">IFERROR(__xludf.DUMMYFUNCTION("""COMPUTED_VALUE"""),"")</f>
        <v/>
      </c>
      <c r="K510" s="36" t="str">
        <f ca="1">IFERROR(__xludf.DUMMYFUNCTION("""COMPUTED_VALUE"""),"")</f>
        <v/>
      </c>
      <c r="L510" s="36" t="str">
        <f ca="1">IFERROR(__xludf.DUMMYFUNCTION("""COMPUTED_VALUE"""),"")</f>
        <v/>
      </c>
      <c r="M510" s="36" t="str">
        <f ca="1">IFERROR(__xludf.DUMMYFUNCTION("""COMPUTED_VALUE"""),"")</f>
        <v/>
      </c>
      <c r="N510" s="36" t="str">
        <f ca="1">IFERROR(__xludf.DUMMYFUNCTION("""COMPUTED_VALUE"""),"")</f>
        <v/>
      </c>
      <c r="O510" s="36" t="str">
        <f ca="1">IFERROR(__xludf.DUMMYFUNCTION("""COMPUTED_VALUE"""),"")</f>
        <v/>
      </c>
      <c r="P510" s="36" t="str">
        <f ca="1">IFERROR(__xludf.DUMMYFUNCTION("""COMPUTED_VALUE"""),"")</f>
        <v/>
      </c>
      <c r="Q510" s="36" t="str">
        <f ca="1">IFERROR(__xludf.DUMMYFUNCTION("""COMPUTED_VALUE"""),"")</f>
        <v/>
      </c>
      <c r="R510" s="36" t="str">
        <f ca="1">IFERROR(__xludf.DUMMYFUNCTION("""COMPUTED_VALUE"""),"")</f>
        <v/>
      </c>
      <c r="S510" s="36" t="str">
        <f ca="1">IFERROR(__xludf.DUMMYFUNCTION("""COMPUTED_VALUE"""),"")</f>
        <v/>
      </c>
      <c r="T510" s="36" t="str">
        <f ca="1">IFERROR(__xludf.DUMMYFUNCTION("""COMPUTED_VALUE"""),"")</f>
        <v/>
      </c>
      <c r="U510" s="36" t="str">
        <f ca="1">IFERROR(__xludf.DUMMYFUNCTION("""COMPUTED_VALUE"""),"")</f>
        <v/>
      </c>
      <c r="V510" s="36" t="str">
        <f ca="1">IFERROR(__xludf.DUMMYFUNCTION("""COMPUTED_VALUE"""),"")</f>
        <v/>
      </c>
      <c r="W510" s="36" t="str">
        <f ca="1">IFERROR(__xludf.DUMMYFUNCTION("""COMPUTED_VALUE"""),"")</f>
        <v/>
      </c>
      <c r="X510" s="36"/>
      <c r="Y510" s="36"/>
      <c r="Z510" s="36"/>
    </row>
    <row r="511" spans="1:26" ht="12.75" hidden="1">
      <c r="A511" s="36" t="str">
        <f ca="1">IFERROR(__xludf.DUMMYFUNCTION("""COMPUTED_VALUE"""),"")</f>
        <v/>
      </c>
      <c r="B511" s="36" t="str">
        <f ca="1">IFERROR(__xludf.DUMMYFUNCTION("""COMPUTED_VALUE"""),"")</f>
        <v/>
      </c>
      <c r="C511" s="36" t="str">
        <f ca="1">IFERROR(__xludf.DUMMYFUNCTION("""COMPUTED_VALUE"""),"")</f>
        <v/>
      </c>
      <c r="D511" s="36" t="str">
        <f ca="1">IFERROR(__xludf.DUMMYFUNCTION("""COMPUTED_VALUE"""),"")</f>
        <v/>
      </c>
      <c r="E511" s="36" t="str">
        <f ca="1">IFERROR(__xludf.DUMMYFUNCTION("""COMPUTED_VALUE"""),"")</f>
        <v/>
      </c>
      <c r="F511" s="36" t="str">
        <f ca="1">IFERROR(__xludf.DUMMYFUNCTION("""COMPUTED_VALUE"""),"")</f>
        <v/>
      </c>
      <c r="G511" s="36" t="str">
        <f ca="1">IFERROR(__xludf.DUMMYFUNCTION("""COMPUTED_VALUE"""),"")</f>
        <v/>
      </c>
      <c r="H511" s="36" t="str">
        <f ca="1">IFERROR(__xludf.DUMMYFUNCTION("""COMPUTED_VALUE"""),"")</f>
        <v/>
      </c>
      <c r="I511" s="36" t="str">
        <f ca="1">IFERROR(__xludf.DUMMYFUNCTION("""COMPUTED_VALUE"""),"")</f>
        <v/>
      </c>
      <c r="J511" s="36" t="str">
        <f ca="1">IFERROR(__xludf.DUMMYFUNCTION("""COMPUTED_VALUE"""),"")</f>
        <v/>
      </c>
      <c r="K511" s="36" t="str">
        <f ca="1">IFERROR(__xludf.DUMMYFUNCTION("""COMPUTED_VALUE"""),"")</f>
        <v/>
      </c>
      <c r="L511" s="36" t="str">
        <f ca="1">IFERROR(__xludf.DUMMYFUNCTION("""COMPUTED_VALUE"""),"")</f>
        <v/>
      </c>
      <c r="M511" s="36" t="str">
        <f ca="1">IFERROR(__xludf.DUMMYFUNCTION("""COMPUTED_VALUE"""),"")</f>
        <v/>
      </c>
      <c r="N511" s="36" t="str">
        <f ca="1">IFERROR(__xludf.DUMMYFUNCTION("""COMPUTED_VALUE"""),"")</f>
        <v/>
      </c>
      <c r="O511" s="36" t="str">
        <f ca="1">IFERROR(__xludf.DUMMYFUNCTION("""COMPUTED_VALUE"""),"")</f>
        <v/>
      </c>
      <c r="P511" s="36" t="str">
        <f ca="1">IFERROR(__xludf.DUMMYFUNCTION("""COMPUTED_VALUE"""),"")</f>
        <v/>
      </c>
      <c r="Q511" s="36" t="str">
        <f ca="1">IFERROR(__xludf.DUMMYFUNCTION("""COMPUTED_VALUE"""),"")</f>
        <v/>
      </c>
      <c r="R511" s="36" t="str">
        <f ca="1">IFERROR(__xludf.DUMMYFUNCTION("""COMPUTED_VALUE"""),"")</f>
        <v/>
      </c>
      <c r="S511" s="36" t="str">
        <f ca="1">IFERROR(__xludf.DUMMYFUNCTION("""COMPUTED_VALUE"""),"")</f>
        <v/>
      </c>
      <c r="T511" s="36" t="str">
        <f ca="1">IFERROR(__xludf.DUMMYFUNCTION("""COMPUTED_VALUE"""),"")</f>
        <v/>
      </c>
      <c r="U511" s="36" t="str">
        <f ca="1">IFERROR(__xludf.DUMMYFUNCTION("""COMPUTED_VALUE"""),"")</f>
        <v/>
      </c>
      <c r="V511" s="36" t="str">
        <f ca="1">IFERROR(__xludf.DUMMYFUNCTION("""COMPUTED_VALUE"""),"")</f>
        <v/>
      </c>
      <c r="W511" s="36" t="str">
        <f ca="1">IFERROR(__xludf.DUMMYFUNCTION("""COMPUTED_VALUE"""),"")</f>
        <v/>
      </c>
      <c r="X511" s="36"/>
      <c r="Y511" s="36"/>
      <c r="Z511" s="36"/>
    </row>
    <row r="512" spans="1:26" ht="12.75" hidden="1">
      <c r="A512" s="36" t="str">
        <f ca="1">IFERROR(__xludf.DUMMYFUNCTION("""COMPUTED_VALUE"""),"")</f>
        <v/>
      </c>
      <c r="B512" s="36" t="str">
        <f ca="1">IFERROR(__xludf.DUMMYFUNCTION("""COMPUTED_VALUE"""),"")</f>
        <v/>
      </c>
      <c r="C512" s="36" t="str">
        <f ca="1">IFERROR(__xludf.DUMMYFUNCTION("""COMPUTED_VALUE"""),"")</f>
        <v/>
      </c>
      <c r="D512" s="36" t="str">
        <f ca="1">IFERROR(__xludf.DUMMYFUNCTION("""COMPUTED_VALUE"""),"")</f>
        <v/>
      </c>
      <c r="E512" s="36" t="str">
        <f ca="1">IFERROR(__xludf.DUMMYFUNCTION("""COMPUTED_VALUE"""),"")</f>
        <v/>
      </c>
      <c r="F512" s="36" t="str">
        <f ca="1">IFERROR(__xludf.DUMMYFUNCTION("""COMPUTED_VALUE"""),"")</f>
        <v/>
      </c>
      <c r="G512" s="36" t="str">
        <f ca="1">IFERROR(__xludf.DUMMYFUNCTION("""COMPUTED_VALUE"""),"")</f>
        <v/>
      </c>
      <c r="H512" s="36" t="str">
        <f ca="1">IFERROR(__xludf.DUMMYFUNCTION("""COMPUTED_VALUE"""),"")</f>
        <v/>
      </c>
      <c r="I512" s="36" t="str">
        <f ca="1">IFERROR(__xludf.DUMMYFUNCTION("""COMPUTED_VALUE"""),"")</f>
        <v/>
      </c>
      <c r="J512" s="36" t="str">
        <f ca="1">IFERROR(__xludf.DUMMYFUNCTION("""COMPUTED_VALUE"""),"")</f>
        <v/>
      </c>
      <c r="K512" s="36" t="str">
        <f ca="1">IFERROR(__xludf.DUMMYFUNCTION("""COMPUTED_VALUE"""),"")</f>
        <v/>
      </c>
      <c r="L512" s="36" t="str">
        <f ca="1">IFERROR(__xludf.DUMMYFUNCTION("""COMPUTED_VALUE"""),"")</f>
        <v/>
      </c>
      <c r="M512" s="36" t="str">
        <f ca="1">IFERROR(__xludf.DUMMYFUNCTION("""COMPUTED_VALUE"""),"")</f>
        <v/>
      </c>
      <c r="N512" s="36" t="str">
        <f ca="1">IFERROR(__xludf.DUMMYFUNCTION("""COMPUTED_VALUE"""),"")</f>
        <v/>
      </c>
      <c r="O512" s="36" t="str">
        <f ca="1">IFERROR(__xludf.DUMMYFUNCTION("""COMPUTED_VALUE"""),"")</f>
        <v/>
      </c>
      <c r="P512" s="36" t="str">
        <f ca="1">IFERROR(__xludf.DUMMYFUNCTION("""COMPUTED_VALUE"""),"")</f>
        <v/>
      </c>
      <c r="Q512" s="36" t="str">
        <f ca="1">IFERROR(__xludf.DUMMYFUNCTION("""COMPUTED_VALUE"""),"")</f>
        <v/>
      </c>
      <c r="R512" s="36" t="str">
        <f ca="1">IFERROR(__xludf.DUMMYFUNCTION("""COMPUTED_VALUE"""),"")</f>
        <v/>
      </c>
      <c r="S512" s="36" t="str">
        <f ca="1">IFERROR(__xludf.DUMMYFUNCTION("""COMPUTED_VALUE"""),"")</f>
        <v/>
      </c>
      <c r="T512" s="36" t="str">
        <f ca="1">IFERROR(__xludf.DUMMYFUNCTION("""COMPUTED_VALUE"""),"")</f>
        <v/>
      </c>
      <c r="U512" s="36" t="str">
        <f ca="1">IFERROR(__xludf.DUMMYFUNCTION("""COMPUTED_VALUE"""),"")</f>
        <v/>
      </c>
      <c r="V512" s="36" t="str">
        <f ca="1">IFERROR(__xludf.DUMMYFUNCTION("""COMPUTED_VALUE"""),"")</f>
        <v/>
      </c>
      <c r="W512" s="36" t="str">
        <f ca="1">IFERROR(__xludf.DUMMYFUNCTION("""COMPUTED_VALUE"""),"")</f>
        <v/>
      </c>
      <c r="X512" s="36"/>
      <c r="Y512" s="36"/>
      <c r="Z512" s="36"/>
    </row>
    <row r="513" spans="1:26" ht="12.75" hidden="1">
      <c r="A513" s="36" t="str">
        <f ca="1">IFERROR(__xludf.DUMMYFUNCTION("""COMPUTED_VALUE"""),"")</f>
        <v/>
      </c>
      <c r="B513" s="36" t="str">
        <f ca="1">IFERROR(__xludf.DUMMYFUNCTION("""COMPUTED_VALUE"""),"")</f>
        <v/>
      </c>
      <c r="C513" s="36" t="str">
        <f ca="1">IFERROR(__xludf.DUMMYFUNCTION("""COMPUTED_VALUE"""),"")</f>
        <v/>
      </c>
      <c r="D513" s="36" t="str">
        <f ca="1">IFERROR(__xludf.DUMMYFUNCTION("""COMPUTED_VALUE"""),"")</f>
        <v/>
      </c>
      <c r="E513" s="36" t="str">
        <f ca="1">IFERROR(__xludf.DUMMYFUNCTION("""COMPUTED_VALUE"""),"")</f>
        <v/>
      </c>
      <c r="F513" s="36" t="str">
        <f ca="1">IFERROR(__xludf.DUMMYFUNCTION("""COMPUTED_VALUE"""),"")</f>
        <v/>
      </c>
      <c r="G513" s="36" t="str">
        <f ca="1">IFERROR(__xludf.DUMMYFUNCTION("""COMPUTED_VALUE"""),"")</f>
        <v/>
      </c>
      <c r="H513" s="36" t="str">
        <f ca="1">IFERROR(__xludf.DUMMYFUNCTION("""COMPUTED_VALUE"""),"")</f>
        <v/>
      </c>
      <c r="I513" s="36" t="str">
        <f ca="1">IFERROR(__xludf.DUMMYFUNCTION("""COMPUTED_VALUE"""),"")</f>
        <v/>
      </c>
      <c r="J513" s="36" t="str">
        <f ca="1">IFERROR(__xludf.DUMMYFUNCTION("""COMPUTED_VALUE"""),"")</f>
        <v/>
      </c>
      <c r="K513" s="36" t="str">
        <f ca="1">IFERROR(__xludf.DUMMYFUNCTION("""COMPUTED_VALUE"""),"")</f>
        <v/>
      </c>
      <c r="L513" s="36" t="str">
        <f ca="1">IFERROR(__xludf.DUMMYFUNCTION("""COMPUTED_VALUE"""),"")</f>
        <v/>
      </c>
      <c r="M513" s="36" t="str">
        <f ca="1">IFERROR(__xludf.DUMMYFUNCTION("""COMPUTED_VALUE"""),"")</f>
        <v/>
      </c>
      <c r="N513" s="36" t="str">
        <f ca="1">IFERROR(__xludf.DUMMYFUNCTION("""COMPUTED_VALUE"""),"")</f>
        <v/>
      </c>
      <c r="O513" s="36" t="str">
        <f ca="1">IFERROR(__xludf.DUMMYFUNCTION("""COMPUTED_VALUE"""),"")</f>
        <v/>
      </c>
      <c r="P513" s="36" t="str">
        <f ca="1">IFERROR(__xludf.DUMMYFUNCTION("""COMPUTED_VALUE"""),"")</f>
        <v/>
      </c>
      <c r="Q513" s="36" t="str">
        <f ca="1">IFERROR(__xludf.DUMMYFUNCTION("""COMPUTED_VALUE"""),"")</f>
        <v/>
      </c>
      <c r="R513" s="36" t="str">
        <f ca="1">IFERROR(__xludf.DUMMYFUNCTION("""COMPUTED_VALUE"""),"")</f>
        <v/>
      </c>
      <c r="S513" s="36" t="str">
        <f ca="1">IFERROR(__xludf.DUMMYFUNCTION("""COMPUTED_VALUE"""),"")</f>
        <v/>
      </c>
      <c r="T513" s="36" t="str">
        <f ca="1">IFERROR(__xludf.DUMMYFUNCTION("""COMPUTED_VALUE"""),"")</f>
        <v/>
      </c>
      <c r="U513" s="36" t="str">
        <f ca="1">IFERROR(__xludf.DUMMYFUNCTION("""COMPUTED_VALUE"""),"")</f>
        <v/>
      </c>
      <c r="V513" s="36" t="str">
        <f ca="1">IFERROR(__xludf.DUMMYFUNCTION("""COMPUTED_VALUE"""),"")</f>
        <v/>
      </c>
      <c r="W513" s="36" t="str">
        <f ca="1">IFERROR(__xludf.DUMMYFUNCTION("""COMPUTED_VALUE"""),"")</f>
        <v/>
      </c>
      <c r="X513" s="36"/>
      <c r="Y513" s="36"/>
      <c r="Z513" s="36"/>
    </row>
    <row r="514" spans="1:26" ht="12.75" hidden="1">
      <c r="A514" s="36" t="str">
        <f ca="1">IFERROR(__xludf.DUMMYFUNCTION("""COMPUTED_VALUE"""),"")</f>
        <v/>
      </c>
      <c r="B514" s="36" t="str">
        <f ca="1">IFERROR(__xludf.DUMMYFUNCTION("""COMPUTED_VALUE"""),"")</f>
        <v/>
      </c>
      <c r="C514" s="36" t="str">
        <f ca="1">IFERROR(__xludf.DUMMYFUNCTION("""COMPUTED_VALUE"""),"")</f>
        <v/>
      </c>
      <c r="D514" s="36" t="str">
        <f ca="1">IFERROR(__xludf.DUMMYFUNCTION("""COMPUTED_VALUE"""),"")</f>
        <v/>
      </c>
      <c r="E514" s="36" t="str">
        <f ca="1">IFERROR(__xludf.DUMMYFUNCTION("""COMPUTED_VALUE"""),"")</f>
        <v/>
      </c>
      <c r="F514" s="36" t="str">
        <f ca="1">IFERROR(__xludf.DUMMYFUNCTION("""COMPUTED_VALUE"""),"")</f>
        <v/>
      </c>
      <c r="G514" s="36" t="str">
        <f ca="1">IFERROR(__xludf.DUMMYFUNCTION("""COMPUTED_VALUE"""),"")</f>
        <v/>
      </c>
      <c r="H514" s="36" t="str">
        <f ca="1">IFERROR(__xludf.DUMMYFUNCTION("""COMPUTED_VALUE"""),"")</f>
        <v/>
      </c>
      <c r="I514" s="36" t="str">
        <f ca="1">IFERROR(__xludf.DUMMYFUNCTION("""COMPUTED_VALUE"""),"")</f>
        <v/>
      </c>
      <c r="J514" s="36" t="str">
        <f ca="1">IFERROR(__xludf.DUMMYFUNCTION("""COMPUTED_VALUE"""),"")</f>
        <v/>
      </c>
      <c r="K514" s="36" t="str">
        <f ca="1">IFERROR(__xludf.DUMMYFUNCTION("""COMPUTED_VALUE"""),"")</f>
        <v/>
      </c>
      <c r="L514" s="36" t="str">
        <f ca="1">IFERROR(__xludf.DUMMYFUNCTION("""COMPUTED_VALUE"""),"")</f>
        <v/>
      </c>
      <c r="M514" s="36" t="str">
        <f ca="1">IFERROR(__xludf.DUMMYFUNCTION("""COMPUTED_VALUE"""),"")</f>
        <v/>
      </c>
      <c r="N514" s="36" t="str">
        <f ca="1">IFERROR(__xludf.DUMMYFUNCTION("""COMPUTED_VALUE"""),"")</f>
        <v/>
      </c>
      <c r="O514" s="36" t="str">
        <f ca="1">IFERROR(__xludf.DUMMYFUNCTION("""COMPUTED_VALUE"""),"")</f>
        <v/>
      </c>
      <c r="P514" s="36" t="str">
        <f ca="1">IFERROR(__xludf.DUMMYFUNCTION("""COMPUTED_VALUE"""),"")</f>
        <v/>
      </c>
      <c r="Q514" s="36" t="str">
        <f ca="1">IFERROR(__xludf.DUMMYFUNCTION("""COMPUTED_VALUE"""),"")</f>
        <v/>
      </c>
      <c r="R514" s="36" t="str">
        <f ca="1">IFERROR(__xludf.DUMMYFUNCTION("""COMPUTED_VALUE"""),"")</f>
        <v/>
      </c>
      <c r="S514" s="36" t="str">
        <f ca="1">IFERROR(__xludf.DUMMYFUNCTION("""COMPUTED_VALUE"""),"")</f>
        <v/>
      </c>
      <c r="T514" s="36" t="str">
        <f ca="1">IFERROR(__xludf.DUMMYFUNCTION("""COMPUTED_VALUE"""),"")</f>
        <v/>
      </c>
      <c r="U514" s="36" t="str">
        <f ca="1">IFERROR(__xludf.DUMMYFUNCTION("""COMPUTED_VALUE"""),"")</f>
        <v/>
      </c>
      <c r="V514" s="36" t="str">
        <f ca="1">IFERROR(__xludf.DUMMYFUNCTION("""COMPUTED_VALUE"""),"")</f>
        <v/>
      </c>
      <c r="W514" s="36" t="str">
        <f ca="1">IFERROR(__xludf.DUMMYFUNCTION("""COMPUTED_VALUE"""),"")</f>
        <v/>
      </c>
      <c r="X514" s="36"/>
      <c r="Y514" s="36"/>
      <c r="Z514" s="36"/>
    </row>
    <row r="515" spans="1:26" ht="12.75" hidden="1">
      <c r="A515" s="36" t="str">
        <f ca="1">IFERROR(__xludf.DUMMYFUNCTION("""COMPUTED_VALUE"""),"")</f>
        <v/>
      </c>
      <c r="B515" s="36" t="str">
        <f ca="1">IFERROR(__xludf.DUMMYFUNCTION("""COMPUTED_VALUE"""),"")</f>
        <v/>
      </c>
      <c r="C515" s="36" t="str">
        <f ca="1">IFERROR(__xludf.DUMMYFUNCTION("""COMPUTED_VALUE"""),"")</f>
        <v/>
      </c>
      <c r="D515" s="36" t="str">
        <f ca="1">IFERROR(__xludf.DUMMYFUNCTION("""COMPUTED_VALUE"""),"")</f>
        <v/>
      </c>
      <c r="E515" s="36" t="str">
        <f ca="1">IFERROR(__xludf.DUMMYFUNCTION("""COMPUTED_VALUE"""),"")</f>
        <v/>
      </c>
      <c r="F515" s="36" t="str">
        <f ca="1">IFERROR(__xludf.DUMMYFUNCTION("""COMPUTED_VALUE"""),"")</f>
        <v/>
      </c>
      <c r="G515" s="36" t="str">
        <f ca="1">IFERROR(__xludf.DUMMYFUNCTION("""COMPUTED_VALUE"""),"")</f>
        <v/>
      </c>
      <c r="H515" s="36" t="str">
        <f ca="1">IFERROR(__xludf.DUMMYFUNCTION("""COMPUTED_VALUE"""),"")</f>
        <v/>
      </c>
      <c r="I515" s="36" t="str">
        <f ca="1">IFERROR(__xludf.DUMMYFUNCTION("""COMPUTED_VALUE"""),"")</f>
        <v/>
      </c>
      <c r="J515" s="36" t="str">
        <f ca="1">IFERROR(__xludf.DUMMYFUNCTION("""COMPUTED_VALUE"""),"")</f>
        <v/>
      </c>
      <c r="K515" s="36" t="str">
        <f ca="1">IFERROR(__xludf.DUMMYFUNCTION("""COMPUTED_VALUE"""),"")</f>
        <v/>
      </c>
      <c r="L515" s="36" t="str">
        <f ca="1">IFERROR(__xludf.DUMMYFUNCTION("""COMPUTED_VALUE"""),"")</f>
        <v/>
      </c>
      <c r="M515" s="36" t="str">
        <f ca="1">IFERROR(__xludf.DUMMYFUNCTION("""COMPUTED_VALUE"""),"")</f>
        <v/>
      </c>
      <c r="N515" s="36" t="str">
        <f ca="1">IFERROR(__xludf.DUMMYFUNCTION("""COMPUTED_VALUE"""),"")</f>
        <v/>
      </c>
      <c r="O515" s="36" t="str">
        <f ca="1">IFERROR(__xludf.DUMMYFUNCTION("""COMPUTED_VALUE"""),"")</f>
        <v/>
      </c>
      <c r="P515" s="36" t="str">
        <f ca="1">IFERROR(__xludf.DUMMYFUNCTION("""COMPUTED_VALUE"""),"")</f>
        <v/>
      </c>
      <c r="Q515" s="36" t="str">
        <f ca="1">IFERROR(__xludf.DUMMYFUNCTION("""COMPUTED_VALUE"""),"")</f>
        <v/>
      </c>
      <c r="R515" s="36" t="str">
        <f ca="1">IFERROR(__xludf.DUMMYFUNCTION("""COMPUTED_VALUE"""),"")</f>
        <v/>
      </c>
      <c r="S515" s="36" t="str">
        <f ca="1">IFERROR(__xludf.DUMMYFUNCTION("""COMPUTED_VALUE"""),"")</f>
        <v/>
      </c>
      <c r="T515" s="36" t="str">
        <f ca="1">IFERROR(__xludf.DUMMYFUNCTION("""COMPUTED_VALUE"""),"")</f>
        <v/>
      </c>
      <c r="U515" s="36" t="str">
        <f ca="1">IFERROR(__xludf.DUMMYFUNCTION("""COMPUTED_VALUE"""),"")</f>
        <v/>
      </c>
      <c r="V515" s="36" t="str">
        <f ca="1">IFERROR(__xludf.DUMMYFUNCTION("""COMPUTED_VALUE"""),"")</f>
        <v/>
      </c>
      <c r="W515" s="36" t="str">
        <f ca="1">IFERROR(__xludf.DUMMYFUNCTION("""COMPUTED_VALUE"""),"")</f>
        <v/>
      </c>
      <c r="X515" s="36"/>
      <c r="Y515" s="36"/>
      <c r="Z515" s="36"/>
    </row>
    <row r="516" spans="1:26" ht="12.75" hidden="1">
      <c r="A516" s="36" t="str">
        <f ca="1">IFERROR(__xludf.DUMMYFUNCTION("""COMPUTED_VALUE"""),"")</f>
        <v/>
      </c>
      <c r="B516" s="36" t="str">
        <f ca="1">IFERROR(__xludf.DUMMYFUNCTION("""COMPUTED_VALUE"""),"")</f>
        <v/>
      </c>
      <c r="C516" s="36" t="str">
        <f ca="1">IFERROR(__xludf.DUMMYFUNCTION("""COMPUTED_VALUE"""),"")</f>
        <v/>
      </c>
      <c r="D516" s="36" t="str">
        <f ca="1">IFERROR(__xludf.DUMMYFUNCTION("""COMPUTED_VALUE"""),"")</f>
        <v/>
      </c>
      <c r="E516" s="36" t="str">
        <f ca="1">IFERROR(__xludf.DUMMYFUNCTION("""COMPUTED_VALUE"""),"")</f>
        <v/>
      </c>
      <c r="F516" s="36" t="str">
        <f ca="1">IFERROR(__xludf.DUMMYFUNCTION("""COMPUTED_VALUE"""),"")</f>
        <v/>
      </c>
      <c r="G516" s="36" t="str">
        <f ca="1">IFERROR(__xludf.DUMMYFUNCTION("""COMPUTED_VALUE"""),"")</f>
        <v/>
      </c>
      <c r="H516" s="36" t="str">
        <f ca="1">IFERROR(__xludf.DUMMYFUNCTION("""COMPUTED_VALUE"""),"")</f>
        <v/>
      </c>
      <c r="I516" s="36" t="str">
        <f ca="1">IFERROR(__xludf.DUMMYFUNCTION("""COMPUTED_VALUE"""),"")</f>
        <v/>
      </c>
      <c r="J516" s="36" t="str">
        <f ca="1">IFERROR(__xludf.DUMMYFUNCTION("""COMPUTED_VALUE"""),"")</f>
        <v/>
      </c>
      <c r="K516" s="36" t="str">
        <f ca="1">IFERROR(__xludf.DUMMYFUNCTION("""COMPUTED_VALUE"""),"")</f>
        <v/>
      </c>
      <c r="L516" s="36" t="str">
        <f ca="1">IFERROR(__xludf.DUMMYFUNCTION("""COMPUTED_VALUE"""),"")</f>
        <v/>
      </c>
      <c r="M516" s="36" t="str">
        <f ca="1">IFERROR(__xludf.DUMMYFUNCTION("""COMPUTED_VALUE"""),"")</f>
        <v/>
      </c>
      <c r="N516" s="36" t="str">
        <f ca="1">IFERROR(__xludf.DUMMYFUNCTION("""COMPUTED_VALUE"""),"")</f>
        <v/>
      </c>
      <c r="O516" s="36" t="str">
        <f ca="1">IFERROR(__xludf.DUMMYFUNCTION("""COMPUTED_VALUE"""),"")</f>
        <v/>
      </c>
      <c r="P516" s="36" t="str">
        <f ca="1">IFERROR(__xludf.DUMMYFUNCTION("""COMPUTED_VALUE"""),"")</f>
        <v/>
      </c>
      <c r="Q516" s="36" t="str">
        <f ca="1">IFERROR(__xludf.DUMMYFUNCTION("""COMPUTED_VALUE"""),"")</f>
        <v/>
      </c>
      <c r="R516" s="36" t="str">
        <f ca="1">IFERROR(__xludf.DUMMYFUNCTION("""COMPUTED_VALUE"""),"")</f>
        <v/>
      </c>
      <c r="S516" s="36" t="str">
        <f ca="1">IFERROR(__xludf.DUMMYFUNCTION("""COMPUTED_VALUE"""),"")</f>
        <v/>
      </c>
      <c r="T516" s="36" t="str">
        <f ca="1">IFERROR(__xludf.DUMMYFUNCTION("""COMPUTED_VALUE"""),"")</f>
        <v/>
      </c>
      <c r="U516" s="36" t="str">
        <f ca="1">IFERROR(__xludf.DUMMYFUNCTION("""COMPUTED_VALUE"""),"")</f>
        <v/>
      </c>
      <c r="V516" s="36" t="str">
        <f ca="1">IFERROR(__xludf.DUMMYFUNCTION("""COMPUTED_VALUE"""),"")</f>
        <v/>
      </c>
      <c r="W516" s="36" t="str">
        <f ca="1">IFERROR(__xludf.DUMMYFUNCTION("""COMPUTED_VALUE"""),"")</f>
        <v/>
      </c>
      <c r="X516" s="36"/>
      <c r="Y516" s="36"/>
      <c r="Z516" s="36"/>
    </row>
    <row r="517" spans="1:26" ht="12.75" hidden="1">
      <c r="A517" s="36" t="str">
        <f ca="1">IFERROR(__xludf.DUMMYFUNCTION("""COMPUTED_VALUE"""),"")</f>
        <v/>
      </c>
      <c r="B517" s="36" t="str">
        <f ca="1">IFERROR(__xludf.DUMMYFUNCTION("""COMPUTED_VALUE"""),"")</f>
        <v/>
      </c>
      <c r="C517" s="36" t="str">
        <f ca="1">IFERROR(__xludf.DUMMYFUNCTION("""COMPUTED_VALUE"""),"")</f>
        <v/>
      </c>
      <c r="D517" s="36" t="str">
        <f ca="1">IFERROR(__xludf.DUMMYFUNCTION("""COMPUTED_VALUE"""),"")</f>
        <v/>
      </c>
      <c r="E517" s="36" t="str">
        <f ca="1">IFERROR(__xludf.DUMMYFUNCTION("""COMPUTED_VALUE"""),"")</f>
        <v/>
      </c>
      <c r="F517" s="36" t="str">
        <f ca="1">IFERROR(__xludf.DUMMYFUNCTION("""COMPUTED_VALUE"""),"")</f>
        <v/>
      </c>
      <c r="G517" s="36" t="str">
        <f ca="1">IFERROR(__xludf.DUMMYFUNCTION("""COMPUTED_VALUE"""),"")</f>
        <v/>
      </c>
      <c r="H517" s="36" t="str">
        <f ca="1">IFERROR(__xludf.DUMMYFUNCTION("""COMPUTED_VALUE"""),"")</f>
        <v/>
      </c>
      <c r="I517" s="36" t="str">
        <f ca="1">IFERROR(__xludf.DUMMYFUNCTION("""COMPUTED_VALUE"""),"")</f>
        <v/>
      </c>
      <c r="J517" s="36" t="str">
        <f ca="1">IFERROR(__xludf.DUMMYFUNCTION("""COMPUTED_VALUE"""),"")</f>
        <v/>
      </c>
      <c r="K517" s="36" t="str">
        <f ca="1">IFERROR(__xludf.DUMMYFUNCTION("""COMPUTED_VALUE"""),"")</f>
        <v/>
      </c>
      <c r="L517" s="36" t="str">
        <f ca="1">IFERROR(__xludf.DUMMYFUNCTION("""COMPUTED_VALUE"""),"")</f>
        <v/>
      </c>
      <c r="M517" s="36" t="str">
        <f ca="1">IFERROR(__xludf.DUMMYFUNCTION("""COMPUTED_VALUE"""),"")</f>
        <v/>
      </c>
      <c r="N517" s="36" t="str">
        <f ca="1">IFERROR(__xludf.DUMMYFUNCTION("""COMPUTED_VALUE"""),"")</f>
        <v/>
      </c>
      <c r="O517" s="36" t="str">
        <f ca="1">IFERROR(__xludf.DUMMYFUNCTION("""COMPUTED_VALUE"""),"")</f>
        <v/>
      </c>
      <c r="P517" s="36" t="str">
        <f ca="1">IFERROR(__xludf.DUMMYFUNCTION("""COMPUTED_VALUE"""),"")</f>
        <v/>
      </c>
      <c r="Q517" s="36" t="str">
        <f ca="1">IFERROR(__xludf.DUMMYFUNCTION("""COMPUTED_VALUE"""),"")</f>
        <v/>
      </c>
      <c r="R517" s="36" t="str">
        <f ca="1">IFERROR(__xludf.DUMMYFUNCTION("""COMPUTED_VALUE"""),"")</f>
        <v/>
      </c>
      <c r="S517" s="36" t="str">
        <f ca="1">IFERROR(__xludf.DUMMYFUNCTION("""COMPUTED_VALUE"""),"")</f>
        <v/>
      </c>
      <c r="T517" s="36" t="str">
        <f ca="1">IFERROR(__xludf.DUMMYFUNCTION("""COMPUTED_VALUE"""),"")</f>
        <v/>
      </c>
      <c r="U517" s="36" t="str">
        <f ca="1">IFERROR(__xludf.DUMMYFUNCTION("""COMPUTED_VALUE"""),"")</f>
        <v/>
      </c>
      <c r="V517" s="36" t="str">
        <f ca="1">IFERROR(__xludf.DUMMYFUNCTION("""COMPUTED_VALUE"""),"")</f>
        <v/>
      </c>
      <c r="W517" s="36" t="str">
        <f ca="1">IFERROR(__xludf.DUMMYFUNCTION("""COMPUTED_VALUE"""),"")</f>
        <v/>
      </c>
      <c r="X517" s="36"/>
      <c r="Y517" s="36"/>
      <c r="Z517" s="36"/>
    </row>
    <row r="518" spans="1:26" ht="12.75" hidden="1">
      <c r="A518" s="36" t="str">
        <f ca="1">IFERROR(__xludf.DUMMYFUNCTION("""COMPUTED_VALUE"""),"")</f>
        <v/>
      </c>
      <c r="B518" s="36" t="str">
        <f ca="1">IFERROR(__xludf.DUMMYFUNCTION("""COMPUTED_VALUE"""),"")</f>
        <v/>
      </c>
      <c r="C518" s="36" t="str">
        <f ca="1">IFERROR(__xludf.DUMMYFUNCTION("""COMPUTED_VALUE"""),"")</f>
        <v/>
      </c>
      <c r="D518" s="36" t="str">
        <f ca="1">IFERROR(__xludf.DUMMYFUNCTION("""COMPUTED_VALUE"""),"")</f>
        <v/>
      </c>
      <c r="E518" s="36" t="str">
        <f ca="1">IFERROR(__xludf.DUMMYFUNCTION("""COMPUTED_VALUE"""),"")</f>
        <v/>
      </c>
      <c r="F518" s="36" t="str">
        <f ca="1">IFERROR(__xludf.DUMMYFUNCTION("""COMPUTED_VALUE"""),"")</f>
        <v/>
      </c>
      <c r="G518" s="36" t="str">
        <f ca="1">IFERROR(__xludf.DUMMYFUNCTION("""COMPUTED_VALUE"""),"")</f>
        <v/>
      </c>
      <c r="H518" s="36" t="str">
        <f ca="1">IFERROR(__xludf.DUMMYFUNCTION("""COMPUTED_VALUE"""),"")</f>
        <v/>
      </c>
      <c r="I518" s="36" t="str">
        <f ca="1">IFERROR(__xludf.DUMMYFUNCTION("""COMPUTED_VALUE"""),"")</f>
        <v/>
      </c>
      <c r="J518" s="36" t="str">
        <f ca="1">IFERROR(__xludf.DUMMYFUNCTION("""COMPUTED_VALUE"""),"")</f>
        <v/>
      </c>
      <c r="K518" s="36" t="str">
        <f ca="1">IFERROR(__xludf.DUMMYFUNCTION("""COMPUTED_VALUE"""),"")</f>
        <v/>
      </c>
      <c r="L518" s="36" t="str">
        <f ca="1">IFERROR(__xludf.DUMMYFUNCTION("""COMPUTED_VALUE"""),"")</f>
        <v/>
      </c>
      <c r="M518" s="36" t="str">
        <f ca="1">IFERROR(__xludf.DUMMYFUNCTION("""COMPUTED_VALUE"""),"")</f>
        <v/>
      </c>
      <c r="N518" s="36" t="str">
        <f ca="1">IFERROR(__xludf.DUMMYFUNCTION("""COMPUTED_VALUE"""),"")</f>
        <v/>
      </c>
      <c r="O518" s="36" t="str">
        <f ca="1">IFERROR(__xludf.DUMMYFUNCTION("""COMPUTED_VALUE"""),"")</f>
        <v/>
      </c>
      <c r="P518" s="36" t="str">
        <f ca="1">IFERROR(__xludf.DUMMYFUNCTION("""COMPUTED_VALUE"""),"")</f>
        <v/>
      </c>
      <c r="Q518" s="36" t="str">
        <f ca="1">IFERROR(__xludf.DUMMYFUNCTION("""COMPUTED_VALUE"""),"")</f>
        <v/>
      </c>
      <c r="R518" s="36" t="str">
        <f ca="1">IFERROR(__xludf.DUMMYFUNCTION("""COMPUTED_VALUE"""),"")</f>
        <v/>
      </c>
      <c r="S518" s="36" t="str">
        <f ca="1">IFERROR(__xludf.DUMMYFUNCTION("""COMPUTED_VALUE"""),"")</f>
        <v/>
      </c>
      <c r="T518" s="36" t="str">
        <f ca="1">IFERROR(__xludf.DUMMYFUNCTION("""COMPUTED_VALUE"""),"")</f>
        <v/>
      </c>
      <c r="U518" s="36" t="str">
        <f ca="1">IFERROR(__xludf.DUMMYFUNCTION("""COMPUTED_VALUE"""),"")</f>
        <v/>
      </c>
      <c r="V518" s="36" t="str">
        <f ca="1">IFERROR(__xludf.DUMMYFUNCTION("""COMPUTED_VALUE"""),"")</f>
        <v/>
      </c>
      <c r="W518" s="36" t="str">
        <f ca="1">IFERROR(__xludf.DUMMYFUNCTION("""COMPUTED_VALUE"""),"")</f>
        <v/>
      </c>
      <c r="X518" s="36"/>
      <c r="Y518" s="36"/>
      <c r="Z518" s="36"/>
    </row>
    <row r="519" spans="1:26" ht="12.75" hidden="1">
      <c r="A519" s="36" t="str">
        <f ca="1">IFERROR(__xludf.DUMMYFUNCTION("""COMPUTED_VALUE"""),"")</f>
        <v/>
      </c>
      <c r="B519" s="36" t="str">
        <f ca="1">IFERROR(__xludf.DUMMYFUNCTION("""COMPUTED_VALUE"""),"")</f>
        <v/>
      </c>
      <c r="C519" s="36" t="str">
        <f ca="1">IFERROR(__xludf.DUMMYFUNCTION("""COMPUTED_VALUE"""),"")</f>
        <v/>
      </c>
      <c r="D519" s="36" t="str">
        <f ca="1">IFERROR(__xludf.DUMMYFUNCTION("""COMPUTED_VALUE"""),"")</f>
        <v/>
      </c>
      <c r="E519" s="36" t="str">
        <f ca="1">IFERROR(__xludf.DUMMYFUNCTION("""COMPUTED_VALUE"""),"")</f>
        <v/>
      </c>
      <c r="F519" s="36" t="str">
        <f ca="1">IFERROR(__xludf.DUMMYFUNCTION("""COMPUTED_VALUE"""),"")</f>
        <v/>
      </c>
      <c r="G519" s="36" t="str">
        <f ca="1">IFERROR(__xludf.DUMMYFUNCTION("""COMPUTED_VALUE"""),"")</f>
        <v/>
      </c>
      <c r="H519" s="36" t="str">
        <f ca="1">IFERROR(__xludf.DUMMYFUNCTION("""COMPUTED_VALUE"""),"")</f>
        <v/>
      </c>
      <c r="I519" s="36" t="str">
        <f ca="1">IFERROR(__xludf.DUMMYFUNCTION("""COMPUTED_VALUE"""),"")</f>
        <v/>
      </c>
      <c r="J519" s="36" t="str">
        <f ca="1">IFERROR(__xludf.DUMMYFUNCTION("""COMPUTED_VALUE"""),"")</f>
        <v/>
      </c>
      <c r="K519" s="36" t="str">
        <f ca="1">IFERROR(__xludf.DUMMYFUNCTION("""COMPUTED_VALUE"""),"")</f>
        <v/>
      </c>
      <c r="L519" s="36" t="str">
        <f ca="1">IFERROR(__xludf.DUMMYFUNCTION("""COMPUTED_VALUE"""),"")</f>
        <v/>
      </c>
      <c r="M519" s="36" t="str">
        <f ca="1">IFERROR(__xludf.DUMMYFUNCTION("""COMPUTED_VALUE"""),"")</f>
        <v/>
      </c>
      <c r="N519" s="36" t="str">
        <f ca="1">IFERROR(__xludf.DUMMYFUNCTION("""COMPUTED_VALUE"""),"")</f>
        <v/>
      </c>
      <c r="O519" s="36" t="str">
        <f ca="1">IFERROR(__xludf.DUMMYFUNCTION("""COMPUTED_VALUE"""),"")</f>
        <v/>
      </c>
      <c r="P519" s="36" t="str">
        <f ca="1">IFERROR(__xludf.DUMMYFUNCTION("""COMPUTED_VALUE"""),"")</f>
        <v/>
      </c>
      <c r="Q519" s="36" t="str">
        <f ca="1">IFERROR(__xludf.DUMMYFUNCTION("""COMPUTED_VALUE"""),"")</f>
        <v/>
      </c>
      <c r="R519" s="36" t="str">
        <f ca="1">IFERROR(__xludf.DUMMYFUNCTION("""COMPUTED_VALUE"""),"")</f>
        <v/>
      </c>
      <c r="S519" s="36" t="str">
        <f ca="1">IFERROR(__xludf.DUMMYFUNCTION("""COMPUTED_VALUE"""),"")</f>
        <v/>
      </c>
      <c r="T519" s="36" t="str">
        <f ca="1">IFERROR(__xludf.DUMMYFUNCTION("""COMPUTED_VALUE"""),"")</f>
        <v/>
      </c>
      <c r="U519" s="36" t="str">
        <f ca="1">IFERROR(__xludf.DUMMYFUNCTION("""COMPUTED_VALUE"""),"")</f>
        <v/>
      </c>
      <c r="V519" s="36" t="str">
        <f ca="1">IFERROR(__xludf.DUMMYFUNCTION("""COMPUTED_VALUE"""),"")</f>
        <v/>
      </c>
      <c r="W519" s="36" t="str">
        <f ca="1">IFERROR(__xludf.DUMMYFUNCTION("""COMPUTED_VALUE"""),"")</f>
        <v/>
      </c>
      <c r="X519" s="36"/>
      <c r="Y519" s="36"/>
      <c r="Z519" s="36"/>
    </row>
    <row r="520" spans="1:26" ht="12.75" hidden="1">
      <c r="A520" s="36" t="str">
        <f ca="1">IFERROR(__xludf.DUMMYFUNCTION("""COMPUTED_VALUE"""),"")</f>
        <v/>
      </c>
      <c r="B520" s="36" t="str">
        <f ca="1">IFERROR(__xludf.DUMMYFUNCTION("""COMPUTED_VALUE"""),"")</f>
        <v/>
      </c>
      <c r="C520" s="36" t="str">
        <f ca="1">IFERROR(__xludf.DUMMYFUNCTION("""COMPUTED_VALUE"""),"")</f>
        <v/>
      </c>
      <c r="D520" s="36" t="str">
        <f ca="1">IFERROR(__xludf.DUMMYFUNCTION("""COMPUTED_VALUE"""),"")</f>
        <v/>
      </c>
      <c r="E520" s="36" t="str">
        <f ca="1">IFERROR(__xludf.DUMMYFUNCTION("""COMPUTED_VALUE"""),"")</f>
        <v/>
      </c>
      <c r="F520" s="36" t="str">
        <f ca="1">IFERROR(__xludf.DUMMYFUNCTION("""COMPUTED_VALUE"""),"")</f>
        <v/>
      </c>
      <c r="G520" s="36" t="str">
        <f ca="1">IFERROR(__xludf.DUMMYFUNCTION("""COMPUTED_VALUE"""),"")</f>
        <v/>
      </c>
      <c r="H520" s="36" t="str">
        <f ca="1">IFERROR(__xludf.DUMMYFUNCTION("""COMPUTED_VALUE"""),"")</f>
        <v/>
      </c>
      <c r="I520" s="36" t="str">
        <f ca="1">IFERROR(__xludf.DUMMYFUNCTION("""COMPUTED_VALUE"""),"")</f>
        <v/>
      </c>
      <c r="J520" s="36" t="str">
        <f ca="1">IFERROR(__xludf.DUMMYFUNCTION("""COMPUTED_VALUE"""),"")</f>
        <v/>
      </c>
      <c r="K520" s="36" t="str">
        <f ca="1">IFERROR(__xludf.DUMMYFUNCTION("""COMPUTED_VALUE"""),"")</f>
        <v/>
      </c>
      <c r="L520" s="36" t="str">
        <f ca="1">IFERROR(__xludf.DUMMYFUNCTION("""COMPUTED_VALUE"""),"")</f>
        <v/>
      </c>
      <c r="M520" s="36" t="str">
        <f ca="1">IFERROR(__xludf.DUMMYFUNCTION("""COMPUTED_VALUE"""),"")</f>
        <v/>
      </c>
      <c r="N520" s="36" t="str">
        <f ca="1">IFERROR(__xludf.DUMMYFUNCTION("""COMPUTED_VALUE"""),"")</f>
        <v/>
      </c>
      <c r="O520" s="36" t="str">
        <f ca="1">IFERROR(__xludf.DUMMYFUNCTION("""COMPUTED_VALUE"""),"")</f>
        <v/>
      </c>
      <c r="P520" s="36" t="str">
        <f ca="1">IFERROR(__xludf.DUMMYFUNCTION("""COMPUTED_VALUE"""),"")</f>
        <v/>
      </c>
      <c r="Q520" s="36" t="str">
        <f ca="1">IFERROR(__xludf.DUMMYFUNCTION("""COMPUTED_VALUE"""),"")</f>
        <v/>
      </c>
      <c r="R520" s="36" t="str">
        <f ca="1">IFERROR(__xludf.DUMMYFUNCTION("""COMPUTED_VALUE"""),"")</f>
        <v/>
      </c>
      <c r="S520" s="36" t="str">
        <f ca="1">IFERROR(__xludf.DUMMYFUNCTION("""COMPUTED_VALUE"""),"")</f>
        <v/>
      </c>
      <c r="T520" s="36" t="str">
        <f ca="1">IFERROR(__xludf.DUMMYFUNCTION("""COMPUTED_VALUE"""),"")</f>
        <v/>
      </c>
      <c r="U520" s="36" t="str">
        <f ca="1">IFERROR(__xludf.DUMMYFUNCTION("""COMPUTED_VALUE"""),"")</f>
        <v/>
      </c>
      <c r="V520" s="36" t="str">
        <f ca="1">IFERROR(__xludf.DUMMYFUNCTION("""COMPUTED_VALUE"""),"")</f>
        <v/>
      </c>
      <c r="W520" s="36" t="str">
        <f ca="1">IFERROR(__xludf.DUMMYFUNCTION("""COMPUTED_VALUE"""),"")</f>
        <v/>
      </c>
      <c r="X520" s="36"/>
      <c r="Y520" s="36"/>
      <c r="Z520" s="36"/>
    </row>
    <row r="521" spans="1:26" ht="12.75" hidden="1">
      <c r="A521" s="36" t="str">
        <f ca="1">IFERROR(__xludf.DUMMYFUNCTION("""COMPUTED_VALUE"""),"")</f>
        <v/>
      </c>
      <c r="B521" s="36" t="str">
        <f ca="1">IFERROR(__xludf.DUMMYFUNCTION("""COMPUTED_VALUE"""),"")</f>
        <v/>
      </c>
      <c r="C521" s="36" t="str">
        <f ca="1">IFERROR(__xludf.DUMMYFUNCTION("""COMPUTED_VALUE"""),"")</f>
        <v/>
      </c>
      <c r="D521" s="36" t="str">
        <f ca="1">IFERROR(__xludf.DUMMYFUNCTION("""COMPUTED_VALUE"""),"")</f>
        <v/>
      </c>
      <c r="E521" s="36" t="str">
        <f ca="1">IFERROR(__xludf.DUMMYFUNCTION("""COMPUTED_VALUE"""),"")</f>
        <v/>
      </c>
      <c r="F521" s="36" t="str">
        <f ca="1">IFERROR(__xludf.DUMMYFUNCTION("""COMPUTED_VALUE"""),"")</f>
        <v/>
      </c>
      <c r="G521" s="36" t="str">
        <f ca="1">IFERROR(__xludf.DUMMYFUNCTION("""COMPUTED_VALUE"""),"")</f>
        <v/>
      </c>
      <c r="H521" s="36" t="str">
        <f ca="1">IFERROR(__xludf.DUMMYFUNCTION("""COMPUTED_VALUE"""),"")</f>
        <v/>
      </c>
      <c r="I521" s="36" t="str">
        <f ca="1">IFERROR(__xludf.DUMMYFUNCTION("""COMPUTED_VALUE"""),"")</f>
        <v/>
      </c>
      <c r="J521" s="36" t="str">
        <f ca="1">IFERROR(__xludf.DUMMYFUNCTION("""COMPUTED_VALUE"""),"")</f>
        <v/>
      </c>
      <c r="K521" s="36" t="str">
        <f ca="1">IFERROR(__xludf.DUMMYFUNCTION("""COMPUTED_VALUE"""),"")</f>
        <v/>
      </c>
      <c r="L521" s="36" t="str">
        <f ca="1">IFERROR(__xludf.DUMMYFUNCTION("""COMPUTED_VALUE"""),"")</f>
        <v/>
      </c>
      <c r="M521" s="36" t="str">
        <f ca="1">IFERROR(__xludf.DUMMYFUNCTION("""COMPUTED_VALUE"""),"")</f>
        <v/>
      </c>
      <c r="N521" s="36" t="str">
        <f ca="1">IFERROR(__xludf.DUMMYFUNCTION("""COMPUTED_VALUE"""),"")</f>
        <v/>
      </c>
      <c r="O521" s="36" t="str">
        <f ca="1">IFERROR(__xludf.DUMMYFUNCTION("""COMPUTED_VALUE"""),"")</f>
        <v/>
      </c>
      <c r="P521" s="36" t="str">
        <f ca="1">IFERROR(__xludf.DUMMYFUNCTION("""COMPUTED_VALUE"""),"")</f>
        <v/>
      </c>
      <c r="Q521" s="36" t="str">
        <f ca="1">IFERROR(__xludf.DUMMYFUNCTION("""COMPUTED_VALUE"""),"")</f>
        <v/>
      </c>
      <c r="R521" s="36" t="str">
        <f ca="1">IFERROR(__xludf.DUMMYFUNCTION("""COMPUTED_VALUE"""),"")</f>
        <v/>
      </c>
      <c r="S521" s="36" t="str">
        <f ca="1">IFERROR(__xludf.DUMMYFUNCTION("""COMPUTED_VALUE"""),"")</f>
        <v/>
      </c>
      <c r="T521" s="36" t="str">
        <f ca="1">IFERROR(__xludf.DUMMYFUNCTION("""COMPUTED_VALUE"""),"")</f>
        <v/>
      </c>
      <c r="U521" s="36" t="str">
        <f ca="1">IFERROR(__xludf.DUMMYFUNCTION("""COMPUTED_VALUE"""),"")</f>
        <v/>
      </c>
      <c r="V521" s="36" t="str">
        <f ca="1">IFERROR(__xludf.DUMMYFUNCTION("""COMPUTED_VALUE"""),"")</f>
        <v/>
      </c>
      <c r="W521" s="36" t="str">
        <f ca="1">IFERROR(__xludf.DUMMYFUNCTION("""COMPUTED_VALUE"""),"")</f>
        <v/>
      </c>
      <c r="X521" s="36"/>
      <c r="Y521" s="36"/>
      <c r="Z521" s="36"/>
    </row>
    <row r="522" spans="1:26" ht="12.75" hidden="1">
      <c r="A522" s="36" t="str">
        <f ca="1">IFERROR(__xludf.DUMMYFUNCTION("""COMPUTED_VALUE"""),"")</f>
        <v/>
      </c>
      <c r="B522" s="36" t="str">
        <f ca="1">IFERROR(__xludf.DUMMYFUNCTION("""COMPUTED_VALUE"""),"")</f>
        <v/>
      </c>
      <c r="C522" s="36" t="str">
        <f ca="1">IFERROR(__xludf.DUMMYFUNCTION("""COMPUTED_VALUE"""),"")</f>
        <v/>
      </c>
      <c r="D522" s="36" t="str">
        <f ca="1">IFERROR(__xludf.DUMMYFUNCTION("""COMPUTED_VALUE"""),"")</f>
        <v/>
      </c>
      <c r="E522" s="36" t="str">
        <f ca="1">IFERROR(__xludf.DUMMYFUNCTION("""COMPUTED_VALUE"""),"")</f>
        <v/>
      </c>
      <c r="F522" s="36" t="str">
        <f ca="1">IFERROR(__xludf.DUMMYFUNCTION("""COMPUTED_VALUE"""),"")</f>
        <v/>
      </c>
      <c r="G522" s="36" t="str">
        <f ca="1">IFERROR(__xludf.DUMMYFUNCTION("""COMPUTED_VALUE"""),"")</f>
        <v/>
      </c>
      <c r="H522" s="36" t="str">
        <f ca="1">IFERROR(__xludf.DUMMYFUNCTION("""COMPUTED_VALUE"""),"")</f>
        <v/>
      </c>
      <c r="I522" s="36" t="str">
        <f ca="1">IFERROR(__xludf.DUMMYFUNCTION("""COMPUTED_VALUE"""),"")</f>
        <v/>
      </c>
      <c r="J522" s="36" t="str">
        <f ca="1">IFERROR(__xludf.DUMMYFUNCTION("""COMPUTED_VALUE"""),"")</f>
        <v/>
      </c>
      <c r="K522" s="36" t="str">
        <f ca="1">IFERROR(__xludf.DUMMYFUNCTION("""COMPUTED_VALUE"""),"")</f>
        <v/>
      </c>
      <c r="L522" s="36" t="str">
        <f ca="1">IFERROR(__xludf.DUMMYFUNCTION("""COMPUTED_VALUE"""),"")</f>
        <v/>
      </c>
      <c r="M522" s="36" t="str">
        <f ca="1">IFERROR(__xludf.DUMMYFUNCTION("""COMPUTED_VALUE"""),"")</f>
        <v/>
      </c>
      <c r="N522" s="36" t="str">
        <f ca="1">IFERROR(__xludf.DUMMYFUNCTION("""COMPUTED_VALUE"""),"")</f>
        <v/>
      </c>
      <c r="O522" s="36" t="str">
        <f ca="1">IFERROR(__xludf.DUMMYFUNCTION("""COMPUTED_VALUE"""),"")</f>
        <v/>
      </c>
      <c r="P522" s="36" t="str">
        <f ca="1">IFERROR(__xludf.DUMMYFUNCTION("""COMPUTED_VALUE"""),"")</f>
        <v/>
      </c>
      <c r="Q522" s="36" t="str">
        <f ca="1">IFERROR(__xludf.DUMMYFUNCTION("""COMPUTED_VALUE"""),"")</f>
        <v/>
      </c>
      <c r="R522" s="36" t="str">
        <f ca="1">IFERROR(__xludf.DUMMYFUNCTION("""COMPUTED_VALUE"""),"")</f>
        <v/>
      </c>
      <c r="S522" s="36" t="str">
        <f ca="1">IFERROR(__xludf.DUMMYFUNCTION("""COMPUTED_VALUE"""),"")</f>
        <v/>
      </c>
      <c r="T522" s="36" t="str">
        <f ca="1">IFERROR(__xludf.DUMMYFUNCTION("""COMPUTED_VALUE"""),"")</f>
        <v/>
      </c>
      <c r="U522" s="36" t="str">
        <f ca="1">IFERROR(__xludf.DUMMYFUNCTION("""COMPUTED_VALUE"""),"")</f>
        <v/>
      </c>
      <c r="V522" s="36" t="str">
        <f ca="1">IFERROR(__xludf.DUMMYFUNCTION("""COMPUTED_VALUE"""),"")</f>
        <v/>
      </c>
      <c r="W522" s="36" t="str">
        <f ca="1">IFERROR(__xludf.DUMMYFUNCTION("""COMPUTED_VALUE"""),"")</f>
        <v/>
      </c>
      <c r="X522" s="36"/>
      <c r="Y522" s="36"/>
      <c r="Z522" s="36"/>
    </row>
    <row r="523" spans="1:26" ht="12.75" hidden="1">
      <c r="A523" s="36" t="str">
        <f ca="1">IFERROR(__xludf.DUMMYFUNCTION("""COMPUTED_VALUE"""),"")</f>
        <v/>
      </c>
      <c r="B523" s="36" t="str">
        <f ca="1">IFERROR(__xludf.DUMMYFUNCTION("""COMPUTED_VALUE"""),"")</f>
        <v/>
      </c>
      <c r="C523" s="36" t="str">
        <f ca="1">IFERROR(__xludf.DUMMYFUNCTION("""COMPUTED_VALUE"""),"")</f>
        <v/>
      </c>
      <c r="D523" s="36" t="str">
        <f ca="1">IFERROR(__xludf.DUMMYFUNCTION("""COMPUTED_VALUE"""),"")</f>
        <v/>
      </c>
      <c r="E523" s="36" t="str">
        <f ca="1">IFERROR(__xludf.DUMMYFUNCTION("""COMPUTED_VALUE"""),"")</f>
        <v/>
      </c>
      <c r="F523" s="36" t="str">
        <f ca="1">IFERROR(__xludf.DUMMYFUNCTION("""COMPUTED_VALUE"""),"")</f>
        <v/>
      </c>
      <c r="G523" s="36" t="str">
        <f ca="1">IFERROR(__xludf.DUMMYFUNCTION("""COMPUTED_VALUE"""),"")</f>
        <v/>
      </c>
      <c r="H523" s="36" t="str">
        <f ca="1">IFERROR(__xludf.DUMMYFUNCTION("""COMPUTED_VALUE"""),"")</f>
        <v/>
      </c>
      <c r="I523" s="36" t="str">
        <f ca="1">IFERROR(__xludf.DUMMYFUNCTION("""COMPUTED_VALUE"""),"")</f>
        <v/>
      </c>
      <c r="J523" s="36" t="str">
        <f ca="1">IFERROR(__xludf.DUMMYFUNCTION("""COMPUTED_VALUE"""),"")</f>
        <v/>
      </c>
      <c r="K523" s="36" t="str">
        <f ca="1">IFERROR(__xludf.DUMMYFUNCTION("""COMPUTED_VALUE"""),"")</f>
        <v/>
      </c>
      <c r="L523" s="36" t="str">
        <f ca="1">IFERROR(__xludf.DUMMYFUNCTION("""COMPUTED_VALUE"""),"")</f>
        <v/>
      </c>
      <c r="M523" s="36" t="str">
        <f ca="1">IFERROR(__xludf.DUMMYFUNCTION("""COMPUTED_VALUE"""),"")</f>
        <v/>
      </c>
      <c r="N523" s="36" t="str">
        <f ca="1">IFERROR(__xludf.DUMMYFUNCTION("""COMPUTED_VALUE"""),"")</f>
        <v/>
      </c>
      <c r="O523" s="36" t="str">
        <f ca="1">IFERROR(__xludf.DUMMYFUNCTION("""COMPUTED_VALUE"""),"")</f>
        <v/>
      </c>
      <c r="P523" s="36" t="str">
        <f ca="1">IFERROR(__xludf.DUMMYFUNCTION("""COMPUTED_VALUE"""),"")</f>
        <v/>
      </c>
      <c r="Q523" s="36" t="str">
        <f ca="1">IFERROR(__xludf.DUMMYFUNCTION("""COMPUTED_VALUE"""),"")</f>
        <v/>
      </c>
      <c r="R523" s="36" t="str">
        <f ca="1">IFERROR(__xludf.DUMMYFUNCTION("""COMPUTED_VALUE"""),"")</f>
        <v/>
      </c>
      <c r="S523" s="36" t="str">
        <f ca="1">IFERROR(__xludf.DUMMYFUNCTION("""COMPUTED_VALUE"""),"")</f>
        <v/>
      </c>
      <c r="T523" s="36" t="str">
        <f ca="1">IFERROR(__xludf.DUMMYFUNCTION("""COMPUTED_VALUE"""),"")</f>
        <v/>
      </c>
      <c r="U523" s="36" t="str">
        <f ca="1">IFERROR(__xludf.DUMMYFUNCTION("""COMPUTED_VALUE"""),"")</f>
        <v/>
      </c>
      <c r="V523" s="36" t="str">
        <f ca="1">IFERROR(__xludf.DUMMYFUNCTION("""COMPUTED_VALUE"""),"")</f>
        <v/>
      </c>
      <c r="W523" s="36" t="str">
        <f ca="1">IFERROR(__xludf.DUMMYFUNCTION("""COMPUTED_VALUE"""),"")</f>
        <v/>
      </c>
      <c r="X523" s="36"/>
      <c r="Y523" s="36"/>
      <c r="Z523" s="36"/>
    </row>
    <row r="524" spans="1:26" ht="12.75" hidden="1">
      <c r="A524" s="36" t="str">
        <f ca="1">IFERROR(__xludf.DUMMYFUNCTION("""COMPUTED_VALUE"""),"")</f>
        <v/>
      </c>
      <c r="B524" s="36" t="str">
        <f ca="1">IFERROR(__xludf.DUMMYFUNCTION("""COMPUTED_VALUE"""),"")</f>
        <v/>
      </c>
      <c r="C524" s="36" t="str">
        <f ca="1">IFERROR(__xludf.DUMMYFUNCTION("""COMPUTED_VALUE"""),"")</f>
        <v/>
      </c>
      <c r="D524" s="36" t="str">
        <f ca="1">IFERROR(__xludf.DUMMYFUNCTION("""COMPUTED_VALUE"""),"")</f>
        <v/>
      </c>
      <c r="E524" s="36" t="str">
        <f ca="1">IFERROR(__xludf.DUMMYFUNCTION("""COMPUTED_VALUE"""),"")</f>
        <v/>
      </c>
      <c r="F524" s="36" t="str">
        <f ca="1">IFERROR(__xludf.DUMMYFUNCTION("""COMPUTED_VALUE"""),"")</f>
        <v/>
      </c>
      <c r="G524" s="36" t="str">
        <f ca="1">IFERROR(__xludf.DUMMYFUNCTION("""COMPUTED_VALUE"""),"")</f>
        <v/>
      </c>
      <c r="H524" s="36" t="str">
        <f ca="1">IFERROR(__xludf.DUMMYFUNCTION("""COMPUTED_VALUE"""),"")</f>
        <v/>
      </c>
      <c r="I524" s="36" t="str">
        <f ca="1">IFERROR(__xludf.DUMMYFUNCTION("""COMPUTED_VALUE"""),"")</f>
        <v/>
      </c>
      <c r="J524" s="36" t="str">
        <f ca="1">IFERROR(__xludf.DUMMYFUNCTION("""COMPUTED_VALUE"""),"")</f>
        <v/>
      </c>
      <c r="K524" s="36" t="str">
        <f ca="1">IFERROR(__xludf.DUMMYFUNCTION("""COMPUTED_VALUE"""),"")</f>
        <v/>
      </c>
      <c r="L524" s="36" t="str">
        <f ca="1">IFERROR(__xludf.DUMMYFUNCTION("""COMPUTED_VALUE"""),"")</f>
        <v/>
      </c>
      <c r="M524" s="36" t="str">
        <f ca="1">IFERROR(__xludf.DUMMYFUNCTION("""COMPUTED_VALUE"""),"")</f>
        <v/>
      </c>
      <c r="N524" s="36" t="str">
        <f ca="1">IFERROR(__xludf.DUMMYFUNCTION("""COMPUTED_VALUE"""),"")</f>
        <v/>
      </c>
      <c r="O524" s="36" t="str">
        <f ca="1">IFERROR(__xludf.DUMMYFUNCTION("""COMPUTED_VALUE"""),"")</f>
        <v/>
      </c>
      <c r="P524" s="36" t="str">
        <f ca="1">IFERROR(__xludf.DUMMYFUNCTION("""COMPUTED_VALUE"""),"")</f>
        <v/>
      </c>
      <c r="Q524" s="36" t="str">
        <f ca="1">IFERROR(__xludf.DUMMYFUNCTION("""COMPUTED_VALUE"""),"")</f>
        <v/>
      </c>
      <c r="R524" s="36" t="str">
        <f ca="1">IFERROR(__xludf.DUMMYFUNCTION("""COMPUTED_VALUE"""),"")</f>
        <v/>
      </c>
      <c r="S524" s="36" t="str">
        <f ca="1">IFERROR(__xludf.DUMMYFUNCTION("""COMPUTED_VALUE"""),"")</f>
        <v/>
      </c>
      <c r="T524" s="36" t="str">
        <f ca="1">IFERROR(__xludf.DUMMYFUNCTION("""COMPUTED_VALUE"""),"")</f>
        <v/>
      </c>
      <c r="U524" s="36" t="str">
        <f ca="1">IFERROR(__xludf.DUMMYFUNCTION("""COMPUTED_VALUE"""),"")</f>
        <v/>
      </c>
      <c r="V524" s="36" t="str">
        <f ca="1">IFERROR(__xludf.DUMMYFUNCTION("""COMPUTED_VALUE"""),"")</f>
        <v/>
      </c>
      <c r="W524" s="36" t="str">
        <f ca="1">IFERROR(__xludf.DUMMYFUNCTION("""COMPUTED_VALUE"""),"")</f>
        <v/>
      </c>
      <c r="X524" s="36"/>
      <c r="Y524" s="36"/>
      <c r="Z524" s="36"/>
    </row>
    <row r="525" spans="1:26" ht="12.75" hidden="1">
      <c r="A525" s="36" t="str">
        <f ca="1">IFERROR(__xludf.DUMMYFUNCTION("""COMPUTED_VALUE"""),"")</f>
        <v/>
      </c>
      <c r="B525" s="36" t="str">
        <f ca="1">IFERROR(__xludf.DUMMYFUNCTION("""COMPUTED_VALUE"""),"")</f>
        <v/>
      </c>
      <c r="C525" s="36" t="str">
        <f ca="1">IFERROR(__xludf.DUMMYFUNCTION("""COMPUTED_VALUE"""),"")</f>
        <v/>
      </c>
      <c r="D525" s="36" t="str">
        <f ca="1">IFERROR(__xludf.DUMMYFUNCTION("""COMPUTED_VALUE"""),"")</f>
        <v/>
      </c>
      <c r="E525" s="36" t="str">
        <f ca="1">IFERROR(__xludf.DUMMYFUNCTION("""COMPUTED_VALUE"""),"")</f>
        <v/>
      </c>
      <c r="F525" s="36" t="str">
        <f ca="1">IFERROR(__xludf.DUMMYFUNCTION("""COMPUTED_VALUE"""),"")</f>
        <v/>
      </c>
      <c r="G525" s="36" t="str">
        <f ca="1">IFERROR(__xludf.DUMMYFUNCTION("""COMPUTED_VALUE"""),"")</f>
        <v/>
      </c>
      <c r="H525" s="36" t="str">
        <f ca="1">IFERROR(__xludf.DUMMYFUNCTION("""COMPUTED_VALUE"""),"")</f>
        <v/>
      </c>
      <c r="I525" s="36" t="str">
        <f ca="1">IFERROR(__xludf.DUMMYFUNCTION("""COMPUTED_VALUE"""),"")</f>
        <v/>
      </c>
      <c r="J525" s="36" t="str">
        <f ca="1">IFERROR(__xludf.DUMMYFUNCTION("""COMPUTED_VALUE"""),"")</f>
        <v/>
      </c>
      <c r="K525" s="36" t="str">
        <f ca="1">IFERROR(__xludf.DUMMYFUNCTION("""COMPUTED_VALUE"""),"")</f>
        <v/>
      </c>
      <c r="L525" s="36" t="str">
        <f ca="1">IFERROR(__xludf.DUMMYFUNCTION("""COMPUTED_VALUE"""),"")</f>
        <v/>
      </c>
      <c r="M525" s="36" t="str">
        <f ca="1">IFERROR(__xludf.DUMMYFUNCTION("""COMPUTED_VALUE"""),"")</f>
        <v/>
      </c>
      <c r="N525" s="36" t="str">
        <f ca="1">IFERROR(__xludf.DUMMYFUNCTION("""COMPUTED_VALUE"""),"")</f>
        <v/>
      </c>
      <c r="O525" s="36" t="str">
        <f ca="1">IFERROR(__xludf.DUMMYFUNCTION("""COMPUTED_VALUE"""),"")</f>
        <v/>
      </c>
      <c r="P525" s="36" t="str">
        <f ca="1">IFERROR(__xludf.DUMMYFUNCTION("""COMPUTED_VALUE"""),"")</f>
        <v/>
      </c>
      <c r="Q525" s="36" t="str">
        <f ca="1">IFERROR(__xludf.DUMMYFUNCTION("""COMPUTED_VALUE"""),"")</f>
        <v/>
      </c>
      <c r="R525" s="36" t="str">
        <f ca="1">IFERROR(__xludf.DUMMYFUNCTION("""COMPUTED_VALUE"""),"")</f>
        <v/>
      </c>
      <c r="S525" s="36" t="str">
        <f ca="1">IFERROR(__xludf.DUMMYFUNCTION("""COMPUTED_VALUE"""),"")</f>
        <v/>
      </c>
      <c r="T525" s="36" t="str">
        <f ca="1">IFERROR(__xludf.DUMMYFUNCTION("""COMPUTED_VALUE"""),"")</f>
        <v/>
      </c>
      <c r="U525" s="36" t="str">
        <f ca="1">IFERROR(__xludf.DUMMYFUNCTION("""COMPUTED_VALUE"""),"")</f>
        <v/>
      </c>
      <c r="V525" s="36" t="str">
        <f ca="1">IFERROR(__xludf.DUMMYFUNCTION("""COMPUTED_VALUE"""),"")</f>
        <v/>
      </c>
      <c r="W525" s="36" t="str">
        <f ca="1">IFERROR(__xludf.DUMMYFUNCTION("""COMPUTED_VALUE"""),"")</f>
        <v/>
      </c>
      <c r="X525" s="36"/>
      <c r="Y525" s="36"/>
      <c r="Z525" s="36"/>
    </row>
    <row r="526" spans="1:26" ht="12.75" hidden="1">
      <c r="A526" s="36" t="str">
        <f ca="1">IFERROR(__xludf.DUMMYFUNCTION("""COMPUTED_VALUE"""),"")</f>
        <v/>
      </c>
      <c r="B526" s="36" t="str">
        <f ca="1">IFERROR(__xludf.DUMMYFUNCTION("""COMPUTED_VALUE"""),"")</f>
        <v/>
      </c>
      <c r="C526" s="36" t="str">
        <f ca="1">IFERROR(__xludf.DUMMYFUNCTION("""COMPUTED_VALUE"""),"")</f>
        <v/>
      </c>
      <c r="D526" s="36" t="str">
        <f ca="1">IFERROR(__xludf.DUMMYFUNCTION("""COMPUTED_VALUE"""),"")</f>
        <v/>
      </c>
      <c r="E526" s="36" t="str">
        <f ca="1">IFERROR(__xludf.DUMMYFUNCTION("""COMPUTED_VALUE"""),"")</f>
        <v/>
      </c>
      <c r="F526" s="36" t="str">
        <f ca="1">IFERROR(__xludf.DUMMYFUNCTION("""COMPUTED_VALUE"""),"")</f>
        <v/>
      </c>
      <c r="G526" s="36" t="str">
        <f ca="1">IFERROR(__xludf.DUMMYFUNCTION("""COMPUTED_VALUE"""),"")</f>
        <v/>
      </c>
      <c r="H526" s="36" t="str">
        <f ca="1">IFERROR(__xludf.DUMMYFUNCTION("""COMPUTED_VALUE"""),"")</f>
        <v/>
      </c>
      <c r="I526" s="36" t="str">
        <f ca="1">IFERROR(__xludf.DUMMYFUNCTION("""COMPUTED_VALUE"""),"")</f>
        <v/>
      </c>
      <c r="J526" s="36" t="str">
        <f ca="1">IFERROR(__xludf.DUMMYFUNCTION("""COMPUTED_VALUE"""),"")</f>
        <v/>
      </c>
      <c r="K526" s="36" t="str">
        <f ca="1">IFERROR(__xludf.DUMMYFUNCTION("""COMPUTED_VALUE"""),"")</f>
        <v/>
      </c>
      <c r="L526" s="36" t="str">
        <f ca="1">IFERROR(__xludf.DUMMYFUNCTION("""COMPUTED_VALUE"""),"")</f>
        <v/>
      </c>
      <c r="M526" s="36" t="str">
        <f ca="1">IFERROR(__xludf.DUMMYFUNCTION("""COMPUTED_VALUE"""),"")</f>
        <v/>
      </c>
      <c r="N526" s="36" t="str">
        <f ca="1">IFERROR(__xludf.DUMMYFUNCTION("""COMPUTED_VALUE"""),"")</f>
        <v/>
      </c>
      <c r="O526" s="36" t="str">
        <f ca="1">IFERROR(__xludf.DUMMYFUNCTION("""COMPUTED_VALUE"""),"")</f>
        <v/>
      </c>
      <c r="P526" s="36" t="str">
        <f ca="1">IFERROR(__xludf.DUMMYFUNCTION("""COMPUTED_VALUE"""),"")</f>
        <v/>
      </c>
      <c r="Q526" s="36" t="str">
        <f ca="1">IFERROR(__xludf.DUMMYFUNCTION("""COMPUTED_VALUE"""),"")</f>
        <v/>
      </c>
      <c r="R526" s="36" t="str">
        <f ca="1">IFERROR(__xludf.DUMMYFUNCTION("""COMPUTED_VALUE"""),"")</f>
        <v/>
      </c>
      <c r="S526" s="36" t="str">
        <f ca="1">IFERROR(__xludf.DUMMYFUNCTION("""COMPUTED_VALUE"""),"")</f>
        <v/>
      </c>
      <c r="T526" s="36" t="str">
        <f ca="1">IFERROR(__xludf.DUMMYFUNCTION("""COMPUTED_VALUE"""),"")</f>
        <v/>
      </c>
      <c r="U526" s="36" t="str">
        <f ca="1">IFERROR(__xludf.DUMMYFUNCTION("""COMPUTED_VALUE"""),"")</f>
        <v/>
      </c>
      <c r="V526" s="36" t="str">
        <f ca="1">IFERROR(__xludf.DUMMYFUNCTION("""COMPUTED_VALUE"""),"")</f>
        <v/>
      </c>
      <c r="W526" s="36" t="str">
        <f ca="1">IFERROR(__xludf.DUMMYFUNCTION("""COMPUTED_VALUE"""),"")</f>
        <v/>
      </c>
      <c r="X526" s="36"/>
      <c r="Y526" s="36"/>
      <c r="Z526" s="36"/>
    </row>
    <row r="527" spans="1:26" ht="12.75" hidden="1">
      <c r="A527" s="36" t="str">
        <f ca="1">IFERROR(__xludf.DUMMYFUNCTION("""COMPUTED_VALUE"""),"")</f>
        <v/>
      </c>
      <c r="B527" s="36" t="str">
        <f ca="1">IFERROR(__xludf.DUMMYFUNCTION("""COMPUTED_VALUE"""),"")</f>
        <v/>
      </c>
      <c r="C527" s="36" t="str">
        <f ca="1">IFERROR(__xludf.DUMMYFUNCTION("""COMPUTED_VALUE"""),"")</f>
        <v/>
      </c>
      <c r="D527" s="36" t="str">
        <f ca="1">IFERROR(__xludf.DUMMYFUNCTION("""COMPUTED_VALUE"""),"")</f>
        <v/>
      </c>
      <c r="E527" s="36" t="str">
        <f ca="1">IFERROR(__xludf.DUMMYFUNCTION("""COMPUTED_VALUE"""),"")</f>
        <v/>
      </c>
      <c r="F527" s="36" t="str">
        <f ca="1">IFERROR(__xludf.DUMMYFUNCTION("""COMPUTED_VALUE"""),"")</f>
        <v/>
      </c>
      <c r="G527" s="36" t="str">
        <f ca="1">IFERROR(__xludf.DUMMYFUNCTION("""COMPUTED_VALUE"""),"")</f>
        <v/>
      </c>
      <c r="H527" s="36" t="str">
        <f ca="1">IFERROR(__xludf.DUMMYFUNCTION("""COMPUTED_VALUE"""),"")</f>
        <v/>
      </c>
      <c r="I527" s="36" t="str">
        <f ca="1">IFERROR(__xludf.DUMMYFUNCTION("""COMPUTED_VALUE"""),"")</f>
        <v/>
      </c>
      <c r="J527" s="36" t="str">
        <f ca="1">IFERROR(__xludf.DUMMYFUNCTION("""COMPUTED_VALUE"""),"")</f>
        <v/>
      </c>
      <c r="K527" s="36" t="str">
        <f ca="1">IFERROR(__xludf.DUMMYFUNCTION("""COMPUTED_VALUE"""),"")</f>
        <v/>
      </c>
      <c r="L527" s="36" t="str">
        <f ca="1">IFERROR(__xludf.DUMMYFUNCTION("""COMPUTED_VALUE"""),"")</f>
        <v/>
      </c>
      <c r="M527" s="36" t="str">
        <f ca="1">IFERROR(__xludf.DUMMYFUNCTION("""COMPUTED_VALUE"""),"")</f>
        <v/>
      </c>
      <c r="N527" s="36" t="str">
        <f ca="1">IFERROR(__xludf.DUMMYFUNCTION("""COMPUTED_VALUE"""),"")</f>
        <v/>
      </c>
      <c r="O527" s="36" t="str">
        <f ca="1">IFERROR(__xludf.DUMMYFUNCTION("""COMPUTED_VALUE"""),"")</f>
        <v/>
      </c>
      <c r="P527" s="36" t="str">
        <f ca="1">IFERROR(__xludf.DUMMYFUNCTION("""COMPUTED_VALUE"""),"")</f>
        <v/>
      </c>
      <c r="Q527" s="36" t="str">
        <f ca="1">IFERROR(__xludf.DUMMYFUNCTION("""COMPUTED_VALUE"""),"")</f>
        <v/>
      </c>
      <c r="R527" s="36" t="str">
        <f ca="1">IFERROR(__xludf.DUMMYFUNCTION("""COMPUTED_VALUE"""),"")</f>
        <v/>
      </c>
      <c r="S527" s="36" t="str">
        <f ca="1">IFERROR(__xludf.DUMMYFUNCTION("""COMPUTED_VALUE"""),"")</f>
        <v/>
      </c>
      <c r="T527" s="36" t="str">
        <f ca="1">IFERROR(__xludf.DUMMYFUNCTION("""COMPUTED_VALUE"""),"")</f>
        <v/>
      </c>
      <c r="U527" s="36" t="str">
        <f ca="1">IFERROR(__xludf.DUMMYFUNCTION("""COMPUTED_VALUE"""),"")</f>
        <v/>
      </c>
      <c r="V527" s="36" t="str">
        <f ca="1">IFERROR(__xludf.DUMMYFUNCTION("""COMPUTED_VALUE"""),"")</f>
        <v/>
      </c>
      <c r="W527" s="36" t="str">
        <f ca="1">IFERROR(__xludf.DUMMYFUNCTION("""COMPUTED_VALUE"""),"")</f>
        <v/>
      </c>
      <c r="X527" s="36"/>
      <c r="Y527" s="36"/>
      <c r="Z527" s="36"/>
    </row>
    <row r="528" spans="1:26" ht="12.75" hidden="1">
      <c r="A528" s="36" t="str">
        <f ca="1">IFERROR(__xludf.DUMMYFUNCTION("""COMPUTED_VALUE"""),"")</f>
        <v/>
      </c>
      <c r="B528" s="36" t="str">
        <f ca="1">IFERROR(__xludf.DUMMYFUNCTION("""COMPUTED_VALUE"""),"")</f>
        <v/>
      </c>
      <c r="C528" s="36" t="str">
        <f ca="1">IFERROR(__xludf.DUMMYFUNCTION("""COMPUTED_VALUE"""),"")</f>
        <v/>
      </c>
      <c r="D528" s="36" t="str">
        <f ca="1">IFERROR(__xludf.DUMMYFUNCTION("""COMPUTED_VALUE"""),"")</f>
        <v/>
      </c>
      <c r="E528" s="36" t="str">
        <f ca="1">IFERROR(__xludf.DUMMYFUNCTION("""COMPUTED_VALUE"""),"")</f>
        <v/>
      </c>
      <c r="F528" s="36" t="str">
        <f ca="1">IFERROR(__xludf.DUMMYFUNCTION("""COMPUTED_VALUE"""),"")</f>
        <v/>
      </c>
      <c r="G528" s="36" t="str">
        <f ca="1">IFERROR(__xludf.DUMMYFUNCTION("""COMPUTED_VALUE"""),"")</f>
        <v/>
      </c>
      <c r="H528" s="36" t="str">
        <f ca="1">IFERROR(__xludf.DUMMYFUNCTION("""COMPUTED_VALUE"""),"")</f>
        <v/>
      </c>
      <c r="I528" s="36" t="str">
        <f ca="1">IFERROR(__xludf.DUMMYFUNCTION("""COMPUTED_VALUE"""),"")</f>
        <v/>
      </c>
      <c r="J528" s="36" t="str">
        <f ca="1">IFERROR(__xludf.DUMMYFUNCTION("""COMPUTED_VALUE"""),"")</f>
        <v/>
      </c>
      <c r="K528" s="36" t="str">
        <f ca="1">IFERROR(__xludf.DUMMYFUNCTION("""COMPUTED_VALUE"""),"")</f>
        <v/>
      </c>
      <c r="L528" s="36" t="str">
        <f ca="1">IFERROR(__xludf.DUMMYFUNCTION("""COMPUTED_VALUE"""),"")</f>
        <v/>
      </c>
      <c r="M528" s="36" t="str">
        <f ca="1">IFERROR(__xludf.DUMMYFUNCTION("""COMPUTED_VALUE"""),"")</f>
        <v/>
      </c>
      <c r="N528" s="36" t="str">
        <f ca="1">IFERROR(__xludf.DUMMYFUNCTION("""COMPUTED_VALUE"""),"")</f>
        <v/>
      </c>
      <c r="O528" s="36" t="str">
        <f ca="1">IFERROR(__xludf.DUMMYFUNCTION("""COMPUTED_VALUE"""),"")</f>
        <v/>
      </c>
      <c r="P528" s="36" t="str">
        <f ca="1">IFERROR(__xludf.DUMMYFUNCTION("""COMPUTED_VALUE"""),"")</f>
        <v/>
      </c>
      <c r="Q528" s="36" t="str">
        <f ca="1">IFERROR(__xludf.DUMMYFUNCTION("""COMPUTED_VALUE"""),"")</f>
        <v/>
      </c>
      <c r="R528" s="36" t="str">
        <f ca="1">IFERROR(__xludf.DUMMYFUNCTION("""COMPUTED_VALUE"""),"")</f>
        <v/>
      </c>
      <c r="S528" s="36" t="str">
        <f ca="1">IFERROR(__xludf.DUMMYFUNCTION("""COMPUTED_VALUE"""),"")</f>
        <v/>
      </c>
      <c r="T528" s="36" t="str">
        <f ca="1">IFERROR(__xludf.DUMMYFUNCTION("""COMPUTED_VALUE"""),"")</f>
        <v/>
      </c>
      <c r="U528" s="36" t="str">
        <f ca="1">IFERROR(__xludf.DUMMYFUNCTION("""COMPUTED_VALUE"""),"")</f>
        <v/>
      </c>
      <c r="V528" s="36" t="str">
        <f ca="1">IFERROR(__xludf.DUMMYFUNCTION("""COMPUTED_VALUE"""),"")</f>
        <v/>
      </c>
      <c r="W528" s="36" t="str">
        <f ca="1">IFERROR(__xludf.DUMMYFUNCTION("""COMPUTED_VALUE"""),"")</f>
        <v/>
      </c>
      <c r="X528" s="36"/>
      <c r="Y528" s="36"/>
      <c r="Z528" s="36"/>
    </row>
    <row r="529" spans="1:26" ht="12.75" hidden="1">
      <c r="A529" s="36" t="str">
        <f ca="1">IFERROR(__xludf.DUMMYFUNCTION("""COMPUTED_VALUE"""),"")</f>
        <v/>
      </c>
      <c r="B529" s="36" t="str">
        <f ca="1">IFERROR(__xludf.DUMMYFUNCTION("""COMPUTED_VALUE"""),"")</f>
        <v/>
      </c>
      <c r="C529" s="36" t="str">
        <f ca="1">IFERROR(__xludf.DUMMYFUNCTION("""COMPUTED_VALUE"""),"")</f>
        <v/>
      </c>
      <c r="D529" s="36" t="str">
        <f ca="1">IFERROR(__xludf.DUMMYFUNCTION("""COMPUTED_VALUE"""),"")</f>
        <v/>
      </c>
      <c r="E529" s="36" t="str">
        <f ca="1">IFERROR(__xludf.DUMMYFUNCTION("""COMPUTED_VALUE"""),"")</f>
        <v/>
      </c>
      <c r="F529" s="36" t="str">
        <f ca="1">IFERROR(__xludf.DUMMYFUNCTION("""COMPUTED_VALUE"""),"")</f>
        <v/>
      </c>
      <c r="G529" s="36" t="str">
        <f ca="1">IFERROR(__xludf.DUMMYFUNCTION("""COMPUTED_VALUE"""),"")</f>
        <v/>
      </c>
      <c r="H529" s="36" t="str">
        <f ca="1">IFERROR(__xludf.DUMMYFUNCTION("""COMPUTED_VALUE"""),"")</f>
        <v/>
      </c>
      <c r="I529" s="36" t="str">
        <f ca="1">IFERROR(__xludf.DUMMYFUNCTION("""COMPUTED_VALUE"""),"")</f>
        <v/>
      </c>
      <c r="J529" s="36" t="str">
        <f ca="1">IFERROR(__xludf.DUMMYFUNCTION("""COMPUTED_VALUE"""),"")</f>
        <v/>
      </c>
      <c r="K529" s="36" t="str">
        <f ca="1">IFERROR(__xludf.DUMMYFUNCTION("""COMPUTED_VALUE"""),"")</f>
        <v/>
      </c>
      <c r="L529" s="36" t="str">
        <f ca="1">IFERROR(__xludf.DUMMYFUNCTION("""COMPUTED_VALUE"""),"")</f>
        <v/>
      </c>
      <c r="M529" s="36" t="str">
        <f ca="1">IFERROR(__xludf.DUMMYFUNCTION("""COMPUTED_VALUE"""),"")</f>
        <v/>
      </c>
      <c r="N529" s="36" t="str">
        <f ca="1">IFERROR(__xludf.DUMMYFUNCTION("""COMPUTED_VALUE"""),"")</f>
        <v/>
      </c>
      <c r="O529" s="36" t="str">
        <f ca="1">IFERROR(__xludf.DUMMYFUNCTION("""COMPUTED_VALUE"""),"")</f>
        <v/>
      </c>
      <c r="P529" s="36" t="str">
        <f ca="1">IFERROR(__xludf.DUMMYFUNCTION("""COMPUTED_VALUE"""),"")</f>
        <v/>
      </c>
      <c r="Q529" s="36" t="str">
        <f ca="1">IFERROR(__xludf.DUMMYFUNCTION("""COMPUTED_VALUE"""),"")</f>
        <v/>
      </c>
      <c r="R529" s="36" t="str">
        <f ca="1">IFERROR(__xludf.DUMMYFUNCTION("""COMPUTED_VALUE"""),"")</f>
        <v/>
      </c>
      <c r="S529" s="36" t="str">
        <f ca="1">IFERROR(__xludf.DUMMYFUNCTION("""COMPUTED_VALUE"""),"")</f>
        <v/>
      </c>
      <c r="T529" s="36" t="str">
        <f ca="1">IFERROR(__xludf.DUMMYFUNCTION("""COMPUTED_VALUE"""),"")</f>
        <v/>
      </c>
      <c r="U529" s="36" t="str">
        <f ca="1">IFERROR(__xludf.DUMMYFUNCTION("""COMPUTED_VALUE"""),"")</f>
        <v/>
      </c>
      <c r="V529" s="36" t="str">
        <f ca="1">IFERROR(__xludf.DUMMYFUNCTION("""COMPUTED_VALUE"""),"")</f>
        <v/>
      </c>
      <c r="W529" s="36" t="str">
        <f ca="1">IFERROR(__xludf.DUMMYFUNCTION("""COMPUTED_VALUE"""),"")</f>
        <v/>
      </c>
      <c r="X529" s="36"/>
      <c r="Y529" s="36"/>
      <c r="Z529" s="36"/>
    </row>
    <row r="530" spans="1:26" ht="12.75" hidden="1">
      <c r="A530" s="36" t="str">
        <f ca="1">IFERROR(__xludf.DUMMYFUNCTION("""COMPUTED_VALUE"""),"")</f>
        <v/>
      </c>
      <c r="B530" s="36" t="str">
        <f ca="1">IFERROR(__xludf.DUMMYFUNCTION("""COMPUTED_VALUE"""),"")</f>
        <v/>
      </c>
      <c r="C530" s="36" t="str">
        <f ca="1">IFERROR(__xludf.DUMMYFUNCTION("""COMPUTED_VALUE"""),"")</f>
        <v/>
      </c>
      <c r="D530" s="36" t="str">
        <f ca="1">IFERROR(__xludf.DUMMYFUNCTION("""COMPUTED_VALUE"""),"")</f>
        <v/>
      </c>
      <c r="E530" s="36" t="str">
        <f ca="1">IFERROR(__xludf.DUMMYFUNCTION("""COMPUTED_VALUE"""),"")</f>
        <v/>
      </c>
      <c r="F530" s="36" t="str">
        <f ca="1">IFERROR(__xludf.DUMMYFUNCTION("""COMPUTED_VALUE"""),"")</f>
        <v/>
      </c>
      <c r="G530" s="36" t="str">
        <f ca="1">IFERROR(__xludf.DUMMYFUNCTION("""COMPUTED_VALUE"""),"")</f>
        <v/>
      </c>
      <c r="H530" s="36" t="str">
        <f ca="1">IFERROR(__xludf.DUMMYFUNCTION("""COMPUTED_VALUE"""),"")</f>
        <v/>
      </c>
      <c r="I530" s="36" t="str">
        <f ca="1">IFERROR(__xludf.DUMMYFUNCTION("""COMPUTED_VALUE"""),"")</f>
        <v/>
      </c>
      <c r="J530" s="36" t="str">
        <f ca="1">IFERROR(__xludf.DUMMYFUNCTION("""COMPUTED_VALUE"""),"")</f>
        <v/>
      </c>
      <c r="K530" s="36" t="str">
        <f ca="1">IFERROR(__xludf.DUMMYFUNCTION("""COMPUTED_VALUE"""),"")</f>
        <v/>
      </c>
      <c r="L530" s="36" t="str">
        <f ca="1">IFERROR(__xludf.DUMMYFUNCTION("""COMPUTED_VALUE"""),"")</f>
        <v/>
      </c>
      <c r="M530" s="36" t="str">
        <f ca="1">IFERROR(__xludf.DUMMYFUNCTION("""COMPUTED_VALUE"""),"")</f>
        <v/>
      </c>
      <c r="N530" s="36" t="str">
        <f ca="1">IFERROR(__xludf.DUMMYFUNCTION("""COMPUTED_VALUE"""),"")</f>
        <v/>
      </c>
      <c r="O530" s="36" t="str">
        <f ca="1">IFERROR(__xludf.DUMMYFUNCTION("""COMPUTED_VALUE"""),"")</f>
        <v/>
      </c>
      <c r="P530" s="36" t="str">
        <f ca="1">IFERROR(__xludf.DUMMYFUNCTION("""COMPUTED_VALUE"""),"")</f>
        <v/>
      </c>
      <c r="Q530" s="36" t="str">
        <f ca="1">IFERROR(__xludf.DUMMYFUNCTION("""COMPUTED_VALUE"""),"")</f>
        <v/>
      </c>
      <c r="R530" s="36" t="str">
        <f ca="1">IFERROR(__xludf.DUMMYFUNCTION("""COMPUTED_VALUE"""),"")</f>
        <v/>
      </c>
      <c r="S530" s="36" t="str">
        <f ca="1">IFERROR(__xludf.DUMMYFUNCTION("""COMPUTED_VALUE"""),"")</f>
        <v/>
      </c>
      <c r="T530" s="36" t="str">
        <f ca="1">IFERROR(__xludf.DUMMYFUNCTION("""COMPUTED_VALUE"""),"")</f>
        <v/>
      </c>
      <c r="U530" s="36" t="str">
        <f ca="1">IFERROR(__xludf.DUMMYFUNCTION("""COMPUTED_VALUE"""),"")</f>
        <v/>
      </c>
      <c r="V530" s="36" t="str">
        <f ca="1">IFERROR(__xludf.DUMMYFUNCTION("""COMPUTED_VALUE"""),"")</f>
        <v/>
      </c>
      <c r="W530" s="36" t="str">
        <f ca="1">IFERROR(__xludf.DUMMYFUNCTION("""COMPUTED_VALUE"""),"")</f>
        <v/>
      </c>
      <c r="X530" s="36"/>
      <c r="Y530" s="36"/>
      <c r="Z530" s="36"/>
    </row>
    <row r="531" spans="1:26" ht="12.75" hidden="1">
      <c r="A531" s="36" t="str">
        <f ca="1">IFERROR(__xludf.DUMMYFUNCTION("""COMPUTED_VALUE"""),"")</f>
        <v/>
      </c>
      <c r="B531" s="36" t="str">
        <f ca="1">IFERROR(__xludf.DUMMYFUNCTION("""COMPUTED_VALUE"""),"")</f>
        <v/>
      </c>
      <c r="C531" s="36" t="str">
        <f ca="1">IFERROR(__xludf.DUMMYFUNCTION("""COMPUTED_VALUE"""),"")</f>
        <v/>
      </c>
      <c r="D531" s="36" t="str">
        <f ca="1">IFERROR(__xludf.DUMMYFUNCTION("""COMPUTED_VALUE"""),"")</f>
        <v/>
      </c>
      <c r="E531" s="36" t="str">
        <f ca="1">IFERROR(__xludf.DUMMYFUNCTION("""COMPUTED_VALUE"""),"")</f>
        <v/>
      </c>
      <c r="F531" s="36" t="str">
        <f ca="1">IFERROR(__xludf.DUMMYFUNCTION("""COMPUTED_VALUE"""),"")</f>
        <v/>
      </c>
      <c r="G531" s="36" t="str">
        <f ca="1">IFERROR(__xludf.DUMMYFUNCTION("""COMPUTED_VALUE"""),"")</f>
        <v/>
      </c>
      <c r="H531" s="36" t="str">
        <f ca="1">IFERROR(__xludf.DUMMYFUNCTION("""COMPUTED_VALUE"""),"")</f>
        <v/>
      </c>
      <c r="I531" s="36" t="str">
        <f ca="1">IFERROR(__xludf.DUMMYFUNCTION("""COMPUTED_VALUE"""),"")</f>
        <v/>
      </c>
      <c r="J531" s="36" t="str">
        <f ca="1">IFERROR(__xludf.DUMMYFUNCTION("""COMPUTED_VALUE"""),"")</f>
        <v/>
      </c>
      <c r="K531" s="36" t="str">
        <f ca="1">IFERROR(__xludf.DUMMYFUNCTION("""COMPUTED_VALUE"""),"")</f>
        <v/>
      </c>
      <c r="L531" s="36" t="str">
        <f ca="1">IFERROR(__xludf.DUMMYFUNCTION("""COMPUTED_VALUE"""),"")</f>
        <v/>
      </c>
      <c r="M531" s="36" t="str">
        <f ca="1">IFERROR(__xludf.DUMMYFUNCTION("""COMPUTED_VALUE"""),"")</f>
        <v/>
      </c>
      <c r="N531" s="36" t="str">
        <f ca="1">IFERROR(__xludf.DUMMYFUNCTION("""COMPUTED_VALUE"""),"")</f>
        <v/>
      </c>
      <c r="O531" s="36" t="str">
        <f ca="1">IFERROR(__xludf.DUMMYFUNCTION("""COMPUTED_VALUE"""),"")</f>
        <v/>
      </c>
      <c r="P531" s="36" t="str">
        <f ca="1">IFERROR(__xludf.DUMMYFUNCTION("""COMPUTED_VALUE"""),"")</f>
        <v/>
      </c>
      <c r="Q531" s="36" t="str">
        <f ca="1">IFERROR(__xludf.DUMMYFUNCTION("""COMPUTED_VALUE"""),"")</f>
        <v/>
      </c>
      <c r="R531" s="36" t="str">
        <f ca="1">IFERROR(__xludf.DUMMYFUNCTION("""COMPUTED_VALUE"""),"")</f>
        <v/>
      </c>
      <c r="S531" s="36" t="str">
        <f ca="1">IFERROR(__xludf.DUMMYFUNCTION("""COMPUTED_VALUE"""),"")</f>
        <v/>
      </c>
      <c r="T531" s="36" t="str">
        <f ca="1">IFERROR(__xludf.DUMMYFUNCTION("""COMPUTED_VALUE"""),"")</f>
        <v/>
      </c>
      <c r="U531" s="36" t="str">
        <f ca="1">IFERROR(__xludf.DUMMYFUNCTION("""COMPUTED_VALUE"""),"")</f>
        <v/>
      </c>
      <c r="V531" s="36" t="str">
        <f ca="1">IFERROR(__xludf.DUMMYFUNCTION("""COMPUTED_VALUE"""),"")</f>
        <v/>
      </c>
      <c r="W531" s="36" t="str">
        <f ca="1">IFERROR(__xludf.DUMMYFUNCTION("""COMPUTED_VALUE"""),"")</f>
        <v/>
      </c>
      <c r="X531" s="36"/>
      <c r="Y531" s="36"/>
      <c r="Z531" s="36"/>
    </row>
    <row r="532" spans="1:26" ht="12.75" hidden="1">
      <c r="A532" s="36" t="str">
        <f ca="1">IFERROR(__xludf.DUMMYFUNCTION("""COMPUTED_VALUE"""),"")</f>
        <v/>
      </c>
      <c r="B532" s="36" t="str">
        <f ca="1">IFERROR(__xludf.DUMMYFUNCTION("""COMPUTED_VALUE"""),"")</f>
        <v/>
      </c>
      <c r="C532" s="36" t="str">
        <f ca="1">IFERROR(__xludf.DUMMYFUNCTION("""COMPUTED_VALUE"""),"")</f>
        <v/>
      </c>
      <c r="D532" s="36" t="str">
        <f ca="1">IFERROR(__xludf.DUMMYFUNCTION("""COMPUTED_VALUE"""),"")</f>
        <v/>
      </c>
      <c r="E532" s="36" t="str">
        <f ca="1">IFERROR(__xludf.DUMMYFUNCTION("""COMPUTED_VALUE"""),"")</f>
        <v/>
      </c>
      <c r="F532" s="36" t="str">
        <f ca="1">IFERROR(__xludf.DUMMYFUNCTION("""COMPUTED_VALUE"""),"")</f>
        <v/>
      </c>
      <c r="G532" s="36" t="str">
        <f ca="1">IFERROR(__xludf.DUMMYFUNCTION("""COMPUTED_VALUE"""),"")</f>
        <v/>
      </c>
      <c r="H532" s="36" t="str">
        <f ca="1">IFERROR(__xludf.DUMMYFUNCTION("""COMPUTED_VALUE"""),"")</f>
        <v/>
      </c>
      <c r="I532" s="36" t="str">
        <f ca="1">IFERROR(__xludf.DUMMYFUNCTION("""COMPUTED_VALUE"""),"")</f>
        <v/>
      </c>
      <c r="J532" s="36" t="str">
        <f ca="1">IFERROR(__xludf.DUMMYFUNCTION("""COMPUTED_VALUE"""),"")</f>
        <v/>
      </c>
      <c r="K532" s="36" t="str">
        <f ca="1">IFERROR(__xludf.DUMMYFUNCTION("""COMPUTED_VALUE"""),"")</f>
        <v/>
      </c>
      <c r="L532" s="36" t="str">
        <f ca="1">IFERROR(__xludf.DUMMYFUNCTION("""COMPUTED_VALUE"""),"")</f>
        <v/>
      </c>
      <c r="M532" s="36" t="str">
        <f ca="1">IFERROR(__xludf.DUMMYFUNCTION("""COMPUTED_VALUE"""),"")</f>
        <v/>
      </c>
      <c r="N532" s="36" t="str">
        <f ca="1">IFERROR(__xludf.DUMMYFUNCTION("""COMPUTED_VALUE"""),"")</f>
        <v/>
      </c>
      <c r="O532" s="36" t="str">
        <f ca="1">IFERROR(__xludf.DUMMYFUNCTION("""COMPUTED_VALUE"""),"")</f>
        <v/>
      </c>
      <c r="P532" s="36" t="str">
        <f ca="1">IFERROR(__xludf.DUMMYFUNCTION("""COMPUTED_VALUE"""),"")</f>
        <v/>
      </c>
      <c r="Q532" s="36" t="str">
        <f ca="1">IFERROR(__xludf.DUMMYFUNCTION("""COMPUTED_VALUE"""),"")</f>
        <v/>
      </c>
      <c r="R532" s="36" t="str">
        <f ca="1">IFERROR(__xludf.DUMMYFUNCTION("""COMPUTED_VALUE"""),"")</f>
        <v/>
      </c>
      <c r="S532" s="36" t="str">
        <f ca="1">IFERROR(__xludf.DUMMYFUNCTION("""COMPUTED_VALUE"""),"")</f>
        <v/>
      </c>
      <c r="T532" s="36" t="str">
        <f ca="1">IFERROR(__xludf.DUMMYFUNCTION("""COMPUTED_VALUE"""),"")</f>
        <v/>
      </c>
      <c r="U532" s="36" t="str">
        <f ca="1">IFERROR(__xludf.DUMMYFUNCTION("""COMPUTED_VALUE"""),"")</f>
        <v/>
      </c>
      <c r="V532" s="36" t="str">
        <f ca="1">IFERROR(__xludf.DUMMYFUNCTION("""COMPUTED_VALUE"""),"")</f>
        <v/>
      </c>
      <c r="W532" s="36" t="str">
        <f ca="1">IFERROR(__xludf.DUMMYFUNCTION("""COMPUTED_VALUE"""),"")</f>
        <v/>
      </c>
      <c r="X532" s="36"/>
      <c r="Y532" s="36"/>
      <c r="Z532" s="36"/>
    </row>
    <row r="533" spans="1:26" ht="12.75" hidden="1">
      <c r="A533" s="36" t="str">
        <f ca="1">IFERROR(__xludf.DUMMYFUNCTION("""COMPUTED_VALUE"""),"")</f>
        <v/>
      </c>
      <c r="B533" s="36" t="str">
        <f ca="1">IFERROR(__xludf.DUMMYFUNCTION("""COMPUTED_VALUE"""),"")</f>
        <v/>
      </c>
      <c r="C533" s="36" t="str">
        <f ca="1">IFERROR(__xludf.DUMMYFUNCTION("""COMPUTED_VALUE"""),"")</f>
        <v/>
      </c>
      <c r="D533" s="36" t="str">
        <f ca="1">IFERROR(__xludf.DUMMYFUNCTION("""COMPUTED_VALUE"""),"")</f>
        <v/>
      </c>
      <c r="E533" s="36" t="str">
        <f ca="1">IFERROR(__xludf.DUMMYFUNCTION("""COMPUTED_VALUE"""),"")</f>
        <v/>
      </c>
      <c r="F533" s="36" t="str">
        <f ca="1">IFERROR(__xludf.DUMMYFUNCTION("""COMPUTED_VALUE"""),"")</f>
        <v/>
      </c>
      <c r="G533" s="36" t="str">
        <f ca="1">IFERROR(__xludf.DUMMYFUNCTION("""COMPUTED_VALUE"""),"")</f>
        <v/>
      </c>
      <c r="H533" s="36" t="str">
        <f ca="1">IFERROR(__xludf.DUMMYFUNCTION("""COMPUTED_VALUE"""),"")</f>
        <v/>
      </c>
      <c r="I533" s="36" t="str">
        <f ca="1">IFERROR(__xludf.DUMMYFUNCTION("""COMPUTED_VALUE"""),"")</f>
        <v/>
      </c>
      <c r="J533" s="36" t="str">
        <f ca="1">IFERROR(__xludf.DUMMYFUNCTION("""COMPUTED_VALUE"""),"")</f>
        <v/>
      </c>
      <c r="K533" s="36" t="str">
        <f ca="1">IFERROR(__xludf.DUMMYFUNCTION("""COMPUTED_VALUE"""),"")</f>
        <v/>
      </c>
      <c r="L533" s="36" t="str">
        <f ca="1">IFERROR(__xludf.DUMMYFUNCTION("""COMPUTED_VALUE"""),"")</f>
        <v/>
      </c>
      <c r="M533" s="36" t="str">
        <f ca="1">IFERROR(__xludf.DUMMYFUNCTION("""COMPUTED_VALUE"""),"")</f>
        <v/>
      </c>
      <c r="N533" s="36" t="str">
        <f ca="1">IFERROR(__xludf.DUMMYFUNCTION("""COMPUTED_VALUE"""),"")</f>
        <v/>
      </c>
      <c r="O533" s="36" t="str">
        <f ca="1">IFERROR(__xludf.DUMMYFUNCTION("""COMPUTED_VALUE"""),"")</f>
        <v/>
      </c>
      <c r="P533" s="36" t="str">
        <f ca="1">IFERROR(__xludf.DUMMYFUNCTION("""COMPUTED_VALUE"""),"")</f>
        <v/>
      </c>
      <c r="Q533" s="36" t="str">
        <f ca="1">IFERROR(__xludf.DUMMYFUNCTION("""COMPUTED_VALUE"""),"")</f>
        <v/>
      </c>
      <c r="R533" s="36" t="str">
        <f ca="1">IFERROR(__xludf.DUMMYFUNCTION("""COMPUTED_VALUE"""),"")</f>
        <v/>
      </c>
      <c r="S533" s="36" t="str">
        <f ca="1">IFERROR(__xludf.DUMMYFUNCTION("""COMPUTED_VALUE"""),"")</f>
        <v/>
      </c>
      <c r="T533" s="36" t="str">
        <f ca="1">IFERROR(__xludf.DUMMYFUNCTION("""COMPUTED_VALUE"""),"")</f>
        <v/>
      </c>
      <c r="U533" s="36" t="str">
        <f ca="1">IFERROR(__xludf.DUMMYFUNCTION("""COMPUTED_VALUE"""),"")</f>
        <v/>
      </c>
      <c r="V533" s="36" t="str">
        <f ca="1">IFERROR(__xludf.DUMMYFUNCTION("""COMPUTED_VALUE"""),"")</f>
        <v/>
      </c>
      <c r="W533" s="36" t="str">
        <f ca="1">IFERROR(__xludf.DUMMYFUNCTION("""COMPUTED_VALUE"""),"")</f>
        <v/>
      </c>
      <c r="X533" s="36"/>
      <c r="Y533" s="36"/>
      <c r="Z533" s="36"/>
    </row>
    <row r="534" spans="1:26" ht="12.75" hidden="1">
      <c r="A534" s="36" t="str">
        <f ca="1">IFERROR(__xludf.DUMMYFUNCTION("""COMPUTED_VALUE"""),"")</f>
        <v/>
      </c>
      <c r="B534" s="36" t="str">
        <f ca="1">IFERROR(__xludf.DUMMYFUNCTION("""COMPUTED_VALUE"""),"")</f>
        <v/>
      </c>
      <c r="C534" s="36" t="str">
        <f ca="1">IFERROR(__xludf.DUMMYFUNCTION("""COMPUTED_VALUE"""),"")</f>
        <v/>
      </c>
      <c r="D534" s="36" t="str">
        <f ca="1">IFERROR(__xludf.DUMMYFUNCTION("""COMPUTED_VALUE"""),"")</f>
        <v/>
      </c>
      <c r="E534" s="36" t="str">
        <f ca="1">IFERROR(__xludf.DUMMYFUNCTION("""COMPUTED_VALUE"""),"")</f>
        <v/>
      </c>
      <c r="F534" s="36" t="str">
        <f ca="1">IFERROR(__xludf.DUMMYFUNCTION("""COMPUTED_VALUE"""),"")</f>
        <v/>
      </c>
      <c r="G534" s="36" t="str">
        <f ca="1">IFERROR(__xludf.DUMMYFUNCTION("""COMPUTED_VALUE"""),"")</f>
        <v/>
      </c>
      <c r="H534" s="36" t="str">
        <f ca="1">IFERROR(__xludf.DUMMYFUNCTION("""COMPUTED_VALUE"""),"")</f>
        <v/>
      </c>
      <c r="I534" s="36" t="str">
        <f ca="1">IFERROR(__xludf.DUMMYFUNCTION("""COMPUTED_VALUE"""),"")</f>
        <v/>
      </c>
      <c r="J534" s="36" t="str">
        <f ca="1">IFERROR(__xludf.DUMMYFUNCTION("""COMPUTED_VALUE"""),"")</f>
        <v/>
      </c>
      <c r="K534" s="36" t="str">
        <f ca="1">IFERROR(__xludf.DUMMYFUNCTION("""COMPUTED_VALUE"""),"")</f>
        <v/>
      </c>
      <c r="L534" s="36" t="str">
        <f ca="1">IFERROR(__xludf.DUMMYFUNCTION("""COMPUTED_VALUE"""),"")</f>
        <v/>
      </c>
      <c r="M534" s="36" t="str">
        <f ca="1">IFERROR(__xludf.DUMMYFUNCTION("""COMPUTED_VALUE"""),"")</f>
        <v/>
      </c>
      <c r="N534" s="36" t="str">
        <f ca="1">IFERROR(__xludf.DUMMYFUNCTION("""COMPUTED_VALUE"""),"")</f>
        <v/>
      </c>
      <c r="O534" s="36" t="str">
        <f ca="1">IFERROR(__xludf.DUMMYFUNCTION("""COMPUTED_VALUE"""),"")</f>
        <v/>
      </c>
      <c r="P534" s="36" t="str">
        <f ca="1">IFERROR(__xludf.DUMMYFUNCTION("""COMPUTED_VALUE"""),"")</f>
        <v/>
      </c>
      <c r="Q534" s="36" t="str">
        <f ca="1">IFERROR(__xludf.DUMMYFUNCTION("""COMPUTED_VALUE"""),"")</f>
        <v/>
      </c>
      <c r="R534" s="36" t="str">
        <f ca="1">IFERROR(__xludf.DUMMYFUNCTION("""COMPUTED_VALUE"""),"")</f>
        <v/>
      </c>
      <c r="S534" s="36" t="str">
        <f ca="1">IFERROR(__xludf.DUMMYFUNCTION("""COMPUTED_VALUE"""),"")</f>
        <v/>
      </c>
      <c r="T534" s="36" t="str">
        <f ca="1">IFERROR(__xludf.DUMMYFUNCTION("""COMPUTED_VALUE"""),"")</f>
        <v/>
      </c>
      <c r="U534" s="36" t="str">
        <f ca="1">IFERROR(__xludf.DUMMYFUNCTION("""COMPUTED_VALUE"""),"")</f>
        <v/>
      </c>
      <c r="V534" s="36" t="str">
        <f ca="1">IFERROR(__xludf.DUMMYFUNCTION("""COMPUTED_VALUE"""),"")</f>
        <v/>
      </c>
      <c r="W534" s="36" t="str">
        <f ca="1">IFERROR(__xludf.DUMMYFUNCTION("""COMPUTED_VALUE"""),"")</f>
        <v/>
      </c>
      <c r="X534" s="36"/>
      <c r="Y534" s="36"/>
      <c r="Z534" s="36"/>
    </row>
    <row r="535" spans="1:26" ht="12.75" hidden="1">
      <c r="A535" s="36" t="str">
        <f ca="1">IFERROR(__xludf.DUMMYFUNCTION("""COMPUTED_VALUE"""),"")</f>
        <v/>
      </c>
      <c r="B535" s="36" t="str">
        <f ca="1">IFERROR(__xludf.DUMMYFUNCTION("""COMPUTED_VALUE"""),"")</f>
        <v/>
      </c>
      <c r="C535" s="36" t="str">
        <f ca="1">IFERROR(__xludf.DUMMYFUNCTION("""COMPUTED_VALUE"""),"")</f>
        <v/>
      </c>
      <c r="D535" s="36" t="str">
        <f ca="1">IFERROR(__xludf.DUMMYFUNCTION("""COMPUTED_VALUE"""),"")</f>
        <v/>
      </c>
      <c r="E535" s="36" t="str">
        <f ca="1">IFERROR(__xludf.DUMMYFUNCTION("""COMPUTED_VALUE"""),"")</f>
        <v/>
      </c>
      <c r="F535" s="36" t="str">
        <f ca="1">IFERROR(__xludf.DUMMYFUNCTION("""COMPUTED_VALUE"""),"")</f>
        <v/>
      </c>
      <c r="G535" s="36" t="str">
        <f ca="1">IFERROR(__xludf.DUMMYFUNCTION("""COMPUTED_VALUE"""),"")</f>
        <v/>
      </c>
      <c r="H535" s="36" t="str">
        <f ca="1">IFERROR(__xludf.DUMMYFUNCTION("""COMPUTED_VALUE"""),"")</f>
        <v/>
      </c>
      <c r="I535" s="36" t="str">
        <f ca="1">IFERROR(__xludf.DUMMYFUNCTION("""COMPUTED_VALUE"""),"")</f>
        <v/>
      </c>
      <c r="J535" s="36" t="str">
        <f ca="1">IFERROR(__xludf.DUMMYFUNCTION("""COMPUTED_VALUE"""),"")</f>
        <v/>
      </c>
      <c r="K535" s="36" t="str">
        <f ca="1">IFERROR(__xludf.DUMMYFUNCTION("""COMPUTED_VALUE"""),"")</f>
        <v/>
      </c>
      <c r="L535" s="36" t="str">
        <f ca="1">IFERROR(__xludf.DUMMYFUNCTION("""COMPUTED_VALUE"""),"")</f>
        <v/>
      </c>
      <c r="M535" s="36" t="str">
        <f ca="1">IFERROR(__xludf.DUMMYFUNCTION("""COMPUTED_VALUE"""),"")</f>
        <v/>
      </c>
      <c r="N535" s="36" t="str">
        <f ca="1">IFERROR(__xludf.DUMMYFUNCTION("""COMPUTED_VALUE"""),"")</f>
        <v/>
      </c>
      <c r="O535" s="36" t="str">
        <f ca="1">IFERROR(__xludf.DUMMYFUNCTION("""COMPUTED_VALUE"""),"")</f>
        <v/>
      </c>
      <c r="P535" s="36" t="str">
        <f ca="1">IFERROR(__xludf.DUMMYFUNCTION("""COMPUTED_VALUE"""),"")</f>
        <v/>
      </c>
      <c r="Q535" s="36" t="str">
        <f ca="1">IFERROR(__xludf.DUMMYFUNCTION("""COMPUTED_VALUE"""),"")</f>
        <v/>
      </c>
      <c r="R535" s="36" t="str">
        <f ca="1">IFERROR(__xludf.DUMMYFUNCTION("""COMPUTED_VALUE"""),"")</f>
        <v/>
      </c>
      <c r="S535" s="36" t="str">
        <f ca="1">IFERROR(__xludf.DUMMYFUNCTION("""COMPUTED_VALUE"""),"")</f>
        <v/>
      </c>
      <c r="T535" s="36" t="str">
        <f ca="1">IFERROR(__xludf.DUMMYFUNCTION("""COMPUTED_VALUE"""),"")</f>
        <v/>
      </c>
      <c r="U535" s="36" t="str">
        <f ca="1">IFERROR(__xludf.DUMMYFUNCTION("""COMPUTED_VALUE"""),"")</f>
        <v/>
      </c>
      <c r="V535" s="36" t="str">
        <f ca="1">IFERROR(__xludf.DUMMYFUNCTION("""COMPUTED_VALUE"""),"")</f>
        <v/>
      </c>
      <c r="W535" s="36" t="str">
        <f ca="1">IFERROR(__xludf.DUMMYFUNCTION("""COMPUTED_VALUE"""),"")</f>
        <v/>
      </c>
      <c r="X535" s="36"/>
      <c r="Y535" s="36"/>
      <c r="Z535" s="36"/>
    </row>
    <row r="536" spans="1:26" ht="12.75" hidden="1">
      <c r="A536" s="36" t="str">
        <f ca="1">IFERROR(__xludf.DUMMYFUNCTION("""COMPUTED_VALUE"""),"")</f>
        <v/>
      </c>
      <c r="B536" s="36" t="str">
        <f ca="1">IFERROR(__xludf.DUMMYFUNCTION("""COMPUTED_VALUE"""),"")</f>
        <v/>
      </c>
      <c r="C536" s="36" t="str">
        <f ca="1">IFERROR(__xludf.DUMMYFUNCTION("""COMPUTED_VALUE"""),"")</f>
        <v/>
      </c>
      <c r="D536" s="36" t="str">
        <f ca="1">IFERROR(__xludf.DUMMYFUNCTION("""COMPUTED_VALUE"""),"")</f>
        <v/>
      </c>
      <c r="E536" s="36" t="str">
        <f ca="1">IFERROR(__xludf.DUMMYFUNCTION("""COMPUTED_VALUE"""),"")</f>
        <v/>
      </c>
      <c r="F536" s="36" t="str">
        <f ca="1">IFERROR(__xludf.DUMMYFUNCTION("""COMPUTED_VALUE"""),"")</f>
        <v/>
      </c>
      <c r="G536" s="36" t="str">
        <f ca="1">IFERROR(__xludf.DUMMYFUNCTION("""COMPUTED_VALUE"""),"")</f>
        <v/>
      </c>
      <c r="H536" s="36" t="str">
        <f ca="1">IFERROR(__xludf.DUMMYFUNCTION("""COMPUTED_VALUE"""),"")</f>
        <v/>
      </c>
      <c r="I536" s="36" t="str">
        <f ca="1">IFERROR(__xludf.DUMMYFUNCTION("""COMPUTED_VALUE"""),"")</f>
        <v/>
      </c>
      <c r="J536" s="36" t="str">
        <f ca="1">IFERROR(__xludf.DUMMYFUNCTION("""COMPUTED_VALUE"""),"")</f>
        <v/>
      </c>
      <c r="K536" s="36" t="str">
        <f ca="1">IFERROR(__xludf.DUMMYFUNCTION("""COMPUTED_VALUE"""),"")</f>
        <v/>
      </c>
      <c r="L536" s="36" t="str">
        <f ca="1">IFERROR(__xludf.DUMMYFUNCTION("""COMPUTED_VALUE"""),"")</f>
        <v/>
      </c>
      <c r="M536" s="36" t="str">
        <f ca="1">IFERROR(__xludf.DUMMYFUNCTION("""COMPUTED_VALUE"""),"")</f>
        <v/>
      </c>
      <c r="N536" s="36" t="str">
        <f ca="1">IFERROR(__xludf.DUMMYFUNCTION("""COMPUTED_VALUE"""),"")</f>
        <v/>
      </c>
      <c r="O536" s="36" t="str">
        <f ca="1">IFERROR(__xludf.DUMMYFUNCTION("""COMPUTED_VALUE"""),"")</f>
        <v/>
      </c>
      <c r="P536" s="36" t="str">
        <f ca="1">IFERROR(__xludf.DUMMYFUNCTION("""COMPUTED_VALUE"""),"")</f>
        <v/>
      </c>
      <c r="Q536" s="36" t="str">
        <f ca="1">IFERROR(__xludf.DUMMYFUNCTION("""COMPUTED_VALUE"""),"")</f>
        <v/>
      </c>
      <c r="R536" s="36" t="str">
        <f ca="1">IFERROR(__xludf.DUMMYFUNCTION("""COMPUTED_VALUE"""),"")</f>
        <v/>
      </c>
      <c r="S536" s="36" t="str">
        <f ca="1">IFERROR(__xludf.DUMMYFUNCTION("""COMPUTED_VALUE"""),"")</f>
        <v/>
      </c>
      <c r="T536" s="36" t="str">
        <f ca="1">IFERROR(__xludf.DUMMYFUNCTION("""COMPUTED_VALUE"""),"")</f>
        <v/>
      </c>
      <c r="U536" s="36" t="str">
        <f ca="1">IFERROR(__xludf.DUMMYFUNCTION("""COMPUTED_VALUE"""),"")</f>
        <v/>
      </c>
      <c r="V536" s="36" t="str">
        <f ca="1">IFERROR(__xludf.DUMMYFUNCTION("""COMPUTED_VALUE"""),"")</f>
        <v/>
      </c>
      <c r="W536" s="36" t="str">
        <f ca="1">IFERROR(__xludf.DUMMYFUNCTION("""COMPUTED_VALUE"""),"")</f>
        <v/>
      </c>
      <c r="X536" s="36"/>
      <c r="Y536" s="36"/>
      <c r="Z536" s="36"/>
    </row>
    <row r="537" spans="1:26" ht="12.75" hidden="1">
      <c r="A537" s="36" t="str">
        <f ca="1">IFERROR(__xludf.DUMMYFUNCTION("""COMPUTED_VALUE"""),"")</f>
        <v/>
      </c>
      <c r="B537" s="36" t="str">
        <f ca="1">IFERROR(__xludf.DUMMYFUNCTION("""COMPUTED_VALUE"""),"")</f>
        <v/>
      </c>
      <c r="C537" s="36" t="str">
        <f ca="1">IFERROR(__xludf.DUMMYFUNCTION("""COMPUTED_VALUE"""),"")</f>
        <v/>
      </c>
      <c r="D537" s="36" t="str">
        <f ca="1">IFERROR(__xludf.DUMMYFUNCTION("""COMPUTED_VALUE"""),"")</f>
        <v/>
      </c>
      <c r="E537" s="36" t="str">
        <f ca="1">IFERROR(__xludf.DUMMYFUNCTION("""COMPUTED_VALUE"""),"")</f>
        <v/>
      </c>
      <c r="F537" s="36" t="str">
        <f ca="1">IFERROR(__xludf.DUMMYFUNCTION("""COMPUTED_VALUE"""),"")</f>
        <v/>
      </c>
      <c r="G537" s="36" t="str">
        <f ca="1">IFERROR(__xludf.DUMMYFUNCTION("""COMPUTED_VALUE"""),"")</f>
        <v/>
      </c>
      <c r="H537" s="36" t="str">
        <f ca="1">IFERROR(__xludf.DUMMYFUNCTION("""COMPUTED_VALUE"""),"")</f>
        <v/>
      </c>
      <c r="I537" s="36" t="str">
        <f ca="1">IFERROR(__xludf.DUMMYFUNCTION("""COMPUTED_VALUE"""),"")</f>
        <v/>
      </c>
      <c r="J537" s="36" t="str">
        <f ca="1">IFERROR(__xludf.DUMMYFUNCTION("""COMPUTED_VALUE"""),"")</f>
        <v/>
      </c>
      <c r="K537" s="36" t="str">
        <f ca="1">IFERROR(__xludf.DUMMYFUNCTION("""COMPUTED_VALUE"""),"")</f>
        <v/>
      </c>
      <c r="L537" s="36" t="str">
        <f ca="1">IFERROR(__xludf.DUMMYFUNCTION("""COMPUTED_VALUE"""),"")</f>
        <v/>
      </c>
      <c r="M537" s="36" t="str">
        <f ca="1">IFERROR(__xludf.DUMMYFUNCTION("""COMPUTED_VALUE"""),"")</f>
        <v/>
      </c>
      <c r="N537" s="36" t="str">
        <f ca="1">IFERROR(__xludf.DUMMYFUNCTION("""COMPUTED_VALUE"""),"")</f>
        <v/>
      </c>
      <c r="O537" s="36" t="str">
        <f ca="1">IFERROR(__xludf.DUMMYFUNCTION("""COMPUTED_VALUE"""),"")</f>
        <v/>
      </c>
      <c r="P537" s="36" t="str">
        <f ca="1">IFERROR(__xludf.DUMMYFUNCTION("""COMPUTED_VALUE"""),"")</f>
        <v/>
      </c>
      <c r="Q537" s="36" t="str">
        <f ca="1">IFERROR(__xludf.DUMMYFUNCTION("""COMPUTED_VALUE"""),"")</f>
        <v/>
      </c>
      <c r="R537" s="36" t="str">
        <f ca="1">IFERROR(__xludf.DUMMYFUNCTION("""COMPUTED_VALUE"""),"")</f>
        <v/>
      </c>
      <c r="S537" s="36" t="str">
        <f ca="1">IFERROR(__xludf.DUMMYFUNCTION("""COMPUTED_VALUE"""),"")</f>
        <v/>
      </c>
      <c r="T537" s="36" t="str">
        <f ca="1">IFERROR(__xludf.DUMMYFUNCTION("""COMPUTED_VALUE"""),"")</f>
        <v/>
      </c>
      <c r="U537" s="36" t="str">
        <f ca="1">IFERROR(__xludf.DUMMYFUNCTION("""COMPUTED_VALUE"""),"")</f>
        <v/>
      </c>
      <c r="V537" s="36" t="str">
        <f ca="1">IFERROR(__xludf.DUMMYFUNCTION("""COMPUTED_VALUE"""),"")</f>
        <v/>
      </c>
      <c r="W537" s="36" t="str">
        <f ca="1">IFERROR(__xludf.DUMMYFUNCTION("""COMPUTED_VALUE"""),"")</f>
        <v/>
      </c>
      <c r="X537" s="36"/>
      <c r="Y537" s="36"/>
      <c r="Z537" s="36"/>
    </row>
    <row r="538" spans="1:26" ht="12.75" hidden="1">
      <c r="A538" s="36" t="str">
        <f ca="1">IFERROR(__xludf.DUMMYFUNCTION("""COMPUTED_VALUE"""),"")</f>
        <v/>
      </c>
      <c r="B538" s="36" t="str">
        <f ca="1">IFERROR(__xludf.DUMMYFUNCTION("""COMPUTED_VALUE"""),"")</f>
        <v/>
      </c>
      <c r="C538" s="36" t="str">
        <f ca="1">IFERROR(__xludf.DUMMYFUNCTION("""COMPUTED_VALUE"""),"")</f>
        <v/>
      </c>
      <c r="D538" s="36" t="str">
        <f ca="1">IFERROR(__xludf.DUMMYFUNCTION("""COMPUTED_VALUE"""),"")</f>
        <v/>
      </c>
      <c r="E538" s="36" t="str">
        <f ca="1">IFERROR(__xludf.DUMMYFUNCTION("""COMPUTED_VALUE"""),"")</f>
        <v/>
      </c>
      <c r="F538" s="36" t="str">
        <f ca="1">IFERROR(__xludf.DUMMYFUNCTION("""COMPUTED_VALUE"""),"")</f>
        <v/>
      </c>
      <c r="G538" s="36" t="str">
        <f ca="1">IFERROR(__xludf.DUMMYFUNCTION("""COMPUTED_VALUE"""),"")</f>
        <v/>
      </c>
      <c r="H538" s="36" t="str">
        <f ca="1">IFERROR(__xludf.DUMMYFUNCTION("""COMPUTED_VALUE"""),"")</f>
        <v/>
      </c>
      <c r="I538" s="36" t="str">
        <f ca="1">IFERROR(__xludf.DUMMYFUNCTION("""COMPUTED_VALUE"""),"")</f>
        <v/>
      </c>
      <c r="J538" s="36" t="str">
        <f ca="1">IFERROR(__xludf.DUMMYFUNCTION("""COMPUTED_VALUE"""),"")</f>
        <v/>
      </c>
      <c r="K538" s="36" t="str">
        <f ca="1">IFERROR(__xludf.DUMMYFUNCTION("""COMPUTED_VALUE"""),"")</f>
        <v/>
      </c>
      <c r="L538" s="36" t="str">
        <f ca="1">IFERROR(__xludf.DUMMYFUNCTION("""COMPUTED_VALUE"""),"")</f>
        <v/>
      </c>
      <c r="M538" s="36" t="str">
        <f ca="1">IFERROR(__xludf.DUMMYFUNCTION("""COMPUTED_VALUE"""),"")</f>
        <v/>
      </c>
      <c r="N538" s="36" t="str">
        <f ca="1">IFERROR(__xludf.DUMMYFUNCTION("""COMPUTED_VALUE"""),"")</f>
        <v/>
      </c>
      <c r="O538" s="36" t="str">
        <f ca="1">IFERROR(__xludf.DUMMYFUNCTION("""COMPUTED_VALUE"""),"")</f>
        <v/>
      </c>
      <c r="P538" s="36" t="str">
        <f ca="1">IFERROR(__xludf.DUMMYFUNCTION("""COMPUTED_VALUE"""),"")</f>
        <v/>
      </c>
      <c r="Q538" s="36" t="str">
        <f ca="1">IFERROR(__xludf.DUMMYFUNCTION("""COMPUTED_VALUE"""),"")</f>
        <v/>
      </c>
      <c r="R538" s="36" t="str">
        <f ca="1">IFERROR(__xludf.DUMMYFUNCTION("""COMPUTED_VALUE"""),"")</f>
        <v/>
      </c>
      <c r="S538" s="36" t="str">
        <f ca="1">IFERROR(__xludf.DUMMYFUNCTION("""COMPUTED_VALUE"""),"")</f>
        <v/>
      </c>
      <c r="T538" s="36" t="str">
        <f ca="1">IFERROR(__xludf.DUMMYFUNCTION("""COMPUTED_VALUE"""),"")</f>
        <v/>
      </c>
      <c r="U538" s="36" t="str">
        <f ca="1">IFERROR(__xludf.DUMMYFUNCTION("""COMPUTED_VALUE"""),"")</f>
        <v/>
      </c>
      <c r="V538" s="36" t="str">
        <f ca="1">IFERROR(__xludf.DUMMYFUNCTION("""COMPUTED_VALUE"""),"")</f>
        <v/>
      </c>
      <c r="W538" s="36" t="str">
        <f ca="1">IFERROR(__xludf.DUMMYFUNCTION("""COMPUTED_VALUE"""),"")</f>
        <v/>
      </c>
      <c r="X538" s="36"/>
      <c r="Y538" s="36"/>
      <c r="Z538" s="36"/>
    </row>
    <row r="539" spans="1:26" ht="12.75" hidden="1">
      <c r="A539" s="36" t="str">
        <f ca="1">IFERROR(__xludf.DUMMYFUNCTION("""COMPUTED_VALUE"""),"")</f>
        <v/>
      </c>
      <c r="B539" s="36" t="str">
        <f ca="1">IFERROR(__xludf.DUMMYFUNCTION("""COMPUTED_VALUE"""),"")</f>
        <v/>
      </c>
      <c r="C539" s="36" t="str">
        <f ca="1">IFERROR(__xludf.DUMMYFUNCTION("""COMPUTED_VALUE"""),"")</f>
        <v/>
      </c>
      <c r="D539" s="36" t="str">
        <f ca="1">IFERROR(__xludf.DUMMYFUNCTION("""COMPUTED_VALUE"""),"")</f>
        <v/>
      </c>
      <c r="E539" s="36" t="str">
        <f ca="1">IFERROR(__xludf.DUMMYFUNCTION("""COMPUTED_VALUE"""),"")</f>
        <v/>
      </c>
      <c r="F539" s="36" t="str">
        <f ca="1">IFERROR(__xludf.DUMMYFUNCTION("""COMPUTED_VALUE"""),"")</f>
        <v/>
      </c>
      <c r="G539" s="36" t="str">
        <f ca="1">IFERROR(__xludf.DUMMYFUNCTION("""COMPUTED_VALUE"""),"")</f>
        <v/>
      </c>
      <c r="H539" s="36" t="str">
        <f ca="1">IFERROR(__xludf.DUMMYFUNCTION("""COMPUTED_VALUE"""),"")</f>
        <v/>
      </c>
      <c r="I539" s="36" t="str">
        <f ca="1">IFERROR(__xludf.DUMMYFUNCTION("""COMPUTED_VALUE"""),"")</f>
        <v/>
      </c>
      <c r="J539" s="36" t="str">
        <f ca="1">IFERROR(__xludf.DUMMYFUNCTION("""COMPUTED_VALUE"""),"")</f>
        <v/>
      </c>
      <c r="K539" s="36" t="str">
        <f ca="1">IFERROR(__xludf.DUMMYFUNCTION("""COMPUTED_VALUE"""),"")</f>
        <v/>
      </c>
      <c r="L539" s="36" t="str">
        <f ca="1">IFERROR(__xludf.DUMMYFUNCTION("""COMPUTED_VALUE"""),"")</f>
        <v/>
      </c>
      <c r="M539" s="36" t="str">
        <f ca="1">IFERROR(__xludf.DUMMYFUNCTION("""COMPUTED_VALUE"""),"")</f>
        <v/>
      </c>
      <c r="N539" s="36" t="str">
        <f ca="1">IFERROR(__xludf.DUMMYFUNCTION("""COMPUTED_VALUE"""),"")</f>
        <v/>
      </c>
      <c r="O539" s="36" t="str">
        <f ca="1">IFERROR(__xludf.DUMMYFUNCTION("""COMPUTED_VALUE"""),"")</f>
        <v/>
      </c>
      <c r="P539" s="36" t="str">
        <f ca="1">IFERROR(__xludf.DUMMYFUNCTION("""COMPUTED_VALUE"""),"")</f>
        <v/>
      </c>
      <c r="Q539" s="36" t="str">
        <f ca="1">IFERROR(__xludf.DUMMYFUNCTION("""COMPUTED_VALUE"""),"")</f>
        <v/>
      </c>
      <c r="R539" s="36" t="str">
        <f ca="1">IFERROR(__xludf.DUMMYFUNCTION("""COMPUTED_VALUE"""),"")</f>
        <v/>
      </c>
      <c r="S539" s="36" t="str">
        <f ca="1">IFERROR(__xludf.DUMMYFUNCTION("""COMPUTED_VALUE"""),"")</f>
        <v/>
      </c>
      <c r="T539" s="36" t="str">
        <f ca="1">IFERROR(__xludf.DUMMYFUNCTION("""COMPUTED_VALUE"""),"")</f>
        <v/>
      </c>
      <c r="U539" s="36" t="str">
        <f ca="1">IFERROR(__xludf.DUMMYFUNCTION("""COMPUTED_VALUE"""),"")</f>
        <v/>
      </c>
      <c r="V539" s="36" t="str">
        <f ca="1">IFERROR(__xludf.DUMMYFUNCTION("""COMPUTED_VALUE"""),"")</f>
        <v/>
      </c>
      <c r="W539" s="36" t="str">
        <f ca="1">IFERROR(__xludf.DUMMYFUNCTION("""COMPUTED_VALUE"""),"")</f>
        <v/>
      </c>
      <c r="X539" s="36"/>
      <c r="Y539" s="36"/>
      <c r="Z539" s="36"/>
    </row>
    <row r="540" spans="1:26" ht="12.75" hidden="1">
      <c r="A540" s="36" t="str">
        <f ca="1">IFERROR(__xludf.DUMMYFUNCTION("""COMPUTED_VALUE"""),"")</f>
        <v/>
      </c>
      <c r="B540" s="36" t="str">
        <f ca="1">IFERROR(__xludf.DUMMYFUNCTION("""COMPUTED_VALUE"""),"")</f>
        <v/>
      </c>
      <c r="C540" s="36" t="str">
        <f ca="1">IFERROR(__xludf.DUMMYFUNCTION("""COMPUTED_VALUE"""),"")</f>
        <v/>
      </c>
      <c r="D540" s="36" t="str">
        <f ca="1">IFERROR(__xludf.DUMMYFUNCTION("""COMPUTED_VALUE"""),"")</f>
        <v/>
      </c>
      <c r="E540" s="36" t="str">
        <f ca="1">IFERROR(__xludf.DUMMYFUNCTION("""COMPUTED_VALUE"""),"")</f>
        <v/>
      </c>
      <c r="F540" s="36" t="str">
        <f ca="1">IFERROR(__xludf.DUMMYFUNCTION("""COMPUTED_VALUE"""),"")</f>
        <v/>
      </c>
      <c r="G540" s="36" t="str">
        <f ca="1">IFERROR(__xludf.DUMMYFUNCTION("""COMPUTED_VALUE"""),"")</f>
        <v/>
      </c>
      <c r="H540" s="36" t="str">
        <f ca="1">IFERROR(__xludf.DUMMYFUNCTION("""COMPUTED_VALUE"""),"")</f>
        <v/>
      </c>
      <c r="I540" s="36" t="str">
        <f ca="1">IFERROR(__xludf.DUMMYFUNCTION("""COMPUTED_VALUE"""),"")</f>
        <v/>
      </c>
      <c r="J540" s="36" t="str">
        <f ca="1">IFERROR(__xludf.DUMMYFUNCTION("""COMPUTED_VALUE"""),"")</f>
        <v/>
      </c>
      <c r="K540" s="36" t="str">
        <f ca="1">IFERROR(__xludf.DUMMYFUNCTION("""COMPUTED_VALUE"""),"")</f>
        <v/>
      </c>
      <c r="L540" s="36" t="str">
        <f ca="1">IFERROR(__xludf.DUMMYFUNCTION("""COMPUTED_VALUE"""),"")</f>
        <v/>
      </c>
      <c r="M540" s="36" t="str">
        <f ca="1">IFERROR(__xludf.DUMMYFUNCTION("""COMPUTED_VALUE"""),"")</f>
        <v/>
      </c>
      <c r="N540" s="36" t="str">
        <f ca="1">IFERROR(__xludf.DUMMYFUNCTION("""COMPUTED_VALUE"""),"")</f>
        <v/>
      </c>
      <c r="O540" s="36" t="str">
        <f ca="1">IFERROR(__xludf.DUMMYFUNCTION("""COMPUTED_VALUE"""),"")</f>
        <v/>
      </c>
      <c r="P540" s="36" t="str">
        <f ca="1">IFERROR(__xludf.DUMMYFUNCTION("""COMPUTED_VALUE"""),"")</f>
        <v/>
      </c>
      <c r="Q540" s="36" t="str">
        <f ca="1">IFERROR(__xludf.DUMMYFUNCTION("""COMPUTED_VALUE"""),"")</f>
        <v/>
      </c>
      <c r="R540" s="36" t="str">
        <f ca="1">IFERROR(__xludf.DUMMYFUNCTION("""COMPUTED_VALUE"""),"")</f>
        <v/>
      </c>
      <c r="S540" s="36" t="str">
        <f ca="1">IFERROR(__xludf.DUMMYFUNCTION("""COMPUTED_VALUE"""),"")</f>
        <v/>
      </c>
      <c r="T540" s="36" t="str">
        <f ca="1">IFERROR(__xludf.DUMMYFUNCTION("""COMPUTED_VALUE"""),"")</f>
        <v/>
      </c>
      <c r="U540" s="36" t="str">
        <f ca="1">IFERROR(__xludf.DUMMYFUNCTION("""COMPUTED_VALUE"""),"")</f>
        <v/>
      </c>
      <c r="V540" s="36" t="str">
        <f ca="1">IFERROR(__xludf.DUMMYFUNCTION("""COMPUTED_VALUE"""),"")</f>
        <v/>
      </c>
      <c r="W540" s="36" t="str">
        <f ca="1">IFERROR(__xludf.DUMMYFUNCTION("""COMPUTED_VALUE"""),"")</f>
        <v/>
      </c>
      <c r="X540" s="36"/>
      <c r="Y540" s="36"/>
      <c r="Z540" s="36"/>
    </row>
    <row r="541" spans="1:26" ht="12.75" hidden="1">
      <c r="A541" s="36" t="str">
        <f ca="1">IFERROR(__xludf.DUMMYFUNCTION("""COMPUTED_VALUE"""),"")</f>
        <v/>
      </c>
      <c r="B541" s="36" t="str">
        <f ca="1">IFERROR(__xludf.DUMMYFUNCTION("""COMPUTED_VALUE"""),"")</f>
        <v/>
      </c>
      <c r="C541" s="36" t="str">
        <f ca="1">IFERROR(__xludf.DUMMYFUNCTION("""COMPUTED_VALUE"""),"")</f>
        <v/>
      </c>
      <c r="D541" s="36" t="str">
        <f ca="1">IFERROR(__xludf.DUMMYFUNCTION("""COMPUTED_VALUE"""),"")</f>
        <v/>
      </c>
      <c r="E541" s="36" t="str">
        <f ca="1">IFERROR(__xludf.DUMMYFUNCTION("""COMPUTED_VALUE"""),"")</f>
        <v/>
      </c>
      <c r="F541" s="36" t="str">
        <f ca="1">IFERROR(__xludf.DUMMYFUNCTION("""COMPUTED_VALUE"""),"")</f>
        <v/>
      </c>
      <c r="G541" s="36" t="str">
        <f ca="1">IFERROR(__xludf.DUMMYFUNCTION("""COMPUTED_VALUE"""),"")</f>
        <v/>
      </c>
      <c r="H541" s="36" t="str">
        <f ca="1">IFERROR(__xludf.DUMMYFUNCTION("""COMPUTED_VALUE"""),"")</f>
        <v/>
      </c>
      <c r="I541" s="36" t="str">
        <f ca="1">IFERROR(__xludf.DUMMYFUNCTION("""COMPUTED_VALUE"""),"")</f>
        <v/>
      </c>
      <c r="J541" s="36" t="str">
        <f ca="1">IFERROR(__xludf.DUMMYFUNCTION("""COMPUTED_VALUE"""),"")</f>
        <v/>
      </c>
      <c r="K541" s="36" t="str">
        <f ca="1">IFERROR(__xludf.DUMMYFUNCTION("""COMPUTED_VALUE"""),"")</f>
        <v/>
      </c>
      <c r="L541" s="36" t="str">
        <f ca="1">IFERROR(__xludf.DUMMYFUNCTION("""COMPUTED_VALUE"""),"")</f>
        <v/>
      </c>
      <c r="M541" s="36" t="str">
        <f ca="1">IFERROR(__xludf.DUMMYFUNCTION("""COMPUTED_VALUE"""),"")</f>
        <v/>
      </c>
      <c r="N541" s="36" t="str">
        <f ca="1">IFERROR(__xludf.DUMMYFUNCTION("""COMPUTED_VALUE"""),"")</f>
        <v/>
      </c>
      <c r="O541" s="36" t="str">
        <f ca="1">IFERROR(__xludf.DUMMYFUNCTION("""COMPUTED_VALUE"""),"")</f>
        <v/>
      </c>
      <c r="P541" s="36" t="str">
        <f ca="1">IFERROR(__xludf.DUMMYFUNCTION("""COMPUTED_VALUE"""),"")</f>
        <v/>
      </c>
      <c r="Q541" s="36" t="str">
        <f ca="1">IFERROR(__xludf.DUMMYFUNCTION("""COMPUTED_VALUE"""),"")</f>
        <v/>
      </c>
      <c r="R541" s="36" t="str">
        <f ca="1">IFERROR(__xludf.DUMMYFUNCTION("""COMPUTED_VALUE"""),"")</f>
        <v/>
      </c>
      <c r="S541" s="36" t="str">
        <f ca="1">IFERROR(__xludf.DUMMYFUNCTION("""COMPUTED_VALUE"""),"")</f>
        <v/>
      </c>
      <c r="T541" s="36" t="str">
        <f ca="1">IFERROR(__xludf.DUMMYFUNCTION("""COMPUTED_VALUE"""),"")</f>
        <v/>
      </c>
      <c r="U541" s="36" t="str">
        <f ca="1">IFERROR(__xludf.DUMMYFUNCTION("""COMPUTED_VALUE"""),"")</f>
        <v/>
      </c>
      <c r="V541" s="36" t="str">
        <f ca="1">IFERROR(__xludf.DUMMYFUNCTION("""COMPUTED_VALUE"""),"")</f>
        <v/>
      </c>
      <c r="W541" s="36" t="str">
        <f ca="1">IFERROR(__xludf.DUMMYFUNCTION("""COMPUTED_VALUE"""),"")</f>
        <v/>
      </c>
      <c r="X541" s="36"/>
      <c r="Y541" s="36"/>
      <c r="Z541" s="36"/>
    </row>
    <row r="542" spans="1:26" ht="12.75" hidden="1">
      <c r="A542" s="36" t="str">
        <f ca="1">IFERROR(__xludf.DUMMYFUNCTION("""COMPUTED_VALUE"""),"")</f>
        <v/>
      </c>
      <c r="B542" s="36" t="str">
        <f ca="1">IFERROR(__xludf.DUMMYFUNCTION("""COMPUTED_VALUE"""),"")</f>
        <v/>
      </c>
      <c r="C542" s="36" t="str">
        <f ca="1">IFERROR(__xludf.DUMMYFUNCTION("""COMPUTED_VALUE"""),"")</f>
        <v/>
      </c>
      <c r="D542" s="36" t="str">
        <f ca="1">IFERROR(__xludf.DUMMYFUNCTION("""COMPUTED_VALUE"""),"")</f>
        <v/>
      </c>
      <c r="E542" s="36" t="str">
        <f ca="1">IFERROR(__xludf.DUMMYFUNCTION("""COMPUTED_VALUE"""),"")</f>
        <v/>
      </c>
      <c r="F542" s="36" t="str">
        <f ca="1">IFERROR(__xludf.DUMMYFUNCTION("""COMPUTED_VALUE"""),"")</f>
        <v/>
      </c>
      <c r="G542" s="36" t="str">
        <f ca="1">IFERROR(__xludf.DUMMYFUNCTION("""COMPUTED_VALUE"""),"")</f>
        <v/>
      </c>
      <c r="H542" s="36" t="str">
        <f ca="1">IFERROR(__xludf.DUMMYFUNCTION("""COMPUTED_VALUE"""),"")</f>
        <v/>
      </c>
      <c r="I542" s="36" t="str">
        <f ca="1">IFERROR(__xludf.DUMMYFUNCTION("""COMPUTED_VALUE"""),"")</f>
        <v/>
      </c>
      <c r="J542" s="36" t="str">
        <f ca="1">IFERROR(__xludf.DUMMYFUNCTION("""COMPUTED_VALUE"""),"")</f>
        <v/>
      </c>
      <c r="K542" s="36" t="str">
        <f ca="1">IFERROR(__xludf.DUMMYFUNCTION("""COMPUTED_VALUE"""),"")</f>
        <v/>
      </c>
      <c r="L542" s="36" t="str">
        <f ca="1">IFERROR(__xludf.DUMMYFUNCTION("""COMPUTED_VALUE"""),"")</f>
        <v/>
      </c>
      <c r="M542" s="36" t="str">
        <f ca="1">IFERROR(__xludf.DUMMYFUNCTION("""COMPUTED_VALUE"""),"")</f>
        <v/>
      </c>
      <c r="N542" s="36" t="str">
        <f ca="1">IFERROR(__xludf.DUMMYFUNCTION("""COMPUTED_VALUE"""),"")</f>
        <v/>
      </c>
      <c r="O542" s="36" t="str">
        <f ca="1">IFERROR(__xludf.DUMMYFUNCTION("""COMPUTED_VALUE"""),"")</f>
        <v/>
      </c>
      <c r="P542" s="36" t="str">
        <f ca="1">IFERROR(__xludf.DUMMYFUNCTION("""COMPUTED_VALUE"""),"")</f>
        <v/>
      </c>
      <c r="Q542" s="36" t="str">
        <f ca="1">IFERROR(__xludf.DUMMYFUNCTION("""COMPUTED_VALUE"""),"")</f>
        <v/>
      </c>
      <c r="R542" s="36" t="str">
        <f ca="1">IFERROR(__xludf.DUMMYFUNCTION("""COMPUTED_VALUE"""),"")</f>
        <v/>
      </c>
      <c r="S542" s="36" t="str">
        <f ca="1">IFERROR(__xludf.DUMMYFUNCTION("""COMPUTED_VALUE"""),"")</f>
        <v/>
      </c>
      <c r="T542" s="36" t="str">
        <f ca="1">IFERROR(__xludf.DUMMYFUNCTION("""COMPUTED_VALUE"""),"")</f>
        <v/>
      </c>
      <c r="U542" s="36" t="str">
        <f ca="1">IFERROR(__xludf.DUMMYFUNCTION("""COMPUTED_VALUE"""),"")</f>
        <v/>
      </c>
      <c r="V542" s="36" t="str">
        <f ca="1">IFERROR(__xludf.DUMMYFUNCTION("""COMPUTED_VALUE"""),"")</f>
        <v/>
      </c>
      <c r="W542" s="36" t="str">
        <f ca="1">IFERROR(__xludf.DUMMYFUNCTION("""COMPUTED_VALUE"""),"")</f>
        <v/>
      </c>
      <c r="X542" s="36"/>
      <c r="Y542" s="36"/>
      <c r="Z542" s="36"/>
    </row>
    <row r="543" spans="1:26" ht="12.75" hidden="1">
      <c r="A543" s="36" t="str">
        <f ca="1">IFERROR(__xludf.DUMMYFUNCTION("""COMPUTED_VALUE"""),"")</f>
        <v/>
      </c>
      <c r="B543" s="36" t="str">
        <f ca="1">IFERROR(__xludf.DUMMYFUNCTION("""COMPUTED_VALUE"""),"")</f>
        <v/>
      </c>
      <c r="C543" s="36" t="str">
        <f ca="1">IFERROR(__xludf.DUMMYFUNCTION("""COMPUTED_VALUE"""),"")</f>
        <v/>
      </c>
      <c r="D543" s="36" t="str">
        <f ca="1">IFERROR(__xludf.DUMMYFUNCTION("""COMPUTED_VALUE"""),"")</f>
        <v/>
      </c>
      <c r="E543" s="36" t="str">
        <f ca="1">IFERROR(__xludf.DUMMYFUNCTION("""COMPUTED_VALUE"""),"")</f>
        <v/>
      </c>
      <c r="F543" s="36" t="str">
        <f ca="1">IFERROR(__xludf.DUMMYFUNCTION("""COMPUTED_VALUE"""),"")</f>
        <v/>
      </c>
      <c r="G543" s="36" t="str">
        <f ca="1">IFERROR(__xludf.DUMMYFUNCTION("""COMPUTED_VALUE"""),"")</f>
        <v/>
      </c>
      <c r="H543" s="36" t="str">
        <f ca="1">IFERROR(__xludf.DUMMYFUNCTION("""COMPUTED_VALUE"""),"")</f>
        <v/>
      </c>
      <c r="I543" s="36" t="str">
        <f ca="1">IFERROR(__xludf.DUMMYFUNCTION("""COMPUTED_VALUE"""),"")</f>
        <v/>
      </c>
      <c r="J543" s="36" t="str">
        <f ca="1">IFERROR(__xludf.DUMMYFUNCTION("""COMPUTED_VALUE"""),"")</f>
        <v/>
      </c>
      <c r="K543" s="36" t="str">
        <f ca="1">IFERROR(__xludf.DUMMYFUNCTION("""COMPUTED_VALUE"""),"")</f>
        <v/>
      </c>
      <c r="L543" s="36" t="str">
        <f ca="1">IFERROR(__xludf.DUMMYFUNCTION("""COMPUTED_VALUE"""),"")</f>
        <v/>
      </c>
      <c r="M543" s="36" t="str">
        <f ca="1">IFERROR(__xludf.DUMMYFUNCTION("""COMPUTED_VALUE"""),"")</f>
        <v/>
      </c>
      <c r="N543" s="36" t="str">
        <f ca="1">IFERROR(__xludf.DUMMYFUNCTION("""COMPUTED_VALUE"""),"")</f>
        <v/>
      </c>
      <c r="O543" s="36" t="str">
        <f ca="1">IFERROR(__xludf.DUMMYFUNCTION("""COMPUTED_VALUE"""),"")</f>
        <v/>
      </c>
      <c r="P543" s="36" t="str">
        <f ca="1">IFERROR(__xludf.DUMMYFUNCTION("""COMPUTED_VALUE"""),"")</f>
        <v/>
      </c>
      <c r="Q543" s="36" t="str">
        <f ca="1">IFERROR(__xludf.DUMMYFUNCTION("""COMPUTED_VALUE"""),"")</f>
        <v/>
      </c>
      <c r="R543" s="36" t="str">
        <f ca="1">IFERROR(__xludf.DUMMYFUNCTION("""COMPUTED_VALUE"""),"")</f>
        <v/>
      </c>
      <c r="S543" s="36" t="str">
        <f ca="1">IFERROR(__xludf.DUMMYFUNCTION("""COMPUTED_VALUE"""),"")</f>
        <v/>
      </c>
      <c r="T543" s="36" t="str">
        <f ca="1">IFERROR(__xludf.DUMMYFUNCTION("""COMPUTED_VALUE"""),"")</f>
        <v/>
      </c>
      <c r="U543" s="36" t="str">
        <f ca="1">IFERROR(__xludf.DUMMYFUNCTION("""COMPUTED_VALUE"""),"")</f>
        <v/>
      </c>
      <c r="V543" s="36" t="str">
        <f ca="1">IFERROR(__xludf.DUMMYFUNCTION("""COMPUTED_VALUE"""),"")</f>
        <v/>
      </c>
      <c r="W543" s="36" t="str">
        <f ca="1">IFERROR(__xludf.DUMMYFUNCTION("""COMPUTED_VALUE"""),"")</f>
        <v/>
      </c>
      <c r="X543" s="36"/>
      <c r="Y543" s="36"/>
      <c r="Z543" s="36"/>
    </row>
    <row r="544" spans="1:26" ht="12.75" hidden="1">
      <c r="A544" s="36" t="str">
        <f ca="1">IFERROR(__xludf.DUMMYFUNCTION("""COMPUTED_VALUE"""),"")</f>
        <v/>
      </c>
      <c r="B544" s="36" t="str">
        <f ca="1">IFERROR(__xludf.DUMMYFUNCTION("""COMPUTED_VALUE"""),"")</f>
        <v/>
      </c>
      <c r="C544" s="36" t="str">
        <f ca="1">IFERROR(__xludf.DUMMYFUNCTION("""COMPUTED_VALUE"""),"")</f>
        <v/>
      </c>
      <c r="D544" s="36" t="str">
        <f ca="1">IFERROR(__xludf.DUMMYFUNCTION("""COMPUTED_VALUE"""),"")</f>
        <v/>
      </c>
      <c r="E544" s="36" t="str">
        <f ca="1">IFERROR(__xludf.DUMMYFUNCTION("""COMPUTED_VALUE"""),"")</f>
        <v/>
      </c>
      <c r="F544" s="36" t="str">
        <f ca="1">IFERROR(__xludf.DUMMYFUNCTION("""COMPUTED_VALUE"""),"")</f>
        <v/>
      </c>
      <c r="G544" s="36" t="str">
        <f ca="1">IFERROR(__xludf.DUMMYFUNCTION("""COMPUTED_VALUE"""),"")</f>
        <v/>
      </c>
      <c r="H544" s="36" t="str">
        <f ca="1">IFERROR(__xludf.DUMMYFUNCTION("""COMPUTED_VALUE"""),"")</f>
        <v/>
      </c>
      <c r="I544" s="36" t="str">
        <f ca="1">IFERROR(__xludf.DUMMYFUNCTION("""COMPUTED_VALUE"""),"")</f>
        <v/>
      </c>
      <c r="J544" s="36" t="str">
        <f ca="1">IFERROR(__xludf.DUMMYFUNCTION("""COMPUTED_VALUE"""),"")</f>
        <v/>
      </c>
      <c r="K544" s="36" t="str">
        <f ca="1">IFERROR(__xludf.DUMMYFUNCTION("""COMPUTED_VALUE"""),"")</f>
        <v/>
      </c>
      <c r="L544" s="36" t="str">
        <f ca="1">IFERROR(__xludf.DUMMYFUNCTION("""COMPUTED_VALUE"""),"")</f>
        <v/>
      </c>
      <c r="M544" s="36" t="str">
        <f ca="1">IFERROR(__xludf.DUMMYFUNCTION("""COMPUTED_VALUE"""),"")</f>
        <v/>
      </c>
      <c r="N544" s="36" t="str">
        <f ca="1">IFERROR(__xludf.DUMMYFUNCTION("""COMPUTED_VALUE"""),"")</f>
        <v/>
      </c>
      <c r="O544" s="36" t="str">
        <f ca="1">IFERROR(__xludf.DUMMYFUNCTION("""COMPUTED_VALUE"""),"")</f>
        <v/>
      </c>
      <c r="P544" s="36" t="str">
        <f ca="1">IFERROR(__xludf.DUMMYFUNCTION("""COMPUTED_VALUE"""),"")</f>
        <v/>
      </c>
      <c r="Q544" s="36" t="str">
        <f ca="1">IFERROR(__xludf.DUMMYFUNCTION("""COMPUTED_VALUE"""),"")</f>
        <v/>
      </c>
      <c r="R544" s="36" t="str">
        <f ca="1">IFERROR(__xludf.DUMMYFUNCTION("""COMPUTED_VALUE"""),"")</f>
        <v/>
      </c>
      <c r="S544" s="36" t="str">
        <f ca="1">IFERROR(__xludf.DUMMYFUNCTION("""COMPUTED_VALUE"""),"")</f>
        <v/>
      </c>
      <c r="T544" s="36" t="str">
        <f ca="1">IFERROR(__xludf.DUMMYFUNCTION("""COMPUTED_VALUE"""),"")</f>
        <v/>
      </c>
      <c r="U544" s="36" t="str">
        <f ca="1">IFERROR(__xludf.DUMMYFUNCTION("""COMPUTED_VALUE"""),"")</f>
        <v/>
      </c>
      <c r="V544" s="36" t="str">
        <f ca="1">IFERROR(__xludf.DUMMYFUNCTION("""COMPUTED_VALUE"""),"")</f>
        <v/>
      </c>
      <c r="W544" s="36" t="str">
        <f ca="1">IFERROR(__xludf.DUMMYFUNCTION("""COMPUTED_VALUE"""),"")</f>
        <v/>
      </c>
      <c r="X544" s="36"/>
      <c r="Y544" s="36"/>
      <c r="Z544" s="36"/>
    </row>
    <row r="545" spans="1:26" ht="12.75" hidden="1">
      <c r="A545" s="36" t="str">
        <f ca="1">IFERROR(__xludf.DUMMYFUNCTION("""COMPUTED_VALUE"""),"")</f>
        <v/>
      </c>
      <c r="B545" s="36" t="str">
        <f ca="1">IFERROR(__xludf.DUMMYFUNCTION("""COMPUTED_VALUE"""),"")</f>
        <v/>
      </c>
      <c r="C545" s="36" t="str">
        <f ca="1">IFERROR(__xludf.DUMMYFUNCTION("""COMPUTED_VALUE"""),"")</f>
        <v/>
      </c>
      <c r="D545" s="36" t="str">
        <f ca="1">IFERROR(__xludf.DUMMYFUNCTION("""COMPUTED_VALUE"""),"")</f>
        <v/>
      </c>
      <c r="E545" s="36" t="str">
        <f ca="1">IFERROR(__xludf.DUMMYFUNCTION("""COMPUTED_VALUE"""),"")</f>
        <v/>
      </c>
      <c r="F545" s="36" t="str">
        <f ca="1">IFERROR(__xludf.DUMMYFUNCTION("""COMPUTED_VALUE"""),"")</f>
        <v/>
      </c>
      <c r="G545" s="36" t="str">
        <f ca="1">IFERROR(__xludf.DUMMYFUNCTION("""COMPUTED_VALUE"""),"")</f>
        <v/>
      </c>
      <c r="H545" s="36" t="str">
        <f ca="1">IFERROR(__xludf.DUMMYFUNCTION("""COMPUTED_VALUE"""),"")</f>
        <v/>
      </c>
      <c r="I545" s="36" t="str">
        <f ca="1">IFERROR(__xludf.DUMMYFUNCTION("""COMPUTED_VALUE"""),"")</f>
        <v/>
      </c>
      <c r="J545" s="36" t="str">
        <f ca="1">IFERROR(__xludf.DUMMYFUNCTION("""COMPUTED_VALUE"""),"")</f>
        <v/>
      </c>
      <c r="K545" s="36" t="str">
        <f ca="1">IFERROR(__xludf.DUMMYFUNCTION("""COMPUTED_VALUE"""),"")</f>
        <v/>
      </c>
      <c r="L545" s="36" t="str">
        <f ca="1">IFERROR(__xludf.DUMMYFUNCTION("""COMPUTED_VALUE"""),"")</f>
        <v/>
      </c>
      <c r="M545" s="36" t="str">
        <f ca="1">IFERROR(__xludf.DUMMYFUNCTION("""COMPUTED_VALUE"""),"")</f>
        <v/>
      </c>
      <c r="N545" s="36" t="str">
        <f ca="1">IFERROR(__xludf.DUMMYFUNCTION("""COMPUTED_VALUE"""),"")</f>
        <v/>
      </c>
      <c r="O545" s="36" t="str">
        <f ca="1">IFERROR(__xludf.DUMMYFUNCTION("""COMPUTED_VALUE"""),"")</f>
        <v/>
      </c>
      <c r="P545" s="36" t="str">
        <f ca="1">IFERROR(__xludf.DUMMYFUNCTION("""COMPUTED_VALUE"""),"")</f>
        <v/>
      </c>
      <c r="Q545" s="36" t="str">
        <f ca="1">IFERROR(__xludf.DUMMYFUNCTION("""COMPUTED_VALUE"""),"")</f>
        <v/>
      </c>
      <c r="R545" s="36" t="str">
        <f ca="1">IFERROR(__xludf.DUMMYFUNCTION("""COMPUTED_VALUE"""),"")</f>
        <v/>
      </c>
      <c r="S545" s="36" t="str">
        <f ca="1">IFERROR(__xludf.DUMMYFUNCTION("""COMPUTED_VALUE"""),"")</f>
        <v/>
      </c>
      <c r="T545" s="36" t="str">
        <f ca="1">IFERROR(__xludf.DUMMYFUNCTION("""COMPUTED_VALUE"""),"")</f>
        <v/>
      </c>
      <c r="U545" s="36" t="str">
        <f ca="1">IFERROR(__xludf.DUMMYFUNCTION("""COMPUTED_VALUE"""),"")</f>
        <v/>
      </c>
      <c r="V545" s="36" t="str">
        <f ca="1">IFERROR(__xludf.DUMMYFUNCTION("""COMPUTED_VALUE"""),"")</f>
        <v/>
      </c>
      <c r="W545" s="36" t="str">
        <f ca="1">IFERROR(__xludf.DUMMYFUNCTION("""COMPUTED_VALUE"""),"")</f>
        <v/>
      </c>
      <c r="X545" s="36"/>
      <c r="Y545" s="36"/>
      <c r="Z545" s="36"/>
    </row>
    <row r="546" spans="1:26" ht="12.75" hidden="1">
      <c r="A546" s="36" t="str">
        <f ca="1">IFERROR(__xludf.DUMMYFUNCTION("""COMPUTED_VALUE"""),"")</f>
        <v/>
      </c>
      <c r="B546" s="36" t="str">
        <f ca="1">IFERROR(__xludf.DUMMYFUNCTION("""COMPUTED_VALUE"""),"")</f>
        <v/>
      </c>
      <c r="C546" s="36" t="str">
        <f ca="1">IFERROR(__xludf.DUMMYFUNCTION("""COMPUTED_VALUE"""),"")</f>
        <v/>
      </c>
      <c r="D546" s="36" t="str">
        <f ca="1">IFERROR(__xludf.DUMMYFUNCTION("""COMPUTED_VALUE"""),"")</f>
        <v/>
      </c>
      <c r="E546" s="36" t="str">
        <f ca="1">IFERROR(__xludf.DUMMYFUNCTION("""COMPUTED_VALUE"""),"")</f>
        <v/>
      </c>
      <c r="F546" s="36" t="str">
        <f ca="1">IFERROR(__xludf.DUMMYFUNCTION("""COMPUTED_VALUE"""),"")</f>
        <v/>
      </c>
      <c r="G546" s="36" t="str">
        <f ca="1">IFERROR(__xludf.DUMMYFUNCTION("""COMPUTED_VALUE"""),"")</f>
        <v/>
      </c>
      <c r="H546" s="36" t="str">
        <f ca="1">IFERROR(__xludf.DUMMYFUNCTION("""COMPUTED_VALUE"""),"")</f>
        <v/>
      </c>
      <c r="I546" s="36" t="str">
        <f ca="1">IFERROR(__xludf.DUMMYFUNCTION("""COMPUTED_VALUE"""),"")</f>
        <v/>
      </c>
      <c r="J546" s="36" t="str">
        <f ca="1">IFERROR(__xludf.DUMMYFUNCTION("""COMPUTED_VALUE"""),"")</f>
        <v/>
      </c>
      <c r="K546" s="36" t="str">
        <f ca="1">IFERROR(__xludf.DUMMYFUNCTION("""COMPUTED_VALUE"""),"")</f>
        <v/>
      </c>
      <c r="L546" s="36" t="str">
        <f ca="1">IFERROR(__xludf.DUMMYFUNCTION("""COMPUTED_VALUE"""),"")</f>
        <v/>
      </c>
      <c r="M546" s="36" t="str">
        <f ca="1">IFERROR(__xludf.DUMMYFUNCTION("""COMPUTED_VALUE"""),"")</f>
        <v/>
      </c>
      <c r="N546" s="36" t="str">
        <f ca="1">IFERROR(__xludf.DUMMYFUNCTION("""COMPUTED_VALUE"""),"")</f>
        <v/>
      </c>
      <c r="O546" s="36" t="str">
        <f ca="1">IFERROR(__xludf.DUMMYFUNCTION("""COMPUTED_VALUE"""),"")</f>
        <v/>
      </c>
      <c r="P546" s="36" t="str">
        <f ca="1">IFERROR(__xludf.DUMMYFUNCTION("""COMPUTED_VALUE"""),"")</f>
        <v/>
      </c>
      <c r="Q546" s="36" t="str">
        <f ca="1">IFERROR(__xludf.DUMMYFUNCTION("""COMPUTED_VALUE"""),"")</f>
        <v/>
      </c>
      <c r="R546" s="36" t="str">
        <f ca="1">IFERROR(__xludf.DUMMYFUNCTION("""COMPUTED_VALUE"""),"")</f>
        <v/>
      </c>
      <c r="S546" s="36" t="str">
        <f ca="1">IFERROR(__xludf.DUMMYFUNCTION("""COMPUTED_VALUE"""),"")</f>
        <v/>
      </c>
      <c r="T546" s="36" t="str">
        <f ca="1">IFERROR(__xludf.DUMMYFUNCTION("""COMPUTED_VALUE"""),"")</f>
        <v/>
      </c>
      <c r="U546" s="36" t="str">
        <f ca="1">IFERROR(__xludf.DUMMYFUNCTION("""COMPUTED_VALUE"""),"")</f>
        <v/>
      </c>
      <c r="V546" s="36" t="str">
        <f ca="1">IFERROR(__xludf.DUMMYFUNCTION("""COMPUTED_VALUE"""),"")</f>
        <v/>
      </c>
      <c r="W546" s="36" t="str">
        <f ca="1">IFERROR(__xludf.DUMMYFUNCTION("""COMPUTED_VALUE"""),"")</f>
        <v/>
      </c>
      <c r="X546" s="36"/>
      <c r="Y546" s="36"/>
      <c r="Z546" s="36"/>
    </row>
    <row r="547" spans="1:26" ht="12.75" hidden="1">
      <c r="A547" s="36" t="str">
        <f ca="1">IFERROR(__xludf.DUMMYFUNCTION("""COMPUTED_VALUE"""),"")</f>
        <v/>
      </c>
      <c r="B547" s="36" t="str">
        <f ca="1">IFERROR(__xludf.DUMMYFUNCTION("""COMPUTED_VALUE"""),"")</f>
        <v/>
      </c>
      <c r="C547" s="36" t="str">
        <f ca="1">IFERROR(__xludf.DUMMYFUNCTION("""COMPUTED_VALUE"""),"")</f>
        <v/>
      </c>
      <c r="D547" s="36" t="str">
        <f ca="1">IFERROR(__xludf.DUMMYFUNCTION("""COMPUTED_VALUE"""),"")</f>
        <v/>
      </c>
      <c r="E547" s="36" t="str">
        <f ca="1">IFERROR(__xludf.DUMMYFUNCTION("""COMPUTED_VALUE"""),"")</f>
        <v/>
      </c>
      <c r="F547" s="36" t="str">
        <f ca="1">IFERROR(__xludf.DUMMYFUNCTION("""COMPUTED_VALUE"""),"")</f>
        <v/>
      </c>
      <c r="G547" s="36" t="str">
        <f ca="1">IFERROR(__xludf.DUMMYFUNCTION("""COMPUTED_VALUE"""),"")</f>
        <v/>
      </c>
      <c r="H547" s="36" t="str">
        <f ca="1">IFERROR(__xludf.DUMMYFUNCTION("""COMPUTED_VALUE"""),"")</f>
        <v/>
      </c>
      <c r="I547" s="36" t="str">
        <f ca="1">IFERROR(__xludf.DUMMYFUNCTION("""COMPUTED_VALUE"""),"")</f>
        <v/>
      </c>
      <c r="J547" s="36" t="str">
        <f ca="1">IFERROR(__xludf.DUMMYFUNCTION("""COMPUTED_VALUE"""),"")</f>
        <v/>
      </c>
      <c r="K547" s="36" t="str">
        <f ca="1">IFERROR(__xludf.DUMMYFUNCTION("""COMPUTED_VALUE"""),"")</f>
        <v/>
      </c>
      <c r="L547" s="36" t="str">
        <f ca="1">IFERROR(__xludf.DUMMYFUNCTION("""COMPUTED_VALUE"""),"")</f>
        <v/>
      </c>
      <c r="M547" s="36" t="str">
        <f ca="1">IFERROR(__xludf.DUMMYFUNCTION("""COMPUTED_VALUE"""),"")</f>
        <v/>
      </c>
      <c r="N547" s="36" t="str">
        <f ca="1">IFERROR(__xludf.DUMMYFUNCTION("""COMPUTED_VALUE"""),"")</f>
        <v/>
      </c>
      <c r="O547" s="36" t="str">
        <f ca="1">IFERROR(__xludf.DUMMYFUNCTION("""COMPUTED_VALUE"""),"")</f>
        <v/>
      </c>
      <c r="P547" s="36" t="str">
        <f ca="1">IFERROR(__xludf.DUMMYFUNCTION("""COMPUTED_VALUE"""),"")</f>
        <v/>
      </c>
      <c r="Q547" s="36" t="str">
        <f ca="1">IFERROR(__xludf.DUMMYFUNCTION("""COMPUTED_VALUE"""),"")</f>
        <v/>
      </c>
      <c r="R547" s="36" t="str">
        <f ca="1">IFERROR(__xludf.DUMMYFUNCTION("""COMPUTED_VALUE"""),"")</f>
        <v/>
      </c>
      <c r="S547" s="36" t="str">
        <f ca="1">IFERROR(__xludf.DUMMYFUNCTION("""COMPUTED_VALUE"""),"")</f>
        <v/>
      </c>
      <c r="T547" s="36" t="str">
        <f ca="1">IFERROR(__xludf.DUMMYFUNCTION("""COMPUTED_VALUE"""),"")</f>
        <v/>
      </c>
      <c r="U547" s="36" t="str">
        <f ca="1">IFERROR(__xludf.DUMMYFUNCTION("""COMPUTED_VALUE"""),"")</f>
        <v/>
      </c>
      <c r="V547" s="36" t="str">
        <f ca="1">IFERROR(__xludf.DUMMYFUNCTION("""COMPUTED_VALUE"""),"")</f>
        <v/>
      </c>
      <c r="W547" s="36" t="str">
        <f ca="1">IFERROR(__xludf.DUMMYFUNCTION("""COMPUTED_VALUE"""),"")</f>
        <v/>
      </c>
      <c r="X547" s="36"/>
      <c r="Y547" s="36"/>
      <c r="Z547" s="36"/>
    </row>
    <row r="548" spans="1:26" ht="12.75" hidden="1">
      <c r="A548" s="36" t="str">
        <f ca="1">IFERROR(__xludf.DUMMYFUNCTION("""COMPUTED_VALUE"""),"")</f>
        <v/>
      </c>
      <c r="B548" s="36" t="str">
        <f ca="1">IFERROR(__xludf.DUMMYFUNCTION("""COMPUTED_VALUE"""),"")</f>
        <v/>
      </c>
      <c r="C548" s="36" t="str">
        <f ca="1">IFERROR(__xludf.DUMMYFUNCTION("""COMPUTED_VALUE"""),"")</f>
        <v/>
      </c>
      <c r="D548" s="36" t="str">
        <f ca="1">IFERROR(__xludf.DUMMYFUNCTION("""COMPUTED_VALUE"""),"")</f>
        <v/>
      </c>
      <c r="E548" s="36" t="str">
        <f ca="1">IFERROR(__xludf.DUMMYFUNCTION("""COMPUTED_VALUE"""),"")</f>
        <v/>
      </c>
      <c r="F548" s="36" t="str">
        <f ca="1">IFERROR(__xludf.DUMMYFUNCTION("""COMPUTED_VALUE"""),"")</f>
        <v/>
      </c>
      <c r="G548" s="36" t="str">
        <f ca="1">IFERROR(__xludf.DUMMYFUNCTION("""COMPUTED_VALUE"""),"")</f>
        <v/>
      </c>
      <c r="H548" s="36" t="str">
        <f ca="1">IFERROR(__xludf.DUMMYFUNCTION("""COMPUTED_VALUE"""),"")</f>
        <v/>
      </c>
      <c r="I548" s="36" t="str">
        <f ca="1">IFERROR(__xludf.DUMMYFUNCTION("""COMPUTED_VALUE"""),"")</f>
        <v/>
      </c>
      <c r="J548" s="36" t="str">
        <f ca="1">IFERROR(__xludf.DUMMYFUNCTION("""COMPUTED_VALUE"""),"")</f>
        <v/>
      </c>
      <c r="K548" s="36" t="str">
        <f ca="1">IFERROR(__xludf.DUMMYFUNCTION("""COMPUTED_VALUE"""),"")</f>
        <v/>
      </c>
      <c r="L548" s="36" t="str">
        <f ca="1">IFERROR(__xludf.DUMMYFUNCTION("""COMPUTED_VALUE"""),"")</f>
        <v/>
      </c>
      <c r="M548" s="36" t="str">
        <f ca="1">IFERROR(__xludf.DUMMYFUNCTION("""COMPUTED_VALUE"""),"")</f>
        <v/>
      </c>
      <c r="N548" s="36" t="str">
        <f ca="1">IFERROR(__xludf.DUMMYFUNCTION("""COMPUTED_VALUE"""),"")</f>
        <v/>
      </c>
      <c r="O548" s="36" t="str">
        <f ca="1">IFERROR(__xludf.DUMMYFUNCTION("""COMPUTED_VALUE"""),"")</f>
        <v/>
      </c>
      <c r="P548" s="36" t="str">
        <f ca="1">IFERROR(__xludf.DUMMYFUNCTION("""COMPUTED_VALUE"""),"")</f>
        <v/>
      </c>
      <c r="Q548" s="36" t="str">
        <f ca="1">IFERROR(__xludf.DUMMYFUNCTION("""COMPUTED_VALUE"""),"")</f>
        <v/>
      </c>
      <c r="R548" s="36" t="str">
        <f ca="1">IFERROR(__xludf.DUMMYFUNCTION("""COMPUTED_VALUE"""),"")</f>
        <v/>
      </c>
      <c r="S548" s="36" t="str">
        <f ca="1">IFERROR(__xludf.DUMMYFUNCTION("""COMPUTED_VALUE"""),"")</f>
        <v/>
      </c>
      <c r="T548" s="36" t="str">
        <f ca="1">IFERROR(__xludf.DUMMYFUNCTION("""COMPUTED_VALUE"""),"")</f>
        <v/>
      </c>
      <c r="U548" s="36" t="str">
        <f ca="1">IFERROR(__xludf.DUMMYFUNCTION("""COMPUTED_VALUE"""),"")</f>
        <v/>
      </c>
      <c r="V548" s="36" t="str">
        <f ca="1">IFERROR(__xludf.DUMMYFUNCTION("""COMPUTED_VALUE"""),"")</f>
        <v/>
      </c>
      <c r="W548" s="36" t="str">
        <f ca="1">IFERROR(__xludf.DUMMYFUNCTION("""COMPUTED_VALUE"""),"")</f>
        <v/>
      </c>
      <c r="X548" s="36"/>
      <c r="Y548" s="36"/>
      <c r="Z548" s="36"/>
    </row>
    <row r="549" spans="1:26" ht="12.75" hidden="1">
      <c r="A549" s="36" t="str">
        <f ca="1">IFERROR(__xludf.DUMMYFUNCTION("""COMPUTED_VALUE"""),"")</f>
        <v/>
      </c>
      <c r="B549" s="36" t="str">
        <f ca="1">IFERROR(__xludf.DUMMYFUNCTION("""COMPUTED_VALUE"""),"")</f>
        <v/>
      </c>
      <c r="C549" s="36" t="str">
        <f ca="1">IFERROR(__xludf.DUMMYFUNCTION("""COMPUTED_VALUE"""),"")</f>
        <v/>
      </c>
      <c r="D549" s="36" t="str">
        <f ca="1">IFERROR(__xludf.DUMMYFUNCTION("""COMPUTED_VALUE"""),"")</f>
        <v/>
      </c>
      <c r="E549" s="36" t="str">
        <f ca="1">IFERROR(__xludf.DUMMYFUNCTION("""COMPUTED_VALUE"""),"")</f>
        <v/>
      </c>
      <c r="F549" s="36" t="str">
        <f ca="1">IFERROR(__xludf.DUMMYFUNCTION("""COMPUTED_VALUE"""),"")</f>
        <v/>
      </c>
      <c r="G549" s="36" t="str">
        <f ca="1">IFERROR(__xludf.DUMMYFUNCTION("""COMPUTED_VALUE"""),"")</f>
        <v/>
      </c>
      <c r="H549" s="36" t="str">
        <f ca="1">IFERROR(__xludf.DUMMYFUNCTION("""COMPUTED_VALUE"""),"")</f>
        <v/>
      </c>
      <c r="I549" s="36" t="str">
        <f ca="1">IFERROR(__xludf.DUMMYFUNCTION("""COMPUTED_VALUE"""),"")</f>
        <v/>
      </c>
      <c r="J549" s="36" t="str">
        <f ca="1">IFERROR(__xludf.DUMMYFUNCTION("""COMPUTED_VALUE"""),"")</f>
        <v/>
      </c>
      <c r="K549" s="36" t="str">
        <f ca="1">IFERROR(__xludf.DUMMYFUNCTION("""COMPUTED_VALUE"""),"")</f>
        <v/>
      </c>
      <c r="L549" s="36" t="str">
        <f ca="1">IFERROR(__xludf.DUMMYFUNCTION("""COMPUTED_VALUE"""),"")</f>
        <v/>
      </c>
      <c r="M549" s="36" t="str">
        <f ca="1">IFERROR(__xludf.DUMMYFUNCTION("""COMPUTED_VALUE"""),"")</f>
        <v/>
      </c>
      <c r="N549" s="36" t="str">
        <f ca="1">IFERROR(__xludf.DUMMYFUNCTION("""COMPUTED_VALUE"""),"")</f>
        <v/>
      </c>
      <c r="O549" s="36" t="str">
        <f ca="1">IFERROR(__xludf.DUMMYFUNCTION("""COMPUTED_VALUE"""),"")</f>
        <v/>
      </c>
      <c r="P549" s="36" t="str">
        <f ca="1">IFERROR(__xludf.DUMMYFUNCTION("""COMPUTED_VALUE"""),"")</f>
        <v/>
      </c>
      <c r="Q549" s="36" t="str">
        <f ca="1">IFERROR(__xludf.DUMMYFUNCTION("""COMPUTED_VALUE"""),"")</f>
        <v/>
      </c>
      <c r="R549" s="36" t="str">
        <f ca="1">IFERROR(__xludf.DUMMYFUNCTION("""COMPUTED_VALUE"""),"")</f>
        <v/>
      </c>
      <c r="S549" s="36" t="str">
        <f ca="1">IFERROR(__xludf.DUMMYFUNCTION("""COMPUTED_VALUE"""),"")</f>
        <v/>
      </c>
      <c r="T549" s="36" t="str">
        <f ca="1">IFERROR(__xludf.DUMMYFUNCTION("""COMPUTED_VALUE"""),"")</f>
        <v/>
      </c>
      <c r="U549" s="36" t="str">
        <f ca="1">IFERROR(__xludf.DUMMYFUNCTION("""COMPUTED_VALUE"""),"")</f>
        <v/>
      </c>
      <c r="V549" s="36" t="str">
        <f ca="1">IFERROR(__xludf.DUMMYFUNCTION("""COMPUTED_VALUE"""),"")</f>
        <v/>
      </c>
      <c r="W549" s="36" t="str">
        <f ca="1">IFERROR(__xludf.DUMMYFUNCTION("""COMPUTED_VALUE"""),"")</f>
        <v/>
      </c>
      <c r="X549" s="36"/>
      <c r="Y549" s="36"/>
      <c r="Z549" s="36"/>
    </row>
    <row r="550" spans="1:26" ht="12.75" hidden="1">
      <c r="A550" s="36" t="str">
        <f ca="1">IFERROR(__xludf.DUMMYFUNCTION("""COMPUTED_VALUE"""),"")</f>
        <v/>
      </c>
      <c r="B550" s="36" t="str">
        <f ca="1">IFERROR(__xludf.DUMMYFUNCTION("""COMPUTED_VALUE"""),"")</f>
        <v/>
      </c>
      <c r="C550" s="36" t="str">
        <f ca="1">IFERROR(__xludf.DUMMYFUNCTION("""COMPUTED_VALUE"""),"")</f>
        <v/>
      </c>
      <c r="D550" s="36" t="str">
        <f ca="1">IFERROR(__xludf.DUMMYFUNCTION("""COMPUTED_VALUE"""),"")</f>
        <v/>
      </c>
      <c r="E550" s="36" t="str">
        <f ca="1">IFERROR(__xludf.DUMMYFUNCTION("""COMPUTED_VALUE"""),"")</f>
        <v/>
      </c>
      <c r="F550" s="36" t="str">
        <f ca="1">IFERROR(__xludf.DUMMYFUNCTION("""COMPUTED_VALUE"""),"")</f>
        <v/>
      </c>
      <c r="G550" s="36" t="str">
        <f ca="1">IFERROR(__xludf.DUMMYFUNCTION("""COMPUTED_VALUE"""),"")</f>
        <v/>
      </c>
      <c r="H550" s="36" t="str">
        <f ca="1">IFERROR(__xludf.DUMMYFUNCTION("""COMPUTED_VALUE"""),"")</f>
        <v/>
      </c>
      <c r="I550" s="36" t="str">
        <f ca="1">IFERROR(__xludf.DUMMYFUNCTION("""COMPUTED_VALUE"""),"")</f>
        <v/>
      </c>
      <c r="J550" s="36" t="str">
        <f ca="1">IFERROR(__xludf.DUMMYFUNCTION("""COMPUTED_VALUE"""),"")</f>
        <v/>
      </c>
      <c r="K550" s="36" t="str">
        <f ca="1">IFERROR(__xludf.DUMMYFUNCTION("""COMPUTED_VALUE"""),"")</f>
        <v/>
      </c>
      <c r="L550" s="36" t="str">
        <f ca="1">IFERROR(__xludf.DUMMYFUNCTION("""COMPUTED_VALUE"""),"")</f>
        <v/>
      </c>
      <c r="M550" s="36" t="str">
        <f ca="1">IFERROR(__xludf.DUMMYFUNCTION("""COMPUTED_VALUE"""),"")</f>
        <v/>
      </c>
      <c r="N550" s="36" t="str">
        <f ca="1">IFERROR(__xludf.DUMMYFUNCTION("""COMPUTED_VALUE"""),"")</f>
        <v/>
      </c>
      <c r="O550" s="36" t="str">
        <f ca="1">IFERROR(__xludf.DUMMYFUNCTION("""COMPUTED_VALUE"""),"")</f>
        <v/>
      </c>
      <c r="P550" s="36" t="str">
        <f ca="1">IFERROR(__xludf.DUMMYFUNCTION("""COMPUTED_VALUE"""),"")</f>
        <v/>
      </c>
      <c r="Q550" s="36" t="str">
        <f ca="1">IFERROR(__xludf.DUMMYFUNCTION("""COMPUTED_VALUE"""),"")</f>
        <v/>
      </c>
      <c r="R550" s="36" t="str">
        <f ca="1">IFERROR(__xludf.DUMMYFUNCTION("""COMPUTED_VALUE"""),"")</f>
        <v/>
      </c>
      <c r="S550" s="36" t="str">
        <f ca="1">IFERROR(__xludf.DUMMYFUNCTION("""COMPUTED_VALUE"""),"")</f>
        <v/>
      </c>
      <c r="T550" s="36" t="str">
        <f ca="1">IFERROR(__xludf.DUMMYFUNCTION("""COMPUTED_VALUE"""),"")</f>
        <v/>
      </c>
      <c r="U550" s="36" t="str">
        <f ca="1">IFERROR(__xludf.DUMMYFUNCTION("""COMPUTED_VALUE"""),"")</f>
        <v/>
      </c>
      <c r="V550" s="36" t="str">
        <f ca="1">IFERROR(__xludf.DUMMYFUNCTION("""COMPUTED_VALUE"""),"")</f>
        <v/>
      </c>
      <c r="W550" s="36" t="str">
        <f ca="1">IFERROR(__xludf.DUMMYFUNCTION("""COMPUTED_VALUE"""),"")</f>
        <v/>
      </c>
      <c r="X550" s="36"/>
      <c r="Y550" s="36"/>
      <c r="Z550" s="36"/>
    </row>
    <row r="551" spans="1:26" ht="12.75" hidden="1">
      <c r="A551" s="36" t="str">
        <f ca="1">IFERROR(__xludf.DUMMYFUNCTION("""COMPUTED_VALUE"""),"")</f>
        <v/>
      </c>
      <c r="B551" s="36" t="str">
        <f ca="1">IFERROR(__xludf.DUMMYFUNCTION("""COMPUTED_VALUE"""),"")</f>
        <v/>
      </c>
      <c r="C551" s="36" t="str">
        <f ca="1">IFERROR(__xludf.DUMMYFUNCTION("""COMPUTED_VALUE"""),"")</f>
        <v/>
      </c>
      <c r="D551" s="36" t="str">
        <f ca="1">IFERROR(__xludf.DUMMYFUNCTION("""COMPUTED_VALUE"""),"")</f>
        <v/>
      </c>
      <c r="E551" s="36" t="str">
        <f ca="1">IFERROR(__xludf.DUMMYFUNCTION("""COMPUTED_VALUE"""),"")</f>
        <v/>
      </c>
      <c r="F551" s="36" t="str">
        <f ca="1">IFERROR(__xludf.DUMMYFUNCTION("""COMPUTED_VALUE"""),"")</f>
        <v/>
      </c>
      <c r="G551" s="36" t="str">
        <f ca="1">IFERROR(__xludf.DUMMYFUNCTION("""COMPUTED_VALUE"""),"")</f>
        <v/>
      </c>
      <c r="H551" s="36" t="str">
        <f ca="1">IFERROR(__xludf.DUMMYFUNCTION("""COMPUTED_VALUE"""),"")</f>
        <v/>
      </c>
      <c r="I551" s="36" t="str">
        <f ca="1">IFERROR(__xludf.DUMMYFUNCTION("""COMPUTED_VALUE"""),"")</f>
        <v/>
      </c>
      <c r="J551" s="36" t="str">
        <f ca="1">IFERROR(__xludf.DUMMYFUNCTION("""COMPUTED_VALUE"""),"")</f>
        <v/>
      </c>
      <c r="K551" s="36" t="str">
        <f ca="1">IFERROR(__xludf.DUMMYFUNCTION("""COMPUTED_VALUE"""),"")</f>
        <v/>
      </c>
      <c r="L551" s="36" t="str">
        <f ca="1">IFERROR(__xludf.DUMMYFUNCTION("""COMPUTED_VALUE"""),"")</f>
        <v/>
      </c>
      <c r="M551" s="36" t="str">
        <f ca="1">IFERROR(__xludf.DUMMYFUNCTION("""COMPUTED_VALUE"""),"")</f>
        <v/>
      </c>
      <c r="N551" s="36" t="str">
        <f ca="1">IFERROR(__xludf.DUMMYFUNCTION("""COMPUTED_VALUE"""),"")</f>
        <v/>
      </c>
      <c r="O551" s="36" t="str">
        <f ca="1">IFERROR(__xludf.DUMMYFUNCTION("""COMPUTED_VALUE"""),"")</f>
        <v/>
      </c>
      <c r="P551" s="36" t="str">
        <f ca="1">IFERROR(__xludf.DUMMYFUNCTION("""COMPUTED_VALUE"""),"")</f>
        <v/>
      </c>
      <c r="Q551" s="36" t="str">
        <f ca="1">IFERROR(__xludf.DUMMYFUNCTION("""COMPUTED_VALUE"""),"")</f>
        <v/>
      </c>
      <c r="R551" s="36" t="str">
        <f ca="1">IFERROR(__xludf.DUMMYFUNCTION("""COMPUTED_VALUE"""),"")</f>
        <v/>
      </c>
      <c r="S551" s="36" t="str">
        <f ca="1">IFERROR(__xludf.DUMMYFUNCTION("""COMPUTED_VALUE"""),"")</f>
        <v/>
      </c>
      <c r="T551" s="36" t="str">
        <f ca="1">IFERROR(__xludf.DUMMYFUNCTION("""COMPUTED_VALUE"""),"")</f>
        <v/>
      </c>
      <c r="U551" s="36" t="str">
        <f ca="1">IFERROR(__xludf.DUMMYFUNCTION("""COMPUTED_VALUE"""),"")</f>
        <v/>
      </c>
      <c r="V551" s="36" t="str">
        <f ca="1">IFERROR(__xludf.DUMMYFUNCTION("""COMPUTED_VALUE"""),"")</f>
        <v/>
      </c>
      <c r="W551" s="36" t="str">
        <f ca="1">IFERROR(__xludf.DUMMYFUNCTION("""COMPUTED_VALUE"""),"")</f>
        <v/>
      </c>
      <c r="X551" s="36"/>
      <c r="Y551" s="36"/>
      <c r="Z551" s="36"/>
    </row>
    <row r="552" spans="1:26" ht="12.75" hidden="1">
      <c r="A552" s="36" t="str">
        <f ca="1">IFERROR(__xludf.DUMMYFUNCTION("""COMPUTED_VALUE"""),"")</f>
        <v/>
      </c>
      <c r="B552" s="36" t="str">
        <f ca="1">IFERROR(__xludf.DUMMYFUNCTION("""COMPUTED_VALUE"""),"")</f>
        <v/>
      </c>
      <c r="C552" s="36" t="str">
        <f ca="1">IFERROR(__xludf.DUMMYFUNCTION("""COMPUTED_VALUE"""),"")</f>
        <v/>
      </c>
      <c r="D552" s="36" t="str">
        <f ca="1">IFERROR(__xludf.DUMMYFUNCTION("""COMPUTED_VALUE"""),"")</f>
        <v/>
      </c>
      <c r="E552" s="36" t="str">
        <f ca="1">IFERROR(__xludf.DUMMYFUNCTION("""COMPUTED_VALUE"""),"")</f>
        <v/>
      </c>
      <c r="F552" s="36" t="str">
        <f ca="1">IFERROR(__xludf.DUMMYFUNCTION("""COMPUTED_VALUE"""),"")</f>
        <v/>
      </c>
      <c r="G552" s="36" t="str">
        <f ca="1">IFERROR(__xludf.DUMMYFUNCTION("""COMPUTED_VALUE"""),"")</f>
        <v/>
      </c>
      <c r="H552" s="36" t="str">
        <f ca="1">IFERROR(__xludf.DUMMYFUNCTION("""COMPUTED_VALUE"""),"")</f>
        <v/>
      </c>
      <c r="I552" s="36" t="str">
        <f ca="1">IFERROR(__xludf.DUMMYFUNCTION("""COMPUTED_VALUE"""),"")</f>
        <v/>
      </c>
      <c r="J552" s="36" t="str">
        <f ca="1">IFERROR(__xludf.DUMMYFUNCTION("""COMPUTED_VALUE"""),"")</f>
        <v/>
      </c>
      <c r="K552" s="36" t="str">
        <f ca="1">IFERROR(__xludf.DUMMYFUNCTION("""COMPUTED_VALUE"""),"")</f>
        <v/>
      </c>
      <c r="L552" s="36" t="str">
        <f ca="1">IFERROR(__xludf.DUMMYFUNCTION("""COMPUTED_VALUE"""),"")</f>
        <v/>
      </c>
      <c r="M552" s="36" t="str">
        <f ca="1">IFERROR(__xludf.DUMMYFUNCTION("""COMPUTED_VALUE"""),"")</f>
        <v/>
      </c>
      <c r="N552" s="36" t="str">
        <f ca="1">IFERROR(__xludf.DUMMYFUNCTION("""COMPUTED_VALUE"""),"")</f>
        <v/>
      </c>
      <c r="O552" s="36" t="str">
        <f ca="1">IFERROR(__xludf.DUMMYFUNCTION("""COMPUTED_VALUE"""),"")</f>
        <v/>
      </c>
      <c r="P552" s="36" t="str">
        <f ca="1">IFERROR(__xludf.DUMMYFUNCTION("""COMPUTED_VALUE"""),"")</f>
        <v/>
      </c>
      <c r="Q552" s="36" t="str">
        <f ca="1">IFERROR(__xludf.DUMMYFUNCTION("""COMPUTED_VALUE"""),"")</f>
        <v/>
      </c>
      <c r="R552" s="36" t="str">
        <f ca="1">IFERROR(__xludf.DUMMYFUNCTION("""COMPUTED_VALUE"""),"")</f>
        <v/>
      </c>
      <c r="S552" s="36" t="str">
        <f ca="1">IFERROR(__xludf.DUMMYFUNCTION("""COMPUTED_VALUE"""),"")</f>
        <v/>
      </c>
      <c r="T552" s="36" t="str">
        <f ca="1">IFERROR(__xludf.DUMMYFUNCTION("""COMPUTED_VALUE"""),"")</f>
        <v/>
      </c>
      <c r="U552" s="36" t="str">
        <f ca="1">IFERROR(__xludf.DUMMYFUNCTION("""COMPUTED_VALUE"""),"")</f>
        <v/>
      </c>
      <c r="V552" s="36" t="str">
        <f ca="1">IFERROR(__xludf.DUMMYFUNCTION("""COMPUTED_VALUE"""),"")</f>
        <v/>
      </c>
      <c r="W552" s="36" t="str">
        <f ca="1">IFERROR(__xludf.DUMMYFUNCTION("""COMPUTED_VALUE"""),"")</f>
        <v/>
      </c>
      <c r="X552" s="36"/>
      <c r="Y552" s="36"/>
      <c r="Z552" s="36"/>
    </row>
    <row r="553" spans="1:26" ht="12.75" hidden="1">
      <c r="A553" s="36" t="str">
        <f ca="1">IFERROR(__xludf.DUMMYFUNCTION("""COMPUTED_VALUE"""),"")</f>
        <v/>
      </c>
      <c r="B553" s="36" t="str">
        <f ca="1">IFERROR(__xludf.DUMMYFUNCTION("""COMPUTED_VALUE"""),"")</f>
        <v/>
      </c>
      <c r="C553" s="36" t="str">
        <f ca="1">IFERROR(__xludf.DUMMYFUNCTION("""COMPUTED_VALUE"""),"")</f>
        <v/>
      </c>
      <c r="D553" s="36" t="str">
        <f ca="1">IFERROR(__xludf.DUMMYFUNCTION("""COMPUTED_VALUE"""),"")</f>
        <v/>
      </c>
      <c r="E553" s="36" t="str">
        <f ca="1">IFERROR(__xludf.DUMMYFUNCTION("""COMPUTED_VALUE"""),"")</f>
        <v/>
      </c>
      <c r="F553" s="36" t="str">
        <f ca="1">IFERROR(__xludf.DUMMYFUNCTION("""COMPUTED_VALUE"""),"")</f>
        <v/>
      </c>
      <c r="G553" s="36" t="str">
        <f ca="1">IFERROR(__xludf.DUMMYFUNCTION("""COMPUTED_VALUE"""),"")</f>
        <v/>
      </c>
      <c r="H553" s="36" t="str">
        <f ca="1">IFERROR(__xludf.DUMMYFUNCTION("""COMPUTED_VALUE"""),"")</f>
        <v/>
      </c>
      <c r="I553" s="36" t="str">
        <f ca="1">IFERROR(__xludf.DUMMYFUNCTION("""COMPUTED_VALUE"""),"")</f>
        <v/>
      </c>
      <c r="J553" s="36" t="str">
        <f ca="1">IFERROR(__xludf.DUMMYFUNCTION("""COMPUTED_VALUE"""),"")</f>
        <v/>
      </c>
      <c r="K553" s="36" t="str">
        <f ca="1">IFERROR(__xludf.DUMMYFUNCTION("""COMPUTED_VALUE"""),"")</f>
        <v/>
      </c>
      <c r="L553" s="36" t="str">
        <f ca="1">IFERROR(__xludf.DUMMYFUNCTION("""COMPUTED_VALUE"""),"")</f>
        <v/>
      </c>
      <c r="M553" s="36" t="str">
        <f ca="1">IFERROR(__xludf.DUMMYFUNCTION("""COMPUTED_VALUE"""),"")</f>
        <v/>
      </c>
      <c r="N553" s="36" t="str">
        <f ca="1">IFERROR(__xludf.DUMMYFUNCTION("""COMPUTED_VALUE"""),"")</f>
        <v/>
      </c>
      <c r="O553" s="36" t="str">
        <f ca="1">IFERROR(__xludf.DUMMYFUNCTION("""COMPUTED_VALUE"""),"")</f>
        <v/>
      </c>
      <c r="P553" s="36" t="str">
        <f ca="1">IFERROR(__xludf.DUMMYFUNCTION("""COMPUTED_VALUE"""),"")</f>
        <v/>
      </c>
      <c r="Q553" s="36" t="str">
        <f ca="1">IFERROR(__xludf.DUMMYFUNCTION("""COMPUTED_VALUE"""),"")</f>
        <v/>
      </c>
      <c r="R553" s="36" t="str">
        <f ca="1">IFERROR(__xludf.DUMMYFUNCTION("""COMPUTED_VALUE"""),"")</f>
        <v/>
      </c>
      <c r="S553" s="36" t="str">
        <f ca="1">IFERROR(__xludf.DUMMYFUNCTION("""COMPUTED_VALUE"""),"")</f>
        <v/>
      </c>
      <c r="T553" s="36" t="str">
        <f ca="1">IFERROR(__xludf.DUMMYFUNCTION("""COMPUTED_VALUE"""),"")</f>
        <v/>
      </c>
      <c r="U553" s="36" t="str">
        <f ca="1">IFERROR(__xludf.DUMMYFUNCTION("""COMPUTED_VALUE"""),"")</f>
        <v/>
      </c>
      <c r="V553" s="36" t="str">
        <f ca="1">IFERROR(__xludf.DUMMYFUNCTION("""COMPUTED_VALUE"""),"")</f>
        <v/>
      </c>
      <c r="W553" s="36" t="str">
        <f ca="1">IFERROR(__xludf.DUMMYFUNCTION("""COMPUTED_VALUE"""),"")</f>
        <v/>
      </c>
      <c r="X553" s="36"/>
      <c r="Y553" s="36"/>
      <c r="Z553" s="36"/>
    </row>
    <row r="554" spans="1:26" ht="12.75" hidden="1">
      <c r="A554" s="36" t="str">
        <f ca="1">IFERROR(__xludf.DUMMYFUNCTION("""COMPUTED_VALUE"""),"")</f>
        <v/>
      </c>
      <c r="B554" s="36" t="str">
        <f ca="1">IFERROR(__xludf.DUMMYFUNCTION("""COMPUTED_VALUE"""),"")</f>
        <v/>
      </c>
      <c r="C554" s="36" t="str">
        <f ca="1">IFERROR(__xludf.DUMMYFUNCTION("""COMPUTED_VALUE"""),"")</f>
        <v/>
      </c>
      <c r="D554" s="36" t="str">
        <f ca="1">IFERROR(__xludf.DUMMYFUNCTION("""COMPUTED_VALUE"""),"")</f>
        <v/>
      </c>
      <c r="E554" s="36" t="str">
        <f ca="1">IFERROR(__xludf.DUMMYFUNCTION("""COMPUTED_VALUE"""),"")</f>
        <v/>
      </c>
      <c r="F554" s="36" t="str">
        <f ca="1">IFERROR(__xludf.DUMMYFUNCTION("""COMPUTED_VALUE"""),"")</f>
        <v/>
      </c>
      <c r="G554" s="36" t="str">
        <f ca="1">IFERROR(__xludf.DUMMYFUNCTION("""COMPUTED_VALUE"""),"")</f>
        <v/>
      </c>
      <c r="H554" s="36" t="str">
        <f ca="1">IFERROR(__xludf.DUMMYFUNCTION("""COMPUTED_VALUE"""),"")</f>
        <v/>
      </c>
      <c r="I554" s="36" t="str">
        <f ca="1">IFERROR(__xludf.DUMMYFUNCTION("""COMPUTED_VALUE"""),"")</f>
        <v/>
      </c>
      <c r="J554" s="36" t="str">
        <f ca="1">IFERROR(__xludf.DUMMYFUNCTION("""COMPUTED_VALUE"""),"")</f>
        <v/>
      </c>
      <c r="K554" s="36" t="str">
        <f ca="1">IFERROR(__xludf.DUMMYFUNCTION("""COMPUTED_VALUE"""),"")</f>
        <v/>
      </c>
      <c r="L554" s="36" t="str">
        <f ca="1">IFERROR(__xludf.DUMMYFUNCTION("""COMPUTED_VALUE"""),"")</f>
        <v/>
      </c>
      <c r="M554" s="36" t="str">
        <f ca="1">IFERROR(__xludf.DUMMYFUNCTION("""COMPUTED_VALUE"""),"")</f>
        <v/>
      </c>
      <c r="N554" s="36" t="str">
        <f ca="1">IFERROR(__xludf.DUMMYFUNCTION("""COMPUTED_VALUE"""),"")</f>
        <v/>
      </c>
      <c r="O554" s="36" t="str">
        <f ca="1">IFERROR(__xludf.DUMMYFUNCTION("""COMPUTED_VALUE"""),"")</f>
        <v/>
      </c>
      <c r="P554" s="36" t="str">
        <f ca="1">IFERROR(__xludf.DUMMYFUNCTION("""COMPUTED_VALUE"""),"")</f>
        <v/>
      </c>
      <c r="Q554" s="36" t="str">
        <f ca="1">IFERROR(__xludf.DUMMYFUNCTION("""COMPUTED_VALUE"""),"")</f>
        <v/>
      </c>
      <c r="R554" s="36" t="str">
        <f ca="1">IFERROR(__xludf.DUMMYFUNCTION("""COMPUTED_VALUE"""),"")</f>
        <v/>
      </c>
      <c r="S554" s="36" t="str">
        <f ca="1">IFERROR(__xludf.DUMMYFUNCTION("""COMPUTED_VALUE"""),"")</f>
        <v/>
      </c>
      <c r="T554" s="36" t="str">
        <f ca="1">IFERROR(__xludf.DUMMYFUNCTION("""COMPUTED_VALUE"""),"")</f>
        <v/>
      </c>
      <c r="U554" s="36" t="str">
        <f ca="1">IFERROR(__xludf.DUMMYFUNCTION("""COMPUTED_VALUE"""),"")</f>
        <v/>
      </c>
      <c r="V554" s="36" t="str">
        <f ca="1">IFERROR(__xludf.DUMMYFUNCTION("""COMPUTED_VALUE"""),"")</f>
        <v/>
      </c>
      <c r="W554" s="36" t="str">
        <f ca="1">IFERROR(__xludf.DUMMYFUNCTION("""COMPUTED_VALUE"""),"")</f>
        <v/>
      </c>
      <c r="X554" s="36"/>
      <c r="Y554" s="36"/>
      <c r="Z554" s="36"/>
    </row>
    <row r="555" spans="1:26" ht="12.75" hidden="1">
      <c r="A555" s="36" t="str">
        <f ca="1">IFERROR(__xludf.DUMMYFUNCTION("""COMPUTED_VALUE"""),"")</f>
        <v/>
      </c>
      <c r="B555" s="36" t="str">
        <f ca="1">IFERROR(__xludf.DUMMYFUNCTION("""COMPUTED_VALUE"""),"")</f>
        <v/>
      </c>
      <c r="C555" s="36" t="str">
        <f ca="1">IFERROR(__xludf.DUMMYFUNCTION("""COMPUTED_VALUE"""),"")</f>
        <v/>
      </c>
      <c r="D555" s="36" t="str">
        <f ca="1">IFERROR(__xludf.DUMMYFUNCTION("""COMPUTED_VALUE"""),"")</f>
        <v/>
      </c>
      <c r="E555" s="36" t="str">
        <f ca="1">IFERROR(__xludf.DUMMYFUNCTION("""COMPUTED_VALUE"""),"")</f>
        <v/>
      </c>
      <c r="F555" s="36" t="str">
        <f ca="1">IFERROR(__xludf.DUMMYFUNCTION("""COMPUTED_VALUE"""),"")</f>
        <v/>
      </c>
      <c r="G555" s="36" t="str">
        <f ca="1">IFERROR(__xludf.DUMMYFUNCTION("""COMPUTED_VALUE"""),"")</f>
        <v/>
      </c>
      <c r="H555" s="36" t="str">
        <f ca="1">IFERROR(__xludf.DUMMYFUNCTION("""COMPUTED_VALUE"""),"")</f>
        <v/>
      </c>
      <c r="I555" s="36" t="str">
        <f ca="1">IFERROR(__xludf.DUMMYFUNCTION("""COMPUTED_VALUE"""),"")</f>
        <v/>
      </c>
      <c r="J555" s="36" t="str">
        <f ca="1">IFERROR(__xludf.DUMMYFUNCTION("""COMPUTED_VALUE"""),"")</f>
        <v/>
      </c>
      <c r="K555" s="36" t="str">
        <f ca="1">IFERROR(__xludf.DUMMYFUNCTION("""COMPUTED_VALUE"""),"")</f>
        <v/>
      </c>
      <c r="L555" s="36" t="str">
        <f ca="1">IFERROR(__xludf.DUMMYFUNCTION("""COMPUTED_VALUE"""),"")</f>
        <v/>
      </c>
      <c r="M555" s="36" t="str">
        <f ca="1">IFERROR(__xludf.DUMMYFUNCTION("""COMPUTED_VALUE"""),"")</f>
        <v/>
      </c>
      <c r="N555" s="36" t="str">
        <f ca="1">IFERROR(__xludf.DUMMYFUNCTION("""COMPUTED_VALUE"""),"")</f>
        <v/>
      </c>
      <c r="O555" s="36" t="str">
        <f ca="1">IFERROR(__xludf.DUMMYFUNCTION("""COMPUTED_VALUE"""),"")</f>
        <v/>
      </c>
      <c r="P555" s="36" t="str">
        <f ca="1">IFERROR(__xludf.DUMMYFUNCTION("""COMPUTED_VALUE"""),"")</f>
        <v/>
      </c>
      <c r="Q555" s="36" t="str">
        <f ca="1">IFERROR(__xludf.DUMMYFUNCTION("""COMPUTED_VALUE"""),"")</f>
        <v/>
      </c>
      <c r="R555" s="36" t="str">
        <f ca="1">IFERROR(__xludf.DUMMYFUNCTION("""COMPUTED_VALUE"""),"")</f>
        <v/>
      </c>
      <c r="S555" s="36" t="str">
        <f ca="1">IFERROR(__xludf.DUMMYFUNCTION("""COMPUTED_VALUE"""),"")</f>
        <v/>
      </c>
      <c r="T555" s="36" t="str">
        <f ca="1">IFERROR(__xludf.DUMMYFUNCTION("""COMPUTED_VALUE"""),"")</f>
        <v/>
      </c>
      <c r="U555" s="36" t="str">
        <f ca="1">IFERROR(__xludf.DUMMYFUNCTION("""COMPUTED_VALUE"""),"")</f>
        <v/>
      </c>
      <c r="V555" s="36" t="str">
        <f ca="1">IFERROR(__xludf.DUMMYFUNCTION("""COMPUTED_VALUE"""),"")</f>
        <v/>
      </c>
      <c r="W555" s="36" t="str">
        <f ca="1">IFERROR(__xludf.DUMMYFUNCTION("""COMPUTED_VALUE"""),"")</f>
        <v/>
      </c>
      <c r="X555" s="36"/>
      <c r="Y555" s="36"/>
      <c r="Z555" s="36"/>
    </row>
    <row r="556" spans="1:26" ht="12.75" hidden="1">
      <c r="A556" s="36" t="str">
        <f ca="1">IFERROR(__xludf.DUMMYFUNCTION("""COMPUTED_VALUE"""),"")</f>
        <v/>
      </c>
      <c r="B556" s="36" t="str">
        <f ca="1">IFERROR(__xludf.DUMMYFUNCTION("""COMPUTED_VALUE"""),"")</f>
        <v/>
      </c>
      <c r="C556" s="36" t="str">
        <f ca="1">IFERROR(__xludf.DUMMYFUNCTION("""COMPUTED_VALUE"""),"")</f>
        <v/>
      </c>
      <c r="D556" s="36" t="str">
        <f ca="1">IFERROR(__xludf.DUMMYFUNCTION("""COMPUTED_VALUE"""),"")</f>
        <v/>
      </c>
      <c r="E556" s="36" t="str">
        <f ca="1">IFERROR(__xludf.DUMMYFUNCTION("""COMPUTED_VALUE"""),"")</f>
        <v/>
      </c>
      <c r="F556" s="36" t="str">
        <f ca="1">IFERROR(__xludf.DUMMYFUNCTION("""COMPUTED_VALUE"""),"")</f>
        <v/>
      </c>
      <c r="G556" s="36" t="str">
        <f ca="1">IFERROR(__xludf.DUMMYFUNCTION("""COMPUTED_VALUE"""),"")</f>
        <v/>
      </c>
      <c r="H556" s="36" t="str">
        <f ca="1">IFERROR(__xludf.DUMMYFUNCTION("""COMPUTED_VALUE"""),"")</f>
        <v/>
      </c>
      <c r="I556" s="36" t="str">
        <f ca="1">IFERROR(__xludf.DUMMYFUNCTION("""COMPUTED_VALUE"""),"")</f>
        <v/>
      </c>
      <c r="J556" s="36" t="str">
        <f ca="1">IFERROR(__xludf.DUMMYFUNCTION("""COMPUTED_VALUE"""),"")</f>
        <v/>
      </c>
      <c r="K556" s="36" t="str">
        <f ca="1">IFERROR(__xludf.DUMMYFUNCTION("""COMPUTED_VALUE"""),"")</f>
        <v/>
      </c>
      <c r="L556" s="36" t="str">
        <f ca="1">IFERROR(__xludf.DUMMYFUNCTION("""COMPUTED_VALUE"""),"")</f>
        <v/>
      </c>
      <c r="M556" s="36" t="str">
        <f ca="1">IFERROR(__xludf.DUMMYFUNCTION("""COMPUTED_VALUE"""),"")</f>
        <v/>
      </c>
      <c r="N556" s="36" t="str">
        <f ca="1">IFERROR(__xludf.DUMMYFUNCTION("""COMPUTED_VALUE"""),"")</f>
        <v/>
      </c>
      <c r="O556" s="36" t="str">
        <f ca="1">IFERROR(__xludf.DUMMYFUNCTION("""COMPUTED_VALUE"""),"")</f>
        <v/>
      </c>
      <c r="P556" s="36" t="str">
        <f ca="1">IFERROR(__xludf.DUMMYFUNCTION("""COMPUTED_VALUE"""),"")</f>
        <v/>
      </c>
      <c r="Q556" s="36" t="str">
        <f ca="1">IFERROR(__xludf.DUMMYFUNCTION("""COMPUTED_VALUE"""),"")</f>
        <v/>
      </c>
      <c r="R556" s="36" t="str">
        <f ca="1">IFERROR(__xludf.DUMMYFUNCTION("""COMPUTED_VALUE"""),"")</f>
        <v/>
      </c>
      <c r="S556" s="36" t="str">
        <f ca="1">IFERROR(__xludf.DUMMYFUNCTION("""COMPUTED_VALUE"""),"")</f>
        <v/>
      </c>
      <c r="T556" s="36" t="str">
        <f ca="1">IFERROR(__xludf.DUMMYFUNCTION("""COMPUTED_VALUE"""),"")</f>
        <v/>
      </c>
      <c r="U556" s="36" t="str">
        <f ca="1">IFERROR(__xludf.DUMMYFUNCTION("""COMPUTED_VALUE"""),"")</f>
        <v/>
      </c>
      <c r="V556" s="36" t="str">
        <f ca="1">IFERROR(__xludf.DUMMYFUNCTION("""COMPUTED_VALUE"""),"")</f>
        <v/>
      </c>
      <c r="W556" s="36" t="str">
        <f ca="1">IFERROR(__xludf.DUMMYFUNCTION("""COMPUTED_VALUE"""),"")</f>
        <v/>
      </c>
      <c r="X556" s="36"/>
      <c r="Y556" s="36"/>
      <c r="Z556" s="36"/>
    </row>
    <row r="557" spans="1:26" ht="12.75" hidden="1">
      <c r="A557" s="36" t="str">
        <f ca="1">IFERROR(__xludf.DUMMYFUNCTION("""COMPUTED_VALUE"""),"")</f>
        <v/>
      </c>
      <c r="B557" s="36" t="str">
        <f ca="1">IFERROR(__xludf.DUMMYFUNCTION("""COMPUTED_VALUE"""),"")</f>
        <v/>
      </c>
      <c r="C557" s="36" t="str">
        <f ca="1">IFERROR(__xludf.DUMMYFUNCTION("""COMPUTED_VALUE"""),"")</f>
        <v/>
      </c>
      <c r="D557" s="36" t="str">
        <f ca="1">IFERROR(__xludf.DUMMYFUNCTION("""COMPUTED_VALUE"""),"")</f>
        <v/>
      </c>
      <c r="E557" s="36" t="str">
        <f ca="1">IFERROR(__xludf.DUMMYFUNCTION("""COMPUTED_VALUE"""),"")</f>
        <v/>
      </c>
      <c r="F557" s="36" t="str">
        <f ca="1">IFERROR(__xludf.DUMMYFUNCTION("""COMPUTED_VALUE"""),"")</f>
        <v/>
      </c>
      <c r="G557" s="36" t="str">
        <f ca="1">IFERROR(__xludf.DUMMYFUNCTION("""COMPUTED_VALUE"""),"")</f>
        <v/>
      </c>
      <c r="H557" s="36" t="str">
        <f ca="1">IFERROR(__xludf.DUMMYFUNCTION("""COMPUTED_VALUE"""),"")</f>
        <v/>
      </c>
      <c r="I557" s="36" t="str">
        <f ca="1">IFERROR(__xludf.DUMMYFUNCTION("""COMPUTED_VALUE"""),"")</f>
        <v/>
      </c>
      <c r="J557" s="36" t="str">
        <f ca="1">IFERROR(__xludf.DUMMYFUNCTION("""COMPUTED_VALUE"""),"")</f>
        <v/>
      </c>
      <c r="K557" s="36" t="str">
        <f ca="1">IFERROR(__xludf.DUMMYFUNCTION("""COMPUTED_VALUE"""),"")</f>
        <v/>
      </c>
      <c r="L557" s="36" t="str">
        <f ca="1">IFERROR(__xludf.DUMMYFUNCTION("""COMPUTED_VALUE"""),"")</f>
        <v/>
      </c>
      <c r="M557" s="36" t="str">
        <f ca="1">IFERROR(__xludf.DUMMYFUNCTION("""COMPUTED_VALUE"""),"")</f>
        <v/>
      </c>
      <c r="N557" s="36" t="str">
        <f ca="1">IFERROR(__xludf.DUMMYFUNCTION("""COMPUTED_VALUE"""),"")</f>
        <v/>
      </c>
      <c r="O557" s="36" t="str">
        <f ca="1">IFERROR(__xludf.DUMMYFUNCTION("""COMPUTED_VALUE"""),"")</f>
        <v/>
      </c>
      <c r="P557" s="36" t="str">
        <f ca="1">IFERROR(__xludf.DUMMYFUNCTION("""COMPUTED_VALUE"""),"")</f>
        <v/>
      </c>
      <c r="Q557" s="36" t="str">
        <f ca="1">IFERROR(__xludf.DUMMYFUNCTION("""COMPUTED_VALUE"""),"")</f>
        <v/>
      </c>
      <c r="R557" s="36" t="str">
        <f ca="1">IFERROR(__xludf.DUMMYFUNCTION("""COMPUTED_VALUE"""),"")</f>
        <v/>
      </c>
      <c r="S557" s="36" t="str">
        <f ca="1">IFERROR(__xludf.DUMMYFUNCTION("""COMPUTED_VALUE"""),"")</f>
        <v/>
      </c>
      <c r="T557" s="36" t="str">
        <f ca="1">IFERROR(__xludf.DUMMYFUNCTION("""COMPUTED_VALUE"""),"")</f>
        <v/>
      </c>
      <c r="U557" s="36" t="str">
        <f ca="1">IFERROR(__xludf.DUMMYFUNCTION("""COMPUTED_VALUE"""),"")</f>
        <v/>
      </c>
      <c r="V557" s="36" t="str">
        <f ca="1">IFERROR(__xludf.DUMMYFUNCTION("""COMPUTED_VALUE"""),"")</f>
        <v/>
      </c>
      <c r="W557" s="36" t="str">
        <f ca="1">IFERROR(__xludf.DUMMYFUNCTION("""COMPUTED_VALUE"""),"")</f>
        <v/>
      </c>
      <c r="X557" s="36"/>
      <c r="Y557" s="36"/>
      <c r="Z557" s="36"/>
    </row>
    <row r="558" spans="1:26" ht="12.75" hidden="1">
      <c r="A558" s="36" t="str">
        <f ca="1">IFERROR(__xludf.DUMMYFUNCTION("""COMPUTED_VALUE"""),"")</f>
        <v/>
      </c>
      <c r="B558" s="36" t="str">
        <f ca="1">IFERROR(__xludf.DUMMYFUNCTION("""COMPUTED_VALUE"""),"")</f>
        <v/>
      </c>
      <c r="C558" s="36" t="str">
        <f ca="1">IFERROR(__xludf.DUMMYFUNCTION("""COMPUTED_VALUE"""),"")</f>
        <v/>
      </c>
      <c r="D558" s="36" t="str">
        <f ca="1">IFERROR(__xludf.DUMMYFUNCTION("""COMPUTED_VALUE"""),"")</f>
        <v/>
      </c>
      <c r="E558" s="36" t="str">
        <f ca="1">IFERROR(__xludf.DUMMYFUNCTION("""COMPUTED_VALUE"""),"")</f>
        <v/>
      </c>
      <c r="F558" s="36" t="str">
        <f ca="1">IFERROR(__xludf.DUMMYFUNCTION("""COMPUTED_VALUE"""),"")</f>
        <v/>
      </c>
      <c r="G558" s="36" t="str">
        <f ca="1">IFERROR(__xludf.DUMMYFUNCTION("""COMPUTED_VALUE"""),"")</f>
        <v/>
      </c>
      <c r="H558" s="36" t="str">
        <f ca="1">IFERROR(__xludf.DUMMYFUNCTION("""COMPUTED_VALUE"""),"")</f>
        <v/>
      </c>
      <c r="I558" s="36" t="str">
        <f ca="1">IFERROR(__xludf.DUMMYFUNCTION("""COMPUTED_VALUE"""),"")</f>
        <v/>
      </c>
      <c r="J558" s="36" t="str">
        <f ca="1">IFERROR(__xludf.DUMMYFUNCTION("""COMPUTED_VALUE"""),"")</f>
        <v/>
      </c>
      <c r="K558" s="36" t="str">
        <f ca="1">IFERROR(__xludf.DUMMYFUNCTION("""COMPUTED_VALUE"""),"")</f>
        <v/>
      </c>
      <c r="L558" s="36" t="str">
        <f ca="1">IFERROR(__xludf.DUMMYFUNCTION("""COMPUTED_VALUE"""),"")</f>
        <v/>
      </c>
      <c r="M558" s="36" t="str">
        <f ca="1">IFERROR(__xludf.DUMMYFUNCTION("""COMPUTED_VALUE"""),"")</f>
        <v/>
      </c>
      <c r="N558" s="36" t="str">
        <f ca="1">IFERROR(__xludf.DUMMYFUNCTION("""COMPUTED_VALUE"""),"")</f>
        <v/>
      </c>
      <c r="O558" s="36" t="str">
        <f ca="1">IFERROR(__xludf.DUMMYFUNCTION("""COMPUTED_VALUE"""),"")</f>
        <v/>
      </c>
      <c r="P558" s="36" t="str">
        <f ca="1">IFERROR(__xludf.DUMMYFUNCTION("""COMPUTED_VALUE"""),"")</f>
        <v/>
      </c>
      <c r="Q558" s="36" t="str">
        <f ca="1">IFERROR(__xludf.DUMMYFUNCTION("""COMPUTED_VALUE"""),"")</f>
        <v/>
      </c>
      <c r="R558" s="36" t="str">
        <f ca="1">IFERROR(__xludf.DUMMYFUNCTION("""COMPUTED_VALUE"""),"")</f>
        <v/>
      </c>
      <c r="S558" s="36" t="str">
        <f ca="1">IFERROR(__xludf.DUMMYFUNCTION("""COMPUTED_VALUE"""),"")</f>
        <v/>
      </c>
      <c r="T558" s="36" t="str">
        <f ca="1">IFERROR(__xludf.DUMMYFUNCTION("""COMPUTED_VALUE"""),"")</f>
        <v/>
      </c>
      <c r="U558" s="36" t="str">
        <f ca="1">IFERROR(__xludf.DUMMYFUNCTION("""COMPUTED_VALUE"""),"")</f>
        <v/>
      </c>
      <c r="V558" s="36" t="str">
        <f ca="1">IFERROR(__xludf.DUMMYFUNCTION("""COMPUTED_VALUE"""),"")</f>
        <v/>
      </c>
      <c r="W558" s="36" t="str">
        <f ca="1">IFERROR(__xludf.DUMMYFUNCTION("""COMPUTED_VALUE"""),"")</f>
        <v/>
      </c>
      <c r="X558" s="36"/>
      <c r="Y558" s="36"/>
      <c r="Z558" s="36"/>
    </row>
    <row r="559" spans="1:26" ht="12.75" hidden="1">
      <c r="A559" s="36" t="str">
        <f ca="1">IFERROR(__xludf.DUMMYFUNCTION("""COMPUTED_VALUE"""),"")</f>
        <v/>
      </c>
      <c r="B559" s="36" t="str">
        <f ca="1">IFERROR(__xludf.DUMMYFUNCTION("""COMPUTED_VALUE"""),"")</f>
        <v/>
      </c>
      <c r="C559" s="36" t="str">
        <f ca="1">IFERROR(__xludf.DUMMYFUNCTION("""COMPUTED_VALUE"""),"")</f>
        <v/>
      </c>
      <c r="D559" s="36" t="str">
        <f ca="1">IFERROR(__xludf.DUMMYFUNCTION("""COMPUTED_VALUE"""),"")</f>
        <v/>
      </c>
      <c r="E559" s="36" t="str">
        <f ca="1">IFERROR(__xludf.DUMMYFUNCTION("""COMPUTED_VALUE"""),"")</f>
        <v/>
      </c>
      <c r="F559" s="36" t="str">
        <f ca="1">IFERROR(__xludf.DUMMYFUNCTION("""COMPUTED_VALUE"""),"")</f>
        <v/>
      </c>
      <c r="G559" s="36" t="str">
        <f ca="1">IFERROR(__xludf.DUMMYFUNCTION("""COMPUTED_VALUE"""),"")</f>
        <v/>
      </c>
      <c r="H559" s="36" t="str">
        <f ca="1">IFERROR(__xludf.DUMMYFUNCTION("""COMPUTED_VALUE"""),"")</f>
        <v/>
      </c>
      <c r="I559" s="36" t="str">
        <f ca="1">IFERROR(__xludf.DUMMYFUNCTION("""COMPUTED_VALUE"""),"")</f>
        <v/>
      </c>
      <c r="J559" s="36" t="str">
        <f ca="1">IFERROR(__xludf.DUMMYFUNCTION("""COMPUTED_VALUE"""),"")</f>
        <v/>
      </c>
      <c r="K559" s="36" t="str">
        <f ca="1">IFERROR(__xludf.DUMMYFUNCTION("""COMPUTED_VALUE"""),"")</f>
        <v/>
      </c>
      <c r="L559" s="36" t="str">
        <f ca="1">IFERROR(__xludf.DUMMYFUNCTION("""COMPUTED_VALUE"""),"")</f>
        <v/>
      </c>
      <c r="M559" s="36" t="str">
        <f ca="1">IFERROR(__xludf.DUMMYFUNCTION("""COMPUTED_VALUE"""),"")</f>
        <v/>
      </c>
      <c r="N559" s="36" t="str">
        <f ca="1">IFERROR(__xludf.DUMMYFUNCTION("""COMPUTED_VALUE"""),"")</f>
        <v/>
      </c>
      <c r="O559" s="36" t="str">
        <f ca="1">IFERROR(__xludf.DUMMYFUNCTION("""COMPUTED_VALUE"""),"")</f>
        <v/>
      </c>
      <c r="P559" s="36" t="str">
        <f ca="1">IFERROR(__xludf.DUMMYFUNCTION("""COMPUTED_VALUE"""),"")</f>
        <v/>
      </c>
      <c r="Q559" s="36" t="str">
        <f ca="1">IFERROR(__xludf.DUMMYFUNCTION("""COMPUTED_VALUE"""),"")</f>
        <v/>
      </c>
      <c r="R559" s="36" t="str">
        <f ca="1">IFERROR(__xludf.DUMMYFUNCTION("""COMPUTED_VALUE"""),"")</f>
        <v/>
      </c>
      <c r="S559" s="36" t="str">
        <f ca="1">IFERROR(__xludf.DUMMYFUNCTION("""COMPUTED_VALUE"""),"")</f>
        <v/>
      </c>
      <c r="T559" s="36" t="str">
        <f ca="1">IFERROR(__xludf.DUMMYFUNCTION("""COMPUTED_VALUE"""),"")</f>
        <v/>
      </c>
      <c r="U559" s="36" t="str">
        <f ca="1">IFERROR(__xludf.DUMMYFUNCTION("""COMPUTED_VALUE"""),"")</f>
        <v/>
      </c>
      <c r="V559" s="36" t="str">
        <f ca="1">IFERROR(__xludf.DUMMYFUNCTION("""COMPUTED_VALUE"""),"")</f>
        <v/>
      </c>
      <c r="W559" s="36" t="str">
        <f ca="1">IFERROR(__xludf.DUMMYFUNCTION("""COMPUTED_VALUE"""),"")</f>
        <v/>
      </c>
      <c r="X559" s="36"/>
      <c r="Y559" s="36"/>
      <c r="Z559" s="36"/>
    </row>
    <row r="560" spans="1:26" ht="12.75" hidden="1">
      <c r="A560" s="36" t="str">
        <f ca="1">IFERROR(__xludf.DUMMYFUNCTION("""COMPUTED_VALUE"""),"")</f>
        <v/>
      </c>
      <c r="B560" s="36" t="str">
        <f ca="1">IFERROR(__xludf.DUMMYFUNCTION("""COMPUTED_VALUE"""),"")</f>
        <v/>
      </c>
      <c r="C560" s="36" t="str">
        <f ca="1">IFERROR(__xludf.DUMMYFUNCTION("""COMPUTED_VALUE"""),"")</f>
        <v/>
      </c>
      <c r="D560" s="36" t="str">
        <f ca="1">IFERROR(__xludf.DUMMYFUNCTION("""COMPUTED_VALUE"""),"")</f>
        <v/>
      </c>
      <c r="E560" s="36" t="str">
        <f ca="1">IFERROR(__xludf.DUMMYFUNCTION("""COMPUTED_VALUE"""),"")</f>
        <v/>
      </c>
      <c r="F560" s="36" t="str">
        <f ca="1">IFERROR(__xludf.DUMMYFUNCTION("""COMPUTED_VALUE"""),"")</f>
        <v/>
      </c>
      <c r="G560" s="36" t="str">
        <f ca="1">IFERROR(__xludf.DUMMYFUNCTION("""COMPUTED_VALUE"""),"")</f>
        <v/>
      </c>
      <c r="H560" s="36" t="str">
        <f ca="1">IFERROR(__xludf.DUMMYFUNCTION("""COMPUTED_VALUE"""),"")</f>
        <v/>
      </c>
      <c r="I560" s="36" t="str">
        <f ca="1">IFERROR(__xludf.DUMMYFUNCTION("""COMPUTED_VALUE"""),"")</f>
        <v/>
      </c>
      <c r="J560" s="36" t="str">
        <f ca="1">IFERROR(__xludf.DUMMYFUNCTION("""COMPUTED_VALUE"""),"")</f>
        <v/>
      </c>
      <c r="K560" s="36" t="str">
        <f ca="1">IFERROR(__xludf.DUMMYFUNCTION("""COMPUTED_VALUE"""),"")</f>
        <v/>
      </c>
      <c r="L560" s="36" t="str">
        <f ca="1">IFERROR(__xludf.DUMMYFUNCTION("""COMPUTED_VALUE"""),"")</f>
        <v/>
      </c>
      <c r="M560" s="36" t="str">
        <f ca="1">IFERROR(__xludf.DUMMYFUNCTION("""COMPUTED_VALUE"""),"")</f>
        <v/>
      </c>
      <c r="N560" s="36" t="str">
        <f ca="1">IFERROR(__xludf.DUMMYFUNCTION("""COMPUTED_VALUE"""),"")</f>
        <v/>
      </c>
      <c r="O560" s="36" t="str">
        <f ca="1">IFERROR(__xludf.DUMMYFUNCTION("""COMPUTED_VALUE"""),"")</f>
        <v/>
      </c>
      <c r="P560" s="36" t="str">
        <f ca="1">IFERROR(__xludf.DUMMYFUNCTION("""COMPUTED_VALUE"""),"")</f>
        <v/>
      </c>
      <c r="Q560" s="36" t="str">
        <f ca="1">IFERROR(__xludf.DUMMYFUNCTION("""COMPUTED_VALUE"""),"")</f>
        <v/>
      </c>
      <c r="R560" s="36" t="str">
        <f ca="1">IFERROR(__xludf.DUMMYFUNCTION("""COMPUTED_VALUE"""),"")</f>
        <v/>
      </c>
      <c r="S560" s="36" t="str">
        <f ca="1">IFERROR(__xludf.DUMMYFUNCTION("""COMPUTED_VALUE"""),"")</f>
        <v/>
      </c>
      <c r="T560" s="36" t="str">
        <f ca="1">IFERROR(__xludf.DUMMYFUNCTION("""COMPUTED_VALUE"""),"")</f>
        <v/>
      </c>
      <c r="U560" s="36" t="str">
        <f ca="1">IFERROR(__xludf.DUMMYFUNCTION("""COMPUTED_VALUE"""),"")</f>
        <v/>
      </c>
      <c r="V560" s="36" t="str">
        <f ca="1">IFERROR(__xludf.DUMMYFUNCTION("""COMPUTED_VALUE"""),"")</f>
        <v/>
      </c>
      <c r="W560" s="36" t="str">
        <f ca="1">IFERROR(__xludf.DUMMYFUNCTION("""COMPUTED_VALUE"""),"")</f>
        <v/>
      </c>
      <c r="X560" s="36"/>
      <c r="Y560" s="36"/>
      <c r="Z560" s="36"/>
    </row>
    <row r="561" spans="1:26" ht="12.75" hidden="1">
      <c r="A561" s="36" t="str">
        <f ca="1">IFERROR(__xludf.DUMMYFUNCTION("""COMPUTED_VALUE"""),"")</f>
        <v/>
      </c>
      <c r="B561" s="36" t="str">
        <f ca="1">IFERROR(__xludf.DUMMYFUNCTION("""COMPUTED_VALUE"""),"")</f>
        <v/>
      </c>
      <c r="C561" s="36" t="str">
        <f ca="1">IFERROR(__xludf.DUMMYFUNCTION("""COMPUTED_VALUE"""),"")</f>
        <v/>
      </c>
      <c r="D561" s="36" t="str">
        <f ca="1">IFERROR(__xludf.DUMMYFUNCTION("""COMPUTED_VALUE"""),"")</f>
        <v/>
      </c>
      <c r="E561" s="36" t="str">
        <f ca="1">IFERROR(__xludf.DUMMYFUNCTION("""COMPUTED_VALUE"""),"")</f>
        <v/>
      </c>
      <c r="F561" s="36" t="str">
        <f ca="1">IFERROR(__xludf.DUMMYFUNCTION("""COMPUTED_VALUE"""),"")</f>
        <v/>
      </c>
      <c r="G561" s="36" t="str">
        <f ca="1">IFERROR(__xludf.DUMMYFUNCTION("""COMPUTED_VALUE"""),"")</f>
        <v/>
      </c>
      <c r="H561" s="36" t="str">
        <f ca="1">IFERROR(__xludf.DUMMYFUNCTION("""COMPUTED_VALUE"""),"")</f>
        <v/>
      </c>
      <c r="I561" s="36" t="str">
        <f ca="1">IFERROR(__xludf.DUMMYFUNCTION("""COMPUTED_VALUE"""),"")</f>
        <v/>
      </c>
      <c r="J561" s="36" t="str">
        <f ca="1">IFERROR(__xludf.DUMMYFUNCTION("""COMPUTED_VALUE"""),"")</f>
        <v/>
      </c>
      <c r="K561" s="36" t="str">
        <f ca="1">IFERROR(__xludf.DUMMYFUNCTION("""COMPUTED_VALUE"""),"")</f>
        <v/>
      </c>
      <c r="L561" s="36" t="str">
        <f ca="1">IFERROR(__xludf.DUMMYFUNCTION("""COMPUTED_VALUE"""),"")</f>
        <v/>
      </c>
      <c r="M561" s="36" t="str">
        <f ca="1">IFERROR(__xludf.DUMMYFUNCTION("""COMPUTED_VALUE"""),"")</f>
        <v/>
      </c>
      <c r="N561" s="36" t="str">
        <f ca="1">IFERROR(__xludf.DUMMYFUNCTION("""COMPUTED_VALUE"""),"")</f>
        <v/>
      </c>
      <c r="O561" s="36" t="str">
        <f ca="1">IFERROR(__xludf.DUMMYFUNCTION("""COMPUTED_VALUE"""),"")</f>
        <v/>
      </c>
      <c r="P561" s="36" t="str">
        <f ca="1">IFERROR(__xludf.DUMMYFUNCTION("""COMPUTED_VALUE"""),"")</f>
        <v/>
      </c>
      <c r="Q561" s="36" t="str">
        <f ca="1">IFERROR(__xludf.DUMMYFUNCTION("""COMPUTED_VALUE"""),"")</f>
        <v/>
      </c>
      <c r="R561" s="36" t="str">
        <f ca="1">IFERROR(__xludf.DUMMYFUNCTION("""COMPUTED_VALUE"""),"")</f>
        <v/>
      </c>
      <c r="S561" s="36" t="str">
        <f ca="1">IFERROR(__xludf.DUMMYFUNCTION("""COMPUTED_VALUE"""),"")</f>
        <v/>
      </c>
      <c r="T561" s="36" t="str">
        <f ca="1">IFERROR(__xludf.DUMMYFUNCTION("""COMPUTED_VALUE"""),"")</f>
        <v/>
      </c>
      <c r="U561" s="36" t="str">
        <f ca="1">IFERROR(__xludf.DUMMYFUNCTION("""COMPUTED_VALUE"""),"")</f>
        <v/>
      </c>
      <c r="V561" s="36" t="str">
        <f ca="1">IFERROR(__xludf.DUMMYFUNCTION("""COMPUTED_VALUE"""),"")</f>
        <v/>
      </c>
      <c r="W561" s="36" t="str">
        <f ca="1">IFERROR(__xludf.DUMMYFUNCTION("""COMPUTED_VALUE"""),"")</f>
        <v/>
      </c>
      <c r="X561" s="36"/>
      <c r="Y561" s="36"/>
      <c r="Z561" s="36"/>
    </row>
    <row r="562" spans="1:26" ht="12.75" hidden="1">
      <c r="A562" s="36" t="str">
        <f ca="1">IFERROR(__xludf.DUMMYFUNCTION("""COMPUTED_VALUE"""),"")</f>
        <v/>
      </c>
      <c r="B562" s="36" t="str">
        <f ca="1">IFERROR(__xludf.DUMMYFUNCTION("""COMPUTED_VALUE"""),"")</f>
        <v/>
      </c>
      <c r="C562" s="36" t="str">
        <f ca="1">IFERROR(__xludf.DUMMYFUNCTION("""COMPUTED_VALUE"""),"")</f>
        <v/>
      </c>
      <c r="D562" s="36" t="str">
        <f ca="1">IFERROR(__xludf.DUMMYFUNCTION("""COMPUTED_VALUE"""),"")</f>
        <v/>
      </c>
      <c r="E562" s="36" t="str">
        <f ca="1">IFERROR(__xludf.DUMMYFUNCTION("""COMPUTED_VALUE"""),"")</f>
        <v/>
      </c>
      <c r="F562" s="36" t="str">
        <f ca="1">IFERROR(__xludf.DUMMYFUNCTION("""COMPUTED_VALUE"""),"")</f>
        <v/>
      </c>
      <c r="G562" s="36" t="str">
        <f ca="1">IFERROR(__xludf.DUMMYFUNCTION("""COMPUTED_VALUE"""),"")</f>
        <v/>
      </c>
      <c r="H562" s="36" t="str">
        <f ca="1">IFERROR(__xludf.DUMMYFUNCTION("""COMPUTED_VALUE"""),"")</f>
        <v/>
      </c>
      <c r="I562" s="36" t="str">
        <f ca="1">IFERROR(__xludf.DUMMYFUNCTION("""COMPUTED_VALUE"""),"")</f>
        <v/>
      </c>
      <c r="J562" s="36" t="str">
        <f ca="1">IFERROR(__xludf.DUMMYFUNCTION("""COMPUTED_VALUE"""),"")</f>
        <v/>
      </c>
      <c r="K562" s="36" t="str">
        <f ca="1">IFERROR(__xludf.DUMMYFUNCTION("""COMPUTED_VALUE"""),"")</f>
        <v/>
      </c>
      <c r="L562" s="36" t="str">
        <f ca="1">IFERROR(__xludf.DUMMYFUNCTION("""COMPUTED_VALUE"""),"")</f>
        <v/>
      </c>
      <c r="M562" s="36" t="str">
        <f ca="1">IFERROR(__xludf.DUMMYFUNCTION("""COMPUTED_VALUE"""),"")</f>
        <v/>
      </c>
      <c r="N562" s="36" t="str">
        <f ca="1">IFERROR(__xludf.DUMMYFUNCTION("""COMPUTED_VALUE"""),"")</f>
        <v/>
      </c>
      <c r="O562" s="36" t="str">
        <f ca="1">IFERROR(__xludf.DUMMYFUNCTION("""COMPUTED_VALUE"""),"")</f>
        <v/>
      </c>
      <c r="P562" s="36" t="str">
        <f ca="1">IFERROR(__xludf.DUMMYFUNCTION("""COMPUTED_VALUE"""),"")</f>
        <v/>
      </c>
      <c r="Q562" s="36" t="str">
        <f ca="1">IFERROR(__xludf.DUMMYFUNCTION("""COMPUTED_VALUE"""),"")</f>
        <v/>
      </c>
      <c r="R562" s="36" t="str">
        <f ca="1">IFERROR(__xludf.DUMMYFUNCTION("""COMPUTED_VALUE"""),"")</f>
        <v/>
      </c>
      <c r="S562" s="36" t="str">
        <f ca="1">IFERROR(__xludf.DUMMYFUNCTION("""COMPUTED_VALUE"""),"")</f>
        <v/>
      </c>
      <c r="T562" s="36" t="str">
        <f ca="1">IFERROR(__xludf.DUMMYFUNCTION("""COMPUTED_VALUE"""),"")</f>
        <v/>
      </c>
      <c r="U562" s="36" t="str">
        <f ca="1">IFERROR(__xludf.DUMMYFUNCTION("""COMPUTED_VALUE"""),"")</f>
        <v/>
      </c>
      <c r="V562" s="36" t="str">
        <f ca="1">IFERROR(__xludf.DUMMYFUNCTION("""COMPUTED_VALUE"""),"")</f>
        <v/>
      </c>
      <c r="W562" s="36" t="str">
        <f ca="1">IFERROR(__xludf.DUMMYFUNCTION("""COMPUTED_VALUE"""),"")</f>
        <v/>
      </c>
      <c r="X562" s="36"/>
      <c r="Y562" s="36"/>
      <c r="Z562" s="36"/>
    </row>
    <row r="563" spans="1:26" ht="12.75" hidden="1">
      <c r="A563" s="36" t="str">
        <f ca="1">IFERROR(__xludf.DUMMYFUNCTION("""COMPUTED_VALUE"""),"")</f>
        <v/>
      </c>
      <c r="B563" s="36" t="str">
        <f ca="1">IFERROR(__xludf.DUMMYFUNCTION("""COMPUTED_VALUE"""),"")</f>
        <v/>
      </c>
      <c r="C563" s="36" t="str">
        <f ca="1">IFERROR(__xludf.DUMMYFUNCTION("""COMPUTED_VALUE"""),"")</f>
        <v/>
      </c>
      <c r="D563" s="36" t="str">
        <f ca="1">IFERROR(__xludf.DUMMYFUNCTION("""COMPUTED_VALUE"""),"")</f>
        <v/>
      </c>
      <c r="E563" s="36" t="str">
        <f ca="1">IFERROR(__xludf.DUMMYFUNCTION("""COMPUTED_VALUE"""),"")</f>
        <v/>
      </c>
      <c r="F563" s="36" t="str">
        <f ca="1">IFERROR(__xludf.DUMMYFUNCTION("""COMPUTED_VALUE"""),"")</f>
        <v/>
      </c>
      <c r="G563" s="36" t="str">
        <f ca="1">IFERROR(__xludf.DUMMYFUNCTION("""COMPUTED_VALUE"""),"")</f>
        <v/>
      </c>
      <c r="H563" s="36" t="str">
        <f ca="1">IFERROR(__xludf.DUMMYFUNCTION("""COMPUTED_VALUE"""),"")</f>
        <v/>
      </c>
      <c r="I563" s="36" t="str">
        <f ca="1">IFERROR(__xludf.DUMMYFUNCTION("""COMPUTED_VALUE"""),"")</f>
        <v/>
      </c>
      <c r="J563" s="36" t="str">
        <f ca="1">IFERROR(__xludf.DUMMYFUNCTION("""COMPUTED_VALUE"""),"")</f>
        <v/>
      </c>
      <c r="K563" s="36" t="str">
        <f ca="1">IFERROR(__xludf.DUMMYFUNCTION("""COMPUTED_VALUE"""),"")</f>
        <v/>
      </c>
      <c r="L563" s="36" t="str">
        <f ca="1">IFERROR(__xludf.DUMMYFUNCTION("""COMPUTED_VALUE"""),"")</f>
        <v/>
      </c>
      <c r="M563" s="36" t="str">
        <f ca="1">IFERROR(__xludf.DUMMYFUNCTION("""COMPUTED_VALUE"""),"")</f>
        <v/>
      </c>
      <c r="N563" s="36" t="str">
        <f ca="1">IFERROR(__xludf.DUMMYFUNCTION("""COMPUTED_VALUE"""),"")</f>
        <v/>
      </c>
      <c r="O563" s="36" t="str">
        <f ca="1">IFERROR(__xludf.DUMMYFUNCTION("""COMPUTED_VALUE"""),"")</f>
        <v/>
      </c>
      <c r="P563" s="36" t="str">
        <f ca="1">IFERROR(__xludf.DUMMYFUNCTION("""COMPUTED_VALUE"""),"")</f>
        <v/>
      </c>
      <c r="Q563" s="36" t="str">
        <f ca="1">IFERROR(__xludf.DUMMYFUNCTION("""COMPUTED_VALUE"""),"")</f>
        <v/>
      </c>
      <c r="R563" s="36" t="str">
        <f ca="1">IFERROR(__xludf.DUMMYFUNCTION("""COMPUTED_VALUE"""),"")</f>
        <v/>
      </c>
      <c r="S563" s="36" t="str">
        <f ca="1">IFERROR(__xludf.DUMMYFUNCTION("""COMPUTED_VALUE"""),"")</f>
        <v/>
      </c>
      <c r="T563" s="36" t="str">
        <f ca="1">IFERROR(__xludf.DUMMYFUNCTION("""COMPUTED_VALUE"""),"")</f>
        <v/>
      </c>
      <c r="U563" s="36" t="str">
        <f ca="1">IFERROR(__xludf.DUMMYFUNCTION("""COMPUTED_VALUE"""),"")</f>
        <v/>
      </c>
      <c r="V563" s="36" t="str">
        <f ca="1">IFERROR(__xludf.DUMMYFUNCTION("""COMPUTED_VALUE"""),"")</f>
        <v/>
      </c>
      <c r="W563" s="36" t="str">
        <f ca="1">IFERROR(__xludf.DUMMYFUNCTION("""COMPUTED_VALUE"""),"")</f>
        <v/>
      </c>
      <c r="X563" s="36"/>
      <c r="Y563" s="36"/>
      <c r="Z563" s="36"/>
    </row>
    <row r="564" spans="1:26" ht="12.75" hidden="1">
      <c r="A564" s="36" t="str">
        <f ca="1">IFERROR(__xludf.DUMMYFUNCTION("""COMPUTED_VALUE"""),"")</f>
        <v/>
      </c>
      <c r="B564" s="36" t="str">
        <f ca="1">IFERROR(__xludf.DUMMYFUNCTION("""COMPUTED_VALUE"""),"")</f>
        <v/>
      </c>
      <c r="C564" s="36" t="str">
        <f ca="1">IFERROR(__xludf.DUMMYFUNCTION("""COMPUTED_VALUE"""),"")</f>
        <v/>
      </c>
      <c r="D564" s="36" t="str">
        <f ca="1">IFERROR(__xludf.DUMMYFUNCTION("""COMPUTED_VALUE"""),"")</f>
        <v/>
      </c>
      <c r="E564" s="36" t="str">
        <f ca="1">IFERROR(__xludf.DUMMYFUNCTION("""COMPUTED_VALUE"""),"")</f>
        <v/>
      </c>
      <c r="F564" s="36" t="str">
        <f ca="1">IFERROR(__xludf.DUMMYFUNCTION("""COMPUTED_VALUE"""),"")</f>
        <v/>
      </c>
      <c r="G564" s="36" t="str">
        <f ca="1">IFERROR(__xludf.DUMMYFUNCTION("""COMPUTED_VALUE"""),"")</f>
        <v/>
      </c>
      <c r="H564" s="36" t="str">
        <f ca="1">IFERROR(__xludf.DUMMYFUNCTION("""COMPUTED_VALUE"""),"")</f>
        <v/>
      </c>
      <c r="I564" s="36" t="str">
        <f ca="1">IFERROR(__xludf.DUMMYFUNCTION("""COMPUTED_VALUE"""),"")</f>
        <v/>
      </c>
      <c r="J564" s="36" t="str">
        <f ca="1">IFERROR(__xludf.DUMMYFUNCTION("""COMPUTED_VALUE"""),"")</f>
        <v/>
      </c>
      <c r="K564" s="36" t="str">
        <f ca="1">IFERROR(__xludf.DUMMYFUNCTION("""COMPUTED_VALUE"""),"")</f>
        <v/>
      </c>
      <c r="L564" s="36" t="str">
        <f ca="1">IFERROR(__xludf.DUMMYFUNCTION("""COMPUTED_VALUE"""),"")</f>
        <v/>
      </c>
      <c r="M564" s="36" t="str">
        <f ca="1">IFERROR(__xludf.DUMMYFUNCTION("""COMPUTED_VALUE"""),"")</f>
        <v/>
      </c>
      <c r="N564" s="36" t="str">
        <f ca="1">IFERROR(__xludf.DUMMYFUNCTION("""COMPUTED_VALUE"""),"")</f>
        <v/>
      </c>
      <c r="O564" s="36" t="str">
        <f ca="1">IFERROR(__xludf.DUMMYFUNCTION("""COMPUTED_VALUE"""),"")</f>
        <v/>
      </c>
      <c r="P564" s="36" t="str">
        <f ca="1">IFERROR(__xludf.DUMMYFUNCTION("""COMPUTED_VALUE"""),"")</f>
        <v/>
      </c>
      <c r="Q564" s="36" t="str">
        <f ca="1">IFERROR(__xludf.DUMMYFUNCTION("""COMPUTED_VALUE"""),"")</f>
        <v/>
      </c>
      <c r="R564" s="36" t="str">
        <f ca="1">IFERROR(__xludf.DUMMYFUNCTION("""COMPUTED_VALUE"""),"")</f>
        <v/>
      </c>
      <c r="S564" s="36" t="str">
        <f ca="1">IFERROR(__xludf.DUMMYFUNCTION("""COMPUTED_VALUE"""),"")</f>
        <v/>
      </c>
      <c r="T564" s="36" t="str">
        <f ca="1">IFERROR(__xludf.DUMMYFUNCTION("""COMPUTED_VALUE"""),"")</f>
        <v/>
      </c>
      <c r="U564" s="36" t="str">
        <f ca="1">IFERROR(__xludf.DUMMYFUNCTION("""COMPUTED_VALUE"""),"")</f>
        <v/>
      </c>
      <c r="V564" s="36" t="str">
        <f ca="1">IFERROR(__xludf.DUMMYFUNCTION("""COMPUTED_VALUE"""),"")</f>
        <v/>
      </c>
      <c r="W564" s="36" t="str">
        <f ca="1">IFERROR(__xludf.DUMMYFUNCTION("""COMPUTED_VALUE"""),"")</f>
        <v/>
      </c>
      <c r="X564" s="36"/>
      <c r="Y564" s="36"/>
      <c r="Z564" s="36"/>
    </row>
    <row r="565" spans="1:26" ht="12.75" hidden="1">
      <c r="A565" s="36" t="str">
        <f ca="1">IFERROR(__xludf.DUMMYFUNCTION("""COMPUTED_VALUE"""),"")</f>
        <v/>
      </c>
      <c r="B565" s="36" t="str">
        <f ca="1">IFERROR(__xludf.DUMMYFUNCTION("""COMPUTED_VALUE"""),"")</f>
        <v/>
      </c>
      <c r="C565" s="36" t="str">
        <f ca="1">IFERROR(__xludf.DUMMYFUNCTION("""COMPUTED_VALUE"""),"")</f>
        <v/>
      </c>
      <c r="D565" s="36" t="str">
        <f ca="1">IFERROR(__xludf.DUMMYFUNCTION("""COMPUTED_VALUE"""),"")</f>
        <v/>
      </c>
      <c r="E565" s="36" t="str">
        <f ca="1">IFERROR(__xludf.DUMMYFUNCTION("""COMPUTED_VALUE"""),"")</f>
        <v/>
      </c>
      <c r="F565" s="36" t="str">
        <f ca="1">IFERROR(__xludf.DUMMYFUNCTION("""COMPUTED_VALUE"""),"")</f>
        <v/>
      </c>
      <c r="G565" s="36" t="str">
        <f ca="1">IFERROR(__xludf.DUMMYFUNCTION("""COMPUTED_VALUE"""),"")</f>
        <v/>
      </c>
      <c r="H565" s="36" t="str">
        <f ca="1">IFERROR(__xludf.DUMMYFUNCTION("""COMPUTED_VALUE"""),"")</f>
        <v/>
      </c>
      <c r="I565" s="36" t="str">
        <f ca="1">IFERROR(__xludf.DUMMYFUNCTION("""COMPUTED_VALUE"""),"")</f>
        <v/>
      </c>
      <c r="J565" s="36" t="str">
        <f ca="1">IFERROR(__xludf.DUMMYFUNCTION("""COMPUTED_VALUE"""),"")</f>
        <v/>
      </c>
      <c r="K565" s="36" t="str">
        <f ca="1">IFERROR(__xludf.DUMMYFUNCTION("""COMPUTED_VALUE"""),"")</f>
        <v/>
      </c>
      <c r="L565" s="36" t="str">
        <f ca="1">IFERROR(__xludf.DUMMYFUNCTION("""COMPUTED_VALUE"""),"")</f>
        <v/>
      </c>
      <c r="M565" s="36" t="str">
        <f ca="1">IFERROR(__xludf.DUMMYFUNCTION("""COMPUTED_VALUE"""),"")</f>
        <v/>
      </c>
      <c r="N565" s="36" t="str">
        <f ca="1">IFERROR(__xludf.DUMMYFUNCTION("""COMPUTED_VALUE"""),"")</f>
        <v/>
      </c>
      <c r="O565" s="36" t="str">
        <f ca="1">IFERROR(__xludf.DUMMYFUNCTION("""COMPUTED_VALUE"""),"")</f>
        <v/>
      </c>
      <c r="P565" s="36" t="str">
        <f ca="1">IFERROR(__xludf.DUMMYFUNCTION("""COMPUTED_VALUE"""),"")</f>
        <v/>
      </c>
      <c r="Q565" s="36" t="str">
        <f ca="1">IFERROR(__xludf.DUMMYFUNCTION("""COMPUTED_VALUE"""),"")</f>
        <v/>
      </c>
      <c r="R565" s="36" t="str">
        <f ca="1">IFERROR(__xludf.DUMMYFUNCTION("""COMPUTED_VALUE"""),"")</f>
        <v/>
      </c>
      <c r="S565" s="36" t="str">
        <f ca="1">IFERROR(__xludf.DUMMYFUNCTION("""COMPUTED_VALUE"""),"")</f>
        <v/>
      </c>
      <c r="T565" s="36" t="str">
        <f ca="1">IFERROR(__xludf.DUMMYFUNCTION("""COMPUTED_VALUE"""),"")</f>
        <v/>
      </c>
      <c r="U565" s="36" t="str">
        <f ca="1">IFERROR(__xludf.DUMMYFUNCTION("""COMPUTED_VALUE"""),"")</f>
        <v/>
      </c>
      <c r="V565" s="36" t="str">
        <f ca="1">IFERROR(__xludf.DUMMYFUNCTION("""COMPUTED_VALUE"""),"")</f>
        <v/>
      </c>
      <c r="W565" s="36" t="str">
        <f ca="1">IFERROR(__xludf.DUMMYFUNCTION("""COMPUTED_VALUE"""),"")</f>
        <v/>
      </c>
      <c r="X565" s="36"/>
      <c r="Y565" s="36"/>
      <c r="Z565" s="36"/>
    </row>
    <row r="566" spans="1:26" ht="12.75" hidden="1">
      <c r="A566" s="36" t="str">
        <f ca="1">IFERROR(__xludf.DUMMYFUNCTION("""COMPUTED_VALUE"""),"")</f>
        <v/>
      </c>
      <c r="B566" s="36" t="str">
        <f ca="1">IFERROR(__xludf.DUMMYFUNCTION("""COMPUTED_VALUE"""),"")</f>
        <v/>
      </c>
      <c r="C566" s="36" t="str">
        <f ca="1">IFERROR(__xludf.DUMMYFUNCTION("""COMPUTED_VALUE"""),"")</f>
        <v/>
      </c>
      <c r="D566" s="36" t="str">
        <f ca="1">IFERROR(__xludf.DUMMYFUNCTION("""COMPUTED_VALUE"""),"")</f>
        <v/>
      </c>
      <c r="E566" s="36" t="str">
        <f ca="1">IFERROR(__xludf.DUMMYFUNCTION("""COMPUTED_VALUE"""),"")</f>
        <v/>
      </c>
      <c r="F566" s="36" t="str">
        <f ca="1">IFERROR(__xludf.DUMMYFUNCTION("""COMPUTED_VALUE"""),"")</f>
        <v/>
      </c>
      <c r="G566" s="36" t="str">
        <f ca="1">IFERROR(__xludf.DUMMYFUNCTION("""COMPUTED_VALUE"""),"")</f>
        <v/>
      </c>
      <c r="H566" s="36" t="str">
        <f ca="1">IFERROR(__xludf.DUMMYFUNCTION("""COMPUTED_VALUE"""),"")</f>
        <v/>
      </c>
      <c r="I566" s="36" t="str">
        <f ca="1">IFERROR(__xludf.DUMMYFUNCTION("""COMPUTED_VALUE"""),"")</f>
        <v/>
      </c>
      <c r="J566" s="36" t="str">
        <f ca="1">IFERROR(__xludf.DUMMYFUNCTION("""COMPUTED_VALUE"""),"")</f>
        <v/>
      </c>
      <c r="K566" s="36" t="str">
        <f ca="1">IFERROR(__xludf.DUMMYFUNCTION("""COMPUTED_VALUE"""),"")</f>
        <v/>
      </c>
      <c r="L566" s="36" t="str">
        <f ca="1">IFERROR(__xludf.DUMMYFUNCTION("""COMPUTED_VALUE"""),"")</f>
        <v/>
      </c>
      <c r="M566" s="36" t="str">
        <f ca="1">IFERROR(__xludf.DUMMYFUNCTION("""COMPUTED_VALUE"""),"")</f>
        <v/>
      </c>
      <c r="N566" s="36" t="str">
        <f ca="1">IFERROR(__xludf.DUMMYFUNCTION("""COMPUTED_VALUE"""),"")</f>
        <v/>
      </c>
      <c r="O566" s="36" t="str">
        <f ca="1">IFERROR(__xludf.DUMMYFUNCTION("""COMPUTED_VALUE"""),"")</f>
        <v/>
      </c>
      <c r="P566" s="36" t="str">
        <f ca="1">IFERROR(__xludf.DUMMYFUNCTION("""COMPUTED_VALUE"""),"")</f>
        <v/>
      </c>
      <c r="Q566" s="36" t="str">
        <f ca="1">IFERROR(__xludf.DUMMYFUNCTION("""COMPUTED_VALUE"""),"")</f>
        <v/>
      </c>
      <c r="R566" s="36" t="str">
        <f ca="1">IFERROR(__xludf.DUMMYFUNCTION("""COMPUTED_VALUE"""),"")</f>
        <v/>
      </c>
      <c r="S566" s="36" t="str">
        <f ca="1">IFERROR(__xludf.DUMMYFUNCTION("""COMPUTED_VALUE"""),"")</f>
        <v/>
      </c>
      <c r="T566" s="36" t="str">
        <f ca="1">IFERROR(__xludf.DUMMYFUNCTION("""COMPUTED_VALUE"""),"")</f>
        <v/>
      </c>
      <c r="U566" s="36" t="str">
        <f ca="1">IFERROR(__xludf.DUMMYFUNCTION("""COMPUTED_VALUE"""),"")</f>
        <v/>
      </c>
      <c r="V566" s="36" t="str">
        <f ca="1">IFERROR(__xludf.DUMMYFUNCTION("""COMPUTED_VALUE"""),"")</f>
        <v/>
      </c>
      <c r="W566" s="36" t="str">
        <f ca="1">IFERROR(__xludf.DUMMYFUNCTION("""COMPUTED_VALUE"""),"")</f>
        <v/>
      </c>
      <c r="X566" s="36"/>
      <c r="Y566" s="36"/>
      <c r="Z566" s="36"/>
    </row>
    <row r="567" spans="1:26" ht="12.75" hidden="1">
      <c r="A567" s="36" t="str">
        <f ca="1">IFERROR(__xludf.DUMMYFUNCTION("""COMPUTED_VALUE"""),"")</f>
        <v/>
      </c>
      <c r="B567" s="36" t="str">
        <f ca="1">IFERROR(__xludf.DUMMYFUNCTION("""COMPUTED_VALUE"""),"")</f>
        <v/>
      </c>
      <c r="C567" s="36" t="str">
        <f ca="1">IFERROR(__xludf.DUMMYFUNCTION("""COMPUTED_VALUE"""),"")</f>
        <v/>
      </c>
      <c r="D567" s="36" t="str">
        <f ca="1">IFERROR(__xludf.DUMMYFUNCTION("""COMPUTED_VALUE"""),"")</f>
        <v/>
      </c>
      <c r="E567" s="36" t="str">
        <f ca="1">IFERROR(__xludf.DUMMYFUNCTION("""COMPUTED_VALUE"""),"")</f>
        <v/>
      </c>
      <c r="F567" s="36" t="str">
        <f ca="1">IFERROR(__xludf.DUMMYFUNCTION("""COMPUTED_VALUE"""),"")</f>
        <v/>
      </c>
      <c r="G567" s="36" t="str">
        <f ca="1">IFERROR(__xludf.DUMMYFUNCTION("""COMPUTED_VALUE"""),"")</f>
        <v/>
      </c>
      <c r="H567" s="36" t="str">
        <f ca="1">IFERROR(__xludf.DUMMYFUNCTION("""COMPUTED_VALUE"""),"")</f>
        <v/>
      </c>
      <c r="I567" s="36" t="str">
        <f ca="1">IFERROR(__xludf.DUMMYFUNCTION("""COMPUTED_VALUE"""),"")</f>
        <v/>
      </c>
      <c r="J567" s="36" t="str">
        <f ca="1">IFERROR(__xludf.DUMMYFUNCTION("""COMPUTED_VALUE"""),"")</f>
        <v/>
      </c>
      <c r="K567" s="36" t="str">
        <f ca="1">IFERROR(__xludf.DUMMYFUNCTION("""COMPUTED_VALUE"""),"")</f>
        <v/>
      </c>
      <c r="L567" s="36" t="str">
        <f ca="1">IFERROR(__xludf.DUMMYFUNCTION("""COMPUTED_VALUE"""),"")</f>
        <v/>
      </c>
      <c r="M567" s="36" t="str">
        <f ca="1">IFERROR(__xludf.DUMMYFUNCTION("""COMPUTED_VALUE"""),"")</f>
        <v/>
      </c>
      <c r="N567" s="36" t="str">
        <f ca="1">IFERROR(__xludf.DUMMYFUNCTION("""COMPUTED_VALUE"""),"")</f>
        <v/>
      </c>
      <c r="O567" s="36" t="str">
        <f ca="1">IFERROR(__xludf.DUMMYFUNCTION("""COMPUTED_VALUE"""),"")</f>
        <v/>
      </c>
      <c r="P567" s="36" t="str">
        <f ca="1">IFERROR(__xludf.DUMMYFUNCTION("""COMPUTED_VALUE"""),"")</f>
        <v/>
      </c>
      <c r="Q567" s="36" t="str">
        <f ca="1">IFERROR(__xludf.DUMMYFUNCTION("""COMPUTED_VALUE"""),"")</f>
        <v/>
      </c>
      <c r="R567" s="36" t="str">
        <f ca="1">IFERROR(__xludf.DUMMYFUNCTION("""COMPUTED_VALUE"""),"")</f>
        <v/>
      </c>
      <c r="S567" s="36" t="str">
        <f ca="1">IFERROR(__xludf.DUMMYFUNCTION("""COMPUTED_VALUE"""),"")</f>
        <v/>
      </c>
      <c r="T567" s="36" t="str">
        <f ca="1">IFERROR(__xludf.DUMMYFUNCTION("""COMPUTED_VALUE"""),"")</f>
        <v/>
      </c>
      <c r="U567" s="36" t="str">
        <f ca="1">IFERROR(__xludf.DUMMYFUNCTION("""COMPUTED_VALUE"""),"")</f>
        <v/>
      </c>
      <c r="V567" s="36" t="str">
        <f ca="1">IFERROR(__xludf.DUMMYFUNCTION("""COMPUTED_VALUE"""),"")</f>
        <v/>
      </c>
      <c r="W567" s="36" t="str">
        <f ca="1">IFERROR(__xludf.DUMMYFUNCTION("""COMPUTED_VALUE"""),"")</f>
        <v/>
      </c>
      <c r="X567" s="36"/>
      <c r="Y567" s="36"/>
      <c r="Z567" s="36"/>
    </row>
    <row r="568" spans="1:26" ht="12.75" hidden="1">
      <c r="A568" s="36" t="str">
        <f ca="1">IFERROR(__xludf.DUMMYFUNCTION("""COMPUTED_VALUE"""),"")</f>
        <v/>
      </c>
      <c r="B568" s="36" t="str">
        <f ca="1">IFERROR(__xludf.DUMMYFUNCTION("""COMPUTED_VALUE"""),"")</f>
        <v/>
      </c>
      <c r="C568" s="36" t="str">
        <f ca="1">IFERROR(__xludf.DUMMYFUNCTION("""COMPUTED_VALUE"""),"")</f>
        <v/>
      </c>
      <c r="D568" s="36" t="str">
        <f ca="1">IFERROR(__xludf.DUMMYFUNCTION("""COMPUTED_VALUE"""),"")</f>
        <v/>
      </c>
      <c r="E568" s="36" t="str">
        <f ca="1">IFERROR(__xludf.DUMMYFUNCTION("""COMPUTED_VALUE"""),"")</f>
        <v/>
      </c>
      <c r="F568" s="36" t="str">
        <f ca="1">IFERROR(__xludf.DUMMYFUNCTION("""COMPUTED_VALUE"""),"")</f>
        <v/>
      </c>
      <c r="G568" s="36" t="str">
        <f ca="1">IFERROR(__xludf.DUMMYFUNCTION("""COMPUTED_VALUE"""),"")</f>
        <v/>
      </c>
      <c r="H568" s="36" t="str">
        <f ca="1">IFERROR(__xludf.DUMMYFUNCTION("""COMPUTED_VALUE"""),"")</f>
        <v/>
      </c>
      <c r="I568" s="36" t="str">
        <f ca="1">IFERROR(__xludf.DUMMYFUNCTION("""COMPUTED_VALUE"""),"")</f>
        <v/>
      </c>
      <c r="J568" s="36" t="str">
        <f ca="1">IFERROR(__xludf.DUMMYFUNCTION("""COMPUTED_VALUE"""),"")</f>
        <v/>
      </c>
      <c r="K568" s="36" t="str">
        <f ca="1">IFERROR(__xludf.DUMMYFUNCTION("""COMPUTED_VALUE"""),"")</f>
        <v/>
      </c>
      <c r="L568" s="36" t="str">
        <f ca="1">IFERROR(__xludf.DUMMYFUNCTION("""COMPUTED_VALUE"""),"")</f>
        <v/>
      </c>
      <c r="M568" s="36" t="str">
        <f ca="1">IFERROR(__xludf.DUMMYFUNCTION("""COMPUTED_VALUE"""),"")</f>
        <v/>
      </c>
      <c r="N568" s="36" t="str">
        <f ca="1">IFERROR(__xludf.DUMMYFUNCTION("""COMPUTED_VALUE"""),"")</f>
        <v/>
      </c>
      <c r="O568" s="36" t="str">
        <f ca="1">IFERROR(__xludf.DUMMYFUNCTION("""COMPUTED_VALUE"""),"")</f>
        <v/>
      </c>
      <c r="P568" s="36" t="str">
        <f ca="1">IFERROR(__xludf.DUMMYFUNCTION("""COMPUTED_VALUE"""),"")</f>
        <v/>
      </c>
      <c r="Q568" s="36" t="str">
        <f ca="1">IFERROR(__xludf.DUMMYFUNCTION("""COMPUTED_VALUE"""),"")</f>
        <v/>
      </c>
      <c r="R568" s="36" t="str">
        <f ca="1">IFERROR(__xludf.DUMMYFUNCTION("""COMPUTED_VALUE"""),"")</f>
        <v/>
      </c>
      <c r="S568" s="36" t="str">
        <f ca="1">IFERROR(__xludf.DUMMYFUNCTION("""COMPUTED_VALUE"""),"")</f>
        <v/>
      </c>
      <c r="T568" s="36" t="str">
        <f ca="1">IFERROR(__xludf.DUMMYFUNCTION("""COMPUTED_VALUE"""),"")</f>
        <v/>
      </c>
      <c r="U568" s="36" t="str">
        <f ca="1">IFERROR(__xludf.DUMMYFUNCTION("""COMPUTED_VALUE"""),"")</f>
        <v/>
      </c>
      <c r="V568" s="36" t="str">
        <f ca="1">IFERROR(__xludf.DUMMYFUNCTION("""COMPUTED_VALUE"""),"")</f>
        <v/>
      </c>
      <c r="W568" s="36" t="str">
        <f ca="1">IFERROR(__xludf.DUMMYFUNCTION("""COMPUTED_VALUE"""),"")</f>
        <v/>
      </c>
      <c r="X568" s="36"/>
      <c r="Y568" s="36"/>
      <c r="Z568" s="36"/>
    </row>
    <row r="569" spans="1:26" ht="12.75" hidden="1">
      <c r="A569" s="36" t="str">
        <f ca="1">IFERROR(__xludf.DUMMYFUNCTION("""COMPUTED_VALUE"""),"")</f>
        <v/>
      </c>
      <c r="B569" s="36" t="str">
        <f ca="1">IFERROR(__xludf.DUMMYFUNCTION("""COMPUTED_VALUE"""),"")</f>
        <v/>
      </c>
      <c r="C569" s="36" t="str">
        <f ca="1">IFERROR(__xludf.DUMMYFUNCTION("""COMPUTED_VALUE"""),"")</f>
        <v/>
      </c>
      <c r="D569" s="36" t="str">
        <f ca="1">IFERROR(__xludf.DUMMYFUNCTION("""COMPUTED_VALUE"""),"")</f>
        <v/>
      </c>
      <c r="E569" s="36" t="str">
        <f ca="1">IFERROR(__xludf.DUMMYFUNCTION("""COMPUTED_VALUE"""),"")</f>
        <v/>
      </c>
      <c r="F569" s="36" t="str">
        <f ca="1">IFERROR(__xludf.DUMMYFUNCTION("""COMPUTED_VALUE"""),"")</f>
        <v/>
      </c>
      <c r="G569" s="36" t="str">
        <f ca="1">IFERROR(__xludf.DUMMYFUNCTION("""COMPUTED_VALUE"""),"")</f>
        <v/>
      </c>
      <c r="H569" s="36" t="str">
        <f ca="1">IFERROR(__xludf.DUMMYFUNCTION("""COMPUTED_VALUE"""),"")</f>
        <v/>
      </c>
      <c r="I569" s="36" t="str">
        <f ca="1">IFERROR(__xludf.DUMMYFUNCTION("""COMPUTED_VALUE"""),"")</f>
        <v/>
      </c>
      <c r="J569" s="36" t="str">
        <f ca="1">IFERROR(__xludf.DUMMYFUNCTION("""COMPUTED_VALUE"""),"")</f>
        <v/>
      </c>
      <c r="K569" s="36" t="str">
        <f ca="1">IFERROR(__xludf.DUMMYFUNCTION("""COMPUTED_VALUE"""),"")</f>
        <v/>
      </c>
      <c r="L569" s="36" t="str">
        <f ca="1">IFERROR(__xludf.DUMMYFUNCTION("""COMPUTED_VALUE"""),"")</f>
        <v/>
      </c>
      <c r="M569" s="36" t="str">
        <f ca="1">IFERROR(__xludf.DUMMYFUNCTION("""COMPUTED_VALUE"""),"")</f>
        <v/>
      </c>
      <c r="N569" s="36" t="str">
        <f ca="1">IFERROR(__xludf.DUMMYFUNCTION("""COMPUTED_VALUE"""),"")</f>
        <v/>
      </c>
      <c r="O569" s="36" t="str">
        <f ca="1">IFERROR(__xludf.DUMMYFUNCTION("""COMPUTED_VALUE"""),"")</f>
        <v/>
      </c>
      <c r="P569" s="36" t="str">
        <f ca="1">IFERROR(__xludf.DUMMYFUNCTION("""COMPUTED_VALUE"""),"")</f>
        <v/>
      </c>
      <c r="Q569" s="36" t="str">
        <f ca="1">IFERROR(__xludf.DUMMYFUNCTION("""COMPUTED_VALUE"""),"")</f>
        <v/>
      </c>
      <c r="R569" s="36" t="str">
        <f ca="1">IFERROR(__xludf.DUMMYFUNCTION("""COMPUTED_VALUE"""),"")</f>
        <v/>
      </c>
      <c r="S569" s="36" t="str">
        <f ca="1">IFERROR(__xludf.DUMMYFUNCTION("""COMPUTED_VALUE"""),"")</f>
        <v/>
      </c>
      <c r="T569" s="36" t="str">
        <f ca="1">IFERROR(__xludf.DUMMYFUNCTION("""COMPUTED_VALUE"""),"")</f>
        <v/>
      </c>
      <c r="U569" s="36" t="str">
        <f ca="1">IFERROR(__xludf.DUMMYFUNCTION("""COMPUTED_VALUE"""),"")</f>
        <v/>
      </c>
      <c r="V569" s="36" t="str">
        <f ca="1">IFERROR(__xludf.DUMMYFUNCTION("""COMPUTED_VALUE"""),"")</f>
        <v/>
      </c>
      <c r="W569" s="36" t="str">
        <f ca="1">IFERROR(__xludf.DUMMYFUNCTION("""COMPUTED_VALUE"""),"")</f>
        <v/>
      </c>
      <c r="X569" s="36"/>
      <c r="Y569" s="36"/>
      <c r="Z569" s="36"/>
    </row>
    <row r="570" spans="1:26" ht="12.75" hidden="1">
      <c r="A570" s="36" t="str">
        <f ca="1">IFERROR(__xludf.DUMMYFUNCTION("""COMPUTED_VALUE"""),"")</f>
        <v/>
      </c>
      <c r="B570" s="36" t="str">
        <f ca="1">IFERROR(__xludf.DUMMYFUNCTION("""COMPUTED_VALUE"""),"")</f>
        <v/>
      </c>
      <c r="C570" s="36" t="str">
        <f ca="1">IFERROR(__xludf.DUMMYFUNCTION("""COMPUTED_VALUE"""),"")</f>
        <v/>
      </c>
      <c r="D570" s="36" t="str">
        <f ca="1">IFERROR(__xludf.DUMMYFUNCTION("""COMPUTED_VALUE"""),"")</f>
        <v/>
      </c>
      <c r="E570" s="36" t="str">
        <f ca="1">IFERROR(__xludf.DUMMYFUNCTION("""COMPUTED_VALUE"""),"")</f>
        <v/>
      </c>
      <c r="F570" s="36" t="str">
        <f ca="1">IFERROR(__xludf.DUMMYFUNCTION("""COMPUTED_VALUE"""),"")</f>
        <v/>
      </c>
      <c r="G570" s="36" t="str">
        <f ca="1">IFERROR(__xludf.DUMMYFUNCTION("""COMPUTED_VALUE"""),"")</f>
        <v/>
      </c>
      <c r="H570" s="36" t="str">
        <f ca="1">IFERROR(__xludf.DUMMYFUNCTION("""COMPUTED_VALUE"""),"")</f>
        <v/>
      </c>
      <c r="I570" s="36" t="str">
        <f ca="1">IFERROR(__xludf.DUMMYFUNCTION("""COMPUTED_VALUE"""),"")</f>
        <v/>
      </c>
      <c r="J570" s="36" t="str">
        <f ca="1">IFERROR(__xludf.DUMMYFUNCTION("""COMPUTED_VALUE"""),"")</f>
        <v/>
      </c>
      <c r="K570" s="36" t="str">
        <f ca="1">IFERROR(__xludf.DUMMYFUNCTION("""COMPUTED_VALUE"""),"")</f>
        <v/>
      </c>
      <c r="L570" s="36" t="str">
        <f ca="1">IFERROR(__xludf.DUMMYFUNCTION("""COMPUTED_VALUE"""),"")</f>
        <v/>
      </c>
      <c r="M570" s="36" t="str">
        <f ca="1">IFERROR(__xludf.DUMMYFUNCTION("""COMPUTED_VALUE"""),"")</f>
        <v/>
      </c>
      <c r="N570" s="36" t="str">
        <f ca="1">IFERROR(__xludf.DUMMYFUNCTION("""COMPUTED_VALUE"""),"")</f>
        <v/>
      </c>
      <c r="O570" s="36" t="str">
        <f ca="1">IFERROR(__xludf.DUMMYFUNCTION("""COMPUTED_VALUE"""),"")</f>
        <v/>
      </c>
      <c r="P570" s="36" t="str">
        <f ca="1">IFERROR(__xludf.DUMMYFUNCTION("""COMPUTED_VALUE"""),"")</f>
        <v/>
      </c>
      <c r="Q570" s="36" t="str">
        <f ca="1">IFERROR(__xludf.DUMMYFUNCTION("""COMPUTED_VALUE"""),"")</f>
        <v/>
      </c>
      <c r="R570" s="36" t="str">
        <f ca="1">IFERROR(__xludf.DUMMYFUNCTION("""COMPUTED_VALUE"""),"")</f>
        <v/>
      </c>
      <c r="S570" s="36" t="str">
        <f ca="1">IFERROR(__xludf.DUMMYFUNCTION("""COMPUTED_VALUE"""),"")</f>
        <v/>
      </c>
      <c r="T570" s="36" t="str">
        <f ca="1">IFERROR(__xludf.DUMMYFUNCTION("""COMPUTED_VALUE"""),"")</f>
        <v/>
      </c>
      <c r="U570" s="36" t="str">
        <f ca="1">IFERROR(__xludf.DUMMYFUNCTION("""COMPUTED_VALUE"""),"")</f>
        <v/>
      </c>
      <c r="V570" s="36" t="str">
        <f ca="1">IFERROR(__xludf.DUMMYFUNCTION("""COMPUTED_VALUE"""),"")</f>
        <v/>
      </c>
      <c r="W570" s="36" t="str">
        <f ca="1">IFERROR(__xludf.DUMMYFUNCTION("""COMPUTED_VALUE"""),"")</f>
        <v/>
      </c>
      <c r="X570" s="36"/>
      <c r="Y570" s="36"/>
      <c r="Z570" s="36"/>
    </row>
    <row r="571" spans="1:26" ht="12.75" hidden="1">
      <c r="A571" s="36" t="str">
        <f ca="1">IFERROR(__xludf.DUMMYFUNCTION("""COMPUTED_VALUE"""),"")</f>
        <v/>
      </c>
      <c r="B571" s="36" t="str">
        <f ca="1">IFERROR(__xludf.DUMMYFUNCTION("""COMPUTED_VALUE"""),"")</f>
        <v/>
      </c>
      <c r="C571" s="36" t="str">
        <f ca="1">IFERROR(__xludf.DUMMYFUNCTION("""COMPUTED_VALUE"""),"")</f>
        <v/>
      </c>
      <c r="D571" s="36" t="str">
        <f ca="1">IFERROR(__xludf.DUMMYFUNCTION("""COMPUTED_VALUE"""),"")</f>
        <v/>
      </c>
      <c r="E571" s="36" t="str">
        <f ca="1">IFERROR(__xludf.DUMMYFUNCTION("""COMPUTED_VALUE"""),"")</f>
        <v/>
      </c>
      <c r="F571" s="36" t="str">
        <f ca="1">IFERROR(__xludf.DUMMYFUNCTION("""COMPUTED_VALUE"""),"")</f>
        <v/>
      </c>
      <c r="G571" s="36" t="str">
        <f ca="1">IFERROR(__xludf.DUMMYFUNCTION("""COMPUTED_VALUE"""),"")</f>
        <v/>
      </c>
      <c r="H571" s="36" t="str">
        <f ca="1">IFERROR(__xludf.DUMMYFUNCTION("""COMPUTED_VALUE"""),"")</f>
        <v/>
      </c>
      <c r="I571" s="36" t="str">
        <f ca="1">IFERROR(__xludf.DUMMYFUNCTION("""COMPUTED_VALUE"""),"")</f>
        <v/>
      </c>
      <c r="J571" s="36" t="str">
        <f ca="1">IFERROR(__xludf.DUMMYFUNCTION("""COMPUTED_VALUE"""),"")</f>
        <v/>
      </c>
      <c r="K571" s="36" t="str">
        <f ca="1">IFERROR(__xludf.DUMMYFUNCTION("""COMPUTED_VALUE"""),"")</f>
        <v/>
      </c>
      <c r="L571" s="36" t="str">
        <f ca="1">IFERROR(__xludf.DUMMYFUNCTION("""COMPUTED_VALUE"""),"")</f>
        <v/>
      </c>
      <c r="M571" s="36" t="str">
        <f ca="1">IFERROR(__xludf.DUMMYFUNCTION("""COMPUTED_VALUE"""),"")</f>
        <v/>
      </c>
      <c r="N571" s="36" t="str">
        <f ca="1">IFERROR(__xludf.DUMMYFUNCTION("""COMPUTED_VALUE"""),"")</f>
        <v/>
      </c>
      <c r="O571" s="36" t="str">
        <f ca="1">IFERROR(__xludf.DUMMYFUNCTION("""COMPUTED_VALUE"""),"")</f>
        <v/>
      </c>
      <c r="P571" s="36" t="str">
        <f ca="1">IFERROR(__xludf.DUMMYFUNCTION("""COMPUTED_VALUE"""),"")</f>
        <v/>
      </c>
      <c r="Q571" s="36" t="str">
        <f ca="1">IFERROR(__xludf.DUMMYFUNCTION("""COMPUTED_VALUE"""),"")</f>
        <v/>
      </c>
      <c r="R571" s="36" t="str">
        <f ca="1">IFERROR(__xludf.DUMMYFUNCTION("""COMPUTED_VALUE"""),"")</f>
        <v/>
      </c>
      <c r="S571" s="36" t="str">
        <f ca="1">IFERROR(__xludf.DUMMYFUNCTION("""COMPUTED_VALUE"""),"")</f>
        <v/>
      </c>
      <c r="T571" s="36" t="str">
        <f ca="1">IFERROR(__xludf.DUMMYFUNCTION("""COMPUTED_VALUE"""),"")</f>
        <v/>
      </c>
      <c r="U571" s="36" t="str">
        <f ca="1">IFERROR(__xludf.DUMMYFUNCTION("""COMPUTED_VALUE"""),"")</f>
        <v/>
      </c>
      <c r="V571" s="36" t="str">
        <f ca="1">IFERROR(__xludf.DUMMYFUNCTION("""COMPUTED_VALUE"""),"")</f>
        <v/>
      </c>
      <c r="W571" s="36" t="str">
        <f ca="1">IFERROR(__xludf.DUMMYFUNCTION("""COMPUTED_VALUE"""),"")</f>
        <v/>
      </c>
      <c r="X571" s="36"/>
      <c r="Y571" s="36"/>
      <c r="Z571" s="36"/>
    </row>
    <row r="572" spans="1:26" ht="12.75" hidden="1">
      <c r="A572" s="36" t="str">
        <f ca="1">IFERROR(__xludf.DUMMYFUNCTION("""COMPUTED_VALUE"""),"")</f>
        <v/>
      </c>
      <c r="B572" s="36" t="str">
        <f ca="1">IFERROR(__xludf.DUMMYFUNCTION("""COMPUTED_VALUE"""),"")</f>
        <v/>
      </c>
      <c r="C572" s="36" t="str">
        <f ca="1">IFERROR(__xludf.DUMMYFUNCTION("""COMPUTED_VALUE"""),"")</f>
        <v/>
      </c>
      <c r="D572" s="36" t="str">
        <f ca="1">IFERROR(__xludf.DUMMYFUNCTION("""COMPUTED_VALUE"""),"")</f>
        <v/>
      </c>
      <c r="E572" s="36" t="str">
        <f ca="1">IFERROR(__xludf.DUMMYFUNCTION("""COMPUTED_VALUE"""),"")</f>
        <v/>
      </c>
      <c r="F572" s="36" t="str">
        <f ca="1">IFERROR(__xludf.DUMMYFUNCTION("""COMPUTED_VALUE"""),"")</f>
        <v/>
      </c>
      <c r="G572" s="36" t="str">
        <f ca="1">IFERROR(__xludf.DUMMYFUNCTION("""COMPUTED_VALUE"""),"")</f>
        <v/>
      </c>
      <c r="H572" s="36" t="str">
        <f ca="1">IFERROR(__xludf.DUMMYFUNCTION("""COMPUTED_VALUE"""),"")</f>
        <v/>
      </c>
      <c r="I572" s="36" t="str">
        <f ca="1">IFERROR(__xludf.DUMMYFUNCTION("""COMPUTED_VALUE"""),"")</f>
        <v/>
      </c>
      <c r="J572" s="36" t="str">
        <f ca="1">IFERROR(__xludf.DUMMYFUNCTION("""COMPUTED_VALUE"""),"")</f>
        <v/>
      </c>
      <c r="K572" s="36" t="str">
        <f ca="1">IFERROR(__xludf.DUMMYFUNCTION("""COMPUTED_VALUE"""),"")</f>
        <v/>
      </c>
      <c r="L572" s="36" t="str">
        <f ca="1">IFERROR(__xludf.DUMMYFUNCTION("""COMPUTED_VALUE"""),"")</f>
        <v/>
      </c>
      <c r="M572" s="36" t="str">
        <f ca="1">IFERROR(__xludf.DUMMYFUNCTION("""COMPUTED_VALUE"""),"")</f>
        <v/>
      </c>
      <c r="N572" s="36" t="str">
        <f ca="1">IFERROR(__xludf.DUMMYFUNCTION("""COMPUTED_VALUE"""),"")</f>
        <v/>
      </c>
      <c r="O572" s="36" t="str">
        <f ca="1">IFERROR(__xludf.DUMMYFUNCTION("""COMPUTED_VALUE"""),"")</f>
        <v/>
      </c>
      <c r="P572" s="36" t="str">
        <f ca="1">IFERROR(__xludf.DUMMYFUNCTION("""COMPUTED_VALUE"""),"")</f>
        <v/>
      </c>
      <c r="Q572" s="36" t="str">
        <f ca="1">IFERROR(__xludf.DUMMYFUNCTION("""COMPUTED_VALUE"""),"")</f>
        <v/>
      </c>
      <c r="R572" s="36" t="str">
        <f ca="1">IFERROR(__xludf.DUMMYFUNCTION("""COMPUTED_VALUE"""),"")</f>
        <v/>
      </c>
      <c r="S572" s="36" t="str">
        <f ca="1">IFERROR(__xludf.DUMMYFUNCTION("""COMPUTED_VALUE"""),"")</f>
        <v/>
      </c>
      <c r="T572" s="36" t="str">
        <f ca="1">IFERROR(__xludf.DUMMYFUNCTION("""COMPUTED_VALUE"""),"")</f>
        <v/>
      </c>
      <c r="U572" s="36" t="str">
        <f ca="1">IFERROR(__xludf.DUMMYFUNCTION("""COMPUTED_VALUE"""),"")</f>
        <v/>
      </c>
      <c r="V572" s="36" t="str">
        <f ca="1">IFERROR(__xludf.DUMMYFUNCTION("""COMPUTED_VALUE"""),"")</f>
        <v/>
      </c>
      <c r="W572" s="36" t="str">
        <f ca="1">IFERROR(__xludf.DUMMYFUNCTION("""COMPUTED_VALUE"""),"")</f>
        <v/>
      </c>
      <c r="X572" s="36"/>
      <c r="Y572" s="36"/>
      <c r="Z572" s="36"/>
    </row>
    <row r="573" spans="1:26" ht="12.75" hidden="1">
      <c r="A573" s="36" t="str">
        <f ca="1">IFERROR(__xludf.DUMMYFUNCTION("""COMPUTED_VALUE"""),"")</f>
        <v/>
      </c>
      <c r="B573" s="36" t="str">
        <f ca="1">IFERROR(__xludf.DUMMYFUNCTION("""COMPUTED_VALUE"""),"")</f>
        <v/>
      </c>
      <c r="C573" s="36" t="str">
        <f ca="1">IFERROR(__xludf.DUMMYFUNCTION("""COMPUTED_VALUE"""),"")</f>
        <v/>
      </c>
      <c r="D573" s="36" t="str">
        <f ca="1">IFERROR(__xludf.DUMMYFUNCTION("""COMPUTED_VALUE"""),"")</f>
        <v/>
      </c>
      <c r="E573" s="36" t="str">
        <f ca="1">IFERROR(__xludf.DUMMYFUNCTION("""COMPUTED_VALUE"""),"")</f>
        <v/>
      </c>
      <c r="F573" s="36" t="str">
        <f ca="1">IFERROR(__xludf.DUMMYFUNCTION("""COMPUTED_VALUE"""),"")</f>
        <v/>
      </c>
      <c r="G573" s="36" t="str">
        <f ca="1">IFERROR(__xludf.DUMMYFUNCTION("""COMPUTED_VALUE"""),"")</f>
        <v/>
      </c>
      <c r="H573" s="36" t="str">
        <f ca="1">IFERROR(__xludf.DUMMYFUNCTION("""COMPUTED_VALUE"""),"")</f>
        <v/>
      </c>
      <c r="I573" s="36" t="str">
        <f ca="1">IFERROR(__xludf.DUMMYFUNCTION("""COMPUTED_VALUE"""),"")</f>
        <v/>
      </c>
      <c r="J573" s="36" t="str">
        <f ca="1">IFERROR(__xludf.DUMMYFUNCTION("""COMPUTED_VALUE"""),"")</f>
        <v/>
      </c>
      <c r="K573" s="36" t="str">
        <f ca="1">IFERROR(__xludf.DUMMYFUNCTION("""COMPUTED_VALUE"""),"")</f>
        <v/>
      </c>
      <c r="L573" s="36" t="str">
        <f ca="1">IFERROR(__xludf.DUMMYFUNCTION("""COMPUTED_VALUE"""),"")</f>
        <v/>
      </c>
      <c r="M573" s="36" t="str">
        <f ca="1">IFERROR(__xludf.DUMMYFUNCTION("""COMPUTED_VALUE"""),"")</f>
        <v/>
      </c>
      <c r="N573" s="36" t="str">
        <f ca="1">IFERROR(__xludf.DUMMYFUNCTION("""COMPUTED_VALUE"""),"")</f>
        <v/>
      </c>
      <c r="O573" s="36" t="str">
        <f ca="1">IFERROR(__xludf.DUMMYFUNCTION("""COMPUTED_VALUE"""),"")</f>
        <v/>
      </c>
      <c r="P573" s="36" t="str">
        <f ca="1">IFERROR(__xludf.DUMMYFUNCTION("""COMPUTED_VALUE"""),"")</f>
        <v/>
      </c>
      <c r="Q573" s="36" t="str">
        <f ca="1">IFERROR(__xludf.DUMMYFUNCTION("""COMPUTED_VALUE"""),"")</f>
        <v/>
      </c>
      <c r="R573" s="36" t="str">
        <f ca="1">IFERROR(__xludf.DUMMYFUNCTION("""COMPUTED_VALUE"""),"")</f>
        <v/>
      </c>
      <c r="S573" s="36" t="str">
        <f ca="1">IFERROR(__xludf.DUMMYFUNCTION("""COMPUTED_VALUE"""),"")</f>
        <v/>
      </c>
      <c r="T573" s="36" t="str">
        <f ca="1">IFERROR(__xludf.DUMMYFUNCTION("""COMPUTED_VALUE"""),"")</f>
        <v/>
      </c>
      <c r="U573" s="36" t="str">
        <f ca="1">IFERROR(__xludf.DUMMYFUNCTION("""COMPUTED_VALUE"""),"")</f>
        <v/>
      </c>
      <c r="V573" s="36" t="str">
        <f ca="1">IFERROR(__xludf.DUMMYFUNCTION("""COMPUTED_VALUE"""),"")</f>
        <v/>
      </c>
      <c r="W573" s="36" t="str">
        <f ca="1">IFERROR(__xludf.DUMMYFUNCTION("""COMPUTED_VALUE"""),"")</f>
        <v/>
      </c>
      <c r="X573" s="36"/>
      <c r="Y573" s="36"/>
      <c r="Z573" s="36"/>
    </row>
    <row r="574" spans="1:26" ht="12.75" hidden="1">
      <c r="A574" s="36" t="str">
        <f ca="1">IFERROR(__xludf.DUMMYFUNCTION("""COMPUTED_VALUE"""),"")</f>
        <v/>
      </c>
      <c r="B574" s="36" t="str">
        <f ca="1">IFERROR(__xludf.DUMMYFUNCTION("""COMPUTED_VALUE"""),"")</f>
        <v/>
      </c>
      <c r="C574" s="36" t="str">
        <f ca="1">IFERROR(__xludf.DUMMYFUNCTION("""COMPUTED_VALUE"""),"")</f>
        <v/>
      </c>
      <c r="D574" s="36" t="str">
        <f ca="1">IFERROR(__xludf.DUMMYFUNCTION("""COMPUTED_VALUE"""),"")</f>
        <v/>
      </c>
      <c r="E574" s="36" t="str">
        <f ca="1">IFERROR(__xludf.DUMMYFUNCTION("""COMPUTED_VALUE"""),"")</f>
        <v/>
      </c>
      <c r="F574" s="36" t="str">
        <f ca="1">IFERROR(__xludf.DUMMYFUNCTION("""COMPUTED_VALUE"""),"")</f>
        <v/>
      </c>
      <c r="G574" s="36" t="str">
        <f ca="1">IFERROR(__xludf.DUMMYFUNCTION("""COMPUTED_VALUE"""),"")</f>
        <v/>
      </c>
      <c r="H574" s="36" t="str">
        <f ca="1">IFERROR(__xludf.DUMMYFUNCTION("""COMPUTED_VALUE"""),"")</f>
        <v/>
      </c>
      <c r="I574" s="36" t="str">
        <f ca="1">IFERROR(__xludf.DUMMYFUNCTION("""COMPUTED_VALUE"""),"")</f>
        <v/>
      </c>
      <c r="J574" s="36" t="str">
        <f ca="1">IFERROR(__xludf.DUMMYFUNCTION("""COMPUTED_VALUE"""),"")</f>
        <v/>
      </c>
      <c r="K574" s="36" t="str">
        <f ca="1">IFERROR(__xludf.DUMMYFUNCTION("""COMPUTED_VALUE"""),"")</f>
        <v/>
      </c>
      <c r="L574" s="36" t="str">
        <f ca="1">IFERROR(__xludf.DUMMYFUNCTION("""COMPUTED_VALUE"""),"")</f>
        <v/>
      </c>
      <c r="M574" s="36" t="str">
        <f ca="1">IFERROR(__xludf.DUMMYFUNCTION("""COMPUTED_VALUE"""),"")</f>
        <v/>
      </c>
      <c r="N574" s="36" t="str">
        <f ca="1">IFERROR(__xludf.DUMMYFUNCTION("""COMPUTED_VALUE"""),"")</f>
        <v/>
      </c>
      <c r="O574" s="36" t="str">
        <f ca="1">IFERROR(__xludf.DUMMYFUNCTION("""COMPUTED_VALUE"""),"")</f>
        <v/>
      </c>
      <c r="P574" s="36" t="str">
        <f ca="1">IFERROR(__xludf.DUMMYFUNCTION("""COMPUTED_VALUE"""),"")</f>
        <v/>
      </c>
      <c r="Q574" s="36" t="str">
        <f ca="1">IFERROR(__xludf.DUMMYFUNCTION("""COMPUTED_VALUE"""),"")</f>
        <v/>
      </c>
      <c r="R574" s="36" t="str">
        <f ca="1">IFERROR(__xludf.DUMMYFUNCTION("""COMPUTED_VALUE"""),"")</f>
        <v/>
      </c>
      <c r="S574" s="36" t="str">
        <f ca="1">IFERROR(__xludf.DUMMYFUNCTION("""COMPUTED_VALUE"""),"")</f>
        <v/>
      </c>
      <c r="T574" s="36" t="str">
        <f ca="1">IFERROR(__xludf.DUMMYFUNCTION("""COMPUTED_VALUE"""),"")</f>
        <v/>
      </c>
      <c r="U574" s="36" t="str">
        <f ca="1">IFERROR(__xludf.DUMMYFUNCTION("""COMPUTED_VALUE"""),"")</f>
        <v/>
      </c>
      <c r="V574" s="36" t="str">
        <f ca="1">IFERROR(__xludf.DUMMYFUNCTION("""COMPUTED_VALUE"""),"")</f>
        <v/>
      </c>
      <c r="W574" s="36" t="str">
        <f ca="1">IFERROR(__xludf.DUMMYFUNCTION("""COMPUTED_VALUE"""),"")</f>
        <v/>
      </c>
      <c r="X574" s="36"/>
      <c r="Y574" s="36"/>
      <c r="Z574" s="36"/>
    </row>
    <row r="575" spans="1:26" ht="12.75" hidden="1">
      <c r="A575" s="36" t="str">
        <f ca="1">IFERROR(__xludf.DUMMYFUNCTION("""COMPUTED_VALUE"""),"")</f>
        <v/>
      </c>
      <c r="B575" s="36" t="str">
        <f ca="1">IFERROR(__xludf.DUMMYFUNCTION("""COMPUTED_VALUE"""),"")</f>
        <v/>
      </c>
      <c r="C575" s="36" t="str">
        <f ca="1">IFERROR(__xludf.DUMMYFUNCTION("""COMPUTED_VALUE"""),"")</f>
        <v/>
      </c>
      <c r="D575" s="36" t="str">
        <f ca="1">IFERROR(__xludf.DUMMYFUNCTION("""COMPUTED_VALUE"""),"")</f>
        <v/>
      </c>
      <c r="E575" s="36" t="str">
        <f ca="1">IFERROR(__xludf.DUMMYFUNCTION("""COMPUTED_VALUE"""),"")</f>
        <v/>
      </c>
      <c r="F575" s="36" t="str">
        <f ca="1">IFERROR(__xludf.DUMMYFUNCTION("""COMPUTED_VALUE"""),"")</f>
        <v/>
      </c>
      <c r="G575" s="36" t="str">
        <f ca="1">IFERROR(__xludf.DUMMYFUNCTION("""COMPUTED_VALUE"""),"")</f>
        <v/>
      </c>
      <c r="H575" s="36" t="str">
        <f ca="1">IFERROR(__xludf.DUMMYFUNCTION("""COMPUTED_VALUE"""),"")</f>
        <v/>
      </c>
      <c r="I575" s="36" t="str">
        <f ca="1">IFERROR(__xludf.DUMMYFUNCTION("""COMPUTED_VALUE"""),"")</f>
        <v/>
      </c>
      <c r="J575" s="36" t="str">
        <f ca="1">IFERROR(__xludf.DUMMYFUNCTION("""COMPUTED_VALUE"""),"")</f>
        <v/>
      </c>
      <c r="K575" s="36" t="str">
        <f ca="1">IFERROR(__xludf.DUMMYFUNCTION("""COMPUTED_VALUE"""),"")</f>
        <v/>
      </c>
      <c r="L575" s="36" t="str">
        <f ca="1">IFERROR(__xludf.DUMMYFUNCTION("""COMPUTED_VALUE"""),"")</f>
        <v/>
      </c>
      <c r="M575" s="36" t="str">
        <f ca="1">IFERROR(__xludf.DUMMYFUNCTION("""COMPUTED_VALUE"""),"")</f>
        <v/>
      </c>
      <c r="N575" s="36" t="str">
        <f ca="1">IFERROR(__xludf.DUMMYFUNCTION("""COMPUTED_VALUE"""),"")</f>
        <v/>
      </c>
      <c r="O575" s="36" t="str">
        <f ca="1">IFERROR(__xludf.DUMMYFUNCTION("""COMPUTED_VALUE"""),"")</f>
        <v/>
      </c>
      <c r="P575" s="36" t="str">
        <f ca="1">IFERROR(__xludf.DUMMYFUNCTION("""COMPUTED_VALUE"""),"")</f>
        <v/>
      </c>
      <c r="Q575" s="36" t="str">
        <f ca="1">IFERROR(__xludf.DUMMYFUNCTION("""COMPUTED_VALUE"""),"")</f>
        <v/>
      </c>
      <c r="R575" s="36" t="str">
        <f ca="1">IFERROR(__xludf.DUMMYFUNCTION("""COMPUTED_VALUE"""),"")</f>
        <v/>
      </c>
      <c r="S575" s="36" t="str">
        <f ca="1">IFERROR(__xludf.DUMMYFUNCTION("""COMPUTED_VALUE"""),"")</f>
        <v/>
      </c>
      <c r="T575" s="36" t="str">
        <f ca="1">IFERROR(__xludf.DUMMYFUNCTION("""COMPUTED_VALUE"""),"")</f>
        <v/>
      </c>
      <c r="U575" s="36" t="str">
        <f ca="1">IFERROR(__xludf.DUMMYFUNCTION("""COMPUTED_VALUE"""),"")</f>
        <v/>
      </c>
      <c r="V575" s="36" t="str">
        <f ca="1">IFERROR(__xludf.DUMMYFUNCTION("""COMPUTED_VALUE"""),"")</f>
        <v/>
      </c>
      <c r="W575" s="36" t="str">
        <f ca="1">IFERROR(__xludf.DUMMYFUNCTION("""COMPUTED_VALUE"""),"")</f>
        <v/>
      </c>
      <c r="X575" s="36"/>
      <c r="Y575" s="36"/>
      <c r="Z575" s="36"/>
    </row>
    <row r="576" spans="1:26" ht="12.75" hidden="1">
      <c r="A576" s="36" t="str">
        <f ca="1">IFERROR(__xludf.DUMMYFUNCTION("""COMPUTED_VALUE"""),"")</f>
        <v/>
      </c>
      <c r="B576" s="36" t="str">
        <f ca="1">IFERROR(__xludf.DUMMYFUNCTION("""COMPUTED_VALUE"""),"")</f>
        <v/>
      </c>
      <c r="C576" s="36" t="str">
        <f ca="1">IFERROR(__xludf.DUMMYFUNCTION("""COMPUTED_VALUE"""),"")</f>
        <v/>
      </c>
      <c r="D576" s="36" t="str">
        <f ca="1">IFERROR(__xludf.DUMMYFUNCTION("""COMPUTED_VALUE"""),"")</f>
        <v/>
      </c>
      <c r="E576" s="36" t="str">
        <f ca="1">IFERROR(__xludf.DUMMYFUNCTION("""COMPUTED_VALUE"""),"")</f>
        <v/>
      </c>
      <c r="F576" s="36" t="str">
        <f ca="1">IFERROR(__xludf.DUMMYFUNCTION("""COMPUTED_VALUE"""),"")</f>
        <v/>
      </c>
      <c r="G576" s="36" t="str">
        <f ca="1">IFERROR(__xludf.DUMMYFUNCTION("""COMPUTED_VALUE"""),"")</f>
        <v/>
      </c>
      <c r="H576" s="36" t="str">
        <f ca="1">IFERROR(__xludf.DUMMYFUNCTION("""COMPUTED_VALUE"""),"")</f>
        <v/>
      </c>
      <c r="I576" s="36" t="str">
        <f ca="1">IFERROR(__xludf.DUMMYFUNCTION("""COMPUTED_VALUE"""),"")</f>
        <v/>
      </c>
      <c r="J576" s="36" t="str">
        <f ca="1">IFERROR(__xludf.DUMMYFUNCTION("""COMPUTED_VALUE"""),"")</f>
        <v/>
      </c>
      <c r="K576" s="36" t="str">
        <f ca="1">IFERROR(__xludf.DUMMYFUNCTION("""COMPUTED_VALUE"""),"")</f>
        <v/>
      </c>
      <c r="L576" s="36" t="str">
        <f ca="1">IFERROR(__xludf.DUMMYFUNCTION("""COMPUTED_VALUE"""),"")</f>
        <v/>
      </c>
      <c r="M576" s="36" t="str">
        <f ca="1">IFERROR(__xludf.DUMMYFUNCTION("""COMPUTED_VALUE"""),"")</f>
        <v/>
      </c>
      <c r="N576" s="36" t="str">
        <f ca="1">IFERROR(__xludf.DUMMYFUNCTION("""COMPUTED_VALUE"""),"")</f>
        <v/>
      </c>
      <c r="O576" s="36" t="str">
        <f ca="1">IFERROR(__xludf.DUMMYFUNCTION("""COMPUTED_VALUE"""),"")</f>
        <v/>
      </c>
      <c r="P576" s="36" t="str">
        <f ca="1">IFERROR(__xludf.DUMMYFUNCTION("""COMPUTED_VALUE"""),"")</f>
        <v/>
      </c>
      <c r="Q576" s="36" t="str">
        <f ca="1">IFERROR(__xludf.DUMMYFUNCTION("""COMPUTED_VALUE"""),"")</f>
        <v/>
      </c>
      <c r="R576" s="36" t="str">
        <f ca="1">IFERROR(__xludf.DUMMYFUNCTION("""COMPUTED_VALUE"""),"")</f>
        <v/>
      </c>
      <c r="S576" s="36" t="str">
        <f ca="1">IFERROR(__xludf.DUMMYFUNCTION("""COMPUTED_VALUE"""),"")</f>
        <v/>
      </c>
      <c r="T576" s="36" t="str">
        <f ca="1">IFERROR(__xludf.DUMMYFUNCTION("""COMPUTED_VALUE"""),"")</f>
        <v/>
      </c>
      <c r="U576" s="36" t="str">
        <f ca="1">IFERROR(__xludf.DUMMYFUNCTION("""COMPUTED_VALUE"""),"")</f>
        <v/>
      </c>
      <c r="V576" s="36" t="str">
        <f ca="1">IFERROR(__xludf.DUMMYFUNCTION("""COMPUTED_VALUE"""),"")</f>
        <v/>
      </c>
      <c r="W576" s="36" t="str">
        <f ca="1">IFERROR(__xludf.DUMMYFUNCTION("""COMPUTED_VALUE"""),"")</f>
        <v/>
      </c>
      <c r="X576" s="36"/>
      <c r="Y576" s="36"/>
      <c r="Z576" s="36"/>
    </row>
    <row r="577" spans="1:26" ht="12.75" hidden="1">
      <c r="A577" s="36" t="str">
        <f ca="1">IFERROR(__xludf.DUMMYFUNCTION("""COMPUTED_VALUE"""),"")</f>
        <v/>
      </c>
      <c r="B577" s="36" t="str">
        <f ca="1">IFERROR(__xludf.DUMMYFUNCTION("""COMPUTED_VALUE"""),"")</f>
        <v/>
      </c>
      <c r="C577" s="36" t="str">
        <f ca="1">IFERROR(__xludf.DUMMYFUNCTION("""COMPUTED_VALUE"""),"")</f>
        <v/>
      </c>
      <c r="D577" s="36" t="str">
        <f ca="1">IFERROR(__xludf.DUMMYFUNCTION("""COMPUTED_VALUE"""),"")</f>
        <v/>
      </c>
      <c r="E577" s="36" t="str">
        <f ca="1">IFERROR(__xludf.DUMMYFUNCTION("""COMPUTED_VALUE"""),"")</f>
        <v/>
      </c>
      <c r="F577" s="36" t="str">
        <f ca="1">IFERROR(__xludf.DUMMYFUNCTION("""COMPUTED_VALUE"""),"")</f>
        <v/>
      </c>
      <c r="G577" s="36" t="str">
        <f ca="1">IFERROR(__xludf.DUMMYFUNCTION("""COMPUTED_VALUE"""),"")</f>
        <v/>
      </c>
      <c r="H577" s="36" t="str">
        <f ca="1">IFERROR(__xludf.DUMMYFUNCTION("""COMPUTED_VALUE"""),"")</f>
        <v/>
      </c>
      <c r="I577" s="36" t="str">
        <f ca="1">IFERROR(__xludf.DUMMYFUNCTION("""COMPUTED_VALUE"""),"")</f>
        <v/>
      </c>
      <c r="J577" s="36" t="str">
        <f ca="1">IFERROR(__xludf.DUMMYFUNCTION("""COMPUTED_VALUE"""),"")</f>
        <v/>
      </c>
      <c r="K577" s="36" t="str">
        <f ca="1">IFERROR(__xludf.DUMMYFUNCTION("""COMPUTED_VALUE"""),"")</f>
        <v/>
      </c>
      <c r="L577" s="36" t="str">
        <f ca="1">IFERROR(__xludf.DUMMYFUNCTION("""COMPUTED_VALUE"""),"")</f>
        <v/>
      </c>
      <c r="M577" s="36" t="str">
        <f ca="1">IFERROR(__xludf.DUMMYFUNCTION("""COMPUTED_VALUE"""),"")</f>
        <v/>
      </c>
      <c r="N577" s="36" t="str">
        <f ca="1">IFERROR(__xludf.DUMMYFUNCTION("""COMPUTED_VALUE"""),"")</f>
        <v/>
      </c>
      <c r="O577" s="36" t="str">
        <f ca="1">IFERROR(__xludf.DUMMYFUNCTION("""COMPUTED_VALUE"""),"")</f>
        <v/>
      </c>
      <c r="P577" s="36" t="str">
        <f ca="1">IFERROR(__xludf.DUMMYFUNCTION("""COMPUTED_VALUE"""),"")</f>
        <v/>
      </c>
      <c r="Q577" s="36" t="str">
        <f ca="1">IFERROR(__xludf.DUMMYFUNCTION("""COMPUTED_VALUE"""),"")</f>
        <v/>
      </c>
      <c r="R577" s="36" t="str">
        <f ca="1">IFERROR(__xludf.DUMMYFUNCTION("""COMPUTED_VALUE"""),"")</f>
        <v/>
      </c>
      <c r="S577" s="36" t="str">
        <f ca="1">IFERROR(__xludf.DUMMYFUNCTION("""COMPUTED_VALUE"""),"")</f>
        <v/>
      </c>
      <c r="T577" s="36" t="str">
        <f ca="1">IFERROR(__xludf.DUMMYFUNCTION("""COMPUTED_VALUE"""),"")</f>
        <v/>
      </c>
      <c r="U577" s="36" t="str">
        <f ca="1">IFERROR(__xludf.DUMMYFUNCTION("""COMPUTED_VALUE"""),"")</f>
        <v/>
      </c>
      <c r="V577" s="36" t="str">
        <f ca="1">IFERROR(__xludf.DUMMYFUNCTION("""COMPUTED_VALUE"""),"")</f>
        <v/>
      </c>
      <c r="W577" s="36" t="str">
        <f ca="1">IFERROR(__xludf.DUMMYFUNCTION("""COMPUTED_VALUE"""),"")</f>
        <v/>
      </c>
      <c r="X577" s="36"/>
      <c r="Y577" s="36"/>
      <c r="Z577" s="36"/>
    </row>
    <row r="578" spans="1:26" ht="12.75" hidden="1">
      <c r="A578" s="36" t="str">
        <f ca="1">IFERROR(__xludf.DUMMYFUNCTION("""COMPUTED_VALUE"""),"")</f>
        <v/>
      </c>
      <c r="B578" s="36" t="str">
        <f ca="1">IFERROR(__xludf.DUMMYFUNCTION("""COMPUTED_VALUE"""),"")</f>
        <v/>
      </c>
      <c r="C578" s="36" t="str">
        <f ca="1">IFERROR(__xludf.DUMMYFUNCTION("""COMPUTED_VALUE"""),"")</f>
        <v/>
      </c>
      <c r="D578" s="36" t="str">
        <f ca="1">IFERROR(__xludf.DUMMYFUNCTION("""COMPUTED_VALUE"""),"")</f>
        <v/>
      </c>
      <c r="E578" s="36" t="str">
        <f ca="1">IFERROR(__xludf.DUMMYFUNCTION("""COMPUTED_VALUE"""),"")</f>
        <v/>
      </c>
      <c r="F578" s="36" t="str">
        <f ca="1">IFERROR(__xludf.DUMMYFUNCTION("""COMPUTED_VALUE"""),"")</f>
        <v/>
      </c>
      <c r="G578" s="36" t="str">
        <f ca="1">IFERROR(__xludf.DUMMYFUNCTION("""COMPUTED_VALUE"""),"")</f>
        <v/>
      </c>
      <c r="H578" s="36" t="str">
        <f ca="1">IFERROR(__xludf.DUMMYFUNCTION("""COMPUTED_VALUE"""),"")</f>
        <v/>
      </c>
      <c r="I578" s="36" t="str">
        <f ca="1">IFERROR(__xludf.DUMMYFUNCTION("""COMPUTED_VALUE"""),"")</f>
        <v/>
      </c>
      <c r="J578" s="36" t="str">
        <f ca="1">IFERROR(__xludf.DUMMYFUNCTION("""COMPUTED_VALUE"""),"")</f>
        <v/>
      </c>
      <c r="K578" s="36" t="str">
        <f ca="1">IFERROR(__xludf.DUMMYFUNCTION("""COMPUTED_VALUE"""),"")</f>
        <v/>
      </c>
      <c r="L578" s="36" t="str">
        <f ca="1">IFERROR(__xludf.DUMMYFUNCTION("""COMPUTED_VALUE"""),"")</f>
        <v/>
      </c>
      <c r="M578" s="36" t="str">
        <f ca="1">IFERROR(__xludf.DUMMYFUNCTION("""COMPUTED_VALUE"""),"")</f>
        <v/>
      </c>
      <c r="N578" s="36" t="str">
        <f ca="1">IFERROR(__xludf.DUMMYFUNCTION("""COMPUTED_VALUE"""),"")</f>
        <v/>
      </c>
      <c r="O578" s="36" t="str">
        <f ca="1">IFERROR(__xludf.DUMMYFUNCTION("""COMPUTED_VALUE"""),"")</f>
        <v/>
      </c>
      <c r="P578" s="36" t="str">
        <f ca="1">IFERROR(__xludf.DUMMYFUNCTION("""COMPUTED_VALUE"""),"")</f>
        <v/>
      </c>
      <c r="Q578" s="36" t="str">
        <f ca="1">IFERROR(__xludf.DUMMYFUNCTION("""COMPUTED_VALUE"""),"")</f>
        <v/>
      </c>
      <c r="R578" s="36" t="str">
        <f ca="1">IFERROR(__xludf.DUMMYFUNCTION("""COMPUTED_VALUE"""),"")</f>
        <v/>
      </c>
      <c r="S578" s="36" t="str">
        <f ca="1">IFERROR(__xludf.DUMMYFUNCTION("""COMPUTED_VALUE"""),"")</f>
        <v/>
      </c>
      <c r="T578" s="36" t="str">
        <f ca="1">IFERROR(__xludf.DUMMYFUNCTION("""COMPUTED_VALUE"""),"")</f>
        <v/>
      </c>
      <c r="U578" s="36" t="str">
        <f ca="1">IFERROR(__xludf.DUMMYFUNCTION("""COMPUTED_VALUE"""),"")</f>
        <v/>
      </c>
      <c r="V578" s="36" t="str">
        <f ca="1">IFERROR(__xludf.DUMMYFUNCTION("""COMPUTED_VALUE"""),"")</f>
        <v/>
      </c>
      <c r="W578" s="36" t="str">
        <f ca="1">IFERROR(__xludf.DUMMYFUNCTION("""COMPUTED_VALUE"""),"")</f>
        <v/>
      </c>
      <c r="X578" s="36"/>
      <c r="Y578" s="36"/>
      <c r="Z578" s="36"/>
    </row>
    <row r="579" spans="1:26" ht="12.75" hidden="1">
      <c r="A579" s="36" t="str">
        <f ca="1">IFERROR(__xludf.DUMMYFUNCTION("""COMPUTED_VALUE"""),"")</f>
        <v/>
      </c>
      <c r="B579" s="36" t="str">
        <f ca="1">IFERROR(__xludf.DUMMYFUNCTION("""COMPUTED_VALUE"""),"")</f>
        <v/>
      </c>
      <c r="C579" s="36" t="str">
        <f ca="1">IFERROR(__xludf.DUMMYFUNCTION("""COMPUTED_VALUE"""),"")</f>
        <v/>
      </c>
      <c r="D579" s="36" t="str">
        <f ca="1">IFERROR(__xludf.DUMMYFUNCTION("""COMPUTED_VALUE"""),"")</f>
        <v/>
      </c>
      <c r="E579" s="36" t="str">
        <f ca="1">IFERROR(__xludf.DUMMYFUNCTION("""COMPUTED_VALUE"""),"")</f>
        <v/>
      </c>
      <c r="F579" s="36" t="str">
        <f ca="1">IFERROR(__xludf.DUMMYFUNCTION("""COMPUTED_VALUE"""),"")</f>
        <v/>
      </c>
      <c r="G579" s="36" t="str">
        <f ca="1">IFERROR(__xludf.DUMMYFUNCTION("""COMPUTED_VALUE"""),"")</f>
        <v/>
      </c>
      <c r="H579" s="36" t="str">
        <f ca="1">IFERROR(__xludf.DUMMYFUNCTION("""COMPUTED_VALUE"""),"")</f>
        <v/>
      </c>
      <c r="I579" s="36" t="str">
        <f ca="1">IFERROR(__xludf.DUMMYFUNCTION("""COMPUTED_VALUE"""),"")</f>
        <v/>
      </c>
      <c r="J579" s="36" t="str">
        <f ca="1">IFERROR(__xludf.DUMMYFUNCTION("""COMPUTED_VALUE"""),"")</f>
        <v/>
      </c>
      <c r="K579" s="36" t="str">
        <f ca="1">IFERROR(__xludf.DUMMYFUNCTION("""COMPUTED_VALUE"""),"")</f>
        <v/>
      </c>
      <c r="L579" s="36" t="str">
        <f ca="1">IFERROR(__xludf.DUMMYFUNCTION("""COMPUTED_VALUE"""),"")</f>
        <v/>
      </c>
      <c r="M579" s="36" t="str">
        <f ca="1">IFERROR(__xludf.DUMMYFUNCTION("""COMPUTED_VALUE"""),"")</f>
        <v/>
      </c>
      <c r="N579" s="36" t="str">
        <f ca="1">IFERROR(__xludf.DUMMYFUNCTION("""COMPUTED_VALUE"""),"")</f>
        <v/>
      </c>
      <c r="O579" s="36" t="str">
        <f ca="1">IFERROR(__xludf.DUMMYFUNCTION("""COMPUTED_VALUE"""),"")</f>
        <v/>
      </c>
      <c r="P579" s="36" t="str">
        <f ca="1">IFERROR(__xludf.DUMMYFUNCTION("""COMPUTED_VALUE"""),"")</f>
        <v/>
      </c>
      <c r="Q579" s="36" t="str">
        <f ca="1">IFERROR(__xludf.DUMMYFUNCTION("""COMPUTED_VALUE"""),"")</f>
        <v/>
      </c>
      <c r="R579" s="36" t="str">
        <f ca="1">IFERROR(__xludf.DUMMYFUNCTION("""COMPUTED_VALUE"""),"")</f>
        <v/>
      </c>
      <c r="S579" s="36" t="str">
        <f ca="1">IFERROR(__xludf.DUMMYFUNCTION("""COMPUTED_VALUE"""),"")</f>
        <v/>
      </c>
      <c r="T579" s="36" t="str">
        <f ca="1">IFERROR(__xludf.DUMMYFUNCTION("""COMPUTED_VALUE"""),"")</f>
        <v/>
      </c>
      <c r="U579" s="36" t="str">
        <f ca="1">IFERROR(__xludf.DUMMYFUNCTION("""COMPUTED_VALUE"""),"")</f>
        <v/>
      </c>
      <c r="V579" s="36" t="str">
        <f ca="1">IFERROR(__xludf.DUMMYFUNCTION("""COMPUTED_VALUE"""),"")</f>
        <v/>
      </c>
      <c r="W579" s="36" t="str">
        <f ca="1">IFERROR(__xludf.DUMMYFUNCTION("""COMPUTED_VALUE"""),"")</f>
        <v/>
      </c>
      <c r="X579" s="36"/>
      <c r="Y579" s="36"/>
      <c r="Z579" s="36"/>
    </row>
    <row r="580" spans="1:26" ht="12.75" hidden="1">
      <c r="A580" s="36" t="str">
        <f ca="1">IFERROR(__xludf.DUMMYFUNCTION("""COMPUTED_VALUE"""),"")</f>
        <v/>
      </c>
      <c r="B580" s="36" t="str">
        <f ca="1">IFERROR(__xludf.DUMMYFUNCTION("""COMPUTED_VALUE"""),"")</f>
        <v/>
      </c>
      <c r="C580" s="36" t="str">
        <f ca="1">IFERROR(__xludf.DUMMYFUNCTION("""COMPUTED_VALUE"""),"")</f>
        <v/>
      </c>
      <c r="D580" s="36" t="str">
        <f ca="1">IFERROR(__xludf.DUMMYFUNCTION("""COMPUTED_VALUE"""),"")</f>
        <v/>
      </c>
      <c r="E580" s="36" t="str">
        <f ca="1">IFERROR(__xludf.DUMMYFUNCTION("""COMPUTED_VALUE"""),"")</f>
        <v/>
      </c>
      <c r="F580" s="36" t="str">
        <f ca="1">IFERROR(__xludf.DUMMYFUNCTION("""COMPUTED_VALUE"""),"")</f>
        <v/>
      </c>
      <c r="G580" s="36" t="str">
        <f ca="1">IFERROR(__xludf.DUMMYFUNCTION("""COMPUTED_VALUE"""),"")</f>
        <v/>
      </c>
      <c r="H580" s="36" t="str">
        <f ca="1">IFERROR(__xludf.DUMMYFUNCTION("""COMPUTED_VALUE"""),"")</f>
        <v/>
      </c>
      <c r="I580" s="36" t="str">
        <f ca="1">IFERROR(__xludf.DUMMYFUNCTION("""COMPUTED_VALUE"""),"")</f>
        <v/>
      </c>
      <c r="J580" s="36" t="str">
        <f ca="1">IFERROR(__xludf.DUMMYFUNCTION("""COMPUTED_VALUE"""),"")</f>
        <v/>
      </c>
      <c r="K580" s="36" t="str">
        <f ca="1">IFERROR(__xludf.DUMMYFUNCTION("""COMPUTED_VALUE"""),"")</f>
        <v/>
      </c>
      <c r="L580" s="36" t="str">
        <f ca="1">IFERROR(__xludf.DUMMYFUNCTION("""COMPUTED_VALUE"""),"")</f>
        <v/>
      </c>
      <c r="M580" s="36" t="str">
        <f ca="1">IFERROR(__xludf.DUMMYFUNCTION("""COMPUTED_VALUE"""),"")</f>
        <v/>
      </c>
      <c r="N580" s="36" t="str">
        <f ca="1">IFERROR(__xludf.DUMMYFUNCTION("""COMPUTED_VALUE"""),"")</f>
        <v/>
      </c>
      <c r="O580" s="36" t="str">
        <f ca="1">IFERROR(__xludf.DUMMYFUNCTION("""COMPUTED_VALUE"""),"")</f>
        <v/>
      </c>
      <c r="P580" s="36" t="str">
        <f ca="1">IFERROR(__xludf.DUMMYFUNCTION("""COMPUTED_VALUE"""),"")</f>
        <v/>
      </c>
      <c r="Q580" s="36" t="str">
        <f ca="1">IFERROR(__xludf.DUMMYFUNCTION("""COMPUTED_VALUE"""),"")</f>
        <v/>
      </c>
      <c r="R580" s="36" t="str">
        <f ca="1">IFERROR(__xludf.DUMMYFUNCTION("""COMPUTED_VALUE"""),"")</f>
        <v/>
      </c>
      <c r="S580" s="36" t="str">
        <f ca="1">IFERROR(__xludf.DUMMYFUNCTION("""COMPUTED_VALUE"""),"")</f>
        <v/>
      </c>
      <c r="T580" s="36" t="str">
        <f ca="1">IFERROR(__xludf.DUMMYFUNCTION("""COMPUTED_VALUE"""),"")</f>
        <v/>
      </c>
      <c r="U580" s="36" t="str">
        <f ca="1">IFERROR(__xludf.DUMMYFUNCTION("""COMPUTED_VALUE"""),"")</f>
        <v/>
      </c>
      <c r="V580" s="36" t="str">
        <f ca="1">IFERROR(__xludf.DUMMYFUNCTION("""COMPUTED_VALUE"""),"")</f>
        <v/>
      </c>
      <c r="W580" s="36" t="str">
        <f ca="1">IFERROR(__xludf.DUMMYFUNCTION("""COMPUTED_VALUE"""),"")</f>
        <v/>
      </c>
      <c r="X580" s="36"/>
      <c r="Y580" s="36"/>
      <c r="Z580" s="36"/>
    </row>
    <row r="581" spans="1:26" ht="12.75" hidden="1">
      <c r="A581" s="36" t="str">
        <f ca="1">IFERROR(__xludf.DUMMYFUNCTION("""COMPUTED_VALUE"""),"")</f>
        <v/>
      </c>
      <c r="B581" s="36" t="str">
        <f ca="1">IFERROR(__xludf.DUMMYFUNCTION("""COMPUTED_VALUE"""),"")</f>
        <v/>
      </c>
      <c r="C581" s="36" t="str">
        <f ca="1">IFERROR(__xludf.DUMMYFUNCTION("""COMPUTED_VALUE"""),"")</f>
        <v/>
      </c>
      <c r="D581" s="36" t="str">
        <f ca="1">IFERROR(__xludf.DUMMYFUNCTION("""COMPUTED_VALUE"""),"")</f>
        <v/>
      </c>
      <c r="E581" s="36" t="str">
        <f ca="1">IFERROR(__xludf.DUMMYFUNCTION("""COMPUTED_VALUE"""),"")</f>
        <v/>
      </c>
      <c r="F581" s="36" t="str">
        <f ca="1">IFERROR(__xludf.DUMMYFUNCTION("""COMPUTED_VALUE"""),"")</f>
        <v/>
      </c>
      <c r="G581" s="36" t="str">
        <f ca="1">IFERROR(__xludf.DUMMYFUNCTION("""COMPUTED_VALUE"""),"")</f>
        <v/>
      </c>
      <c r="H581" s="36" t="str">
        <f ca="1">IFERROR(__xludf.DUMMYFUNCTION("""COMPUTED_VALUE"""),"")</f>
        <v/>
      </c>
      <c r="I581" s="36" t="str">
        <f ca="1">IFERROR(__xludf.DUMMYFUNCTION("""COMPUTED_VALUE"""),"")</f>
        <v/>
      </c>
      <c r="J581" s="36" t="str">
        <f ca="1">IFERROR(__xludf.DUMMYFUNCTION("""COMPUTED_VALUE"""),"")</f>
        <v/>
      </c>
      <c r="K581" s="36" t="str">
        <f ca="1">IFERROR(__xludf.DUMMYFUNCTION("""COMPUTED_VALUE"""),"")</f>
        <v/>
      </c>
      <c r="L581" s="36" t="str">
        <f ca="1">IFERROR(__xludf.DUMMYFUNCTION("""COMPUTED_VALUE"""),"")</f>
        <v/>
      </c>
      <c r="M581" s="36" t="str">
        <f ca="1">IFERROR(__xludf.DUMMYFUNCTION("""COMPUTED_VALUE"""),"")</f>
        <v/>
      </c>
      <c r="N581" s="36" t="str">
        <f ca="1">IFERROR(__xludf.DUMMYFUNCTION("""COMPUTED_VALUE"""),"")</f>
        <v/>
      </c>
      <c r="O581" s="36" t="str">
        <f ca="1">IFERROR(__xludf.DUMMYFUNCTION("""COMPUTED_VALUE"""),"")</f>
        <v/>
      </c>
      <c r="P581" s="36" t="str">
        <f ca="1">IFERROR(__xludf.DUMMYFUNCTION("""COMPUTED_VALUE"""),"")</f>
        <v/>
      </c>
      <c r="Q581" s="36" t="str">
        <f ca="1">IFERROR(__xludf.DUMMYFUNCTION("""COMPUTED_VALUE"""),"")</f>
        <v/>
      </c>
      <c r="R581" s="36" t="str">
        <f ca="1">IFERROR(__xludf.DUMMYFUNCTION("""COMPUTED_VALUE"""),"")</f>
        <v/>
      </c>
      <c r="S581" s="36" t="str">
        <f ca="1">IFERROR(__xludf.DUMMYFUNCTION("""COMPUTED_VALUE"""),"")</f>
        <v/>
      </c>
      <c r="T581" s="36" t="str">
        <f ca="1">IFERROR(__xludf.DUMMYFUNCTION("""COMPUTED_VALUE"""),"")</f>
        <v/>
      </c>
      <c r="U581" s="36" t="str">
        <f ca="1">IFERROR(__xludf.DUMMYFUNCTION("""COMPUTED_VALUE"""),"")</f>
        <v/>
      </c>
      <c r="V581" s="36" t="str">
        <f ca="1">IFERROR(__xludf.DUMMYFUNCTION("""COMPUTED_VALUE"""),"")</f>
        <v/>
      </c>
      <c r="W581" s="36" t="str">
        <f ca="1">IFERROR(__xludf.DUMMYFUNCTION("""COMPUTED_VALUE"""),"")</f>
        <v/>
      </c>
      <c r="X581" s="36"/>
      <c r="Y581" s="36"/>
      <c r="Z581" s="36"/>
    </row>
    <row r="582" spans="1:26" ht="12.75" hidden="1">
      <c r="A582" s="36" t="str">
        <f ca="1">IFERROR(__xludf.DUMMYFUNCTION("""COMPUTED_VALUE"""),"")</f>
        <v/>
      </c>
      <c r="B582" s="36" t="str">
        <f ca="1">IFERROR(__xludf.DUMMYFUNCTION("""COMPUTED_VALUE"""),"")</f>
        <v/>
      </c>
      <c r="C582" s="36" t="str">
        <f ca="1">IFERROR(__xludf.DUMMYFUNCTION("""COMPUTED_VALUE"""),"")</f>
        <v/>
      </c>
      <c r="D582" s="36" t="str">
        <f ca="1">IFERROR(__xludf.DUMMYFUNCTION("""COMPUTED_VALUE"""),"")</f>
        <v/>
      </c>
      <c r="E582" s="36" t="str">
        <f ca="1">IFERROR(__xludf.DUMMYFUNCTION("""COMPUTED_VALUE"""),"")</f>
        <v/>
      </c>
      <c r="F582" s="36" t="str">
        <f ca="1">IFERROR(__xludf.DUMMYFUNCTION("""COMPUTED_VALUE"""),"")</f>
        <v/>
      </c>
      <c r="G582" s="36" t="str">
        <f ca="1">IFERROR(__xludf.DUMMYFUNCTION("""COMPUTED_VALUE"""),"")</f>
        <v/>
      </c>
      <c r="H582" s="36" t="str">
        <f ca="1">IFERROR(__xludf.DUMMYFUNCTION("""COMPUTED_VALUE"""),"")</f>
        <v/>
      </c>
      <c r="I582" s="36" t="str">
        <f ca="1">IFERROR(__xludf.DUMMYFUNCTION("""COMPUTED_VALUE"""),"")</f>
        <v/>
      </c>
      <c r="J582" s="36" t="str">
        <f ca="1">IFERROR(__xludf.DUMMYFUNCTION("""COMPUTED_VALUE"""),"")</f>
        <v/>
      </c>
      <c r="K582" s="36" t="str">
        <f ca="1">IFERROR(__xludf.DUMMYFUNCTION("""COMPUTED_VALUE"""),"")</f>
        <v/>
      </c>
      <c r="L582" s="36" t="str">
        <f ca="1">IFERROR(__xludf.DUMMYFUNCTION("""COMPUTED_VALUE"""),"")</f>
        <v/>
      </c>
      <c r="M582" s="36" t="str">
        <f ca="1">IFERROR(__xludf.DUMMYFUNCTION("""COMPUTED_VALUE"""),"")</f>
        <v/>
      </c>
      <c r="N582" s="36" t="str">
        <f ca="1">IFERROR(__xludf.DUMMYFUNCTION("""COMPUTED_VALUE"""),"")</f>
        <v/>
      </c>
      <c r="O582" s="36" t="str">
        <f ca="1">IFERROR(__xludf.DUMMYFUNCTION("""COMPUTED_VALUE"""),"")</f>
        <v/>
      </c>
      <c r="P582" s="36" t="str">
        <f ca="1">IFERROR(__xludf.DUMMYFUNCTION("""COMPUTED_VALUE"""),"")</f>
        <v/>
      </c>
      <c r="Q582" s="36" t="str">
        <f ca="1">IFERROR(__xludf.DUMMYFUNCTION("""COMPUTED_VALUE"""),"")</f>
        <v/>
      </c>
      <c r="R582" s="36" t="str">
        <f ca="1">IFERROR(__xludf.DUMMYFUNCTION("""COMPUTED_VALUE"""),"")</f>
        <v/>
      </c>
      <c r="S582" s="36" t="str">
        <f ca="1">IFERROR(__xludf.DUMMYFUNCTION("""COMPUTED_VALUE"""),"")</f>
        <v/>
      </c>
      <c r="T582" s="36" t="str">
        <f ca="1">IFERROR(__xludf.DUMMYFUNCTION("""COMPUTED_VALUE"""),"")</f>
        <v/>
      </c>
      <c r="U582" s="36" t="str">
        <f ca="1">IFERROR(__xludf.DUMMYFUNCTION("""COMPUTED_VALUE"""),"")</f>
        <v/>
      </c>
      <c r="V582" s="36" t="str">
        <f ca="1">IFERROR(__xludf.DUMMYFUNCTION("""COMPUTED_VALUE"""),"")</f>
        <v/>
      </c>
      <c r="W582" s="36" t="str">
        <f ca="1">IFERROR(__xludf.DUMMYFUNCTION("""COMPUTED_VALUE"""),"")</f>
        <v/>
      </c>
      <c r="X582" s="36"/>
      <c r="Y582" s="36"/>
      <c r="Z582" s="36"/>
    </row>
    <row r="583" spans="1:26" ht="12.75" hidden="1">
      <c r="A583" s="36" t="str">
        <f ca="1">IFERROR(__xludf.DUMMYFUNCTION("""COMPUTED_VALUE"""),"")</f>
        <v/>
      </c>
      <c r="B583" s="36" t="str">
        <f ca="1">IFERROR(__xludf.DUMMYFUNCTION("""COMPUTED_VALUE"""),"")</f>
        <v/>
      </c>
      <c r="C583" s="36" t="str">
        <f ca="1">IFERROR(__xludf.DUMMYFUNCTION("""COMPUTED_VALUE"""),"")</f>
        <v/>
      </c>
      <c r="D583" s="36" t="str">
        <f ca="1">IFERROR(__xludf.DUMMYFUNCTION("""COMPUTED_VALUE"""),"")</f>
        <v/>
      </c>
      <c r="E583" s="36" t="str">
        <f ca="1">IFERROR(__xludf.DUMMYFUNCTION("""COMPUTED_VALUE"""),"")</f>
        <v/>
      </c>
      <c r="F583" s="36" t="str">
        <f ca="1">IFERROR(__xludf.DUMMYFUNCTION("""COMPUTED_VALUE"""),"")</f>
        <v/>
      </c>
      <c r="G583" s="36" t="str">
        <f ca="1">IFERROR(__xludf.DUMMYFUNCTION("""COMPUTED_VALUE"""),"")</f>
        <v/>
      </c>
      <c r="H583" s="36" t="str">
        <f ca="1">IFERROR(__xludf.DUMMYFUNCTION("""COMPUTED_VALUE"""),"")</f>
        <v/>
      </c>
      <c r="I583" s="36" t="str">
        <f ca="1">IFERROR(__xludf.DUMMYFUNCTION("""COMPUTED_VALUE"""),"")</f>
        <v/>
      </c>
      <c r="J583" s="36" t="str">
        <f ca="1">IFERROR(__xludf.DUMMYFUNCTION("""COMPUTED_VALUE"""),"")</f>
        <v/>
      </c>
      <c r="K583" s="36" t="str">
        <f ca="1">IFERROR(__xludf.DUMMYFUNCTION("""COMPUTED_VALUE"""),"")</f>
        <v/>
      </c>
      <c r="L583" s="36" t="str">
        <f ca="1">IFERROR(__xludf.DUMMYFUNCTION("""COMPUTED_VALUE"""),"")</f>
        <v/>
      </c>
      <c r="M583" s="36" t="str">
        <f ca="1">IFERROR(__xludf.DUMMYFUNCTION("""COMPUTED_VALUE"""),"")</f>
        <v/>
      </c>
      <c r="N583" s="36" t="str">
        <f ca="1">IFERROR(__xludf.DUMMYFUNCTION("""COMPUTED_VALUE"""),"")</f>
        <v/>
      </c>
      <c r="O583" s="36" t="str">
        <f ca="1">IFERROR(__xludf.DUMMYFUNCTION("""COMPUTED_VALUE"""),"")</f>
        <v/>
      </c>
      <c r="P583" s="36" t="str">
        <f ca="1">IFERROR(__xludf.DUMMYFUNCTION("""COMPUTED_VALUE"""),"")</f>
        <v/>
      </c>
      <c r="Q583" s="36" t="str">
        <f ca="1">IFERROR(__xludf.DUMMYFUNCTION("""COMPUTED_VALUE"""),"")</f>
        <v/>
      </c>
      <c r="R583" s="36" t="str">
        <f ca="1">IFERROR(__xludf.DUMMYFUNCTION("""COMPUTED_VALUE"""),"")</f>
        <v/>
      </c>
      <c r="S583" s="36" t="str">
        <f ca="1">IFERROR(__xludf.DUMMYFUNCTION("""COMPUTED_VALUE"""),"")</f>
        <v/>
      </c>
      <c r="T583" s="36" t="str">
        <f ca="1">IFERROR(__xludf.DUMMYFUNCTION("""COMPUTED_VALUE"""),"")</f>
        <v/>
      </c>
      <c r="U583" s="36" t="str">
        <f ca="1">IFERROR(__xludf.DUMMYFUNCTION("""COMPUTED_VALUE"""),"")</f>
        <v/>
      </c>
      <c r="V583" s="36" t="str">
        <f ca="1">IFERROR(__xludf.DUMMYFUNCTION("""COMPUTED_VALUE"""),"")</f>
        <v/>
      </c>
      <c r="W583" s="36" t="str">
        <f ca="1">IFERROR(__xludf.DUMMYFUNCTION("""COMPUTED_VALUE"""),"")</f>
        <v/>
      </c>
      <c r="X583" s="36"/>
      <c r="Y583" s="36"/>
      <c r="Z583" s="36"/>
    </row>
    <row r="584" spans="1:26" ht="12.75" hidden="1">
      <c r="A584" s="36" t="str">
        <f ca="1">IFERROR(__xludf.DUMMYFUNCTION("""COMPUTED_VALUE"""),"")</f>
        <v/>
      </c>
      <c r="B584" s="36" t="str">
        <f ca="1">IFERROR(__xludf.DUMMYFUNCTION("""COMPUTED_VALUE"""),"")</f>
        <v/>
      </c>
      <c r="C584" s="36" t="str">
        <f ca="1">IFERROR(__xludf.DUMMYFUNCTION("""COMPUTED_VALUE"""),"")</f>
        <v/>
      </c>
      <c r="D584" s="36" t="str">
        <f ca="1">IFERROR(__xludf.DUMMYFUNCTION("""COMPUTED_VALUE"""),"")</f>
        <v/>
      </c>
      <c r="E584" s="36" t="str">
        <f ca="1">IFERROR(__xludf.DUMMYFUNCTION("""COMPUTED_VALUE"""),"")</f>
        <v/>
      </c>
      <c r="F584" s="36" t="str">
        <f ca="1">IFERROR(__xludf.DUMMYFUNCTION("""COMPUTED_VALUE"""),"")</f>
        <v/>
      </c>
      <c r="G584" s="36" t="str">
        <f ca="1">IFERROR(__xludf.DUMMYFUNCTION("""COMPUTED_VALUE"""),"")</f>
        <v/>
      </c>
      <c r="H584" s="36" t="str">
        <f ca="1">IFERROR(__xludf.DUMMYFUNCTION("""COMPUTED_VALUE"""),"")</f>
        <v/>
      </c>
      <c r="I584" s="36" t="str">
        <f ca="1">IFERROR(__xludf.DUMMYFUNCTION("""COMPUTED_VALUE"""),"")</f>
        <v/>
      </c>
      <c r="J584" s="36" t="str">
        <f ca="1">IFERROR(__xludf.DUMMYFUNCTION("""COMPUTED_VALUE"""),"")</f>
        <v/>
      </c>
      <c r="K584" s="36" t="str">
        <f ca="1">IFERROR(__xludf.DUMMYFUNCTION("""COMPUTED_VALUE"""),"")</f>
        <v/>
      </c>
      <c r="L584" s="36" t="str">
        <f ca="1">IFERROR(__xludf.DUMMYFUNCTION("""COMPUTED_VALUE"""),"")</f>
        <v/>
      </c>
      <c r="M584" s="36" t="str">
        <f ca="1">IFERROR(__xludf.DUMMYFUNCTION("""COMPUTED_VALUE"""),"")</f>
        <v/>
      </c>
      <c r="N584" s="36" t="str">
        <f ca="1">IFERROR(__xludf.DUMMYFUNCTION("""COMPUTED_VALUE"""),"")</f>
        <v/>
      </c>
      <c r="O584" s="36" t="str">
        <f ca="1">IFERROR(__xludf.DUMMYFUNCTION("""COMPUTED_VALUE"""),"")</f>
        <v/>
      </c>
      <c r="P584" s="36" t="str">
        <f ca="1">IFERROR(__xludf.DUMMYFUNCTION("""COMPUTED_VALUE"""),"")</f>
        <v/>
      </c>
      <c r="Q584" s="36" t="str">
        <f ca="1">IFERROR(__xludf.DUMMYFUNCTION("""COMPUTED_VALUE"""),"")</f>
        <v/>
      </c>
      <c r="R584" s="36" t="str">
        <f ca="1">IFERROR(__xludf.DUMMYFUNCTION("""COMPUTED_VALUE"""),"")</f>
        <v/>
      </c>
      <c r="S584" s="36" t="str">
        <f ca="1">IFERROR(__xludf.DUMMYFUNCTION("""COMPUTED_VALUE"""),"")</f>
        <v/>
      </c>
      <c r="T584" s="36" t="str">
        <f ca="1">IFERROR(__xludf.DUMMYFUNCTION("""COMPUTED_VALUE"""),"")</f>
        <v/>
      </c>
      <c r="U584" s="36" t="str">
        <f ca="1">IFERROR(__xludf.DUMMYFUNCTION("""COMPUTED_VALUE"""),"")</f>
        <v/>
      </c>
      <c r="V584" s="36" t="str">
        <f ca="1">IFERROR(__xludf.DUMMYFUNCTION("""COMPUTED_VALUE"""),"")</f>
        <v/>
      </c>
      <c r="W584" s="36" t="str">
        <f ca="1">IFERROR(__xludf.DUMMYFUNCTION("""COMPUTED_VALUE"""),"")</f>
        <v/>
      </c>
      <c r="X584" s="36"/>
      <c r="Y584" s="36"/>
      <c r="Z584" s="36"/>
    </row>
    <row r="585" spans="1:26" ht="12.75" hidden="1">
      <c r="A585" s="36" t="str">
        <f ca="1">IFERROR(__xludf.DUMMYFUNCTION("""COMPUTED_VALUE"""),"")</f>
        <v/>
      </c>
      <c r="B585" s="36" t="str">
        <f ca="1">IFERROR(__xludf.DUMMYFUNCTION("""COMPUTED_VALUE"""),"")</f>
        <v/>
      </c>
      <c r="C585" s="36" t="str">
        <f ca="1">IFERROR(__xludf.DUMMYFUNCTION("""COMPUTED_VALUE"""),"")</f>
        <v/>
      </c>
      <c r="D585" s="36" t="str">
        <f ca="1">IFERROR(__xludf.DUMMYFUNCTION("""COMPUTED_VALUE"""),"")</f>
        <v/>
      </c>
      <c r="E585" s="36" t="str">
        <f ca="1">IFERROR(__xludf.DUMMYFUNCTION("""COMPUTED_VALUE"""),"")</f>
        <v/>
      </c>
      <c r="F585" s="36" t="str">
        <f ca="1">IFERROR(__xludf.DUMMYFUNCTION("""COMPUTED_VALUE"""),"")</f>
        <v/>
      </c>
      <c r="G585" s="36" t="str">
        <f ca="1">IFERROR(__xludf.DUMMYFUNCTION("""COMPUTED_VALUE"""),"")</f>
        <v/>
      </c>
      <c r="H585" s="36" t="str">
        <f ca="1">IFERROR(__xludf.DUMMYFUNCTION("""COMPUTED_VALUE"""),"")</f>
        <v/>
      </c>
      <c r="I585" s="36" t="str">
        <f ca="1">IFERROR(__xludf.DUMMYFUNCTION("""COMPUTED_VALUE"""),"")</f>
        <v/>
      </c>
      <c r="J585" s="36" t="str">
        <f ca="1">IFERROR(__xludf.DUMMYFUNCTION("""COMPUTED_VALUE"""),"")</f>
        <v/>
      </c>
      <c r="K585" s="36" t="str">
        <f ca="1">IFERROR(__xludf.DUMMYFUNCTION("""COMPUTED_VALUE"""),"")</f>
        <v/>
      </c>
      <c r="L585" s="36" t="str">
        <f ca="1">IFERROR(__xludf.DUMMYFUNCTION("""COMPUTED_VALUE"""),"")</f>
        <v/>
      </c>
      <c r="M585" s="36" t="str">
        <f ca="1">IFERROR(__xludf.DUMMYFUNCTION("""COMPUTED_VALUE"""),"")</f>
        <v/>
      </c>
      <c r="N585" s="36" t="str">
        <f ca="1">IFERROR(__xludf.DUMMYFUNCTION("""COMPUTED_VALUE"""),"")</f>
        <v/>
      </c>
      <c r="O585" s="36" t="str">
        <f ca="1">IFERROR(__xludf.DUMMYFUNCTION("""COMPUTED_VALUE"""),"")</f>
        <v/>
      </c>
      <c r="P585" s="36" t="str">
        <f ca="1">IFERROR(__xludf.DUMMYFUNCTION("""COMPUTED_VALUE"""),"")</f>
        <v/>
      </c>
      <c r="Q585" s="36" t="str">
        <f ca="1">IFERROR(__xludf.DUMMYFUNCTION("""COMPUTED_VALUE"""),"")</f>
        <v/>
      </c>
      <c r="R585" s="36" t="str">
        <f ca="1">IFERROR(__xludf.DUMMYFUNCTION("""COMPUTED_VALUE"""),"")</f>
        <v/>
      </c>
      <c r="S585" s="36" t="str">
        <f ca="1">IFERROR(__xludf.DUMMYFUNCTION("""COMPUTED_VALUE"""),"")</f>
        <v/>
      </c>
      <c r="T585" s="36" t="str">
        <f ca="1">IFERROR(__xludf.DUMMYFUNCTION("""COMPUTED_VALUE"""),"")</f>
        <v/>
      </c>
      <c r="U585" s="36" t="str">
        <f ca="1">IFERROR(__xludf.DUMMYFUNCTION("""COMPUTED_VALUE"""),"")</f>
        <v/>
      </c>
      <c r="V585" s="36" t="str">
        <f ca="1">IFERROR(__xludf.DUMMYFUNCTION("""COMPUTED_VALUE"""),"")</f>
        <v/>
      </c>
      <c r="W585" s="36" t="str">
        <f ca="1">IFERROR(__xludf.DUMMYFUNCTION("""COMPUTED_VALUE"""),"")</f>
        <v/>
      </c>
      <c r="X585" s="36"/>
      <c r="Y585" s="36"/>
      <c r="Z585" s="36"/>
    </row>
    <row r="586" spans="1:26" ht="12.75" hidden="1">
      <c r="A586" s="36" t="str">
        <f ca="1">IFERROR(__xludf.DUMMYFUNCTION("""COMPUTED_VALUE"""),"")</f>
        <v/>
      </c>
      <c r="B586" s="36" t="str">
        <f ca="1">IFERROR(__xludf.DUMMYFUNCTION("""COMPUTED_VALUE"""),"")</f>
        <v/>
      </c>
      <c r="C586" s="36" t="str">
        <f ca="1">IFERROR(__xludf.DUMMYFUNCTION("""COMPUTED_VALUE"""),"")</f>
        <v/>
      </c>
      <c r="D586" s="36" t="str">
        <f ca="1">IFERROR(__xludf.DUMMYFUNCTION("""COMPUTED_VALUE"""),"")</f>
        <v/>
      </c>
      <c r="E586" s="36" t="str">
        <f ca="1">IFERROR(__xludf.DUMMYFUNCTION("""COMPUTED_VALUE"""),"")</f>
        <v/>
      </c>
      <c r="F586" s="36" t="str">
        <f ca="1">IFERROR(__xludf.DUMMYFUNCTION("""COMPUTED_VALUE"""),"")</f>
        <v/>
      </c>
      <c r="G586" s="36" t="str">
        <f ca="1">IFERROR(__xludf.DUMMYFUNCTION("""COMPUTED_VALUE"""),"")</f>
        <v/>
      </c>
      <c r="H586" s="36" t="str">
        <f ca="1">IFERROR(__xludf.DUMMYFUNCTION("""COMPUTED_VALUE"""),"")</f>
        <v/>
      </c>
      <c r="I586" s="36" t="str">
        <f ca="1">IFERROR(__xludf.DUMMYFUNCTION("""COMPUTED_VALUE"""),"")</f>
        <v/>
      </c>
      <c r="J586" s="36" t="str">
        <f ca="1">IFERROR(__xludf.DUMMYFUNCTION("""COMPUTED_VALUE"""),"")</f>
        <v/>
      </c>
      <c r="K586" s="36" t="str">
        <f ca="1">IFERROR(__xludf.DUMMYFUNCTION("""COMPUTED_VALUE"""),"")</f>
        <v/>
      </c>
      <c r="L586" s="36" t="str">
        <f ca="1">IFERROR(__xludf.DUMMYFUNCTION("""COMPUTED_VALUE"""),"")</f>
        <v/>
      </c>
      <c r="M586" s="36" t="str">
        <f ca="1">IFERROR(__xludf.DUMMYFUNCTION("""COMPUTED_VALUE"""),"")</f>
        <v/>
      </c>
      <c r="N586" s="36" t="str">
        <f ca="1">IFERROR(__xludf.DUMMYFUNCTION("""COMPUTED_VALUE"""),"")</f>
        <v/>
      </c>
      <c r="O586" s="36" t="str">
        <f ca="1">IFERROR(__xludf.DUMMYFUNCTION("""COMPUTED_VALUE"""),"")</f>
        <v/>
      </c>
      <c r="P586" s="36" t="str">
        <f ca="1">IFERROR(__xludf.DUMMYFUNCTION("""COMPUTED_VALUE"""),"")</f>
        <v/>
      </c>
      <c r="Q586" s="36" t="str">
        <f ca="1">IFERROR(__xludf.DUMMYFUNCTION("""COMPUTED_VALUE"""),"")</f>
        <v/>
      </c>
      <c r="R586" s="36" t="str">
        <f ca="1">IFERROR(__xludf.DUMMYFUNCTION("""COMPUTED_VALUE"""),"")</f>
        <v/>
      </c>
      <c r="S586" s="36" t="str">
        <f ca="1">IFERROR(__xludf.DUMMYFUNCTION("""COMPUTED_VALUE"""),"")</f>
        <v/>
      </c>
      <c r="T586" s="36" t="str">
        <f ca="1">IFERROR(__xludf.DUMMYFUNCTION("""COMPUTED_VALUE"""),"")</f>
        <v/>
      </c>
      <c r="U586" s="36" t="str">
        <f ca="1">IFERROR(__xludf.DUMMYFUNCTION("""COMPUTED_VALUE"""),"")</f>
        <v/>
      </c>
      <c r="V586" s="36" t="str">
        <f ca="1">IFERROR(__xludf.DUMMYFUNCTION("""COMPUTED_VALUE"""),"")</f>
        <v/>
      </c>
      <c r="W586" s="36" t="str">
        <f ca="1">IFERROR(__xludf.DUMMYFUNCTION("""COMPUTED_VALUE"""),"")</f>
        <v/>
      </c>
      <c r="X586" s="36"/>
      <c r="Y586" s="36"/>
      <c r="Z586" s="36"/>
    </row>
    <row r="587" spans="1:26" ht="12.75" hidden="1">
      <c r="A587" s="36" t="str">
        <f ca="1">IFERROR(__xludf.DUMMYFUNCTION("""COMPUTED_VALUE"""),"")</f>
        <v/>
      </c>
      <c r="B587" s="36" t="str">
        <f ca="1">IFERROR(__xludf.DUMMYFUNCTION("""COMPUTED_VALUE"""),"")</f>
        <v/>
      </c>
      <c r="C587" s="36" t="str">
        <f ca="1">IFERROR(__xludf.DUMMYFUNCTION("""COMPUTED_VALUE"""),"")</f>
        <v/>
      </c>
      <c r="D587" s="36" t="str">
        <f ca="1">IFERROR(__xludf.DUMMYFUNCTION("""COMPUTED_VALUE"""),"")</f>
        <v/>
      </c>
      <c r="E587" s="36" t="str">
        <f ca="1">IFERROR(__xludf.DUMMYFUNCTION("""COMPUTED_VALUE"""),"")</f>
        <v/>
      </c>
      <c r="F587" s="36" t="str">
        <f ca="1">IFERROR(__xludf.DUMMYFUNCTION("""COMPUTED_VALUE"""),"")</f>
        <v/>
      </c>
      <c r="G587" s="36" t="str">
        <f ca="1">IFERROR(__xludf.DUMMYFUNCTION("""COMPUTED_VALUE"""),"")</f>
        <v/>
      </c>
      <c r="H587" s="36" t="str">
        <f ca="1">IFERROR(__xludf.DUMMYFUNCTION("""COMPUTED_VALUE"""),"")</f>
        <v/>
      </c>
      <c r="I587" s="36" t="str">
        <f ca="1">IFERROR(__xludf.DUMMYFUNCTION("""COMPUTED_VALUE"""),"")</f>
        <v/>
      </c>
      <c r="J587" s="36" t="str">
        <f ca="1">IFERROR(__xludf.DUMMYFUNCTION("""COMPUTED_VALUE"""),"")</f>
        <v/>
      </c>
      <c r="K587" s="36" t="str">
        <f ca="1">IFERROR(__xludf.DUMMYFUNCTION("""COMPUTED_VALUE"""),"")</f>
        <v/>
      </c>
      <c r="L587" s="36" t="str">
        <f ca="1">IFERROR(__xludf.DUMMYFUNCTION("""COMPUTED_VALUE"""),"")</f>
        <v/>
      </c>
      <c r="M587" s="36" t="str">
        <f ca="1">IFERROR(__xludf.DUMMYFUNCTION("""COMPUTED_VALUE"""),"")</f>
        <v/>
      </c>
      <c r="N587" s="36" t="str">
        <f ca="1">IFERROR(__xludf.DUMMYFUNCTION("""COMPUTED_VALUE"""),"")</f>
        <v/>
      </c>
      <c r="O587" s="36" t="str">
        <f ca="1">IFERROR(__xludf.DUMMYFUNCTION("""COMPUTED_VALUE"""),"")</f>
        <v/>
      </c>
      <c r="P587" s="36" t="str">
        <f ca="1">IFERROR(__xludf.DUMMYFUNCTION("""COMPUTED_VALUE"""),"")</f>
        <v/>
      </c>
      <c r="Q587" s="36" t="str">
        <f ca="1">IFERROR(__xludf.DUMMYFUNCTION("""COMPUTED_VALUE"""),"")</f>
        <v/>
      </c>
      <c r="R587" s="36" t="str">
        <f ca="1">IFERROR(__xludf.DUMMYFUNCTION("""COMPUTED_VALUE"""),"")</f>
        <v/>
      </c>
      <c r="S587" s="36" t="str">
        <f ca="1">IFERROR(__xludf.DUMMYFUNCTION("""COMPUTED_VALUE"""),"")</f>
        <v/>
      </c>
      <c r="T587" s="36" t="str">
        <f ca="1">IFERROR(__xludf.DUMMYFUNCTION("""COMPUTED_VALUE"""),"")</f>
        <v/>
      </c>
      <c r="U587" s="36" t="str">
        <f ca="1">IFERROR(__xludf.DUMMYFUNCTION("""COMPUTED_VALUE"""),"")</f>
        <v/>
      </c>
      <c r="V587" s="36" t="str">
        <f ca="1">IFERROR(__xludf.DUMMYFUNCTION("""COMPUTED_VALUE"""),"")</f>
        <v/>
      </c>
      <c r="W587" s="36" t="str">
        <f ca="1">IFERROR(__xludf.DUMMYFUNCTION("""COMPUTED_VALUE"""),"")</f>
        <v/>
      </c>
      <c r="X587" s="36"/>
      <c r="Y587" s="36"/>
      <c r="Z587" s="36"/>
    </row>
    <row r="588" spans="1:26" ht="12.75" hidden="1">
      <c r="A588" s="36" t="str">
        <f ca="1">IFERROR(__xludf.DUMMYFUNCTION("""COMPUTED_VALUE"""),"")</f>
        <v/>
      </c>
      <c r="B588" s="36" t="str">
        <f ca="1">IFERROR(__xludf.DUMMYFUNCTION("""COMPUTED_VALUE"""),"")</f>
        <v/>
      </c>
      <c r="C588" s="36" t="str">
        <f ca="1">IFERROR(__xludf.DUMMYFUNCTION("""COMPUTED_VALUE"""),"")</f>
        <v/>
      </c>
      <c r="D588" s="36" t="str">
        <f ca="1">IFERROR(__xludf.DUMMYFUNCTION("""COMPUTED_VALUE"""),"")</f>
        <v/>
      </c>
      <c r="E588" s="36" t="str">
        <f ca="1">IFERROR(__xludf.DUMMYFUNCTION("""COMPUTED_VALUE"""),"")</f>
        <v/>
      </c>
      <c r="F588" s="36" t="str">
        <f ca="1">IFERROR(__xludf.DUMMYFUNCTION("""COMPUTED_VALUE"""),"")</f>
        <v/>
      </c>
      <c r="G588" s="36" t="str">
        <f ca="1">IFERROR(__xludf.DUMMYFUNCTION("""COMPUTED_VALUE"""),"")</f>
        <v/>
      </c>
      <c r="H588" s="36" t="str">
        <f ca="1">IFERROR(__xludf.DUMMYFUNCTION("""COMPUTED_VALUE"""),"")</f>
        <v/>
      </c>
      <c r="I588" s="36" t="str">
        <f ca="1">IFERROR(__xludf.DUMMYFUNCTION("""COMPUTED_VALUE"""),"")</f>
        <v/>
      </c>
      <c r="J588" s="36" t="str">
        <f ca="1">IFERROR(__xludf.DUMMYFUNCTION("""COMPUTED_VALUE"""),"")</f>
        <v/>
      </c>
      <c r="K588" s="36" t="str">
        <f ca="1">IFERROR(__xludf.DUMMYFUNCTION("""COMPUTED_VALUE"""),"")</f>
        <v/>
      </c>
      <c r="L588" s="36" t="str">
        <f ca="1">IFERROR(__xludf.DUMMYFUNCTION("""COMPUTED_VALUE"""),"")</f>
        <v/>
      </c>
      <c r="M588" s="36" t="str">
        <f ca="1">IFERROR(__xludf.DUMMYFUNCTION("""COMPUTED_VALUE"""),"")</f>
        <v/>
      </c>
      <c r="N588" s="36" t="str">
        <f ca="1">IFERROR(__xludf.DUMMYFUNCTION("""COMPUTED_VALUE"""),"")</f>
        <v/>
      </c>
      <c r="O588" s="36" t="str">
        <f ca="1">IFERROR(__xludf.DUMMYFUNCTION("""COMPUTED_VALUE"""),"")</f>
        <v/>
      </c>
      <c r="P588" s="36" t="str">
        <f ca="1">IFERROR(__xludf.DUMMYFUNCTION("""COMPUTED_VALUE"""),"")</f>
        <v/>
      </c>
      <c r="Q588" s="36" t="str">
        <f ca="1">IFERROR(__xludf.DUMMYFUNCTION("""COMPUTED_VALUE"""),"")</f>
        <v/>
      </c>
      <c r="R588" s="36" t="str">
        <f ca="1">IFERROR(__xludf.DUMMYFUNCTION("""COMPUTED_VALUE"""),"")</f>
        <v/>
      </c>
      <c r="S588" s="36" t="str">
        <f ca="1">IFERROR(__xludf.DUMMYFUNCTION("""COMPUTED_VALUE"""),"")</f>
        <v/>
      </c>
      <c r="T588" s="36" t="str">
        <f ca="1">IFERROR(__xludf.DUMMYFUNCTION("""COMPUTED_VALUE"""),"")</f>
        <v/>
      </c>
      <c r="U588" s="36" t="str">
        <f ca="1">IFERROR(__xludf.DUMMYFUNCTION("""COMPUTED_VALUE"""),"")</f>
        <v/>
      </c>
      <c r="V588" s="36" t="str">
        <f ca="1">IFERROR(__xludf.DUMMYFUNCTION("""COMPUTED_VALUE"""),"")</f>
        <v/>
      </c>
      <c r="W588" s="36" t="str">
        <f ca="1">IFERROR(__xludf.DUMMYFUNCTION("""COMPUTED_VALUE"""),"")</f>
        <v/>
      </c>
      <c r="X588" s="36"/>
      <c r="Y588" s="36"/>
      <c r="Z588" s="36"/>
    </row>
    <row r="589" spans="1:26" ht="12.75" hidden="1">
      <c r="A589" s="36" t="str">
        <f ca="1">IFERROR(__xludf.DUMMYFUNCTION("""COMPUTED_VALUE"""),"")</f>
        <v/>
      </c>
      <c r="B589" s="36" t="str">
        <f ca="1">IFERROR(__xludf.DUMMYFUNCTION("""COMPUTED_VALUE"""),"")</f>
        <v/>
      </c>
      <c r="C589" s="36" t="str">
        <f ca="1">IFERROR(__xludf.DUMMYFUNCTION("""COMPUTED_VALUE"""),"")</f>
        <v/>
      </c>
      <c r="D589" s="36" t="str">
        <f ca="1">IFERROR(__xludf.DUMMYFUNCTION("""COMPUTED_VALUE"""),"")</f>
        <v/>
      </c>
      <c r="E589" s="36" t="str">
        <f ca="1">IFERROR(__xludf.DUMMYFUNCTION("""COMPUTED_VALUE"""),"")</f>
        <v/>
      </c>
      <c r="F589" s="36" t="str">
        <f ca="1">IFERROR(__xludf.DUMMYFUNCTION("""COMPUTED_VALUE"""),"")</f>
        <v/>
      </c>
      <c r="G589" s="36" t="str">
        <f ca="1">IFERROR(__xludf.DUMMYFUNCTION("""COMPUTED_VALUE"""),"")</f>
        <v/>
      </c>
      <c r="H589" s="36" t="str">
        <f ca="1">IFERROR(__xludf.DUMMYFUNCTION("""COMPUTED_VALUE"""),"")</f>
        <v/>
      </c>
      <c r="I589" s="36" t="str">
        <f ca="1">IFERROR(__xludf.DUMMYFUNCTION("""COMPUTED_VALUE"""),"")</f>
        <v/>
      </c>
      <c r="J589" s="36" t="str">
        <f ca="1">IFERROR(__xludf.DUMMYFUNCTION("""COMPUTED_VALUE"""),"")</f>
        <v/>
      </c>
      <c r="K589" s="36" t="str">
        <f ca="1">IFERROR(__xludf.DUMMYFUNCTION("""COMPUTED_VALUE"""),"")</f>
        <v/>
      </c>
      <c r="L589" s="36" t="str">
        <f ca="1">IFERROR(__xludf.DUMMYFUNCTION("""COMPUTED_VALUE"""),"")</f>
        <v/>
      </c>
      <c r="M589" s="36" t="str">
        <f ca="1">IFERROR(__xludf.DUMMYFUNCTION("""COMPUTED_VALUE"""),"")</f>
        <v/>
      </c>
      <c r="N589" s="36" t="str">
        <f ca="1">IFERROR(__xludf.DUMMYFUNCTION("""COMPUTED_VALUE"""),"")</f>
        <v/>
      </c>
      <c r="O589" s="36" t="str">
        <f ca="1">IFERROR(__xludf.DUMMYFUNCTION("""COMPUTED_VALUE"""),"")</f>
        <v/>
      </c>
      <c r="P589" s="36" t="str">
        <f ca="1">IFERROR(__xludf.DUMMYFUNCTION("""COMPUTED_VALUE"""),"")</f>
        <v/>
      </c>
      <c r="Q589" s="36" t="str">
        <f ca="1">IFERROR(__xludf.DUMMYFUNCTION("""COMPUTED_VALUE"""),"")</f>
        <v/>
      </c>
      <c r="R589" s="36" t="str">
        <f ca="1">IFERROR(__xludf.DUMMYFUNCTION("""COMPUTED_VALUE"""),"")</f>
        <v/>
      </c>
      <c r="S589" s="36" t="str">
        <f ca="1">IFERROR(__xludf.DUMMYFUNCTION("""COMPUTED_VALUE"""),"")</f>
        <v/>
      </c>
      <c r="T589" s="36" t="str">
        <f ca="1">IFERROR(__xludf.DUMMYFUNCTION("""COMPUTED_VALUE"""),"")</f>
        <v/>
      </c>
      <c r="U589" s="36" t="str">
        <f ca="1">IFERROR(__xludf.DUMMYFUNCTION("""COMPUTED_VALUE"""),"")</f>
        <v/>
      </c>
      <c r="V589" s="36" t="str">
        <f ca="1">IFERROR(__xludf.DUMMYFUNCTION("""COMPUTED_VALUE"""),"")</f>
        <v/>
      </c>
      <c r="W589" s="36" t="str">
        <f ca="1">IFERROR(__xludf.DUMMYFUNCTION("""COMPUTED_VALUE"""),"")</f>
        <v/>
      </c>
      <c r="X589" s="36"/>
      <c r="Y589" s="36"/>
      <c r="Z589" s="36"/>
    </row>
    <row r="590" spans="1:26" ht="12.75" hidden="1">
      <c r="A590" s="36" t="str">
        <f ca="1">IFERROR(__xludf.DUMMYFUNCTION("""COMPUTED_VALUE"""),"")</f>
        <v/>
      </c>
      <c r="B590" s="36" t="str">
        <f ca="1">IFERROR(__xludf.DUMMYFUNCTION("""COMPUTED_VALUE"""),"")</f>
        <v/>
      </c>
      <c r="C590" s="36" t="str">
        <f ca="1">IFERROR(__xludf.DUMMYFUNCTION("""COMPUTED_VALUE"""),"")</f>
        <v/>
      </c>
      <c r="D590" s="36" t="str">
        <f ca="1">IFERROR(__xludf.DUMMYFUNCTION("""COMPUTED_VALUE"""),"")</f>
        <v/>
      </c>
      <c r="E590" s="36" t="str">
        <f ca="1">IFERROR(__xludf.DUMMYFUNCTION("""COMPUTED_VALUE"""),"")</f>
        <v/>
      </c>
      <c r="F590" s="36" t="str">
        <f ca="1">IFERROR(__xludf.DUMMYFUNCTION("""COMPUTED_VALUE"""),"")</f>
        <v/>
      </c>
      <c r="G590" s="36" t="str">
        <f ca="1">IFERROR(__xludf.DUMMYFUNCTION("""COMPUTED_VALUE"""),"")</f>
        <v/>
      </c>
      <c r="H590" s="36" t="str">
        <f ca="1">IFERROR(__xludf.DUMMYFUNCTION("""COMPUTED_VALUE"""),"")</f>
        <v/>
      </c>
      <c r="I590" s="36" t="str">
        <f ca="1">IFERROR(__xludf.DUMMYFUNCTION("""COMPUTED_VALUE"""),"")</f>
        <v/>
      </c>
      <c r="J590" s="36" t="str">
        <f ca="1">IFERROR(__xludf.DUMMYFUNCTION("""COMPUTED_VALUE"""),"")</f>
        <v/>
      </c>
      <c r="K590" s="36" t="str">
        <f ca="1">IFERROR(__xludf.DUMMYFUNCTION("""COMPUTED_VALUE"""),"")</f>
        <v/>
      </c>
      <c r="L590" s="36" t="str">
        <f ca="1">IFERROR(__xludf.DUMMYFUNCTION("""COMPUTED_VALUE"""),"")</f>
        <v/>
      </c>
      <c r="M590" s="36" t="str">
        <f ca="1">IFERROR(__xludf.DUMMYFUNCTION("""COMPUTED_VALUE"""),"")</f>
        <v/>
      </c>
      <c r="N590" s="36" t="str">
        <f ca="1">IFERROR(__xludf.DUMMYFUNCTION("""COMPUTED_VALUE"""),"")</f>
        <v/>
      </c>
      <c r="O590" s="36" t="str">
        <f ca="1">IFERROR(__xludf.DUMMYFUNCTION("""COMPUTED_VALUE"""),"")</f>
        <v/>
      </c>
      <c r="P590" s="36" t="str">
        <f ca="1">IFERROR(__xludf.DUMMYFUNCTION("""COMPUTED_VALUE"""),"")</f>
        <v/>
      </c>
      <c r="Q590" s="36" t="str">
        <f ca="1">IFERROR(__xludf.DUMMYFUNCTION("""COMPUTED_VALUE"""),"")</f>
        <v/>
      </c>
      <c r="R590" s="36" t="str">
        <f ca="1">IFERROR(__xludf.DUMMYFUNCTION("""COMPUTED_VALUE"""),"")</f>
        <v/>
      </c>
      <c r="S590" s="36" t="str">
        <f ca="1">IFERROR(__xludf.DUMMYFUNCTION("""COMPUTED_VALUE"""),"")</f>
        <v/>
      </c>
      <c r="T590" s="36" t="str">
        <f ca="1">IFERROR(__xludf.DUMMYFUNCTION("""COMPUTED_VALUE"""),"")</f>
        <v/>
      </c>
      <c r="U590" s="36" t="str">
        <f ca="1">IFERROR(__xludf.DUMMYFUNCTION("""COMPUTED_VALUE"""),"")</f>
        <v/>
      </c>
      <c r="V590" s="36" t="str">
        <f ca="1">IFERROR(__xludf.DUMMYFUNCTION("""COMPUTED_VALUE"""),"")</f>
        <v/>
      </c>
      <c r="W590" s="36" t="str">
        <f ca="1">IFERROR(__xludf.DUMMYFUNCTION("""COMPUTED_VALUE"""),"")</f>
        <v/>
      </c>
      <c r="X590" s="36"/>
      <c r="Y590" s="36"/>
      <c r="Z590" s="36"/>
    </row>
    <row r="591" spans="1:26" ht="12.75" hidden="1">
      <c r="A591" s="36" t="str">
        <f ca="1">IFERROR(__xludf.DUMMYFUNCTION("""COMPUTED_VALUE"""),"")</f>
        <v/>
      </c>
      <c r="B591" s="36" t="str">
        <f ca="1">IFERROR(__xludf.DUMMYFUNCTION("""COMPUTED_VALUE"""),"")</f>
        <v/>
      </c>
      <c r="C591" s="36" t="str">
        <f ca="1">IFERROR(__xludf.DUMMYFUNCTION("""COMPUTED_VALUE"""),"")</f>
        <v/>
      </c>
      <c r="D591" s="36" t="str">
        <f ca="1">IFERROR(__xludf.DUMMYFUNCTION("""COMPUTED_VALUE"""),"")</f>
        <v/>
      </c>
      <c r="E591" s="36" t="str">
        <f ca="1">IFERROR(__xludf.DUMMYFUNCTION("""COMPUTED_VALUE"""),"")</f>
        <v/>
      </c>
      <c r="F591" s="36" t="str">
        <f ca="1">IFERROR(__xludf.DUMMYFUNCTION("""COMPUTED_VALUE"""),"")</f>
        <v/>
      </c>
      <c r="G591" s="36" t="str">
        <f ca="1">IFERROR(__xludf.DUMMYFUNCTION("""COMPUTED_VALUE"""),"")</f>
        <v/>
      </c>
      <c r="H591" s="36" t="str">
        <f ca="1">IFERROR(__xludf.DUMMYFUNCTION("""COMPUTED_VALUE"""),"")</f>
        <v/>
      </c>
      <c r="I591" s="36" t="str">
        <f ca="1">IFERROR(__xludf.DUMMYFUNCTION("""COMPUTED_VALUE"""),"")</f>
        <v/>
      </c>
      <c r="J591" s="36" t="str">
        <f ca="1">IFERROR(__xludf.DUMMYFUNCTION("""COMPUTED_VALUE"""),"")</f>
        <v/>
      </c>
      <c r="K591" s="36" t="str">
        <f ca="1">IFERROR(__xludf.DUMMYFUNCTION("""COMPUTED_VALUE"""),"")</f>
        <v/>
      </c>
      <c r="L591" s="36" t="str">
        <f ca="1">IFERROR(__xludf.DUMMYFUNCTION("""COMPUTED_VALUE"""),"")</f>
        <v/>
      </c>
      <c r="M591" s="36" t="str">
        <f ca="1">IFERROR(__xludf.DUMMYFUNCTION("""COMPUTED_VALUE"""),"")</f>
        <v/>
      </c>
      <c r="N591" s="36" t="str">
        <f ca="1">IFERROR(__xludf.DUMMYFUNCTION("""COMPUTED_VALUE"""),"")</f>
        <v/>
      </c>
      <c r="O591" s="36" t="str">
        <f ca="1">IFERROR(__xludf.DUMMYFUNCTION("""COMPUTED_VALUE"""),"")</f>
        <v/>
      </c>
      <c r="P591" s="36" t="str">
        <f ca="1">IFERROR(__xludf.DUMMYFUNCTION("""COMPUTED_VALUE"""),"")</f>
        <v/>
      </c>
      <c r="Q591" s="36" t="str">
        <f ca="1">IFERROR(__xludf.DUMMYFUNCTION("""COMPUTED_VALUE"""),"")</f>
        <v/>
      </c>
      <c r="R591" s="36" t="str">
        <f ca="1">IFERROR(__xludf.DUMMYFUNCTION("""COMPUTED_VALUE"""),"")</f>
        <v/>
      </c>
      <c r="S591" s="36" t="str">
        <f ca="1">IFERROR(__xludf.DUMMYFUNCTION("""COMPUTED_VALUE"""),"")</f>
        <v/>
      </c>
      <c r="T591" s="36" t="str">
        <f ca="1">IFERROR(__xludf.DUMMYFUNCTION("""COMPUTED_VALUE"""),"")</f>
        <v/>
      </c>
      <c r="U591" s="36" t="str">
        <f ca="1">IFERROR(__xludf.DUMMYFUNCTION("""COMPUTED_VALUE"""),"")</f>
        <v/>
      </c>
      <c r="V591" s="36" t="str">
        <f ca="1">IFERROR(__xludf.DUMMYFUNCTION("""COMPUTED_VALUE"""),"")</f>
        <v/>
      </c>
      <c r="W591" s="36" t="str">
        <f ca="1">IFERROR(__xludf.DUMMYFUNCTION("""COMPUTED_VALUE"""),"")</f>
        <v/>
      </c>
      <c r="X591" s="36"/>
      <c r="Y591" s="36"/>
      <c r="Z591" s="36"/>
    </row>
    <row r="592" spans="1:26" ht="12.75" hidden="1">
      <c r="A592" s="36" t="str">
        <f ca="1">IFERROR(__xludf.DUMMYFUNCTION("""COMPUTED_VALUE"""),"")</f>
        <v/>
      </c>
      <c r="B592" s="36" t="str">
        <f ca="1">IFERROR(__xludf.DUMMYFUNCTION("""COMPUTED_VALUE"""),"")</f>
        <v/>
      </c>
      <c r="C592" s="36" t="str">
        <f ca="1">IFERROR(__xludf.DUMMYFUNCTION("""COMPUTED_VALUE"""),"")</f>
        <v/>
      </c>
      <c r="D592" s="36" t="str">
        <f ca="1">IFERROR(__xludf.DUMMYFUNCTION("""COMPUTED_VALUE"""),"")</f>
        <v/>
      </c>
      <c r="E592" s="36" t="str">
        <f ca="1">IFERROR(__xludf.DUMMYFUNCTION("""COMPUTED_VALUE"""),"")</f>
        <v/>
      </c>
      <c r="F592" s="36" t="str">
        <f ca="1">IFERROR(__xludf.DUMMYFUNCTION("""COMPUTED_VALUE"""),"")</f>
        <v/>
      </c>
      <c r="G592" s="36" t="str">
        <f ca="1">IFERROR(__xludf.DUMMYFUNCTION("""COMPUTED_VALUE"""),"")</f>
        <v/>
      </c>
      <c r="H592" s="36" t="str">
        <f ca="1">IFERROR(__xludf.DUMMYFUNCTION("""COMPUTED_VALUE"""),"")</f>
        <v/>
      </c>
      <c r="I592" s="36" t="str">
        <f ca="1">IFERROR(__xludf.DUMMYFUNCTION("""COMPUTED_VALUE"""),"")</f>
        <v/>
      </c>
      <c r="J592" s="36" t="str">
        <f ca="1">IFERROR(__xludf.DUMMYFUNCTION("""COMPUTED_VALUE"""),"")</f>
        <v/>
      </c>
      <c r="K592" s="36" t="str">
        <f ca="1">IFERROR(__xludf.DUMMYFUNCTION("""COMPUTED_VALUE"""),"")</f>
        <v/>
      </c>
      <c r="L592" s="36" t="str">
        <f ca="1">IFERROR(__xludf.DUMMYFUNCTION("""COMPUTED_VALUE"""),"")</f>
        <v/>
      </c>
      <c r="M592" s="36" t="str">
        <f ca="1">IFERROR(__xludf.DUMMYFUNCTION("""COMPUTED_VALUE"""),"")</f>
        <v/>
      </c>
      <c r="N592" s="36" t="str">
        <f ca="1">IFERROR(__xludf.DUMMYFUNCTION("""COMPUTED_VALUE"""),"")</f>
        <v/>
      </c>
      <c r="O592" s="36" t="str">
        <f ca="1">IFERROR(__xludf.DUMMYFUNCTION("""COMPUTED_VALUE"""),"")</f>
        <v/>
      </c>
      <c r="P592" s="36" t="str">
        <f ca="1">IFERROR(__xludf.DUMMYFUNCTION("""COMPUTED_VALUE"""),"")</f>
        <v/>
      </c>
      <c r="Q592" s="36" t="str">
        <f ca="1">IFERROR(__xludf.DUMMYFUNCTION("""COMPUTED_VALUE"""),"")</f>
        <v/>
      </c>
      <c r="R592" s="36" t="str">
        <f ca="1">IFERROR(__xludf.DUMMYFUNCTION("""COMPUTED_VALUE"""),"")</f>
        <v/>
      </c>
      <c r="S592" s="36" t="str">
        <f ca="1">IFERROR(__xludf.DUMMYFUNCTION("""COMPUTED_VALUE"""),"")</f>
        <v/>
      </c>
      <c r="T592" s="36" t="str">
        <f ca="1">IFERROR(__xludf.DUMMYFUNCTION("""COMPUTED_VALUE"""),"")</f>
        <v/>
      </c>
      <c r="U592" s="36" t="str">
        <f ca="1">IFERROR(__xludf.DUMMYFUNCTION("""COMPUTED_VALUE"""),"")</f>
        <v/>
      </c>
      <c r="V592" s="36" t="str">
        <f ca="1">IFERROR(__xludf.DUMMYFUNCTION("""COMPUTED_VALUE"""),"")</f>
        <v/>
      </c>
      <c r="W592" s="36" t="str">
        <f ca="1">IFERROR(__xludf.DUMMYFUNCTION("""COMPUTED_VALUE"""),"")</f>
        <v/>
      </c>
      <c r="X592" s="36"/>
      <c r="Y592" s="36"/>
      <c r="Z592" s="36"/>
    </row>
    <row r="593" spans="1:26" ht="12.75" hidden="1">
      <c r="A593" s="36" t="str">
        <f ca="1">IFERROR(__xludf.DUMMYFUNCTION("""COMPUTED_VALUE"""),"")</f>
        <v/>
      </c>
      <c r="B593" s="36" t="str">
        <f ca="1">IFERROR(__xludf.DUMMYFUNCTION("""COMPUTED_VALUE"""),"")</f>
        <v/>
      </c>
      <c r="C593" s="36" t="str">
        <f ca="1">IFERROR(__xludf.DUMMYFUNCTION("""COMPUTED_VALUE"""),"")</f>
        <v/>
      </c>
      <c r="D593" s="36" t="str">
        <f ca="1">IFERROR(__xludf.DUMMYFUNCTION("""COMPUTED_VALUE"""),"")</f>
        <v/>
      </c>
      <c r="E593" s="36" t="str">
        <f ca="1">IFERROR(__xludf.DUMMYFUNCTION("""COMPUTED_VALUE"""),"")</f>
        <v/>
      </c>
      <c r="F593" s="36" t="str">
        <f ca="1">IFERROR(__xludf.DUMMYFUNCTION("""COMPUTED_VALUE"""),"")</f>
        <v/>
      </c>
      <c r="G593" s="36" t="str">
        <f ca="1">IFERROR(__xludf.DUMMYFUNCTION("""COMPUTED_VALUE"""),"")</f>
        <v/>
      </c>
      <c r="H593" s="36" t="str">
        <f ca="1">IFERROR(__xludf.DUMMYFUNCTION("""COMPUTED_VALUE"""),"")</f>
        <v/>
      </c>
      <c r="I593" s="36" t="str">
        <f ca="1">IFERROR(__xludf.DUMMYFUNCTION("""COMPUTED_VALUE"""),"")</f>
        <v/>
      </c>
      <c r="J593" s="36" t="str">
        <f ca="1">IFERROR(__xludf.DUMMYFUNCTION("""COMPUTED_VALUE"""),"")</f>
        <v/>
      </c>
      <c r="K593" s="36" t="str">
        <f ca="1">IFERROR(__xludf.DUMMYFUNCTION("""COMPUTED_VALUE"""),"")</f>
        <v/>
      </c>
      <c r="L593" s="36" t="str">
        <f ca="1">IFERROR(__xludf.DUMMYFUNCTION("""COMPUTED_VALUE"""),"")</f>
        <v/>
      </c>
      <c r="M593" s="36" t="str">
        <f ca="1">IFERROR(__xludf.DUMMYFUNCTION("""COMPUTED_VALUE"""),"")</f>
        <v/>
      </c>
      <c r="N593" s="36" t="str">
        <f ca="1">IFERROR(__xludf.DUMMYFUNCTION("""COMPUTED_VALUE"""),"")</f>
        <v/>
      </c>
      <c r="O593" s="36" t="str">
        <f ca="1">IFERROR(__xludf.DUMMYFUNCTION("""COMPUTED_VALUE"""),"")</f>
        <v/>
      </c>
      <c r="P593" s="36" t="str">
        <f ca="1">IFERROR(__xludf.DUMMYFUNCTION("""COMPUTED_VALUE"""),"")</f>
        <v/>
      </c>
      <c r="Q593" s="36" t="str">
        <f ca="1">IFERROR(__xludf.DUMMYFUNCTION("""COMPUTED_VALUE"""),"")</f>
        <v/>
      </c>
      <c r="R593" s="36" t="str">
        <f ca="1">IFERROR(__xludf.DUMMYFUNCTION("""COMPUTED_VALUE"""),"")</f>
        <v/>
      </c>
      <c r="S593" s="36" t="str">
        <f ca="1">IFERROR(__xludf.DUMMYFUNCTION("""COMPUTED_VALUE"""),"")</f>
        <v/>
      </c>
      <c r="T593" s="36" t="str">
        <f ca="1">IFERROR(__xludf.DUMMYFUNCTION("""COMPUTED_VALUE"""),"")</f>
        <v/>
      </c>
      <c r="U593" s="36" t="str">
        <f ca="1">IFERROR(__xludf.DUMMYFUNCTION("""COMPUTED_VALUE"""),"")</f>
        <v/>
      </c>
      <c r="V593" s="36" t="str">
        <f ca="1">IFERROR(__xludf.DUMMYFUNCTION("""COMPUTED_VALUE"""),"")</f>
        <v/>
      </c>
      <c r="W593" s="36" t="str">
        <f ca="1">IFERROR(__xludf.DUMMYFUNCTION("""COMPUTED_VALUE"""),"")</f>
        <v/>
      </c>
      <c r="X593" s="36"/>
      <c r="Y593" s="36"/>
      <c r="Z593" s="36"/>
    </row>
    <row r="594" spans="1:26" ht="12.75" hidden="1">
      <c r="A594" s="36" t="str">
        <f ca="1">IFERROR(__xludf.DUMMYFUNCTION("""COMPUTED_VALUE"""),"")</f>
        <v/>
      </c>
      <c r="B594" s="36" t="str">
        <f ca="1">IFERROR(__xludf.DUMMYFUNCTION("""COMPUTED_VALUE"""),"")</f>
        <v/>
      </c>
      <c r="C594" s="36" t="str">
        <f ca="1">IFERROR(__xludf.DUMMYFUNCTION("""COMPUTED_VALUE"""),"")</f>
        <v/>
      </c>
      <c r="D594" s="36" t="str">
        <f ca="1">IFERROR(__xludf.DUMMYFUNCTION("""COMPUTED_VALUE"""),"")</f>
        <v/>
      </c>
      <c r="E594" s="36" t="str">
        <f ca="1">IFERROR(__xludf.DUMMYFUNCTION("""COMPUTED_VALUE"""),"")</f>
        <v/>
      </c>
      <c r="F594" s="36" t="str">
        <f ca="1">IFERROR(__xludf.DUMMYFUNCTION("""COMPUTED_VALUE"""),"")</f>
        <v/>
      </c>
      <c r="G594" s="36" t="str">
        <f ca="1">IFERROR(__xludf.DUMMYFUNCTION("""COMPUTED_VALUE"""),"")</f>
        <v/>
      </c>
      <c r="H594" s="36" t="str">
        <f ca="1">IFERROR(__xludf.DUMMYFUNCTION("""COMPUTED_VALUE"""),"")</f>
        <v/>
      </c>
      <c r="I594" s="36" t="str">
        <f ca="1">IFERROR(__xludf.DUMMYFUNCTION("""COMPUTED_VALUE"""),"")</f>
        <v/>
      </c>
      <c r="J594" s="36" t="str">
        <f ca="1">IFERROR(__xludf.DUMMYFUNCTION("""COMPUTED_VALUE"""),"")</f>
        <v/>
      </c>
      <c r="K594" s="36" t="str">
        <f ca="1">IFERROR(__xludf.DUMMYFUNCTION("""COMPUTED_VALUE"""),"")</f>
        <v/>
      </c>
      <c r="L594" s="36" t="str">
        <f ca="1">IFERROR(__xludf.DUMMYFUNCTION("""COMPUTED_VALUE"""),"")</f>
        <v/>
      </c>
      <c r="M594" s="36" t="str">
        <f ca="1">IFERROR(__xludf.DUMMYFUNCTION("""COMPUTED_VALUE"""),"")</f>
        <v/>
      </c>
      <c r="N594" s="36" t="str">
        <f ca="1">IFERROR(__xludf.DUMMYFUNCTION("""COMPUTED_VALUE"""),"")</f>
        <v/>
      </c>
      <c r="O594" s="36" t="str">
        <f ca="1">IFERROR(__xludf.DUMMYFUNCTION("""COMPUTED_VALUE"""),"")</f>
        <v/>
      </c>
      <c r="P594" s="36" t="str">
        <f ca="1">IFERROR(__xludf.DUMMYFUNCTION("""COMPUTED_VALUE"""),"")</f>
        <v/>
      </c>
      <c r="Q594" s="36" t="str">
        <f ca="1">IFERROR(__xludf.DUMMYFUNCTION("""COMPUTED_VALUE"""),"")</f>
        <v/>
      </c>
      <c r="R594" s="36" t="str">
        <f ca="1">IFERROR(__xludf.DUMMYFUNCTION("""COMPUTED_VALUE"""),"")</f>
        <v/>
      </c>
      <c r="S594" s="36" t="str">
        <f ca="1">IFERROR(__xludf.DUMMYFUNCTION("""COMPUTED_VALUE"""),"")</f>
        <v/>
      </c>
      <c r="T594" s="36" t="str">
        <f ca="1">IFERROR(__xludf.DUMMYFUNCTION("""COMPUTED_VALUE"""),"")</f>
        <v/>
      </c>
      <c r="U594" s="36" t="str">
        <f ca="1">IFERROR(__xludf.DUMMYFUNCTION("""COMPUTED_VALUE"""),"")</f>
        <v/>
      </c>
      <c r="V594" s="36" t="str">
        <f ca="1">IFERROR(__xludf.DUMMYFUNCTION("""COMPUTED_VALUE"""),"")</f>
        <v/>
      </c>
      <c r="W594" s="36" t="str">
        <f ca="1">IFERROR(__xludf.DUMMYFUNCTION("""COMPUTED_VALUE"""),"")</f>
        <v/>
      </c>
      <c r="X594" s="36"/>
      <c r="Y594" s="36"/>
      <c r="Z594" s="36"/>
    </row>
    <row r="595" spans="1:26" ht="12.75" hidden="1">
      <c r="A595" s="36" t="str">
        <f ca="1">IFERROR(__xludf.DUMMYFUNCTION("""COMPUTED_VALUE"""),"")</f>
        <v/>
      </c>
      <c r="B595" s="36" t="str">
        <f ca="1">IFERROR(__xludf.DUMMYFUNCTION("""COMPUTED_VALUE"""),"")</f>
        <v/>
      </c>
      <c r="C595" s="36" t="str">
        <f ca="1">IFERROR(__xludf.DUMMYFUNCTION("""COMPUTED_VALUE"""),"")</f>
        <v/>
      </c>
      <c r="D595" s="36" t="str">
        <f ca="1">IFERROR(__xludf.DUMMYFUNCTION("""COMPUTED_VALUE"""),"")</f>
        <v/>
      </c>
      <c r="E595" s="36" t="str">
        <f ca="1">IFERROR(__xludf.DUMMYFUNCTION("""COMPUTED_VALUE"""),"")</f>
        <v/>
      </c>
      <c r="F595" s="36" t="str">
        <f ca="1">IFERROR(__xludf.DUMMYFUNCTION("""COMPUTED_VALUE"""),"")</f>
        <v/>
      </c>
      <c r="G595" s="36" t="str">
        <f ca="1">IFERROR(__xludf.DUMMYFUNCTION("""COMPUTED_VALUE"""),"")</f>
        <v/>
      </c>
      <c r="H595" s="36" t="str">
        <f ca="1">IFERROR(__xludf.DUMMYFUNCTION("""COMPUTED_VALUE"""),"")</f>
        <v/>
      </c>
      <c r="I595" s="36" t="str">
        <f ca="1">IFERROR(__xludf.DUMMYFUNCTION("""COMPUTED_VALUE"""),"")</f>
        <v/>
      </c>
      <c r="J595" s="36" t="str">
        <f ca="1">IFERROR(__xludf.DUMMYFUNCTION("""COMPUTED_VALUE"""),"")</f>
        <v/>
      </c>
      <c r="K595" s="36" t="str">
        <f ca="1">IFERROR(__xludf.DUMMYFUNCTION("""COMPUTED_VALUE"""),"")</f>
        <v/>
      </c>
      <c r="L595" s="36" t="str">
        <f ca="1">IFERROR(__xludf.DUMMYFUNCTION("""COMPUTED_VALUE"""),"")</f>
        <v/>
      </c>
      <c r="M595" s="36" t="str">
        <f ca="1">IFERROR(__xludf.DUMMYFUNCTION("""COMPUTED_VALUE"""),"")</f>
        <v/>
      </c>
      <c r="N595" s="36" t="str">
        <f ca="1">IFERROR(__xludf.DUMMYFUNCTION("""COMPUTED_VALUE"""),"")</f>
        <v/>
      </c>
      <c r="O595" s="36" t="str">
        <f ca="1">IFERROR(__xludf.DUMMYFUNCTION("""COMPUTED_VALUE"""),"")</f>
        <v/>
      </c>
      <c r="P595" s="36" t="str">
        <f ca="1">IFERROR(__xludf.DUMMYFUNCTION("""COMPUTED_VALUE"""),"")</f>
        <v/>
      </c>
      <c r="Q595" s="36" t="str">
        <f ca="1">IFERROR(__xludf.DUMMYFUNCTION("""COMPUTED_VALUE"""),"")</f>
        <v/>
      </c>
      <c r="R595" s="36" t="str">
        <f ca="1">IFERROR(__xludf.DUMMYFUNCTION("""COMPUTED_VALUE"""),"")</f>
        <v/>
      </c>
      <c r="S595" s="36" t="str">
        <f ca="1">IFERROR(__xludf.DUMMYFUNCTION("""COMPUTED_VALUE"""),"")</f>
        <v/>
      </c>
      <c r="T595" s="36" t="str">
        <f ca="1">IFERROR(__xludf.DUMMYFUNCTION("""COMPUTED_VALUE"""),"")</f>
        <v/>
      </c>
      <c r="U595" s="36" t="str">
        <f ca="1">IFERROR(__xludf.DUMMYFUNCTION("""COMPUTED_VALUE"""),"")</f>
        <v/>
      </c>
      <c r="V595" s="36" t="str">
        <f ca="1">IFERROR(__xludf.DUMMYFUNCTION("""COMPUTED_VALUE"""),"")</f>
        <v/>
      </c>
      <c r="W595" s="36" t="str">
        <f ca="1">IFERROR(__xludf.DUMMYFUNCTION("""COMPUTED_VALUE"""),"")</f>
        <v/>
      </c>
      <c r="X595" s="36"/>
      <c r="Y595" s="36"/>
      <c r="Z595" s="36"/>
    </row>
    <row r="596" spans="1:26" ht="12.75" hidden="1">
      <c r="A596" s="36" t="str">
        <f ca="1">IFERROR(__xludf.DUMMYFUNCTION("""COMPUTED_VALUE"""),"")</f>
        <v/>
      </c>
      <c r="B596" s="36" t="str">
        <f ca="1">IFERROR(__xludf.DUMMYFUNCTION("""COMPUTED_VALUE"""),"")</f>
        <v/>
      </c>
      <c r="C596" s="36" t="str">
        <f ca="1">IFERROR(__xludf.DUMMYFUNCTION("""COMPUTED_VALUE"""),"")</f>
        <v/>
      </c>
      <c r="D596" s="36" t="str">
        <f ca="1">IFERROR(__xludf.DUMMYFUNCTION("""COMPUTED_VALUE"""),"")</f>
        <v/>
      </c>
      <c r="E596" s="36" t="str">
        <f ca="1">IFERROR(__xludf.DUMMYFUNCTION("""COMPUTED_VALUE"""),"")</f>
        <v/>
      </c>
      <c r="F596" s="36" t="str">
        <f ca="1">IFERROR(__xludf.DUMMYFUNCTION("""COMPUTED_VALUE"""),"")</f>
        <v/>
      </c>
      <c r="G596" s="36" t="str">
        <f ca="1">IFERROR(__xludf.DUMMYFUNCTION("""COMPUTED_VALUE"""),"")</f>
        <v/>
      </c>
      <c r="H596" s="36" t="str">
        <f ca="1">IFERROR(__xludf.DUMMYFUNCTION("""COMPUTED_VALUE"""),"")</f>
        <v/>
      </c>
      <c r="I596" s="36" t="str">
        <f ca="1">IFERROR(__xludf.DUMMYFUNCTION("""COMPUTED_VALUE"""),"")</f>
        <v/>
      </c>
      <c r="J596" s="36" t="str">
        <f ca="1">IFERROR(__xludf.DUMMYFUNCTION("""COMPUTED_VALUE"""),"")</f>
        <v/>
      </c>
      <c r="K596" s="36" t="str">
        <f ca="1">IFERROR(__xludf.DUMMYFUNCTION("""COMPUTED_VALUE"""),"")</f>
        <v/>
      </c>
      <c r="L596" s="36" t="str">
        <f ca="1">IFERROR(__xludf.DUMMYFUNCTION("""COMPUTED_VALUE"""),"")</f>
        <v/>
      </c>
      <c r="M596" s="36" t="str">
        <f ca="1">IFERROR(__xludf.DUMMYFUNCTION("""COMPUTED_VALUE"""),"")</f>
        <v/>
      </c>
      <c r="N596" s="36" t="str">
        <f ca="1">IFERROR(__xludf.DUMMYFUNCTION("""COMPUTED_VALUE"""),"")</f>
        <v/>
      </c>
      <c r="O596" s="36" t="str">
        <f ca="1">IFERROR(__xludf.DUMMYFUNCTION("""COMPUTED_VALUE"""),"")</f>
        <v/>
      </c>
      <c r="P596" s="36" t="str">
        <f ca="1">IFERROR(__xludf.DUMMYFUNCTION("""COMPUTED_VALUE"""),"")</f>
        <v/>
      </c>
      <c r="Q596" s="36" t="str">
        <f ca="1">IFERROR(__xludf.DUMMYFUNCTION("""COMPUTED_VALUE"""),"")</f>
        <v/>
      </c>
      <c r="R596" s="36" t="str">
        <f ca="1">IFERROR(__xludf.DUMMYFUNCTION("""COMPUTED_VALUE"""),"")</f>
        <v/>
      </c>
      <c r="S596" s="36" t="str">
        <f ca="1">IFERROR(__xludf.DUMMYFUNCTION("""COMPUTED_VALUE"""),"")</f>
        <v/>
      </c>
      <c r="T596" s="36" t="str">
        <f ca="1">IFERROR(__xludf.DUMMYFUNCTION("""COMPUTED_VALUE"""),"")</f>
        <v/>
      </c>
      <c r="U596" s="36" t="str">
        <f ca="1">IFERROR(__xludf.DUMMYFUNCTION("""COMPUTED_VALUE"""),"")</f>
        <v/>
      </c>
      <c r="V596" s="36" t="str">
        <f ca="1">IFERROR(__xludf.DUMMYFUNCTION("""COMPUTED_VALUE"""),"")</f>
        <v/>
      </c>
      <c r="W596" s="36" t="str">
        <f ca="1">IFERROR(__xludf.DUMMYFUNCTION("""COMPUTED_VALUE"""),"")</f>
        <v/>
      </c>
      <c r="X596" s="36"/>
      <c r="Y596" s="36"/>
      <c r="Z596" s="36"/>
    </row>
    <row r="597" spans="1:26" ht="12.75" hidden="1">
      <c r="A597" s="36" t="str">
        <f ca="1">IFERROR(__xludf.DUMMYFUNCTION("""COMPUTED_VALUE"""),"")</f>
        <v/>
      </c>
      <c r="B597" s="36" t="str">
        <f ca="1">IFERROR(__xludf.DUMMYFUNCTION("""COMPUTED_VALUE"""),"")</f>
        <v/>
      </c>
      <c r="C597" s="36" t="str">
        <f ca="1">IFERROR(__xludf.DUMMYFUNCTION("""COMPUTED_VALUE"""),"")</f>
        <v/>
      </c>
      <c r="D597" s="36" t="str">
        <f ca="1">IFERROR(__xludf.DUMMYFUNCTION("""COMPUTED_VALUE"""),"")</f>
        <v/>
      </c>
      <c r="E597" s="36" t="str">
        <f ca="1">IFERROR(__xludf.DUMMYFUNCTION("""COMPUTED_VALUE"""),"")</f>
        <v/>
      </c>
      <c r="F597" s="36" t="str">
        <f ca="1">IFERROR(__xludf.DUMMYFUNCTION("""COMPUTED_VALUE"""),"")</f>
        <v/>
      </c>
      <c r="G597" s="36" t="str">
        <f ca="1">IFERROR(__xludf.DUMMYFUNCTION("""COMPUTED_VALUE"""),"")</f>
        <v/>
      </c>
      <c r="H597" s="36" t="str">
        <f ca="1">IFERROR(__xludf.DUMMYFUNCTION("""COMPUTED_VALUE"""),"")</f>
        <v/>
      </c>
      <c r="I597" s="36" t="str">
        <f ca="1">IFERROR(__xludf.DUMMYFUNCTION("""COMPUTED_VALUE"""),"")</f>
        <v/>
      </c>
      <c r="J597" s="36" t="str">
        <f ca="1">IFERROR(__xludf.DUMMYFUNCTION("""COMPUTED_VALUE"""),"")</f>
        <v/>
      </c>
      <c r="K597" s="36" t="str">
        <f ca="1">IFERROR(__xludf.DUMMYFUNCTION("""COMPUTED_VALUE"""),"")</f>
        <v/>
      </c>
      <c r="L597" s="36" t="str">
        <f ca="1">IFERROR(__xludf.DUMMYFUNCTION("""COMPUTED_VALUE"""),"")</f>
        <v/>
      </c>
      <c r="M597" s="36" t="str">
        <f ca="1">IFERROR(__xludf.DUMMYFUNCTION("""COMPUTED_VALUE"""),"")</f>
        <v/>
      </c>
      <c r="N597" s="36" t="str">
        <f ca="1">IFERROR(__xludf.DUMMYFUNCTION("""COMPUTED_VALUE"""),"")</f>
        <v/>
      </c>
      <c r="O597" s="36" t="str">
        <f ca="1">IFERROR(__xludf.DUMMYFUNCTION("""COMPUTED_VALUE"""),"")</f>
        <v/>
      </c>
      <c r="P597" s="36" t="str">
        <f ca="1">IFERROR(__xludf.DUMMYFUNCTION("""COMPUTED_VALUE"""),"")</f>
        <v/>
      </c>
      <c r="Q597" s="36" t="str">
        <f ca="1">IFERROR(__xludf.DUMMYFUNCTION("""COMPUTED_VALUE"""),"")</f>
        <v/>
      </c>
      <c r="R597" s="36" t="str">
        <f ca="1">IFERROR(__xludf.DUMMYFUNCTION("""COMPUTED_VALUE"""),"")</f>
        <v/>
      </c>
      <c r="S597" s="36" t="str">
        <f ca="1">IFERROR(__xludf.DUMMYFUNCTION("""COMPUTED_VALUE"""),"")</f>
        <v/>
      </c>
      <c r="T597" s="36" t="str">
        <f ca="1">IFERROR(__xludf.DUMMYFUNCTION("""COMPUTED_VALUE"""),"")</f>
        <v/>
      </c>
      <c r="U597" s="36" t="str">
        <f ca="1">IFERROR(__xludf.DUMMYFUNCTION("""COMPUTED_VALUE"""),"")</f>
        <v/>
      </c>
      <c r="V597" s="36" t="str">
        <f ca="1">IFERROR(__xludf.DUMMYFUNCTION("""COMPUTED_VALUE"""),"")</f>
        <v/>
      </c>
      <c r="W597" s="36" t="str">
        <f ca="1">IFERROR(__xludf.DUMMYFUNCTION("""COMPUTED_VALUE"""),"")</f>
        <v/>
      </c>
      <c r="X597" s="36"/>
      <c r="Y597" s="36"/>
      <c r="Z597" s="36"/>
    </row>
    <row r="598" spans="1:26" ht="12.75" hidden="1">
      <c r="A598" s="36" t="str">
        <f ca="1">IFERROR(__xludf.DUMMYFUNCTION("""COMPUTED_VALUE"""),"")</f>
        <v/>
      </c>
      <c r="B598" s="36" t="str">
        <f ca="1">IFERROR(__xludf.DUMMYFUNCTION("""COMPUTED_VALUE"""),"")</f>
        <v/>
      </c>
      <c r="C598" s="36" t="str">
        <f ca="1">IFERROR(__xludf.DUMMYFUNCTION("""COMPUTED_VALUE"""),"")</f>
        <v/>
      </c>
      <c r="D598" s="36" t="str">
        <f ca="1">IFERROR(__xludf.DUMMYFUNCTION("""COMPUTED_VALUE"""),"")</f>
        <v/>
      </c>
      <c r="E598" s="36" t="str">
        <f ca="1">IFERROR(__xludf.DUMMYFUNCTION("""COMPUTED_VALUE"""),"")</f>
        <v/>
      </c>
      <c r="F598" s="36" t="str">
        <f ca="1">IFERROR(__xludf.DUMMYFUNCTION("""COMPUTED_VALUE"""),"")</f>
        <v/>
      </c>
      <c r="G598" s="36" t="str">
        <f ca="1">IFERROR(__xludf.DUMMYFUNCTION("""COMPUTED_VALUE"""),"")</f>
        <v/>
      </c>
      <c r="H598" s="36" t="str">
        <f ca="1">IFERROR(__xludf.DUMMYFUNCTION("""COMPUTED_VALUE"""),"")</f>
        <v/>
      </c>
      <c r="I598" s="36" t="str">
        <f ca="1">IFERROR(__xludf.DUMMYFUNCTION("""COMPUTED_VALUE"""),"")</f>
        <v/>
      </c>
      <c r="J598" s="36" t="str">
        <f ca="1">IFERROR(__xludf.DUMMYFUNCTION("""COMPUTED_VALUE"""),"")</f>
        <v/>
      </c>
      <c r="K598" s="36" t="str">
        <f ca="1">IFERROR(__xludf.DUMMYFUNCTION("""COMPUTED_VALUE"""),"")</f>
        <v/>
      </c>
      <c r="L598" s="36" t="str">
        <f ca="1">IFERROR(__xludf.DUMMYFUNCTION("""COMPUTED_VALUE"""),"")</f>
        <v/>
      </c>
      <c r="M598" s="36" t="str">
        <f ca="1">IFERROR(__xludf.DUMMYFUNCTION("""COMPUTED_VALUE"""),"")</f>
        <v/>
      </c>
      <c r="N598" s="36" t="str">
        <f ca="1">IFERROR(__xludf.DUMMYFUNCTION("""COMPUTED_VALUE"""),"")</f>
        <v/>
      </c>
      <c r="O598" s="36" t="str">
        <f ca="1">IFERROR(__xludf.DUMMYFUNCTION("""COMPUTED_VALUE"""),"")</f>
        <v/>
      </c>
      <c r="P598" s="36" t="str">
        <f ca="1">IFERROR(__xludf.DUMMYFUNCTION("""COMPUTED_VALUE"""),"")</f>
        <v/>
      </c>
      <c r="Q598" s="36" t="str">
        <f ca="1">IFERROR(__xludf.DUMMYFUNCTION("""COMPUTED_VALUE"""),"")</f>
        <v/>
      </c>
      <c r="R598" s="36" t="str">
        <f ca="1">IFERROR(__xludf.DUMMYFUNCTION("""COMPUTED_VALUE"""),"")</f>
        <v/>
      </c>
      <c r="S598" s="36" t="str">
        <f ca="1">IFERROR(__xludf.DUMMYFUNCTION("""COMPUTED_VALUE"""),"")</f>
        <v/>
      </c>
      <c r="T598" s="36" t="str">
        <f ca="1">IFERROR(__xludf.DUMMYFUNCTION("""COMPUTED_VALUE"""),"")</f>
        <v/>
      </c>
      <c r="U598" s="36" t="str">
        <f ca="1">IFERROR(__xludf.DUMMYFUNCTION("""COMPUTED_VALUE"""),"")</f>
        <v/>
      </c>
      <c r="V598" s="36" t="str">
        <f ca="1">IFERROR(__xludf.DUMMYFUNCTION("""COMPUTED_VALUE"""),"")</f>
        <v/>
      </c>
      <c r="W598" s="36" t="str">
        <f ca="1">IFERROR(__xludf.DUMMYFUNCTION("""COMPUTED_VALUE"""),"")</f>
        <v/>
      </c>
      <c r="X598" s="36"/>
      <c r="Y598" s="36"/>
      <c r="Z598" s="36"/>
    </row>
    <row r="599" spans="1:26" ht="12.75" hidden="1">
      <c r="A599" s="36" t="str">
        <f ca="1">IFERROR(__xludf.DUMMYFUNCTION("""COMPUTED_VALUE"""),"")</f>
        <v/>
      </c>
      <c r="B599" s="36" t="str">
        <f ca="1">IFERROR(__xludf.DUMMYFUNCTION("""COMPUTED_VALUE"""),"")</f>
        <v/>
      </c>
      <c r="C599" s="36" t="str">
        <f ca="1">IFERROR(__xludf.DUMMYFUNCTION("""COMPUTED_VALUE"""),"")</f>
        <v/>
      </c>
      <c r="D599" s="36" t="str">
        <f ca="1">IFERROR(__xludf.DUMMYFUNCTION("""COMPUTED_VALUE"""),"")</f>
        <v/>
      </c>
      <c r="E599" s="36" t="str">
        <f ca="1">IFERROR(__xludf.DUMMYFUNCTION("""COMPUTED_VALUE"""),"")</f>
        <v/>
      </c>
      <c r="F599" s="36" t="str">
        <f ca="1">IFERROR(__xludf.DUMMYFUNCTION("""COMPUTED_VALUE"""),"")</f>
        <v/>
      </c>
      <c r="G599" s="36" t="str">
        <f ca="1">IFERROR(__xludf.DUMMYFUNCTION("""COMPUTED_VALUE"""),"")</f>
        <v/>
      </c>
      <c r="H599" s="36" t="str">
        <f ca="1">IFERROR(__xludf.DUMMYFUNCTION("""COMPUTED_VALUE"""),"")</f>
        <v/>
      </c>
      <c r="I599" s="36" t="str">
        <f ca="1">IFERROR(__xludf.DUMMYFUNCTION("""COMPUTED_VALUE"""),"")</f>
        <v/>
      </c>
      <c r="J599" s="36" t="str">
        <f ca="1">IFERROR(__xludf.DUMMYFUNCTION("""COMPUTED_VALUE"""),"")</f>
        <v/>
      </c>
      <c r="K599" s="36" t="str">
        <f ca="1">IFERROR(__xludf.DUMMYFUNCTION("""COMPUTED_VALUE"""),"")</f>
        <v/>
      </c>
      <c r="L599" s="36" t="str">
        <f ca="1">IFERROR(__xludf.DUMMYFUNCTION("""COMPUTED_VALUE"""),"")</f>
        <v/>
      </c>
      <c r="M599" s="36" t="str">
        <f ca="1">IFERROR(__xludf.DUMMYFUNCTION("""COMPUTED_VALUE"""),"")</f>
        <v/>
      </c>
      <c r="N599" s="36" t="str">
        <f ca="1">IFERROR(__xludf.DUMMYFUNCTION("""COMPUTED_VALUE"""),"")</f>
        <v/>
      </c>
      <c r="O599" s="36" t="str">
        <f ca="1">IFERROR(__xludf.DUMMYFUNCTION("""COMPUTED_VALUE"""),"")</f>
        <v/>
      </c>
      <c r="P599" s="36" t="str">
        <f ca="1">IFERROR(__xludf.DUMMYFUNCTION("""COMPUTED_VALUE"""),"")</f>
        <v/>
      </c>
      <c r="Q599" s="36" t="str">
        <f ca="1">IFERROR(__xludf.DUMMYFUNCTION("""COMPUTED_VALUE"""),"")</f>
        <v/>
      </c>
      <c r="R599" s="36" t="str">
        <f ca="1">IFERROR(__xludf.DUMMYFUNCTION("""COMPUTED_VALUE"""),"")</f>
        <v/>
      </c>
      <c r="S599" s="36" t="str">
        <f ca="1">IFERROR(__xludf.DUMMYFUNCTION("""COMPUTED_VALUE"""),"")</f>
        <v/>
      </c>
      <c r="T599" s="36" t="str">
        <f ca="1">IFERROR(__xludf.DUMMYFUNCTION("""COMPUTED_VALUE"""),"")</f>
        <v/>
      </c>
      <c r="U599" s="36" t="str">
        <f ca="1">IFERROR(__xludf.DUMMYFUNCTION("""COMPUTED_VALUE"""),"")</f>
        <v/>
      </c>
      <c r="V599" s="36" t="str">
        <f ca="1">IFERROR(__xludf.DUMMYFUNCTION("""COMPUTED_VALUE"""),"")</f>
        <v/>
      </c>
      <c r="W599" s="36" t="str">
        <f ca="1">IFERROR(__xludf.DUMMYFUNCTION("""COMPUTED_VALUE"""),"")</f>
        <v/>
      </c>
      <c r="X599" s="36"/>
      <c r="Y599" s="36"/>
      <c r="Z599" s="36"/>
    </row>
    <row r="600" spans="1:26" ht="12.75" hidden="1">
      <c r="A600" s="36" t="str">
        <f ca="1">IFERROR(__xludf.DUMMYFUNCTION("""COMPUTED_VALUE"""),"")</f>
        <v/>
      </c>
      <c r="B600" s="36" t="str">
        <f ca="1">IFERROR(__xludf.DUMMYFUNCTION("""COMPUTED_VALUE"""),"")</f>
        <v/>
      </c>
      <c r="C600" s="36" t="str">
        <f ca="1">IFERROR(__xludf.DUMMYFUNCTION("""COMPUTED_VALUE"""),"")</f>
        <v/>
      </c>
      <c r="D600" s="36" t="str">
        <f ca="1">IFERROR(__xludf.DUMMYFUNCTION("""COMPUTED_VALUE"""),"")</f>
        <v/>
      </c>
      <c r="E600" s="36" t="str">
        <f ca="1">IFERROR(__xludf.DUMMYFUNCTION("""COMPUTED_VALUE"""),"")</f>
        <v/>
      </c>
      <c r="F600" s="36" t="str">
        <f ca="1">IFERROR(__xludf.DUMMYFUNCTION("""COMPUTED_VALUE"""),"")</f>
        <v/>
      </c>
      <c r="G600" s="36" t="str">
        <f ca="1">IFERROR(__xludf.DUMMYFUNCTION("""COMPUTED_VALUE"""),"")</f>
        <v/>
      </c>
      <c r="H600" s="36" t="str">
        <f ca="1">IFERROR(__xludf.DUMMYFUNCTION("""COMPUTED_VALUE"""),"")</f>
        <v/>
      </c>
      <c r="I600" s="36" t="str">
        <f ca="1">IFERROR(__xludf.DUMMYFUNCTION("""COMPUTED_VALUE"""),"")</f>
        <v/>
      </c>
      <c r="J600" s="36" t="str">
        <f ca="1">IFERROR(__xludf.DUMMYFUNCTION("""COMPUTED_VALUE"""),"")</f>
        <v/>
      </c>
      <c r="K600" s="36" t="str">
        <f ca="1">IFERROR(__xludf.DUMMYFUNCTION("""COMPUTED_VALUE"""),"")</f>
        <v/>
      </c>
      <c r="L600" s="36" t="str">
        <f ca="1">IFERROR(__xludf.DUMMYFUNCTION("""COMPUTED_VALUE"""),"")</f>
        <v/>
      </c>
      <c r="M600" s="36" t="str">
        <f ca="1">IFERROR(__xludf.DUMMYFUNCTION("""COMPUTED_VALUE"""),"")</f>
        <v/>
      </c>
      <c r="N600" s="36" t="str">
        <f ca="1">IFERROR(__xludf.DUMMYFUNCTION("""COMPUTED_VALUE"""),"")</f>
        <v/>
      </c>
      <c r="O600" s="36" t="str">
        <f ca="1">IFERROR(__xludf.DUMMYFUNCTION("""COMPUTED_VALUE"""),"")</f>
        <v/>
      </c>
      <c r="P600" s="36" t="str">
        <f ca="1">IFERROR(__xludf.DUMMYFUNCTION("""COMPUTED_VALUE"""),"")</f>
        <v/>
      </c>
      <c r="Q600" s="36" t="str">
        <f ca="1">IFERROR(__xludf.DUMMYFUNCTION("""COMPUTED_VALUE"""),"")</f>
        <v/>
      </c>
      <c r="R600" s="36" t="str">
        <f ca="1">IFERROR(__xludf.DUMMYFUNCTION("""COMPUTED_VALUE"""),"")</f>
        <v/>
      </c>
      <c r="S600" s="36" t="str">
        <f ca="1">IFERROR(__xludf.DUMMYFUNCTION("""COMPUTED_VALUE"""),"")</f>
        <v/>
      </c>
      <c r="T600" s="36" t="str">
        <f ca="1">IFERROR(__xludf.DUMMYFUNCTION("""COMPUTED_VALUE"""),"")</f>
        <v/>
      </c>
      <c r="U600" s="36" t="str">
        <f ca="1">IFERROR(__xludf.DUMMYFUNCTION("""COMPUTED_VALUE"""),"")</f>
        <v/>
      </c>
      <c r="V600" s="36" t="str">
        <f ca="1">IFERROR(__xludf.DUMMYFUNCTION("""COMPUTED_VALUE"""),"")</f>
        <v/>
      </c>
      <c r="W600" s="36" t="str">
        <f ca="1">IFERROR(__xludf.DUMMYFUNCTION("""COMPUTED_VALUE"""),"")</f>
        <v/>
      </c>
      <c r="X600" s="36"/>
      <c r="Y600" s="36"/>
      <c r="Z600" s="36"/>
    </row>
    <row r="601" spans="1:26" ht="12.75" hidden="1">
      <c r="A601" s="36" t="str">
        <f ca="1">IFERROR(__xludf.DUMMYFUNCTION("""COMPUTED_VALUE"""),"")</f>
        <v/>
      </c>
      <c r="B601" s="36" t="str">
        <f ca="1">IFERROR(__xludf.DUMMYFUNCTION("""COMPUTED_VALUE"""),"")</f>
        <v/>
      </c>
      <c r="C601" s="36" t="str">
        <f ca="1">IFERROR(__xludf.DUMMYFUNCTION("""COMPUTED_VALUE"""),"")</f>
        <v/>
      </c>
      <c r="D601" s="36" t="str">
        <f ca="1">IFERROR(__xludf.DUMMYFUNCTION("""COMPUTED_VALUE"""),"")</f>
        <v/>
      </c>
      <c r="E601" s="36" t="str">
        <f ca="1">IFERROR(__xludf.DUMMYFUNCTION("""COMPUTED_VALUE"""),"")</f>
        <v/>
      </c>
      <c r="F601" s="36" t="str">
        <f ca="1">IFERROR(__xludf.DUMMYFUNCTION("""COMPUTED_VALUE"""),"")</f>
        <v/>
      </c>
      <c r="G601" s="36" t="str">
        <f ca="1">IFERROR(__xludf.DUMMYFUNCTION("""COMPUTED_VALUE"""),"")</f>
        <v/>
      </c>
      <c r="H601" s="36" t="str">
        <f ca="1">IFERROR(__xludf.DUMMYFUNCTION("""COMPUTED_VALUE"""),"")</f>
        <v/>
      </c>
      <c r="I601" s="36" t="str">
        <f ca="1">IFERROR(__xludf.DUMMYFUNCTION("""COMPUTED_VALUE"""),"")</f>
        <v/>
      </c>
      <c r="J601" s="36" t="str">
        <f ca="1">IFERROR(__xludf.DUMMYFUNCTION("""COMPUTED_VALUE"""),"")</f>
        <v/>
      </c>
      <c r="K601" s="36" t="str">
        <f ca="1">IFERROR(__xludf.DUMMYFUNCTION("""COMPUTED_VALUE"""),"")</f>
        <v/>
      </c>
      <c r="L601" s="36" t="str">
        <f ca="1">IFERROR(__xludf.DUMMYFUNCTION("""COMPUTED_VALUE"""),"")</f>
        <v/>
      </c>
      <c r="M601" s="36" t="str">
        <f ca="1">IFERROR(__xludf.DUMMYFUNCTION("""COMPUTED_VALUE"""),"")</f>
        <v/>
      </c>
      <c r="N601" s="36" t="str">
        <f ca="1">IFERROR(__xludf.DUMMYFUNCTION("""COMPUTED_VALUE"""),"")</f>
        <v/>
      </c>
      <c r="O601" s="36" t="str">
        <f ca="1">IFERROR(__xludf.DUMMYFUNCTION("""COMPUTED_VALUE"""),"")</f>
        <v/>
      </c>
      <c r="P601" s="36" t="str">
        <f ca="1">IFERROR(__xludf.DUMMYFUNCTION("""COMPUTED_VALUE"""),"")</f>
        <v/>
      </c>
      <c r="Q601" s="36" t="str">
        <f ca="1">IFERROR(__xludf.DUMMYFUNCTION("""COMPUTED_VALUE"""),"")</f>
        <v/>
      </c>
      <c r="R601" s="36" t="str">
        <f ca="1">IFERROR(__xludf.DUMMYFUNCTION("""COMPUTED_VALUE"""),"")</f>
        <v/>
      </c>
      <c r="S601" s="36" t="str">
        <f ca="1">IFERROR(__xludf.DUMMYFUNCTION("""COMPUTED_VALUE"""),"")</f>
        <v/>
      </c>
      <c r="T601" s="36" t="str">
        <f ca="1">IFERROR(__xludf.DUMMYFUNCTION("""COMPUTED_VALUE"""),"")</f>
        <v/>
      </c>
      <c r="U601" s="36" t="str">
        <f ca="1">IFERROR(__xludf.DUMMYFUNCTION("""COMPUTED_VALUE"""),"")</f>
        <v/>
      </c>
      <c r="V601" s="36" t="str">
        <f ca="1">IFERROR(__xludf.DUMMYFUNCTION("""COMPUTED_VALUE"""),"")</f>
        <v/>
      </c>
      <c r="W601" s="36" t="str">
        <f ca="1">IFERROR(__xludf.DUMMYFUNCTION("""COMPUTED_VALUE"""),"")</f>
        <v/>
      </c>
      <c r="X601" s="36"/>
      <c r="Y601" s="36"/>
      <c r="Z601" s="36"/>
    </row>
    <row r="602" spans="1:26" ht="12.75" hidden="1">
      <c r="A602" s="36" t="str">
        <f ca="1">IFERROR(__xludf.DUMMYFUNCTION("""COMPUTED_VALUE"""),"")</f>
        <v/>
      </c>
      <c r="B602" s="36" t="str">
        <f ca="1">IFERROR(__xludf.DUMMYFUNCTION("""COMPUTED_VALUE"""),"")</f>
        <v/>
      </c>
      <c r="C602" s="36" t="str">
        <f ca="1">IFERROR(__xludf.DUMMYFUNCTION("""COMPUTED_VALUE"""),"")</f>
        <v/>
      </c>
      <c r="D602" s="36" t="str">
        <f ca="1">IFERROR(__xludf.DUMMYFUNCTION("""COMPUTED_VALUE"""),"")</f>
        <v/>
      </c>
      <c r="E602" s="36" t="str">
        <f ca="1">IFERROR(__xludf.DUMMYFUNCTION("""COMPUTED_VALUE"""),"")</f>
        <v/>
      </c>
      <c r="F602" s="36" t="str">
        <f ca="1">IFERROR(__xludf.DUMMYFUNCTION("""COMPUTED_VALUE"""),"")</f>
        <v/>
      </c>
      <c r="G602" s="36" t="str">
        <f ca="1">IFERROR(__xludf.DUMMYFUNCTION("""COMPUTED_VALUE"""),"")</f>
        <v/>
      </c>
      <c r="H602" s="36" t="str">
        <f ca="1">IFERROR(__xludf.DUMMYFUNCTION("""COMPUTED_VALUE"""),"")</f>
        <v/>
      </c>
      <c r="I602" s="36" t="str">
        <f ca="1">IFERROR(__xludf.DUMMYFUNCTION("""COMPUTED_VALUE"""),"")</f>
        <v/>
      </c>
      <c r="J602" s="36" t="str">
        <f ca="1">IFERROR(__xludf.DUMMYFUNCTION("""COMPUTED_VALUE"""),"")</f>
        <v/>
      </c>
      <c r="K602" s="36" t="str">
        <f ca="1">IFERROR(__xludf.DUMMYFUNCTION("""COMPUTED_VALUE"""),"")</f>
        <v/>
      </c>
      <c r="L602" s="36" t="str">
        <f ca="1">IFERROR(__xludf.DUMMYFUNCTION("""COMPUTED_VALUE"""),"")</f>
        <v/>
      </c>
      <c r="M602" s="36" t="str">
        <f ca="1">IFERROR(__xludf.DUMMYFUNCTION("""COMPUTED_VALUE"""),"")</f>
        <v/>
      </c>
      <c r="N602" s="36" t="str">
        <f ca="1">IFERROR(__xludf.DUMMYFUNCTION("""COMPUTED_VALUE"""),"")</f>
        <v/>
      </c>
      <c r="O602" s="36" t="str">
        <f ca="1">IFERROR(__xludf.DUMMYFUNCTION("""COMPUTED_VALUE"""),"")</f>
        <v/>
      </c>
      <c r="P602" s="36" t="str">
        <f ca="1">IFERROR(__xludf.DUMMYFUNCTION("""COMPUTED_VALUE"""),"")</f>
        <v/>
      </c>
      <c r="Q602" s="36" t="str">
        <f ca="1">IFERROR(__xludf.DUMMYFUNCTION("""COMPUTED_VALUE"""),"")</f>
        <v/>
      </c>
      <c r="R602" s="36" t="str">
        <f ca="1">IFERROR(__xludf.DUMMYFUNCTION("""COMPUTED_VALUE"""),"")</f>
        <v/>
      </c>
      <c r="S602" s="36" t="str">
        <f ca="1">IFERROR(__xludf.DUMMYFUNCTION("""COMPUTED_VALUE"""),"")</f>
        <v/>
      </c>
      <c r="T602" s="36" t="str">
        <f ca="1">IFERROR(__xludf.DUMMYFUNCTION("""COMPUTED_VALUE"""),"")</f>
        <v/>
      </c>
      <c r="U602" s="36" t="str">
        <f ca="1">IFERROR(__xludf.DUMMYFUNCTION("""COMPUTED_VALUE"""),"")</f>
        <v/>
      </c>
      <c r="V602" s="36" t="str">
        <f ca="1">IFERROR(__xludf.DUMMYFUNCTION("""COMPUTED_VALUE"""),"")</f>
        <v/>
      </c>
      <c r="W602" s="36" t="str">
        <f ca="1">IFERROR(__xludf.DUMMYFUNCTION("""COMPUTED_VALUE"""),"")</f>
        <v/>
      </c>
      <c r="X602" s="36"/>
      <c r="Y602" s="36"/>
      <c r="Z602" s="36"/>
    </row>
    <row r="603" spans="1:26" ht="12.75" hidden="1">
      <c r="A603" s="36" t="str">
        <f ca="1">IFERROR(__xludf.DUMMYFUNCTION("""COMPUTED_VALUE"""),"")</f>
        <v/>
      </c>
      <c r="B603" s="36" t="str">
        <f ca="1">IFERROR(__xludf.DUMMYFUNCTION("""COMPUTED_VALUE"""),"")</f>
        <v/>
      </c>
      <c r="C603" s="36" t="str">
        <f ca="1">IFERROR(__xludf.DUMMYFUNCTION("""COMPUTED_VALUE"""),"")</f>
        <v/>
      </c>
      <c r="D603" s="36" t="str">
        <f ca="1">IFERROR(__xludf.DUMMYFUNCTION("""COMPUTED_VALUE"""),"")</f>
        <v/>
      </c>
      <c r="E603" s="36" t="str">
        <f ca="1">IFERROR(__xludf.DUMMYFUNCTION("""COMPUTED_VALUE"""),"")</f>
        <v/>
      </c>
      <c r="F603" s="36" t="str">
        <f ca="1">IFERROR(__xludf.DUMMYFUNCTION("""COMPUTED_VALUE"""),"")</f>
        <v/>
      </c>
      <c r="G603" s="36" t="str">
        <f ca="1">IFERROR(__xludf.DUMMYFUNCTION("""COMPUTED_VALUE"""),"")</f>
        <v/>
      </c>
      <c r="H603" s="36" t="str">
        <f ca="1">IFERROR(__xludf.DUMMYFUNCTION("""COMPUTED_VALUE"""),"")</f>
        <v/>
      </c>
      <c r="I603" s="36" t="str">
        <f ca="1">IFERROR(__xludf.DUMMYFUNCTION("""COMPUTED_VALUE"""),"")</f>
        <v/>
      </c>
      <c r="J603" s="36" t="str">
        <f ca="1">IFERROR(__xludf.DUMMYFUNCTION("""COMPUTED_VALUE"""),"")</f>
        <v/>
      </c>
      <c r="K603" s="36" t="str">
        <f ca="1">IFERROR(__xludf.DUMMYFUNCTION("""COMPUTED_VALUE"""),"")</f>
        <v/>
      </c>
      <c r="L603" s="36" t="str">
        <f ca="1">IFERROR(__xludf.DUMMYFUNCTION("""COMPUTED_VALUE"""),"")</f>
        <v/>
      </c>
      <c r="M603" s="36" t="str">
        <f ca="1">IFERROR(__xludf.DUMMYFUNCTION("""COMPUTED_VALUE"""),"")</f>
        <v/>
      </c>
      <c r="N603" s="36" t="str">
        <f ca="1">IFERROR(__xludf.DUMMYFUNCTION("""COMPUTED_VALUE"""),"")</f>
        <v/>
      </c>
      <c r="O603" s="36" t="str">
        <f ca="1">IFERROR(__xludf.DUMMYFUNCTION("""COMPUTED_VALUE"""),"")</f>
        <v/>
      </c>
      <c r="P603" s="36" t="str">
        <f ca="1">IFERROR(__xludf.DUMMYFUNCTION("""COMPUTED_VALUE"""),"")</f>
        <v/>
      </c>
      <c r="Q603" s="36" t="str">
        <f ca="1">IFERROR(__xludf.DUMMYFUNCTION("""COMPUTED_VALUE"""),"")</f>
        <v/>
      </c>
      <c r="R603" s="36" t="str">
        <f ca="1">IFERROR(__xludf.DUMMYFUNCTION("""COMPUTED_VALUE"""),"")</f>
        <v/>
      </c>
      <c r="S603" s="36" t="str">
        <f ca="1">IFERROR(__xludf.DUMMYFUNCTION("""COMPUTED_VALUE"""),"")</f>
        <v/>
      </c>
      <c r="T603" s="36" t="str">
        <f ca="1">IFERROR(__xludf.DUMMYFUNCTION("""COMPUTED_VALUE"""),"")</f>
        <v/>
      </c>
      <c r="U603" s="36" t="str">
        <f ca="1">IFERROR(__xludf.DUMMYFUNCTION("""COMPUTED_VALUE"""),"")</f>
        <v/>
      </c>
      <c r="V603" s="36" t="str">
        <f ca="1">IFERROR(__xludf.DUMMYFUNCTION("""COMPUTED_VALUE"""),"")</f>
        <v/>
      </c>
      <c r="W603" s="36" t="str">
        <f ca="1">IFERROR(__xludf.DUMMYFUNCTION("""COMPUTED_VALUE"""),"")</f>
        <v/>
      </c>
      <c r="X603" s="36"/>
      <c r="Y603" s="36"/>
      <c r="Z603" s="36"/>
    </row>
    <row r="604" spans="1:26" ht="12.75" hidden="1">
      <c r="A604" s="36" t="str">
        <f ca="1">IFERROR(__xludf.DUMMYFUNCTION("""COMPUTED_VALUE"""),"")</f>
        <v/>
      </c>
      <c r="B604" s="36" t="str">
        <f ca="1">IFERROR(__xludf.DUMMYFUNCTION("""COMPUTED_VALUE"""),"")</f>
        <v/>
      </c>
      <c r="C604" s="36" t="str">
        <f ca="1">IFERROR(__xludf.DUMMYFUNCTION("""COMPUTED_VALUE"""),"")</f>
        <v/>
      </c>
      <c r="D604" s="36" t="str">
        <f ca="1">IFERROR(__xludf.DUMMYFUNCTION("""COMPUTED_VALUE"""),"")</f>
        <v/>
      </c>
      <c r="E604" s="36" t="str">
        <f ca="1">IFERROR(__xludf.DUMMYFUNCTION("""COMPUTED_VALUE"""),"")</f>
        <v/>
      </c>
      <c r="F604" s="36" t="str">
        <f ca="1">IFERROR(__xludf.DUMMYFUNCTION("""COMPUTED_VALUE"""),"")</f>
        <v/>
      </c>
      <c r="G604" s="36" t="str">
        <f ca="1">IFERROR(__xludf.DUMMYFUNCTION("""COMPUTED_VALUE"""),"")</f>
        <v/>
      </c>
      <c r="H604" s="36" t="str">
        <f ca="1">IFERROR(__xludf.DUMMYFUNCTION("""COMPUTED_VALUE"""),"")</f>
        <v/>
      </c>
      <c r="I604" s="36" t="str">
        <f ca="1">IFERROR(__xludf.DUMMYFUNCTION("""COMPUTED_VALUE"""),"")</f>
        <v/>
      </c>
      <c r="J604" s="36" t="str">
        <f ca="1">IFERROR(__xludf.DUMMYFUNCTION("""COMPUTED_VALUE"""),"")</f>
        <v/>
      </c>
      <c r="K604" s="36" t="str">
        <f ca="1">IFERROR(__xludf.DUMMYFUNCTION("""COMPUTED_VALUE"""),"")</f>
        <v/>
      </c>
      <c r="L604" s="36" t="str">
        <f ca="1">IFERROR(__xludf.DUMMYFUNCTION("""COMPUTED_VALUE"""),"")</f>
        <v/>
      </c>
      <c r="M604" s="36" t="str">
        <f ca="1">IFERROR(__xludf.DUMMYFUNCTION("""COMPUTED_VALUE"""),"")</f>
        <v/>
      </c>
      <c r="N604" s="36" t="str">
        <f ca="1">IFERROR(__xludf.DUMMYFUNCTION("""COMPUTED_VALUE"""),"")</f>
        <v/>
      </c>
      <c r="O604" s="36" t="str">
        <f ca="1">IFERROR(__xludf.DUMMYFUNCTION("""COMPUTED_VALUE"""),"")</f>
        <v/>
      </c>
      <c r="P604" s="36" t="str">
        <f ca="1">IFERROR(__xludf.DUMMYFUNCTION("""COMPUTED_VALUE"""),"")</f>
        <v/>
      </c>
      <c r="Q604" s="36" t="str">
        <f ca="1">IFERROR(__xludf.DUMMYFUNCTION("""COMPUTED_VALUE"""),"")</f>
        <v/>
      </c>
      <c r="R604" s="36" t="str">
        <f ca="1">IFERROR(__xludf.DUMMYFUNCTION("""COMPUTED_VALUE"""),"")</f>
        <v/>
      </c>
      <c r="S604" s="36" t="str">
        <f ca="1">IFERROR(__xludf.DUMMYFUNCTION("""COMPUTED_VALUE"""),"")</f>
        <v/>
      </c>
      <c r="T604" s="36" t="str">
        <f ca="1">IFERROR(__xludf.DUMMYFUNCTION("""COMPUTED_VALUE"""),"")</f>
        <v/>
      </c>
      <c r="U604" s="36" t="str">
        <f ca="1">IFERROR(__xludf.DUMMYFUNCTION("""COMPUTED_VALUE"""),"")</f>
        <v/>
      </c>
      <c r="V604" s="36" t="str">
        <f ca="1">IFERROR(__xludf.DUMMYFUNCTION("""COMPUTED_VALUE"""),"")</f>
        <v/>
      </c>
      <c r="W604" s="36" t="str">
        <f ca="1">IFERROR(__xludf.DUMMYFUNCTION("""COMPUTED_VALUE"""),"")</f>
        <v/>
      </c>
      <c r="X604" s="36"/>
      <c r="Y604" s="36"/>
      <c r="Z604" s="36"/>
    </row>
    <row r="605" spans="1:26" ht="12.75" hidden="1">
      <c r="A605" s="36" t="str">
        <f ca="1">IFERROR(__xludf.DUMMYFUNCTION("""COMPUTED_VALUE"""),"")</f>
        <v/>
      </c>
      <c r="B605" s="36" t="str">
        <f ca="1">IFERROR(__xludf.DUMMYFUNCTION("""COMPUTED_VALUE"""),"")</f>
        <v/>
      </c>
      <c r="C605" s="36" t="str">
        <f ca="1">IFERROR(__xludf.DUMMYFUNCTION("""COMPUTED_VALUE"""),"")</f>
        <v/>
      </c>
      <c r="D605" s="36" t="str">
        <f ca="1">IFERROR(__xludf.DUMMYFUNCTION("""COMPUTED_VALUE"""),"")</f>
        <v/>
      </c>
      <c r="E605" s="36" t="str">
        <f ca="1">IFERROR(__xludf.DUMMYFUNCTION("""COMPUTED_VALUE"""),"")</f>
        <v/>
      </c>
      <c r="F605" s="36" t="str">
        <f ca="1">IFERROR(__xludf.DUMMYFUNCTION("""COMPUTED_VALUE"""),"")</f>
        <v/>
      </c>
      <c r="G605" s="36" t="str">
        <f ca="1">IFERROR(__xludf.DUMMYFUNCTION("""COMPUTED_VALUE"""),"")</f>
        <v/>
      </c>
      <c r="H605" s="36" t="str">
        <f ca="1">IFERROR(__xludf.DUMMYFUNCTION("""COMPUTED_VALUE"""),"")</f>
        <v/>
      </c>
      <c r="I605" s="36" t="str">
        <f ca="1">IFERROR(__xludf.DUMMYFUNCTION("""COMPUTED_VALUE"""),"")</f>
        <v/>
      </c>
      <c r="J605" s="36" t="str">
        <f ca="1">IFERROR(__xludf.DUMMYFUNCTION("""COMPUTED_VALUE"""),"")</f>
        <v/>
      </c>
      <c r="K605" s="36" t="str">
        <f ca="1">IFERROR(__xludf.DUMMYFUNCTION("""COMPUTED_VALUE"""),"")</f>
        <v/>
      </c>
      <c r="L605" s="36" t="str">
        <f ca="1">IFERROR(__xludf.DUMMYFUNCTION("""COMPUTED_VALUE"""),"")</f>
        <v/>
      </c>
      <c r="M605" s="36" t="str">
        <f ca="1">IFERROR(__xludf.DUMMYFUNCTION("""COMPUTED_VALUE"""),"")</f>
        <v/>
      </c>
      <c r="N605" s="36" t="str">
        <f ca="1">IFERROR(__xludf.DUMMYFUNCTION("""COMPUTED_VALUE"""),"")</f>
        <v/>
      </c>
      <c r="O605" s="36" t="str">
        <f ca="1">IFERROR(__xludf.DUMMYFUNCTION("""COMPUTED_VALUE"""),"")</f>
        <v/>
      </c>
      <c r="P605" s="36" t="str">
        <f ca="1">IFERROR(__xludf.DUMMYFUNCTION("""COMPUTED_VALUE"""),"")</f>
        <v/>
      </c>
      <c r="Q605" s="36" t="str">
        <f ca="1">IFERROR(__xludf.DUMMYFUNCTION("""COMPUTED_VALUE"""),"")</f>
        <v/>
      </c>
      <c r="R605" s="36" t="str">
        <f ca="1">IFERROR(__xludf.DUMMYFUNCTION("""COMPUTED_VALUE"""),"")</f>
        <v/>
      </c>
      <c r="S605" s="36" t="str">
        <f ca="1">IFERROR(__xludf.DUMMYFUNCTION("""COMPUTED_VALUE"""),"")</f>
        <v/>
      </c>
      <c r="T605" s="36" t="str">
        <f ca="1">IFERROR(__xludf.DUMMYFUNCTION("""COMPUTED_VALUE"""),"")</f>
        <v/>
      </c>
      <c r="U605" s="36" t="str">
        <f ca="1">IFERROR(__xludf.DUMMYFUNCTION("""COMPUTED_VALUE"""),"")</f>
        <v/>
      </c>
      <c r="V605" s="36" t="str">
        <f ca="1">IFERROR(__xludf.DUMMYFUNCTION("""COMPUTED_VALUE"""),"")</f>
        <v/>
      </c>
      <c r="W605" s="36" t="str">
        <f ca="1">IFERROR(__xludf.DUMMYFUNCTION("""COMPUTED_VALUE"""),"")</f>
        <v/>
      </c>
      <c r="X605" s="36"/>
      <c r="Y605" s="36"/>
      <c r="Z605" s="36"/>
    </row>
    <row r="606" spans="1:26" ht="12.75" hidden="1">
      <c r="A606" s="36" t="str">
        <f ca="1">IFERROR(__xludf.DUMMYFUNCTION("""COMPUTED_VALUE"""),"")</f>
        <v/>
      </c>
      <c r="B606" s="36" t="str">
        <f ca="1">IFERROR(__xludf.DUMMYFUNCTION("""COMPUTED_VALUE"""),"")</f>
        <v/>
      </c>
      <c r="C606" s="36" t="str">
        <f ca="1">IFERROR(__xludf.DUMMYFUNCTION("""COMPUTED_VALUE"""),"")</f>
        <v/>
      </c>
      <c r="D606" s="36" t="str">
        <f ca="1">IFERROR(__xludf.DUMMYFUNCTION("""COMPUTED_VALUE"""),"")</f>
        <v/>
      </c>
      <c r="E606" s="36" t="str">
        <f ca="1">IFERROR(__xludf.DUMMYFUNCTION("""COMPUTED_VALUE"""),"")</f>
        <v/>
      </c>
      <c r="F606" s="36" t="str">
        <f ca="1">IFERROR(__xludf.DUMMYFUNCTION("""COMPUTED_VALUE"""),"")</f>
        <v/>
      </c>
      <c r="G606" s="36" t="str">
        <f ca="1">IFERROR(__xludf.DUMMYFUNCTION("""COMPUTED_VALUE"""),"")</f>
        <v/>
      </c>
      <c r="H606" s="36" t="str">
        <f ca="1">IFERROR(__xludf.DUMMYFUNCTION("""COMPUTED_VALUE"""),"")</f>
        <v/>
      </c>
      <c r="I606" s="36" t="str">
        <f ca="1">IFERROR(__xludf.DUMMYFUNCTION("""COMPUTED_VALUE"""),"")</f>
        <v/>
      </c>
      <c r="J606" s="36" t="str">
        <f ca="1">IFERROR(__xludf.DUMMYFUNCTION("""COMPUTED_VALUE"""),"")</f>
        <v/>
      </c>
      <c r="K606" s="36" t="str">
        <f ca="1">IFERROR(__xludf.DUMMYFUNCTION("""COMPUTED_VALUE"""),"")</f>
        <v/>
      </c>
      <c r="L606" s="36" t="str">
        <f ca="1">IFERROR(__xludf.DUMMYFUNCTION("""COMPUTED_VALUE"""),"")</f>
        <v/>
      </c>
      <c r="M606" s="36" t="str">
        <f ca="1">IFERROR(__xludf.DUMMYFUNCTION("""COMPUTED_VALUE"""),"")</f>
        <v/>
      </c>
      <c r="N606" s="36" t="str">
        <f ca="1">IFERROR(__xludf.DUMMYFUNCTION("""COMPUTED_VALUE"""),"")</f>
        <v/>
      </c>
      <c r="O606" s="36" t="str">
        <f ca="1">IFERROR(__xludf.DUMMYFUNCTION("""COMPUTED_VALUE"""),"")</f>
        <v/>
      </c>
      <c r="P606" s="36" t="str">
        <f ca="1">IFERROR(__xludf.DUMMYFUNCTION("""COMPUTED_VALUE"""),"")</f>
        <v/>
      </c>
      <c r="Q606" s="36" t="str">
        <f ca="1">IFERROR(__xludf.DUMMYFUNCTION("""COMPUTED_VALUE"""),"")</f>
        <v/>
      </c>
      <c r="R606" s="36" t="str">
        <f ca="1">IFERROR(__xludf.DUMMYFUNCTION("""COMPUTED_VALUE"""),"")</f>
        <v/>
      </c>
      <c r="S606" s="36" t="str">
        <f ca="1">IFERROR(__xludf.DUMMYFUNCTION("""COMPUTED_VALUE"""),"")</f>
        <v/>
      </c>
      <c r="T606" s="36" t="str">
        <f ca="1">IFERROR(__xludf.DUMMYFUNCTION("""COMPUTED_VALUE"""),"")</f>
        <v/>
      </c>
      <c r="U606" s="36" t="str">
        <f ca="1">IFERROR(__xludf.DUMMYFUNCTION("""COMPUTED_VALUE"""),"")</f>
        <v/>
      </c>
      <c r="V606" s="36" t="str">
        <f ca="1">IFERROR(__xludf.DUMMYFUNCTION("""COMPUTED_VALUE"""),"")</f>
        <v/>
      </c>
      <c r="W606" s="36" t="str">
        <f ca="1">IFERROR(__xludf.DUMMYFUNCTION("""COMPUTED_VALUE"""),"")</f>
        <v/>
      </c>
      <c r="X606" s="36"/>
      <c r="Y606" s="36"/>
      <c r="Z606" s="36"/>
    </row>
    <row r="607" spans="1:26" ht="12.75" hidden="1">
      <c r="A607" s="36" t="str">
        <f ca="1">IFERROR(__xludf.DUMMYFUNCTION("""COMPUTED_VALUE"""),"")</f>
        <v/>
      </c>
      <c r="B607" s="36" t="str">
        <f ca="1">IFERROR(__xludf.DUMMYFUNCTION("""COMPUTED_VALUE"""),"")</f>
        <v/>
      </c>
      <c r="C607" s="36" t="str">
        <f ca="1">IFERROR(__xludf.DUMMYFUNCTION("""COMPUTED_VALUE"""),"")</f>
        <v/>
      </c>
      <c r="D607" s="36" t="str">
        <f ca="1">IFERROR(__xludf.DUMMYFUNCTION("""COMPUTED_VALUE"""),"")</f>
        <v/>
      </c>
      <c r="E607" s="36" t="str">
        <f ca="1">IFERROR(__xludf.DUMMYFUNCTION("""COMPUTED_VALUE"""),"")</f>
        <v/>
      </c>
      <c r="F607" s="36" t="str">
        <f ca="1">IFERROR(__xludf.DUMMYFUNCTION("""COMPUTED_VALUE"""),"")</f>
        <v/>
      </c>
      <c r="G607" s="36" t="str">
        <f ca="1">IFERROR(__xludf.DUMMYFUNCTION("""COMPUTED_VALUE"""),"")</f>
        <v/>
      </c>
      <c r="H607" s="36" t="str">
        <f ca="1">IFERROR(__xludf.DUMMYFUNCTION("""COMPUTED_VALUE"""),"")</f>
        <v/>
      </c>
      <c r="I607" s="36" t="str">
        <f ca="1">IFERROR(__xludf.DUMMYFUNCTION("""COMPUTED_VALUE"""),"")</f>
        <v/>
      </c>
      <c r="J607" s="36" t="str">
        <f ca="1">IFERROR(__xludf.DUMMYFUNCTION("""COMPUTED_VALUE"""),"")</f>
        <v/>
      </c>
      <c r="K607" s="36" t="str">
        <f ca="1">IFERROR(__xludf.DUMMYFUNCTION("""COMPUTED_VALUE"""),"")</f>
        <v/>
      </c>
      <c r="L607" s="36" t="str">
        <f ca="1">IFERROR(__xludf.DUMMYFUNCTION("""COMPUTED_VALUE"""),"")</f>
        <v/>
      </c>
      <c r="M607" s="36" t="str">
        <f ca="1">IFERROR(__xludf.DUMMYFUNCTION("""COMPUTED_VALUE"""),"")</f>
        <v/>
      </c>
      <c r="N607" s="36" t="str">
        <f ca="1">IFERROR(__xludf.DUMMYFUNCTION("""COMPUTED_VALUE"""),"")</f>
        <v/>
      </c>
      <c r="O607" s="36" t="str">
        <f ca="1">IFERROR(__xludf.DUMMYFUNCTION("""COMPUTED_VALUE"""),"")</f>
        <v/>
      </c>
      <c r="P607" s="36" t="str">
        <f ca="1">IFERROR(__xludf.DUMMYFUNCTION("""COMPUTED_VALUE"""),"")</f>
        <v/>
      </c>
      <c r="Q607" s="36" t="str">
        <f ca="1">IFERROR(__xludf.DUMMYFUNCTION("""COMPUTED_VALUE"""),"")</f>
        <v/>
      </c>
      <c r="R607" s="36" t="str">
        <f ca="1">IFERROR(__xludf.DUMMYFUNCTION("""COMPUTED_VALUE"""),"")</f>
        <v/>
      </c>
      <c r="S607" s="36" t="str">
        <f ca="1">IFERROR(__xludf.DUMMYFUNCTION("""COMPUTED_VALUE"""),"")</f>
        <v/>
      </c>
      <c r="T607" s="36" t="str">
        <f ca="1">IFERROR(__xludf.DUMMYFUNCTION("""COMPUTED_VALUE"""),"")</f>
        <v/>
      </c>
      <c r="U607" s="36" t="str">
        <f ca="1">IFERROR(__xludf.DUMMYFUNCTION("""COMPUTED_VALUE"""),"")</f>
        <v/>
      </c>
      <c r="V607" s="36" t="str">
        <f ca="1">IFERROR(__xludf.DUMMYFUNCTION("""COMPUTED_VALUE"""),"")</f>
        <v/>
      </c>
      <c r="W607" s="36" t="str">
        <f ca="1">IFERROR(__xludf.DUMMYFUNCTION("""COMPUTED_VALUE"""),"")</f>
        <v/>
      </c>
      <c r="X607" s="36"/>
      <c r="Y607" s="36"/>
      <c r="Z607" s="36"/>
    </row>
    <row r="608" spans="1:26" ht="12.75" hidden="1">
      <c r="A608" s="36" t="str">
        <f ca="1">IFERROR(__xludf.DUMMYFUNCTION("""COMPUTED_VALUE"""),"")</f>
        <v/>
      </c>
      <c r="B608" s="36" t="str">
        <f ca="1">IFERROR(__xludf.DUMMYFUNCTION("""COMPUTED_VALUE"""),"")</f>
        <v/>
      </c>
      <c r="C608" s="36" t="str">
        <f ca="1">IFERROR(__xludf.DUMMYFUNCTION("""COMPUTED_VALUE"""),"")</f>
        <v/>
      </c>
      <c r="D608" s="36" t="str">
        <f ca="1">IFERROR(__xludf.DUMMYFUNCTION("""COMPUTED_VALUE"""),"")</f>
        <v/>
      </c>
      <c r="E608" s="36" t="str">
        <f ca="1">IFERROR(__xludf.DUMMYFUNCTION("""COMPUTED_VALUE"""),"")</f>
        <v/>
      </c>
      <c r="F608" s="36" t="str">
        <f ca="1">IFERROR(__xludf.DUMMYFUNCTION("""COMPUTED_VALUE"""),"")</f>
        <v/>
      </c>
      <c r="G608" s="36" t="str">
        <f ca="1">IFERROR(__xludf.DUMMYFUNCTION("""COMPUTED_VALUE"""),"")</f>
        <v/>
      </c>
      <c r="H608" s="36" t="str">
        <f ca="1">IFERROR(__xludf.DUMMYFUNCTION("""COMPUTED_VALUE"""),"")</f>
        <v/>
      </c>
      <c r="I608" s="36" t="str">
        <f ca="1">IFERROR(__xludf.DUMMYFUNCTION("""COMPUTED_VALUE"""),"")</f>
        <v/>
      </c>
      <c r="J608" s="36" t="str">
        <f ca="1">IFERROR(__xludf.DUMMYFUNCTION("""COMPUTED_VALUE"""),"")</f>
        <v/>
      </c>
      <c r="K608" s="36" t="str">
        <f ca="1">IFERROR(__xludf.DUMMYFUNCTION("""COMPUTED_VALUE"""),"")</f>
        <v/>
      </c>
      <c r="L608" s="36" t="str">
        <f ca="1">IFERROR(__xludf.DUMMYFUNCTION("""COMPUTED_VALUE"""),"")</f>
        <v/>
      </c>
      <c r="M608" s="36" t="str">
        <f ca="1">IFERROR(__xludf.DUMMYFUNCTION("""COMPUTED_VALUE"""),"")</f>
        <v/>
      </c>
      <c r="N608" s="36" t="str">
        <f ca="1">IFERROR(__xludf.DUMMYFUNCTION("""COMPUTED_VALUE"""),"")</f>
        <v/>
      </c>
      <c r="O608" s="36" t="str">
        <f ca="1">IFERROR(__xludf.DUMMYFUNCTION("""COMPUTED_VALUE"""),"")</f>
        <v/>
      </c>
      <c r="P608" s="36" t="str">
        <f ca="1">IFERROR(__xludf.DUMMYFUNCTION("""COMPUTED_VALUE"""),"")</f>
        <v/>
      </c>
      <c r="Q608" s="36" t="str">
        <f ca="1">IFERROR(__xludf.DUMMYFUNCTION("""COMPUTED_VALUE"""),"")</f>
        <v/>
      </c>
      <c r="R608" s="36" t="str">
        <f ca="1">IFERROR(__xludf.DUMMYFUNCTION("""COMPUTED_VALUE"""),"")</f>
        <v/>
      </c>
      <c r="S608" s="36" t="str">
        <f ca="1">IFERROR(__xludf.DUMMYFUNCTION("""COMPUTED_VALUE"""),"")</f>
        <v/>
      </c>
      <c r="T608" s="36" t="str">
        <f ca="1">IFERROR(__xludf.DUMMYFUNCTION("""COMPUTED_VALUE"""),"")</f>
        <v/>
      </c>
      <c r="U608" s="36" t="str">
        <f ca="1">IFERROR(__xludf.DUMMYFUNCTION("""COMPUTED_VALUE"""),"")</f>
        <v/>
      </c>
      <c r="V608" s="36" t="str">
        <f ca="1">IFERROR(__xludf.DUMMYFUNCTION("""COMPUTED_VALUE"""),"")</f>
        <v/>
      </c>
      <c r="W608" s="36" t="str">
        <f ca="1">IFERROR(__xludf.DUMMYFUNCTION("""COMPUTED_VALUE"""),"")</f>
        <v/>
      </c>
      <c r="X608" s="36"/>
      <c r="Y608" s="36"/>
      <c r="Z608" s="36"/>
    </row>
    <row r="609" spans="1:26" ht="12.75" hidden="1">
      <c r="A609" s="36" t="str">
        <f ca="1">IFERROR(__xludf.DUMMYFUNCTION("""COMPUTED_VALUE"""),"")</f>
        <v/>
      </c>
      <c r="B609" s="36" t="str">
        <f ca="1">IFERROR(__xludf.DUMMYFUNCTION("""COMPUTED_VALUE"""),"")</f>
        <v/>
      </c>
      <c r="C609" s="36" t="str">
        <f ca="1">IFERROR(__xludf.DUMMYFUNCTION("""COMPUTED_VALUE"""),"")</f>
        <v/>
      </c>
      <c r="D609" s="36" t="str">
        <f ca="1">IFERROR(__xludf.DUMMYFUNCTION("""COMPUTED_VALUE"""),"")</f>
        <v/>
      </c>
      <c r="E609" s="36" t="str">
        <f ca="1">IFERROR(__xludf.DUMMYFUNCTION("""COMPUTED_VALUE"""),"")</f>
        <v/>
      </c>
      <c r="F609" s="36" t="str">
        <f ca="1">IFERROR(__xludf.DUMMYFUNCTION("""COMPUTED_VALUE"""),"")</f>
        <v/>
      </c>
      <c r="G609" s="36" t="str">
        <f ca="1">IFERROR(__xludf.DUMMYFUNCTION("""COMPUTED_VALUE"""),"")</f>
        <v/>
      </c>
      <c r="H609" s="36" t="str">
        <f ca="1">IFERROR(__xludf.DUMMYFUNCTION("""COMPUTED_VALUE"""),"")</f>
        <v/>
      </c>
      <c r="I609" s="36" t="str">
        <f ca="1">IFERROR(__xludf.DUMMYFUNCTION("""COMPUTED_VALUE"""),"")</f>
        <v/>
      </c>
      <c r="J609" s="36" t="str">
        <f ca="1">IFERROR(__xludf.DUMMYFUNCTION("""COMPUTED_VALUE"""),"")</f>
        <v/>
      </c>
      <c r="K609" s="36" t="str">
        <f ca="1">IFERROR(__xludf.DUMMYFUNCTION("""COMPUTED_VALUE"""),"")</f>
        <v/>
      </c>
      <c r="L609" s="36" t="str">
        <f ca="1">IFERROR(__xludf.DUMMYFUNCTION("""COMPUTED_VALUE"""),"")</f>
        <v/>
      </c>
      <c r="M609" s="36" t="str">
        <f ca="1">IFERROR(__xludf.DUMMYFUNCTION("""COMPUTED_VALUE"""),"")</f>
        <v/>
      </c>
      <c r="N609" s="36" t="str">
        <f ca="1">IFERROR(__xludf.DUMMYFUNCTION("""COMPUTED_VALUE"""),"")</f>
        <v/>
      </c>
      <c r="O609" s="36" t="str">
        <f ca="1">IFERROR(__xludf.DUMMYFUNCTION("""COMPUTED_VALUE"""),"")</f>
        <v/>
      </c>
      <c r="P609" s="36" t="str">
        <f ca="1">IFERROR(__xludf.DUMMYFUNCTION("""COMPUTED_VALUE"""),"")</f>
        <v/>
      </c>
      <c r="Q609" s="36" t="str">
        <f ca="1">IFERROR(__xludf.DUMMYFUNCTION("""COMPUTED_VALUE"""),"")</f>
        <v/>
      </c>
      <c r="R609" s="36" t="str">
        <f ca="1">IFERROR(__xludf.DUMMYFUNCTION("""COMPUTED_VALUE"""),"")</f>
        <v/>
      </c>
      <c r="S609" s="36" t="str">
        <f ca="1">IFERROR(__xludf.DUMMYFUNCTION("""COMPUTED_VALUE"""),"")</f>
        <v/>
      </c>
      <c r="T609" s="36" t="str">
        <f ca="1">IFERROR(__xludf.DUMMYFUNCTION("""COMPUTED_VALUE"""),"")</f>
        <v/>
      </c>
      <c r="U609" s="36" t="str">
        <f ca="1">IFERROR(__xludf.DUMMYFUNCTION("""COMPUTED_VALUE"""),"")</f>
        <v/>
      </c>
      <c r="V609" s="36" t="str">
        <f ca="1">IFERROR(__xludf.DUMMYFUNCTION("""COMPUTED_VALUE"""),"")</f>
        <v/>
      </c>
      <c r="W609" s="36" t="str">
        <f ca="1">IFERROR(__xludf.DUMMYFUNCTION("""COMPUTED_VALUE"""),"")</f>
        <v/>
      </c>
      <c r="X609" s="36"/>
      <c r="Y609" s="36"/>
      <c r="Z609" s="36"/>
    </row>
    <row r="610" spans="1:26" ht="12.75" hidden="1">
      <c r="A610" s="36" t="str">
        <f ca="1">IFERROR(__xludf.DUMMYFUNCTION("""COMPUTED_VALUE"""),"")</f>
        <v/>
      </c>
      <c r="B610" s="36" t="str">
        <f ca="1">IFERROR(__xludf.DUMMYFUNCTION("""COMPUTED_VALUE"""),"")</f>
        <v/>
      </c>
      <c r="C610" s="36" t="str">
        <f ca="1">IFERROR(__xludf.DUMMYFUNCTION("""COMPUTED_VALUE"""),"")</f>
        <v/>
      </c>
      <c r="D610" s="36" t="str">
        <f ca="1">IFERROR(__xludf.DUMMYFUNCTION("""COMPUTED_VALUE"""),"")</f>
        <v/>
      </c>
      <c r="E610" s="36" t="str">
        <f ca="1">IFERROR(__xludf.DUMMYFUNCTION("""COMPUTED_VALUE"""),"")</f>
        <v/>
      </c>
      <c r="F610" s="36" t="str">
        <f ca="1">IFERROR(__xludf.DUMMYFUNCTION("""COMPUTED_VALUE"""),"")</f>
        <v/>
      </c>
      <c r="G610" s="36" t="str">
        <f ca="1">IFERROR(__xludf.DUMMYFUNCTION("""COMPUTED_VALUE"""),"")</f>
        <v/>
      </c>
      <c r="H610" s="36" t="str">
        <f ca="1">IFERROR(__xludf.DUMMYFUNCTION("""COMPUTED_VALUE"""),"")</f>
        <v/>
      </c>
      <c r="I610" s="36" t="str">
        <f ca="1">IFERROR(__xludf.DUMMYFUNCTION("""COMPUTED_VALUE"""),"")</f>
        <v/>
      </c>
      <c r="J610" s="36" t="str">
        <f ca="1">IFERROR(__xludf.DUMMYFUNCTION("""COMPUTED_VALUE"""),"")</f>
        <v/>
      </c>
      <c r="K610" s="36" t="str">
        <f ca="1">IFERROR(__xludf.DUMMYFUNCTION("""COMPUTED_VALUE"""),"")</f>
        <v/>
      </c>
      <c r="L610" s="36" t="str">
        <f ca="1">IFERROR(__xludf.DUMMYFUNCTION("""COMPUTED_VALUE"""),"")</f>
        <v/>
      </c>
      <c r="M610" s="36" t="str">
        <f ca="1">IFERROR(__xludf.DUMMYFUNCTION("""COMPUTED_VALUE"""),"")</f>
        <v/>
      </c>
      <c r="N610" s="36" t="str">
        <f ca="1">IFERROR(__xludf.DUMMYFUNCTION("""COMPUTED_VALUE"""),"")</f>
        <v/>
      </c>
      <c r="O610" s="36" t="str">
        <f ca="1">IFERROR(__xludf.DUMMYFUNCTION("""COMPUTED_VALUE"""),"")</f>
        <v/>
      </c>
      <c r="P610" s="36" t="str">
        <f ca="1">IFERROR(__xludf.DUMMYFUNCTION("""COMPUTED_VALUE"""),"")</f>
        <v/>
      </c>
      <c r="Q610" s="36" t="str">
        <f ca="1">IFERROR(__xludf.DUMMYFUNCTION("""COMPUTED_VALUE"""),"")</f>
        <v/>
      </c>
      <c r="R610" s="36" t="str">
        <f ca="1">IFERROR(__xludf.DUMMYFUNCTION("""COMPUTED_VALUE"""),"")</f>
        <v/>
      </c>
      <c r="S610" s="36" t="str">
        <f ca="1">IFERROR(__xludf.DUMMYFUNCTION("""COMPUTED_VALUE"""),"")</f>
        <v/>
      </c>
      <c r="T610" s="36" t="str">
        <f ca="1">IFERROR(__xludf.DUMMYFUNCTION("""COMPUTED_VALUE"""),"")</f>
        <v/>
      </c>
      <c r="U610" s="36" t="str">
        <f ca="1">IFERROR(__xludf.DUMMYFUNCTION("""COMPUTED_VALUE"""),"")</f>
        <v/>
      </c>
      <c r="V610" s="36" t="str">
        <f ca="1">IFERROR(__xludf.DUMMYFUNCTION("""COMPUTED_VALUE"""),"")</f>
        <v/>
      </c>
      <c r="W610" s="36" t="str">
        <f ca="1">IFERROR(__xludf.DUMMYFUNCTION("""COMPUTED_VALUE"""),"")</f>
        <v/>
      </c>
      <c r="X610" s="36"/>
      <c r="Y610" s="36"/>
      <c r="Z610" s="36"/>
    </row>
    <row r="611" spans="1:26" ht="12.75" hidden="1">
      <c r="A611" s="36" t="str">
        <f ca="1">IFERROR(__xludf.DUMMYFUNCTION("""COMPUTED_VALUE"""),"")</f>
        <v/>
      </c>
      <c r="B611" s="36" t="str">
        <f ca="1">IFERROR(__xludf.DUMMYFUNCTION("""COMPUTED_VALUE"""),"")</f>
        <v/>
      </c>
      <c r="C611" s="36" t="str">
        <f ca="1">IFERROR(__xludf.DUMMYFUNCTION("""COMPUTED_VALUE"""),"")</f>
        <v/>
      </c>
      <c r="D611" s="36" t="str">
        <f ca="1">IFERROR(__xludf.DUMMYFUNCTION("""COMPUTED_VALUE"""),"")</f>
        <v/>
      </c>
      <c r="E611" s="36" t="str">
        <f ca="1">IFERROR(__xludf.DUMMYFUNCTION("""COMPUTED_VALUE"""),"")</f>
        <v/>
      </c>
      <c r="F611" s="36" t="str">
        <f ca="1">IFERROR(__xludf.DUMMYFUNCTION("""COMPUTED_VALUE"""),"")</f>
        <v/>
      </c>
      <c r="G611" s="36" t="str">
        <f ca="1">IFERROR(__xludf.DUMMYFUNCTION("""COMPUTED_VALUE"""),"")</f>
        <v/>
      </c>
      <c r="H611" s="36" t="str">
        <f ca="1">IFERROR(__xludf.DUMMYFUNCTION("""COMPUTED_VALUE"""),"")</f>
        <v/>
      </c>
      <c r="I611" s="36" t="str">
        <f ca="1">IFERROR(__xludf.DUMMYFUNCTION("""COMPUTED_VALUE"""),"")</f>
        <v/>
      </c>
      <c r="J611" s="36" t="str">
        <f ca="1">IFERROR(__xludf.DUMMYFUNCTION("""COMPUTED_VALUE"""),"")</f>
        <v/>
      </c>
      <c r="K611" s="36" t="str">
        <f ca="1">IFERROR(__xludf.DUMMYFUNCTION("""COMPUTED_VALUE"""),"")</f>
        <v/>
      </c>
      <c r="L611" s="36" t="str">
        <f ca="1">IFERROR(__xludf.DUMMYFUNCTION("""COMPUTED_VALUE"""),"")</f>
        <v/>
      </c>
      <c r="M611" s="36" t="str">
        <f ca="1">IFERROR(__xludf.DUMMYFUNCTION("""COMPUTED_VALUE"""),"")</f>
        <v/>
      </c>
      <c r="N611" s="36" t="str">
        <f ca="1">IFERROR(__xludf.DUMMYFUNCTION("""COMPUTED_VALUE"""),"")</f>
        <v/>
      </c>
      <c r="O611" s="36" t="str">
        <f ca="1">IFERROR(__xludf.DUMMYFUNCTION("""COMPUTED_VALUE"""),"")</f>
        <v/>
      </c>
      <c r="P611" s="36" t="str">
        <f ca="1">IFERROR(__xludf.DUMMYFUNCTION("""COMPUTED_VALUE"""),"")</f>
        <v/>
      </c>
      <c r="Q611" s="36" t="str">
        <f ca="1">IFERROR(__xludf.DUMMYFUNCTION("""COMPUTED_VALUE"""),"")</f>
        <v/>
      </c>
      <c r="R611" s="36" t="str">
        <f ca="1">IFERROR(__xludf.DUMMYFUNCTION("""COMPUTED_VALUE"""),"")</f>
        <v/>
      </c>
      <c r="S611" s="36" t="str">
        <f ca="1">IFERROR(__xludf.DUMMYFUNCTION("""COMPUTED_VALUE"""),"")</f>
        <v/>
      </c>
      <c r="T611" s="36" t="str">
        <f ca="1">IFERROR(__xludf.DUMMYFUNCTION("""COMPUTED_VALUE"""),"")</f>
        <v/>
      </c>
      <c r="U611" s="36" t="str">
        <f ca="1">IFERROR(__xludf.DUMMYFUNCTION("""COMPUTED_VALUE"""),"")</f>
        <v/>
      </c>
      <c r="V611" s="36" t="str">
        <f ca="1">IFERROR(__xludf.DUMMYFUNCTION("""COMPUTED_VALUE"""),"")</f>
        <v/>
      </c>
      <c r="W611" s="36" t="str">
        <f ca="1">IFERROR(__xludf.DUMMYFUNCTION("""COMPUTED_VALUE"""),"")</f>
        <v/>
      </c>
      <c r="X611" s="36"/>
      <c r="Y611" s="36"/>
      <c r="Z611" s="36"/>
    </row>
    <row r="612" spans="1:26" ht="12.75" hidden="1">
      <c r="A612" s="36" t="str">
        <f ca="1">IFERROR(__xludf.DUMMYFUNCTION("""COMPUTED_VALUE"""),"")</f>
        <v/>
      </c>
      <c r="B612" s="36" t="str">
        <f ca="1">IFERROR(__xludf.DUMMYFUNCTION("""COMPUTED_VALUE"""),"")</f>
        <v/>
      </c>
      <c r="C612" s="36" t="str">
        <f ca="1">IFERROR(__xludf.DUMMYFUNCTION("""COMPUTED_VALUE"""),"")</f>
        <v/>
      </c>
      <c r="D612" s="36" t="str">
        <f ca="1">IFERROR(__xludf.DUMMYFUNCTION("""COMPUTED_VALUE"""),"")</f>
        <v/>
      </c>
      <c r="E612" s="36" t="str">
        <f ca="1">IFERROR(__xludf.DUMMYFUNCTION("""COMPUTED_VALUE"""),"")</f>
        <v/>
      </c>
      <c r="F612" s="36" t="str">
        <f ca="1">IFERROR(__xludf.DUMMYFUNCTION("""COMPUTED_VALUE"""),"")</f>
        <v/>
      </c>
      <c r="G612" s="36" t="str">
        <f ca="1">IFERROR(__xludf.DUMMYFUNCTION("""COMPUTED_VALUE"""),"")</f>
        <v/>
      </c>
      <c r="H612" s="36" t="str">
        <f ca="1">IFERROR(__xludf.DUMMYFUNCTION("""COMPUTED_VALUE"""),"")</f>
        <v/>
      </c>
      <c r="I612" s="36" t="str">
        <f ca="1">IFERROR(__xludf.DUMMYFUNCTION("""COMPUTED_VALUE"""),"")</f>
        <v/>
      </c>
      <c r="J612" s="36" t="str">
        <f ca="1">IFERROR(__xludf.DUMMYFUNCTION("""COMPUTED_VALUE"""),"")</f>
        <v/>
      </c>
      <c r="K612" s="36" t="str">
        <f ca="1">IFERROR(__xludf.DUMMYFUNCTION("""COMPUTED_VALUE"""),"")</f>
        <v/>
      </c>
      <c r="L612" s="36" t="str">
        <f ca="1">IFERROR(__xludf.DUMMYFUNCTION("""COMPUTED_VALUE"""),"")</f>
        <v/>
      </c>
      <c r="M612" s="36" t="str">
        <f ca="1">IFERROR(__xludf.DUMMYFUNCTION("""COMPUTED_VALUE"""),"")</f>
        <v/>
      </c>
      <c r="N612" s="36" t="str">
        <f ca="1">IFERROR(__xludf.DUMMYFUNCTION("""COMPUTED_VALUE"""),"")</f>
        <v/>
      </c>
      <c r="O612" s="36" t="str">
        <f ca="1">IFERROR(__xludf.DUMMYFUNCTION("""COMPUTED_VALUE"""),"")</f>
        <v/>
      </c>
      <c r="P612" s="36" t="str">
        <f ca="1">IFERROR(__xludf.DUMMYFUNCTION("""COMPUTED_VALUE"""),"")</f>
        <v/>
      </c>
      <c r="Q612" s="36" t="str">
        <f ca="1">IFERROR(__xludf.DUMMYFUNCTION("""COMPUTED_VALUE"""),"")</f>
        <v/>
      </c>
      <c r="R612" s="36" t="str">
        <f ca="1">IFERROR(__xludf.DUMMYFUNCTION("""COMPUTED_VALUE"""),"")</f>
        <v/>
      </c>
      <c r="S612" s="36" t="str">
        <f ca="1">IFERROR(__xludf.DUMMYFUNCTION("""COMPUTED_VALUE"""),"")</f>
        <v/>
      </c>
      <c r="T612" s="36" t="str">
        <f ca="1">IFERROR(__xludf.DUMMYFUNCTION("""COMPUTED_VALUE"""),"")</f>
        <v/>
      </c>
      <c r="U612" s="36" t="str">
        <f ca="1">IFERROR(__xludf.DUMMYFUNCTION("""COMPUTED_VALUE"""),"")</f>
        <v/>
      </c>
      <c r="V612" s="36" t="str">
        <f ca="1">IFERROR(__xludf.DUMMYFUNCTION("""COMPUTED_VALUE"""),"")</f>
        <v/>
      </c>
      <c r="W612" s="36" t="str">
        <f ca="1">IFERROR(__xludf.DUMMYFUNCTION("""COMPUTED_VALUE"""),"")</f>
        <v/>
      </c>
      <c r="X612" s="36"/>
      <c r="Y612" s="36"/>
      <c r="Z612" s="36"/>
    </row>
    <row r="613" spans="1:26" ht="12.75" hidden="1">
      <c r="A613" s="36" t="str">
        <f ca="1">IFERROR(__xludf.DUMMYFUNCTION("""COMPUTED_VALUE"""),"")</f>
        <v/>
      </c>
      <c r="B613" s="36" t="str">
        <f ca="1">IFERROR(__xludf.DUMMYFUNCTION("""COMPUTED_VALUE"""),"")</f>
        <v/>
      </c>
      <c r="C613" s="36" t="str">
        <f ca="1">IFERROR(__xludf.DUMMYFUNCTION("""COMPUTED_VALUE"""),"")</f>
        <v/>
      </c>
      <c r="D613" s="36" t="str">
        <f ca="1">IFERROR(__xludf.DUMMYFUNCTION("""COMPUTED_VALUE"""),"")</f>
        <v/>
      </c>
      <c r="E613" s="36" t="str">
        <f ca="1">IFERROR(__xludf.DUMMYFUNCTION("""COMPUTED_VALUE"""),"")</f>
        <v/>
      </c>
      <c r="F613" s="36" t="str">
        <f ca="1">IFERROR(__xludf.DUMMYFUNCTION("""COMPUTED_VALUE"""),"")</f>
        <v/>
      </c>
      <c r="G613" s="36" t="str">
        <f ca="1">IFERROR(__xludf.DUMMYFUNCTION("""COMPUTED_VALUE"""),"")</f>
        <v/>
      </c>
      <c r="H613" s="36" t="str">
        <f ca="1">IFERROR(__xludf.DUMMYFUNCTION("""COMPUTED_VALUE"""),"")</f>
        <v/>
      </c>
      <c r="I613" s="36" t="str">
        <f ca="1">IFERROR(__xludf.DUMMYFUNCTION("""COMPUTED_VALUE"""),"")</f>
        <v/>
      </c>
      <c r="J613" s="36" t="str">
        <f ca="1">IFERROR(__xludf.DUMMYFUNCTION("""COMPUTED_VALUE"""),"")</f>
        <v/>
      </c>
      <c r="K613" s="36" t="str">
        <f ca="1">IFERROR(__xludf.DUMMYFUNCTION("""COMPUTED_VALUE"""),"")</f>
        <v/>
      </c>
      <c r="L613" s="36" t="str">
        <f ca="1">IFERROR(__xludf.DUMMYFUNCTION("""COMPUTED_VALUE"""),"")</f>
        <v/>
      </c>
      <c r="M613" s="36" t="str">
        <f ca="1">IFERROR(__xludf.DUMMYFUNCTION("""COMPUTED_VALUE"""),"")</f>
        <v/>
      </c>
      <c r="N613" s="36" t="str">
        <f ca="1">IFERROR(__xludf.DUMMYFUNCTION("""COMPUTED_VALUE"""),"")</f>
        <v/>
      </c>
      <c r="O613" s="36" t="str">
        <f ca="1">IFERROR(__xludf.DUMMYFUNCTION("""COMPUTED_VALUE"""),"")</f>
        <v/>
      </c>
      <c r="P613" s="36" t="str">
        <f ca="1">IFERROR(__xludf.DUMMYFUNCTION("""COMPUTED_VALUE"""),"")</f>
        <v/>
      </c>
      <c r="Q613" s="36" t="str">
        <f ca="1">IFERROR(__xludf.DUMMYFUNCTION("""COMPUTED_VALUE"""),"")</f>
        <v/>
      </c>
      <c r="R613" s="36" t="str">
        <f ca="1">IFERROR(__xludf.DUMMYFUNCTION("""COMPUTED_VALUE"""),"")</f>
        <v/>
      </c>
      <c r="S613" s="36" t="str">
        <f ca="1">IFERROR(__xludf.DUMMYFUNCTION("""COMPUTED_VALUE"""),"")</f>
        <v/>
      </c>
      <c r="T613" s="36" t="str">
        <f ca="1">IFERROR(__xludf.DUMMYFUNCTION("""COMPUTED_VALUE"""),"")</f>
        <v/>
      </c>
      <c r="U613" s="36" t="str">
        <f ca="1">IFERROR(__xludf.DUMMYFUNCTION("""COMPUTED_VALUE"""),"")</f>
        <v/>
      </c>
      <c r="V613" s="36" t="str">
        <f ca="1">IFERROR(__xludf.DUMMYFUNCTION("""COMPUTED_VALUE"""),"")</f>
        <v/>
      </c>
      <c r="W613" s="36" t="str">
        <f ca="1">IFERROR(__xludf.DUMMYFUNCTION("""COMPUTED_VALUE"""),"")</f>
        <v/>
      </c>
      <c r="X613" s="36"/>
      <c r="Y613" s="36"/>
      <c r="Z613" s="36"/>
    </row>
    <row r="614" spans="1:26" ht="12.75" hidden="1">
      <c r="A614" s="36" t="str">
        <f ca="1">IFERROR(__xludf.DUMMYFUNCTION("""COMPUTED_VALUE"""),"")</f>
        <v/>
      </c>
      <c r="B614" s="36" t="str">
        <f ca="1">IFERROR(__xludf.DUMMYFUNCTION("""COMPUTED_VALUE"""),"")</f>
        <v/>
      </c>
      <c r="C614" s="36" t="str">
        <f ca="1">IFERROR(__xludf.DUMMYFUNCTION("""COMPUTED_VALUE"""),"")</f>
        <v/>
      </c>
      <c r="D614" s="36" t="str">
        <f ca="1">IFERROR(__xludf.DUMMYFUNCTION("""COMPUTED_VALUE"""),"")</f>
        <v/>
      </c>
      <c r="E614" s="36" t="str">
        <f ca="1">IFERROR(__xludf.DUMMYFUNCTION("""COMPUTED_VALUE"""),"")</f>
        <v/>
      </c>
      <c r="F614" s="36" t="str">
        <f ca="1">IFERROR(__xludf.DUMMYFUNCTION("""COMPUTED_VALUE"""),"")</f>
        <v/>
      </c>
      <c r="G614" s="36" t="str">
        <f ca="1">IFERROR(__xludf.DUMMYFUNCTION("""COMPUTED_VALUE"""),"")</f>
        <v/>
      </c>
      <c r="H614" s="36" t="str">
        <f ca="1">IFERROR(__xludf.DUMMYFUNCTION("""COMPUTED_VALUE"""),"")</f>
        <v/>
      </c>
      <c r="I614" s="36" t="str">
        <f ca="1">IFERROR(__xludf.DUMMYFUNCTION("""COMPUTED_VALUE"""),"")</f>
        <v/>
      </c>
      <c r="J614" s="36" t="str">
        <f ca="1">IFERROR(__xludf.DUMMYFUNCTION("""COMPUTED_VALUE"""),"")</f>
        <v/>
      </c>
      <c r="K614" s="36" t="str">
        <f ca="1">IFERROR(__xludf.DUMMYFUNCTION("""COMPUTED_VALUE"""),"")</f>
        <v/>
      </c>
      <c r="L614" s="36" t="str">
        <f ca="1">IFERROR(__xludf.DUMMYFUNCTION("""COMPUTED_VALUE"""),"")</f>
        <v/>
      </c>
      <c r="M614" s="36" t="str">
        <f ca="1">IFERROR(__xludf.DUMMYFUNCTION("""COMPUTED_VALUE"""),"")</f>
        <v/>
      </c>
      <c r="N614" s="36" t="str">
        <f ca="1">IFERROR(__xludf.DUMMYFUNCTION("""COMPUTED_VALUE"""),"")</f>
        <v/>
      </c>
      <c r="O614" s="36" t="str">
        <f ca="1">IFERROR(__xludf.DUMMYFUNCTION("""COMPUTED_VALUE"""),"")</f>
        <v/>
      </c>
      <c r="P614" s="36" t="str">
        <f ca="1">IFERROR(__xludf.DUMMYFUNCTION("""COMPUTED_VALUE"""),"")</f>
        <v/>
      </c>
      <c r="Q614" s="36" t="str">
        <f ca="1">IFERROR(__xludf.DUMMYFUNCTION("""COMPUTED_VALUE"""),"")</f>
        <v/>
      </c>
      <c r="R614" s="36" t="str">
        <f ca="1">IFERROR(__xludf.DUMMYFUNCTION("""COMPUTED_VALUE"""),"")</f>
        <v/>
      </c>
      <c r="S614" s="36" t="str">
        <f ca="1">IFERROR(__xludf.DUMMYFUNCTION("""COMPUTED_VALUE"""),"")</f>
        <v/>
      </c>
      <c r="T614" s="36" t="str">
        <f ca="1">IFERROR(__xludf.DUMMYFUNCTION("""COMPUTED_VALUE"""),"")</f>
        <v/>
      </c>
      <c r="U614" s="36" t="str">
        <f ca="1">IFERROR(__xludf.DUMMYFUNCTION("""COMPUTED_VALUE"""),"")</f>
        <v/>
      </c>
      <c r="V614" s="36" t="str">
        <f ca="1">IFERROR(__xludf.DUMMYFUNCTION("""COMPUTED_VALUE"""),"")</f>
        <v/>
      </c>
      <c r="W614" s="36" t="str">
        <f ca="1">IFERROR(__xludf.DUMMYFUNCTION("""COMPUTED_VALUE"""),"")</f>
        <v/>
      </c>
      <c r="X614" s="36"/>
      <c r="Y614" s="36"/>
      <c r="Z614" s="36"/>
    </row>
    <row r="615" spans="1:26" ht="12.75" hidden="1">
      <c r="A615" s="36" t="str">
        <f ca="1">IFERROR(__xludf.DUMMYFUNCTION("""COMPUTED_VALUE"""),"")</f>
        <v/>
      </c>
      <c r="B615" s="36" t="str">
        <f ca="1">IFERROR(__xludf.DUMMYFUNCTION("""COMPUTED_VALUE"""),"")</f>
        <v/>
      </c>
      <c r="C615" s="36" t="str">
        <f ca="1">IFERROR(__xludf.DUMMYFUNCTION("""COMPUTED_VALUE"""),"")</f>
        <v/>
      </c>
      <c r="D615" s="36" t="str">
        <f ca="1">IFERROR(__xludf.DUMMYFUNCTION("""COMPUTED_VALUE"""),"")</f>
        <v/>
      </c>
      <c r="E615" s="36" t="str">
        <f ca="1">IFERROR(__xludf.DUMMYFUNCTION("""COMPUTED_VALUE"""),"")</f>
        <v/>
      </c>
      <c r="F615" s="36" t="str">
        <f ca="1">IFERROR(__xludf.DUMMYFUNCTION("""COMPUTED_VALUE"""),"")</f>
        <v/>
      </c>
      <c r="G615" s="36" t="str">
        <f ca="1">IFERROR(__xludf.DUMMYFUNCTION("""COMPUTED_VALUE"""),"")</f>
        <v/>
      </c>
      <c r="H615" s="36" t="str">
        <f ca="1">IFERROR(__xludf.DUMMYFUNCTION("""COMPUTED_VALUE"""),"")</f>
        <v/>
      </c>
      <c r="I615" s="36" t="str">
        <f ca="1">IFERROR(__xludf.DUMMYFUNCTION("""COMPUTED_VALUE"""),"")</f>
        <v/>
      </c>
      <c r="J615" s="36" t="str">
        <f ca="1">IFERROR(__xludf.DUMMYFUNCTION("""COMPUTED_VALUE"""),"")</f>
        <v/>
      </c>
      <c r="K615" s="36" t="str">
        <f ca="1">IFERROR(__xludf.DUMMYFUNCTION("""COMPUTED_VALUE"""),"")</f>
        <v/>
      </c>
      <c r="L615" s="36" t="str">
        <f ca="1">IFERROR(__xludf.DUMMYFUNCTION("""COMPUTED_VALUE"""),"")</f>
        <v/>
      </c>
      <c r="M615" s="36" t="str">
        <f ca="1">IFERROR(__xludf.DUMMYFUNCTION("""COMPUTED_VALUE"""),"")</f>
        <v/>
      </c>
      <c r="N615" s="36" t="str">
        <f ca="1">IFERROR(__xludf.DUMMYFUNCTION("""COMPUTED_VALUE"""),"")</f>
        <v/>
      </c>
      <c r="O615" s="36" t="str">
        <f ca="1">IFERROR(__xludf.DUMMYFUNCTION("""COMPUTED_VALUE"""),"")</f>
        <v/>
      </c>
      <c r="P615" s="36" t="str">
        <f ca="1">IFERROR(__xludf.DUMMYFUNCTION("""COMPUTED_VALUE"""),"")</f>
        <v/>
      </c>
      <c r="Q615" s="36" t="str">
        <f ca="1">IFERROR(__xludf.DUMMYFUNCTION("""COMPUTED_VALUE"""),"")</f>
        <v/>
      </c>
      <c r="R615" s="36" t="str">
        <f ca="1">IFERROR(__xludf.DUMMYFUNCTION("""COMPUTED_VALUE"""),"")</f>
        <v/>
      </c>
      <c r="S615" s="36" t="str">
        <f ca="1">IFERROR(__xludf.DUMMYFUNCTION("""COMPUTED_VALUE"""),"")</f>
        <v/>
      </c>
      <c r="T615" s="36" t="str">
        <f ca="1">IFERROR(__xludf.DUMMYFUNCTION("""COMPUTED_VALUE"""),"")</f>
        <v/>
      </c>
      <c r="U615" s="36" t="str">
        <f ca="1">IFERROR(__xludf.DUMMYFUNCTION("""COMPUTED_VALUE"""),"")</f>
        <v/>
      </c>
      <c r="V615" s="36" t="str">
        <f ca="1">IFERROR(__xludf.DUMMYFUNCTION("""COMPUTED_VALUE"""),"")</f>
        <v/>
      </c>
      <c r="W615" s="36" t="str">
        <f ca="1">IFERROR(__xludf.DUMMYFUNCTION("""COMPUTED_VALUE"""),"")</f>
        <v/>
      </c>
      <c r="X615" s="36"/>
      <c r="Y615" s="36"/>
      <c r="Z615" s="36"/>
    </row>
    <row r="616" spans="1:26" ht="12.75" hidden="1">
      <c r="A616" s="36" t="str">
        <f ca="1">IFERROR(__xludf.DUMMYFUNCTION("""COMPUTED_VALUE"""),"")</f>
        <v/>
      </c>
      <c r="B616" s="36" t="str">
        <f ca="1">IFERROR(__xludf.DUMMYFUNCTION("""COMPUTED_VALUE"""),"")</f>
        <v/>
      </c>
      <c r="C616" s="36" t="str">
        <f ca="1">IFERROR(__xludf.DUMMYFUNCTION("""COMPUTED_VALUE"""),"")</f>
        <v/>
      </c>
      <c r="D616" s="36" t="str">
        <f ca="1">IFERROR(__xludf.DUMMYFUNCTION("""COMPUTED_VALUE"""),"")</f>
        <v/>
      </c>
      <c r="E616" s="36" t="str">
        <f ca="1">IFERROR(__xludf.DUMMYFUNCTION("""COMPUTED_VALUE"""),"")</f>
        <v/>
      </c>
      <c r="F616" s="36" t="str">
        <f ca="1">IFERROR(__xludf.DUMMYFUNCTION("""COMPUTED_VALUE"""),"")</f>
        <v/>
      </c>
      <c r="G616" s="36" t="str">
        <f ca="1">IFERROR(__xludf.DUMMYFUNCTION("""COMPUTED_VALUE"""),"")</f>
        <v/>
      </c>
      <c r="H616" s="36" t="str">
        <f ca="1">IFERROR(__xludf.DUMMYFUNCTION("""COMPUTED_VALUE"""),"")</f>
        <v/>
      </c>
      <c r="I616" s="36" t="str">
        <f ca="1">IFERROR(__xludf.DUMMYFUNCTION("""COMPUTED_VALUE"""),"")</f>
        <v/>
      </c>
      <c r="J616" s="36" t="str">
        <f ca="1">IFERROR(__xludf.DUMMYFUNCTION("""COMPUTED_VALUE"""),"")</f>
        <v/>
      </c>
      <c r="K616" s="36" t="str">
        <f ca="1">IFERROR(__xludf.DUMMYFUNCTION("""COMPUTED_VALUE"""),"")</f>
        <v/>
      </c>
      <c r="L616" s="36" t="str">
        <f ca="1">IFERROR(__xludf.DUMMYFUNCTION("""COMPUTED_VALUE"""),"")</f>
        <v/>
      </c>
      <c r="M616" s="36" t="str">
        <f ca="1">IFERROR(__xludf.DUMMYFUNCTION("""COMPUTED_VALUE"""),"")</f>
        <v/>
      </c>
      <c r="N616" s="36" t="str">
        <f ca="1">IFERROR(__xludf.DUMMYFUNCTION("""COMPUTED_VALUE"""),"")</f>
        <v/>
      </c>
      <c r="O616" s="36" t="str">
        <f ca="1">IFERROR(__xludf.DUMMYFUNCTION("""COMPUTED_VALUE"""),"")</f>
        <v/>
      </c>
      <c r="P616" s="36" t="str">
        <f ca="1">IFERROR(__xludf.DUMMYFUNCTION("""COMPUTED_VALUE"""),"")</f>
        <v/>
      </c>
      <c r="Q616" s="36" t="str">
        <f ca="1">IFERROR(__xludf.DUMMYFUNCTION("""COMPUTED_VALUE"""),"")</f>
        <v/>
      </c>
      <c r="R616" s="36" t="str">
        <f ca="1">IFERROR(__xludf.DUMMYFUNCTION("""COMPUTED_VALUE"""),"")</f>
        <v/>
      </c>
      <c r="S616" s="36" t="str">
        <f ca="1">IFERROR(__xludf.DUMMYFUNCTION("""COMPUTED_VALUE"""),"")</f>
        <v/>
      </c>
      <c r="T616" s="36" t="str">
        <f ca="1">IFERROR(__xludf.DUMMYFUNCTION("""COMPUTED_VALUE"""),"")</f>
        <v/>
      </c>
      <c r="U616" s="36" t="str">
        <f ca="1">IFERROR(__xludf.DUMMYFUNCTION("""COMPUTED_VALUE"""),"")</f>
        <v/>
      </c>
      <c r="V616" s="36" t="str">
        <f ca="1">IFERROR(__xludf.DUMMYFUNCTION("""COMPUTED_VALUE"""),"")</f>
        <v/>
      </c>
      <c r="W616" s="36" t="str">
        <f ca="1">IFERROR(__xludf.DUMMYFUNCTION("""COMPUTED_VALUE"""),"")</f>
        <v/>
      </c>
      <c r="X616" s="36"/>
      <c r="Y616" s="36"/>
      <c r="Z616" s="36"/>
    </row>
    <row r="617" spans="1:26" ht="12.75" hidden="1">
      <c r="A617" s="36" t="str">
        <f ca="1">IFERROR(__xludf.DUMMYFUNCTION("""COMPUTED_VALUE"""),"")</f>
        <v/>
      </c>
      <c r="B617" s="36" t="str">
        <f ca="1">IFERROR(__xludf.DUMMYFUNCTION("""COMPUTED_VALUE"""),"")</f>
        <v/>
      </c>
      <c r="C617" s="36" t="str">
        <f ca="1">IFERROR(__xludf.DUMMYFUNCTION("""COMPUTED_VALUE"""),"")</f>
        <v/>
      </c>
      <c r="D617" s="36" t="str">
        <f ca="1">IFERROR(__xludf.DUMMYFUNCTION("""COMPUTED_VALUE"""),"")</f>
        <v/>
      </c>
      <c r="E617" s="36" t="str">
        <f ca="1">IFERROR(__xludf.DUMMYFUNCTION("""COMPUTED_VALUE"""),"")</f>
        <v/>
      </c>
      <c r="F617" s="36" t="str">
        <f ca="1">IFERROR(__xludf.DUMMYFUNCTION("""COMPUTED_VALUE"""),"")</f>
        <v/>
      </c>
      <c r="G617" s="36" t="str">
        <f ca="1">IFERROR(__xludf.DUMMYFUNCTION("""COMPUTED_VALUE"""),"")</f>
        <v/>
      </c>
      <c r="H617" s="36" t="str">
        <f ca="1">IFERROR(__xludf.DUMMYFUNCTION("""COMPUTED_VALUE"""),"")</f>
        <v/>
      </c>
      <c r="I617" s="36" t="str">
        <f ca="1">IFERROR(__xludf.DUMMYFUNCTION("""COMPUTED_VALUE"""),"")</f>
        <v/>
      </c>
      <c r="J617" s="36" t="str">
        <f ca="1">IFERROR(__xludf.DUMMYFUNCTION("""COMPUTED_VALUE"""),"")</f>
        <v/>
      </c>
      <c r="K617" s="36" t="str">
        <f ca="1">IFERROR(__xludf.DUMMYFUNCTION("""COMPUTED_VALUE"""),"")</f>
        <v/>
      </c>
      <c r="L617" s="36" t="str">
        <f ca="1">IFERROR(__xludf.DUMMYFUNCTION("""COMPUTED_VALUE"""),"")</f>
        <v/>
      </c>
      <c r="M617" s="36" t="str">
        <f ca="1">IFERROR(__xludf.DUMMYFUNCTION("""COMPUTED_VALUE"""),"")</f>
        <v/>
      </c>
      <c r="N617" s="36" t="str">
        <f ca="1">IFERROR(__xludf.DUMMYFUNCTION("""COMPUTED_VALUE"""),"")</f>
        <v/>
      </c>
      <c r="O617" s="36" t="str">
        <f ca="1">IFERROR(__xludf.DUMMYFUNCTION("""COMPUTED_VALUE"""),"")</f>
        <v/>
      </c>
      <c r="P617" s="36" t="str">
        <f ca="1">IFERROR(__xludf.DUMMYFUNCTION("""COMPUTED_VALUE"""),"")</f>
        <v/>
      </c>
      <c r="Q617" s="36" t="str">
        <f ca="1">IFERROR(__xludf.DUMMYFUNCTION("""COMPUTED_VALUE"""),"")</f>
        <v/>
      </c>
      <c r="R617" s="36" t="str">
        <f ca="1">IFERROR(__xludf.DUMMYFUNCTION("""COMPUTED_VALUE"""),"")</f>
        <v/>
      </c>
      <c r="S617" s="36" t="str">
        <f ca="1">IFERROR(__xludf.DUMMYFUNCTION("""COMPUTED_VALUE"""),"")</f>
        <v/>
      </c>
      <c r="T617" s="36" t="str">
        <f ca="1">IFERROR(__xludf.DUMMYFUNCTION("""COMPUTED_VALUE"""),"")</f>
        <v/>
      </c>
      <c r="U617" s="36" t="str">
        <f ca="1">IFERROR(__xludf.DUMMYFUNCTION("""COMPUTED_VALUE"""),"")</f>
        <v/>
      </c>
      <c r="V617" s="36" t="str">
        <f ca="1">IFERROR(__xludf.DUMMYFUNCTION("""COMPUTED_VALUE"""),"")</f>
        <v/>
      </c>
      <c r="W617" s="36" t="str">
        <f ca="1">IFERROR(__xludf.DUMMYFUNCTION("""COMPUTED_VALUE"""),"")</f>
        <v/>
      </c>
      <c r="X617" s="36"/>
      <c r="Y617" s="36"/>
      <c r="Z617" s="36"/>
    </row>
    <row r="618" spans="1:26" ht="12.75" hidden="1">
      <c r="A618" s="36" t="str">
        <f ca="1">IFERROR(__xludf.DUMMYFUNCTION("""COMPUTED_VALUE"""),"")</f>
        <v/>
      </c>
      <c r="B618" s="36" t="str">
        <f ca="1">IFERROR(__xludf.DUMMYFUNCTION("""COMPUTED_VALUE"""),"")</f>
        <v/>
      </c>
      <c r="C618" s="36" t="str">
        <f ca="1">IFERROR(__xludf.DUMMYFUNCTION("""COMPUTED_VALUE"""),"")</f>
        <v/>
      </c>
      <c r="D618" s="36" t="str">
        <f ca="1">IFERROR(__xludf.DUMMYFUNCTION("""COMPUTED_VALUE"""),"")</f>
        <v/>
      </c>
      <c r="E618" s="36" t="str">
        <f ca="1">IFERROR(__xludf.DUMMYFUNCTION("""COMPUTED_VALUE"""),"")</f>
        <v/>
      </c>
      <c r="F618" s="36" t="str">
        <f ca="1">IFERROR(__xludf.DUMMYFUNCTION("""COMPUTED_VALUE"""),"")</f>
        <v/>
      </c>
      <c r="G618" s="36" t="str">
        <f ca="1">IFERROR(__xludf.DUMMYFUNCTION("""COMPUTED_VALUE"""),"")</f>
        <v/>
      </c>
      <c r="H618" s="36" t="str">
        <f ca="1">IFERROR(__xludf.DUMMYFUNCTION("""COMPUTED_VALUE"""),"")</f>
        <v/>
      </c>
      <c r="I618" s="36" t="str">
        <f ca="1">IFERROR(__xludf.DUMMYFUNCTION("""COMPUTED_VALUE"""),"")</f>
        <v/>
      </c>
      <c r="J618" s="36" t="str">
        <f ca="1">IFERROR(__xludf.DUMMYFUNCTION("""COMPUTED_VALUE"""),"")</f>
        <v/>
      </c>
      <c r="K618" s="36" t="str">
        <f ca="1">IFERROR(__xludf.DUMMYFUNCTION("""COMPUTED_VALUE"""),"")</f>
        <v/>
      </c>
      <c r="L618" s="36" t="str">
        <f ca="1">IFERROR(__xludf.DUMMYFUNCTION("""COMPUTED_VALUE"""),"")</f>
        <v/>
      </c>
      <c r="M618" s="36" t="str">
        <f ca="1">IFERROR(__xludf.DUMMYFUNCTION("""COMPUTED_VALUE"""),"")</f>
        <v/>
      </c>
      <c r="N618" s="36" t="str">
        <f ca="1">IFERROR(__xludf.DUMMYFUNCTION("""COMPUTED_VALUE"""),"")</f>
        <v/>
      </c>
      <c r="O618" s="36" t="str">
        <f ca="1">IFERROR(__xludf.DUMMYFUNCTION("""COMPUTED_VALUE"""),"")</f>
        <v/>
      </c>
      <c r="P618" s="36" t="str">
        <f ca="1">IFERROR(__xludf.DUMMYFUNCTION("""COMPUTED_VALUE"""),"")</f>
        <v/>
      </c>
      <c r="Q618" s="36" t="str">
        <f ca="1">IFERROR(__xludf.DUMMYFUNCTION("""COMPUTED_VALUE"""),"")</f>
        <v/>
      </c>
      <c r="R618" s="36" t="str">
        <f ca="1">IFERROR(__xludf.DUMMYFUNCTION("""COMPUTED_VALUE"""),"")</f>
        <v/>
      </c>
      <c r="S618" s="36" t="str">
        <f ca="1">IFERROR(__xludf.DUMMYFUNCTION("""COMPUTED_VALUE"""),"")</f>
        <v/>
      </c>
      <c r="T618" s="36" t="str">
        <f ca="1">IFERROR(__xludf.DUMMYFUNCTION("""COMPUTED_VALUE"""),"")</f>
        <v/>
      </c>
      <c r="U618" s="36" t="str">
        <f ca="1">IFERROR(__xludf.DUMMYFUNCTION("""COMPUTED_VALUE"""),"")</f>
        <v/>
      </c>
      <c r="V618" s="36" t="str">
        <f ca="1">IFERROR(__xludf.DUMMYFUNCTION("""COMPUTED_VALUE"""),"")</f>
        <v/>
      </c>
      <c r="W618" s="36" t="str">
        <f ca="1">IFERROR(__xludf.DUMMYFUNCTION("""COMPUTED_VALUE"""),"")</f>
        <v/>
      </c>
      <c r="X618" s="36"/>
      <c r="Y618" s="36"/>
      <c r="Z618" s="36"/>
    </row>
    <row r="619" spans="1:26" ht="12.75" hidden="1">
      <c r="A619" s="36" t="str">
        <f ca="1">IFERROR(__xludf.DUMMYFUNCTION("""COMPUTED_VALUE"""),"")</f>
        <v/>
      </c>
      <c r="B619" s="36" t="str">
        <f ca="1">IFERROR(__xludf.DUMMYFUNCTION("""COMPUTED_VALUE"""),"")</f>
        <v/>
      </c>
      <c r="C619" s="36" t="str">
        <f ca="1">IFERROR(__xludf.DUMMYFUNCTION("""COMPUTED_VALUE"""),"")</f>
        <v/>
      </c>
      <c r="D619" s="36" t="str">
        <f ca="1">IFERROR(__xludf.DUMMYFUNCTION("""COMPUTED_VALUE"""),"")</f>
        <v/>
      </c>
      <c r="E619" s="36" t="str">
        <f ca="1">IFERROR(__xludf.DUMMYFUNCTION("""COMPUTED_VALUE"""),"")</f>
        <v/>
      </c>
      <c r="F619" s="36" t="str">
        <f ca="1">IFERROR(__xludf.DUMMYFUNCTION("""COMPUTED_VALUE"""),"")</f>
        <v/>
      </c>
      <c r="G619" s="36" t="str">
        <f ca="1">IFERROR(__xludf.DUMMYFUNCTION("""COMPUTED_VALUE"""),"")</f>
        <v/>
      </c>
      <c r="H619" s="36" t="str">
        <f ca="1">IFERROR(__xludf.DUMMYFUNCTION("""COMPUTED_VALUE"""),"")</f>
        <v/>
      </c>
      <c r="I619" s="36" t="str">
        <f ca="1">IFERROR(__xludf.DUMMYFUNCTION("""COMPUTED_VALUE"""),"")</f>
        <v/>
      </c>
      <c r="J619" s="36" t="str">
        <f ca="1">IFERROR(__xludf.DUMMYFUNCTION("""COMPUTED_VALUE"""),"")</f>
        <v/>
      </c>
      <c r="K619" s="36" t="str">
        <f ca="1">IFERROR(__xludf.DUMMYFUNCTION("""COMPUTED_VALUE"""),"")</f>
        <v/>
      </c>
      <c r="L619" s="36" t="str">
        <f ca="1">IFERROR(__xludf.DUMMYFUNCTION("""COMPUTED_VALUE"""),"")</f>
        <v/>
      </c>
      <c r="M619" s="36" t="str">
        <f ca="1">IFERROR(__xludf.DUMMYFUNCTION("""COMPUTED_VALUE"""),"")</f>
        <v/>
      </c>
      <c r="N619" s="36" t="str">
        <f ca="1">IFERROR(__xludf.DUMMYFUNCTION("""COMPUTED_VALUE"""),"")</f>
        <v/>
      </c>
      <c r="O619" s="36" t="str">
        <f ca="1">IFERROR(__xludf.DUMMYFUNCTION("""COMPUTED_VALUE"""),"")</f>
        <v/>
      </c>
      <c r="P619" s="36" t="str">
        <f ca="1">IFERROR(__xludf.DUMMYFUNCTION("""COMPUTED_VALUE"""),"")</f>
        <v/>
      </c>
      <c r="Q619" s="36" t="str">
        <f ca="1">IFERROR(__xludf.DUMMYFUNCTION("""COMPUTED_VALUE"""),"")</f>
        <v/>
      </c>
      <c r="R619" s="36" t="str">
        <f ca="1">IFERROR(__xludf.DUMMYFUNCTION("""COMPUTED_VALUE"""),"")</f>
        <v/>
      </c>
      <c r="S619" s="36" t="str">
        <f ca="1">IFERROR(__xludf.DUMMYFUNCTION("""COMPUTED_VALUE"""),"")</f>
        <v/>
      </c>
      <c r="T619" s="36" t="str">
        <f ca="1">IFERROR(__xludf.DUMMYFUNCTION("""COMPUTED_VALUE"""),"")</f>
        <v/>
      </c>
      <c r="U619" s="36" t="str">
        <f ca="1">IFERROR(__xludf.DUMMYFUNCTION("""COMPUTED_VALUE"""),"")</f>
        <v/>
      </c>
      <c r="V619" s="36" t="str">
        <f ca="1">IFERROR(__xludf.DUMMYFUNCTION("""COMPUTED_VALUE"""),"")</f>
        <v/>
      </c>
      <c r="W619" s="36" t="str">
        <f ca="1">IFERROR(__xludf.DUMMYFUNCTION("""COMPUTED_VALUE"""),"")</f>
        <v/>
      </c>
      <c r="X619" s="36"/>
      <c r="Y619" s="36"/>
      <c r="Z619" s="36"/>
    </row>
    <row r="620" spans="1:26" ht="12.75" hidden="1">
      <c r="A620" s="36" t="str">
        <f ca="1">IFERROR(__xludf.DUMMYFUNCTION("""COMPUTED_VALUE"""),"")</f>
        <v/>
      </c>
      <c r="B620" s="36" t="str">
        <f ca="1">IFERROR(__xludf.DUMMYFUNCTION("""COMPUTED_VALUE"""),"")</f>
        <v/>
      </c>
      <c r="C620" s="36" t="str">
        <f ca="1">IFERROR(__xludf.DUMMYFUNCTION("""COMPUTED_VALUE"""),"")</f>
        <v/>
      </c>
      <c r="D620" s="36" t="str">
        <f ca="1">IFERROR(__xludf.DUMMYFUNCTION("""COMPUTED_VALUE"""),"")</f>
        <v/>
      </c>
      <c r="E620" s="36" t="str">
        <f ca="1">IFERROR(__xludf.DUMMYFUNCTION("""COMPUTED_VALUE"""),"")</f>
        <v/>
      </c>
      <c r="F620" s="36" t="str">
        <f ca="1">IFERROR(__xludf.DUMMYFUNCTION("""COMPUTED_VALUE"""),"")</f>
        <v/>
      </c>
      <c r="G620" s="36" t="str">
        <f ca="1">IFERROR(__xludf.DUMMYFUNCTION("""COMPUTED_VALUE"""),"")</f>
        <v/>
      </c>
      <c r="H620" s="36" t="str">
        <f ca="1">IFERROR(__xludf.DUMMYFUNCTION("""COMPUTED_VALUE"""),"")</f>
        <v/>
      </c>
      <c r="I620" s="36" t="str">
        <f ca="1">IFERROR(__xludf.DUMMYFUNCTION("""COMPUTED_VALUE"""),"")</f>
        <v/>
      </c>
      <c r="J620" s="36" t="str">
        <f ca="1">IFERROR(__xludf.DUMMYFUNCTION("""COMPUTED_VALUE"""),"")</f>
        <v/>
      </c>
      <c r="K620" s="36" t="str">
        <f ca="1">IFERROR(__xludf.DUMMYFUNCTION("""COMPUTED_VALUE"""),"")</f>
        <v/>
      </c>
      <c r="L620" s="36" t="str">
        <f ca="1">IFERROR(__xludf.DUMMYFUNCTION("""COMPUTED_VALUE"""),"")</f>
        <v/>
      </c>
      <c r="M620" s="36" t="str">
        <f ca="1">IFERROR(__xludf.DUMMYFUNCTION("""COMPUTED_VALUE"""),"")</f>
        <v/>
      </c>
      <c r="N620" s="36" t="str">
        <f ca="1">IFERROR(__xludf.DUMMYFUNCTION("""COMPUTED_VALUE"""),"")</f>
        <v/>
      </c>
      <c r="O620" s="36" t="str">
        <f ca="1">IFERROR(__xludf.DUMMYFUNCTION("""COMPUTED_VALUE"""),"")</f>
        <v/>
      </c>
      <c r="P620" s="36" t="str">
        <f ca="1">IFERROR(__xludf.DUMMYFUNCTION("""COMPUTED_VALUE"""),"")</f>
        <v/>
      </c>
      <c r="Q620" s="36" t="str">
        <f ca="1">IFERROR(__xludf.DUMMYFUNCTION("""COMPUTED_VALUE"""),"")</f>
        <v/>
      </c>
      <c r="R620" s="36" t="str">
        <f ca="1">IFERROR(__xludf.DUMMYFUNCTION("""COMPUTED_VALUE"""),"")</f>
        <v/>
      </c>
      <c r="S620" s="36" t="str">
        <f ca="1">IFERROR(__xludf.DUMMYFUNCTION("""COMPUTED_VALUE"""),"")</f>
        <v/>
      </c>
      <c r="T620" s="36" t="str">
        <f ca="1">IFERROR(__xludf.DUMMYFUNCTION("""COMPUTED_VALUE"""),"")</f>
        <v/>
      </c>
      <c r="U620" s="36" t="str">
        <f ca="1">IFERROR(__xludf.DUMMYFUNCTION("""COMPUTED_VALUE"""),"")</f>
        <v/>
      </c>
      <c r="V620" s="36" t="str">
        <f ca="1">IFERROR(__xludf.DUMMYFUNCTION("""COMPUTED_VALUE"""),"")</f>
        <v/>
      </c>
      <c r="W620" s="36" t="str">
        <f ca="1">IFERROR(__xludf.DUMMYFUNCTION("""COMPUTED_VALUE"""),"")</f>
        <v/>
      </c>
      <c r="X620" s="36"/>
      <c r="Y620" s="36"/>
      <c r="Z620" s="36"/>
    </row>
    <row r="621" spans="1:26" ht="12.75" hidden="1">
      <c r="A621" s="36" t="str">
        <f ca="1">IFERROR(__xludf.DUMMYFUNCTION("""COMPUTED_VALUE"""),"")</f>
        <v/>
      </c>
      <c r="B621" s="36" t="str">
        <f ca="1">IFERROR(__xludf.DUMMYFUNCTION("""COMPUTED_VALUE"""),"")</f>
        <v/>
      </c>
      <c r="C621" s="36" t="str">
        <f ca="1">IFERROR(__xludf.DUMMYFUNCTION("""COMPUTED_VALUE"""),"")</f>
        <v/>
      </c>
      <c r="D621" s="36" t="str">
        <f ca="1">IFERROR(__xludf.DUMMYFUNCTION("""COMPUTED_VALUE"""),"")</f>
        <v/>
      </c>
      <c r="E621" s="36" t="str">
        <f ca="1">IFERROR(__xludf.DUMMYFUNCTION("""COMPUTED_VALUE"""),"")</f>
        <v/>
      </c>
      <c r="F621" s="36" t="str">
        <f ca="1">IFERROR(__xludf.DUMMYFUNCTION("""COMPUTED_VALUE"""),"")</f>
        <v/>
      </c>
      <c r="G621" s="36" t="str">
        <f ca="1">IFERROR(__xludf.DUMMYFUNCTION("""COMPUTED_VALUE"""),"")</f>
        <v/>
      </c>
      <c r="H621" s="36" t="str">
        <f ca="1">IFERROR(__xludf.DUMMYFUNCTION("""COMPUTED_VALUE"""),"")</f>
        <v/>
      </c>
      <c r="I621" s="36" t="str">
        <f ca="1">IFERROR(__xludf.DUMMYFUNCTION("""COMPUTED_VALUE"""),"")</f>
        <v/>
      </c>
      <c r="J621" s="36" t="str">
        <f ca="1">IFERROR(__xludf.DUMMYFUNCTION("""COMPUTED_VALUE"""),"")</f>
        <v/>
      </c>
      <c r="K621" s="36" t="str">
        <f ca="1">IFERROR(__xludf.DUMMYFUNCTION("""COMPUTED_VALUE"""),"")</f>
        <v/>
      </c>
      <c r="L621" s="36" t="str">
        <f ca="1">IFERROR(__xludf.DUMMYFUNCTION("""COMPUTED_VALUE"""),"")</f>
        <v/>
      </c>
      <c r="M621" s="36" t="str">
        <f ca="1">IFERROR(__xludf.DUMMYFUNCTION("""COMPUTED_VALUE"""),"")</f>
        <v/>
      </c>
      <c r="N621" s="36" t="str">
        <f ca="1">IFERROR(__xludf.DUMMYFUNCTION("""COMPUTED_VALUE"""),"")</f>
        <v/>
      </c>
      <c r="O621" s="36" t="str">
        <f ca="1">IFERROR(__xludf.DUMMYFUNCTION("""COMPUTED_VALUE"""),"")</f>
        <v/>
      </c>
      <c r="P621" s="36" t="str">
        <f ca="1">IFERROR(__xludf.DUMMYFUNCTION("""COMPUTED_VALUE"""),"")</f>
        <v/>
      </c>
      <c r="Q621" s="36" t="str">
        <f ca="1">IFERROR(__xludf.DUMMYFUNCTION("""COMPUTED_VALUE"""),"")</f>
        <v/>
      </c>
      <c r="R621" s="36" t="str">
        <f ca="1">IFERROR(__xludf.DUMMYFUNCTION("""COMPUTED_VALUE"""),"")</f>
        <v/>
      </c>
      <c r="S621" s="36" t="str">
        <f ca="1">IFERROR(__xludf.DUMMYFUNCTION("""COMPUTED_VALUE"""),"")</f>
        <v/>
      </c>
      <c r="T621" s="36" t="str">
        <f ca="1">IFERROR(__xludf.DUMMYFUNCTION("""COMPUTED_VALUE"""),"")</f>
        <v/>
      </c>
      <c r="U621" s="36" t="str">
        <f ca="1">IFERROR(__xludf.DUMMYFUNCTION("""COMPUTED_VALUE"""),"")</f>
        <v/>
      </c>
      <c r="V621" s="36" t="str">
        <f ca="1">IFERROR(__xludf.DUMMYFUNCTION("""COMPUTED_VALUE"""),"")</f>
        <v/>
      </c>
      <c r="W621" s="36" t="str">
        <f ca="1">IFERROR(__xludf.DUMMYFUNCTION("""COMPUTED_VALUE"""),"")</f>
        <v/>
      </c>
      <c r="X621" s="36"/>
      <c r="Y621" s="36"/>
      <c r="Z621" s="36"/>
    </row>
    <row r="622" spans="1:26" ht="12.75" hidden="1">
      <c r="A622" s="36" t="str">
        <f ca="1">IFERROR(__xludf.DUMMYFUNCTION("""COMPUTED_VALUE"""),"")</f>
        <v/>
      </c>
      <c r="B622" s="36" t="str">
        <f ca="1">IFERROR(__xludf.DUMMYFUNCTION("""COMPUTED_VALUE"""),"")</f>
        <v/>
      </c>
      <c r="C622" s="36" t="str">
        <f ca="1">IFERROR(__xludf.DUMMYFUNCTION("""COMPUTED_VALUE"""),"")</f>
        <v/>
      </c>
      <c r="D622" s="36" t="str">
        <f ca="1">IFERROR(__xludf.DUMMYFUNCTION("""COMPUTED_VALUE"""),"")</f>
        <v/>
      </c>
      <c r="E622" s="36" t="str">
        <f ca="1">IFERROR(__xludf.DUMMYFUNCTION("""COMPUTED_VALUE"""),"")</f>
        <v/>
      </c>
      <c r="F622" s="36" t="str">
        <f ca="1">IFERROR(__xludf.DUMMYFUNCTION("""COMPUTED_VALUE"""),"")</f>
        <v/>
      </c>
      <c r="G622" s="36" t="str">
        <f ca="1">IFERROR(__xludf.DUMMYFUNCTION("""COMPUTED_VALUE"""),"")</f>
        <v/>
      </c>
      <c r="H622" s="36" t="str">
        <f ca="1">IFERROR(__xludf.DUMMYFUNCTION("""COMPUTED_VALUE"""),"")</f>
        <v/>
      </c>
      <c r="I622" s="36" t="str">
        <f ca="1">IFERROR(__xludf.DUMMYFUNCTION("""COMPUTED_VALUE"""),"")</f>
        <v/>
      </c>
      <c r="J622" s="36" t="str">
        <f ca="1">IFERROR(__xludf.DUMMYFUNCTION("""COMPUTED_VALUE"""),"")</f>
        <v/>
      </c>
      <c r="K622" s="36" t="str">
        <f ca="1">IFERROR(__xludf.DUMMYFUNCTION("""COMPUTED_VALUE"""),"")</f>
        <v/>
      </c>
      <c r="L622" s="36" t="str">
        <f ca="1">IFERROR(__xludf.DUMMYFUNCTION("""COMPUTED_VALUE"""),"")</f>
        <v/>
      </c>
      <c r="M622" s="36" t="str">
        <f ca="1">IFERROR(__xludf.DUMMYFUNCTION("""COMPUTED_VALUE"""),"")</f>
        <v/>
      </c>
      <c r="N622" s="36" t="str">
        <f ca="1">IFERROR(__xludf.DUMMYFUNCTION("""COMPUTED_VALUE"""),"")</f>
        <v/>
      </c>
      <c r="O622" s="36" t="str">
        <f ca="1">IFERROR(__xludf.DUMMYFUNCTION("""COMPUTED_VALUE"""),"")</f>
        <v/>
      </c>
      <c r="P622" s="36" t="str">
        <f ca="1">IFERROR(__xludf.DUMMYFUNCTION("""COMPUTED_VALUE"""),"")</f>
        <v/>
      </c>
      <c r="Q622" s="36" t="str">
        <f ca="1">IFERROR(__xludf.DUMMYFUNCTION("""COMPUTED_VALUE"""),"")</f>
        <v/>
      </c>
      <c r="R622" s="36" t="str">
        <f ca="1">IFERROR(__xludf.DUMMYFUNCTION("""COMPUTED_VALUE"""),"")</f>
        <v/>
      </c>
      <c r="S622" s="36" t="str">
        <f ca="1">IFERROR(__xludf.DUMMYFUNCTION("""COMPUTED_VALUE"""),"")</f>
        <v/>
      </c>
      <c r="T622" s="36" t="str">
        <f ca="1">IFERROR(__xludf.DUMMYFUNCTION("""COMPUTED_VALUE"""),"")</f>
        <v/>
      </c>
      <c r="U622" s="36" t="str">
        <f ca="1">IFERROR(__xludf.DUMMYFUNCTION("""COMPUTED_VALUE"""),"")</f>
        <v/>
      </c>
      <c r="V622" s="36" t="str">
        <f ca="1">IFERROR(__xludf.DUMMYFUNCTION("""COMPUTED_VALUE"""),"")</f>
        <v/>
      </c>
      <c r="W622" s="36" t="str">
        <f ca="1">IFERROR(__xludf.DUMMYFUNCTION("""COMPUTED_VALUE"""),"")</f>
        <v/>
      </c>
      <c r="X622" s="36"/>
      <c r="Y622" s="36"/>
      <c r="Z622" s="36"/>
    </row>
    <row r="623" spans="1:26" ht="12.75" hidden="1">
      <c r="A623" s="36" t="str">
        <f ca="1">IFERROR(__xludf.DUMMYFUNCTION("""COMPUTED_VALUE"""),"")</f>
        <v/>
      </c>
      <c r="B623" s="36" t="str">
        <f ca="1">IFERROR(__xludf.DUMMYFUNCTION("""COMPUTED_VALUE"""),"")</f>
        <v/>
      </c>
      <c r="C623" s="36" t="str">
        <f ca="1">IFERROR(__xludf.DUMMYFUNCTION("""COMPUTED_VALUE"""),"")</f>
        <v/>
      </c>
      <c r="D623" s="36" t="str">
        <f ca="1">IFERROR(__xludf.DUMMYFUNCTION("""COMPUTED_VALUE"""),"")</f>
        <v/>
      </c>
      <c r="E623" s="36" t="str">
        <f ca="1">IFERROR(__xludf.DUMMYFUNCTION("""COMPUTED_VALUE"""),"")</f>
        <v/>
      </c>
      <c r="F623" s="36" t="str">
        <f ca="1">IFERROR(__xludf.DUMMYFUNCTION("""COMPUTED_VALUE"""),"")</f>
        <v/>
      </c>
      <c r="G623" s="36" t="str">
        <f ca="1">IFERROR(__xludf.DUMMYFUNCTION("""COMPUTED_VALUE"""),"")</f>
        <v/>
      </c>
      <c r="H623" s="36" t="str">
        <f ca="1">IFERROR(__xludf.DUMMYFUNCTION("""COMPUTED_VALUE"""),"")</f>
        <v/>
      </c>
      <c r="I623" s="36" t="str">
        <f ca="1">IFERROR(__xludf.DUMMYFUNCTION("""COMPUTED_VALUE"""),"")</f>
        <v/>
      </c>
      <c r="J623" s="36" t="str">
        <f ca="1">IFERROR(__xludf.DUMMYFUNCTION("""COMPUTED_VALUE"""),"")</f>
        <v/>
      </c>
      <c r="K623" s="36" t="str">
        <f ca="1">IFERROR(__xludf.DUMMYFUNCTION("""COMPUTED_VALUE"""),"")</f>
        <v/>
      </c>
      <c r="L623" s="36" t="str">
        <f ca="1">IFERROR(__xludf.DUMMYFUNCTION("""COMPUTED_VALUE"""),"")</f>
        <v/>
      </c>
      <c r="M623" s="36" t="str">
        <f ca="1">IFERROR(__xludf.DUMMYFUNCTION("""COMPUTED_VALUE"""),"")</f>
        <v/>
      </c>
      <c r="N623" s="36" t="str">
        <f ca="1">IFERROR(__xludf.DUMMYFUNCTION("""COMPUTED_VALUE"""),"")</f>
        <v/>
      </c>
      <c r="O623" s="36" t="str">
        <f ca="1">IFERROR(__xludf.DUMMYFUNCTION("""COMPUTED_VALUE"""),"")</f>
        <v/>
      </c>
      <c r="P623" s="36" t="str">
        <f ca="1">IFERROR(__xludf.DUMMYFUNCTION("""COMPUTED_VALUE"""),"")</f>
        <v/>
      </c>
      <c r="Q623" s="36" t="str">
        <f ca="1">IFERROR(__xludf.DUMMYFUNCTION("""COMPUTED_VALUE"""),"")</f>
        <v/>
      </c>
      <c r="R623" s="36" t="str">
        <f ca="1">IFERROR(__xludf.DUMMYFUNCTION("""COMPUTED_VALUE"""),"")</f>
        <v/>
      </c>
      <c r="S623" s="36" t="str">
        <f ca="1">IFERROR(__xludf.DUMMYFUNCTION("""COMPUTED_VALUE"""),"")</f>
        <v/>
      </c>
      <c r="T623" s="36" t="str">
        <f ca="1">IFERROR(__xludf.DUMMYFUNCTION("""COMPUTED_VALUE"""),"")</f>
        <v/>
      </c>
      <c r="U623" s="36" t="str">
        <f ca="1">IFERROR(__xludf.DUMMYFUNCTION("""COMPUTED_VALUE"""),"")</f>
        <v/>
      </c>
      <c r="V623" s="36" t="str">
        <f ca="1">IFERROR(__xludf.DUMMYFUNCTION("""COMPUTED_VALUE"""),"")</f>
        <v/>
      </c>
      <c r="W623" s="36" t="str">
        <f ca="1">IFERROR(__xludf.DUMMYFUNCTION("""COMPUTED_VALUE"""),"")</f>
        <v/>
      </c>
      <c r="X623" s="36"/>
      <c r="Y623" s="36"/>
      <c r="Z623" s="36"/>
    </row>
    <row r="624" spans="1:26" ht="12.75" hidden="1">
      <c r="A624" s="36" t="str">
        <f ca="1">IFERROR(__xludf.DUMMYFUNCTION("""COMPUTED_VALUE"""),"")</f>
        <v/>
      </c>
      <c r="B624" s="36" t="str">
        <f ca="1">IFERROR(__xludf.DUMMYFUNCTION("""COMPUTED_VALUE"""),"")</f>
        <v/>
      </c>
      <c r="C624" s="36" t="str">
        <f ca="1">IFERROR(__xludf.DUMMYFUNCTION("""COMPUTED_VALUE"""),"")</f>
        <v/>
      </c>
      <c r="D624" s="36" t="str">
        <f ca="1">IFERROR(__xludf.DUMMYFUNCTION("""COMPUTED_VALUE"""),"")</f>
        <v/>
      </c>
      <c r="E624" s="36" t="str">
        <f ca="1">IFERROR(__xludf.DUMMYFUNCTION("""COMPUTED_VALUE"""),"")</f>
        <v/>
      </c>
      <c r="F624" s="36" t="str">
        <f ca="1">IFERROR(__xludf.DUMMYFUNCTION("""COMPUTED_VALUE"""),"")</f>
        <v/>
      </c>
      <c r="G624" s="36" t="str">
        <f ca="1">IFERROR(__xludf.DUMMYFUNCTION("""COMPUTED_VALUE"""),"")</f>
        <v/>
      </c>
      <c r="H624" s="36" t="str">
        <f ca="1">IFERROR(__xludf.DUMMYFUNCTION("""COMPUTED_VALUE"""),"")</f>
        <v/>
      </c>
      <c r="I624" s="36" t="str">
        <f ca="1">IFERROR(__xludf.DUMMYFUNCTION("""COMPUTED_VALUE"""),"")</f>
        <v/>
      </c>
      <c r="J624" s="36" t="str">
        <f ca="1">IFERROR(__xludf.DUMMYFUNCTION("""COMPUTED_VALUE"""),"")</f>
        <v/>
      </c>
      <c r="K624" s="36" t="str">
        <f ca="1">IFERROR(__xludf.DUMMYFUNCTION("""COMPUTED_VALUE"""),"")</f>
        <v/>
      </c>
      <c r="L624" s="36" t="str">
        <f ca="1">IFERROR(__xludf.DUMMYFUNCTION("""COMPUTED_VALUE"""),"")</f>
        <v/>
      </c>
      <c r="M624" s="36" t="str">
        <f ca="1">IFERROR(__xludf.DUMMYFUNCTION("""COMPUTED_VALUE"""),"")</f>
        <v/>
      </c>
      <c r="N624" s="36" t="str">
        <f ca="1">IFERROR(__xludf.DUMMYFUNCTION("""COMPUTED_VALUE"""),"")</f>
        <v/>
      </c>
      <c r="O624" s="36" t="str">
        <f ca="1">IFERROR(__xludf.DUMMYFUNCTION("""COMPUTED_VALUE"""),"")</f>
        <v/>
      </c>
      <c r="P624" s="36" t="str">
        <f ca="1">IFERROR(__xludf.DUMMYFUNCTION("""COMPUTED_VALUE"""),"")</f>
        <v/>
      </c>
      <c r="Q624" s="36" t="str">
        <f ca="1">IFERROR(__xludf.DUMMYFUNCTION("""COMPUTED_VALUE"""),"")</f>
        <v/>
      </c>
      <c r="R624" s="36" t="str">
        <f ca="1">IFERROR(__xludf.DUMMYFUNCTION("""COMPUTED_VALUE"""),"")</f>
        <v/>
      </c>
      <c r="S624" s="36" t="str">
        <f ca="1">IFERROR(__xludf.DUMMYFUNCTION("""COMPUTED_VALUE"""),"")</f>
        <v/>
      </c>
      <c r="T624" s="36" t="str">
        <f ca="1">IFERROR(__xludf.DUMMYFUNCTION("""COMPUTED_VALUE"""),"")</f>
        <v/>
      </c>
      <c r="U624" s="36" t="str">
        <f ca="1">IFERROR(__xludf.DUMMYFUNCTION("""COMPUTED_VALUE"""),"")</f>
        <v/>
      </c>
      <c r="V624" s="36" t="str">
        <f ca="1">IFERROR(__xludf.DUMMYFUNCTION("""COMPUTED_VALUE"""),"")</f>
        <v/>
      </c>
      <c r="W624" s="36" t="str">
        <f ca="1">IFERROR(__xludf.DUMMYFUNCTION("""COMPUTED_VALUE"""),"")</f>
        <v/>
      </c>
      <c r="X624" s="36"/>
      <c r="Y624" s="36"/>
      <c r="Z624" s="36"/>
    </row>
    <row r="625" spans="1:26" ht="12.75" hidden="1">
      <c r="A625" s="36" t="str">
        <f ca="1">IFERROR(__xludf.DUMMYFUNCTION("""COMPUTED_VALUE"""),"")</f>
        <v/>
      </c>
      <c r="B625" s="36" t="str">
        <f ca="1">IFERROR(__xludf.DUMMYFUNCTION("""COMPUTED_VALUE"""),"")</f>
        <v/>
      </c>
      <c r="C625" s="36" t="str">
        <f ca="1">IFERROR(__xludf.DUMMYFUNCTION("""COMPUTED_VALUE"""),"")</f>
        <v/>
      </c>
      <c r="D625" s="36" t="str">
        <f ca="1">IFERROR(__xludf.DUMMYFUNCTION("""COMPUTED_VALUE"""),"")</f>
        <v/>
      </c>
      <c r="E625" s="36" t="str">
        <f ca="1">IFERROR(__xludf.DUMMYFUNCTION("""COMPUTED_VALUE"""),"")</f>
        <v/>
      </c>
      <c r="F625" s="36" t="str">
        <f ca="1">IFERROR(__xludf.DUMMYFUNCTION("""COMPUTED_VALUE"""),"")</f>
        <v/>
      </c>
      <c r="G625" s="36" t="str">
        <f ca="1">IFERROR(__xludf.DUMMYFUNCTION("""COMPUTED_VALUE"""),"")</f>
        <v/>
      </c>
      <c r="H625" s="36" t="str">
        <f ca="1">IFERROR(__xludf.DUMMYFUNCTION("""COMPUTED_VALUE"""),"")</f>
        <v/>
      </c>
      <c r="I625" s="36" t="str">
        <f ca="1">IFERROR(__xludf.DUMMYFUNCTION("""COMPUTED_VALUE"""),"")</f>
        <v/>
      </c>
      <c r="J625" s="36" t="str">
        <f ca="1">IFERROR(__xludf.DUMMYFUNCTION("""COMPUTED_VALUE"""),"")</f>
        <v/>
      </c>
      <c r="K625" s="36" t="str">
        <f ca="1">IFERROR(__xludf.DUMMYFUNCTION("""COMPUTED_VALUE"""),"")</f>
        <v/>
      </c>
      <c r="L625" s="36" t="str">
        <f ca="1">IFERROR(__xludf.DUMMYFUNCTION("""COMPUTED_VALUE"""),"")</f>
        <v/>
      </c>
      <c r="M625" s="36" t="str">
        <f ca="1">IFERROR(__xludf.DUMMYFUNCTION("""COMPUTED_VALUE"""),"")</f>
        <v/>
      </c>
      <c r="N625" s="36" t="str">
        <f ca="1">IFERROR(__xludf.DUMMYFUNCTION("""COMPUTED_VALUE"""),"")</f>
        <v/>
      </c>
      <c r="O625" s="36" t="str">
        <f ca="1">IFERROR(__xludf.DUMMYFUNCTION("""COMPUTED_VALUE"""),"")</f>
        <v/>
      </c>
      <c r="P625" s="36" t="str">
        <f ca="1">IFERROR(__xludf.DUMMYFUNCTION("""COMPUTED_VALUE"""),"")</f>
        <v/>
      </c>
      <c r="Q625" s="36" t="str">
        <f ca="1">IFERROR(__xludf.DUMMYFUNCTION("""COMPUTED_VALUE"""),"")</f>
        <v/>
      </c>
      <c r="R625" s="36" t="str">
        <f ca="1">IFERROR(__xludf.DUMMYFUNCTION("""COMPUTED_VALUE"""),"")</f>
        <v/>
      </c>
      <c r="S625" s="36" t="str">
        <f ca="1">IFERROR(__xludf.DUMMYFUNCTION("""COMPUTED_VALUE"""),"")</f>
        <v/>
      </c>
      <c r="T625" s="36" t="str">
        <f ca="1">IFERROR(__xludf.DUMMYFUNCTION("""COMPUTED_VALUE"""),"")</f>
        <v/>
      </c>
      <c r="U625" s="36" t="str">
        <f ca="1">IFERROR(__xludf.DUMMYFUNCTION("""COMPUTED_VALUE"""),"")</f>
        <v/>
      </c>
      <c r="V625" s="36" t="str">
        <f ca="1">IFERROR(__xludf.DUMMYFUNCTION("""COMPUTED_VALUE"""),"")</f>
        <v/>
      </c>
      <c r="W625" s="36" t="str">
        <f ca="1">IFERROR(__xludf.DUMMYFUNCTION("""COMPUTED_VALUE"""),"")</f>
        <v/>
      </c>
      <c r="X625" s="36"/>
      <c r="Y625" s="36"/>
      <c r="Z625" s="36"/>
    </row>
    <row r="626" spans="1:26" ht="12.75" hidden="1">
      <c r="A626" s="36" t="str">
        <f ca="1">IFERROR(__xludf.DUMMYFUNCTION("""COMPUTED_VALUE"""),"")</f>
        <v/>
      </c>
      <c r="B626" s="36" t="str">
        <f ca="1">IFERROR(__xludf.DUMMYFUNCTION("""COMPUTED_VALUE"""),"")</f>
        <v/>
      </c>
      <c r="C626" s="36" t="str">
        <f ca="1">IFERROR(__xludf.DUMMYFUNCTION("""COMPUTED_VALUE"""),"")</f>
        <v/>
      </c>
      <c r="D626" s="36" t="str">
        <f ca="1">IFERROR(__xludf.DUMMYFUNCTION("""COMPUTED_VALUE"""),"")</f>
        <v/>
      </c>
      <c r="E626" s="36" t="str">
        <f ca="1">IFERROR(__xludf.DUMMYFUNCTION("""COMPUTED_VALUE"""),"")</f>
        <v/>
      </c>
      <c r="F626" s="36" t="str">
        <f ca="1">IFERROR(__xludf.DUMMYFUNCTION("""COMPUTED_VALUE"""),"")</f>
        <v/>
      </c>
      <c r="G626" s="36" t="str">
        <f ca="1">IFERROR(__xludf.DUMMYFUNCTION("""COMPUTED_VALUE"""),"")</f>
        <v/>
      </c>
      <c r="H626" s="36" t="str">
        <f ca="1">IFERROR(__xludf.DUMMYFUNCTION("""COMPUTED_VALUE"""),"")</f>
        <v/>
      </c>
      <c r="I626" s="36" t="str">
        <f ca="1">IFERROR(__xludf.DUMMYFUNCTION("""COMPUTED_VALUE"""),"")</f>
        <v/>
      </c>
      <c r="J626" s="36" t="str">
        <f ca="1">IFERROR(__xludf.DUMMYFUNCTION("""COMPUTED_VALUE"""),"")</f>
        <v/>
      </c>
      <c r="K626" s="36" t="str">
        <f ca="1">IFERROR(__xludf.DUMMYFUNCTION("""COMPUTED_VALUE"""),"")</f>
        <v/>
      </c>
      <c r="L626" s="36" t="str">
        <f ca="1">IFERROR(__xludf.DUMMYFUNCTION("""COMPUTED_VALUE"""),"")</f>
        <v/>
      </c>
      <c r="M626" s="36" t="str">
        <f ca="1">IFERROR(__xludf.DUMMYFUNCTION("""COMPUTED_VALUE"""),"")</f>
        <v/>
      </c>
      <c r="N626" s="36" t="str">
        <f ca="1">IFERROR(__xludf.DUMMYFUNCTION("""COMPUTED_VALUE"""),"")</f>
        <v/>
      </c>
      <c r="O626" s="36" t="str">
        <f ca="1">IFERROR(__xludf.DUMMYFUNCTION("""COMPUTED_VALUE"""),"")</f>
        <v/>
      </c>
      <c r="P626" s="36" t="str">
        <f ca="1">IFERROR(__xludf.DUMMYFUNCTION("""COMPUTED_VALUE"""),"")</f>
        <v/>
      </c>
      <c r="Q626" s="36" t="str">
        <f ca="1">IFERROR(__xludf.DUMMYFUNCTION("""COMPUTED_VALUE"""),"")</f>
        <v/>
      </c>
      <c r="R626" s="36" t="str">
        <f ca="1">IFERROR(__xludf.DUMMYFUNCTION("""COMPUTED_VALUE"""),"")</f>
        <v/>
      </c>
      <c r="S626" s="36" t="str">
        <f ca="1">IFERROR(__xludf.DUMMYFUNCTION("""COMPUTED_VALUE"""),"")</f>
        <v/>
      </c>
      <c r="T626" s="36" t="str">
        <f ca="1">IFERROR(__xludf.DUMMYFUNCTION("""COMPUTED_VALUE"""),"")</f>
        <v/>
      </c>
      <c r="U626" s="36" t="str">
        <f ca="1">IFERROR(__xludf.DUMMYFUNCTION("""COMPUTED_VALUE"""),"")</f>
        <v/>
      </c>
      <c r="V626" s="36" t="str">
        <f ca="1">IFERROR(__xludf.DUMMYFUNCTION("""COMPUTED_VALUE"""),"")</f>
        <v/>
      </c>
      <c r="W626" s="36" t="str">
        <f ca="1">IFERROR(__xludf.DUMMYFUNCTION("""COMPUTED_VALUE"""),"")</f>
        <v/>
      </c>
      <c r="X626" s="36"/>
      <c r="Y626" s="36"/>
      <c r="Z626" s="36"/>
    </row>
    <row r="627" spans="1:26" ht="12.75" hidden="1">
      <c r="A627" s="36" t="str">
        <f ca="1">IFERROR(__xludf.DUMMYFUNCTION("""COMPUTED_VALUE"""),"")</f>
        <v/>
      </c>
      <c r="B627" s="36" t="str">
        <f ca="1">IFERROR(__xludf.DUMMYFUNCTION("""COMPUTED_VALUE"""),"")</f>
        <v/>
      </c>
      <c r="C627" s="36" t="str">
        <f ca="1">IFERROR(__xludf.DUMMYFUNCTION("""COMPUTED_VALUE"""),"")</f>
        <v/>
      </c>
      <c r="D627" s="36" t="str">
        <f ca="1">IFERROR(__xludf.DUMMYFUNCTION("""COMPUTED_VALUE"""),"")</f>
        <v/>
      </c>
      <c r="E627" s="36" t="str">
        <f ca="1">IFERROR(__xludf.DUMMYFUNCTION("""COMPUTED_VALUE"""),"")</f>
        <v/>
      </c>
      <c r="F627" s="36" t="str">
        <f ca="1">IFERROR(__xludf.DUMMYFUNCTION("""COMPUTED_VALUE"""),"")</f>
        <v/>
      </c>
      <c r="G627" s="36" t="str">
        <f ca="1">IFERROR(__xludf.DUMMYFUNCTION("""COMPUTED_VALUE"""),"")</f>
        <v/>
      </c>
      <c r="H627" s="36" t="str">
        <f ca="1">IFERROR(__xludf.DUMMYFUNCTION("""COMPUTED_VALUE"""),"")</f>
        <v/>
      </c>
      <c r="I627" s="36" t="str">
        <f ca="1">IFERROR(__xludf.DUMMYFUNCTION("""COMPUTED_VALUE"""),"")</f>
        <v/>
      </c>
      <c r="J627" s="36" t="str">
        <f ca="1">IFERROR(__xludf.DUMMYFUNCTION("""COMPUTED_VALUE"""),"")</f>
        <v/>
      </c>
      <c r="K627" s="36" t="str">
        <f ca="1">IFERROR(__xludf.DUMMYFUNCTION("""COMPUTED_VALUE"""),"")</f>
        <v/>
      </c>
      <c r="L627" s="36" t="str">
        <f ca="1">IFERROR(__xludf.DUMMYFUNCTION("""COMPUTED_VALUE"""),"")</f>
        <v/>
      </c>
      <c r="M627" s="36" t="str">
        <f ca="1">IFERROR(__xludf.DUMMYFUNCTION("""COMPUTED_VALUE"""),"")</f>
        <v/>
      </c>
      <c r="N627" s="36" t="str">
        <f ca="1">IFERROR(__xludf.DUMMYFUNCTION("""COMPUTED_VALUE"""),"")</f>
        <v/>
      </c>
      <c r="O627" s="36" t="str">
        <f ca="1">IFERROR(__xludf.DUMMYFUNCTION("""COMPUTED_VALUE"""),"")</f>
        <v/>
      </c>
      <c r="P627" s="36" t="str">
        <f ca="1">IFERROR(__xludf.DUMMYFUNCTION("""COMPUTED_VALUE"""),"")</f>
        <v/>
      </c>
      <c r="Q627" s="36" t="str">
        <f ca="1">IFERROR(__xludf.DUMMYFUNCTION("""COMPUTED_VALUE"""),"")</f>
        <v/>
      </c>
      <c r="R627" s="36" t="str">
        <f ca="1">IFERROR(__xludf.DUMMYFUNCTION("""COMPUTED_VALUE"""),"")</f>
        <v/>
      </c>
      <c r="S627" s="36" t="str">
        <f ca="1">IFERROR(__xludf.DUMMYFUNCTION("""COMPUTED_VALUE"""),"")</f>
        <v/>
      </c>
      <c r="T627" s="36" t="str">
        <f ca="1">IFERROR(__xludf.DUMMYFUNCTION("""COMPUTED_VALUE"""),"")</f>
        <v/>
      </c>
      <c r="U627" s="36" t="str">
        <f ca="1">IFERROR(__xludf.DUMMYFUNCTION("""COMPUTED_VALUE"""),"")</f>
        <v/>
      </c>
      <c r="V627" s="36" t="str">
        <f ca="1">IFERROR(__xludf.DUMMYFUNCTION("""COMPUTED_VALUE"""),"")</f>
        <v/>
      </c>
      <c r="W627" s="36" t="str">
        <f ca="1">IFERROR(__xludf.DUMMYFUNCTION("""COMPUTED_VALUE"""),"")</f>
        <v/>
      </c>
      <c r="X627" s="36"/>
      <c r="Y627" s="36"/>
      <c r="Z627" s="36"/>
    </row>
    <row r="628" spans="1:26" ht="12.75" hidden="1">
      <c r="A628" s="36" t="str">
        <f ca="1">IFERROR(__xludf.DUMMYFUNCTION("""COMPUTED_VALUE"""),"")</f>
        <v/>
      </c>
      <c r="B628" s="36" t="str">
        <f ca="1">IFERROR(__xludf.DUMMYFUNCTION("""COMPUTED_VALUE"""),"")</f>
        <v/>
      </c>
      <c r="C628" s="36" t="str">
        <f ca="1">IFERROR(__xludf.DUMMYFUNCTION("""COMPUTED_VALUE"""),"")</f>
        <v/>
      </c>
      <c r="D628" s="36" t="str">
        <f ca="1">IFERROR(__xludf.DUMMYFUNCTION("""COMPUTED_VALUE"""),"")</f>
        <v/>
      </c>
      <c r="E628" s="36" t="str">
        <f ca="1">IFERROR(__xludf.DUMMYFUNCTION("""COMPUTED_VALUE"""),"")</f>
        <v/>
      </c>
      <c r="F628" s="36" t="str">
        <f ca="1">IFERROR(__xludf.DUMMYFUNCTION("""COMPUTED_VALUE"""),"")</f>
        <v/>
      </c>
      <c r="G628" s="36" t="str">
        <f ca="1">IFERROR(__xludf.DUMMYFUNCTION("""COMPUTED_VALUE"""),"")</f>
        <v/>
      </c>
      <c r="H628" s="36" t="str">
        <f ca="1">IFERROR(__xludf.DUMMYFUNCTION("""COMPUTED_VALUE"""),"")</f>
        <v/>
      </c>
      <c r="I628" s="36" t="str">
        <f ca="1">IFERROR(__xludf.DUMMYFUNCTION("""COMPUTED_VALUE"""),"")</f>
        <v/>
      </c>
      <c r="J628" s="36" t="str">
        <f ca="1">IFERROR(__xludf.DUMMYFUNCTION("""COMPUTED_VALUE"""),"")</f>
        <v/>
      </c>
      <c r="K628" s="36" t="str">
        <f ca="1">IFERROR(__xludf.DUMMYFUNCTION("""COMPUTED_VALUE"""),"")</f>
        <v/>
      </c>
      <c r="L628" s="36" t="str">
        <f ca="1">IFERROR(__xludf.DUMMYFUNCTION("""COMPUTED_VALUE"""),"")</f>
        <v/>
      </c>
      <c r="M628" s="36" t="str">
        <f ca="1">IFERROR(__xludf.DUMMYFUNCTION("""COMPUTED_VALUE"""),"")</f>
        <v/>
      </c>
      <c r="N628" s="36" t="str">
        <f ca="1">IFERROR(__xludf.DUMMYFUNCTION("""COMPUTED_VALUE"""),"")</f>
        <v/>
      </c>
      <c r="O628" s="36" t="str">
        <f ca="1">IFERROR(__xludf.DUMMYFUNCTION("""COMPUTED_VALUE"""),"")</f>
        <v/>
      </c>
      <c r="P628" s="36" t="str">
        <f ca="1">IFERROR(__xludf.DUMMYFUNCTION("""COMPUTED_VALUE"""),"")</f>
        <v/>
      </c>
      <c r="Q628" s="36" t="str">
        <f ca="1">IFERROR(__xludf.DUMMYFUNCTION("""COMPUTED_VALUE"""),"")</f>
        <v/>
      </c>
      <c r="R628" s="36" t="str">
        <f ca="1">IFERROR(__xludf.DUMMYFUNCTION("""COMPUTED_VALUE"""),"")</f>
        <v/>
      </c>
      <c r="S628" s="36" t="str">
        <f ca="1">IFERROR(__xludf.DUMMYFUNCTION("""COMPUTED_VALUE"""),"")</f>
        <v/>
      </c>
      <c r="T628" s="36" t="str">
        <f ca="1">IFERROR(__xludf.DUMMYFUNCTION("""COMPUTED_VALUE"""),"")</f>
        <v/>
      </c>
      <c r="U628" s="36" t="str">
        <f ca="1">IFERROR(__xludf.DUMMYFUNCTION("""COMPUTED_VALUE"""),"")</f>
        <v/>
      </c>
      <c r="V628" s="36" t="str">
        <f ca="1">IFERROR(__xludf.DUMMYFUNCTION("""COMPUTED_VALUE"""),"")</f>
        <v/>
      </c>
      <c r="W628" s="36" t="str">
        <f ca="1">IFERROR(__xludf.DUMMYFUNCTION("""COMPUTED_VALUE"""),"")</f>
        <v/>
      </c>
      <c r="X628" s="36"/>
      <c r="Y628" s="36"/>
      <c r="Z628" s="36"/>
    </row>
    <row r="629" spans="1:26" ht="12.75" hidden="1">
      <c r="A629" s="36" t="str">
        <f ca="1">IFERROR(__xludf.DUMMYFUNCTION("""COMPUTED_VALUE"""),"")</f>
        <v/>
      </c>
      <c r="B629" s="36" t="str">
        <f ca="1">IFERROR(__xludf.DUMMYFUNCTION("""COMPUTED_VALUE"""),"")</f>
        <v/>
      </c>
      <c r="C629" s="36" t="str">
        <f ca="1">IFERROR(__xludf.DUMMYFUNCTION("""COMPUTED_VALUE"""),"")</f>
        <v/>
      </c>
      <c r="D629" s="36" t="str">
        <f ca="1">IFERROR(__xludf.DUMMYFUNCTION("""COMPUTED_VALUE"""),"")</f>
        <v/>
      </c>
      <c r="E629" s="36" t="str">
        <f ca="1">IFERROR(__xludf.DUMMYFUNCTION("""COMPUTED_VALUE"""),"")</f>
        <v/>
      </c>
      <c r="F629" s="36" t="str">
        <f ca="1">IFERROR(__xludf.DUMMYFUNCTION("""COMPUTED_VALUE"""),"")</f>
        <v/>
      </c>
      <c r="G629" s="36" t="str">
        <f ca="1">IFERROR(__xludf.DUMMYFUNCTION("""COMPUTED_VALUE"""),"")</f>
        <v/>
      </c>
      <c r="H629" s="36" t="str">
        <f ca="1">IFERROR(__xludf.DUMMYFUNCTION("""COMPUTED_VALUE"""),"")</f>
        <v/>
      </c>
      <c r="I629" s="36" t="str">
        <f ca="1">IFERROR(__xludf.DUMMYFUNCTION("""COMPUTED_VALUE"""),"")</f>
        <v/>
      </c>
      <c r="J629" s="36" t="str">
        <f ca="1">IFERROR(__xludf.DUMMYFUNCTION("""COMPUTED_VALUE"""),"")</f>
        <v/>
      </c>
      <c r="K629" s="36" t="str">
        <f ca="1">IFERROR(__xludf.DUMMYFUNCTION("""COMPUTED_VALUE"""),"")</f>
        <v/>
      </c>
      <c r="L629" s="36" t="str">
        <f ca="1">IFERROR(__xludf.DUMMYFUNCTION("""COMPUTED_VALUE"""),"")</f>
        <v/>
      </c>
      <c r="M629" s="36" t="str">
        <f ca="1">IFERROR(__xludf.DUMMYFUNCTION("""COMPUTED_VALUE"""),"")</f>
        <v/>
      </c>
      <c r="N629" s="36" t="str">
        <f ca="1">IFERROR(__xludf.DUMMYFUNCTION("""COMPUTED_VALUE"""),"")</f>
        <v/>
      </c>
      <c r="O629" s="36" t="str">
        <f ca="1">IFERROR(__xludf.DUMMYFUNCTION("""COMPUTED_VALUE"""),"")</f>
        <v/>
      </c>
      <c r="P629" s="36" t="str">
        <f ca="1">IFERROR(__xludf.DUMMYFUNCTION("""COMPUTED_VALUE"""),"")</f>
        <v/>
      </c>
      <c r="Q629" s="36" t="str">
        <f ca="1">IFERROR(__xludf.DUMMYFUNCTION("""COMPUTED_VALUE"""),"")</f>
        <v/>
      </c>
      <c r="R629" s="36" t="str">
        <f ca="1">IFERROR(__xludf.DUMMYFUNCTION("""COMPUTED_VALUE"""),"")</f>
        <v/>
      </c>
      <c r="S629" s="36" t="str">
        <f ca="1">IFERROR(__xludf.DUMMYFUNCTION("""COMPUTED_VALUE"""),"")</f>
        <v/>
      </c>
      <c r="T629" s="36" t="str">
        <f ca="1">IFERROR(__xludf.DUMMYFUNCTION("""COMPUTED_VALUE"""),"")</f>
        <v/>
      </c>
      <c r="U629" s="36" t="str">
        <f ca="1">IFERROR(__xludf.DUMMYFUNCTION("""COMPUTED_VALUE"""),"")</f>
        <v/>
      </c>
      <c r="V629" s="36" t="str">
        <f ca="1">IFERROR(__xludf.DUMMYFUNCTION("""COMPUTED_VALUE"""),"")</f>
        <v/>
      </c>
      <c r="W629" s="36" t="str">
        <f ca="1">IFERROR(__xludf.DUMMYFUNCTION("""COMPUTED_VALUE"""),"")</f>
        <v/>
      </c>
      <c r="X629" s="36"/>
      <c r="Y629" s="36"/>
      <c r="Z629" s="36"/>
    </row>
    <row r="630" spans="1:26" ht="12.75" hidden="1">
      <c r="A630" s="36" t="str">
        <f ca="1">IFERROR(__xludf.DUMMYFUNCTION("""COMPUTED_VALUE"""),"")</f>
        <v/>
      </c>
      <c r="B630" s="36" t="str">
        <f ca="1">IFERROR(__xludf.DUMMYFUNCTION("""COMPUTED_VALUE"""),"")</f>
        <v/>
      </c>
      <c r="C630" s="36" t="str">
        <f ca="1">IFERROR(__xludf.DUMMYFUNCTION("""COMPUTED_VALUE"""),"")</f>
        <v/>
      </c>
      <c r="D630" s="36" t="str">
        <f ca="1">IFERROR(__xludf.DUMMYFUNCTION("""COMPUTED_VALUE"""),"")</f>
        <v/>
      </c>
      <c r="E630" s="36" t="str">
        <f ca="1">IFERROR(__xludf.DUMMYFUNCTION("""COMPUTED_VALUE"""),"")</f>
        <v/>
      </c>
      <c r="F630" s="36" t="str">
        <f ca="1">IFERROR(__xludf.DUMMYFUNCTION("""COMPUTED_VALUE"""),"")</f>
        <v/>
      </c>
      <c r="G630" s="36" t="str">
        <f ca="1">IFERROR(__xludf.DUMMYFUNCTION("""COMPUTED_VALUE"""),"")</f>
        <v/>
      </c>
      <c r="H630" s="36" t="str">
        <f ca="1">IFERROR(__xludf.DUMMYFUNCTION("""COMPUTED_VALUE"""),"")</f>
        <v/>
      </c>
      <c r="I630" s="36" t="str">
        <f ca="1">IFERROR(__xludf.DUMMYFUNCTION("""COMPUTED_VALUE"""),"")</f>
        <v/>
      </c>
      <c r="J630" s="36" t="str">
        <f ca="1">IFERROR(__xludf.DUMMYFUNCTION("""COMPUTED_VALUE"""),"")</f>
        <v/>
      </c>
      <c r="K630" s="36" t="str">
        <f ca="1">IFERROR(__xludf.DUMMYFUNCTION("""COMPUTED_VALUE"""),"")</f>
        <v/>
      </c>
      <c r="L630" s="36" t="str">
        <f ca="1">IFERROR(__xludf.DUMMYFUNCTION("""COMPUTED_VALUE"""),"")</f>
        <v/>
      </c>
      <c r="M630" s="36" t="str">
        <f ca="1">IFERROR(__xludf.DUMMYFUNCTION("""COMPUTED_VALUE"""),"")</f>
        <v/>
      </c>
      <c r="N630" s="36" t="str">
        <f ca="1">IFERROR(__xludf.DUMMYFUNCTION("""COMPUTED_VALUE"""),"")</f>
        <v/>
      </c>
      <c r="O630" s="36" t="str">
        <f ca="1">IFERROR(__xludf.DUMMYFUNCTION("""COMPUTED_VALUE"""),"")</f>
        <v/>
      </c>
      <c r="P630" s="36" t="str">
        <f ca="1">IFERROR(__xludf.DUMMYFUNCTION("""COMPUTED_VALUE"""),"")</f>
        <v/>
      </c>
      <c r="Q630" s="36" t="str">
        <f ca="1">IFERROR(__xludf.DUMMYFUNCTION("""COMPUTED_VALUE"""),"")</f>
        <v/>
      </c>
      <c r="R630" s="36" t="str">
        <f ca="1">IFERROR(__xludf.DUMMYFUNCTION("""COMPUTED_VALUE"""),"")</f>
        <v/>
      </c>
      <c r="S630" s="36" t="str">
        <f ca="1">IFERROR(__xludf.DUMMYFUNCTION("""COMPUTED_VALUE"""),"")</f>
        <v/>
      </c>
      <c r="T630" s="36" t="str">
        <f ca="1">IFERROR(__xludf.DUMMYFUNCTION("""COMPUTED_VALUE"""),"")</f>
        <v/>
      </c>
      <c r="U630" s="36" t="str">
        <f ca="1">IFERROR(__xludf.DUMMYFUNCTION("""COMPUTED_VALUE"""),"")</f>
        <v/>
      </c>
      <c r="V630" s="36" t="str">
        <f ca="1">IFERROR(__xludf.DUMMYFUNCTION("""COMPUTED_VALUE"""),"")</f>
        <v/>
      </c>
      <c r="W630" s="36" t="str">
        <f ca="1">IFERROR(__xludf.DUMMYFUNCTION("""COMPUTED_VALUE"""),"")</f>
        <v/>
      </c>
      <c r="X630" s="36"/>
      <c r="Y630" s="36"/>
      <c r="Z630" s="36"/>
    </row>
    <row r="631" spans="1:26" ht="12.75" hidden="1">
      <c r="A631" s="36" t="str">
        <f ca="1">IFERROR(__xludf.DUMMYFUNCTION("""COMPUTED_VALUE"""),"")</f>
        <v/>
      </c>
      <c r="B631" s="36" t="str">
        <f ca="1">IFERROR(__xludf.DUMMYFUNCTION("""COMPUTED_VALUE"""),"")</f>
        <v/>
      </c>
      <c r="C631" s="36" t="str">
        <f ca="1">IFERROR(__xludf.DUMMYFUNCTION("""COMPUTED_VALUE"""),"")</f>
        <v/>
      </c>
      <c r="D631" s="36" t="str">
        <f ca="1">IFERROR(__xludf.DUMMYFUNCTION("""COMPUTED_VALUE"""),"")</f>
        <v/>
      </c>
      <c r="E631" s="36" t="str">
        <f ca="1">IFERROR(__xludf.DUMMYFUNCTION("""COMPUTED_VALUE"""),"")</f>
        <v/>
      </c>
      <c r="F631" s="36" t="str">
        <f ca="1">IFERROR(__xludf.DUMMYFUNCTION("""COMPUTED_VALUE"""),"")</f>
        <v/>
      </c>
      <c r="G631" s="36" t="str">
        <f ca="1">IFERROR(__xludf.DUMMYFUNCTION("""COMPUTED_VALUE"""),"")</f>
        <v/>
      </c>
      <c r="H631" s="36" t="str">
        <f ca="1">IFERROR(__xludf.DUMMYFUNCTION("""COMPUTED_VALUE"""),"")</f>
        <v/>
      </c>
      <c r="I631" s="36" t="str">
        <f ca="1">IFERROR(__xludf.DUMMYFUNCTION("""COMPUTED_VALUE"""),"")</f>
        <v/>
      </c>
      <c r="J631" s="36" t="str">
        <f ca="1">IFERROR(__xludf.DUMMYFUNCTION("""COMPUTED_VALUE"""),"")</f>
        <v/>
      </c>
      <c r="K631" s="36" t="str">
        <f ca="1">IFERROR(__xludf.DUMMYFUNCTION("""COMPUTED_VALUE"""),"")</f>
        <v/>
      </c>
      <c r="L631" s="36" t="str">
        <f ca="1">IFERROR(__xludf.DUMMYFUNCTION("""COMPUTED_VALUE"""),"")</f>
        <v/>
      </c>
      <c r="M631" s="36" t="str">
        <f ca="1">IFERROR(__xludf.DUMMYFUNCTION("""COMPUTED_VALUE"""),"")</f>
        <v/>
      </c>
      <c r="N631" s="36" t="str">
        <f ca="1">IFERROR(__xludf.DUMMYFUNCTION("""COMPUTED_VALUE"""),"")</f>
        <v/>
      </c>
      <c r="O631" s="36" t="str">
        <f ca="1">IFERROR(__xludf.DUMMYFUNCTION("""COMPUTED_VALUE"""),"")</f>
        <v/>
      </c>
      <c r="P631" s="36" t="str">
        <f ca="1">IFERROR(__xludf.DUMMYFUNCTION("""COMPUTED_VALUE"""),"")</f>
        <v/>
      </c>
      <c r="Q631" s="36" t="str">
        <f ca="1">IFERROR(__xludf.DUMMYFUNCTION("""COMPUTED_VALUE"""),"")</f>
        <v/>
      </c>
      <c r="R631" s="36" t="str">
        <f ca="1">IFERROR(__xludf.DUMMYFUNCTION("""COMPUTED_VALUE"""),"")</f>
        <v/>
      </c>
      <c r="S631" s="36" t="str">
        <f ca="1">IFERROR(__xludf.DUMMYFUNCTION("""COMPUTED_VALUE"""),"")</f>
        <v/>
      </c>
      <c r="T631" s="36" t="str">
        <f ca="1">IFERROR(__xludf.DUMMYFUNCTION("""COMPUTED_VALUE"""),"")</f>
        <v/>
      </c>
      <c r="U631" s="36" t="str">
        <f ca="1">IFERROR(__xludf.DUMMYFUNCTION("""COMPUTED_VALUE"""),"")</f>
        <v/>
      </c>
      <c r="V631" s="36" t="str">
        <f ca="1">IFERROR(__xludf.DUMMYFUNCTION("""COMPUTED_VALUE"""),"")</f>
        <v/>
      </c>
      <c r="W631" s="36" t="str">
        <f ca="1">IFERROR(__xludf.DUMMYFUNCTION("""COMPUTED_VALUE"""),"")</f>
        <v/>
      </c>
      <c r="X631" s="36"/>
      <c r="Y631" s="36"/>
      <c r="Z631" s="36"/>
    </row>
    <row r="632" spans="1:26" ht="12.75" hidden="1">
      <c r="A632" s="36" t="str">
        <f ca="1">IFERROR(__xludf.DUMMYFUNCTION("""COMPUTED_VALUE"""),"")</f>
        <v/>
      </c>
      <c r="B632" s="36" t="str">
        <f ca="1">IFERROR(__xludf.DUMMYFUNCTION("""COMPUTED_VALUE"""),"")</f>
        <v/>
      </c>
      <c r="C632" s="36" t="str">
        <f ca="1">IFERROR(__xludf.DUMMYFUNCTION("""COMPUTED_VALUE"""),"")</f>
        <v/>
      </c>
      <c r="D632" s="36" t="str">
        <f ca="1">IFERROR(__xludf.DUMMYFUNCTION("""COMPUTED_VALUE"""),"")</f>
        <v/>
      </c>
      <c r="E632" s="36" t="str">
        <f ca="1">IFERROR(__xludf.DUMMYFUNCTION("""COMPUTED_VALUE"""),"")</f>
        <v/>
      </c>
      <c r="F632" s="36" t="str">
        <f ca="1">IFERROR(__xludf.DUMMYFUNCTION("""COMPUTED_VALUE"""),"")</f>
        <v/>
      </c>
      <c r="G632" s="36" t="str">
        <f ca="1">IFERROR(__xludf.DUMMYFUNCTION("""COMPUTED_VALUE"""),"")</f>
        <v/>
      </c>
      <c r="H632" s="36" t="str">
        <f ca="1">IFERROR(__xludf.DUMMYFUNCTION("""COMPUTED_VALUE"""),"")</f>
        <v/>
      </c>
      <c r="I632" s="36" t="str">
        <f ca="1">IFERROR(__xludf.DUMMYFUNCTION("""COMPUTED_VALUE"""),"")</f>
        <v/>
      </c>
      <c r="J632" s="36" t="str">
        <f ca="1">IFERROR(__xludf.DUMMYFUNCTION("""COMPUTED_VALUE"""),"")</f>
        <v/>
      </c>
      <c r="K632" s="36" t="str">
        <f ca="1">IFERROR(__xludf.DUMMYFUNCTION("""COMPUTED_VALUE"""),"")</f>
        <v/>
      </c>
      <c r="L632" s="36" t="str">
        <f ca="1">IFERROR(__xludf.DUMMYFUNCTION("""COMPUTED_VALUE"""),"")</f>
        <v/>
      </c>
      <c r="M632" s="36" t="str">
        <f ca="1">IFERROR(__xludf.DUMMYFUNCTION("""COMPUTED_VALUE"""),"")</f>
        <v/>
      </c>
      <c r="N632" s="36" t="str">
        <f ca="1">IFERROR(__xludf.DUMMYFUNCTION("""COMPUTED_VALUE"""),"")</f>
        <v/>
      </c>
      <c r="O632" s="36" t="str">
        <f ca="1">IFERROR(__xludf.DUMMYFUNCTION("""COMPUTED_VALUE"""),"")</f>
        <v/>
      </c>
      <c r="P632" s="36" t="str">
        <f ca="1">IFERROR(__xludf.DUMMYFUNCTION("""COMPUTED_VALUE"""),"")</f>
        <v/>
      </c>
      <c r="Q632" s="36" t="str">
        <f ca="1">IFERROR(__xludf.DUMMYFUNCTION("""COMPUTED_VALUE"""),"")</f>
        <v/>
      </c>
      <c r="R632" s="36" t="str">
        <f ca="1">IFERROR(__xludf.DUMMYFUNCTION("""COMPUTED_VALUE"""),"")</f>
        <v/>
      </c>
      <c r="S632" s="36" t="str">
        <f ca="1">IFERROR(__xludf.DUMMYFUNCTION("""COMPUTED_VALUE"""),"")</f>
        <v/>
      </c>
      <c r="T632" s="36" t="str">
        <f ca="1">IFERROR(__xludf.DUMMYFUNCTION("""COMPUTED_VALUE"""),"")</f>
        <v/>
      </c>
      <c r="U632" s="36" t="str">
        <f ca="1">IFERROR(__xludf.DUMMYFUNCTION("""COMPUTED_VALUE"""),"")</f>
        <v/>
      </c>
      <c r="V632" s="36" t="str">
        <f ca="1">IFERROR(__xludf.DUMMYFUNCTION("""COMPUTED_VALUE"""),"")</f>
        <v/>
      </c>
      <c r="W632" s="36" t="str">
        <f ca="1">IFERROR(__xludf.DUMMYFUNCTION("""COMPUTED_VALUE"""),"")</f>
        <v/>
      </c>
      <c r="X632" s="36"/>
      <c r="Y632" s="36"/>
      <c r="Z632" s="36"/>
    </row>
    <row r="633" spans="1:26" ht="12.75" hidden="1">
      <c r="A633" s="36" t="str">
        <f ca="1">IFERROR(__xludf.DUMMYFUNCTION("""COMPUTED_VALUE"""),"")</f>
        <v/>
      </c>
      <c r="B633" s="36" t="str">
        <f ca="1">IFERROR(__xludf.DUMMYFUNCTION("""COMPUTED_VALUE"""),"")</f>
        <v/>
      </c>
      <c r="C633" s="36" t="str">
        <f ca="1">IFERROR(__xludf.DUMMYFUNCTION("""COMPUTED_VALUE"""),"")</f>
        <v/>
      </c>
      <c r="D633" s="36" t="str">
        <f ca="1">IFERROR(__xludf.DUMMYFUNCTION("""COMPUTED_VALUE"""),"")</f>
        <v/>
      </c>
      <c r="E633" s="36" t="str">
        <f ca="1">IFERROR(__xludf.DUMMYFUNCTION("""COMPUTED_VALUE"""),"")</f>
        <v/>
      </c>
      <c r="F633" s="36" t="str">
        <f ca="1">IFERROR(__xludf.DUMMYFUNCTION("""COMPUTED_VALUE"""),"")</f>
        <v/>
      </c>
      <c r="G633" s="36" t="str">
        <f ca="1">IFERROR(__xludf.DUMMYFUNCTION("""COMPUTED_VALUE"""),"")</f>
        <v/>
      </c>
      <c r="H633" s="36" t="str">
        <f ca="1">IFERROR(__xludf.DUMMYFUNCTION("""COMPUTED_VALUE"""),"")</f>
        <v/>
      </c>
      <c r="I633" s="36" t="str">
        <f ca="1">IFERROR(__xludf.DUMMYFUNCTION("""COMPUTED_VALUE"""),"")</f>
        <v/>
      </c>
      <c r="J633" s="36" t="str">
        <f ca="1">IFERROR(__xludf.DUMMYFUNCTION("""COMPUTED_VALUE"""),"")</f>
        <v/>
      </c>
      <c r="K633" s="36" t="str">
        <f ca="1">IFERROR(__xludf.DUMMYFUNCTION("""COMPUTED_VALUE"""),"")</f>
        <v/>
      </c>
      <c r="L633" s="36" t="str">
        <f ca="1">IFERROR(__xludf.DUMMYFUNCTION("""COMPUTED_VALUE"""),"")</f>
        <v/>
      </c>
      <c r="M633" s="36" t="str">
        <f ca="1">IFERROR(__xludf.DUMMYFUNCTION("""COMPUTED_VALUE"""),"")</f>
        <v/>
      </c>
      <c r="N633" s="36" t="str">
        <f ca="1">IFERROR(__xludf.DUMMYFUNCTION("""COMPUTED_VALUE"""),"")</f>
        <v/>
      </c>
      <c r="O633" s="36" t="str">
        <f ca="1">IFERROR(__xludf.DUMMYFUNCTION("""COMPUTED_VALUE"""),"")</f>
        <v/>
      </c>
      <c r="P633" s="36" t="str">
        <f ca="1">IFERROR(__xludf.DUMMYFUNCTION("""COMPUTED_VALUE"""),"")</f>
        <v/>
      </c>
      <c r="Q633" s="36" t="str">
        <f ca="1">IFERROR(__xludf.DUMMYFUNCTION("""COMPUTED_VALUE"""),"")</f>
        <v/>
      </c>
      <c r="R633" s="36" t="str">
        <f ca="1">IFERROR(__xludf.DUMMYFUNCTION("""COMPUTED_VALUE"""),"")</f>
        <v/>
      </c>
      <c r="S633" s="36" t="str">
        <f ca="1">IFERROR(__xludf.DUMMYFUNCTION("""COMPUTED_VALUE"""),"")</f>
        <v/>
      </c>
      <c r="T633" s="36" t="str">
        <f ca="1">IFERROR(__xludf.DUMMYFUNCTION("""COMPUTED_VALUE"""),"")</f>
        <v/>
      </c>
      <c r="U633" s="36" t="str">
        <f ca="1">IFERROR(__xludf.DUMMYFUNCTION("""COMPUTED_VALUE"""),"")</f>
        <v/>
      </c>
      <c r="V633" s="36" t="str">
        <f ca="1">IFERROR(__xludf.DUMMYFUNCTION("""COMPUTED_VALUE"""),"")</f>
        <v/>
      </c>
      <c r="W633" s="36" t="str">
        <f ca="1">IFERROR(__xludf.DUMMYFUNCTION("""COMPUTED_VALUE"""),"")</f>
        <v/>
      </c>
      <c r="X633" s="36"/>
      <c r="Y633" s="36"/>
      <c r="Z633" s="36"/>
    </row>
    <row r="634" spans="1:26" ht="12.75" hidden="1">
      <c r="A634" s="36" t="str">
        <f ca="1">IFERROR(__xludf.DUMMYFUNCTION("""COMPUTED_VALUE"""),"")</f>
        <v/>
      </c>
      <c r="B634" s="36" t="str">
        <f ca="1">IFERROR(__xludf.DUMMYFUNCTION("""COMPUTED_VALUE"""),"")</f>
        <v/>
      </c>
      <c r="C634" s="36" t="str">
        <f ca="1">IFERROR(__xludf.DUMMYFUNCTION("""COMPUTED_VALUE"""),"")</f>
        <v/>
      </c>
      <c r="D634" s="36" t="str">
        <f ca="1">IFERROR(__xludf.DUMMYFUNCTION("""COMPUTED_VALUE"""),"")</f>
        <v/>
      </c>
      <c r="E634" s="36" t="str">
        <f ca="1">IFERROR(__xludf.DUMMYFUNCTION("""COMPUTED_VALUE"""),"")</f>
        <v/>
      </c>
      <c r="F634" s="36" t="str">
        <f ca="1">IFERROR(__xludf.DUMMYFUNCTION("""COMPUTED_VALUE"""),"")</f>
        <v/>
      </c>
      <c r="G634" s="36" t="str">
        <f ca="1">IFERROR(__xludf.DUMMYFUNCTION("""COMPUTED_VALUE"""),"")</f>
        <v/>
      </c>
      <c r="H634" s="36" t="str">
        <f ca="1">IFERROR(__xludf.DUMMYFUNCTION("""COMPUTED_VALUE"""),"")</f>
        <v/>
      </c>
      <c r="I634" s="36" t="str">
        <f ca="1">IFERROR(__xludf.DUMMYFUNCTION("""COMPUTED_VALUE"""),"")</f>
        <v/>
      </c>
      <c r="J634" s="36" t="str">
        <f ca="1">IFERROR(__xludf.DUMMYFUNCTION("""COMPUTED_VALUE"""),"")</f>
        <v/>
      </c>
      <c r="K634" s="36" t="str">
        <f ca="1">IFERROR(__xludf.DUMMYFUNCTION("""COMPUTED_VALUE"""),"")</f>
        <v/>
      </c>
      <c r="L634" s="36" t="str">
        <f ca="1">IFERROR(__xludf.DUMMYFUNCTION("""COMPUTED_VALUE"""),"")</f>
        <v/>
      </c>
      <c r="M634" s="36" t="str">
        <f ca="1">IFERROR(__xludf.DUMMYFUNCTION("""COMPUTED_VALUE"""),"")</f>
        <v/>
      </c>
      <c r="N634" s="36" t="str">
        <f ca="1">IFERROR(__xludf.DUMMYFUNCTION("""COMPUTED_VALUE"""),"")</f>
        <v/>
      </c>
      <c r="O634" s="36" t="str">
        <f ca="1">IFERROR(__xludf.DUMMYFUNCTION("""COMPUTED_VALUE"""),"")</f>
        <v/>
      </c>
      <c r="P634" s="36" t="str">
        <f ca="1">IFERROR(__xludf.DUMMYFUNCTION("""COMPUTED_VALUE"""),"")</f>
        <v/>
      </c>
      <c r="Q634" s="36" t="str">
        <f ca="1">IFERROR(__xludf.DUMMYFUNCTION("""COMPUTED_VALUE"""),"")</f>
        <v/>
      </c>
      <c r="R634" s="36" t="str">
        <f ca="1">IFERROR(__xludf.DUMMYFUNCTION("""COMPUTED_VALUE"""),"")</f>
        <v/>
      </c>
      <c r="S634" s="36" t="str">
        <f ca="1">IFERROR(__xludf.DUMMYFUNCTION("""COMPUTED_VALUE"""),"")</f>
        <v/>
      </c>
      <c r="T634" s="36" t="str">
        <f ca="1">IFERROR(__xludf.DUMMYFUNCTION("""COMPUTED_VALUE"""),"")</f>
        <v/>
      </c>
      <c r="U634" s="36" t="str">
        <f ca="1">IFERROR(__xludf.DUMMYFUNCTION("""COMPUTED_VALUE"""),"")</f>
        <v/>
      </c>
      <c r="V634" s="36" t="str">
        <f ca="1">IFERROR(__xludf.DUMMYFUNCTION("""COMPUTED_VALUE"""),"")</f>
        <v/>
      </c>
      <c r="W634" s="36" t="str">
        <f ca="1">IFERROR(__xludf.DUMMYFUNCTION("""COMPUTED_VALUE"""),"")</f>
        <v/>
      </c>
      <c r="X634" s="36"/>
      <c r="Y634" s="36"/>
      <c r="Z634" s="36"/>
    </row>
    <row r="635" spans="1:26" ht="12.75" hidden="1">
      <c r="A635" s="36" t="str">
        <f ca="1">IFERROR(__xludf.DUMMYFUNCTION("""COMPUTED_VALUE"""),"")</f>
        <v/>
      </c>
      <c r="B635" s="36" t="str">
        <f ca="1">IFERROR(__xludf.DUMMYFUNCTION("""COMPUTED_VALUE"""),"")</f>
        <v/>
      </c>
      <c r="C635" s="36" t="str">
        <f ca="1">IFERROR(__xludf.DUMMYFUNCTION("""COMPUTED_VALUE"""),"")</f>
        <v/>
      </c>
      <c r="D635" s="36" t="str">
        <f ca="1">IFERROR(__xludf.DUMMYFUNCTION("""COMPUTED_VALUE"""),"")</f>
        <v/>
      </c>
      <c r="E635" s="36" t="str">
        <f ca="1">IFERROR(__xludf.DUMMYFUNCTION("""COMPUTED_VALUE"""),"")</f>
        <v/>
      </c>
      <c r="F635" s="36" t="str">
        <f ca="1">IFERROR(__xludf.DUMMYFUNCTION("""COMPUTED_VALUE"""),"")</f>
        <v/>
      </c>
      <c r="G635" s="36" t="str">
        <f ca="1">IFERROR(__xludf.DUMMYFUNCTION("""COMPUTED_VALUE"""),"")</f>
        <v/>
      </c>
      <c r="H635" s="36" t="str">
        <f ca="1">IFERROR(__xludf.DUMMYFUNCTION("""COMPUTED_VALUE"""),"")</f>
        <v/>
      </c>
      <c r="I635" s="36" t="str">
        <f ca="1">IFERROR(__xludf.DUMMYFUNCTION("""COMPUTED_VALUE"""),"")</f>
        <v/>
      </c>
      <c r="J635" s="36" t="str">
        <f ca="1">IFERROR(__xludf.DUMMYFUNCTION("""COMPUTED_VALUE"""),"")</f>
        <v/>
      </c>
      <c r="K635" s="36" t="str">
        <f ca="1">IFERROR(__xludf.DUMMYFUNCTION("""COMPUTED_VALUE"""),"")</f>
        <v/>
      </c>
      <c r="L635" s="36" t="str">
        <f ca="1">IFERROR(__xludf.DUMMYFUNCTION("""COMPUTED_VALUE"""),"")</f>
        <v/>
      </c>
      <c r="M635" s="36" t="str">
        <f ca="1">IFERROR(__xludf.DUMMYFUNCTION("""COMPUTED_VALUE"""),"")</f>
        <v/>
      </c>
      <c r="N635" s="36" t="str">
        <f ca="1">IFERROR(__xludf.DUMMYFUNCTION("""COMPUTED_VALUE"""),"")</f>
        <v/>
      </c>
      <c r="O635" s="36" t="str">
        <f ca="1">IFERROR(__xludf.DUMMYFUNCTION("""COMPUTED_VALUE"""),"")</f>
        <v/>
      </c>
      <c r="P635" s="36" t="str">
        <f ca="1">IFERROR(__xludf.DUMMYFUNCTION("""COMPUTED_VALUE"""),"")</f>
        <v/>
      </c>
      <c r="Q635" s="36" t="str">
        <f ca="1">IFERROR(__xludf.DUMMYFUNCTION("""COMPUTED_VALUE"""),"")</f>
        <v/>
      </c>
      <c r="R635" s="36" t="str">
        <f ca="1">IFERROR(__xludf.DUMMYFUNCTION("""COMPUTED_VALUE"""),"")</f>
        <v/>
      </c>
      <c r="S635" s="36" t="str">
        <f ca="1">IFERROR(__xludf.DUMMYFUNCTION("""COMPUTED_VALUE"""),"")</f>
        <v/>
      </c>
      <c r="T635" s="36" t="str">
        <f ca="1">IFERROR(__xludf.DUMMYFUNCTION("""COMPUTED_VALUE"""),"")</f>
        <v/>
      </c>
      <c r="U635" s="36" t="str">
        <f ca="1">IFERROR(__xludf.DUMMYFUNCTION("""COMPUTED_VALUE"""),"")</f>
        <v/>
      </c>
      <c r="V635" s="36" t="str">
        <f ca="1">IFERROR(__xludf.DUMMYFUNCTION("""COMPUTED_VALUE"""),"")</f>
        <v/>
      </c>
      <c r="W635" s="36" t="str">
        <f ca="1">IFERROR(__xludf.DUMMYFUNCTION("""COMPUTED_VALUE"""),"")</f>
        <v/>
      </c>
      <c r="X635" s="36"/>
      <c r="Y635" s="36"/>
      <c r="Z635" s="36"/>
    </row>
    <row r="636" spans="1:26" ht="12.75" hidden="1">
      <c r="A636" s="36" t="str">
        <f ca="1">IFERROR(__xludf.DUMMYFUNCTION("""COMPUTED_VALUE"""),"")</f>
        <v/>
      </c>
      <c r="B636" s="36" t="str">
        <f ca="1">IFERROR(__xludf.DUMMYFUNCTION("""COMPUTED_VALUE"""),"")</f>
        <v/>
      </c>
      <c r="C636" s="36" t="str">
        <f ca="1">IFERROR(__xludf.DUMMYFUNCTION("""COMPUTED_VALUE"""),"")</f>
        <v/>
      </c>
      <c r="D636" s="36" t="str">
        <f ca="1">IFERROR(__xludf.DUMMYFUNCTION("""COMPUTED_VALUE"""),"")</f>
        <v/>
      </c>
      <c r="E636" s="36" t="str">
        <f ca="1">IFERROR(__xludf.DUMMYFUNCTION("""COMPUTED_VALUE"""),"")</f>
        <v/>
      </c>
      <c r="F636" s="36" t="str">
        <f ca="1">IFERROR(__xludf.DUMMYFUNCTION("""COMPUTED_VALUE"""),"")</f>
        <v/>
      </c>
      <c r="G636" s="36" t="str">
        <f ca="1">IFERROR(__xludf.DUMMYFUNCTION("""COMPUTED_VALUE"""),"")</f>
        <v/>
      </c>
      <c r="H636" s="36" t="str">
        <f ca="1">IFERROR(__xludf.DUMMYFUNCTION("""COMPUTED_VALUE"""),"")</f>
        <v/>
      </c>
      <c r="I636" s="36" t="str">
        <f ca="1">IFERROR(__xludf.DUMMYFUNCTION("""COMPUTED_VALUE"""),"")</f>
        <v/>
      </c>
      <c r="J636" s="36" t="str">
        <f ca="1">IFERROR(__xludf.DUMMYFUNCTION("""COMPUTED_VALUE"""),"")</f>
        <v/>
      </c>
      <c r="K636" s="36" t="str">
        <f ca="1">IFERROR(__xludf.DUMMYFUNCTION("""COMPUTED_VALUE"""),"")</f>
        <v/>
      </c>
      <c r="L636" s="36" t="str">
        <f ca="1">IFERROR(__xludf.DUMMYFUNCTION("""COMPUTED_VALUE"""),"")</f>
        <v/>
      </c>
      <c r="M636" s="36" t="str">
        <f ca="1">IFERROR(__xludf.DUMMYFUNCTION("""COMPUTED_VALUE"""),"")</f>
        <v/>
      </c>
      <c r="N636" s="36" t="str">
        <f ca="1">IFERROR(__xludf.DUMMYFUNCTION("""COMPUTED_VALUE"""),"")</f>
        <v/>
      </c>
      <c r="O636" s="36" t="str">
        <f ca="1">IFERROR(__xludf.DUMMYFUNCTION("""COMPUTED_VALUE"""),"")</f>
        <v/>
      </c>
      <c r="P636" s="36" t="str">
        <f ca="1">IFERROR(__xludf.DUMMYFUNCTION("""COMPUTED_VALUE"""),"")</f>
        <v/>
      </c>
      <c r="Q636" s="36" t="str">
        <f ca="1">IFERROR(__xludf.DUMMYFUNCTION("""COMPUTED_VALUE"""),"")</f>
        <v/>
      </c>
      <c r="R636" s="36" t="str">
        <f ca="1">IFERROR(__xludf.DUMMYFUNCTION("""COMPUTED_VALUE"""),"")</f>
        <v/>
      </c>
      <c r="S636" s="36" t="str">
        <f ca="1">IFERROR(__xludf.DUMMYFUNCTION("""COMPUTED_VALUE"""),"")</f>
        <v/>
      </c>
      <c r="T636" s="36" t="str">
        <f ca="1">IFERROR(__xludf.DUMMYFUNCTION("""COMPUTED_VALUE"""),"")</f>
        <v/>
      </c>
      <c r="U636" s="36" t="str">
        <f ca="1">IFERROR(__xludf.DUMMYFUNCTION("""COMPUTED_VALUE"""),"")</f>
        <v/>
      </c>
      <c r="V636" s="36" t="str">
        <f ca="1">IFERROR(__xludf.DUMMYFUNCTION("""COMPUTED_VALUE"""),"")</f>
        <v/>
      </c>
      <c r="W636" s="36" t="str">
        <f ca="1">IFERROR(__xludf.DUMMYFUNCTION("""COMPUTED_VALUE"""),"")</f>
        <v/>
      </c>
      <c r="X636" s="36"/>
      <c r="Y636" s="36"/>
      <c r="Z636" s="36"/>
    </row>
    <row r="637" spans="1:26" ht="12.75" hidden="1">
      <c r="A637" s="36" t="str">
        <f ca="1">IFERROR(__xludf.DUMMYFUNCTION("""COMPUTED_VALUE"""),"")</f>
        <v/>
      </c>
      <c r="B637" s="36" t="str">
        <f ca="1">IFERROR(__xludf.DUMMYFUNCTION("""COMPUTED_VALUE"""),"")</f>
        <v/>
      </c>
      <c r="C637" s="36" t="str">
        <f ca="1">IFERROR(__xludf.DUMMYFUNCTION("""COMPUTED_VALUE"""),"")</f>
        <v/>
      </c>
      <c r="D637" s="36" t="str">
        <f ca="1">IFERROR(__xludf.DUMMYFUNCTION("""COMPUTED_VALUE"""),"")</f>
        <v/>
      </c>
      <c r="E637" s="36" t="str">
        <f ca="1">IFERROR(__xludf.DUMMYFUNCTION("""COMPUTED_VALUE"""),"")</f>
        <v/>
      </c>
      <c r="F637" s="36" t="str">
        <f ca="1">IFERROR(__xludf.DUMMYFUNCTION("""COMPUTED_VALUE"""),"")</f>
        <v/>
      </c>
      <c r="G637" s="36" t="str">
        <f ca="1">IFERROR(__xludf.DUMMYFUNCTION("""COMPUTED_VALUE"""),"")</f>
        <v/>
      </c>
      <c r="H637" s="36" t="str">
        <f ca="1">IFERROR(__xludf.DUMMYFUNCTION("""COMPUTED_VALUE"""),"")</f>
        <v/>
      </c>
      <c r="I637" s="36" t="str">
        <f ca="1">IFERROR(__xludf.DUMMYFUNCTION("""COMPUTED_VALUE"""),"")</f>
        <v/>
      </c>
      <c r="J637" s="36" t="str">
        <f ca="1">IFERROR(__xludf.DUMMYFUNCTION("""COMPUTED_VALUE"""),"")</f>
        <v/>
      </c>
      <c r="K637" s="36" t="str">
        <f ca="1">IFERROR(__xludf.DUMMYFUNCTION("""COMPUTED_VALUE"""),"")</f>
        <v/>
      </c>
      <c r="L637" s="36" t="str">
        <f ca="1">IFERROR(__xludf.DUMMYFUNCTION("""COMPUTED_VALUE"""),"")</f>
        <v/>
      </c>
      <c r="M637" s="36" t="str">
        <f ca="1">IFERROR(__xludf.DUMMYFUNCTION("""COMPUTED_VALUE"""),"")</f>
        <v/>
      </c>
      <c r="N637" s="36" t="str">
        <f ca="1">IFERROR(__xludf.DUMMYFUNCTION("""COMPUTED_VALUE"""),"")</f>
        <v/>
      </c>
      <c r="O637" s="36" t="str">
        <f ca="1">IFERROR(__xludf.DUMMYFUNCTION("""COMPUTED_VALUE"""),"")</f>
        <v/>
      </c>
      <c r="P637" s="36" t="str">
        <f ca="1">IFERROR(__xludf.DUMMYFUNCTION("""COMPUTED_VALUE"""),"")</f>
        <v/>
      </c>
      <c r="Q637" s="36" t="str">
        <f ca="1">IFERROR(__xludf.DUMMYFUNCTION("""COMPUTED_VALUE"""),"")</f>
        <v/>
      </c>
      <c r="R637" s="36" t="str">
        <f ca="1">IFERROR(__xludf.DUMMYFUNCTION("""COMPUTED_VALUE"""),"")</f>
        <v/>
      </c>
      <c r="S637" s="36" t="str">
        <f ca="1">IFERROR(__xludf.DUMMYFUNCTION("""COMPUTED_VALUE"""),"")</f>
        <v/>
      </c>
      <c r="T637" s="36" t="str">
        <f ca="1">IFERROR(__xludf.DUMMYFUNCTION("""COMPUTED_VALUE"""),"")</f>
        <v/>
      </c>
      <c r="U637" s="36" t="str">
        <f ca="1">IFERROR(__xludf.DUMMYFUNCTION("""COMPUTED_VALUE"""),"")</f>
        <v/>
      </c>
      <c r="V637" s="36" t="str">
        <f ca="1">IFERROR(__xludf.DUMMYFUNCTION("""COMPUTED_VALUE"""),"")</f>
        <v/>
      </c>
      <c r="W637" s="36" t="str">
        <f ca="1">IFERROR(__xludf.DUMMYFUNCTION("""COMPUTED_VALUE"""),"")</f>
        <v/>
      </c>
      <c r="X637" s="36"/>
      <c r="Y637" s="36"/>
      <c r="Z637" s="36"/>
    </row>
    <row r="638" spans="1:26" ht="12.75" hidden="1">
      <c r="A638" s="36" t="str">
        <f ca="1">IFERROR(__xludf.DUMMYFUNCTION("""COMPUTED_VALUE"""),"")</f>
        <v/>
      </c>
      <c r="B638" s="36" t="str">
        <f ca="1">IFERROR(__xludf.DUMMYFUNCTION("""COMPUTED_VALUE"""),"")</f>
        <v/>
      </c>
      <c r="C638" s="36" t="str">
        <f ca="1">IFERROR(__xludf.DUMMYFUNCTION("""COMPUTED_VALUE"""),"")</f>
        <v/>
      </c>
      <c r="D638" s="36" t="str">
        <f ca="1">IFERROR(__xludf.DUMMYFUNCTION("""COMPUTED_VALUE"""),"")</f>
        <v/>
      </c>
      <c r="E638" s="36" t="str">
        <f ca="1">IFERROR(__xludf.DUMMYFUNCTION("""COMPUTED_VALUE"""),"")</f>
        <v/>
      </c>
      <c r="F638" s="36" t="str">
        <f ca="1">IFERROR(__xludf.DUMMYFUNCTION("""COMPUTED_VALUE"""),"")</f>
        <v/>
      </c>
      <c r="G638" s="36" t="str">
        <f ca="1">IFERROR(__xludf.DUMMYFUNCTION("""COMPUTED_VALUE"""),"")</f>
        <v/>
      </c>
      <c r="H638" s="36" t="str">
        <f ca="1">IFERROR(__xludf.DUMMYFUNCTION("""COMPUTED_VALUE"""),"")</f>
        <v/>
      </c>
      <c r="I638" s="36" t="str">
        <f ca="1">IFERROR(__xludf.DUMMYFUNCTION("""COMPUTED_VALUE"""),"")</f>
        <v/>
      </c>
      <c r="J638" s="36" t="str">
        <f ca="1">IFERROR(__xludf.DUMMYFUNCTION("""COMPUTED_VALUE"""),"")</f>
        <v/>
      </c>
      <c r="K638" s="36" t="str">
        <f ca="1">IFERROR(__xludf.DUMMYFUNCTION("""COMPUTED_VALUE"""),"")</f>
        <v/>
      </c>
      <c r="L638" s="36" t="str">
        <f ca="1">IFERROR(__xludf.DUMMYFUNCTION("""COMPUTED_VALUE"""),"")</f>
        <v/>
      </c>
      <c r="M638" s="36" t="str">
        <f ca="1">IFERROR(__xludf.DUMMYFUNCTION("""COMPUTED_VALUE"""),"")</f>
        <v/>
      </c>
      <c r="N638" s="36" t="str">
        <f ca="1">IFERROR(__xludf.DUMMYFUNCTION("""COMPUTED_VALUE"""),"")</f>
        <v/>
      </c>
      <c r="O638" s="36" t="str">
        <f ca="1">IFERROR(__xludf.DUMMYFUNCTION("""COMPUTED_VALUE"""),"")</f>
        <v/>
      </c>
      <c r="P638" s="36" t="str">
        <f ca="1">IFERROR(__xludf.DUMMYFUNCTION("""COMPUTED_VALUE"""),"")</f>
        <v/>
      </c>
      <c r="Q638" s="36" t="str">
        <f ca="1">IFERROR(__xludf.DUMMYFUNCTION("""COMPUTED_VALUE"""),"")</f>
        <v/>
      </c>
      <c r="R638" s="36" t="str">
        <f ca="1">IFERROR(__xludf.DUMMYFUNCTION("""COMPUTED_VALUE"""),"")</f>
        <v/>
      </c>
      <c r="S638" s="36" t="str">
        <f ca="1">IFERROR(__xludf.DUMMYFUNCTION("""COMPUTED_VALUE"""),"")</f>
        <v/>
      </c>
      <c r="T638" s="36" t="str">
        <f ca="1">IFERROR(__xludf.DUMMYFUNCTION("""COMPUTED_VALUE"""),"")</f>
        <v/>
      </c>
      <c r="U638" s="36" t="str">
        <f ca="1">IFERROR(__xludf.DUMMYFUNCTION("""COMPUTED_VALUE"""),"")</f>
        <v/>
      </c>
      <c r="V638" s="36" t="str">
        <f ca="1">IFERROR(__xludf.DUMMYFUNCTION("""COMPUTED_VALUE"""),"")</f>
        <v/>
      </c>
      <c r="W638" s="36" t="str">
        <f ca="1">IFERROR(__xludf.DUMMYFUNCTION("""COMPUTED_VALUE"""),"")</f>
        <v/>
      </c>
      <c r="X638" s="36"/>
      <c r="Y638" s="36"/>
      <c r="Z638" s="36"/>
    </row>
    <row r="639" spans="1:26" ht="12.75" hidden="1">
      <c r="A639" s="36" t="str">
        <f ca="1">IFERROR(__xludf.DUMMYFUNCTION("""COMPUTED_VALUE"""),"")</f>
        <v/>
      </c>
      <c r="B639" s="36" t="str">
        <f ca="1">IFERROR(__xludf.DUMMYFUNCTION("""COMPUTED_VALUE"""),"")</f>
        <v/>
      </c>
      <c r="C639" s="36" t="str">
        <f ca="1">IFERROR(__xludf.DUMMYFUNCTION("""COMPUTED_VALUE"""),"")</f>
        <v/>
      </c>
      <c r="D639" s="36" t="str">
        <f ca="1">IFERROR(__xludf.DUMMYFUNCTION("""COMPUTED_VALUE"""),"")</f>
        <v/>
      </c>
      <c r="E639" s="36" t="str">
        <f ca="1">IFERROR(__xludf.DUMMYFUNCTION("""COMPUTED_VALUE"""),"")</f>
        <v/>
      </c>
      <c r="F639" s="36" t="str">
        <f ca="1">IFERROR(__xludf.DUMMYFUNCTION("""COMPUTED_VALUE"""),"")</f>
        <v/>
      </c>
      <c r="G639" s="36" t="str">
        <f ca="1">IFERROR(__xludf.DUMMYFUNCTION("""COMPUTED_VALUE"""),"")</f>
        <v/>
      </c>
      <c r="H639" s="36" t="str">
        <f ca="1">IFERROR(__xludf.DUMMYFUNCTION("""COMPUTED_VALUE"""),"")</f>
        <v/>
      </c>
      <c r="I639" s="36" t="str">
        <f ca="1">IFERROR(__xludf.DUMMYFUNCTION("""COMPUTED_VALUE"""),"")</f>
        <v/>
      </c>
      <c r="J639" s="36" t="str">
        <f ca="1">IFERROR(__xludf.DUMMYFUNCTION("""COMPUTED_VALUE"""),"")</f>
        <v/>
      </c>
      <c r="K639" s="36" t="str">
        <f ca="1">IFERROR(__xludf.DUMMYFUNCTION("""COMPUTED_VALUE"""),"")</f>
        <v/>
      </c>
      <c r="L639" s="36" t="str">
        <f ca="1">IFERROR(__xludf.DUMMYFUNCTION("""COMPUTED_VALUE"""),"")</f>
        <v/>
      </c>
      <c r="M639" s="36" t="str">
        <f ca="1">IFERROR(__xludf.DUMMYFUNCTION("""COMPUTED_VALUE"""),"")</f>
        <v/>
      </c>
      <c r="N639" s="36" t="str">
        <f ca="1">IFERROR(__xludf.DUMMYFUNCTION("""COMPUTED_VALUE"""),"")</f>
        <v/>
      </c>
      <c r="O639" s="36" t="str">
        <f ca="1">IFERROR(__xludf.DUMMYFUNCTION("""COMPUTED_VALUE"""),"")</f>
        <v/>
      </c>
      <c r="P639" s="36" t="str">
        <f ca="1">IFERROR(__xludf.DUMMYFUNCTION("""COMPUTED_VALUE"""),"")</f>
        <v/>
      </c>
      <c r="Q639" s="36" t="str">
        <f ca="1">IFERROR(__xludf.DUMMYFUNCTION("""COMPUTED_VALUE"""),"")</f>
        <v/>
      </c>
      <c r="R639" s="36" t="str">
        <f ca="1">IFERROR(__xludf.DUMMYFUNCTION("""COMPUTED_VALUE"""),"")</f>
        <v/>
      </c>
      <c r="S639" s="36" t="str">
        <f ca="1">IFERROR(__xludf.DUMMYFUNCTION("""COMPUTED_VALUE"""),"")</f>
        <v/>
      </c>
      <c r="T639" s="36" t="str">
        <f ca="1">IFERROR(__xludf.DUMMYFUNCTION("""COMPUTED_VALUE"""),"")</f>
        <v/>
      </c>
      <c r="U639" s="36" t="str">
        <f ca="1">IFERROR(__xludf.DUMMYFUNCTION("""COMPUTED_VALUE"""),"")</f>
        <v/>
      </c>
      <c r="V639" s="36" t="str">
        <f ca="1">IFERROR(__xludf.DUMMYFUNCTION("""COMPUTED_VALUE"""),"")</f>
        <v/>
      </c>
      <c r="W639" s="36" t="str">
        <f ca="1">IFERROR(__xludf.DUMMYFUNCTION("""COMPUTED_VALUE"""),"")</f>
        <v/>
      </c>
      <c r="X639" s="36"/>
      <c r="Y639" s="36"/>
      <c r="Z639" s="36"/>
    </row>
    <row r="640" spans="1:26" ht="12.75" hidden="1">
      <c r="A640" s="36" t="str">
        <f ca="1">IFERROR(__xludf.DUMMYFUNCTION("""COMPUTED_VALUE"""),"")</f>
        <v/>
      </c>
      <c r="B640" s="36" t="str">
        <f ca="1">IFERROR(__xludf.DUMMYFUNCTION("""COMPUTED_VALUE"""),"")</f>
        <v/>
      </c>
      <c r="C640" s="36" t="str">
        <f ca="1">IFERROR(__xludf.DUMMYFUNCTION("""COMPUTED_VALUE"""),"")</f>
        <v/>
      </c>
      <c r="D640" s="36" t="str">
        <f ca="1">IFERROR(__xludf.DUMMYFUNCTION("""COMPUTED_VALUE"""),"")</f>
        <v/>
      </c>
      <c r="E640" s="36" t="str">
        <f ca="1">IFERROR(__xludf.DUMMYFUNCTION("""COMPUTED_VALUE"""),"")</f>
        <v/>
      </c>
      <c r="F640" s="36" t="str">
        <f ca="1">IFERROR(__xludf.DUMMYFUNCTION("""COMPUTED_VALUE"""),"")</f>
        <v/>
      </c>
      <c r="G640" s="36" t="str">
        <f ca="1">IFERROR(__xludf.DUMMYFUNCTION("""COMPUTED_VALUE"""),"")</f>
        <v/>
      </c>
      <c r="H640" s="36" t="str">
        <f ca="1">IFERROR(__xludf.DUMMYFUNCTION("""COMPUTED_VALUE"""),"")</f>
        <v/>
      </c>
      <c r="I640" s="36" t="str">
        <f ca="1">IFERROR(__xludf.DUMMYFUNCTION("""COMPUTED_VALUE"""),"")</f>
        <v/>
      </c>
      <c r="J640" s="36" t="str">
        <f ca="1">IFERROR(__xludf.DUMMYFUNCTION("""COMPUTED_VALUE"""),"")</f>
        <v/>
      </c>
      <c r="K640" s="36" t="str">
        <f ca="1">IFERROR(__xludf.DUMMYFUNCTION("""COMPUTED_VALUE"""),"")</f>
        <v/>
      </c>
      <c r="L640" s="36" t="str">
        <f ca="1">IFERROR(__xludf.DUMMYFUNCTION("""COMPUTED_VALUE"""),"")</f>
        <v/>
      </c>
      <c r="M640" s="36" t="str">
        <f ca="1">IFERROR(__xludf.DUMMYFUNCTION("""COMPUTED_VALUE"""),"")</f>
        <v/>
      </c>
      <c r="N640" s="36" t="str">
        <f ca="1">IFERROR(__xludf.DUMMYFUNCTION("""COMPUTED_VALUE"""),"")</f>
        <v/>
      </c>
      <c r="O640" s="36" t="str">
        <f ca="1">IFERROR(__xludf.DUMMYFUNCTION("""COMPUTED_VALUE"""),"")</f>
        <v/>
      </c>
      <c r="P640" s="36" t="str">
        <f ca="1">IFERROR(__xludf.DUMMYFUNCTION("""COMPUTED_VALUE"""),"")</f>
        <v/>
      </c>
      <c r="Q640" s="36" t="str">
        <f ca="1">IFERROR(__xludf.DUMMYFUNCTION("""COMPUTED_VALUE"""),"")</f>
        <v/>
      </c>
      <c r="R640" s="36" t="str">
        <f ca="1">IFERROR(__xludf.DUMMYFUNCTION("""COMPUTED_VALUE"""),"")</f>
        <v/>
      </c>
      <c r="S640" s="36" t="str">
        <f ca="1">IFERROR(__xludf.DUMMYFUNCTION("""COMPUTED_VALUE"""),"")</f>
        <v/>
      </c>
      <c r="T640" s="36" t="str">
        <f ca="1">IFERROR(__xludf.DUMMYFUNCTION("""COMPUTED_VALUE"""),"")</f>
        <v/>
      </c>
      <c r="U640" s="36" t="str">
        <f ca="1">IFERROR(__xludf.DUMMYFUNCTION("""COMPUTED_VALUE"""),"")</f>
        <v/>
      </c>
      <c r="V640" s="36" t="str">
        <f ca="1">IFERROR(__xludf.DUMMYFUNCTION("""COMPUTED_VALUE"""),"")</f>
        <v/>
      </c>
      <c r="W640" s="36" t="str">
        <f ca="1">IFERROR(__xludf.DUMMYFUNCTION("""COMPUTED_VALUE"""),"")</f>
        <v/>
      </c>
      <c r="X640" s="36"/>
      <c r="Y640" s="36"/>
      <c r="Z640" s="36"/>
    </row>
    <row r="641" spans="1:26" ht="12.75" hidden="1">
      <c r="A641" s="36" t="str">
        <f ca="1">IFERROR(__xludf.DUMMYFUNCTION("""COMPUTED_VALUE"""),"")</f>
        <v/>
      </c>
      <c r="B641" s="36" t="str">
        <f ca="1">IFERROR(__xludf.DUMMYFUNCTION("""COMPUTED_VALUE"""),"")</f>
        <v/>
      </c>
      <c r="C641" s="36" t="str">
        <f ca="1">IFERROR(__xludf.DUMMYFUNCTION("""COMPUTED_VALUE"""),"")</f>
        <v/>
      </c>
      <c r="D641" s="36" t="str">
        <f ca="1">IFERROR(__xludf.DUMMYFUNCTION("""COMPUTED_VALUE"""),"")</f>
        <v/>
      </c>
      <c r="E641" s="36" t="str">
        <f ca="1">IFERROR(__xludf.DUMMYFUNCTION("""COMPUTED_VALUE"""),"")</f>
        <v/>
      </c>
      <c r="F641" s="36" t="str">
        <f ca="1">IFERROR(__xludf.DUMMYFUNCTION("""COMPUTED_VALUE"""),"")</f>
        <v/>
      </c>
      <c r="G641" s="36" t="str">
        <f ca="1">IFERROR(__xludf.DUMMYFUNCTION("""COMPUTED_VALUE"""),"")</f>
        <v/>
      </c>
      <c r="H641" s="36" t="str">
        <f ca="1">IFERROR(__xludf.DUMMYFUNCTION("""COMPUTED_VALUE"""),"")</f>
        <v/>
      </c>
      <c r="I641" s="36" t="str">
        <f ca="1">IFERROR(__xludf.DUMMYFUNCTION("""COMPUTED_VALUE"""),"")</f>
        <v/>
      </c>
      <c r="J641" s="36" t="str">
        <f ca="1">IFERROR(__xludf.DUMMYFUNCTION("""COMPUTED_VALUE"""),"")</f>
        <v/>
      </c>
      <c r="K641" s="36" t="str">
        <f ca="1">IFERROR(__xludf.DUMMYFUNCTION("""COMPUTED_VALUE"""),"")</f>
        <v/>
      </c>
      <c r="L641" s="36" t="str">
        <f ca="1">IFERROR(__xludf.DUMMYFUNCTION("""COMPUTED_VALUE"""),"")</f>
        <v/>
      </c>
      <c r="M641" s="36" t="str">
        <f ca="1">IFERROR(__xludf.DUMMYFUNCTION("""COMPUTED_VALUE"""),"")</f>
        <v/>
      </c>
      <c r="N641" s="36" t="str">
        <f ca="1">IFERROR(__xludf.DUMMYFUNCTION("""COMPUTED_VALUE"""),"")</f>
        <v/>
      </c>
      <c r="O641" s="36" t="str">
        <f ca="1">IFERROR(__xludf.DUMMYFUNCTION("""COMPUTED_VALUE"""),"")</f>
        <v/>
      </c>
      <c r="P641" s="36" t="str">
        <f ca="1">IFERROR(__xludf.DUMMYFUNCTION("""COMPUTED_VALUE"""),"")</f>
        <v/>
      </c>
      <c r="Q641" s="36" t="str">
        <f ca="1">IFERROR(__xludf.DUMMYFUNCTION("""COMPUTED_VALUE"""),"")</f>
        <v/>
      </c>
      <c r="R641" s="36" t="str">
        <f ca="1">IFERROR(__xludf.DUMMYFUNCTION("""COMPUTED_VALUE"""),"")</f>
        <v/>
      </c>
      <c r="S641" s="36" t="str">
        <f ca="1">IFERROR(__xludf.DUMMYFUNCTION("""COMPUTED_VALUE"""),"")</f>
        <v/>
      </c>
      <c r="T641" s="36" t="str">
        <f ca="1">IFERROR(__xludf.DUMMYFUNCTION("""COMPUTED_VALUE"""),"")</f>
        <v/>
      </c>
      <c r="U641" s="36" t="str">
        <f ca="1">IFERROR(__xludf.DUMMYFUNCTION("""COMPUTED_VALUE"""),"")</f>
        <v/>
      </c>
      <c r="V641" s="36" t="str">
        <f ca="1">IFERROR(__xludf.DUMMYFUNCTION("""COMPUTED_VALUE"""),"")</f>
        <v/>
      </c>
      <c r="W641" s="36" t="str">
        <f ca="1">IFERROR(__xludf.DUMMYFUNCTION("""COMPUTED_VALUE"""),"")</f>
        <v/>
      </c>
      <c r="X641" s="36"/>
      <c r="Y641" s="36"/>
      <c r="Z641" s="36"/>
    </row>
    <row r="642" spans="1:26" ht="12.75" hidden="1">
      <c r="A642" s="36" t="str">
        <f ca="1">IFERROR(__xludf.DUMMYFUNCTION("""COMPUTED_VALUE"""),"")</f>
        <v/>
      </c>
      <c r="B642" s="36" t="str">
        <f ca="1">IFERROR(__xludf.DUMMYFUNCTION("""COMPUTED_VALUE"""),"")</f>
        <v/>
      </c>
      <c r="C642" s="36" t="str">
        <f ca="1">IFERROR(__xludf.DUMMYFUNCTION("""COMPUTED_VALUE"""),"")</f>
        <v/>
      </c>
      <c r="D642" s="36" t="str">
        <f ca="1">IFERROR(__xludf.DUMMYFUNCTION("""COMPUTED_VALUE"""),"")</f>
        <v/>
      </c>
      <c r="E642" s="36" t="str">
        <f ca="1">IFERROR(__xludf.DUMMYFUNCTION("""COMPUTED_VALUE"""),"")</f>
        <v/>
      </c>
      <c r="F642" s="36" t="str">
        <f ca="1">IFERROR(__xludf.DUMMYFUNCTION("""COMPUTED_VALUE"""),"")</f>
        <v/>
      </c>
      <c r="G642" s="36" t="str">
        <f ca="1">IFERROR(__xludf.DUMMYFUNCTION("""COMPUTED_VALUE"""),"")</f>
        <v/>
      </c>
      <c r="H642" s="36" t="str">
        <f ca="1">IFERROR(__xludf.DUMMYFUNCTION("""COMPUTED_VALUE"""),"")</f>
        <v/>
      </c>
      <c r="I642" s="36" t="str">
        <f ca="1">IFERROR(__xludf.DUMMYFUNCTION("""COMPUTED_VALUE"""),"")</f>
        <v/>
      </c>
      <c r="J642" s="36" t="str">
        <f ca="1">IFERROR(__xludf.DUMMYFUNCTION("""COMPUTED_VALUE"""),"")</f>
        <v/>
      </c>
      <c r="K642" s="36" t="str">
        <f ca="1">IFERROR(__xludf.DUMMYFUNCTION("""COMPUTED_VALUE"""),"")</f>
        <v/>
      </c>
      <c r="L642" s="36" t="str">
        <f ca="1">IFERROR(__xludf.DUMMYFUNCTION("""COMPUTED_VALUE"""),"")</f>
        <v/>
      </c>
      <c r="M642" s="36" t="str">
        <f ca="1">IFERROR(__xludf.DUMMYFUNCTION("""COMPUTED_VALUE"""),"")</f>
        <v/>
      </c>
      <c r="N642" s="36" t="str">
        <f ca="1">IFERROR(__xludf.DUMMYFUNCTION("""COMPUTED_VALUE"""),"")</f>
        <v/>
      </c>
      <c r="O642" s="36" t="str">
        <f ca="1">IFERROR(__xludf.DUMMYFUNCTION("""COMPUTED_VALUE"""),"")</f>
        <v/>
      </c>
      <c r="P642" s="36" t="str">
        <f ca="1">IFERROR(__xludf.DUMMYFUNCTION("""COMPUTED_VALUE"""),"")</f>
        <v/>
      </c>
      <c r="Q642" s="36" t="str">
        <f ca="1">IFERROR(__xludf.DUMMYFUNCTION("""COMPUTED_VALUE"""),"")</f>
        <v/>
      </c>
      <c r="R642" s="36" t="str">
        <f ca="1">IFERROR(__xludf.DUMMYFUNCTION("""COMPUTED_VALUE"""),"")</f>
        <v/>
      </c>
      <c r="S642" s="36" t="str">
        <f ca="1">IFERROR(__xludf.DUMMYFUNCTION("""COMPUTED_VALUE"""),"")</f>
        <v/>
      </c>
      <c r="T642" s="36" t="str">
        <f ca="1">IFERROR(__xludf.DUMMYFUNCTION("""COMPUTED_VALUE"""),"")</f>
        <v/>
      </c>
      <c r="U642" s="36" t="str">
        <f ca="1">IFERROR(__xludf.DUMMYFUNCTION("""COMPUTED_VALUE"""),"")</f>
        <v/>
      </c>
      <c r="V642" s="36" t="str">
        <f ca="1">IFERROR(__xludf.DUMMYFUNCTION("""COMPUTED_VALUE"""),"")</f>
        <v/>
      </c>
      <c r="W642" s="36" t="str">
        <f ca="1">IFERROR(__xludf.DUMMYFUNCTION("""COMPUTED_VALUE"""),"")</f>
        <v/>
      </c>
      <c r="X642" s="36"/>
      <c r="Y642" s="36"/>
      <c r="Z642" s="36"/>
    </row>
    <row r="643" spans="1:26" ht="12.75" hidden="1">
      <c r="A643" s="36" t="str">
        <f ca="1">IFERROR(__xludf.DUMMYFUNCTION("""COMPUTED_VALUE"""),"")</f>
        <v/>
      </c>
      <c r="B643" s="36" t="str">
        <f ca="1">IFERROR(__xludf.DUMMYFUNCTION("""COMPUTED_VALUE"""),"")</f>
        <v/>
      </c>
      <c r="C643" s="36" t="str">
        <f ca="1">IFERROR(__xludf.DUMMYFUNCTION("""COMPUTED_VALUE"""),"")</f>
        <v/>
      </c>
      <c r="D643" s="36" t="str">
        <f ca="1">IFERROR(__xludf.DUMMYFUNCTION("""COMPUTED_VALUE"""),"")</f>
        <v/>
      </c>
      <c r="E643" s="36" t="str">
        <f ca="1">IFERROR(__xludf.DUMMYFUNCTION("""COMPUTED_VALUE"""),"")</f>
        <v/>
      </c>
      <c r="F643" s="36" t="str">
        <f ca="1">IFERROR(__xludf.DUMMYFUNCTION("""COMPUTED_VALUE"""),"")</f>
        <v/>
      </c>
      <c r="G643" s="36" t="str">
        <f ca="1">IFERROR(__xludf.DUMMYFUNCTION("""COMPUTED_VALUE"""),"")</f>
        <v/>
      </c>
      <c r="H643" s="36" t="str">
        <f ca="1">IFERROR(__xludf.DUMMYFUNCTION("""COMPUTED_VALUE"""),"")</f>
        <v/>
      </c>
      <c r="I643" s="36" t="str">
        <f ca="1">IFERROR(__xludf.DUMMYFUNCTION("""COMPUTED_VALUE"""),"")</f>
        <v/>
      </c>
      <c r="J643" s="36" t="str">
        <f ca="1">IFERROR(__xludf.DUMMYFUNCTION("""COMPUTED_VALUE"""),"")</f>
        <v/>
      </c>
      <c r="K643" s="36" t="str">
        <f ca="1">IFERROR(__xludf.DUMMYFUNCTION("""COMPUTED_VALUE"""),"")</f>
        <v/>
      </c>
      <c r="L643" s="36" t="str">
        <f ca="1">IFERROR(__xludf.DUMMYFUNCTION("""COMPUTED_VALUE"""),"")</f>
        <v/>
      </c>
      <c r="M643" s="36" t="str">
        <f ca="1">IFERROR(__xludf.DUMMYFUNCTION("""COMPUTED_VALUE"""),"")</f>
        <v/>
      </c>
      <c r="N643" s="36" t="str">
        <f ca="1">IFERROR(__xludf.DUMMYFUNCTION("""COMPUTED_VALUE"""),"")</f>
        <v/>
      </c>
      <c r="O643" s="36" t="str">
        <f ca="1">IFERROR(__xludf.DUMMYFUNCTION("""COMPUTED_VALUE"""),"")</f>
        <v/>
      </c>
      <c r="P643" s="36" t="str">
        <f ca="1">IFERROR(__xludf.DUMMYFUNCTION("""COMPUTED_VALUE"""),"")</f>
        <v/>
      </c>
      <c r="Q643" s="36" t="str">
        <f ca="1">IFERROR(__xludf.DUMMYFUNCTION("""COMPUTED_VALUE"""),"")</f>
        <v/>
      </c>
      <c r="R643" s="36" t="str">
        <f ca="1">IFERROR(__xludf.DUMMYFUNCTION("""COMPUTED_VALUE"""),"")</f>
        <v/>
      </c>
      <c r="S643" s="36" t="str">
        <f ca="1">IFERROR(__xludf.DUMMYFUNCTION("""COMPUTED_VALUE"""),"")</f>
        <v/>
      </c>
      <c r="T643" s="36" t="str">
        <f ca="1">IFERROR(__xludf.DUMMYFUNCTION("""COMPUTED_VALUE"""),"")</f>
        <v/>
      </c>
      <c r="U643" s="36" t="str">
        <f ca="1">IFERROR(__xludf.DUMMYFUNCTION("""COMPUTED_VALUE"""),"")</f>
        <v/>
      </c>
      <c r="V643" s="36" t="str">
        <f ca="1">IFERROR(__xludf.DUMMYFUNCTION("""COMPUTED_VALUE"""),"")</f>
        <v/>
      </c>
      <c r="W643" s="36" t="str">
        <f ca="1">IFERROR(__xludf.DUMMYFUNCTION("""COMPUTED_VALUE"""),"")</f>
        <v/>
      </c>
      <c r="X643" s="36"/>
      <c r="Y643" s="36"/>
      <c r="Z643" s="36"/>
    </row>
    <row r="644" spans="1:26" ht="12.75" hidden="1">
      <c r="A644" s="36" t="str">
        <f ca="1">IFERROR(__xludf.DUMMYFUNCTION("""COMPUTED_VALUE"""),"")</f>
        <v/>
      </c>
      <c r="B644" s="36" t="str">
        <f ca="1">IFERROR(__xludf.DUMMYFUNCTION("""COMPUTED_VALUE"""),"")</f>
        <v/>
      </c>
      <c r="C644" s="36" t="str">
        <f ca="1">IFERROR(__xludf.DUMMYFUNCTION("""COMPUTED_VALUE"""),"")</f>
        <v/>
      </c>
      <c r="D644" s="36" t="str">
        <f ca="1">IFERROR(__xludf.DUMMYFUNCTION("""COMPUTED_VALUE"""),"")</f>
        <v/>
      </c>
      <c r="E644" s="36" t="str">
        <f ca="1">IFERROR(__xludf.DUMMYFUNCTION("""COMPUTED_VALUE"""),"")</f>
        <v/>
      </c>
      <c r="F644" s="36" t="str">
        <f ca="1">IFERROR(__xludf.DUMMYFUNCTION("""COMPUTED_VALUE"""),"")</f>
        <v/>
      </c>
      <c r="G644" s="36" t="str">
        <f ca="1">IFERROR(__xludf.DUMMYFUNCTION("""COMPUTED_VALUE"""),"")</f>
        <v/>
      </c>
      <c r="H644" s="36" t="str">
        <f ca="1">IFERROR(__xludf.DUMMYFUNCTION("""COMPUTED_VALUE"""),"")</f>
        <v/>
      </c>
      <c r="I644" s="36" t="str">
        <f ca="1">IFERROR(__xludf.DUMMYFUNCTION("""COMPUTED_VALUE"""),"")</f>
        <v/>
      </c>
      <c r="J644" s="36" t="str">
        <f ca="1">IFERROR(__xludf.DUMMYFUNCTION("""COMPUTED_VALUE"""),"")</f>
        <v/>
      </c>
      <c r="K644" s="36" t="str">
        <f ca="1">IFERROR(__xludf.DUMMYFUNCTION("""COMPUTED_VALUE"""),"")</f>
        <v/>
      </c>
      <c r="L644" s="36" t="str">
        <f ca="1">IFERROR(__xludf.DUMMYFUNCTION("""COMPUTED_VALUE"""),"")</f>
        <v/>
      </c>
      <c r="M644" s="36" t="str">
        <f ca="1">IFERROR(__xludf.DUMMYFUNCTION("""COMPUTED_VALUE"""),"")</f>
        <v/>
      </c>
      <c r="N644" s="36" t="str">
        <f ca="1">IFERROR(__xludf.DUMMYFUNCTION("""COMPUTED_VALUE"""),"")</f>
        <v/>
      </c>
      <c r="O644" s="36" t="str">
        <f ca="1">IFERROR(__xludf.DUMMYFUNCTION("""COMPUTED_VALUE"""),"")</f>
        <v/>
      </c>
      <c r="P644" s="36" t="str">
        <f ca="1">IFERROR(__xludf.DUMMYFUNCTION("""COMPUTED_VALUE"""),"")</f>
        <v/>
      </c>
      <c r="Q644" s="36" t="str">
        <f ca="1">IFERROR(__xludf.DUMMYFUNCTION("""COMPUTED_VALUE"""),"")</f>
        <v/>
      </c>
      <c r="R644" s="36" t="str">
        <f ca="1">IFERROR(__xludf.DUMMYFUNCTION("""COMPUTED_VALUE"""),"")</f>
        <v/>
      </c>
      <c r="S644" s="36" t="str">
        <f ca="1">IFERROR(__xludf.DUMMYFUNCTION("""COMPUTED_VALUE"""),"")</f>
        <v/>
      </c>
      <c r="T644" s="36" t="str">
        <f ca="1">IFERROR(__xludf.DUMMYFUNCTION("""COMPUTED_VALUE"""),"")</f>
        <v/>
      </c>
      <c r="U644" s="36" t="str">
        <f ca="1">IFERROR(__xludf.DUMMYFUNCTION("""COMPUTED_VALUE"""),"")</f>
        <v/>
      </c>
      <c r="V644" s="36" t="str">
        <f ca="1">IFERROR(__xludf.DUMMYFUNCTION("""COMPUTED_VALUE"""),"")</f>
        <v/>
      </c>
      <c r="W644" s="36" t="str">
        <f ca="1">IFERROR(__xludf.DUMMYFUNCTION("""COMPUTED_VALUE"""),"")</f>
        <v/>
      </c>
      <c r="X644" s="36"/>
      <c r="Y644" s="36"/>
      <c r="Z644" s="36"/>
    </row>
    <row r="645" spans="1:26" ht="12.75" hidden="1">
      <c r="A645" s="36" t="str">
        <f ca="1">IFERROR(__xludf.DUMMYFUNCTION("""COMPUTED_VALUE"""),"")</f>
        <v/>
      </c>
      <c r="B645" s="36" t="str">
        <f ca="1">IFERROR(__xludf.DUMMYFUNCTION("""COMPUTED_VALUE"""),"")</f>
        <v/>
      </c>
      <c r="C645" s="36" t="str">
        <f ca="1">IFERROR(__xludf.DUMMYFUNCTION("""COMPUTED_VALUE"""),"")</f>
        <v/>
      </c>
      <c r="D645" s="36" t="str">
        <f ca="1">IFERROR(__xludf.DUMMYFUNCTION("""COMPUTED_VALUE"""),"")</f>
        <v/>
      </c>
      <c r="E645" s="36" t="str">
        <f ca="1">IFERROR(__xludf.DUMMYFUNCTION("""COMPUTED_VALUE"""),"")</f>
        <v/>
      </c>
      <c r="F645" s="36" t="str">
        <f ca="1">IFERROR(__xludf.DUMMYFUNCTION("""COMPUTED_VALUE"""),"")</f>
        <v/>
      </c>
      <c r="G645" s="36" t="str">
        <f ca="1">IFERROR(__xludf.DUMMYFUNCTION("""COMPUTED_VALUE"""),"")</f>
        <v/>
      </c>
      <c r="H645" s="36" t="str">
        <f ca="1">IFERROR(__xludf.DUMMYFUNCTION("""COMPUTED_VALUE"""),"")</f>
        <v/>
      </c>
      <c r="I645" s="36" t="str">
        <f ca="1">IFERROR(__xludf.DUMMYFUNCTION("""COMPUTED_VALUE"""),"")</f>
        <v/>
      </c>
      <c r="J645" s="36" t="str">
        <f ca="1">IFERROR(__xludf.DUMMYFUNCTION("""COMPUTED_VALUE"""),"")</f>
        <v/>
      </c>
      <c r="K645" s="36" t="str">
        <f ca="1">IFERROR(__xludf.DUMMYFUNCTION("""COMPUTED_VALUE"""),"")</f>
        <v/>
      </c>
      <c r="L645" s="36" t="str">
        <f ca="1">IFERROR(__xludf.DUMMYFUNCTION("""COMPUTED_VALUE"""),"")</f>
        <v/>
      </c>
      <c r="M645" s="36" t="str">
        <f ca="1">IFERROR(__xludf.DUMMYFUNCTION("""COMPUTED_VALUE"""),"")</f>
        <v/>
      </c>
      <c r="N645" s="36" t="str">
        <f ca="1">IFERROR(__xludf.DUMMYFUNCTION("""COMPUTED_VALUE"""),"")</f>
        <v/>
      </c>
      <c r="O645" s="36" t="str">
        <f ca="1">IFERROR(__xludf.DUMMYFUNCTION("""COMPUTED_VALUE"""),"")</f>
        <v/>
      </c>
      <c r="P645" s="36" t="str">
        <f ca="1">IFERROR(__xludf.DUMMYFUNCTION("""COMPUTED_VALUE"""),"")</f>
        <v/>
      </c>
      <c r="Q645" s="36" t="str">
        <f ca="1">IFERROR(__xludf.DUMMYFUNCTION("""COMPUTED_VALUE"""),"")</f>
        <v/>
      </c>
      <c r="R645" s="36" t="str">
        <f ca="1">IFERROR(__xludf.DUMMYFUNCTION("""COMPUTED_VALUE"""),"")</f>
        <v/>
      </c>
      <c r="S645" s="36" t="str">
        <f ca="1">IFERROR(__xludf.DUMMYFUNCTION("""COMPUTED_VALUE"""),"")</f>
        <v/>
      </c>
      <c r="T645" s="36" t="str">
        <f ca="1">IFERROR(__xludf.DUMMYFUNCTION("""COMPUTED_VALUE"""),"")</f>
        <v/>
      </c>
      <c r="U645" s="36" t="str">
        <f ca="1">IFERROR(__xludf.DUMMYFUNCTION("""COMPUTED_VALUE"""),"")</f>
        <v/>
      </c>
      <c r="V645" s="36" t="str">
        <f ca="1">IFERROR(__xludf.DUMMYFUNCTION("""COMPUTED_VALUE"""),"")</f>
        <v/>
      </c>
      <c r="W645" s="36" t="str">
        <f ca="1">IFERROR(__xludf.DUMMYFUNCTION("""COMPUTED_VALUE"""),"")</f>
        <v/>
      </c>
      <c r="X645" s="36"/>
      <c r="Y645" s="36"/>
      <c r="Z645" s="36"/>
    </row>
    <row r="646" spans="1:26" ht="12.75" hidden="1">
      <c r="A646" s="36" t="str">
        <f ca="1">IFERROR(__xludf.DUMMYFUNCTION("""COMPUTED_VALUE"""),"")</f>
        <v/>
      </c>
      <c r="B646" s="36" t="str">
        <f ca="1">IFERROR(__xludf.DUMMYFUNCTION("""COMPUTED_VALUE"""),"")</f>
        <v/>
      </c>
      <c r="C646" s="36" t="str">
        <f ca="1">IFERROR(__xludf.DUMMYFUNCTION("""COMPUTED_VALUE"""),"")</f>
        <v/>
      </c>
      <c r="D646" s="36" t="str">
        <f ca="1">IFERROR(__xludf.DUMMYFUNCTION("""COMPUTED_VALUE"""),"")</f>
        <v/>
      </c>
      <c r="E646" s="36" t="str">
        <f ca="1">IFERROR(__xludf.DUMMYFUNCTION("""COMPUTED_VALUE"""),"")</f>
        <v/>
      </c>
      <c r="F646" s="36" t="str">
        <f ca="1">IFERROR(__xludf.DUMMYFUNCTION("""COMPUTED_VALUE"""),"")</f>
        <v/>
      </c>
      <c r="G646" s="36" t="str">
        <f ca="1">IFERROR(__xludf.DUMMYFUNCTION("""COMPUTED_VALUE"""),"")</f>
        <v/>
      </c>
      <c r="H646" s="36" t="str">
        <f ca="1">IFERROR(__xludf.DUMMYFUNCTION("""COMPUTED_VALUE"""),"")</f>
        <v/>
      </c>
      <c r="I646" s="36" t="str">
        <f ca="1">IFERROR(__xludf.DUMMYFUNCTION("""COMPUTED_VALUE"""),"")</f>
        <v/>
      </c>
      <c r="J646" s="36" t="str">
        <f ca="1">IFERROR(__xludf.DUMMYFUNCTION("""COMPUTED_VALUE"""),"")</f>
        <v/>
      </c>
      <c r="K646" s="36" t="str">
        <f ca="1">IFERROR(__xludf.DUMMYFUNCTION("""COMPUTED_VALUE"""),"")</f>
        <v/>
      </c>
      <c r="L646" s="36" t="str">
        <f ca="1">IFERROR(__xludf.DUMMYFUNCTION("""COMPUTED_VALUE"""),"")</f>
        <v/>
      </c>
      <c r="M646" s="36" t="str">
        <f ca="1">IFERROR(__xludf.DUMMYFUNCTION("""COMPUTED_VALUE"""),"")</f>
        <v/>
      </c>
      <c r="N646" s="36" t="str">
        <f ca="1">IFERROR(__xludf.DUMMYFUNCTION("""COMPUTED_VALUE"""),"")</f>
        <v/>
      </c>
      <c r="O646" s="36" t="str">
        <f ca="1">IFERROR(__xludf.DUMMYFUNCTION("""COMPUTED_VALUE"""),"")</f>
        <v/>
      </c>
      <c r="P646" s="36" t="str">
        <f ca="1">IFERROR(__xludf.DUMMYFUNCTION("""COMPUTED_VALUE"""),"")</f>
        <v/>
      </c>
      <c r="Q646" s="36" t="str">
        <f ca="1">IFERROR(__xludf.DUMMYFUNCTION("""COMPUTED_VALUE"""),"")</f>
        <v/>
      </c>
      <c r="R646" s="36" t="str">
        <f ca="1">IFERROR(__xludf.DUMMYFUNCTION("""COMPUTED_VALUE"""),"")</f>
        <v/>
      </c>
      <c r="S646" s="36" t="str">
        <f ca="1">IFERROR(__xludf.DUMMYFUNCTION("""COMPUTED_VALUE"""),"")</f>
        <v/>
      </c>
      <c r="T646" s="36" t="str">
        <f ca="1">IFERROR(__xludf.DUMMYFUNCTION("""COMPUTED_VALUE"""),"")</f>
        <v/>
      </c>
      <c r="U646" s="36" t="str">
        <f ca="1">IFERROR(__xludf.DUMMYFUNCTION("""COMPUTED_VALUE"""),"")</f>
        <v/>
      </c>
      <c r="V646" s="36" t="str">
        <f ca="1">IFERROR(__xludf.DUMMYFUNCTION("""COMPUTED_VALUE"""),"")</f>
        <v/>
      </c>
      <c r="W646" s="36" t="str">
        <f ca="1">IFERROR(__xludf.DUMMYFUNCTION("""COMPUTED_VALUE"""),"")</f>
        <v/>
      </c>
      <c r="X646" s="36"/>
      <c r="Y646" s="36"/>
      <c r="Z646" s="36"/>
    </row>
    <row r="647" spans="1:26" ht="12.75" hidden="1">
      <c r="A647" s="36" t="str">
        <f ca="1">IFERROR(__xludf.DUMMYFUNCTION("""COMPUTED_VALUE"""),"")</f>
        <v/>
      </c>
      <c r="B647" s="36" t="str">
        <f ca="1">IFERROR(__xludf.DUMMYFUNCTION("""COMPUTED_VALUE"""),"")</f>
        <v/>
      </c>
      <c r="C647" s="36" t="str">
        <f ca="1">IFERROR(__xludf.DUMMYFUNCTION("""COMPUTED_VALUE"""),"")</f>
        <v/>
      </c>
      <c r="D647" s="36" t="str">
        <f ca="1">IFERROR(__xludf.DUMMYFUNCTION("""COMPUTED_VALUE"""),"")</f>
        <v/>
      </c>
      <c r="E647" s="36" t="str">
        <f ca="1">IFERROR(__xludf.DUMMYFUNCTION("""COMPUTED_VALUE"""),"")</f>
        <v/>
      </c>
      <c r="F647" s="36" t="str">
        <f ca="1">IFERROR(__xludf.DUMMYFUNCTION("""COMPUTED_VALUE"""),"")</f>
        <v/>
      </c>
      <c r="G647" s="36" t="str">
        <f ca="1">IFERROR(__xludf.DUMMYFUNCTION("""COMPUTED_VALUE"""),"")</f>
        <v/>
      </c>
      <c r="H647" s="36" t="str">
        <f ca="1">IFERROR(__xludf.DUMMYFUNCTION("""COMPUTED_VALUE"""),"")</f>
        <v/>
      </c>
      <c r="I647" s="36" t="str">
        <f ca="1">IFERROR(__xludf.DUMMYFUNCTION("""COMPUTED_VALUE"""),"")</f>
        <v/>
      </c>
      <c r="J647" s="36" t="str">
        <f ca="1">IFERROR(__xludf.DUMMYFUNCTION("""COMPUTED_VALUE"""),"")</f>
        <v/>
      </c>
      <c r="K647" s="36" t="str">
        <f ca="1">IFERROR(__xludf.DUMMYFUNCTION("""COMPUTED_VALUE"""),"")</f>
        <v/>
      </c>
      <c r="L647" s="36" t="str">
        <f ca="1">IFERROR(__xludf.DUMMYFUNCTION("""COMPUTED_VALUE"""),"")</f>
        <v/>
      </c>
      <c r="M647" s="36" t="str">
        <f ca="1">IFERROR(__xludf.DUMMYFUNCTION("""COMPUTED_VALUE"""),"")</f>
        <v/>
      </c>
      <c r="N647" s="36" t="str">
        <f ca="1">IFERROR(__xludf.DUMMYFUNCTION("""COMPUTED_VALUE"""),"")</f>
        <v/>
      </c>
      <c r="O647" s="36" t="str">
        <f ca="1">IFERROR(__xludf.DUMMYFUNCTION("""COMPUTED_VALUE"""),"")</f>
        <v/>
      </c>
      <c r="P647" s="36" t="str">
        <f ca="1">IFERROR(__xludf.DUMMYFUNCTION("""COMPUTED_VALUE"""),"")</f>
        <v/>
      </c>
      <c r="Q647" s="36" t="str">
        <f ca="1">IFERROR(__xludf.DUMMYFUNCTION("""COMPUTED_VALUE"""),"")</f>
        <v/>
      </c>
      <c r="R647" s="36" t="str">
        <f ca="1">IFERROR(__xludf.DUMMYFUNCTION("""COMPUTED_VALUE"""),"")</f>
        <v/>
      </c>
      <c r="S647" s="36" t="str">
        <f ca="1">IFERROR(__xludf.DUMMYFUNCTION("""COMPUTED_VALUE"""),"")</f>
        <v/>
      </c>
      <c r="T647" s="36" t="str">
        <f ca="1">IFERROR(__xludf.DUMMYFUNCTION("""COMPUTED_VALUE"""),"")</f>
        <v/>
      </c>
      <c r="U647" s="36" t="str">
        <f ca="1">IFERROR(__xludf.DUMMYFUNCTION("""COMPUTED_VALUE"""),"")</f>
        <v/>
      </c>
      <c r="V647" s="36" t="str">
        <f ca="1">IFERROR(__xludf.DUMMYFUNCTION("""COMPUTED_VALUE"""),"")</f>
        <v/>
      </c>
      <c r="W647" s="36" t="str">
        <f ca="1">IFERROR(__xludf.DUMMYFUNCTION("""COMPUTED_VALUE"""),"")</f>
        <v/>
      </c>
      <c r="X647" s="36"/>
      <c r="Y647" s="36"/>
      <c r="Z647" s="36"/>
    </row>
    <row r="648" spans="1:26" ht="12.75" hidden="1">
      <c r="A648" s="36" t="str">
        <f ca="1">IFERROR(__xludf.DUMMYFUNCTION("""COMPUTED_VALUE"""),"")</f>
        <v/>
      </c>
      <c r="B648" s="36" t="str">
        <f ca="1">IFERROR(__xludf.DUMMYFUNCTION("""COMPUTED_VALUE"""),"")</f>
        <v/>
      </c>
      <c r="C648" s="36" t="str">
        <f ca="1">IFERROR(__xludf.DUMMYFUNCTION("""COMPUTED_VALUE"""),"")</f>
        <v/>
      </c>
      <c r="D648" s="36" t="str">
        <f ca="1">IFERROR(__xludf.DUMMYFUNCTION("""COMPUTED_VALUE"""),"")</f>
        <v/>
      </c>
      <c r="E648" s="36" t="str">
        <f ca="1">IFERROR(__xludf.DUMMYFUNCTION("""COMPUTED_VALUE"""),"")</f>
        <v/>
      </c>
      <c r="F648" s="36" t="str">
        <f ca="1">IFERROR(__xludf.DUMMYFUNCTION("""COMPUTED_VALUE"""),"")</f>
        <v/>
      </c>
      <c r="G648" s="36" t="str">
        <f ca="1">IFERROR(__xludf.DUMMYFUNCTION("""COMPUTED_VALUE"""),"")</f>
        <v/>
      </c>
      <c r="H648" s="36" t="str">
        <f ca="1">IFERROR(__xludf.DUMMYFUNCTION("""COMPUTED_VALUE"""),"")</f>
        <v/>
      </c>
      <c r="I648" s="36" t="str">
        <f ca="1">IFERROR(__xludf.DUMMYFUNCTION("""COMPUTED_VALUE"""),"")</f>
        <v/>
      </c>
      <c r="J648" s="36" t="str">
        <f ca="1">IFERROR(__xludf.DUMMYFUNCTION("""COMPUTED_VALUE"""),"")</f>
        <v/>
      </c>
      <c r="K648" s="36" t="str">
        <f ca="1">IFERROR(__xludf.DUMMYFUNCTION("""COMPUTED_VALUE"""),"")</f>
        <v/>
      </c>
      <c r="L648" s="36" t="str">
        <f ca="1">IFERROR(__xludf.DUMMYFUNCTION("""COMPUTED_VALUE"""),"")</f>
        <v/>
      </c>
      <c r="M648" s="36" t="str">
        <f ca="1">IFERROR(__xludf.DUMMYFUNCTION("""COMPUTED_VALUE"""),"")</f>
        <v/>
      </c>
      <c r="N648" s="36" t="str">
        <f ca="1">IFERROR(__xludf.DUMMYFUNCTION("""COMPUTED_VALUE"""),"")</f>
        <v/>
      </c>
      <c r="O648" s="36" t="str">
        <f ca="1">IFERROR(__xludf.DUMMYFUNCTION("""COMPUTED_VALUE"""),"")</f>
        <v/>
      </c>
      <c r="P648" s="36" t="str">
        <f ca="1">IFERROR(__xludf.DUMMYFUNCTION("""COMPUTED_VALUE"""),"")</f>
        <v/>
      </c>
      <c r="Q648" s="36" t="str">
        <f ca="1">IFERROR(__xludf.DUMMYFUNCTION("""COMPUTED_VALUE"""),"")</f>
        <v/>
      </c>
      <c r="R648" s="36" t="str">
        <f ca="1">IFERROR(__xludf.DUMMYFUNCTION("""COMPUTED_VALUE"""),"")</f>
        <v/>
      </c>
      <c r="S648" s="36" t="str">
        <f ca="1">IFERROR(__xludf.DUMMYFUNCTION("""COMPUTED_VALUE"""),"")</f>
        <v/>
      </c>
      <c r="T648" s="36" t="str">
        <f ca="1">IFERROR(__xludf.DUMMYFUNCTION("""COMPUTED_VALUE"""),"")</f>
        <v/>
      </c>
      <c r="U648" s="36" t="str">
        <f ca="1">IFERROR(__xludf.DUMMYFUNCTION("""COMPUTED_VALUE"""),"")</f>
        <v/>
      </c>
      <c r="V648" s="36" t="str">
        <f ca="1">IFERROR(__xludf.DUMMYFUNCTION("""COMPUTED_VALUE"""),"")</f>
        <v/>
      </c>
      <c r="W648" s="36" t="str">
        <f ca="1">IFERROR(__xludf.DUMMYFUNCTION("""COMPUTED_VALUE"""),"")</f>
        <v/>
      </c>
      <c r="X648" s="36"/>
      <c r="Y648" s="36"/>
      <c r="Z648" s="36"/>
    </row>
    <row r="649" spans="1:26" ht="12.75" hidden="1">
      <c r="A649" s="36" t="str">
        <f ca="1">IFERROR(__xludf.DUMMYFUNCTION("""COMPUTED_VALUE"""),"")</f>
        <v/>
      </c>
      <c r="B649" s="36" t="str">
        <f ca="1">IFERROR(__xludf.DUMMYFUNCTION("""COMPUTED_VALUE"""),"")</f>
        <v/>
      </c>
      <c r="C649" s="36" t="str">
        <f ca="1">IFERROR(__xludf.DUMMYFUNCTION("""COMPUTED_VALUE"""),"")</f>
        <v/>
      </c>
      <c r="D649" s="36" t="str">
        <f ca="1">IFERROR(__xludf.DUMMYFUNCTION("""COMPUTED_VALUE"""),"")</f>
        <v/>
      </c>
      <c r="E649" s="36" t="str">
        <f ca="1">IFERROR(__xludf.DUMMYFUNCTION("""COMPUTED_VALUE"""),"")</f>
        <v/>
      </c>
      <c r="F649" s="36" t="str">
        <f ca="1">IFERROR(__xludf.DUMMYFUNCTION("""COMPUTED_VALUE"""),"")</f>
        <v/>
      </c>
      <c r="G649" s="36" t="str">
        <f ca="1">IFERROR(__xludf.DUMMYFUNCTION("""COMPUTED_VALUE"""),"")</f>
        <v/>
      </c>
      <c r="H649" s="36" t="str">
        <f ca="1">IFERROR(__xludf.DUMMYFUNCTION("""COMPUTED_VALUE"""),"")</f>
        <v/>
      </c>
      <c r="I649" s="36" t="str">
        <f ca="1">IFERROR(__xludf.DUMMYFUNCTION("""COMPUTED_VALUE"""),"")</f>
        <v/>
      </c>
      <c r="J649" s="36" t="str">
        <f ca="1">IFERROR(__xludf.DUMMYFUNCTION("""COMPUTED_VALUE"""),"")</f>
        <v/>
      </c>
      <c r="K649" s="36" t="str">
        <f ca="1">IFERROR(__xludf.DUMMYFUNCTION("""COMPUTED_VALUE"""),"")</f>
        <v/>
      </c>
      <c r="L649" s="36" t="str">
        <f ca="1">IFERROR(__xludf.DUMMYFUNCTION("""COMPUTED_VALUE"""),"")</f>
        <v/>
      </c>
      <c r="M649" s="36" t="str">
        <f ca="1">IFERROR(__xludf.DUMMYFUNCTION("""COMPUTED_VALUE"""),"")</f>
        <v/>
      </c>
      <c r="N649" s="36" t="str">
        <f ca="1">IFERROR(__xludf.DUMMYFUNCTION("""COMPUTED_VALUE"""),"")</f>
        <v/>
      </c>
      <c r="O649" s="36" t="str">
        <f ca="1">IFERROR(__xludf.DUMMYFUNCTION("""COMPUTED_VALUE"""),"")</f>
        <v/>
      </c>
      <c r="P649" s="36" t="str">
        <f ca="1">IFERROR(__xludf.DUMMYFUNCTION("""COMPUTED_VALUE"""),"")</f>
        <v/>
      </c>
      <c r="Q649" s="36" t="str">
        <f ca="1">IFERROR(__xludf.DUMMYFUNCTION("""COMPUTED_VALUE"""),"")</f>
        <v/>
      </c>
      <c r="R649" s="36" t="str">
        <f ca="1">IFERROR(__xludf.DUMMYFUNCTION("""COMPUTED_VALUE"""),"")</f>
        <v/>
      </c>
      <c r="S649" s="36" t="str">
        <f ca="1">IFERROR(__xludf.DUMMYFUNCTION("""COMPUTED_VALUE"""),"")</f>
        <v/>
      </c>
      <c r="T649" s="36" t="str">
        <f ca="1">IFERROR(__xludf.DUMMYFUNCTION("""COMPUTED_VALUE"""),"")</f>
        <v/>
      </c>
      <c r="U649" s="36" t="str">
        <f ca="1">IFERROR(__xludf.DUMMYFUNCTION("""COMPUTED_VALUE"""),"")</f>
        <v/>
      </c>
      <c r="V649" s="36" t="str">
        <f ca="1">IFERROR(__xludf.DUMMYFUNCTION("""COMPUTED_VALUE"""),"")</f>
        <v/>
      </c>
      <c r="W649" s="36" t="str">
        <f ca="1">IFERROR(__xludf.DUMMYFUNCTION("""COMPUTED_VALUE"""),"")</f>
        <v/>
      </c>
      <c r="X649" s="36"/>
      <c r="Y649" s="36"/>
      <c r="Z649" s="36"/>
    </row>
    <row r="650" spans="1:26" ht="12.75" hidden="1">
      <c r="A650" s="36" t="str">
        <f ca="1">IFERROR(__xludf.DUMMYFUNCTION("""COMPUTED_VALUE"""),"")</f>
        <v/>
      </c>
      <c r="B650" s="36" t="str">
        <f ca="1">IFERROR(__xludf.DUMMYFUNCTION("""COMPUTED_VALUE"""),"")</f>
        <v/>
      </c>
      <c r="C650" s="36" t="str">
        <f ca="1">IFERROR(__xludf.DUMMYFUNCTION("""COMPUTED_VALUE"""),"")</f>
        <v/>
      </c>
      <c r="D650" s="36" t="str">
        <f ca="1">IFERROR(__xludf.DUMMYFUNCTION("""COMPUTED_VALUE"""),"")</f>
        <v/>
      </c>
      <c r="E650" s="36" t="str">
        <f ca="1">IFERROR(__xludf.DUMMYFUNCTION("""COMPUTED_VALUE"""),"")</f>
        <v/>
      </c>
      <c r="F650" s="36" t="str">
        <f ca="1">IFERROR(__xludf.DUMMYFUNCTION("""COMPUTED_VALUE"""),"")</f>
        <v/>
      </c>
      <c r="G650" s="36" t="str">
        <f ca="1">IFERROR(__xludf.DUMMYFUNCTION("""COMPUTED_VALUE"""),"")</f>
        <v/>
      </c>
      <c r="H650" s="36" t="str">
        <f ca="1">IFERROR(__xludf.DUMMYFUNCTION("""COMPUTED_VALUE"""),"")</f>
        <v/>
      </c>
      <c r="I650" s="36" t="str">
        <f ca="1">IFERROR(__xludf.DUMMYFUNCTION("""COMPUTED_VALUE"""),"")</f>
        <v/>
      </c>
      <c r="J650" s="36" t="str">
        <f ca="1">IFERROR(__xludf.DUMMYFUNCTION("""COMPUTED_VALUE"""),"")</f>
        <v/>
      </c>
      <c r="K650" s="36" t="str">
        <f ca="1">IFERROR(__xludf.DUMMYFUNCTION("""COMPUTED_VALUE"""),"")</f>
        <v/>
      </c>
      <c r="L650" s="36" t="str">
        <f ca="1">IFERROR(__xludf.DUMMYFUNCTION("""COMPUTED_VALUE"""),"")</f>
        <v/>
      </c>
      <c r="M650" s="36" t="str">
        <f ca="1">IFERROR(__xludf.DUMMYFUNCTION("""COMPUTED_VALUE"""),"")</f>
        <v/>
      </c>
      <c r="N650" s="36" t="str">
        <f ca="1">IFERROR(__xludf.DUMMYFUNCTION("""COMPUTED_VALUE"""),"")</f>
        <v/>
      </c>
      <c r="O650" s="36" t="str">
        <f ca="1">IFERROR(__xludf.DUMMYFUNCTION("""COMPUTED_VALUE"""),"")</f>
        <v/>
      </c>
      <c r="P650" s="36" t="str">
        <f ca="1">IFERROR(__xludf.DUMMYFUNCTION("""COMPUTED_VALUE"""),"")</f>
        <v/>
      </c>
      <c r="Q650" s="36" t="str">
        <f ca="1">IFERROR(__xludf.DUMMYFUNCTION("""COMPUTED_VALUE"""),"")</f>
        <v/>
      </c>
      <c r="R650" s="36" t="str">
        <f ca="1">IFERROR(__xludf.DUMMYFUNCTION("""COMPUTED_VALUE"""),"")</f>
        <v/>
      </c>
      <c r="S650" s="36" t="str">
        <f ca="1">IFERROR(__xludf.DUMMYFUNCTION("""COMPUTED_VALUE"""),"")</f>
        <v/>
      </c>
      <c r="T650" s="36" t="str">
        <f ca="1">IFERROR(__xludf.DUMMYFUNCTION("""COMPUTED_VALUE"""),"")</f>
        <v/>
      </c>
      <c r="U650" s="36" t="str">
        <f ca="1">IFERROR(__xludf.DUMMYFUNCTION("""COMPUTED_VALUE"""),"")</f>
        <v/>
      </c>
      <c r="V650" s="36" t="str">
        <f ca="1">IFERROR(__xludf.DUMMYFUNCTION("""COMPUTED_VALUE"""),"")</f>
        <v/>
      </c>
      <c r="W650" s="36" t="str">
        <f ca="1">IFERROR(__xludf.DUMMYFUNCTION("""COMPUTED_VALUE"""),"")</f>
        <v/>
      </c>
      <c r="X650" s="36"/>
      <c r="Y650" s="36"/>
      <c r="Z650" s="36"/>
    </row>
    <row r="651" spans="1:26" ht="12.75" hidden="1">
      <c r="A651" s="36" t="str">
        <f ca="1">IFERROR(__xludf.DUMMYFUNCTION("""COMPUTED_VALUE"""),"")</f>
        <v/>
      </c>
      <c r="B651" s="36" t="str">
        <f ca="1">IFERROR(__xludf.DUMMYFUNCTION("""COMPUTED_VALUE"""),"")</f>
        <v/>
      </c>
      <c r="C651" s="36" t="str">
        <f ca="1">IFERROR(__xludf.DUMMYFUNCTION("""COMPUTED_VALUE"""),"")</f>
        <v/>
      </c>
      <c r="D651" s="36" t="str">
        <f ca="1">IFERROR(__xludf.DUMMYFUNCTION("""COMPUTED_VALUE"""),"")</f>
        <v/>
      </c>
      <c r="E651" s="36" t="str">
        <f ca="1">IFERROR(__xludf.DUMMYFUNCTION("""COMPUTED_VALUE"""),"")</f>
        <v/>
      </c>
      <c r="F651" s="36" t="str">
        <f ca="1">IFERROR(__xludf.DUMMYFUNCTION("""COMPUTED_VALUE"""),"")</f>
        <v/>
      </c>
      <c r="G651" s="36" t="str">
        <f ca="1">IFERROR(__xludf.DUMMYFUNCTION("""COMPUTED_VALUE"""),"")</f>
        <v/>
      </c>
      <c r="H651" s="36" t="str">
        <f ca="1">IFERROR(__xludf.DUMMYFUNCTION("""COMPUTED_VALUE"""),"")</f>
        <v/>
      </c>
      <c r="I651" s="36" t="str">
        <f ca="1">IFERROR(__xludf.DUMMYFUNCTION("""COMPUTED_VALUE"""),"")</f>
        <v/>
      </c>
      <c r="J651" s="36" t="str">
        <f ca="1">IFERROR(__xludf.DUMMYFUNCTION("""COMPUTED_VALUE"""),"")</f>
        <v/>
      </c>
      <c r="K651" s="36" t="str">
        <f ca="1">IFERROR(__xludf.DUMMYFUNCTION("""COMPUTED_VALUE"""),"")</f>
        <v/>
      </c>
      <c r="L651" s="36" t="str">
        <f ca="1">IFERROR(__xludf.DUMMYFUNCTION("""COMPUTED_VALUE"""),"")</f>
        <v/>
      </c>
      <c r="M651" s="36" t="str">
        <f ca="1">IFERROR(__xludf.DUMMYFUNCTION("""COMPUTED_VALUE"""),"")</f>
        <v/>
      </c>
      <c r="N651" s="36" t="str">
        <f ca="1">IFERROR(__xludf.DUMMYFUNCTION("""COMPUTED_VALUE"""),"")</f>
        <v/>
      </c>
      <c r="O651" s="36" t="str">
        <f ca="1">IFERROR(__xludf.DUMMYFUNCTION("""COMPUTED_VALUE"""),"")</f>
        <v/>
      </c>
      <c r="P651" s="36" t="str">
        <f ca="1">IFERROR(__xludf.DUMMYFUNCTION("""COMPUTED_VALUE"""),"")</f>
        <v/>
      </c>
      <c r="Q651" s="36" t="str">
        <f ca="1">IFERROR(__xludf.DUMMYFUNCTION("""COMPUTED_VALUE"""),"")</f>
        <v/>
      </c>
      <c r="R651" s="36" t="str">
        <f ca="1">IFERROR(__xludf.DUMMYFUNCTION("""COMPUTED_VALUE"""),"")</f>
        <v/>
      </c>
      <c r="S651" s="36" t="str">
        <f ca="1">IFERROR(__xludf.DUMMYFUNCTION("""COMPUTED_VALUE"""),"")</f>
        <v/>
      </c>
      <c r="T651" s="36" t="str">
        <f ca="1">IFERROR(__xludf.DUMMYFUNCTION("""COMPUTED_VALUE"""),"")</f>
        <v/>
      </c>
      <c r="U651" s="36" t="str">
        <f ca="1">IFERROR(__xludf.DUMMYFUNCTION("""COMPUTED_VALUE"""),"")</f>
        <v/>
      </c>
      <c r="V651" s="36" t="str">
        <f ca="1">IFERROR(__xludf.DUMMYFUNCTION("""COMPUTED_VALUE"""),"")</f>
        <v/>
      </c>
      <c r="W651" s="36" t="str">
        <f ca="1">IFERROR(__xludf.DUMMYFUNCTION("""COMPUTED_VALUE"""),"")</f>
        <v/>
      </c>
      <c r="X651" s="36"/>
      <c r="Y651" s="36"/>
      <c r="Z651" s="36"/>
    </row>
    <row r="652" spans="1:26" ht="12.75" hidden="1">
      <c r="A652" s="36" t="str">
        <f ca="1">IFERROR(__xludf.DUMMYFUNCTION("""COMPUTED_VALUE"""),"")</f>
        <v/>
      </c>
      <c r="B652" s="36" t="str">
        <f ca="1">IFERROR(__xludf.DUMMYFUNCTION("""COMPUTED_VALUE"""),"")</f>
        <v/>
      </c>
      <c r="C652" s="36" t="str">
        <f ca="1">IFERROR(__xludf.DUMMYFUNCTION("""COMPUTED_VALUE"""),"")</f>
        <v/>
      </c>
      <c r="D652" s="36" t="str">
        <f ca="1">IFERROR(__xludf.DUMMYFUNCTION("""COMPUTED_VALUE"""),"")</f>
        <v/>
      </c>
      <c r="E652" s="36" t="str">
        <f ca="1">IFERROR(__xludf.DUMMYFUNCTION("""COMPUTED_VALUE"""),"")</f>
        <v/>
      </c>
      <c r="F652" s="36" t="str">
        <f ca="1">IFERROR(__xludf.DUMMYFUNCTION("""COMPUTED_VALUE"""),"")</f>
        <v/>
      </c>
      <c r="G652" s="36" t="str">
        <f ca="1">IFERROR(__xludf.DUMMYFUNCTION("""COMPUTED_VALUE"""),"")</f>
        <v/>
      </c>
      <c r="H652" s="36" t="str">
        <f ca="1">IFERROR(__xludf.DUMMYFUNCTION("""COMPUTED_VALUE"""),"")</f>
        <v/>
      </c>
      <c r="I652" s="36" t="str">
        <f ca="1">IFERROR(__xludf.DUMMYFUNCTION("""COMPUTED_VALUE"""),"")</f>
        <v/>
      </c>
      <c r="J652" s="36" t="str">
        <f ca="1">IFERROR(__xludf.DUMMYFUNCTION("""COMPUTED_VALUE"""),"")</f>
        <v/>
      </c>
      <c r="K652" s="36" t="str">
        <f ca="1">IFERROR(__xludf.DUMMYFUNCTION("""COMPUTED_VALUE"""),"")</f>
        <v/>
      </c>
      <c r="L652" s="36" t="str">
        <f ca="1">IFERROR(__xludf.DUMMYFUNCTION("""COMPUTED_VALUE"""),"")</f>
        <v/>
      </c>
      <c r="M652" s="36" t="str">
        <f ca="1">IFERROR(__xludf.DUMMYFUNCTION("""COMPUTED_VALUE"""),"")</f>
        <v/>
      </c>
      <c r="N652" s="36" t="str">
        <f ca="1">IFERROR(__xludf.DUMMYFUNCTION("""COMPUTED_VALUE"""),"")</f>
        <v/>
      </c>
      <c r="O652" s="36" t="str">
        <f ca="1">IFERROR(__xludf.DUMMYFUNCTION("""COMPUTED_VALUE"""),"")</f>
        <v/>
      </c>
      <c r="P652" s="36" t="str">
        <f ca="1">IFERROR(__xludf.DUMMYFUNCTION("""COMPUTED_VALUE"""),"")</f>
        <v/>
      </c>
      <c r="Q652" s="36" t="str">
        <f ca="1">IFERROR(__xludf.DUMMYFUNCTION("""COMPUTED_VALUE"""),"")</f>
        <v/>
      </c>
      <c r="R652" s="36" t="str">
        <f ca="1">IFERROR(__xludf.DUMMYFUNCTION("""COMPUTED_VALUE"""),"")</f>
        <v/>
      </c>
      <c r="S652" s="36" t="str">
        <f ca="1">IFERROR(__xludf.DUMMYFUNCTION("""COMPUTED_VALUE"""),"")</f>
        <v/>
      </c>
      <c r="T652" s="36" t="str">
        <f ca="1">IFERROR(__xludf.DUMMYFUNCTION("""COMPUTED_VALUE"""),"")</f>
        <v/>
      </c>
      <c r="U652" s="36" t="str">
        <f ca="1">IFERROR(__xludf.DUMMYFUNCTION("""COMPUTED_VALUE"""),"")</f>
        <v/>
      </c>
      <c r="V652" s="36" t="str">
        <f ca="1">IFERROR(__xludf.DUMMYFUNCTION("""COMPUTED_VALUE"""),"")</f>
        <v/>
      </c>
      <c r="W652" s="36" t="str">
        <f ca="1">IFERROR(__xludf.DUMMYFUNCTION("""COMPUTED_VALUE"""),"")</f>
        <v/>
      </c>
      <c r="X652" s="36"/>
      <c r="Y652" s="36"/>
      <c r="Z652" s="36"/>
    </row>
    <row r="653" spans="1:26" ht="12.75" hidden="1">
      <c r="A653" s="36" t="str">
        <f ca="1">IFERROR(__xludf.DUMMYFUNCTION("""COMPUTED_VALUE"""),"")</f>
        <v/>
      </c>
      <c r="B653" s="36" t="str">
        <f ca="1">IFERROR(__xludf.DUMMYFUNCTION("""COMPUTED_VALUE"""),"")</f>
        <v/>
      </c>
      <c r="C653" s="36" t="str">
        <f ca="1">IFERROR(__xludf.DUMMYFUNCTION("""COMPUTED_VALUE"""),"")</f>
        <v/>
      </c>
      <c r="D653" s="36" t="str">
        <f ca="1">IFERROR(__xludf.DUMMYFUNCTION("""COMPUTED_VALUE"""),"")</f>
        <v/>
      </c>
      <c r="E653" s="36" t="str">
        <f ca="1">IFERROR(__xludf.DUMMYFUNCTION("""COMPUTED_VALUE"""),"")</f>
        <v/>
      </c>
      <c r="F653" s="36" t="str">
        <f ca="1">IFERROR(__xludf.DUMMYFUNCTION("""COMPUTED_VALUE"""),"")</f>
        <v/>
      </c>
      <c r="G653" s="36" t="str">
        <f ca="1">IFERROR(__xludf.DUMMYFUNCTION("""COMPUTED_VALUE"""),"")</f>
        <v/>
      </c>
      <c r="H653" s="36" t="str">
        <f ca="1">IFERROR(__xludf.DUMMYFUNCTION("""COMPUTED_VALUE"""),"")</f>
        <v/>
      </c>
      <c r="I653" s="36" t="str">
        <f ca="1">IFERROR(__xludf.DUMMYFUNCTION("""COMPUTED_VALUE"""),"")</f>
        <v/>
      </c>
      <c r="J653" s="36" t="str">
        <f ca="1">IFERROR(__xludf.DUMMYFUNCTION("""COMPUTED_VALUE"""),"")</f>
        <v/>
      </c>
      <c r="K653" s="36" t="str">
        <f ca="1">IFERROR(__xludf.DUMMYFUNCTION("""COMPUTED_VALUE"""),"")</f>
        <v/>
      </c>
      <c r="L653" s="36" t="str">
        <f ca="1">IFERROR(__xludf.DUMMYFUNCTION("""COMPUTED_VALUE"""),"")</f>
        <v/>
      </c>
      <c r="M653" s="36" t="str">
        <f ca="1">IFERROR(__xludf.DUMMYFUNCTION("""COMPUTED_VALUE"""),"")</f>
        <v/>
      </c>
      <c r="N653" s="36" t="str">
        <f ca="1">IFERROR(__xludf.DUMMYFUNCTION("""COMPUTED_VALUE"""),"")</f>
        <v/>
      </c>
      <c r="O653" s="36" t="str">
        <f ca="1">IFERROR(__xludf.DUMMYFUNCTION("""COMPUTED_VALUE"""),"")</f>
        <v/>
      </c>
      <c r="P653" s="36" t="str">
        <f ca="1">IFERROR(__xludf.DUMMYFUNCTION("""COMPUTED_VALUE"""),"")</f>
        <v/>
      </c>
      <c r="Q653" s="36" t="str">
        <f ca="1">IFERROR(__xludf.DUMMYFUNCTION("""COMPUTED_VALUE"""),"")</f>
        <v/>
      </c>
      <c r="R653" s="36" t="str">
        <f ca="1">IFERROR(__xludf.DUMMYFUNCTION("""COMPUTED_VALUE"""),"")</f>
        <v/>
      </c>
      <c r="S653" s="36" t="str">
        <f ca="1">IFERROR(__xludf.DUMMYFUNCTION("""COMPUTED_VALUE"""),"")</f>
        <v/>
      </c>
      <c r="T653" s="36" t="str">
        <f ca="1">IFERROR(__xludf.DUMMYFUNCTION("""COMPUTED_VALUE"""),"")</f>
        <v/>
      </c>
      <c r="U653" s="36" t="str">
        <f ca="1">IFERROR(__xludf.DUMMYFUNCTION("""COMPUTED_VALUE"""),"")</f>
        <v/>
      </c>
      <c r="V653" s="36" t="str">
        <f ca="1">IFERROR(__xludf.DUMMYFUNCTION("""COMPUTED_VALUE"""),"")</f>
        <v/>
      </c>
      <c r="W653" s="36" t="str">
        <f ca="1">IFERROR(__xludf.DUMMYFUNCTION("""COMPUTED_VALUE"""),"")</f>
        <v/>
      </c>
      <c r="X653" s="36"/>
      <c r="Y653" s="36"/>
      <c r="Z653" s="36"/>
    </row>
    <row r="654" spans="1:26" ht="12.75" hidden="1">
      <c r="A654" s="36" t="str">
        <f ca="1">IFERROR(__xludf.DUMMYFUNCTION("""COMPUTED_VALUE"""),"")</f>
        <v/>
      </c>
      <c r="B654" s="36" t="str">
        <f ca="1">IFERROR(__xludf.DUMMYFUNCTION("""COMPUTED_VALUE"""),"")</f>
        <v/>
      </c>
      <c r="C654" s="36" t="str">
        <f ca="1">IFERROR(__xludf.DUMMYFUNCTION("""COMPUTED_VALUE"""),"")</f>
        <v/>
      </c>
      <c r="D654" s="36" t="str">
        <f ca="1">IFERROR(__xludf.DUMMYFUNCTION("""COMPUTED_VALUE"""),"")</f>
        <v/>
      </c>
      <c r="E654" s="36" t="str">
        <f ca="1">IFERROR(__xludf.DUMMYFUNCTION("""COMPUTED_VALUE"""),"")</f>
        <v/>
      </c>
      <c r="F654" s="36" t="str">
        <f ca="1">IFERROR(__xludf.DUMMYFUNCTION("""COMPUTED_VALUE"""),"")</f>
        <v/>
      </c>
      <c r="G654" s="36" t="str">
        <f ca="1">IFERROR(__xludf.DUMMYFUNCTION("""COMPUTED_VALUE"""),"")</f>
        <v/>
      </c>
      <c r="H654" s="36" t="str">
        <f ca="1">IFERROR(__xludf.DUMMYFUNCTION("""COMPUTED_VALUE"""),"")</f>
        <v/>
      </c>
      <c r="I654" s="36" t="str">
        <f ca="1">IFERROR(__xludf.DUMMYFUNCTION("""COMPUTED_VALUE"""),"")</f>
        <v/>
      </c>
      <c r="J654" s="36" t="str">
        <f ca="1">IFERROR(__xludf.DUMMYFUNCTION("""COMPUTED_VALUE"""),"")</f>
        <v/>
      </c>
      <c r="K654" s="36" t="str">
        <f ca="1">IFERROR(__xludf.DUMMYFUNCTION("""COMPUTED_VALUE"""),"")</f>
        <v/>
      </c>
      <c r="L654" s="36" t="str">
        <f ca="1">IFERROR(__xludf.DUMMYFUNCTION("""COMPUTED_VALUE"""),"")</f>
        <v/>
      </c>
      <c r="M654" s="36" t="str">
        <f ca="1">IFERROR(__xludf.DUMMYFUNCTION("""COMPUTED_VALUE"""),"")</f>
        <v/>
      </c>
      <c r="N654" s="36" t="str">
        <f ca="1">IFERROR(__xludf.DUMMYFUNCTION("""COMPUTED_VALUE"""),"")</f>
        <v/>
      </c>
      <c r="O654" s="36" t="str">
        <f ca="1">IFERROR(__xludf.DUMMYFUNCTION("""COMPUTED_VALUE"""),"")</f>
        <v/>
      </c>
      <c r="P654" s="36" t="str">
        <f ca="1">IFERROR(__xludf.DUMMYFUNCTION("""COMPUTED_VALUE"""),"")</f>
        <v/>
      </c>
      <c r="Q654" s="36" t="str">
        <f ca="1">IFERROR(__xludf.DUMMYFUNCTION("""COMPUTED_VALUE"""),"")</f>
        <v/>
      </c>
      <c r="R654" s="36" t="str">
        <f ca="1">IFERROR(__xludf.DUMMYFUNCTION("""COMPUTED_VALUE"""),"")</f>
        <v/>
      </c>
      <c r="S654" s="36" t="str">
        <f ca="1">IFERROR(__xludf.DUMMYFUNCTION("""COMPUTED_VALUE"""),"")</f>
        <v/>
      </c>
      <c r="T654" s="36" t="str">
        <f ca="1">IFERROR(__xludf.DUMMYFUNCTION("""COMPUTED_VALUE"""),"")</f>
        <v/>
      </c>
      <c r="U654" s="36" t="str">
        <f ca="1">IFERROR(__xludf.DUMMYFUNCTION("""COMPUTED_VALUE"""),"")</f>
        <v/>
      </c>
      <c r="V654" s="36" t="str">
        <f ca="1">IFERROR(__xludf.DUMMYFUNCTION("""COMPUTED_VALUE"""),"")</f>
        <v/>
      </c>
      <c r="W654" s="36" t="str">
        <f ca="1">IFERROR(__xludf.DUMMYFUNCTION("""COMPUTED_VALUE"""),"")</f>
        <v/>
      </c>
      <c r="X654" s="36"/>
      <c r="Y654" s="36"/>
      <c r="Z654" s="36"/>
    </row>
    <row r="655" spans="1:26" ht="12.75" hidden="1">
      <c r="A655" s="36" t="str">
        <f ca="1">IFERROR(__xludf.DUMMYFUNCTION("""COMPUTED_VALUE"""),"")</f>
        <v/>
      </c>
      <c r="B655" s="36" t="str">
        <f ca="1">IFERROR(__xludf.DUMMYFUNCTION("""COMPUTED_VALUE"""),"")</f>
        <v/>
      </c>
      <c r="C655" s="36" t="str">
        <f ca="1">IFERROR(__xludf.DUMMYFUNCTION("""COMPUTED_VALUE"""),"")</f>
        <v/>
      </c>
      <c r="D655" s="36" t="str">
        <f ca="1">IFERROR(__xludf.DUMMYFUNCTION("""COMPUTED_VALUE"""),"")</f>
        <v/>
      </c>
      <c r="E655" s="36" t="str">
        <f ca="1">IFERROR(__xludf.DUMMYFUNCTION("""COMPUTED_VALUE"""),"")</f>
        <v/>
      </c>
      <c r="F655" s="36" t="str">
        <f ca="1">IFERROR(__xludf.DUMMYFUNCTION("""COMPUTED_VALUE"""),"")</f>
        <v/>
      </c>
      <c r="G655" s="36" t="str">
        <f ca="1">IFERROR(__xludf.DUMMYFUNCTION("""COMPUTED_VALUE"""),"")</f>
        <v/>
      </c>
      <c r="H655" s="36" t="str">
        <f ca="1">IFERROR(__xludf.DUMMYFUNCTION("""COMPUTED_VALUE"""),"")</f>
        <v/>
      </c>
      <c r="I655" s="36" t="str">
        <f ca="1">IFERROR(__xludf.DUMMYFUNCTION("""COMPUTED_VALUE"""),"")</f>
        <v/>
      </c>
      <c r="J655" s="36" t="str">
        <f ca="1">IFERROR(__xludf.DUMMYFUNCTION("""COMPUTED_VALUE"""),"")</f>
        <v/>
      </c>
      <c r="K655" s="36" t="str">
        <f ca="1">IFERROR(__xludf.DUMMYFUNCTION("""COMPUTED_VALUE"""),"")</f>
        <v/>
      </c>
      <c r="L655" s="36" t="str">
        <f ca="1">IFERROR(__xludf.DUMMYFUNCTION("""COMPUTED_VALUE"""),"")</f>
        <v/>
      </c>
      <c r="M655" s="36" t="str">
        <f ca="1">IFERROR(__xludf.DUMMYFUNCTION("""COMPUTED_VALUE"""),"")</f>
        <v/>
      </c>
      <c r="N655" s="36" t="str">
        <f ca="1">IFERROR(__xludf.DUMMYFUNCTION("""COMPUTED_VALUE"""),"")</f>
        <v/>
      </c>
      <c r="O655" s="36" t="str">
        <f ca="1">IFERROR(__xludf.DUMMYFUNCTION("""COMPUTED_VALUE"""),"")</f>
        <v/>
      </c>
      <c r="P655" s="36" t="str">
        <f ca="1">IFERROR(__xludf.DUMMYFUNCTION("""COMPUTED_VALUE"""),"")</f>
        <v/>
      </c>
      <c r="Q655" s="36" t="str">
        <f ca="1">IFERROR(__xludf.DUMMYFUNCTION("""COMPUTED_VALUE"""),"")</f>
        <v/>
      </c>
      <c r="R655" s="36" t="str">
        <f ca="1">IFERROR(__xludf.DUMMYFUNCTION("""COMPUTED_VALUE"""),"")</f>
        <v/>
      </c>
      <c r="S655" s="36" t="str">
        <f ca="1">IFERROR(__xludf.DUMMYFUNCTION("""COMPUTED_VALUE"""),"")</f>
        <v/>
      </c>
      <c r="T655" s="36" t="str">
        <f ca="1">IFERROR(__xludf.DUMMYFUNCTION("""COMPUTED_VALUE"""),"")</f>
        <v/>
      </c>
      <c r="U655" s="36" t="str">
        <f ca="1">IFERROR(__xludf.DUMMYFUNCTION("""COMPUTED_VALUE"""),"")</f>
        <v/>
      </c>
      <c r="V655" s="36" t="str">
        <f ca="1">IFERROR(__xludf.DUMMYFUNCTION("""COMPUTED_VALUE"""),"")</f>
        <v/>
      </c>
      <c r="W655" s="36" t="str">
        <f ca="1">IFERROR(__xludf.DUMMYFUNCTION("""COMPUTED_VALUE"""),"")</f>
        <v/>
      </c>
      <c r="X655" s="36"/>
      <c r="Y655" s="36"/>
      <c r="Z655" s="36"/>
    </row>
    <row r="656" spans="1:26" ht="12.75" hidden="1">
      <c r="A656" s="36" t="str">
        <f ca="1">IFERROR(__xludf.DUMMYFUNCTION("""COMPUTED_VALUE"""),"")</f>
        <v/>
      </c>
      <c r="B656" s="36" t="str">
        <f ca="1">IFERROR(__xludf.DUMMYFUNCTION("""COMPUTED_VALUE"""),"")</f>
        <v/>
      </c>
      <c r="C656" s="36" t="str">
        <f ca="1">IFERROR(__xludf.DUMMYFUNCTION("""COMPUTED_VALUE"""),"")</f>
        <v/>
      </c>
      <c r="D656" s="36" t="str">
        <f ca="1">IFERROR(__xludf.DUMMYFUNCTION("""COMPUTED_VALUE"""),"")</f>
        <v/>
      </c>
      <c r="E656" s="36" t="str">
        <f ca="1">IFERROR(__xludf.DUMMYFUNCTION("""COMPUTED_VALUE"""),"")</f>
        <v/>
      </c>
      <c r="F656" s="36" t="str">
        <f ca="1">IFERROR(__xludf.DUMMYFUNCTION("""COMPUTED_VALUE"""),"")</f>
        <v/>
      </c>
      <c r="G656" s="36" t="str">
        <f ca="1">IFERROR(__xludf.DUMMYFUNCTION("""COMPUTED_VALUE"""),"")</f>
        <v/>
      </c>
      <c r="H656" s="36" t="str">
        <f ca="1">IFERROR(__xludf.DUMMYFUNCTION("""COMPUTED_VALUE"""),"")</f>
        <v/>
      </c>
      <c r="I656" s="36" t="str">
        <f ca="1">IFERROR(__xludf.DUMMYFUNCTION("""COMPUTED_VALUE"""),"")</f>
        <v/>
      </c>
      <c r="J656" s="36" t="str">
        <f ca="1">IFERROR(__xludf.DUMMYFUNCTION("""COMPUTED_VALUE"""),"")</f>
        <v/>
      </c>
      <c r="K656" s="36" t="str">
        <f ca="1">IFERROR(__xludf.DUMMYFUNCTION("""COMPUTED_VALUE"""),"")</f>
        <v/>
      </c>
      <c r="L656" s="36" t="str">
        <f ca="1">IFERROR(__xludf.DUMMYFUNCTION("""COMPUTED_VALUE"""),"")</f>
        <v/>
      </c>
      <c r="M656" s="36" t="str">
        <f ca="1">IFERROR(__xludf.DUMMYFUNCTION("""COMPUTED_VALUE"""),"")</f>
        <v/>
      </c>
      <c r="N656" s="36" t="str">
        <f ca="1">IFERROR(__xludf.DUMMYFUNCTION("""COMPUTED_VALUE"""),"")</f>
        <v/>
      </c>
      <c r="O656" s="36" t="str">
        <f ca="1">IFERROR(__xludf.DUMMYFUNCTION("""COMPUTED_VALUE"""),"")</f>
        <v/>
      </c>
      <c r="P656" s="36" t="str">
        <f ca="1">IFERROR(__xludf.DUMMYFUNCTION("""COMPUTED_VALUE"""),"")</f>
        <v/>
      </c>
      <c r="Q656" s="36" t="str">
        <f ca="1">IFERROR(__xludf.DUMMYFUNCTION("""COMPUTED_VALUE"""),"")</f>
        <v/>
      </c>
      <c r="R656" s="36" t="str">
        <f ca="1">IFERROR(__xludf.DUMMYFUNCTION("""COMPUTED_VALUE"""),"")</f>
        <v/>
      </c>
      <c r="S656" s="36" t="str">
        <f ca="1">IFERROR(__xludf.DUMMYFUNCTION("""COMPUTED_VALUE"""),"")</f>
        <v/>
      </c>
      <c r="T656" s="36" t="str">
        <f ca="1">IFERROR(__xludf.DUMMYFUNCTION("""COMPUTED_VALUE"""),"")</f>
        <v/>
      </c>
      <c r="U656" s="36" t="str">
        <f ca="1">IFERROR(__xludf.DUMMYFUNCTION("""COMPUTED_VALUE"""),"")</f>
        <v/>
      </c>
      <c r="V656" s="36" t="str">
        <f ca="1">IFERROR(__xludf.DUMMYFUNCTION("""COMPUTED_VALUE"""),"")</f>
        <v/>
      </c>
      <c r="W656" s="36" t="str">
        <f ca="1">IFERROR(__xludf.DUMMYFUNCTION("""COMPUTED_VALUE"""),"")</f>
        <v/>
      </c>
      <c r="X656" s="36"/>
      <c r="Y656" s="36"/>
      <c r="Z656" s="36"/>
    </row>
    <row r="657" spans="1:26" ht="12.75" hidden="1">
      <c r="A657" s="36" t="str">
        <f ca="1">IFERROR(__xludf.DUMMYFUNCTION("""COMPUTED_VALUE"""),"")</f>
        <v/>
      </c>
      <c r="B657" s="36" t="str">
        <f ca="1">IFERROR(__xludf.DUMMYFUNCTION("""COMPUTED_VALUE"""),"")</f>
        <v/>
      </c>
      <c r="C657" s="36" t="str">
        <f ca="1">IFERROR(__xludf.DUMMYFUNCTION("""COMPUTED_VALUE"""),"")</f>
        <v/>
      </c>
      <c r="D657" s="36" t="str">
        <f ca="1">IFERROR(__xludf.DUMMYFUNCTION("""COMPUTED_VALUE"""),"")</f>
        <v/>
      </c>
      <c r="E657" s="36" t="str">
        <f ca="1">IFERROR(__xludf.DUMMYFUNCTION("""COMPUTED_VALUE"""),"")</f>
        <v/>
      </c>
      <c r="F657" s="36" t="str">
        <f ca="1">IFERROR(__xludf.DUMMYFUNCTION("""COMPUTED_VALUE"""),"")</f>
        <v/>
      </c>
      <c r="G657" s="36" t="str">
        <f ca="1">IFERROR(__xludf.DUMMYFUNCTION("""COMPUTED_VALUE"""),"")</f>
        <v/>
      </c>
      <c r="H657" s="36" t="str">
        <f ca="1">IFERROR(__xludf.DUMMYFUNCTION("""COMPUTED_VALUE"""),"")</f>
        <v/>
      </c>
      <c r="I657" s="36" t="str">
        <f ca="1">IFERROR(__xludf.DUMMYFUNCTION("""COMPUTED_VALUE"""),"")</f>
        <v/>
      </c>
      <c r="J657" s="36" t="str">
        <f ca="1">IFERROR(__xludf.DUMMYFUNCTION("""COMPUTED_VALUE"""),"")</f>
        <v/>
      </c>
      <c r="K657" s="36" t="str">
        <f ca="1">IFERROR(__xludf.DUMMYFUNCTION("""COMPUTED_VALUE"""),"")</f>
        <v/>
      </c>
      <c r="L657" s="36" t="str">
        <f ca="1">IFERROR(__xludf.DUMMYFUNCTION("""COMPUTED_VALUE"""),"")</f>
        <v/>
      </c>
      <c r="M657" s="36" t="str">
        <f ca="1">IFERROR(__xludf.DUMMYFUNCTION("""COMPUTED_VALUE"""),"")</f>
        <v/>
      </c>
      <c r="N657" s="36" t="str">
        <f ca="1">IFERROR(__xludf.DUMMYFUNCTION("""COMPUTED_VALUE"""),"")</f>
        <v/>
      </c>
      <c r="O657" s="36" t="str">
        <f ca="1">IFERROR(__xludf.DUMMYFUNCTION("""COMPUTED_VALUE"""),"")</f>
        <v/>
      </c>
      <c r="P657" s="36" t="str">
        <f ca="1">IFERROR(__xludf.DUMMYFUNCTION("""COMPUTED_VALUE"""),"")</f>
        <v/>
      </c>
      <c r="Q657" s="36" t="str">
        <f ca="1">IFERROR(__xludf.DUMMYFUNCTION("""COMPUTED_VALUE"""),"")</f>
        <v/>
      </c>
      <c r="R657" s="36" t="str">
        <f ca="1">IFERROR(__xludf.DUMMYFUNCTION("""COMPUTED_VALUE"""),"")</f>
        <v/>
      </c>
      <c r="S657" s="36" t="str">
        <f ca="1">IFERROR(__xludf.DUMMYFUNCTION("""COMPUTED_VALUE"""),"")</f>
        <v/>
      </c>
      <c r="T657" s="36" t="str">
        <f ca="1">IFERROR(__xludf.DUMMYFUNCTION("""COMPUTED_VALUE"""),"")</f>
        <v/>
      </c>
      <c r="U657" s="36" t="str">
        <f ca="1">IFERROR(__xludf.DUMMYFUNCTION("""COMPUTED_VALUE"""),"")</f>
        <v/>
      </c>
      <c r="V657" s="36" t="str">
        <f ca="1">IFERROR(__xludf.DUMMYFUNCTION("""COMPUTED_VALUE"""),"")</f>
        <v/>
      </c>
      <c r="W657" s="36" t="str">
        <f ca="1">IFERROR(__xludf.DUMMYFUNCTION("""COMPUTED_VALUE"""),"")</f>
        <v/>
      </c>
      <c r="X657" s="36"/>
      <c r="Y657" s="36"/>
      <c r="Z657" s="36"/>
    </row>
    <row r="658" spans="1:26" ht="12.75" hidden="1">
      <c r="A658" s="36" t="str">
        <f ca="1">IFERROR(__xludf.DUMMYFUNCTION("""COMPUTED_VALUE"""),"")</f>
        <v/>
      </c>
      <c r="B658" s="36" t="str">
        <f ca="1">IFERROR(__xludf.DUMMYFUNCTION("""COMPUTED_VALUE"""),"")</f>
        <v/>
      </c>
      <c r="C658" s="36" t="str">
        <f ca="1">IFERROR(__xludf.DUMMYFUNCTION("""COMPUTED_VALUE"""),"")</f>
        <v/>
      </c>
      <c r="D658" s="36" t="str">
        <f ca="1">IFERROR(__xludf.DUMMYFUNCTION("""COMPUTED_VALUE"""),"")</f>
        <v/>
      </c>
      <c r="E658" s="36" t="str">
        <f ca="1">IFERROR(__xludf.DUMMYFUNCTION("""COMPUTED_VALUE"""),"")</f>
        <v/>
      </c>
      <c r="F658" s="36" t="str">
        <f ca="1">IFERROR(__xludf.DUMMYFUNCTION("""COMPUTED_VALUE"""),"")</f>
        <v/>
      </c>
      <c r="G658" s="36" t="str">
        <f ca="1">IFERROR(__xludf.DUMMYFUNCTION("""COMPUTED_VALUE"""),"")</f>
        <v/>
      </c>
      <c r="H658" s="36" t="str">
        <f ca="1">IFERROR(__xludf.DUMMYFUNCTION("""COMPUTED_VALUE"""),"")</f>
        <v/>
      </c>
      <c r="I658" s="36" t="str">
        <f ca="1">IFERROR(__xludf.DUMMYFUNCTION("""COMPUTED_VALUE"""),"")</f>
        <v/>
      </c>
      <c r="J658" s="36" t="str">
        <f ca="1">IFERROR(__xludf.DUMMYFUNCTION("""COMPUTED_VALUE"""),"")</f>
        <v/>
      </c>
      <c r="K658" s="36" t="str">
        <f ca="1">IFERROR(__xludf.DUMMYFUNCTION("""COMPUTED_VALUE"""),"")</f>
        <v/>
      </c>
      <c r="L658" s="36" t="str">
        <f ca="1">IFERROR(__xludf.DUMMYFUNCTION("""COMPUTED_VALUE"""),"")</f>
        <v/>
      </c>
      <c r="M658" s="36" t="str">
        <f ca="1">IFERROR(__xludf.DUMMYFUNCTION("""COMPUTED_VALUE"""),"")</f>
        <v/>
      </c>
      <c r="N658" s="36" t="str">
        <f ca="1">IFERROR(__xludf.DUMMYFUNCTION("""COMPUTED_VALUE"""),"")</f>
        <v/>
      </c>
      <c r="O658" s="36" t="str">
        <f ca="1">IFERROR(__xludf.DUMMYFUNCTION("""COMPUTED_VALUE"""),"")</f>
        <v/>
      </c>
      <c r="P658" s="36" t="str">
        <f ca="1">IFERROR(__xludf.DUMMYFUNCTION("""COMPUTED_VALUE"""),"")</f>
        <v/>
      </c>
      <c r="Q658" s="36" t="str">
        <f ca="1">IFERROR(__xludf.DUMMYFUNCTION("""COMPUTED_VALUE"""),"")</f>
        <v/>
      </c>
      <c r="R658" s="36" t="str">
        <f ca="1">IFERROR(__xludf.DUMMYFUNCTION("""COMPUTED_VALUE"""),"")</f>
        <v/>
      </c>
      <c r="S658" s="36" t="str">
        <f ca="1">IFERROR(__xludf.DUMMYFUNCTION("""COMPUTED_VALUE"""),"")</f>
        <v/>
      </c>
      <c r="T658" s="36" t="str">
        <f ca="1">IFERROR(__xludf.DUMMYFUNCTION("""COMPUTED_VALUE"""),"")</f>
        <v/>
      </c>
      <c r="U658" s="36" t="str">
        <f ca="1">IFERROR(__xludf.DUMMYFUNCTION("""COMPUTED_VALUE"""),"")</f>
        <v/>
      </c>
      <c r="V658" s="36" t="str">
        <f ca="1">IFERROR(__xludf.DUMMYFUNCTION("""COMPUTED_VALUE"""),"")</f>
        <v/>
      </c>
      <c r="W658" s="36" t="str">
        <f ca="1">IFERROR(__xludf.DUMMYFUNCTION("""COMPUTED_VALUE"""),"")</f>
        <v/>
      </c>
      <c r="X658" s="36"/>
      <c r="Y658" s="36"/>
      <c r="Z658" s="36"/>
    </row>
    <row r="659" spans="1:26" ht="12.75" hidden="1">
      <c r="A659" s="36" t="str">
        <f ca="1">IFERROR(__xludf.DUMMYFUNCTION("""COMPUTED_VALUE"""),"")</f>
        <v/>
      </c>
      <c r="B659" s="36" t="str">
        <f ca="1">IFERROR(__xludf.DUMMYFUNCTION("""COMPUTED_VALUE"""),"")</f>
        <v/>
      </c>
      <c r="C659" s="36" t="str">
        <f ca="1">IFERROR(__xludf.DUMMYFUNCTION("""COMPUTED_VALUE"""),"")</f>
        <v/>
      </c>
      <c r="D659" s="36" t="str">
        <f ca="1">IFERROR(__xludf.DUMMYFUNCTION("""COMPUTED_VALUE"""),"")</f>
        <v/>
      </c>
      <c r="E659" s="36" t="str">
        <f ca="1">IFERROR(__xludf.DUMMYFUNCTION("""COMPUTED_VALUE"""),"")</f>
        <v/>
      </c>
      <c r="F659" s="36" t="str">
        <f ca="1">IFERROR(__xludf.DUMMYFUNCTION("""COMPUTED_VALUE"""),"")</f>
        <v/>
      </c>
      <c r="G659" s="36" t="str">
        <f ca="1">IFERROR(__xludf.DUMMYFUNCTION("""COMPUTED_VALUE"""),"")</f>
        <v/>
      </c>
      <c r="H659" s="36" t="str">
        <f ca="1">IFERROR(__xludf.DUMMYFUNCTION("""COMPUTED_VALUE"""),"")</f>
        <v/>
      </c>
      <c r="I659" s="36" t="str">
        <f ca="1">IFERROR(__xludf.DUMMYFUNCTION("""COMPUTED_VALUE"""),"")</f>
        <v/>
      </c>
      <c r="J659" s="36" t="str">
        <f ca="1">IFERROR(__xludf.DUMMYFUNCTION("""COMPUTED_VALUE"""),"")</f>
        <v/>
      </c>
      <c r="K659" s="36" t="str">
        <f ca="1">IFERROR(__xludf.DUMMYFUNCTION("""COMPUTED_VALUE"""),"")</f>
        <v/>
      </c>
      <c r="L659" s="36" t="str">
        <f ca="1">IFERROR(__xludf.DUMMYFUNCTION("""COMPUTED_VALUE"""),"")</f>
        <v/>
      </c>
      <c r="M659" s="36" t="str">
        <f ca="1">IFERROR(__xludf.DUMMYFUNCTION("""COMPUTED_VALUE"""),"")</f>
        <v/>
      </c>
      <c r="N659" s="36" t="str">
        <f ca="1">IFERROR(__xludf.DUMMYFUNCTION("""COMPUTED_VALUE"""),"")</f>
        <v/>
      </c>
      <c r="O659" s="36" t="str">
        <f ca="1">IFERROR(__xludf.DUMMYFUNCTION("""COMPUTED_VALUE"""),"")</f>
        <v/>
      </c>
      <c r="P659" s="36" t="str">
        <f ca="1">IFERROR(__xludf.DUMMYFUNCTION("""COMPUTED_VALUE"""),"")</f>
        <v/>
      </c>
      <c r="Q659" s="36" t="str">
        <f ca="1">IFERROR(__xludf.DUMMYFUNCTION("""COMPUTED_VALUE"""),"")</f>
        <v/>
      </c>
      <c r="R659" s="36" t="str">
        <f ca="1">IFERROR(__xludf.DUMMYFUNCTION("""COMPUTED_VALUE"""),"")</f>
        <v/>
      </c>
      <c r="S659" s="36" t="str">
        <f ca="1">IFERROR(__xludf.DUMMYFUNCTION("""COMPUTED_VALUE"""),"")</f>
        <v/>
      </c>
      <c r="T659" s="36" t="str">
        <f ca="1">IFERROR(__xludf.DUMMYFUNCTION("""COMPUTED_VALUE"""),"")</f>
        <v/>
      </c>
      <c r="U659" s="36" t="str">
        <f ca="1">IFERROR(__xludf.DUMMYFUNCTION("""COMPUTED_VALUE"""),"")</f>
        <v/>
      </c>
      <c r="V659" s="36" t="str">
        <f ca="1">IFERROR(__xludf.DUMMYFUNCTION("""COMPUTED_VALUE"""),"")</f>
        <v/>
      </c>
      <c r="W659" s="36" t="str">
        <f ca="1">IFERROR(__xludf.DUMMYFUNCTION("""COMPUTED_VALUE"""),"")</f>
        <v/>
      </c>
      <c r="X659" s="36"/>
      <c r="Y659" s="36"/>
      <c r="Z659" s="36"/>
    </row>
    <row r="660" spans="1:26" ht="12.75" hidden="1">
      <c r="A660" s="36" t="str">
        <f ca="1">IFERROR(__xludf.DUMMYFUNCTION("""COMPUTED_VALUE"""),"")</f>
        <v/>
      </c>
      <c r="B660" s="36" t="str">
        <f ca="1">IFERROR(__xludf.DUMMYFUNCTION("""COMPUTED_VALUE"""),"")</f>
        <v/>
      </c>
      <c r="C660" s="36" t="str">
        <f ca="1">IFERROR(__xludf.DUMMYFUNCTION("""COMPUTED_VALUE"""),"")</f>
        <v/>
      </c>
      <c r="D660" s="36" t="str">
        <f ca="1">IFERROR(__xludf.DUMMYFUNCTION("""COMPUTED_VALUE"""),"")</f>
        <v/>
      </c>
      <c r="E660" s="36" t="str">
        <f ca="1">IFERROR(__xludf.DUMMYFUNCTION("""COMPUTED_VALUE"""),"")</f>
        <v/>
      </c>
      <c r="F660" s="36" t="str">
        <f ca="1">IFERROR(__xludf.DUMMYFUNCTION("""COMPUTED_VALUE"""),"")</f>
        <v/>
      </c>
      <c r="G660" s="36" t="str">
        <f ca="1">IFERROR(__xludf.DUMMYFUNCTION("""COMPUTED_VALUE"""),"")</f>
        <v/>
      </c>
      <c r="H660" s="36" t="str">
        <f ca="1">IFERROR(__xludf.DUMMYFUNCTION("""COMPUTED_VALUE"""),"")</f>
        <v/>
      </c>
      <c r="I660" s="36" t="str">
        <f ca="1">IFERROR(__xludf.DUMMYFUNCTION("""COMPUTED_VALUE"""),"")</f>
        <v/>
      </c>
      <c r="J660" s="36" t="str">
        <f ca="1">IFERROR(__xludf.DUMMYFUNCTION("""COMPUTED_VALUE"""),"")</f>
        <v/>
      </c>
      <c r="K660" s="36" t="str">
        <f ca="1">IFERROR(__xludf.DUMMYFUNCTION("""COMPUTED_VALUE"""),"")</f>
        <v/>
      </c>
      <c r="L660" s="36" t="str">
        <f ca="1">IFERROR(__xludf.DUMMYFUNCTION("""COMPUTED_VALUE"""),"")</f>
        <v/>
      </c>
      <c r="M660" s="36" t="str">
        <f ca="1">IFERROR(__xludf.DUMMYFUNCTION("""COMPUTED_VALUE"""),"")</f>
        <v/>
      </c>
      <c r="N660" s="36" t="str">
        <f ca="1">IFERROR(__xludf.DUMMYFUNCTION("""COMPUTED_VALUE"""),"")</f>
        <v/>
      </c>
      <c r="O660" s="36" t="str">
        <f ca="1">IFERROR(__xludf.DUMMYFUNCTION("""COMPUTED_VALUE"""),"")</f>
        <v/>
      </c>
      <c r="P660" s="36" t="str">
        <f ca="1">IFERROR(__xludf.DUMMYFUNCTION("""COMPUTED_VALUE"""),"")</f>
        <v/>
      </c>
      <c r="Q660" s="36" t="str">
        <f ca="1">IFERROR(__xludf.DUMMYFUNCTION("""COMPUTED_VALUE"""),"")</f>
        <v/>
      </c>
      <c r="R660" s="36" t="str">
        <f ca="1">IFERROR(__xludf.DUMMYFUNCTION("""COMPUTED_VALUE"""),"")</f>
        <v/>
      </c>
      <c r="S660" s="36" t="str">
        <f ca="1">IFERROR(__xludf.DUMMYFUNCTION("""COMPUTED_VALUE"""),"")</f>
        <v/>
      </c>
      <c r="T660" s="36" t="str">
        <f ca="1">IFERROR(__xludf.DUMMYFUNCTION("""COMPUTED_VALUE"""),"")</f>
        <v/>
      </c>
      <c r="U660" s="36" t="str">
        <f ca="1">IFERROR(__xludf.DUMMYFUNCTION("""COMPUTED_VALUE"""),"")</f>
        <v/>
      </c>
      <c r="V660" s="36" t="str">
        <f ca="1">IFERROR(__xludf.DUMMYFUNCTION("""COMPUTED_VALUE"""),"")</f>
        <v/>
      </c>
      <c r="W660" s="36" t="str">
        <f ca="1">IFERROR(__xludf.DUMMYFUNCTION("""COMPUTED_VALUE"""),"")</f>
        <v/>
      </c>
      <c r="X660" s="36"/>
      <c r="Y660" s="36"/>
      <c r="Z660" s="36"/>
    </row>
    <row r="661" spans="1:26" ht="12.75" hidden="1">
      <c r="A661" s="36" t="str">
        <f ca="1">IFERROR(__xludf.DUMMYFUNCTION("""COMPUTED_VALUE"""),"")</f>
        <v/>
      </c>
      <c r="B661" s="36" t="str">
        <f ca="1">IFERROR(__xludf.DUMMYFUNCTION("""COMPUTED_VALUE"""),"")</f>
        <v/>
      </c>
      <c r="C661" s="36" t="str">
        <f ca="1">IFERROR(__xludf.DUMMYFUNCTION("""COMPUTED_VALUE"""),"")</f>
        <v/>
      </c>
      <c r="D661" s="36" t="str">
        <f ca="1">IFERROR(__xludf.DUMMYFUNCTION("""COMPUTED_VALUE"""),"")</f>
        <v/>
      </c>
      <c r="E661" s="36" t="str">
        <f ca="1">IFERROR(__xludf.DUMMYFUNCTION("""COMPUTED_VALUE"""),"")</f>
        <v/>
      </c>
      <c r="F661" s="36" t="str">
        <f ca="1">IFERROR(__xludf.DUMMYFUNCTION("""COMPUTED_VALUE"""),"")</f>
        <v/>
      </c>
      <c r="G661" s="36" t="str">
        <f ca="1">IFERROR(__xludf.DUMMYFUNCTION("""COMPUTED_VALUE"""),"")</f>
        <v/>
      </c>
      <c r="H661" s="36" t="str">
        <f ca="1">IFERROR(__xludf.DUMMYFUNCTION("""COMPUTED_VALUE"""),"")</f>
        <v/>
      </c>
      <c r="I661" s="36" t="str">
        <f ca="1">IFERROR(__xludf.DUMMYFUNCTION("""COMPUTED_VALUE"""),"")</f>
        <v/>
      </c>
      <c r="J661" s="36" t="str">
        <f ca="1">IFERROR(__xludf.DUMMYFUNCTION("""COMPUTED_VALUE"""),"")</f>
        <v/>
      </c>
      <c r="K661" s="36" t="str">
        <f ca="1">IFERROR(__xludf.DUMMYFUNCTION("""COMPUTED_VALUE"""),"")</f>
        <v/>
      </c>
      <c r="L661" s="36" t="str">
        <f ca="1">IFERROR(__xludf.DUMMYFUNCTION("""COMPUTED_VALUE"""),"")</f>
        <v/>
      </c>
      <c r="M661" s="36" t="str">
        <f ca="1">IFERROR(__xludf.DUMMYFUNCTION("""COMPUTED_VALUE"""),"")</f>
        <v/>
      </c>
      <c r="N661" s="36" t="str">
        <f ca="1">IFERROR(__xludf.DUMMYFUNCTION("""COMPUTED_VALUE"""),"")</f>
        <v/>
      </c>
      <c r="O661" s="36" t="str">
        <f ca="1">IFERROR(__xludf.DUMMYFUNCTION("""COMPUTED_VALUE"""),"")</f>
        <v/>
      </c>
      <c r="P661" s="36" t="str">
        <f ca="1">IFERROR(__xludf.DUMMYFUNCTION("""COMPUTED_VALUE"""),"")</f>
        <v/>
      </c>
      <c r="Q661" s="36" t="str">
        <f ca="1">IFERROR(__xludf.DUMMYFUNCTION("""COMPUTED_VALUE"""),"")</f>
        <v/>
      </c>
      <c r="R661" s="36" t="str">
        <f ca="1">IFERROR(__xludf.DUMMYFUNCTION("""COMPUTED_VALUE"""),"")</f>
        <v/>
      </c>
      <c r="S661" s="36" t="str">
        <f ca="1">IFERROR(__xludf.DUMMYFUNCTION("""COMPUTED_VALUE"""),"")</f>
        <v/>
      </c>
      <c r="T661" s="36" t="str">
        <f ca="1">IFERROR(__xludf.DUMMYFUNCTION("""COMPUTED_VALUE"""),"")</f>
        <v/>
      </c>
      <c r="U661" s="36" t="str">
        <f ca="1">IFERROR(__xludf.DUMMYFUNCTION("""COMPUTED_VALUE"""),"")</f>
        <v/>
      </c>
      <c r="V661" s="36" t="str">
        <f ca="1">IFERROR(__xludf.DUMMYFUNCTION("""COMPUTED_VALUE"""),"")</f>
        <v/>
      </c>
      <c r="W661" s="36" t="str">
        <f ca="1">IFERROR(__xludf.DUMMYFUNCTION("""COMPUTED_VALUE"""),"")</f>
        <v/>
      </c>
      <c r="X661" s="36"/>
      <c r="Y661" s="36"/>
      <c r="Z661" s="36"/>
    </row>
    <row r="662" spans="1:26" ht="12.75" hidden="1">
      <c r="A662" s="36" t="str">
        <f ca="1">IFERROR(__xludf.DUMMYFUNCTION("""COMPUTED_VALUE"""),"")</f>
        <v/>
      </c>
      <c r="B662" s="36" t="str">
        <f ca="1">IFERROR(__xludf.DUMMYFUNCTION("""COMPUTED_VALUE"""),"")</f>
        <v/>
      </c>
      <c r="C662" s="36" t="str">
        <f ca="1">IFERROR(__xludf.DUMMYFUNCTION("""COMPUTED_VALUE"""),"")</f>
        <v/>
      </c>
      <c r="D662" s="36" t="str">
        <f ca="1">IFERROR(__xludf.DUMMYFUNCTION("""COMPUTED_VALUE"""),"")</f>
        <v/>
      </c>
      <c r="E662" s="36" t="str">
        <f ca="1">IFERROR(__xludf.DUMMYFUNCTION("""COMPUTED_VALUE"""),"")</f>
        <v/>
      </c>
      <c r="F662" s="36" t="str">
        <f ca="1">IFERROR(__xludf.DUMMYFUNCTION("""COMPUTED_VALUE"""),"")</f>
        <v/>
      </c>
      <c r="G662" s="36" t="str">
        <f ca="1">IFERROR(__xludf.DUMMYFUNCTION("""COMPUTED_VALUE"""),"")</f>
        <v/>
      </c>
      <c r="H662" s="36" t="str">
        <f ca="1">IFERROR(__xludf.DUMMYFUNCTION("""COMPUTED_VALUE"""),"")</f>
        <v/>
      </c>
      <c r="I662" s="36" t="str">
        <f ca="1">IFERROR(__xludf.DUMMYFUNCTION("""COMPUTED_VALUE"""),"")</f>
        <v/>
      </c>
      <c r="J662" s="36" t="str">
        <f ca="1">IFERROR(__xludf.DUMMYFUNCTION("""COMPUTED_VALUE"""),"")</f>
        <v/>
      </c>
      <c r="K662" s="36" t="str">
        <f ca="1">IFERROR(__xludf.DUMMYFUNCTION("""COMPUTED_VALUE"""),"")</f>
        <v/>
      </c>
      <c r="L662" s="36" t="str">
        <f ca="1">IFERROR(__xludf.DUMMYFUNCTION("""COMPUTED_VALUE"""),"")</f>
        <v/>
      </c>
      <c r="M662" s="36" t="str">
        <f ca="1">IFERROR(__xludf.DUMMYFUNCTION("""COMPUTED_VALUE"""),"")</f>
        <v/>
      </c>
      <c r="N662" s="36" t="str">
        <f ca="1">IFERROR(__xludf.DUMMYFUNCTION("""COMPUTED_VALUE"""),"")</f>
        <v/>
      </c>
      <c r="O662" s="36" t="str">
        <f ca="1">IFERROR(__xludf.DUMMYFUNCTION("""COMPUTED_VALUE"""),"")</f>
        <v/>
      </c>
      <c r="P662" s="36" t="str">
        <f ca="1">IFERROR(__xludf.DUMMYFUNCTION("""COMPUTED_VALUE"""),"")</f>
        <v/>
      </c>
      <c r="Q662" s="36" t="str">
        <f ca="1">IFERROR(__xludf.DUMMYFUNCTION("""COMPUTED_VALUE"""),"")</f>
        <v/>
      </c>
      <c r="R662" s="36" t="str">
        <f ca="1">IFERROR(__xludf.DUMMYFUNCTION("""COMPUTED_VALUE"""),"")</f>
        <v/>
      </c>
      <c r="S662" s="36" t="str">
        <f ca="1">IFERROR(__xludf.DUMMYFUNCTION("""COMPUTED_VALUE"""),"")</f>
        <v/>
      </c>
      <c r="T662" s="36" t="str">
        <f ca="1">IFERROR(__xludf.DUMMYFUNCTION("""COMPUTED_VALUE"""),"")</f>
        <v/>
      </c>
      <c r="U662" s="36" t="str">
        <f ca="1">IFERROR(__xludf.DUMMYFUNCTION("""COMPUTED_VALUE"""),"")</f>
        <v/>
      </c>
      <c r="V662" s="36" t="str">
        <f ca="1">IFERROR(__xludf.DUMMYFUNCTION("""COMPUTED_VALUE"""),"")</f>
        <v/>
      </c>
      <c r="W662" s="36" t="str">
        <f ca="1">IFERROR(__xludf.DUMMYFUNCTION("""COMPUTED_VALUE"""),"")</f>
        <v/>
      </c>
      <c r="X662" s="36"/>
      <c r="Y662" s="36"/>
      <c r="Z662" s="36"/>
    </row>
    <row r="663" spans="1:26" ht="12.75" hidden="1">
      <c r="A663" s="36" t="str">
        <f ca="1">IFERROR(__xludf.DUMMYFUNCTION("""COMPUTED_VALUE"""),"")</f>
        <v/>
      </c>
      <c r="B663" s="36" t="str">
        <f ca="1">IFERROR(__xludf.DUMMYFUNCTION("""COMPUTED_VALUE"""),"")</f>
        <v/>
      </c>
      <c r="C663" s="36" t="str">
        <f ca="1">IFERROR(__xludf.DUMMYFUNCTION("""COMPUTED_VALUE"""),"")</f>
        <v/>
      </c>
      <c r="D663" s="36" t="str">
        <f ca="1">IFERROR(__xludf.DUMMYFUNCTION("""COMPUTED_VALUE"""),"")</f>
        <v/>
      </c>
      <c r="E663" s="36" t="str">
        <f ca="1">IFERROR(__xludf.DUMMYFUNCTION("""COMPUTED_VALUE"""),"")</f>
        <v/>
      </c>
      <c r="F663" s="36" t="str">
        <f ca="1">IFERROR(__xludf.DUMMYFUNCTION("""COMPUTED_VALUE"""),"")</f>
        <v/>
      </c>
      <c r="G663" s="36" t="str">
        <f ca="1">IFERROR(__xludf.DUMMYFUNCTION("""COMPUTED_VALUE"""),"")</f>
        <v/>
      </c>
      <c r="H663" s="36" t="str">
        <f ca="1">IFERROR(__xludf.DUMMYFUNCTION("""COMPUTED_VALUE"""),"")</f>
        <v/>
      </c>
      <c r="I663" s="36" t="str">
        <f ca="1">IFERROR(__xludf.DUMMYFUNCTION("""COMPUTED_VALUE"""),"")</f>
        <v/>
      </c>
      <c r="J663" s="36" t="str">
        <f ca="1">IFERROR(__xludf.DUMMYFUNCTION("""COMPUTED_VALUE"""),"")</f>
        <v/>
      </c>
      <c r="K663" s="36" t="str">
        <f ca="1">IFERROR(__xludf.DUMMYFUNCTION("""COMPUTED_VALUE"""),"")</f>
        <v/>
      </c>
      <c r="L663" s="36" t="str">
        <f ca="1">IFERROR(__xludf.DUMMYFUNCTION("""COMPUTED_VALUE"""),"")</f>
        <v/>
      </c>
      <c r="M663" s="36" t="str">
        <f ca="1">IFERROR(__xludf.DUMMYFUNCTION("""COMPUTED_VALUE"""),"")</f>
        <v/>
      </c>
      <c r="N663" s="36" t="str">
        <f ca="1">IFERROR(__xludf.DUMMYFUNCTION("""COMPUTED_VALUE"""),"")</f>
        <v/>
      </c>
      <c r="O663" s="36" t="str">
        <f ca="1">IFERROR(__xludf.DUMMYFUNCTION("""COMPUTED_VALUE"""),"")</f>
        <v/>
      </c>
      <c r="P663" s="36" t="str">
        <f ca="1">IFERROR(__xludf.DUMMYFUNCTION("""COMPUTED_VALUE"""),"")</f>
        <v/>
      </c>
      <c r="Q663" s="36" t="str">
        <f ca="1">IFERROR(__xludf.DUMMYFUNCTION("""COMPUTED_VALUE"""),"")</f>
        <v/>
      </c>
      <c r="R663" s="36" t="str">
        <f ca="1">IFERROR(__xludf.DUMMYFUNCTION("""COMPUTED_VALUE"""),"")</f>
        <v/>
      </c>
      <c r="S663" s="36" t="str">
        <f ca="1">IFERROR(__xludf.DUMMYFUNCTION("""COMPUTED_VALUE"""),"")</f>
        <v/>
      </c>
      <c r="T663" s="36" t="str">
        <f ca="1">IFERROR(__xludf.DUMMYFUNCTION("""COMPUTED_VALUE"""),"")</f>
        <v/>
      </c>
      <c r="U663" s="36" t="str">
        <f ca="1">IFERROR(__xludf.DUMMYFUNCTION("""COMPUTED_VALUE"""),"")</f>
        <v/>
      </c>
      <c r="V663" s="36" t="str">
        <f ca="1">IFERROR(__xludf.DUMMYFUNCTION("""COMPUTED_VALUE"""),"")</f>
        <v/>
      </c>
      <c r="W663" s="36" t="str">
        <f ca="1">IFERROR(__xludf.DUMMYFUNCTION("""COMPUTED_VALUE"""),"")</f>
        <v/>
      </c>
      <c r="X663" s="36"/>
      <c r="Y663" s="36"/>
      <c r="Z663" s="36"/>
    </row>
    <row r="664" spans="1:26" ht="12.75" hidden="1">
      <c r="A664" s="36" t="str">
        <f ca="1">IFERROR(__xludf.DUMMYFUNCTION("""COMPUTED_VALUE"""),"")</f>
        <v/>
      </c>
      <c r="B664" s="36" t="str">
        <f ca="1">IFERROR(__xludf.DUMMYFUNCTION("""COMPUTED_VALUE"""),"")</f>
        <v/>
      </c>
      <c r="C664" s="36" t="str">
        <f ca="1">IFERROR(__xludf.DUMMYFUNCTION("""COMPUTED_VALUE"""),"")</f>
        <v/>
      </c>
      <c r="D664" s="36" t="str">
        <f ca="1">IFERROR(__xludf.DUMMYFUNCTION("""COMPUTED_VALUE"""),"")</f>
        <v/>
      </c>
      <c r="E664" s="36" t="str">
        <f ca="1">IFERROR(__xludf.DUMMYFUNCTION("""COMPUTED_VALUE"""),"")</f>
        <v/>
      </c>
      <c r="F664" s="36" t="str">
        <f ca="1">IFERROR(__xludf.DUMMYFUNCTION("""COMPUTED_VALUE"""),"")</f>
        <v/>
      </c>
      <c r="G664" s="36" t="str">
        <f ca="1">IFERROR(__xludf.DUMMYFUNCTION("""COMPUTED_VALUE"""),"")</f>
        <v/>
      </c>
      <c r="H664" s="36" t="str">
        <f ca="1">IFERROR(__xludf.DUMMYFUNCTION("""COMPUTED_VALUE"""),"")</f>
        <v/>
      </c>
      <c r="I664" s="36" t="str">
        <f ca="1">IFERROR(__xludf.DUMMYFUNCTION("""COMPUTED_VALUE"""),"")</f>
        <v/>
      </c>
      <c r="J664" s="36" t="str">
        <f ca="1">IFERROR(__xludf.DUMMYFUNCTION("""COMPUTED_VALUE"""),"")</f>
        <v/>
      </c>
      <c r="K664" s="36" t="str">
        <f ca="1">IFERROR(__xludf.DUMMYFUNCTION("""COMPUTED_VALUE"""),"")</f>
        <v/>
      </c>
      <c r="L664" s="36" t="str">
        <f ca="1">IFERROR(__xludf.DUMMYFUNCTION("""COMPUTED_VALUE"""),"")</f>
        <v/>
      </c>
      <c r="M664" s="36" t="str">
        <f ca="1">IFERROR(__xludf.DUMMYFUNCTION("""COMPUTED_VALUE"""),"")</f>
        <v/>
      </c>
      <c r="N664" s="36" t="str">
        <f ca="1">IFERROR(__xludf.DUMMYFUNCTION("""COMPUTED_VALUE"""),"")</f>
        <v/>
      </c>
      <c r="O664" s="36" t="str">
        <f ca="1">IFERROR(__xludf.DUMMYFUNCTION("""COMPUTED_VALUE"""),"")</f>
        <v/>
      </c>
      <c r="P664" s="36" t="str">
        <f ca="1">IFERROR(__xludf.DUMMYFUNCTION("""COMPUTED_VALUE"""),"")</f>
        <v/>
      </c>
      <c r="Q664" s="36" t="str">
        <f ca="1">IFERROR(__xludf.DUMMYFUNCTION("""COMPUTED_VALUE"""),"")</f>
        <v/>
      </c>
      <c r="R664" s="36" t="str">
        <f ca="1">IFERROR(__xludf.DUMMYFUNCTION("""COMPUTED_VALUE"""),"")</f>
        <v/>
      </c>
      <c r="S664" s="36" t="str">
        <f ca="1">IFERROR(__xludf.DUMMYFUNCTION("""COMPUTED_VALUE"""),"")</f>
        <v/>
      </c>
      <c r="T664" s="36" t="str">
        <f ca="1">IFERROR(__xludf.DUMMYFUNCTION("""COMPUTED_VALUE"""),"")</f>
        <v/>
      </c>
      <c r="U664" s="36" t="str">
        <f ca="1">IFERROR(__xludf.DUMMYFUNCTION("""COMPUTED_VALUE"""),"")</f>
        <v/>
      </c>
      <c r="V664" s="36" t="str">
        <f ca="1">IFERROR(__xludf.DUMMYFUNCTION("""COMPUTED_VALUE"""),"")</f>
        <v/>
      </c>
      <c r="W664" s="36" t="str">
        <f ca="1">IFERROR(__xludf.DUMMYFUNCTION("""COMPUTED_VALUE"""),"")</f>
        <v/>
      </c>
      <c r="X664" s="36"/>
      <c r="Y664" s="36"/>
      <c r="Z664" s="36"/>
    </row>
    <row r="665" spans="1:26" ht="12.75" hidden="1">
      <c r="A665" s="36" t="str">
        <f ca="1">IFERROR(__xludf.DUMMYFUNCTION("""COMPUTED_VALUE"""),"")</f>
        <v/>
      </c>
      <c r="B665" s="36" t="str">
        <f ca="1">IFERROR(__xludf.DUMMYFUNCTION("""COMPUTED_VALUE"""),"")</f>
        <v/>
      </c>
      <c r="C665" s="36" t="str">
        <f ca="1">IFERROR(__xludf.DUMMYFUNCTION("""COMPUTED_VALUE"""),"")</f>
        <v/>
      </c>
      <c r="D665" s="36" t="str">
        <f ca="1">IFERROR(__xludf.DUMMYFUNCTION("""COMPUTED_VALUE"""),"")</f>
        <v/>
      </c>
      <c r="E665" s="36" t="str">
        <f ca="1">IFERROR(__xludf.DUMMYFUNCTION("""COMPUTED_VALUE"""),"")</f>
        <v/>
      </c>
      <c r="F665" s="36" t="str">
        <f ca="1">IFERROR(__xludf.DUMMYFUNCTION("""COMPUTED_VALUE"""),"")</f>
        <v/>
      </c>
      <c r="G665" s="36" t="str">
        <f ca="1">IFERROR(__xludf.DUMMYFUNCTION("""COMPUTED_VALUE"""),"")</f>
        <v/>
      </c>
      <c r="H665" s="36" t="str">
        <f ca="1">IFERROR(__xludf.DUMMYFUNCTION("""COMPUTED_VALUE"""),"")</f>
        <v/>
      </c>
      <c r="I665" s="36" t="str">
        <f ca="1">IFERROR(__xludf.DUMMYFUNCTION("""COMPUTED_VALUE"""),"")</f>
        <v/>
      </c>
      <c r="J665" s="36" t="str">
        <f ca="1">IFERROR(__xludf.DUMMYFUNCTION("""COMPUTED_VALUE"""),"")</f>
        <v/>
      </c>
      <c r="K665" s="36" t="str">
        <f ca="1">IFERROR(__xludf.DUMMYFUNCTION("""COMPUTED_VALUE"""),"")</f>
        <v/>
      </c>
      <c r="L665" s="36" t="str">
        <f ca="1">IFERROR(__xludf.DUMMYFUNCTION("""COMPUTED_VALUE"""),"")</f>
        <v/>
      </c>
      <c r="M665" s="36" t="str">
        <f ca="1">IFERROR(__xludf.DUMMYFUNCTION("""COMPUTED_VALUE"""),"")</f>
        <v/>
      </c>
      <c r="N665" s="36" t="str">
        <f ca="1">IFERROR(__xludf.DUMMYFUNCTION("""COMPUTED_VALUE"""),"")</f>
        <v/>
      </c>
      <c r="O665" s="36" t="str">
        <f ca="1">IFERROR(__xludf.DUMMYFUNCTION("""COMPUTED_VALUE"""),"")</f>
        <v/>
      </c>
      <c r="P665" s="36" t="str">
        <f ca="1">IFERROR(__xludf.DUMMYFUNCTION("""COMPUTED_VALUE"""),"")</f>
        <v/>
      </c>
      <c r="Q665" s="36" t="str">
        <f ca="1">IFERROR(__xludf.DUMMYFUNCTION("""COMPUTED_VALUE"""),"")</f>
        <v/>
      </c>
      <c r="R665" s="36" t="str">
        <f ca="1">IFERROR(__xludf.DUMMYFUNCTION("""COMPUTED_VALUE"""),"")</f>
        <v/>
      </c>
      <c r="S665" s="36" t="str">
        <f ca="1">IFERROR(__xludf.DUMMYFUNCTION("""COMPUTED_VALUE"""),"")</f>
        <v/>
      </c>
      <c r="T665" s="36" t="str">
        <f ca="1">IFERROR(__xludf.DUMMYFUNCTION("""COMPUTED_VALUE"""),"")</f>
        <v/>
      </c>
      <c r="U665" s="36" t="str">
        <f ca="1">IFERROR(__xludf.DUMMYFUNCTION("""COMPUTED_VALUE"""),"")</f>
        <v/>
      </c>
      <c r="V665" s="36" t="str">
        <f ca="1">IFERROR(__xludf.DUMMYFUNCTION("""COMPUTED_VALUE"""),"")</f>
        <v/>
      </c>
      <c r="W665" s="36" t="str">
        <f ca="1">IFERROR(__xludf.DUMMYFUNCTION("""COMPUTED_VALUE"""),"")</f>
        <v/>
      </c>
      <c r="X665" s="36"/>
      <c r="Y665" s="36"/>
      <c r="Z665" s="36"/>
    </row>
    <row r="666" spans="1:26" ht="12.75" hidden="1">
      <c r="A666" s="36" t="str">
        <f ca="1">IFERROR(__xludf.DUMMYFUNCTION("""COMPUTED_VALUE"""),"")</f>
        <v/>
      </c>
      <c r="B666" s="36" t="str">
        <f ca="1">IFERROR(__xludf.DUMMYFUNCTION("""COMPUTED_VALUE"""),"")</f>
        <v/>
      </c>
      <c r="C666" s="36" t="str">
        <f ca="1">IFERROR(__xludf.DUMMYFUNCTION("""COMPUTED_VALUE"""),"")</f>
        <v/>
      </c>
      <c r="D666" s="36" t="str">
        <f ca="1">IFERROR(__xludf.DUMMYFUNCTION("""COMPUTED_VALUE"""),"")</f>
        <v/>
      </c>
      <c r="E666" s="36" t="str">
        <f ca="1">IFERROR(__xludf.DUMMYFUNCTION("""COMPUTED_VALUE"""),"")</f>
        <v/>
      </c>
      <c r="F666" s="36" t="str">
        <f ca="1">IFERROR(__xludf.DUMMYFUNCTION("""COMPUTED_VALUE"""),"")</f>
        <v/>
      </c>
      <c r="G666" s="36" t="str">
        <f ca="1">IFERROR(__xludf.DUMMYFUNCTION("""COMPUTED_VALUE"""),"")</f>
        <v/>
      </c>
      <c r="H666" s="36" t="str">
        <f ca="1">IFERROR(__xludf.DUMMYFUNCTION("""COMPUTED_VALUE"""),"")</f>
        <v/>
      </c>
      <c r="I666" s="36" t="str">
        <f ca="1">IFERROR(__xludf.DUMMYFUNCTION("""COMPUTED_VALUE"""),"")</f>
        <v/>
      </c>
      <c r="J666" s="36" t="str">
        <f ca="1">IFERROR(__xludf.DUMMYFUNCTION("""COMPUTED_VALUE"""),"")</f>
        <v/>
      </c>
      <c r="K666" s="36" t="str">
        <f ca="1">IFERROR(__xludf.DUMMYFUNCTION("""COMPUTED_VALUE"""),"")</f>
        <v/>
      </c>
      <c r="L666" s="36" t="str">
        <f ca="1">IFERROR(__xludf.DUMMYFUNCTION("""COMPUTED_VALUE"""),"")</f>
        <v/>
      </c>
      <c r="M666" s="36" t="str">
        <f ca="1">IFERROR(__xludf.DUMMYFUNCTION("""COMPUTED_VALUE"""),"")</f>
        <v/>
      </c>
      <c r="N666" s="36" t="str">
        <f ca="1">IFERROR(__xludf.DUMMYFUNCTION("""COMPUTED_VALUE"""),"")</f>
        <v/>
      </c>
      <c r="O666" s="36" t="str">
        <f ca="1">IFERROR(__xludf.DUMMYFUNCTION("""COMPUTED_VALUE"""),"")</f>
        <v/>
      </c>
      <c r="P666" s="36" t="str">
        <f ca="1">IFERROR(__xludf.DUMMYFUNCTION("""COMPUTED_VALUE"""),"")</f>
        <v/>
      </c>
      <c r="Q666" s="36" t="str">
        <f ca="1">IFERROR(__xludf.DUMMYFUNCTION("""COMPUTED_VALUE"""),"")</f>
        <v/>
      </c>
      <c r="R666" s="36" t="str">
        <f ca="1">IFERROR(__xludf.DUMMYFUNCTION("""COMPUTED_VALUE"""),"")</f>
        <v/>
      </c>
      <c r="S666" s="36" t="str">
        <f ca="1">IFERROR(__xludf.DUMMYFUNCTION("""COMPUTED_VALUE"""),"")</f>
        <v/>
      </c>
      <c r="T666" s="36" t="str">
        <f ca="1">IFERROR(__xludf.DUMMYFUNCTION("""COMPUTED_VALUE"""),"")</f>
        <v/>
      </c>
      <c r="U666" s="36" t="str">
        <f ca="1">IFERROR(__xludf.DUMMYFUNCTION("""COMPUTED_VALUE"""),"")</f>
        <v/>
      </c>
      <c r="V666" s="36" t="str">
        <f ca="1">IFERROR(__xludf.DUMMYFUNCTION("""COMPUTED_VALUE"""),"")</f>
        <v/>
      </c>
      <c r="W666" s="36" t="str">
        <f ca="1">IFERROR(__xludf.DUMMYFUNCTION("""COMPUTED_VALUE"""),"")</f>
        <v/>
      </c>
      <c r="X666" s="36"/>
      <c r="Y666" s="36"/>
      <c r="Z666" s="36"/>
    </row>
    <row r="667" spans="1:26" ht="12.75" hidden="1">
      <c r="A667" s="36" t="str">
        <f ca="1">IFERROR(__xludf.DUMMYFUNCTION("""COMPUTED_VALUE"""),"")</f>
        <v/>
      </c>
      <c r="B667" s="36" t="str">
        <f ca="1">IFERROR(__xludf.DUMMYFUNCTION("""COMPUTED_VALUE"""),"")</f>
        <v/>
      </c>
      <c r="C667" s="36" t="str">
        <f ca="1">IFERROR(__xludf.DUMMYFUNCTION("""COMPUTED_VALUE"""),"")</f>
        <v/>
      </c>
      <c r="D667" s="36" t="str">
        <f ca="1">IFERROR(__xludf.DUMMYFUNCTION("""COMPUTED_VALUE"""),"")</f>
        <v/>
      </c>
      <c r="E667" s="36" t="str">
        <f ca="1">IFERROR(__xludf.DUMMYFUNCTION("""COMPUTED_VALUE"""),"")</f>
        <v/>
      </c>
      <c r="F667" s="36" t="str">
        <f ca="1">IFERROR(__xludf.DUMMYFUNCTION("""COMPUTED_VALUE"""),"")</f>
        <v/>
      </c>
      <c r="G667" s="36" t="str">
        <f ca="1">IFERROR(__xludf.DUMMYFUNCTION("""COMPUTED_VALUE"""),"")</f>
        <v/>
      </c>
      <c r="H667" s="36" t="str">
        <f ca="1">IFERROR(__xludf.DUMMYFUNCTION("""COMPUTED_VALUE"""),"")</f>
        <v/>
      </c>
      <c r="I667" s="36" t="str">
        <f ca="1">IFERROR(__xludf.DUMMYFUNCTION("""COMPUTED_VALUE"""),"")</f>
        <v/>
      </c>
      <c r="J667" s="36" t="str">
        <f ca="1">IFERROR(__xludf.DUMMYFUNCTION("""COMPUTED_VALUE"""),"")</f>
        <v/>
      </c>
      <c r="K667" s="36" t="str">
        <f ca="1">IFERROR(__xludf.DUMMYFUNCTION("""COMPUTED_VALUE"""),"")</f>
        <v/>
      </c>
      <c r="L667" s="36" t="str">
        <f ca="1">IFERROR(__xludf.DUMMYFUNCTION("""COMPUTED_VALUE"""),"")</f>
        <v/>
      </c>
      <c r="M667" s="36" t="str">
        <f ca="1">IFERROR(__xludf.DUMMYFUNCTION("""COMPUTED_VALUE"""),"")</f>
        <v/>
      </c>
      <c r="N667" s="36" t="str">
        <f ca="1">IFERROR(__xludf.DUMMYFUNCTION("""COMPUTED_VALUE"""),"")</f>
        <v/>
      </c>
      <c r="O667" s="36" t="str">
        <f ca="1">IFERROR(__xludf.DUMMYFUNCTION("""COMPUTED_VALUE"""),"")</f>
        <v/>
      </c>
      <c r="P667" s="36" t="str">
        <f ca="1">IFERROR(__xludf.DUMMYFUNCTION("""COMPUTED_VALUE"""),"")</f>
        <v/>
      </c>
      <c r="Q667" s="36" t="str">
        <f ca="1">IFERROR(__xludf.DUMMYFUNCTION("""COMPUTED_VALUE"""),"")</f>
        <v/>
      </c>
      <c r="R667" s="36" t="str">
        <f ca="1">IFERROR(__xludf.DUMMYFUNCTION("""COMPUTED_VALUE"""),"")</f>
        <v/>
      </c>
      <c r="S667" s="36" t="str">
        <f ca="1">IFERROR(__xludf.DUMMYFUNCTION("""COMPUTED_VALUE"""),"")</f>
        <v/>
      </c>
      <c r="T667" s="36" t="str">
        <f ca="1">IFERROR(__xludf.DUMMYFUNCTION("""COMPUTED_VALUE"""),"")</f>
        <v/>
      </c>
      <c r="U667" s="36" t="str">
        <f ca="1">IFERROR(__xludf.DUMMYFUNCTION("""COMPUTED_VALUE"""),"")</f>
        <v/>
      </c>
      <c r="V667" s="36" t="str">
        <f ca="1">IFERROR(__xludf.DUMMYFUNCTION("""COMPUTED_VALUE"""),"")</f>
        <v/>
      </c>
      <c r="W667" s="36" t="str">
        <f ca="1">IFERROR(__xludf.DUMMYFUNCTION("""COMPUTED_VALUE"""),"")</f>
        <v/>
      </c>
      <c r="X667" s="36"/>
      <c r="Y667" s="36"/>
      <c r="Z667" s="36"/>
    </row>
    <row r="668" spans="1:26" ht="12.75" hidden="1">
      <c r="A668" s="36" t="str">
        <f ca="1">IFERROR(__xludf.DUMMYFUNCTION("""COMPUTED_VALUE"""),"")</f>
        <v/>
      </c>
      <c r="B668" s="36" t="str">
        <f ca="1">IFERROR(__xludf.DUMMYFUNCTION("""COMPUTED_VALUE"""),"")</f>
        <v/>
      </c>
      <c r="C668" s="36" t="str">
        <f ca="1">IFERROR(__xludf.DUMMYFUNCTION("""COMPUTED_VALUE"""),"")</f>
        <v/>
      </c>
      <c r="D668" s="36" t="str">
        <f ca="1">IFERROR(__xludf.DUMMYFUNCTION("""COMPUTED_VALUE"""),"")</f>
        <v/>
      </c>
      <c r="E668" s="36" t="str">
        <f ca="1">IFERROR(__xludf.DUMMYFUNCTION("""COMPUTED_VALUE"""),"")</f>
        <v/>
      </c>
      <c r="F668" s="36" t="str">
        <f ca="1">IFERROR(__xludf.DUMMYFUNCTION("""COMPUTED_VALUE"""),"")</f>
        <v/>
      </c>
      <c r="G668" s="36" t="str">
        <f ca="1">IFERROR(__xludf.DUMMYFUNCTION("""COMPUTED_VALUE"""),"")</f>
        <v/>
      </c>
      <c r="H668" s="36" t="str">
        <f ca="1">IFERROR(__xludf.DUMMYFUNCTION("""COMPUTED_VALUE"""),"")</f>
        <v/>
      </c>
      <c r="I668" s="36" t="str">
        <f ca="1">IFERROR(__xludf.DUMMYFUNCTION("""COMPUTED_VALUE"""),"")</f>
        <v/>
      </c>
      <c r="J668" s="36" t="str">
        <f ca="1">IFERROR(__xludf.DUMMYFUNCTION("""COMPUTED_VALUE"""),"")</f>
        <v/>
      </c>
      <c r="K668" s="36" t="str">
        <f ca="1">IFERROR(__xludf.DUMMYFUNCTION("""COMPUTED_VALUE"""),"")</f>
        <v/>
      </c>
      <c r="L668" s="36" t="str">
        <f ca="1">IFERROR(__xludf.DUMMYFUNCTION("""COMPUTED_VALUE"""),"")</f>
        <v/>
      </c>
      <c r="M668" s="36" t="str">
        <f ca="1">IFERROR(__xludf.DUMMYFUNCTION("""COMPUTED_VALUE"""),"")</f>
        <v/>
      </c>
      <c r="N668" s="36" t="str">
        <f ca="1">IFERROR(__xludf.DUMMYFUNCTION("""COMPUTED_VALUE"""),"")</f>
        <v/>
      </c>
      <c r="O668" s="36" t="str">
        <f ca="1">IFERROR(__xludf.DUMMYFUNCTION("""COMPUTED_VALUE"""),"")</f>
        <v/>
      </c>
      <c r="P668" s="36" t="str">
        <f ca="1">IFERROR(__xludf.DUMMYFUNCTION("""COMPUTED_VALUE"""),"")</f>
        <v/>
      </c>
      <c r="Q668" s="36" t="str">
        <f ca="1">IFERROR(__xludf.DUMMYFUNCTION("""COMPUTED_VALUE"""),"")</f>
        <v/>
      </c>
      <c r="R668" s="36" t="str">
        <f ca="1">IFERROR(__xludf.DUMMYFUNCTION("""COMPUTED_VALUE"""),"")</f>
        <v/>
      </c>
      <c r="S668" s="36" t="str">
        <f ca="1">IFERROR(__xludf.DUMMYFUNCTION("""COMPUTED_VALUE"""),"")</f>
        <v/>
      </c>
      <c r="T668" s="36" t="str">
        <f ca="1">IFERROR(__xludf.DUMMYFUNCTION("""COMPUTED_VALUE"""),"")</f>
        <v/>
      </c>
      <c r="U668" s="36" t="str">
        <f ca="1">IFERROR(__xludf.DUMMYFUNCTION("""COMPUTED_VALUE"""),"")</f>
        <v/>
      </c>
      <c r="V668" s="36" t="str">
        <f ca="1">IFERROR(__xludf.DUMMYFUNCTION("""COMPUTED_VALUE"""),"")</f>
        <v/>
      </c>
      <c r="W668" s="36" t="str">
        <f ca="1">IFERROR(__xludf.DUMMYFUNCTION("""COMPUTED_VALUE"""),"")</f>
        <v/>
      </c>
      <c r="X668" s="36"/>
      <c r="Y668" s="36"/>
      <c r="Z668" s="36"/>
    </row>
    <row r="669" spans="1:26" ht="12.75" hidden="1">
      <c r="A669" s="36" t="str">
        <f ca="1">IFERROR(__xludf.DUMMYFUNCTION("""COMPUTED_VALUE"""),"")</f>
        <v/>
      </c>
      <c r="B669" s="36" t="str">
        <f ca="1">IFERROR(__xludf.DUMMYFUNCTION("""COMPUTED_VALUE"""),"")</f>
        <v/>
      </c>
      <c r="C669" s="36" t="str">
        <f ca="1">IFERROR(__xludf.DUMMYFUNCTION("""COMPUTED_VALUE"""),"")</f>
        <v/>
      </c>
      <c r="D669" s="36" t="str">
        <f ca="1">IFERROR(__xludf.DUMMYFUNCTION("""COMPUTED_VALUE"""),"")</f>
        <v/>
      </c>
      <c r="E669" s="36" t="str">
        <f ca="1">IFERROR(__xludf.DUMMYFUNCTION("""COMPUTED_VALUE"""),"")</f>
        <v/>
      </c>
      <c r="F669" s="36" t="str">
        <f ca="1">IFERROR(__xludf.DUMMYFUNCTION("""COMPUTED_VALUE"""),"")</f>
        <v/>
      </c>
      <c r="G669" s="36" t="str">
        <f ca="1">IFERROR(__xludf.DUMMYFUNCTION("""COMPUTED_VALUE"""),"")</f>
        <v/>
      </c>
      <c r="H669" s="36" t="str">
        <f ca="1">IFERROR(__xludf.DUMMYFUNCTION("""COMPUTED_VALUE"""),"")</f>
        <v/>
      </c>
      <c r="I669" s="36" t="str">
        <f ca="1">IFERROR(__xludf.DUMMYFUNCTION("""COMPUTED_VALUE"""),"")</f>
        <v/>
      </c>
      <c r="J669" s="36" t="str">
        <f ca="1">IFERROR(__xludf.DUMMYFUNCTION("""COMPUTED_VALUE"""),"")</f>
        <v/>
      </c>
      <c r="K669" s="36" t="str">
        <f ca="1">IFERROR(__xludf.DUMMYFUNCTION("""COMPUTED_VALUE"""),"")</f>
        <v/>
      </c>
      <c r="L669" s="36" t="str">
        <f ca="1">IFERROR(__xludf.DUMMYFUNCTION("""COMPUTED_VALUE"""),"")</f>
        <v/>
      </c>
      <c r="M669" s="36" t="str">
        <f ca="1">IFERROR(__xludf.DUMMYFUNCTION("""COMPUTED_VALUE"""),"")</f>
        <v/>
      </c>
      <c r="N669" s="36" t="str">
        <f ca="1">IFERROR(__xludf.DUMMYFUNCTION("""COMPUTED_VALUE"""),"")</f>
        <v/>
      </c>
      <c r="O669" s="36" t="str">
        <f ca="1">IFERROR(__xludf.DUMMYFUNCTION("""COMPUTED_VALUE"""),"")</f>
        <v/>
      </c>
      <c r="P669" s="36" t="str">
        <f ca="1">IFERROR(__xludf.DUMMYFUNCTION("""COMPUTED_VALUE"""),"")</f>
        <v/>
      </c>
      <c r="Q669" s="36" t="str">
        <f ca="1">IFERROR(__xludf.DUMMYFUNCTION("""COMPUTED_VALUE"""),"")</f>
        <v/>
      </c>
      <c r="R669" s="36" t="str">
        <f ca="1">IFERROR(__xludf.DUMMYFUNCTION("""COMPUTED_VALUE"""),"")</f>
        <v/>
      </c>
      <c r="S669" s="36" t="str">
        <f ca="1">IFERROR(__xludf.DUMMYFUNCTION("""COMPUTED_VALUE"""),"")</f>
        <v/>
      </c>
      <c r="T669" s="36" t="str">
        <f ca="1">IFERROR(__xludf.DUMMYFUNCTION("""COMPUTED_VALUE"""),"")</f>
        <v/>
      </c>
      <c r="U669" s="36" t="str">
        <f ca="1">IFERROR(__xludf.DUMMYFUNCTION("""COMPUTED_VALUE"""),"")</f>
        <v/>
      </c>
      <c r="V669" s="36" t="str">
        <f ca="1">IFERROR(__xludf.DUMMYFUNCTION("""COMPUTED_VALUE"""),"")</f>
        <v/>
      </c>
      <c r="W669" s="36" t="str">
        <f ca="1">IFERROR(__xludf.DUMMYFUNCTION("""COMPUTED_VALUE"""),"")</f>
        <v/>
      </c>
      <c r="X669" s="36"/>
      <c r="Y669" s="36"/>
      <c r="Z669" s="36"/>
    </row>
    <row r="670" spans="1:26" ht="12.75" hidden="1">
      <c r="A670" s="36" t="str">
        <f ca="1">IFERROR(__xludf.DUMMYFUNCTION("""COMPUTED_VALUE"""),"")</f>
        <v/>
      </c>
      <c r="B670" s="36" t="str">
        <f ca="1">IFERROR(__xludf.DUMMYFUNCTION("""COMPUTED_VALUE"""),"")</f>
        <v/>
      </c>
      <c r="C670" s="36" t="str">
        <f ca="1">IFERROR(__xludf.DUMMYFUNCTION("""COMPUTED_VALUE"""),"")</f>
        <v/>
      </c>
      <c r="D670" s="36" t="str">
        <f ca="1">IFERROR(__xludf.DUMMYFUNCTION("""COMPUTED_VALUE"""),"")</f>
        <v/>
      </c>
      <c r="E670" s="36" t="str">
        <f ca="1">IFERROR(__xludf.DUMMYFUNCTION("""COMPUTED_VALUE"""),"")</f>
        <v/>
      </c>
      <c r="F670" s="36" t="str">
        <f ca="1">IFERROR(__xludf.DUMMYFUNCTION("""COMPUTED_VALUE"""),"")</f>
        <v/>
      </c>
      <c r="G670" s="36" t="str">
        <f ca="1">IFERROR(__xludf.DUMMYFUNCTION("""COMPUTED_VALUE"""),"")</f>
        <v/>
      </c>
      <c r="H670" s="36" t="str">
        <f ca="1">IFERROR(__xludf.DUMMYFUNCTION("""COMPUTED_VALUE"""),"")</f>
        <v/>
      </c>
      <c r="I670" s="36" t="str">
        <f ca="1">IFERROR(__xludf.DUMMYFUNCTION("""COMPUTED_VALUE"""),"")</f>
        <v/>
      </c>
      <c r="J670" s="36" t="str">
        <f ca="1">IFERROR(__xludf.DUMMYFUNCTION("""COMPUTED_VALUE"""),"")</f>
        <v/>
      </c>
      <c r="K670" s="36" t="str">
        <f ca="1">IFERROR(__xludf.DUMMYFUNCTION("""COMPUTED_VALUE"""),"")</f>
        <v/>
      </c>
      <c r="L670" s="36" t="str">
        <f ca="1">IFERROR(__xludf.DUMMYFUNCTION("""COMPUTED_VALUE"""),"")</f>
        <v/>
      </c>
      <c r="M670" s="36" t="str">
        <f ca="1">IFERROR(__xludf.DUMMYFUNCTION("""COMPUTED_VALUE"""),"")</f>
        <v/>
      </c>
      <c r="N670" s="36" t="str">
        <f ca="1">IFERROR(__xludf.DUMMYFUNCTION("""COMPUTED_VALUE"""),"")</f>
        <v/>
      </c>
      <c r="O670" s="36" t="str">
        <f ca="1">IFERROR(__xludf.DUMMYFUNCTION("""COMPUTED_VALUE"""),"")</f>
        <v/>
      </c>
      <c r="P670" s="36" t="str">
        <f ca="1">IFERROR(__xludf.DUMMYFUNCTION("""COMPUTED_VALUE"""),"")</f>
        <v/>
      </c>
      <c r="Q670" s="36" t="str">
        <f ca="1">IFERROR(__xludf.DUMMYFUNCTION("""COMPUTED_VALUE"""),"")</f>
        <v/>
      </c>
      <c r="R670" s="36" t="str">
        <f ca="1">IFERROR(__xludf.DUMMYFUNCTION("""COMPUTED_VALUE"""),"")</f>
        <v/>
      </c>
      <c r="S670" s="36" t="str">
        <f ca="1">IFERROR(__xludf.DUMMYFUNCTION("""COMPUTED_VALUE"""),"")</f>
        <v/>
      </c>
      <c r="T670" s="36" t="str">
        <f ca="1">IFERROR(__xludf.DUMMYFUNCTION("""COMPUTED_VALUE"""),"")</f>
        <v/>
      </c>
      <c r="U670" s="36" t="str">
        <f ca="1">IFERROR(__xludf.DUMMYFUNCTION("""COMPUTED_VALUE"""),"")</f>
        <v/>
      </c>
      <c r="V670" s="36" t="str">
        <f ca="1">IFERROR(__xludf.DUMMYFUNCTION("""COMPUTED_VALUE"""),"")</f>
        <v/>
      </c>
      <c r="W670" s="36" t="str">
        <f ca="1">IFERROR(__xludf.DUMMYFUNCTION("""COMPUTED_VALUE"""),"")</f>
        <v/>
      </c>
      <c r="X670" s="36"/>
      <c r="Y670" s="36"/>
      <c r="Z670" s="36"/>
    </row>
    <row r="671" spans="1:26" ht="12.75" hidden="1">
      <c r="A671" s="36" t="str">
        <f ca="1">IFERROR(__xludf.DUMMYFUNCTION("""COMPUTED_VALUE"""),"")</f>
        <v/>
      </c>
      <c r="B671" s="36" t="str">
        <f ca="1">IFERROR(__xludf.DUMMYFUNCTION("""COMPUTED_VALUE"""),"")</f>
        <v/>
      </c>
      <c r="C671" s="36" t="str">
        <f ca="1">IFERROR(__xludf.DUMMYFUNCTION("""COMPUTED_VALUE"""),"")</f>
        <v/>
      </c>
      <c r="D671" s="36" t="str">
        <f ca="1">IFERROR(__xludf.DUMMYFUNCTION("""COMPUTED_VALUE"""),"")</f>
        <v/>
      </c>
      <c r="E671" s="36" t="str">
        <f ca="1">IFERROR(__xludf.DUMMYFUNCTION("""COMPUTED_VALUE"""),"")</f>
        <v/>
      </c>
      <c r="F671" s="36" t="str">
        <f ca="1">IFERROR(__xludf.DUMMYFUNCTION("""COMPUTED_VALUE"""),"")</f>
        <v/>
      </c>
      <c r="G671" s="36" t="str">
        <f ca="1">IFERROR(__xludf.DUMMYFUNCTION("""COMPUTED_VALUE"""),"")</f>
        <v/>
      </c>
      <c r="H671" s="36" t="str">
        <f ca="1">IFERROR(__xludf.DUMMYFUNCTION("""COMPUTED_VALUE"""),"")</f>
        <v/>
      </c>
      <c r="I671" s="36" t="str">
        <f ca="1">IFERROR(__xludf.DUMMYFUNCTION("""COMPUTED_VALUE"""),"")</f>
        <v/>
      </c>
      <c r="J671" s="36" t="str">
        <f ca="1">IFERROR(__xludf.DUMMYFUNCTION("""COMPUTED_VALUE"""),"")</f>
        <v/>
      </c>
      <c r="K671" s="36" t="str">
        <f ca="1">IFERROR(__xludf.DUMMYFUNCTION("""COMPUTED_VALUE"""),"")</f>
        <v/>
      </c>
      <c r="L671" s="36" t="str">
        <f ca="1">IFERROR(__xludf.DUMMYFUNCTION("""COMPUTED_VALUE"""),"")</f>
        <v/>
      </c>
      <c r="M671" s="36" t="str">
        <f ca="1">IFERROR(__xludf.DUMMYFUNCTION("""COMPUTED_VALUE"""),"")</f>
        <v/>
      </c>
      <c r="N671" s="36" t="str">
        <f ca="1">IFERROR(__xludf.DUMMYFUNCTION("""COMPUTED_VALUE"""),"")</f>
        <v/>
      </c>
      <c r="O671" s="36" t="str">
        <f ca="1">IFERROR(__xludf.DUMMYFUNCTION("""COMPUTED_VALUE"""),"")</f>
        <v/>
      </c>
      <c r="P671" s="36" t="str">
        <f ca="1">IFERROR(__xludf.DUMMYFUNCTION("""COMPUTED_VALUE"""),"")</f>
        <v/>
      </c>
      <c r="Q671" s="36" t="str">
        <f ca="1">IFERROR(__xludf.DUMMYFUNCTION("""COMPUTED_VALUE"""),"")</f>
        <v/>
      </c>
      <c r="R671" s="36" t="str">
        <f ca="1">IFERROR(__xludf.DUMMYFUNCTION("""COMPUTED_VALUE"""),"")</f>
        <v/>
      </c>
      <c r="S671" s="36" t="str">
        <f ca="1">IFERROR(__xludf.DUMMYFUNCTION("""COMPUTED_VALUE"""),"")</f>
        <v/>
      </c>
      <c r="T671" s="36" t="str">
        <f ca="1">IFERROR(__xludf.DUMMYFUNCTION("""COMPUTED_VALUE"""),"")</f>
        <v/>
      </c>
      <c r="U671" s="36" t="str">
        <f ca="1">IFERROR(__xludf.DUMMYFUNCTION("""COMPUTED_VALUE"""),"")</f>
        <v/>
      </c>
      <c r="V671" s="36" t="str">
        <f ca="1">IFERROR(__xludf.DUMMYFUNCTION("""COMPUTED_VALUE"""),"")</f>
        <v/>
      </c>
      <c r="W671" s="36" t="str">
        <f ca="1">IFERROR(__xludf.DUMMYFUNCTION("""COMPUTED_VALUE"""),"")</f>
        <v/>
      </c>
      <c r="X671" s="36"/>
      <c r="Y671" s="36"/>
      <c r="Z671" s="36"/>
    </row>
    <row r="672" spans="1:26" ht="12.75" hidden="1">
      <c r="A672" s="36" t="str">
        <f ca="1">IFERROR(__xludf.DUMMYFUNCTION("""COMPUTED_VALUE"""),"")</f>
        <v/>
      </c>
      <c r="B672" s="36" t="str">
        <f ca="1">IFERROR(__xludf.DUMMYFUNCTION("""COMPUTED_VALUE"""),"")</f>
        <v/>
      </c>
      <c r="C672" s="36" t="str">
        <f ca="1">IFERROR(__xludf.DUMMYFUNCTION("""COMPUTED_VALUE"""),"")</f>
        <v/>
      </c>
      <c r="D672" s="36" t="str">
        <f ca="1">IFERROR(__xludf.DUMMYFUNCTION("""COMPUTED_VALUE"""),"")</f>
        <v/>
      </c>
      <c r="E672" s="36" t="str">
        <f ca="1">IFERROR(__xludf.DUMMYFUNCTION("""COMPUTED_VALUE"""),"")</f>
        <v/>
      </c>
      <c r="F672" s="36" t="str">
        <f ca="1">IFERROR(__xludf.DUMMYFUNCTION("""COMPUTED_VALUE"""),"")</f>
        <v/>
      </c>
      <c r="G672" s="36" t="str">
        <f ca="1">IFERROR(__xludf.DUMMYFUNCTION("""COMPUTED_VALUE"""),"")</f>
        <v/>
      </c>
      <c r="H672" s="36" t="str">
        <f ca="1">IFERROR(__xludf.DUMMYFUNCTION("""COMPUTED_VALUE"""),"")</f>
        <v/>
      </c>
      <c r="I672" s="36" t="str">
        <f ca="1">IFERROR(__xludf.DUMMYFUNCTION("""COMPUTED_VALUE"""),"")</f>
        <v/>
      </c>
      <c r="J672" s="36" t="str">
        <f ca="1">IFERROR(__xludf.DUMMYFUNCTION("""COMPUTED_VALUE"""),"")</f>
        <v/>
      </c>
      <c r="K672" s="36" t="str">
        <f ca="1">IFERROR(__xludf.DUMMYFUNCTION("""COMPUTED_VALUE"""),"")</f>
        <v/>
      </c>
      <c r="L672" s="36" t="str">
        <f ca="1">IFERROR(__xludf.DUMMYFUNCTION("""COMPUTED_VALUE"""),"")</f>
        <v/>
      </c>
      <c r="M672" s="36" t="str">
        <f ca="1">IFERROR(__xludf.DUMMYFUNCTION("""COMPUTED_VALUE"""),"")</f>
        <v/>
      </c>
      <c r="N672" s="36" t="str">
        <f ca="1">IFERROR(__xludf.DUMMYFUNCTION("""COMPUTED_VALUE"""),"")</f>
        <v/>
      </c>
      <c r="O672" s="36" t="str">
        <f ca="1">IFERROR(__xludf.DUMMYFUNCTION("""COMPUTED_VALUE"""),"")</f>
        <v/>
      </c>
      <c r="P672" s="36" t="str">
        <f ca="1">IFERROR(__xludf.DUMMYFUNCTION("""COMPUTED_VALUE"""),"")</f>
        <v/>
      </c>
      <c r="Q672" s="36" t="str">
        <f ca="1">IFERROR(__xludf.DUMMYFUNCTION("""COMPUTED_VALUE"""),"")</f>
        <v/>
      </c>
      <c r="R672" s="36" t="str">
        <f ca="1">IFERROR(__xludf.DUMMYFUNCTION("""COMPUTED_VALUE"""),"")</f>
        <v/>
      </c>
      <c r="S672" s="36" t="str">
        <f ca="1">IFERROR(__xludf.DUMMYFUNCTION("""COMPUTED_VALUE"""),"")</f>
        <v/>
      </c>
      <c r="T672" s="36" t="str">
        <f ca="1">IFERROR(__xludf.DUMMYFUNCTION("""COMPUTED_VALUE"""),"")</f>
        <v/>
      </c>
      <c r="U672" s="36" t="str">
        <f ca="1">IFERROR(__xludf.DUMMYFUNCTION("""COMPUTED_VALUE"""),"")</f>
        <v/>
      </c>
      <c r="V672" s="36" t="str">
        <f ca="1">IFERROR(__xludf.DUMMYFUNCTION("""COMPUTED_VALUE"""),"")</f>
        <v/>
      </c>
      <c r="W672" s="36" t="str">
        <f ca="1">IFERROR(__xludf.DUMMYFUNCTION("""COMPUTED_VALUE"""),"")</f>
        <v/>
      </c>
      <c r="X672" s="36"/>
      <c r="Y672" s="36"/>
      <c r="Z672" s="36"/>
    </row>
    <row r="673" spans="1:26" ht="12.75" hidden="1">
      <c r="A673" s="36" t="str">
        <f ca="1">IFERROR(__xludf.DUMMYFUNCTION("""COMPUTED_VALUE"""),"")</f>
        <v/>
      </c>
      <c r="B673" s="36" t="str">
        <f ca="1">IFERROR(__xludf.DUMMYFUNCTION("""COMPUTED_VALUE"""),"")</f>
        <v/>
      </c>
      <c r="C673" s="36" t="str">
        <f ca="1">IFERROR(__xludf.DUMMYFUNCTION("""COMPUTED_VALUE"""),"")</f>
        <v/>
      </c>
      <c r="D673" s="36" t="str">
        <f ca="1">IFERROR(__xludf.DUMMYFUNCTION("""COMPUTED_VALUE"""),"")</f>
        <v/>
      </c>
      <c r="E673" s="36" t="str">
        <f ca="1">IFERROR(__xludf.DUMMYFUNCTION("""COMPUTED_VALUE"""),"")</f>
        <v/>
      </c>
      <c r="F673" s="36" t="str">
        <f ca="1">IFERROR(__xludf.DUMMYFUNCTION("""COMPUTED_VALUE"""),"")</f>
        <v/>
      </c>
      <c r="G673" s="36" t="str">
        <f ca="1">IFERROR(__xludf.DUMMYFUNCTION("""COMPUTED_VALUE"""),"")</f>
        <v/>
      </c>
      <c r="H673" s="36" t="str">
        <f ca="1">IFERROR(__xludf.DUMMYFUNCTION("""COMPUTED_VALUE"""),"")</f>
        <v/>
      </c>
      <c r="I673" s="36" t="str">
        <f ca="1">IFERROR(__xludf.DUMMYFUNCTION("""COMPUTED_VALUE"""),"")</f>
        <v/>
      </c>
      <c r="J673" s="36" t="str">
        <f ca="1">IFERROR(__xludf.DUMMYFUNCTION("""COMPUTED_VALUE"""),"")</f>
        <v/>
      </c>
      <c r="K673" s="36" t="str">
        <f ca="1">IFERROR(__xludf.DUMMYFUNCTION("""COMPUTED_VALUE"""),"")</f>
        <v/>
      </c>
      <c r="L673" s="36" t="str">
        <f ca="1">IFERROR(__xludf.DUMMYFUNCTION("""COMPUTED_VALUE"""),"")</f>
        <v/>
      </c>
      <c r="M673" s="36" t="str">
        <f ca="1">IFERROR(__xludf.DUMMYFUNCTION("""COMPUTED_VALUE"""),"")</f>
        <v/>
      </c>
      <c r="N673" s="36" t="str">
        <f ca="1">IFERROR(__xludf.DUMMYFUNCTION("""COMPUTED_VALUE"""),"")</f>
        <v/>
      </c>
      <c r="O673" s="36" t="str">
        <f ca="1">IFERROR(__xludf.DUMMYFUNCTION("""COMPUTED_VALUE"""),"")</f>
        <v/>
      </c>
      <c r="P673" s="36" t="str">
        <f ca="1">IFERROR(__xludf.DUMMYFUNCTION("""COMPUTED_VALUE"""),"")</f>
        <v/>
      </c>
      <c r="Q673" s="36" t="str">
        <f ca="1">IFERROR(__xludf.DUMMYFUNCTION("""COMPUTED_VALUE"""),"")</f>
        <v/>
      </c>
      <c r="R673" s="36" t="str">
        <f ca="1">IFERROR(__xludf.DUMMYFUNCTION("""COMPUTED_VALUE"""),"")</f>
        <v/>
      </c>
      <c r="S673" s="36" t="str">
        <f ca="1">IFERROR(__xludf.DUMMYFUNCTION("""COMPUTED_VALUE"""),"")</f>
        <v/>
      </c>
      <c r="T673" s="36" t="str">
        <f ca="1">IFERROR(__xludf.DUMMYFUNCTION("""COMPUTED_VALUE"""),"")</f>
        <v/>
      </c>
      <c r="U673" s="36" t="str">
        <f ca="1">IFERROR(__xludf.DUMMYFUNCTION("""COMPUTED_VALUE"""),"")</f>
        <v/>
      </c>
      <c r="V673" s="36" t="str">
        <f ca="1">IFERROR(__xludf.DUMMYFUNCTION("""COMPUTED_VALUE"""),"")</f>
        <v/>
      </c>
      <c r="W673" s="36" t="str">
        <f ca="1">IFERROR(__xludf.DUMMYFUNCTION("""COMPUTED_VALUE"""),"")</f>
        <v/>
      </c>
      <c r="X673" s="36"/>
      <c r="Y673" s="36"/>
      <c r="Z673" s="36"/>
    </row>
    <row r="674" spans="1:26" ht="12.75" hidden="1">
      <c r="A674" s="36" t="str">
        <f ca="1">IFERROR(__xludf.DUMMYFUNCTION("""COMPUTED_VALUE"""),"")</f>
        <v/>
      </c>
      <c r="B674" s="36" t="str">
        <f ca="1">IFERROR(__xludf.DUMMYFUNCTION("""COMPUTED_VALUE"""),"")</f>
        <v/>
      </c>
      <c r="C674" s="36" t="str">
        <f ca="1">IFERROR(__xludf.DUMMYFUNCTION("""COMPUTED_VALUE"""),"")</f>
        <v/>
      </c>
      <c r="D674" s="36" t="str">
        <f ca="1">IFERROR(__xludf.DUMMYFUNCTION("""COMPUTED_VALUE"""),"")</f>
        <v/>
      </c>
      <c r="E674" s="36" t="str">
        <f ca="1">IFERROR(__xludf.DUMMYFUNCTION("""COMPUTED_VALUE"""),"")</f>
        <v/>
      </c>
      <c r="F674" s="36" t="str">
        <f ca="1">IFERROR(__xludf.DUMMYFUNCTION("""COMPUTED_VALUE"""),"")</f>
        <v/>
      </c>
      <c r="G674" s="36" t="str">
        <f ca="1">IFERROR(__xludf.DUMMYFUNCTION("""COMPUTED_VALUE"""),"")</f>
        <v/>
      </c>
      <c r="H674" s="36" t="str">
        <f ca="1">IFERROR(__xludf.DUMMYFUNCTION("""COMPUTED_VALUE"""),"")</f>
        <v/>
      </c>
      <c r="I674" s="36" t="str">
        <f ca="1">IFERROR(__xludf.DUMMYFUNCTION("""COMPUTED_VALUE"""),"")</f>
        <v/>
      </c>
      <c r="J674" s="36" t="str">
        <f ca="1">IFERROR(__xludf.DUMMYFUNCTION("""COMPUTED_VALUE"""),"")</f>
        <v/>
      </c>
      <c r="K674" s="36" t="str">
        <f ca="1">IFERROR(__xludf.DUMMYFUNCTION("""COMPUTED_VALUE"""),"")</f>
        <v/>
      </c>
      <c r="L674" s="36" t="str">
        <f ca="1">IFERROR(__xludf.DUMMYFUNCTION("""COMPUTED_VALUE"""),"")</f>
        <v/>
      </c>
      <c r="M674" s="36" t="str">
        <f ca="1">IFERROR(__xludf.DUMMYFUNCTION("""COMPUTED_VALUE"""),"")</f>
        <v/>
      </c>
      <c r="N674" s="36" t="str">
        <f ca="1">IFERROR(__xludf.DUMMYFUNCTION("""COMPUTED_VALUE"""),"")</f>
        <v/>
      </c>
      <c r="O674" s="36" t="str">
        <f ca="1">IFERROR(__xludf.DUMMYFUNCTION("""COMPUTED_VALUE"""),"")</f>
        <v/>
      </c>
      <c r="P674" s="36" t="str">
        <f ca="1">IFERROR(__xludf.DUMMYFUNCTION("""COMPUTED_VALUE"""),"")</f>
        <v/>
      </c>
      <c r="Q674" s="36" t="str">
        <f ca="1">IFERROR(__xludf.DUMMYFUNCTION("""COMPUTED_VALUE"""),"")</f>
        <v/>
      </c>
      <c r="R674" s="36" t="str">
        <f ca="1">IFERROR(__xludf.DUMMYFUNCTION("""COMPUTED_VALUE"""),"")</f>
        <v/>
      </c>
      <c r="S674" s="36" t="str">
        <f ca="1">IFERROR(__xludf.DUMMYFUNCTION("""COMPUTED_VALUE"""),"")</f>
        <v/>
      </c>
      <c r="T674" s="36" t="str">
        <f ca="1">IFERROR(__xludf.DUMMYFUNCTION("""COMPUTED_VALUE"""),"")</f>
        <v/>
      </c>
      <c r="U674" s="36" t="str">
        <f ca="1">IFERROR(__xludf.DUMMYFUNCTION("""COMPUTED_VALUE"""),"")</f>
        <v/>
      </c>
      <c r="V674" s="36" t="str">
        <f ca="1">IFERROR(__xludf.DUMMYFUNCTION("""COMPUTED_VALUE"""),"")</f>
        <v/>
      </c>
      <c r="W674" s="36" t="str">
        <f ca="1">IFERROR(__xludf.DUMMYFUNCTION("""COMPUTED_VALUE"""),"")</f>
        <v/>
      </c>
      <c r="X674" s="36"/>
      <c r="Y674" s="36"/>
      <c r="Z674" s="36"/>
    </row>
    <row r="675" spans="1:26" ht="12.75" hidden="1">
      <c r="A675" s="36" t="str">
        <f ca="1">IFERROR(__xludf.DUMMYFUNCTION("""COMPUTED_VALUE"""),"")</f>
        <v/>
      </c>
      <c r="B675" s="36" t="str">
        <f ca="1">IFERROR(__xludf.DUMMYFUNCTION("""COMPUTED_VALUE"""),"")</f>
        <v/>
      </c>
      <c r="C675" s="36" t="str">
        <f ca="1">IFERROR(__xludf.DUMMYFUNCTION("""COMPUTED_VALUE"""),"")</f>
        <v/>
      </c>
      <c r="D675" s="36" t="str">
        <f ca="1">IFERROR(__xludf.DUMMYFUNCTION("""COMPUTED_VALUE"""),"")</f>
        <v/>
      </c>
      <c r="E675" s="36" t="str">
        <f ca="1">IFERROR(__xludf.DUMMYFUNCTION("""COMPUTED_VALUE"""),"")</f>
        <v/>
      </c>
      <c r="F675" s="36" t="str">
        <f ca="1">IFERROR(__xludf.DUMMYFUNCTION("""COMPUTED_VALUE"""),"")</f>
        <v/>
      </c>
      <c r="G675" s="36" t="str">
        <f ca="1">IFERROR(__xludf.DUMMYFUNCTION("""COMPUTED_VALUE"""),"")</f>
        <v/>
      </c>
      <c r="H675" s="36" t="str">
        <f ca="1">IFERROR(__xludf.DUMMYFUNCTION("""COMPUTED_VALUE"""),"")</f>
        <v/>
      </c>
      <c r="I675" s="36" t="str">
        <f ca="1">IFERROR(__xludf.DUMMYFUNCTION("""COMPUTED_VALUE"""),"")</f>
        <v/>
      </c>
      <c r="J675" s="36" t="str">
        <f ca="1">IFERROR(__xludf.DUMMYFUNCTION("""COMPUTED_VALUE"""),"")</f>
        <v/>
      </c>
      <c r="K675" s="36" t="str">
        <f ca="1">IFERROR(__xludf.DUMMYFUNCTION("""COMPUTED_VALUE"""),"")</f>
        <v/>
      </c>
      <c r="L675" s="36" t="str">
        <f ca="1">IFERROR(__xludf.DUMMYFUNCTION("""COMPUTED_VALUE"""),"")</f>
        <v/>
      </c>
      <c r="M675" s="36" t="str">
        <f ca="1">IFERROR(__xludf.DUMMYFUNCTION("""COMPUTED_VALUE"""),"")</f>
        <v/>
      </c>
      <c r="N675" s="36" t="str">
        <f ca="1">IFERROR(__xludf.DUMMYFUNCTION("""COMPUTED_VALUE"""),"")</f>
        <v/>
      </c>
      <c r="O675" s="36" t="str">
        <f ca="1">IFERROR(__xludf.DUMMYFUNCTION("""COMPUTED_VALUE"""),"")</f>
        <v/>
      </c>
      <c r="P675" s="36" t="str">
        <f ca="1">IFERROR(__xludf.DUMMYFUNCTION("""COMPUTED_VALUE"""),"")</f>
        <v/>
      </c>
      <c r="Q675" s="36" t="str">
        <f ca="1">IFERROR(__xludf.DUMMYFUNCTION("""COMPUTED_VALUE"""),"")</f>
        <v/>
      </c>
      <c r="R675" s="36" t="str">
        <f ca="1">IFERROR(__xludf.DUMMYFUNCTION("""COMPUTED_VALUE"""),"")</f>
        <v/>
      </c>
      <c r="S675" s="36" t="str">
        <f ca="1">IFERROR(__xludf.DUMMYFUNCTION("""COMPUTED_VALUE"""),"")</f>
        <v/>
      </c>
      <c r="T675" s="36" t="str">
        <f ca="1">IFERROR(__xludf.DUMMYFUNCTION("""COMPUTED_VALUE"""),"")</f>
        <v/>
      </c>
      <c r="U675" s="36" t="str">
        <f ca="1">IFERROR(__xludf.DUMMYFUNCTION("""COMPUTED_VALUE"""),"")</f>
        <v/>
      </c>
      <c r="V675" s="36" t="str">
        <f ca="1">IFERROR(__xludf.DUMMYFUNCTION("""COMPUTED_VALUE"""),"")</f>
        <v/>
      </c>
      <c r="W675" s="36" t="str">
        <f ca="1">IFERROR(__xludf.DUMMYFUNCTION("""COMPUTED_VALUE"""),"")</f>
        <v/>
      </c>
      <c r="X675" s="36"/>
      <c r="Y675" s="36"/>
      <c r="Z675" s="36"/>
    </row>
    <row r="676" spans="1:26" ht="12.75" hidden="1">
      <c r="A676" s="36" t="str">
        <f ca="1">IFERROR(__xludf.DUMMYFUNCTION("""COMPUTED_VALUE"""),"")</f>
        <v/>
      </c>
      <c r="B676" s="36" t="str">
        <f ca="1">IFERROR(__xludf.DUMMYFUNCTION("""COMPUTED_VALUE"""),"")</f>
        <v/>
      </c>
      <c r="C676" s="36" t="str">
        <f ca="1">IFERROR(__xludf.DUMMYFUNCTION("""COMPUTED_VALUE"""),"")</f>
        <v/>
      </c>
      <c r="D676" s="36" t="str">
        <f ca="1">IFERROR(__xludf.DUMMYFUNCTION("""COMPUTED_VALUE"""),"")</f>
        <v/>
      </c>
      <c r="E676" s="36" t="str">
        <f ca="1">IFERROR(__xludf.DUMMYFUNCTION("""COMPUTED_VALUE"""),"")</f>
        <v/>
      </c>
      <c r="F676" s="36" t="str">
        <f ca="1">IFERROR(__xludf.DUMMYFUNCTION("""COMPUTED_VALUE"""),"")</f>
        <v/>
      </c>
      <c r="G676" s="36" t="str">
        <f ca="1">IFERROR(__xludf.DUMMYFUNCTION("""COMPUTED_VALUE"""),"")</f>
        <v/>
      </c>
      <c r="H676" s="36" t="str">
        <f ca="1">IFERROR(__xludf.DUMMYFUNCTION("""COMPUTED_VALUE"""),"")</f>
        <v/>
      </c>
      <c r="I676" s="36" t="str">
        <f ca="1">IFERROR(__xludf.DUMMYFUNCTION("""COMPUTED_VALUE"""),"")</f>
        <v/>
      </c>
      <c r="J676" s="36" t="str">
        <f ca="1">IFERROR(__xludf.DUMMYFUNCTION("""COMPUTED_VALUE"""),"")</f>
        <v/>
      </c>
      <c r="K676" s="36" t="str">
        <f ca="1">IFERROR(__xludf.DUMMYFUNCTION("""COMPUTED_VALUE"""),"")</f>
        <v/>
      </c>
      <c r="L676" s="36" t="str">
        <f ca="1">IFERROR(__xludf.DUMMYFUNCTION("""COMPUTED_VALUE"""),"")</f>
        <v/>
      </c>
      <c r="M676" s="36" t="str">
        <f ca="1">IFERROR(__xludf.DUMMYFUNCTION("""COMPUTED_VALUE"""),"")</f>
        <v/>
      </c>
      <c r="N676" s="36" t="str">
        <f ca="1">IFERROR(__xludf.DUMMYFUNCTION("""COMPUTED_VALUE"""),"")</f>
        <v/>
      </c>
      <c r="O676" s="36" t="str">
        <f ca="1">IFERROR(__xludf.DUMMYFUNCTION("""COMPUTED_VALUE"""),"")</f>
        <v/>
      </c>
      <c r="P676" s="36" t="str">
        <f ca="1">IFERROR(__xludf.DUMMYFUNCTION("""COMPUTED_VALUE"""),"")</f>
        <v/>
      </c>
      <c r="Q676" s="36" t="str">
        <f ca="1">IFERROR(__xludf.DUMMYFUNCTION("""COMPUTED_VALUE"""),"")</f>
        <v/>
      </c>
      <c r="R676" s="36" t="str">
        <f ca="1">IFERROR(__xludf.DUMMYFUNCTION("""COMPUTED_VALUE"""),"")</f>
        <v/>
      </c>
      <c r="S676" s="36" t="str">
        <f ca="1">IFERROR(__xludf.DUMMYFUNCTION("""COMPUTED_VALUE"""),"")</f>
        <v/>
      </c>
      <c r="T676" s="36" t="str">
        <f ca="1">IFERROR(__xludf.DUMMYFUNCTION("""COMPUTED_VALUE"""),"")</f>
        <v/>
      </c>
      <c r="U676" s="36" t="str">
        <f ca="1">IFERROR(__xludf.DUMMYFUNCTION("""COMPUTED_VALUE"""),"")</f>
        <v/>
      </c>
      <c r="V676" s="36" t="str">
        <f ca="1">IFERROR(__xludf.DUMMYFUNCTION("""COMPUTED_VALUE"""),"")</f>
        <v/>
      </c>
      <c r="W676" s="36" t="str">
        <f ca="1">IFERROR(__xludf.DUMMYFUNCTION("""COMPUTED_VALUE"""),"")</f>
        <v/>
      </c>
      <c r="X676" s="36"/>
      <c r="Y676" s="36"/>
      <c r="Z676" s="36"/>
    </row>
    <row r="677" spans="1:26" ht="12.75" hidden="1">
      <c r="A677" s="36" t="str">
        <f ca="1">IFERROR(__xludf.DUMMYFUNCTION("""COMPUTED_VALUE"""),"")</f>
        <v/>
      </c>
      <c r="B677" s="36" t="str">
        <f ca="1">IFERROR(__xludf.DUMMYFUNCTION("""COMPUTED_VALUE"""),"")</f>
        <v/>
      </c>
      <c r="C677" s="36" t="str">
        <f ca="1">IFERROR(__xludf.DUMMYFUNCTION("""COMPUTED_VALUE"""),"")</f>
        <v/>
      </c>
      <c r="D677" s="36" t="str">
        <f ca="1">IFERROR(__xludf.DUMMYFUNCTION("""COMPUTED_VALUE"""),"")</f>
        <v/>
      </c>
      <c r="E677" s="36" t="str">
        <f ca="1">IFERROR(__xludf.DUMMYFUNCTION("""COMPUTED_VALUE"""),"")</f>
        <v/>
      </c>
      <c r="F677" s="36" t="str">
        <f ca="1">IFERROR(__xludf.DUMMYFUNCTION("""COMPUTED_VALUE"""),"")</f>
        <v/>
      </c>
      <c r="G677" s="36" t="str">
        <f ca="1">IFERROR(__xludf.DUMMYFUNCTION("""COMPUTED_VALUE"""),"")</f>
        <v/>
      </c>
      <c r="H677" s="36" t="str">
        <f ca="1">IFERROR(__xludf.DUMMYFUNCTION("""COMPUTED_VALUE"""),"")</f>
        <v/>
      </c>
      <c r="I677" s="36" t="str">
        <f ca="1">IFERROR(__xludf.DUMMYFUNCTION("""COMPUTED_VALUE"""),"")</f>
        <v/>
      </c>
      <c r="J677" s="36" t="str">
        <f ca="1">IFERROR(__xludf.DUMMYFUNCTION("""COMPUTED_VALUE"""),"")</f>
        <v/>
      </c>
      <c r="K677" s="36" t="str">
        <f ca="1">IFERROR(__xludf.DUMMYFUNCTION("""COMPUTED_VALUE"""),"")</f>
        <v/>
      </c>
      <c r="L677" s="36" t="str">
        <f ca="1">IFERROR(__xludf.DUMMYFUNCTION("""COMPUTED_VALUE"""),"")</f>
        <v/>
      </c>
      <c r="M677" s="36" t="str">
        <f ca="1">IFERROR(__xludf.DUMMYFUNCTION("""COMPUTED_VALUE"""),"")</f>
        <v/>
      </c>
      <c r="N677" s="36" t="str">
        <f ca="1">IFERROR(__xludf.DUMMYFUNCTION("""COMPUTED_VALUE"""),"")</f>
        <v/>
      </c>
      <c r="O677" s="36" t="str">
        <f ca="1">IFERROR(__xludf.DUMMYFUNCTION("""COMPUTED_VALUE"""),"")</f>
        <v/>
      </c>
      <c r="P677" s="36" t="str">
        <f ca="1">IFERROR(__xludf.DUMMYFUNCTION("""COMPUTED_VALUE"""),"")</f>
        <v/>
      </c>
      <c r="Q677" s="36" t="str">
        <f ca="1">IFERROR(__xludf.DUMMYFUNCTION("""COMPUTED_VALUE"""),"")</f>
        <v/>
      </c>
      <c r="R677" s="36" t="str">
        <f ca="1">IFERROR(__xludf.DUMMYFUNCTION("""COMPUTED_VALUE"""),"")</f>
        <v/>
      </c>
      <c r="S677" s="36" t="str">
        <f ca="1">IFERROR(__xludf.DUMMYFUNCTION("""COMPUTED_VALUE"""),"")</f>
        <v/>
      </c>
      <c r="T677" s="36" t="str">
        <f ca="1">IFERROR(__xludf.DUMMYFUNCTION("""COMPUTED_VALUE"""),"")</f>
        <v/>
      </c>
      <c r="U677" s="36" t="str">
        <f ca="1">IFERROR(__xludf.DUMMYFUNCTION("""COMPUTED_VALUE"""),"")</f>
        <v/>
      </c>
      <c r="V677" s="36" t="str">
        <f ca="1">IFERROR(__xludf.DUMMYFUNCTION("""COMPUTED_VALUE"""),"")</f>
        <v/>
      </c>
      <c r="W677" s="36" t="str">
        <f ca="1">IFERROR(__xludf.DUMMYFUNCTION("""COMPUTED_VALUE"""),"")</f>
        <v/>
      </c>
      <c r="X677" s="36"/>
      <c r="Y677" s="36"/>
      <c r="Z677" s="36"/>
    </row>
    <row r="678" spans="1:26" ht="12.75" hidden="1">
      <c r="A678" s="36" t="str">
        <f ca="1">IFERROR(__xludf.DUMMYFUNCTION("""COMPUTED_VALUE"""),"")</f>
        <v/>
      </c>
      <c r="B678" s="36" t="str">
        <f ca="1">IFERROR(__xludf.DUMMYFUNCTION("""COMPUTED_VALUE"""),"")</f>
        <v/>
      </c>
      <c r="C678" s="36" t="str">
        <f ca="1">IFERROR(__xludf.DUMMYFUNCTION("""COMPUTED_VALUE"""),"")</f>
        <v/>
      </c>
      <c r="D678" s="36" t="str">
        <f ca="1">IFERROR(__xludf.DUMMYFUNCTION("""COMPUTED_VALUE"""),"")</f>
        <v/>
      </c>
      <c r="E678" s="36" t="str">
        <f ca="1">IFERROR(__xludf.DUMMYFUNCTION("""COMPUTED_VALUE"""),"")</f>
        <v/>
      </c>
      <c r="F678" s="36" t="str">
        <f ca="1">IFERROR(__xludf.DUMMYFUNCTION("""COMPUTED_VALUE"""),"")</f>
        <v/>
      </c>
      <c r="G678" s="36" t="str">
        <f ca="1">IFERROR(__xludf.DUMMYFUNCTION("""COMPUTED_VALUE"""),"")</f>
        <v/>
      </c>
      <c r="H678" s="36" t="str">
        <f ca="1">IFERROR(__xludf.DUMMYFUNCTION("""COMPUTED_VALUE"""),"")</f>
        <v/>
      </c>
      <c r="I678" s="36" t="str">
        <f ca="1">IFERROR(__xludf.DUMMYFUNCTION("""COMPUTED_VALUE"""),"")</f>
        <v/>
      </c>
      <c r="J678" s="36" t="str">
        <f ca="1">IFERROR(__xludf.DUMMYFUNCTION("""COMPUTED_VALUE"""),"")</f>
        <v/>
      </c>
      <c r="K678" s="36" t="str">
        <f ca="1">IFERROR(__xludf.DUMMYFUNCTION("""COMPUTED_VALUE"""),"")</f>
        <v/>
      </c>
      <c r="L678" s="36" t="str">
        <f ca="1">IFERROR(__xludf.DUMMYFUNCTION("""COMPUTED_VALUE"""),"")</f>
        <v/>
      </c>
      <c r="M678" s="36" t="str">
        <f ca="1">IFERROR(__xludf.DUMMYFUNCTION("""COMPUTED_VALUE"""),"")</f>
        <v/>
      </c>
      <c r="N678" s="36" t="str">
        <f ca="1">IFERROR(__xludf.DUMMYFUNCTION("""COMPUTED_VALUE"""),"")</f>
        <v/>
      </c>
      <c r="O678" s="36" t="str">
        <f ca="1">IFERROR(__xludf.DUMMYFUNCTION("""COMPUTED_VALUE"""),"")</f>
        <v/>
      </c>
      <c r="P678" s="36" t="str">
        <f ca="1">IFERROR(__xludf.DUMMYFUNCTION("""COMPUTED_VALUE"""),"")</f>
        <v/>
      </c>
      <c r="Q678" s="36" t="str">
        <f ca="1">IFERROR(__xludf.DUMMYFUNCTION("""COMPUTED_VALUE"""),"")</f>
        <v/>
      </c>
      <c r="R678" s="36" t="str">
        <f ca="1">IFERROR(__xludf.DUMMYFUNCTION("""COMPUTED_VALUE"""),"")</f>
        <v/>
      </c>
      <c r="S678" s="36" t="str">
        <f ca="1">IFERROR(__xludf.DUMMYFUNCTION("""COMPUTED_VALUE"""),"")</f>
        <v/>
      </c>
      <c r="T678" s="36" t="str">
        <f ca="1">IFERROR(__xludf.DUMMYFUNCTION("""COMPUTED_VALUE"""),"")</f>
        <v/>
      </c>
      <c r="U678" s="36" t="str">
        <f ca="1">IFERROR(__xludf.DUMMYFUNCTION("""COMPUTED_VALUE"""),"")</f>
        <v/>
      </c>
      <c r="V678" s="36" t="str">
        <f ca="1">IFERROR(__xludf.DUMMYFUNCTION("""COMPUTED_VALUE"""),"")</f>
        <v/>
      </c>
      <c r="W678" s="36" t="str">
        <f ca="1">IFERROR(__xludf.DUMMYFUNCTION("""COMPUTED_VALUE"""),"")</f>
        <v/>
      </c>
      <c r="X678" s="36"/>
      <c r="Y678" s="36"/>
      <c r="Z678" s="36"/>
    </row>
    <row r="679" spans="1:26" ht="12.75" hidden="1">
      <c r="A679" s="36" t="str">
        <f ca="1">IFERROR(__xludf.DUMMYFUNCTION("""COMPUTED_VALUE"""),"")</f>
        <v/>
      </c>
      <c r="B679" s="36" t="str">
        <f ca="1">IFERROR(__xludf.DUMMYFUNCTION("""COMPUTED_VALUE"""),"")</f>
        <v/>
      </c>
      <c r="C679" s="36" t="str">
        <f ca="1">IFERROR(__xludf.DUMMYFUNCTION("""COMPUTED_VALUE"""),"")</f>
        <v/>
      </c>
      <c r="D679" s="36" t="str">
        <f ca="1">IFERROR(__xludf.DUMMYFUNCTION("""COMPUTED_VALUE"""),"")</f>
        <v/>
      </c>
      <c r="E679" s="36" t="str">
        <f ca="1">IFERROR(__xludf.DUMMYFUNCTION("""COMPUTED_VALUE"""),"")</f>
        <v/>
      </c>
      <c r="F679" s="36" t="str">
        <f ca="1">IFERROR(__xludf.DUMMYFUNCTION("""COMPUTED_VALUE"""),"")</f>
        <v/>
      </c>
      <c r="G679" s="36" t="str">
        <f ca="1">IFERROR(__xludf.DUMMYFUNCTION("""COMPUTED_VALUE"""),"")</f>
        <v/>
      </c>
      <c r="H679" s="36" t="str">
        <f ca="1">IFERROR(__xludf.DUMMYFUNCTION("""COMPUTED_VALUE"""),"")</f>
        <v/>
      </c>
      <c r="I679" s="36" t="str">
        <f ca="1">IFERROR(__xludf.DUMMYFUNCTION("""COMPUTED_VALUE"""),"")</f>
        <v/>
      </c>
      <c r="J679" s="36" t="str">
        <f ca="1">IFERROR(__xludf.DUMMYFUNCTION("""COMPUTED_VALUE"""),"")</f>
        <v/>
      </c>
      <c r="K679" s="36" t="str">
        <f ca="1">IFERROR(__xludf.DUMMYFUNCTION("""COMPUTED_VALUE"""),"")</f>
        <v/>
      </c>
      <c r="L679" s="36" t="str">
        <f ca="1">IFERROR(__xludf.DUMMYFUNCTION("""COMPUTED_VALUE"""),"")</f>
        <v/>
      </c>
      <c r="M679" s="36" t="str">
        <f ca="1">IFERROR(__xludf.DUMMYFUNCTION("""COMPUTED_VALUE"""),"")</f>
        <v/>
      </c>
      <c r="N679" s="36" t="str">
        <f ca="1">IFERROR(__xludf.DUMMYFUNCTION("""COMPUTED_VALUE"""),"")</f>
        <v/>
      </c>
      <c r="O679" s="36" t="str">
        <f ca="1">IFERROR(__xludf.DUMMYFUNCTION("""COMPUTED_VALUE"""),"")</f>
        <v/>
      </c>
      <c r="P679" s="36" t="str">
        <f ca="1">IFERROR(__xludf.DUMMYFUNCTION("""COMPUTED_VALUE"""),"")</f>
        <v/>
      </c>
      <c r="Q679" s="36" t="str">
        <f ca="1">IFERROR(__xludf.DUMMYFUNCTION("""COMPUTED_VALUE"""),"")</f>
        <v/>
      </c>
      <c r="R679" s="36" t="str">
        <f ca="1">IFERROR(__xludf.DUMMYFUNCTION("""COMPUTED_VALUE"""),"")</f>
        <v/>
      </c>
      <c r="S679" s="36" t="str">
        <f ca="1">IFERROR(__xludf.DUMMYFUNCTION("""COMPUTED_VALUE"""),"")</f>
        <v/>
      </c>
      <c r="T679" s="36" t="str">
        <f ca="1">IFERROR(__xludf.DUMMYFUNCTION("""COMPUTED_VALUE"""),"")</f>
        <v/>
      </c>
      <c r="U679" s="36" t="str">
        <f ca="1">IFERROR(__xludf.DUMMYFUNCTION("""COMPUTED_VALUE"""),"")</f>
        <v/>
      </c>
      <c r="V679" s="36" t="str">
        <f ca="1">IFERROR(__xludf.DUMMYFUNCTION("""COMPUTED_VALUE"""),"")</f>
        <v/>
      </c>
      <c r="W679" s="36" t="str">
        <f ca="1">IFERROR(__xludf.DUMMYFUNCTION("""COMPUTED_VALUE"""),"")</f>
        <v/>
      </c>
      <c r="X679" s="36"/>
      <c r="Y679" s="36"/>
      <c r="Z679" s="36"/>
    </row>
    <row r="680" spans="1:26" ht="12.75" hidden="1">
      <c r="A680" s="36" t="str">
        <f ca="1">IFERROR(__xludf.DUMMYFUNCTION("""COMPUTED_VALUE"""),"")</f>
        <v/>
      </c>
      <c r="B680" s="36" t="str">
        <f ca="1">IFERROR(__xludf.DUMMYFUNCTION("""COMPUTED_VALUE"""),"")</f>
        <v/>
      </c>
      <c r="C680" s="36" t="str">
        <f ca="1">IFERROR(__xludf.DUMMYFUNCTION("""COMPUTED_VALUE"""),"")</f>
        <v/>
      </c>
      <c r="D680" s="36" t="str">
        <f ca="1">IFERROR(__xludf.DUMMYFUNCTION("""COMPUTED_VALUE"""),"")</f>
        <v/>
      </c>
      <c r="E680" s="36" t="str">
        <f ca="1">IFERROR(__xludf.DUMMYFUNCTION("""COMPUTED_VALUE"""),"")</f>
        <v/>
      </c>
      <c r="F680" s="36" t="str">
        <f ca="1">IFERROR(__xludf.DUMMYFUNCTION("""COMPUTED_VALUE"""),"")</f>
        <v/>
      </c>
      <c r="G680" s="36" t="str">
        <f ca="1">IFERROR(__xludf.DUMMYFUNCTION("""COMPUTED_VALUE"""),"")</f>
        <v/>
      </c>
      <c r="H680" s="36" t="str">
        <f ca="1">IFERROR(__xludf.DUMMYFUNCTION("""COMPUTED_VALUE"""),"")</f>
        <v/>
      </c>
      <c r="I680" s="36" t="str">
        <f ca="1">IFERROR(__xludf.DUMMYFUNCTION("""COMPUTED_VALUE"""),"")</f>
        <v/>
      </c>
      <c r="J680" s="36" t="str">
        <f ca="1">IFERROR(__xludf.DUMMYFUNCTION("""COMPUTED_VALUE"""),"")</f>
        <v/>
      </c>
      <c r="K680" s="36" t="str">
        <f ca="1">IFERROR(__xludf.DUMMYFUNCTION("""COMPUTED_VALUE"""),"")</f>
        <v/>
      </c>
      <c r="L680" s="36" t="str">
        <f ca="1">IFERROR(__xludf.DUMMYFUNCTION("""COMPUTED_VALUE"""),"")</f>
        <v/>
      </c>
      <c r="M680" s="36" t="str">
        <f ca="1">IFERROR(__xludf.DUMMYFUNCTION("""COMPUTED_VALUE"""),"")</f>
        <v/>
      </c>
      <c r="N680" s="36" t="str">
        <f ca="1">IFERROR(__xludf.DUMMYFUNCTION("""COMPUTED_VALUE"""),"")</f>
        <v/>
      </c>
      <c r="O680" s="36" t="str">
        <f ca="1">IFERROR(__xludf.DUMMYFUNCTION("""COMPUTED_VALUE"""),"")</f>
        <v/>
      </c>
      <c r="P680" s="36" t="str">
        <f ca="1">IFERROR(__xludf.DUMMYFUNCTION("""COMPUTED_VALUE"""),"")</f>
        <v/>
      </c>
      <c r="Q680" s="36" t="str">
        <f ca="1">IFERROR(__xludf.DUMMYFUNCTION("""COMPUTED_VALUE"""),"")</f>
        <v/>
      </c>
      <c r="R680" s="36" t="str">
        <f ca="1">IFERROR(__xludf.DUMMYFUNCTION("""COMPUTED_VALUE"""),"")</f>
        <v/>
      </c>
      <c r="S680" s="36" t="str">
        <f ca="1">IFERROR(__xludf.DUMMYFUNCTION("""COMPUTED_VALUE"""),"")</f>
        <v/>
      </c>
      <c r="T680" s="36" t="str">
        <f ca="1">IFERROR(__xludf.DUMMYFUNCTION("""COMPUTED_VALUE"""),"")</f>
        <v/>
      </c>
      <c r="U680" s="36" t="str">
        <f ca="1">IFERROR(__xludf.DUMMYFUNCTION("""COMPUTED_VALUE"""),"")</f>
        <v/>
      </c>
      <c r="V680" s="36" t="str">
        <f ca="1">IFERROR(__xludf.DUMMYFUNCTION("""COMPUTED_VALUE"""),"")</f>
        <v/>
      </c>
      <c r="W680" s="36" t="str">
        <f ca="1">IFERROR(__xludf.DUMMYFUNCTION("""COMPUTED_VALUE"""),"")</f>
        <v/>
      </c>
      <c r="X680" s="36"/>
      <c r="Y680" s="36"/>
      <c r="Z680" s="36"/>
    </row>
    <row r="681" spans="1:26" ht="12.75" hidden="1">
      <c r="A681" s="36" t="str">
        <f ca="1">IFERROR(__xludf.DUMMYFUNCTION("""COMPUTED_VALUE"""),"")</f>
        <v/>
      </c>
      <c r="B681" s="36" t="str">
        <f ca="1">IFERROR(__xludf.DUMMYFUNCTION("""COMPUTED_VALUE"""),"")</f>
        <v/>
      </c>
      <c r="C681" s="36" t="str">
        <f ca="1">IFERROR(__xludf.DUMMYFUNCTION("""COMPUTED_VALUE"""),"")</f>
        <v/>
      </c>
      <c r="D681" s="36" t="str">
        <f ca="1">IFERROR(__xludf.DUMMYFUNCTION("""COMPUTED_VALUE"""),"")</f>
        <v/>
      </c>
      <c r="E681" s="36" t="str">
        <f ca="1">IFERROR(__xludf.DUMMYFUNCTION("""COMPUTED_VALUE"""),"")</f>
        <v/>
      </c>
      <c r="F681" s="36" t="str">
        <f ca="1">IFERROR(__xludf.DUMMYFUNCTION("""COMPUTED_VALUE"""),"")</f>
        <v/>
      </c>
      <c r="G681" s="36" t="str">
        <f ca="1">IFERROR(__xludf.DUMMYFUNCTION("""COMPUTED_VALUE"""),"")</f>
        <v/>
      </c>
      <c r="H681" s="36" t="str">
        <f ca="1">IFERROR(__xludf.DUMMYFUNCTION("""COMPUTED_VALUE"""),"")</f>
        <v/>
      </c>
      <c r="I681" s="36" t="str">
        <f ca="1">IFERROR(__xludf.DUMMYFUNCTION("""COMPUTED_VALUE"""),"")</f>
        <v/>
      </c>
      <c r="J681" s="36" t="str">
        <f ca="1">IFERROR(__xludf.DUMMYFUNCTION("""COMPUTED_VALUE"""),"")</f>
        <v/>
      </c>
      <c r="K681" s="36" t="str">
        <f ca="1">IFERROR(__xludf.DUMMYFUNCTION("""COMPUTED_VALUE"""),"")</f>
        <v/>
      </c>
      <c r="L681" s="36" t="str">
        <f ca="1">IFERROR(__xludf.DUMMYFUNCTION("""COMPUTED_VALUE"""),"")</f>
        <v/>
      </c>
      <c r="M681" s="36" t="str">
        <f ca="1">IFERROR(__xludf.DUMMYFUNCTION("""COMPUTED_VALUE"""),"")</f>
        <v/>
      </c>
      <c r="N681" s="36" t="str">
        <f ca="1">IFERROR(__xludf.DUMMYFUNCTION("""COMPUTED_VALUE"""),"")</f>
        <v/>
      </c>
      <c r="O681" s="36" t="str">
        <f ca="1">IFERROR(__xludf.DUMMYFUNCTION("""COMPUTED_VALUE"""),"")</f>
        <v/>
      </c>
      <c r="P681" s="36" t="str">
        <f ca="1">IFERROR(__xludf.DUMMYFUNCTION("""COMPUTED_VALUE"""),"")</f>
        <v/>
      </c>
      <c r="Q681" s="36" t="str">
        <f ca="1">IFERROR(__xludf.DUMMYFUNCTION("""COMPUTED_VALUE"""),"")</f>
        <v/>
      </c>
      <c r="R681" s="36" t="str">
        <f ca="1">IFERROR(__xludf.DUMMYFUNCTION("""COMPUTED_VALUE"""),"")</f>
        <v/>
      </c>
      <c r="S681" s="36" t="str">
        <f ca="1">IFERROR(__xludf.DUMMYFUNCTION("""COMPUTED_VALUE"""),"")</f>
        <v/>
      </c>
      <c r="T681" s="36" t="str">
        <f ca="1">IFERROR(__xludf.DUMMYFUNCTION("""COMPUTED_VALUE"""),"")</f>
        <v/>
      </c>
      <c r="U681" s="36" t="str">
        <f ca="1">IFERROR(__xludf.DUMMYFUNCTION("""COMPUTED_VALUE"""),"")</f>
        <v/>
      </c>
      <c r="V681" s="36" t="str">
        <f ca="1">IFERROR(__xludf.DUMMYFUNCTION("""COMPUTED_VALUE"""),"")</f>
        <v/>
      </c>
      <c r="W681" s="36" t="str">
        <f ca="1">IFERROR(__xludf.DUMMYFUNCTION("""COMPUTED_VALUE"""),"")</f>
        <v/>
      </c>
      <c r="X681" s="36"/>
      <c r="Y681" s="36"/>
      <c r="Z681" s="36"/>
    </row>
    <row r="682" spans="1:26" ht="12.75" hidden="1">
      <c r="A682" s="36" t="str">
        <f ca="1">IFERROR(__xludf.DUMMYFUNCTION("""COMPUTED_VALUE"""),"")</f>
        <v/>
      </c>
      <c r="B682" s="36" t="str">
        <f ca="1">IFERROR(__xludf.DUMMYFUNCTION("""COMPUTED_VALUE"""),"")</f>
        <v/>
      </c>
      <c r="C682" s="36" t="str">
        <f ca="1">IFERROR(__xludf.DUMMYFUNCTION("""COMPUTED_VALUE"""),"")</f>
        <v/>
      </c>
      <c r="D682" s="36" t="str">
        <f ca="1">IFERROR(__xludf.DUMMYFUNCTION("""COMPUTED_VALUE"""),"")</f>
        <v/>
      </c>
      <c r="E682" s="36" t="str">
        <f ca="1">IFERROR(__xludf.DUMMYFUNCTION("""COMPUTED_VALUE"""),"")</f>
        <v/>
      </c>
      <c r="F682" s="36" t="str">
        <f ca="1">IFERROR(__xludf.DUMMYFUNCTION("""COMPUTED_VALUE"""),"")</f>
        <v/>
      </c>
      <c r="G682" s="36" t="str">
        <f ca="1">IFERROR(__xludf.DUMMYFUNCTION("""COMPUTED_VALUE"""),"")</f>
        <v/>
      </c>
      <c r="H682" s="36" t="str">
        <f ca="1">IFERROR(__xludf.DUMMYFUNCTION("""COMPUTED_VALUE"""),"")</f>
        <v/>
      </c>
      <c r="I682" s="36" t="str">
        <f ca="1">IFERROR(__xludf.DUMMYFUNCTION("""COMPUTED_VALUE"""),"")</f>
        <v/>
      </c>
      <c r="J682" s="36" t="str">
        <f ca="1">IFERROR(__xludf.DUMMYFUNCTION("""COMPUTED_VALUE"""),"")</f>
        <v/>
      </c>
      <c r="K682" s="36" t="str">
        <f ca="1">IFERROR(__xludf.DUMMYFUNCTION("""COMPUTED_VALUE"""),"")</f>
        <v/>
      </c>
      <c r="L682" s="36" t="str">
        <f ca="1">IFERROR(__xludf.DUMMYFUNCTION("""COMPUTED_VALUE"""),"")</f>
        <v/>
      </c>
      <c r="M682" s="36" t="str">
        <f ca="1">IFERROR(__xludf.DUMMYFUNCTION("""COMPUTED_VALUE"""),"")</f>
        <v/>
      </c>
      <c r="N682" s="36" t="str">
        <f ca="1">IFERROR(__xludf.DUMMYFUNCTION("""COMPUTED_VALUE"""),"")</f>
        <v/>
      </c>
      <c r="O682" s="36" t="str">
        <f ca="1">IFERROR(__xludf.DUMMYFUNCTION("""COMPUTED_VALUE"""),"")</f>
        <v/>
      </c>
      <c r="P682" s="36" t="str">
        <f ca="1">IFERROR(__xludf.DUMMYFUNCTION("""COMPUTED_VALUE"""),"")</f>
        <v/>
      </c>
      <c r="Q682" s="36" t="str">
        <f ca="1">IFERROR(__xludf.DUMMYFUNCTION("""COMPUTED_VALUE"""),"")</f>
        <v/>
      </c>
      <c r="R682" s="36" t="str">
        <f ca="1">IFERROR(__xludf.DUMMYFUNCTION("""COMPUTED_VALUE"""),"")</f>
        <v/>
      </c>
      <c r="S682" s="36" t="str">
        <f ca="1">IFERROR(__xludf.DUMMYFUNCTION("""COMPUTED_VALUE"""),"")</f>
        <v/>
      </c>
      <c r="T682" s="36" t="str">
        <f ca="1">IFERROR(__xludf.DUMMYFUNCTION("""COMPUTED_VALUE"""),"")</f>
        <v/>
      </c>
      <c r="U682" s="36" t="str">
        <f ca="1">IFERROR(__xludf.DUMMYFUNCTION("""COMPUTED_VALUE"""),"")</f>
        <v/>
      </c>
      <c r="V682" s="36" t="str">
        <f ca="1">IFERROR(__xludf.DUMMYFUNCTION("""COMPUTED_VALUE"""),"")</f>
        <v/>
      </c>
      <c r="W682" s="36" t="str">
        <f ca="1">IFERROR(__xludf.DUMMYFUNCTION("""COMPUTED_VALUE"""),"")</f>
        <v/>
      </c>
      <c r="X682" s="36"/>
      <c r="Y682" s="36"/>
      <c r="Z682" s="36"/>
    </row>
    <row r="683" spans="1:26" ht="12.75" hidden="1">
      <c r="A683" s="36" t="str">
        <f ca="1">IFERROR(__xludf.DUMMYFUNCTION("""COMPUTED_VALUE"""),"")</f>
        <v/>
      </c>
      <c r="B683" s="36" t="str">
        <f ca="1">IFERROR(__xludf.DUMMYFUNCTION("""COMPUTED_VALUE"""),"")</f>
        <v/>
      </c>
      <c r="C683" s="36" t="str">
        <f ca="1">IFERROR(__xludf.DUMMYFUNCTION("""COMPUTED_VALUE"""),"")</f>
        <v/>
      </c>
      <c r="D683" s="36" t="str">
        <f ca="1">IFERROR(__xludf.DUMMYFUNCTION("""COMPUTED_VALUE"""),"")</f>
        <v/>
      </c>
      <c r="E683" s="36" t="str">
        <f ca="1">IFERROR(__xludf.DUMMYFUNCTION("""COMPUTED_VALUE"""),"")</f>
        <v/>
      </c>
      <c r="F683" s="36" t="str">
        <f ca="1">IFERROR(__xludf.DUMMYFUNCTION("""COMPUTED_VALUE"""),"")</f>
        <v/>
      </c>
      <c r="G683" s="36" t="str">
        <f ca="1">IFERROR(__xludf.DUMMYFUNCTION("""COMPUTED_VALUE"""),"")</f>
        <v/>
      </c>
      <c r="H683" s="36" t="str">
        <f ca="1">IFERROR(__xludf.DUMMYFUNCTION("""COMPUTED_VALUE"""),"")</f>
        <v/>
      </c>
      <c r="I683" s="36" t="str">
        <f ca="1">IFERROR(__xludf.DUMMYFUNCTION("""COMPUTED_VALUE"""),"")</f>
        <v/>
      </c>
      <c r="J683" s="36" t="str">
        <f ca="1">IFERROR(__xludf.DUMMYFUNCTION("""COMPUTED_VALUE"""),"")</f>
        <v/>
      </c>
      <c r="K683" s="36" t="str">
        <f ca="1">IFERROR(__xludf.DUMMYFUNCTION("""COMPUTED_VALUE"""),"")</f>
        <v/>
      </c>
      <c r="L683" s="36" t="str">
        <f ca="1">IFERROR(__xludf.DUMMYFUNCTION("""COMPUTED_VALUE"""),"")</f>
        <v/>
      </c>
      <c r="M683" s="36" t="str">
        <f ca="1">IFERROR(__xludf.DUMMYFUNCTION("""COMPUTED_VALUE"""),"")</f>
        <v/>
      </c>
      <c r="N683" s="36" t="str">
        <f ca="1">IFERROR(__xludf.DUMMYFUNCTION("""COMPUTED_VALUE"""),"")</f>
        <v/>
      </c>
      <c r="O683" s="36" t="str">
        <f ca="1">IFERROR(__xludf.DUMMYFUNCTION("""COMPUTED_VALUE"""),"")</f>
        <v/>
      </c>
      <c r="P683" s="36" t="str">
        <f ca="1">IFERROR(__xludf.DUMMYFUNCTION("""COMPUTED_VALUE"""),"")</f>
        <v/>
      </c>
      <c r="Q683" s="36" t="str">
        <f ca="1">IFERROR(__xludf.DUMMYFUNCTION("""COMPUTED_VALUE"""),"")</f>
        <v/>
      </c>
      <c r="R683" s="36" t="str">
        <f ca="1">IFERROR(__xludf.DUMMYFUNCTION("""COMPUTED_VALUE"""),"")</f>
        <v/>
      </c>
      <c r="S683" s="36" t="str">
        <f ca="1">IFERROR(__xludf.DUMMYFUNCTION("""COMPUTED_VALUE"""),"")</f>
        <v/>
      </c>
      <c r="T683" s="36" t="str">
        <f ca="1">IFERROR(__xludf.DUMMYFUNCTION("""COMPUTED_VALUE"""),"")</f>
        <v/>
      </c>
      <c r="U683" s="36" t="str">
        <f ca="1">IFERROR(__xludf.DUMMYFUNCTION("""COMPUTED_VALUE"""),"")</f>
        <v/>
      </c>
      <c r="V683" s="36" t="str">
        <f ca="1">IFERROR(__xludf.DUMMYFUNCTION("""COMPUTED_VALUE"""),"")</f>
        <v/>
      </c>
      <c r="W683" s="36" t="str">
        <f ca="1">IFERROR(__xludf.DUMMYFUNCTION("""COMPUTED_VALUE"""),"")</f>
        <v/>
      </c>
      <c r="X683" s="36"/>
      <c r="Y683" s="36"/>
      <c r="Z683" s="36"/>
    </row>
    <row r="684" spans="1:26" ht="12.75" hidden="1">
      <c r="A684" s="36" t="str">
        <f ca="1">IFERROR(__xludf.DUMMYFUNCTION("""COMPUTED_VALUE"""),"")</f>
        <v/>
      </c>
      <c r="B684" s="36" t="str">
        <f ca="1">IFERROR(__xludf.DUMMYFUNCTION("""COMPUTED_VALUE"""),"")</f>
        <v/>
      </c>
      <c r="C684" s="36" t="str">
        <f ca="1">IFERROR(__xludf.DUMMYFUNCTION("""COMPUTED_VALUE"""),"")</f>
        <v/>
      </c>
      <c r="D684" s="36" t="str">
        <f ca="1">IFERROR(__xludf.DUMMYFUNCTION("""COMPUTED_VALUE"""),"")</f>
        <v/>
      </c>
      <c r="E684" s="36" t="str">
        <f ca="1">IFERROR(__xludf.DUMMYFUNCTION("""COMPUTED_VALUE"""),"")</f>
        <v/>
      </c>
      <c r="F684" s="36" t="str">
        <f ca="1">IFERROR(__xludf.DUMMYFUNCTION("""COMPUTED_VALUE"""),"")</f>
        <v/>
      </c>
      <c r="G684" s="36" t="str">
        <f ca="1">IFERROR(__xludf.DUMMYFUNCTION("""COMPUTED_VALUE"""),"")</f>
        <v/>
      </c>
      <c r="H684" s="36" t="str">
        <f ca="1">IFERROR(__xludf.DUMMYFUNCTION("""COMPUTED_VALUE"""),"")</f>
        <v/>
      </c>
      <c r="I684" s="36" t="str">
        <f ca="1">IFERROR(__xludf.DUMMYFUNCTION("""COMPUTED_VALUE"""),"")</f>
        <v/>
      </c>
      <c r="J684" s="36" t="str">
        <f ca="1">IFERROR(__xludf.DUMMYFUNCTION("""COMPUTED_VALUE"""),"")</f>
        <v/>
      </c>
      <c r="K684" s="36" t="str">
        <f ca="1">IFERROR(__xludf.DUMMYFUNCTION("""COMPUTED_VALUE"""),"")</f>
        <v/>
      </c>
      <c r="L684" s="36" t="str">
        <f ca="1">IFERROR(__xludf.DUMMYFUNCTION("""COMPUTED_VALUE"""),"")</f>
        <v/>
      </c>
      <c r="M684" s="36" t="str">
        <f ca="1">IFERROR(__xludf.DUMMYFUNCTION("""COMPUTED_VALUE"""),"")</f>
        <v/>
      </c>
      <c r="N684" s="36" t="str">
        <f ca="1">IFERROR(__xludf.DUMMYFUNCTION("""COMPUTED_VALUE"""),"")</f>
        <v/>
      </c>
      <c r="O684" s="36" t="str">
        <f ca="1">IFERROR(__xludf.DUMMYFUNCTION("""COMPUTED_VALUE"""),"")</f>
        <v/>
      </c>
      <c r="P684" s="36" t="str">
        <f ca="1">IFERROR(__xludf.DUMMYFUNCTION("""COMPUTED_VALUE"""),"")</f>
        <v/>
      </c>
      <c r="Q684" s="36" t="str">
        <f ca="1">IFERROR(__xludf.DUMMYFUNCTION("""COMPUTED_VALUE"""),"")</f>
        <v/>
      </c>
      <c r="R684" s="36" t="str">
        <f ca="1">IFERROR(__xludf.DUMMYFUNCTION("""COMPUTED_VALUE"""),"")</f>
        <v/>
      </c>
      <c r="S684" s="36" t="str">
        <f ca="1">IFERROR(__xludf.DUMMYFUNCTION("""COMPUTED_VALUE"""),"")</f>
        <v/>
      </c>
      <c r="T684" s="36" t="str">
        <f ca="1">IFERROR(__xludf.DUMMYFUNCTION("""COMPUTED_VALUE"""),"")</f>
        <v/>
      </c>
      <c r="U684" s="36" t="str">
        <f ca="1">IFERROR(__xludf.DUMMYFUNCTION("""COMPUTED_VALUE"""),"")</f>
        <v/>
      </c>
      <c r="V684" s="36" t="str">
        <f ca="1">IFERROR(__xludf.DUMMYFUNCTION("""COMPUTED_VALUE"""),"")</f>
        <v/>
      </c>
      <c r="W684" s="36" t="str">
        <f ca="1">IFERROR(__xludf.DUMMYFUNCTION("""COMPUTED_VALUE"""),"")</f>
        <v/>
      </c>
      <c r="X684" s="36"/>
      <c r="Y684" s="36"/>
      <c r="Z684" s="36"/>
    </row>
    <row r="685" spans="1:26" ht="12.75" hidden="1">
      <c r="A685" s="36" t="str">
        <f ca="1">IFERROR(__xludf.DUMMYFUNCTION("""COMPUTED_VALUE"""),"")</f>
        <v/>
      </c>
      <c r="B685" s="36" t="str">
        <f ca="1">IFERROR(__xludf.DUMMYFUNCTION("""COMPUTED_VALUE"""),"")</f>
        <v/>
      </c>
      <c r="C685" s="36" t="str">
        <f ca="1">IFERROR(__xludf.DUMMYFUNCTION("""COMPUTED_VALUE"""),"")</f>
        <v/>
      </c>
      <c r="D685" s="36" t="str">
        <f ca="1">IFERROR(__xludf.DUMMYFUNCTION("""COMPUTED_VALUE"""),"")</f>
        <v/>
      </c>
      <c r="E685" s="36" t="str">
        <f ca="1">IFERROR(__xludf.DUMMYFUNCTION("""COMPUTED_VALUE"""),"")</f>
        <v/>
      </c>
      <c r="F685" s="36" t="str">
        <f ca="1">IFERROR(__xludf.DUMMYFUNCTION("""COMPUTED_VALUE"""),"")</f>
        <v/>
      </c>
      <c r="G685" s="36" t="str">
        <f ca="1">IFERROR(__xludf.DUMMYFUNCTION("""COMPUTED_VALUE"""),"")</f>
        <v/>
      </c>
      <c r="H685" s="36" t="str">
        <f ca="1">IFERROR(__xludf.DUMMYFUNCTION("""COMPUTED_VALUE"""),"")</f>
        <v/>
      </c>
      <c r="I685" s="36" t="str">
        <f ca="1">IFERROR(__xludf.DUMMYFUNCTION("""COMPUTED_VALUE"""),"")</f>
        <v/>
      </c>
      <c r="J685" s="36" t="str">
        <f ca="1">IFERROR(__xludf.DUMMYFUNCTION("""COMPUTED_VALUE"""),"")</f>
        <v/>
      </c>
      <c r="K685" s="36" t="str">
        <f ca="1">IFERROR(__xludf.DUMMYFUNCTION("""COMPUTED_VALUE"""),"")</f>
        <v/>
      </c>
      <c r="L685" s="36" t="str">
        <f ca="1">IFERROR(__xludf.DUMMYFUNCTION("""COMPUTED_VALUE"""),"")</f>
        <v/>
      </c>
      <c r="M685" s="36" t="str">
        <f ca="1">IFERROR(__xludf.DUMMYFUNCTION("""COMPUTED_VALUE"""),"")</f>
        <v/>
      </c>
      <c r="N685" s="36" t="str">
        <f ca="1">IFERROR(__xludf.DUMMYFUNCTION("""COMPUTED_VALUE"""),"")</f>
        <v/>
      </c>
      <c r="O685" s="36" t="str">
        <f ca="1">IFERROR(__xludf.DUMMYFUNCTION("""COMPUTED_VALUE"""),"")</f>
        <v/>
      </c>
      <c r="P685" s="36" t="str">
        <f ca="1">IFERROR(__xludf.DUMMYFUNCTION("""COMPUTED_VALUE"""),"")</f>
        <v/>
      </c>
      <c r="Q685" s="36" t="str">
        <f ca="1">IFERROR(__xludf.DUMMYFUNCTION("""COMPUTED_VALUE"""),"")</f>
        <v/>
      </c>
      <c r="R685" s="36" t="str">
        <f ca="1">IFERROR(__xludf.DUMMYFUNCTION("""COMPUTED_VALUE"""),"")</f>
        <v/>
      </c>
      <c r="S685" s="36" t="str">
        <f ca="1">IFERROR(__xludf.DUMMYFUNCTION("""COMPUTED_VALUE"""),"")</f>
        <v/>
      </c>
      <c r="T685" s="36" t="str">
        <f ca="1">IFERROR(__xludf.DUMMYFUNCTION("""COMPUTED_VALUE"""),"")</f>
        <v/>
      </c>
      <c r="U685" s="36" t="str">
        <f ca="1">IFERROR(__xludf.DUMMYFUNCTION("""COMPUTED_VALUE"""),"")</f>
        <v/>
      </c>
      <c r="V685" s="36" t="str">
        <f ca="1">IFERROR(__xludf.DUMMYFUNCTION("""COMPUTED_VALUE"""),"")</f>
        <v/>
      </c>
      <c r="W685" s="36" t="str">
        <f ca="1">IFERROR(__xludf.DUMMYFUNCTION("""COMPUTED_VALUE"""),"")</f>
        <v/>
      </c>
      <c r="X685" s="36"/>
      <c r="Y685" s="36"/>
      <c r="Z685" s="36"/>
    </row>
    <row r="686" spans="1:26" ht="12.75" hidden="1">
      <c r="A686" s="36" t="str">
        <f ca="1">IFERROR(__xludf.DUMMYFUNCTION("""COMPUTED_VALUE"""),"")</f>
        <v/>
      </c>
      <c r="B686" s="36" t="str">
        <f ca="1">IFERROR(__xludf.DUMMYFUNCTION("""COMPUTED_VALUE"""),"")</f>
        <v/>
      </c>
      <c r="C686" s="36" t="str">
        <f ca="1">IFERROR(__xludf.DUMMYFUNCTION("""COMPUTED_VALUE"""),"")</f>
        <v/>
      </c>
      <c r="D686" s="36" t="str">
        <f ca="1">IFERROR(__xludf.DUMMYFUNCTION("""COMPUTED_VALUE"""),"")</f>
        <v/>
      </c>
      <c r="E686" s="36" t="str">
        <f ca="1">IFERROR(__xludf.DUMMYFUNCTION("""COMPUTED_VALUE"""),"")</f>
        <v/>
      </c>
      <c r="F686" s="36" t="str">
        <f ca="1">IFERROR(__xludf.DUMMYFUNCTION("""COMPUTED_VALUE"""),"")</f>
        <v/>
      </c>
      <c r="G686" s="36" t="str">
        <f ca="1">IFERROR(__xludf.DUMMYFUNCTION("""COMPUTED_VALUE"""),"")</f>
        <v/>
      </c>
      <c r="H686" s="36" t="str">
        <f ca="1">IFERROR(__xludf.DUMMYFUNCTION("""COMPUTED_VALUE"""),"")</f>
        <v/>
      </c>
      <c r="I686" s="36" t="str">
        <f ca="1">IFERROR(__xludf.DUMMYFUNCTION("""COMPUTED_VALUE"""),"")</f>
        <v/>
      </c>
      <c r="J686" s="36" t="str">
        <f ca="1">IFERROR(__xludf.DUMMYFUNCTION("""COMPUTED_VALUE"""),"")</f>
        <v/>
      </c>
      <c r="K686" s="36" t="str">
        <f ca="1">IFERROR(__xludf.DUMMYFUNCTION("""COMPUTED_VALUE"""),"")</f>
        <v/>
      </c>
      <c r="L686" s="36" t="str">
        <f ca="1">IFERROR(__xludf.DUMMYFUNCTION("""COMPUTED_VALUE"""),"")</f>
        <v/>
      </c>
      <c r="M686" s="36" t="str">
        <f ca="1">IFERROR(__xludf.DUMMYFUNCTION("""COMPUTED_VALUE"""),"")</f>
        <v/>
      </c>
      <c r="N686" s="36" t="str">
        <f ca="1">IFERROR(__xludf.DUMMYFUNCTION("""COMPUTED_VALUE"""),"")</f>
        <v/>
      </c>
      <c r="O686" s="36" t="str">
        <f ca="1">IFERROR(__xludf.DUMMYFUNCTION("""COMPUTED_VALUE"""),"")</f>
        <v/>
      </c>
      <c r="P686" s="36" t="str">
        <f ca="1">IFERROR(__xludf.DUMMYFUNCTION("""COMPUTED_VALUE"""),"")</f>
        <v/>
      </c>
      <c r="Q686" s="36" t="str">
        <f ca="1">IFERROR(__xludf.DUMMYFUNCTION("""COMPUTED_VALUE"""),"")</f>
        <v/>
      </c>
      <c r="R686" s="36" t="str">
        <f ca="1">IFERROR(__xludf.DUMMYFUNCTION("""COMPUTED_VALUE"""),"")</f>
        <v/>
      </c>
      <c r="S686" s="36" t="str">
        <f ca="1">IFERROR(__xludf.DUMMYFUNCTION("""COMPUTED_VALUE"""),"")</f>
        <v/>
      </c>
      <c r="T686" s="36" t="str">
        <f ca="1">IFERROR(__xludf.DUMMYFUNCTION("""COMPUTED_VALUE"""),"")</f>
        <v/>
      </c>
      <c r="U686" s="36" t="str">
        <f ca="1">IFERROR(__xludf.DUMMYFUNCTION("""COMPUTED_VALUE"""),"")</f>
        <v/>
      </c>
      <c r="V686" s="36" t="str">
        <f ca="1">IFERROR(__xludf.DUMMYFUNCTION("""COMPUTED_VALUE"""),"")</f>
        <v/>
      </c>
      <c r="W686" s="36" t="str">
        <f ca="1">IFERROR(__xludf.DUMMYFUNCTION("""COMPUTED_VALUE"""),"")</f>
        <v/>
      </c>
      <c r="X686" s="36"/>
      <c r="Y686" s="36"/>
      <c r="Z686" s="36"/>
    </row>
    <row r="687" spans="1:26" ht="12.75" hidden="1">
      <c r="A687" s="36" t="str">
        <f ca="1">IFERROR(__xludf.DUMMYFUNCTION("""COMPUTED_VALUE"""),"")</f>
        <v/>
      </c>
      <c r="B687" s="36" t="str">
        <f ca="1">IFERROR(__xludf.DUMMYFUNCTION("""COMPUTED_VALUE"""),"")</f>
        <v/>
      </c>
      <c r="C687" s="36" t="str">
        <f ca="1">IFERROR(__xludf.DUMMYFUNCTION("""COMPUTED_VALUE"""),"")</f>
        <v/>
      </c>
      <c r="D687" s="36" t="str">
        <f ca="1">IFERROR(__xludf.DUMMYFUNCTION("""COMPUTED_VALUE"""),"")</f>
        <v/>
      </c>
      <c r="E687" s="36" t="str">
        <f ca="1">IFERROR(__xludf.DUMMYFUNCTION("""COMPUTED_VALUE"""),"")</f>
        <v/>
      </c>
      <c r="F687" s="36" t="str">
        <f ca="1">IFERROR(__xludf.DUMMYFUNCTION("""COMPUTED_VALUE"""),"")</f>
        <v/>
      </c>
      <c r="G687" s="36" t="str">
        <f ca="1">IFERROR(__xludf.DUMMYFUNCTION("""COMPUTED_VALUE"""),"")</f>
        <v/>
      </c>
      <c r="H687" s="36" t="str">
        <f ca="1">IFERROR(__xludf.DUMMYFUNCTION("""COMPUTED_VALUE"""),"")</f>
        <v/>
      </c>
      <c r="I687" s="36" t="str">
        <f ca="1">IFERROR(__xludf.DUMMYFUNCTION("""COMPUTED_VALUE"""),"")</f>
        <v/>
      </c>
      <c r="J687" s="36" t="str">
        <f ca="1">IFERROR(__xludf.DUMMYFUNCTION("""COMPUTED_VALUE"""),"")</f>
        <v/>
      </c>
      <c r="K687" s="36" t="str">
        <f ca="1">IFERROR(__xludf.DUMMYFUNCTION("""COMPUTED_VALUE"""),"")</f>
        <v/>
      </c>
      <c r="L687" s="36" t="str">
        <f ca="1">IFERROR(__xludf.DUMMYFUNCTION("""COMPUTED_VALUE"""),"")</f>
        <v/>
      </c>
      <c r="M687" s="36" t="str">
        <f ca="1">IFERROR(__xludf.DUMMYFUNCTION("""COMPUTED_VALUE"""),"")</f>
        <v/>
      </c>
      <c r="N687" s="36" t="str">
        <f ca="1">IFERROR(__xludf.DUMMYFUNCTION("""COMPUTED_VALUE"""),"")</f>
        <v/>
      </c>
      <c r="O687" s="36" t="str">
        <f ca="1">IFERROR(__xludf.DUMMYFUNCTION("""COMPUTED_VALUE"""),"")</f>
        <v/>
      </c>
      <c r="P687" s="36" t="str">
        <f ca="1">IFERROR(__xludf.DUMMYFUNCTION("""COMPUTED_VALUE"""),"")</f>
        <v/>
      </c>
      <c r="Q687" s="36" t="str">
        <f ca="1">IFERROR(__xludf.DUMMYFUNCTION("""COMPUTED_VALUE"""),"")</f>
        <v/>
      </c>
      <c r="R687" s="36" t="str">
        <f ca="1">IFERROR(__xludf.DUMMYFUNCTION("""COMPUTED_VALUE"""),"")</f>
        <v/>
      </c>
      <c r="S687" s="36" t="str">
        <f ca="1">IFERROR(__xludf.DUMMYFUNCTION("""COMPUTED_VALUE"""),"")</f>
        <v/>
      </c>
      <c r="T687" s="36" t="str">
        <f ca="1">IFERROR(__xludf.DUMMYFUNCTION("""COMPUTED_VALUE"""),"")</f>
        <v/>
      </c>
      <c r="U687" s="36" t="str">
        <f ca="1">IFERROR(__xludf.DUMMYFUNCTION("""COMPUTED_VALUE"""),"")</f>
        <v/>
      </c>
      <c r="V687" s="36" t="str">
        <f ca="1">IFERROR(__xludf.DUMMYFUNCTION("""COMPUTED_VALUE"""),"")</f>
        <v/>
      </c>
      <c r="W687" s="36" t="str">
        <f ca="1">IFERROR(__xludf.DUMMYFUNCTION("""COMPUTED_VALUE"""),"")</f>
        <v/>
      </c>
      <c r="X687" s="36"/>
      <c r="Y687" s="36"/>
      <c r="Z687" s="36"/>
    </row>
    <row r="688" spans="1:26" ht="12.75" hidden="1">
      <c r="A688" s="36" t="str">
        <f ca="1">IFERROR(__xludf.DUMMYFUNCTION("""COMPUTED_VALUE"""),"")</f>
        <v/>
      </c>
      <c r="B688" s="36" t="str">
        <f ca="1">IFERROR(__xludf.DUMMYFUNCTION("""COMPUTED_VALUE"""),"")</f>
        <v/>
      </c>
      <c r="C688" s="36" t="str">
        <f ca="1">IFERROR(__xludf.DUMMYFUNCTION("""COMPUTED_VALUE"""),"")</f>
        <v/>
      </c>
      <c r="D688" s="36" t="str">
        <f ca="1">IFERROR(__xludf.DUMMYFUNCTION("""COMPUTED_VALUE"""),"")</f>
        <v/>
      </c>
      <c r="E688" s="36" t="str">
        <f ca="1">IFERROR(__xludf.DUMMYFUNCTION("""COMPUTED_VALUE"""),"")</f>
        <v/>
      </c>
      <c r="F688" s="36" t="str">
        <f ca="1">IFERROR(__xludf.DUMMYFUNCTION("""COMPUTED_VALUE"""),"")</f>
        <v/>
      </c>
      <c r="G688" s="36" t="str">
        <f ca="1">IFERROR(__xludf.DUMMYFUNCTION("""COMPUTED_VALUE"""),"")</f>
        <v/>
      </c>
      <c r="H688" s="36" t="str">
        <f ca="1">IFERROR(__xludf.DUMMYFUNCTION("""COMPUTED_VALUE"""),"")</f>
        <v/>
      </c>
      <c r="I688" s="36" t="str">
        <f ca="1">IFERROR(__xludf.DUMMYFUNCTION("""COMPUTED_VALUE"""),"")</f>
        <v/>
      </c>
      <c r="J688" s="36" t="str">
        <f ca="1">IFERROR(__xludf.DUMMYFUNCTION("""COMPUTED_VALUE"""),"")</f>
        <v/>
      </c>
      <c r="K688" s="36" t="str">
        <f ca="1">IFERROR(__xludf.DUMMYFUNCTION("""COMPUTED_VALUE"""),"")</f>
        <v/>
      </c>
      <c r="L688" s="36" t="str">
        <f ca="1">IFERROR(__xludf.DUMMYFUNCTION("""COMPUTED_VALUE"""),"")</f>
        <v/>
      </c>
      <c r="M688" s="36" t="str">
        <f ca="1">IFERROR(__xludf.DUMMYFUNCTION("""COMPUTED_VALUE"""),"")</f>
        <v/>
      </c>
      <c r="N688" s="36" t="str">
        <f ca="1">IFERROR(__xludf.DUMMYFUNCTION("""COMPUTED_VALUE"""),"")</f>
        <v/>
      </c>
      <c r="O688" s="36" t="str">
        <f ca="1">IFERROR(__xludf.DUMMYFUNCTION("""COMPUTED_VALUE"""),"")</f>
        <v/>
      </c>
      <c r="P688" s="36" t="str">
        <f ca="1">IFERROR(__xludf.DUMMYFUNCTION("""COMPUTED_VALUE"""),"")</f>
        <v/>
      </c>
      <c r="Q688" s="36" t="str">
        <f ca="1">IFERROR(__xludf.DUMMYFUNCTION("""COMPUTED_VALUE"""),"")</f>
        <v/>
      </c>
      <c r="R688" s="36" t="str">
        <f ca="1">IFERROR(__xludf.DUMMYFUNCTION("""COMPUTED_VALUE"""),"")</f>
        <v/>
      </c>
      <c r="S688" s="36" t="str">
        <f ca="1">IFERROR(__xludf.DUMMYFUNCTION("""COMPUTED_VALUE"""),"")</f>
        <v/>
      </c>
      <c r="T688" s="36" t="str">
        <f ca="1">IFERROR(__xludf.DUMMYFUNCTION("""COMPUTED_VALUE"""),"")</f>
        <v/>
      </c>
      <c r="U688" s="36" t="str">
        <f ca="1">IFERROR(__xludf.DUMMYFUNCTION("""COMPUTED_VALUE"""),"")</f>
        <v/>
      </c>
      <c r="V688" s="36" t="str">
        <f ca="1">IFERROR(__xludf.DUMMYFUNCTION("""COMPUTED_VALUE"""),"")</f>
        <v/>
      </c>
      <c r="W688" s="36" t="str">
        <f ca="1">IFERROR(__xludf.DUMMYFUNCTION("""COMPUTED_VALUE"""),"")</f>
        <v/>
      </c>
      <c r="X688" s="36"/>
      <c r="Y688" s="36"/>
      <c r="Z688" s="36"/>
    </row>
    <row r="689" spans="1:26" ht="12.75" hidden="1">
      <c r="A689" s="36" t="str">
        <f ca="1">IFERROR(__xludf.DUMMYFUNCTION("""COMPUTED_VALUE"""),"")</f>
        <v/>
      </c>
      <c r="B689" s="36" t="str">
        <f ca="1">IFERROR(__xludf.DUMMYFUNCTION("""COMPUTED_VALUE"""),"")</f>
        <v/>
      </c>
      <c r="C689" s="36" t="str">
        <f ca="1">IFERROR(__xludf.DUMMYFUNCTION("""COMPUTED_VALUE"""),"")</f>
        <v/>
      </c>
      <c r="D689" s="36" t="str">
        <f ca="1">IFERROR(__xludf.DUMMYFUNCTION("""COMPUTED_VALUE"""),"")</f>
        <v/>
      </c>
      <c r="E689" s="36" t="str">
        <f ca="1">IFERROR(__xludf.DUMMYFUNCTION("""COMPUTED_VALUE"""),"")</f>
        <v/>
      </c>
      <c r="F689" s="36" t="str">
        <f ca="1">IFERROR(__xludf.DUMMYFUNCTION("""COMPUTED_VALUE"""),"")</f>
        <v/>
      </c>
      <c r="G689" s="36" t="str">
        <f ca="1">IFERROR(__xludf.DUMMYFUNCTION("""COMPUTED_VALUE"""),"")</f>
        <v/>
      </c>
      <c r="H689" s="36" t="str">
        <f ca="1">IFERROR(__xludf.DUMMYFUNCTION("""COMPUTED_VALUE"""),"")</f>
        <v/>
      </c>
      <c r="I689" s="36" t="str">
        <f ca="1">IFERROR(__xludf.DUMMYFUNCTION("""COMPUTED_VALUE"""),"")</f>
        <v/>
      </c>
      <c r="J689" s="36" t="str">
        <f ca="1">IFERROR(__xludf.DUMMYFUNCTION("""COMPUTED_VALUE"""),"")</f>
        <v/>
      </c>
      <c r="K689" s="36" t="str">
        <f ca="1">IFERROR(__xludf.DUMMYFUNCTION("""COMPUTED_VALUE"""),"")</f>
        <v/>
      </c>
      <c r="L689" s="36" t="str">
        <f ca="1">IFERROR(__xludf.DUMMYFUNCTION("""COMPUTED_VALUE"""),"")</f>
        <v/>
      </c>
      <c r="M689" s="36" t="str">
        <f ca="1">IFERROR(__xludf.DUMMYFUNCTION("""COMPUTED_VALUE"""),"")</f>
        <v/>
      </c>
      <c r="N689" s="36" t="str">
        <f ca="1">IFERROR(__xludf.DUMMYFUNCTION("""COMPUTED_VALUE"""),"")</f>
        <v/>
      </c>
      <c r="O689" s="36" t="str">
        <f ca="1">IFERROR(__xludf.DUMMYFUNCTION("""COMPUTED_VALUE"""),"")</f>
        <v/>
      </c>
      <c r="P689" s="36" t="str">
        <f ca="1">IFERROR(__xludf.DUMMYFUNCTION("""COMPUTED_VALUE"""),"")</f>
        <v/>
      </c>
      <c r="Q689" s="36" t="str">
        <f ca="1">IFERROR(__xludf.DUMMYFUNCTION("""COMPUTED_VALUE"""),"")</f>
        <v/>
      </c>
      <c r="R689" s="36" t="str">
        <f ca="1">IFERROR(__xludf.DUMMYFUNCTION("""COMPUTED_VALUE"""),"")</f>
        <v/>
      </c>
      <c r="S689" s="36" t="str">
        <f ca="1">IFERROR(__xludf.DUMMYFUNCTION("""COMPUTED_VALUE"""),"")</f>
        <v/>
      </c>
      <c r="T689" s="36" t="str">
        <f ca="1">IFERROR(__xludf.DUMMYFUNCTION("""COMPUTED_VALUE"""),"")</f>
        <v/>
      </c>
      <c r="U689" s="36" t="str">
        <f ca="1">IFERROR(__xludf.DUMMYFUNCTION("""COMPUTED_VALUE"""),"")</f>
        <v/>
      </c>
      <c r="V689" s="36" t="str">
        <f ca="1">IFERROR(__xludf.DUMMYFUNCTION("""COMPUTED_VALUE"""),"")</f>
        <v/>
      </c>
      <c r="W689" s="36" t="str">
        <f ca="1">IFERROR(__xludf.DUMMYFUNCTION("""COMPUTED_VALUE"""),"")</f>
        <v/>
      </c>
      <c r="X689" s="36"/>
      <c r="Y689" s="36"/>
      <c r="Z689" s="36"/>
    </row>
    <row r="690" spans="1:26" ht="12.75" hidden="1">
      <c r="A690" s="36" t="str">
        <f ca="1">IFERROR(__xludf.DUMMYFUNCTION("""COMPUTED_VALUE"""),"")</f>
        <v/>
      </c>
      <c r="B690" s="36" t="str">
        <f ca="1">IFERROR(__xludf.DUMMYFUNCTION("""COMPUTED_VALUE"""),"")</f>
        <v/>
      </c>
      <c r="C690" s="36" t="str">
        <f ca="1">IFERROR(__xludf.DUMMYFUNCTION("""COMPUTED_VALUE"""),"")</f>
        <v/>
      </c>
      <c r="D690" s="36" t="str">
        <f ca="1">IFERROR(__xludf.DUMMYFUNCTION("""COMPUTED_VALUE"""),"")</f>
        <v/>
      </c>
      <c r="E690" s="36" t="str">
        <f ca="1">IFERROR(__xludf.DUMMYFUNCTION("""COMPUTED_VALUE"""),"")</f>
        <v/>
      </c>
      <c r="F690" s="36" t="str">
        <f ca="1">IFERROR(__xludf.DUMMYFUNCTION("""COMPUTED_VALUE"""),"")</f>
        <v/>
      </c>
      <c r="G690" s="36" t="str">
        <f ca="1">IFERROR(__xludf.DUMMYFUNCTION("""COMPUTED_VALUE"""),"")</f>
        <v/>
      </c>
      <c r="H690" s="36" t="str">
        <f ca="1">IFERROR(__xludf.DUMMYFUNCTION("""COMPUTED_VALUE"""),"")</f>
        <v/>
      </c>
      <c r="I690" s="36" t="str">
        <f ca="1">IFERROR(__xludf.DUMMYFUNCTION("""COMPUTED_VALUE"""),"")</f>
        <v/>
      </c>
      <c r="J690" s="36" t="str">
        <f ca="1">IFERROR(__xludf.DUMMYFUNCTION("""COMPUTED_VALUE"""),"")</f>
        <v/>
      </c>
      <c r="K690" s="36" t="str">
        <f ca="1">IFERROR(__xludf.DUMMYFUNCTION("""COMPUTED_VALUE"""),"")</f>
        <v/>
      </c>
      <c r="L690" s="36" t="str">
        <f ca="1">IFERROR(__xludf.DUMMYFUNCTION("""COMPUTED_VALUE"""),"")</f>
        <v/>
      </c>
      <c r="M690" s="36" t="str">
        <f ca="1">IFERROR(__xludf.DUMMYFUNCTION("""COMPUTED_VALUE"""),"")</f>
        <v/>
      </c>
      <c r="N690" s="36" t="str">
        <f ca="1">IFERROR(__xludf.DUMMYFUNCTION("""COMPUTED_VALUE"""),"")</f>
        <v/>
      </c>
      <c r="O690" s="36" t="str">
        <f ca="1">IFERROR(__xludf.DUMMYFUNCTION("""COMPUTED_VALUE"""),"")</f>
        <v/>
      </c>
      <c r="P690" s="36" t="str">
        <f ca="1">IFERROR(__xludf.DUMMYFUNCTION("""COMPUTED_VALUE"""),"")</f>
        <v/>
      </c>
      <c r="Q690" s="36" t="str">
        <f ca="1">IFERROR(__xludf.DUMMYFUNCTION("""COMPUTED_VALUE"""),"")</f>
        <v/>
      </c>
      <c r="R690" s="36" t="str">
        <f ca="1">IFERROR(__xludf.DUMMYFUNCTION("""COMPUTED_VALUE"""),"")</f>
        <v/>
      </c>
      <c r="S690" s="36" t="str">
        <f ca="1">IFERROR(__xludf.DUMMYFUNCTION("""COMPUTED_VALUE"""),"")</f>
        <v/>
      </c>
      <c r="T690" s="36" t="str">
        <f ca="1">IFERROR(__xludf.DUMMYFUNCTION("""COMPUTED_VALUE"""),"")</f>
        <v/>
      </c>
      <c r="U690" s="36" t="str">
        <f ca="1">IFERROR(__xludf.DUMMYFUNCTION("""COMPUTED_VALUE"""),"")</f>
        <v/>
      </c>
      <c r="V690" s="36" t="str">
        <f ca="1">IFERROR(__xludf.DUMMYFUNCTION("""COMPUTED_VALUE"""),"")</f>
        <v/>
      </c>
      <c r="W690" s="36" t="str">
        <f ca="1">IFERROR(__xludf.DUMMYFUNCTION("""COMPUTED_VALUE"""),"")</f>
        <v/>
      </c>
      <c r="X690" s="36"/>
      <c r="Y690" s="36"/>
      <c r="Z690" s="36"/>
    </row>
    <row r="691" spans="1:26" ht="12.75" hidden="1">
      <c r="A691" s="36" t="str">
        <f ca="1">IFERROR(__xludf.DUMMYFUNCTION("""COMPUTED_VALUE"""),"")</f>
        <v/>
      </c>
      <c r="B691" s="36" t="str">
        <f ca="1">IFERROR(__xludf.DUMMYFUNCTION("""COMPUTED_VALUE"""),"")</f>
        <v/>
      </c>
      <c r="C691" s="36" t="str">
        <f ca="1">IFERROR(__xludf.DUMMYFUNCTION("""COMPUTED_VALUE"""),"")</f>
        <v/>
      </c>
      <c r="D691" s="36" t="str">
        <f ca="1">IFERROR(__xludf.DUMMYFUNCTION("""COMPUTED_VALUE"""),"")</f>
        <v/>
      </c>
      <c r="E691" s="36" t="str">
        <f ca="1">IFERROR(__xludf.DUMMYFUNCTION("""COMPUTED_VALUE"""),"")</f>
        <v/>
      </c>
      <c r="F691" s="36" t="str">
        <f ca="1">IFERROR(__xludf.DUMMYFUNCTION("""COMPUTED_VALUE"""),"")</f>
        <v/>
      </c>
      <c r="G691" s="36" t="str">
        <f ca="1">IFERROR(__xludf.DUMMYFUNCTION("""COMPUTED_VALUE"""),"")</f>
        <v/>
      </c>
      <c r="H691" s="36" t="str">
        <f ca="1">IFERROR(__xludf.DUMMYFUNCTION("""COMPUTED_VALUE"""),"")</f>
        <v/>
      </c>
      <c r="I691" s="36" t="str">
        <f ca="1">IFERROR(__xludf.DUMMYFUNCTION("""COMPUTED_VALUE"""),"")</f>
        <v/>
      </c>
      <c r="J691" s="36" t="str">
        <f ca="1">IFERROR(__xludf.DUMMYFUNCTION("""COMPUTED_VALUE"""),"")</f>
        <v/>
      </c>
      <c r="K691" s="36" t="str">
        <f ca="1">IFERROR(__xludf.DUMMYFUNCTION("""COMPUTED_VALUE"""),"")</f>
        <v/>
      </c>
      <c r="L691" s="36" t="str">
        <f ca="1">IFERROR(__xludf.DUMMYFUNCTION("""COMPUTED_VALUE"""),"")</f>
        <v/>
      </c>
      <c r="M691" s="36" t="str">
        <f ca="1">IFERROR(__xludf.DUMMYFUNCTION("""COMPUTED_VALUE"""),"")</f>
        <v/>
      </c>
      <c r="N691" s="36" t="str">
        <f ca="1">IFERROR(__xludf.DUMMYFUNCTION("""COMPUTED_VALUE"""),"")</f>
        <v/>
      </c>
      <c r="O691" s="36" t="str">
        <f ca="1">IFERROR(__xludf.DUMMYFUNCTION("""COMPUTED_VALUE"""),"")</f>
        <v/>
      </c>
      <c r="P691" s="36" t="str">
        <f ca="1">IFERROR(__xludf.DUMMYFUNCTION("""COMPUTED_VALUE"""),"")</f>
        <v/>
      </c>
      <c r="Q691" s="36" t="str">
        <f ca="1">IFERROR(__xludf.DUMMYFUNCTION("""COMPUTED_VALUE"""),"")</f>
        <v/>
      </c>
      <c r="R691" s="36" t="str">
        <f ca="1">IFERROR(__xludf.DUMMYFUNCTION("""COMPUTED_VALUE"""),"")</f>
        <v/>
      </c>
      <c r="S691" s="36" t="str">
        <f ca="1">IFERROR(__xludf.DUMMYFUNCTION("""COMPUTED_VALUE"""),"")</f>
        <v/>
      </c>
      <c r="T691" s="36" t="str">
        <f ca="1">IFERROR(__xludf.DUMMYFUNCTION("""COMPUTED_VALUE"""),"")</f>
        <v/>
      </c>
      <c r="U691" s="36" t="str">
        <f ca="1">IFERROR(__xludf.DUMMYFUNCTION("""COMPUTED_VALUE"""),"")</f>
        <v/>
      </c>
      <c r="V691" s="36" t="str">
        <f ca="1">IFERROR(__xludf.DUMMYFUNCTION("""COMPUTED_VALUE"""),"")</f>
        <v/>
      </c>
      <c r="W691" s="36" t="str">
        <f ca="1">IFERROR(__xludf.DUMMYFUNCTION("""COMPUTED_VALUE"""),"")</f>
        <v/>
      </c>
      <c r="X691" s="36"/>
      <c r="Y691" s="36"/>
      <c r="Z691" s="36"/>
    </row>
    <row r="692" spans="1:26" ht="12.75" hidden="1">
      <c r="A692" s="36" t="str">
        <f ca="1">IFERROR(__xludf.DUMMYFUNCTION("""COMPUTED_VALUE"""),"")</f>
        <v/>
      </c>
      <c r="B692" s="36" t="str">
        <f ca="1">IFERROR(__xludf.DUMMYFUNCTION("""COMPUTED_VALUE"""),"")</f>
        <v/>
      </c>
      <c r="C692" s="36" t="str">
        <f ca="1">IFERROR(__xludf.DUMMYFUNCTION("""COMPUTED_VALUE"""),"")</f>
        <v/>
      </c>
      <c r="D692" s="36" t="str">
        <f ca="1">IFERROR(__xludf.DUMMYFUNCTION("""COMPUTED_VALUE"""),"")</f>
        <v/>
      </c>
      <c r="E692" s="36" t="str">
        <f ca="1">IFERROR(__xludf.DUMMYFUNCTION("""COMPUTED_VALUE"""),"")</f>
        <v/>
      </c>
      <c r="F692" s="36" t="str">
        <f ca="1">IFERROR(__xludf.DUMMYFUNCTION("""COMPUTED_VALUE"""),"")</f>
        <v/>
      </c>
      <c r="G692" s="36" t="str">
        <f ca="1">IFERROR(__xludf.DUMMYFUNCTION("""COMPUTED_VALUE"""),"")</f>
        <v/>
      </c>
      <c r="H692" s="36" t="str">
        <f ca="1">IFERROR(__xludf.DUMMYFUNCTION("""COMPUTED_VALUE"""),"")</f>
        <v/>
      </c>
      <c r="I692" s="36" t="str">
        <f ca="1">IFERROR(__xludf.DUMMYFUNCTION("""COMPUTED_VALUE"""),"")</f>
        <v/>
      </c>
      <c r="J692" s="36" t="str">
        <f ca="1">IFERROR(__xludf.DUMMYFUNCTION("""COMPUTED_VALUE"""),"")</f>
        <v/>
      </c>
      <c r="K692" s="36" t="str">
        <f ca="1">IFERROR(__xludf.DUMMYFUNCTION("""COMPUTED_VALUE"""),"")</f>
        <v/>
      </c>
      <c r="L692" s="36" t="str">
        <f ca="1">IFERROR(__xludf.DUMMYFUNCTION("""COMPUTED_VALUE"""),"")</f>
        <v/>
      </c>
      <c r="M692" s="36" t="str">
        <f ca="1">IFERROR(__xludf.DUMMYFUNCTION("""COMPUTED_VALUE"""),"")</f>
        <v/>
      </c>
      <c r="N692" s="36" t="str">
        <f ca="1">IFERROR(__xludf.DUMMYFUNCTION("""COMPUTED_VALUE"""),"")</f>
        <v/>
      </c>
      <c r="O692" s="36" t="str">
        <f ca="1">IFERROR(__xludf.DUMMYFUNCTION("""COMPUTED_VALUE"""),"")</f>
        <v/>
      </c>
      <c r="P692" s="36" t="str">
        <f ca="1">IFERROR(__xludf.DUMMYFUNCTION("""COMPUTED_VALUE"""),"")</f>
        <v/>
      </c>
      <c r="Q692" s="36" t="str">
        <f ca="1">IFERROR(__xludf.DUMMYFUNCTION("""COMPUTED_VALUE"""),"")</f>
        <v/>
      </c>
      <c r="R692" s="36" t="str">
        <f ca="1">IFERROR(__xludf.DUMMYFUNCTION("""COMPUTED_VALUE"""),"")</f>
        <v/>
      </c>
      <c r="S692" s="36" t="str">
        <f ca="1">IFERROR(__xludf.DUMMYFUNCTION("""COMPUTED_VALUE"""),"")</f>
        <v/>
      </c>
      <c r="T692" s="36" t="str">
        <f ca="1">IFERROR(__xludf.DUMMYFUNCTION("""COMPUTED_VALUE"""),"")</f>
        <v/>
      </c>
      <c r="U692" s="36" t="str">
        <f ca="1">IFERROR(__xludf.DUMMYFUNCTION("""COMPUTED_VALUE"""),"")</f>
        <v/>
      </c>
      <c r="V692" s="36" t="str">
        <f ca="1">IFERROR(__xludf.DUMMYFUNCTION("""COMPUTED_VALUE"""),"")</f>
        <v/>
      </c>
      <c r="W692" s="36" t="str">
        <f ca="1">IFERROR(__xludf.DUMMYFUNCTION("""COMPUTED_VALUE"""),"")</f>
        <v/>
      </c>
      <c r="X692" s="36"/>
      <c r="Y692" s="36"/>
      <c r="Z692" s="36"/>
    </row>
    <row r="693" spans="1:26" ht="12.75" hidden="1">
      <c r="A693" s="36" t="str">
        <f ca="1">IFERROR(__xludf.DUMMYFUNCTION("""COMPUTED_VALUE"""),"")</f>
        <v/>
      </c>
      <c r="B693" s="36" t="str">
        <f ca="1">IFERROR(__xludf.DUMMYFUNCTION("""COMPUTED_VALUE"""),"")</f>
        <v/>
      </c>
      <c r="C693" s="36" t="str">
        <f ca="1">IFERROR(__xludf.DUMMYFUNCTION("""COMPUTED_VALUE"""),"")</f>
        <v/>
      </c>
      <c r="D693" s="36" t="str">
        <f ca="1">IFERROR(__xludf.DUMMYFUNCTION("""COMPUTED_VALUE"""),"")</f>
        <v/>
      </c>
      <c r="E693" s="36" t="str">
        <f ca="1">IFERROR(__xludf.DUMMYFUNCTION("""COMPUTED_VALUE"""),"")</f>
        <v/>
      </c>
      <c r="F693" s="36" t="str">
        <f ca="1">IFERROR(__xludf.DUMMYFUNCTION("""COMPUTED_VALUE"""),"")</f>
        <v/>
      </c>
      <c r="G693" s="36" t="str">
        <f ca="1">IFERROR(__xludf.DUMMYFUNCTION("""COMPUTED_VALUE"""),"")</f>
        <v/>
      </c>
      <c r="H693" s="36" t="str">
        <f ca="1">IFERROR(__xludf.DUMMYFUNCTION("""COMPUTED_VALUE"""),"")</f>
        <v/>
      </c>
      <c r="I693" s="36" t="str">
        <f ca="1">IFERROR(__xludf.DUMMYFUNCTION("""COMPUTED_VALUE"""),"")</f>
        <v/>
      </c>
      <c r="J693" s="36" t="str">
        <f ca="1">IFERROR(__xludf.DUMMYFUNCTION("""COMPUTED_VALUE"""),"")</f>
        <v/>
      </c>
      <c r="K693" s="36" t="str">
        <f ca="1">IFERROR(__xludf.DUMMYFUNCTION("""COMPUTED_VALUE"""),"")</f>
        <v/>
      </c>
      <c r="L693" s="36" t="str">
        <f ca="1">IFERROR(__xludf.DUMMYFUNCTION("""COMPUTED_VALUE"""),"")</f>
        <v/>
      </c>
      <c r="M693" s="36" t="str">
        <f ca="1">IFERROR(__xludf.DUMMYFUNCTION("""COMPUTED_VALUE"""),"")</f>
        <v/>
      </c>
      <c r="N693" s="36" t="str">
        <f ca="1">IFERROR(__xludf.DUMMYFUNCTION("""COMPUTED_VALUE"""),"")</f>
        <v/>
      </c>
      <c r="O693" s="36" t="str">
        <f ca="1">IFERROR(__xludf.DUMMYFUNCTION("""COMPUTED_VALUE"""),"")</f>
        <v/>
      </c>
      <c r="P693" s="36" t="str">
        <f ca="1">IFERROR(__xludf.DUMMYFUNCTION("""COMPUTED_VALUE"""),"")</f>
        <v/>
      </c>
      <c r="Q693" s="36" t="str">
        <f ca="1">IFERROR(__xludf.DUMMYFUNCTION("""COMPUTED_VALUE"""),"")</f>
        <v/>
      </c>
      <c r="R693" s="36" t="str">
        <f ca="1">IFERROR(__xludf.DUMMYFUNCTION("""COMPUTED_VALUE"""),"")</f>
        <v/>
      </c>
      <c r="S693" s="36" t="str">
        <f ca="1">IFERROR(__xludf.DUMMYFUNCTION("""COMPUTED_VALUE"""),"")</f>
        <v/>
      </c>
      <c r="T693" s="36" t="str">
        <f ca="1">IFERROR(__xludf.DUMMYFUNCTION("""COMPUTED_VALUE"""),"")</f>
        <v/>
      </c>
      <c r="U693" s="36" t="str">
        <f ca="1">IFERROR(__xludf.DUMMYFUNCTION("""COMPUTED_VALUE"""),"")</f>
        <v/>
      </c>
      <c r="V693" s="36" t="str">
        <f ca="1">IFERROR(__xludf.DUMMYFUNCTION("""COMPUTED_VALUE"""),"")</f>
        <v/>
      </c>
      <c r="W693" s="36" t="str">
        <f ca="1">IFERROR(__xludf.DUMMYFUNCTION("""COMPUTED_VALUE"""),"")</f>
        <v/>
      </c>
      <c r="X693" s="36"/>
      <c r="Y693" s="36"/>
      <c r="Z693" s="36"/>
    </row>
    <row r="694" spans="1:26" ht="12.75" hidden="1">
      <c r="A694" s="36" t="str">
        <f ca="1">IFERROR(__xludf.DUMMYFUNCTION("""COMPUTED_VALUE"""),"")</f>
        <v/>
      </c>
      <c r="B694" s="36" t="str">
        <f ca="1">IFERROR(__xludf.DUMMYFUNCTION("""COMPUTED_VALUE"""),"")</f>
        <v/>
      </c>
      <c r="C694" s="36" t="str">
        <f ca="1">IFERROR(__xludf.DUMMYFUNCTION("""COMPUTED_VALUE"""),"")</f>
        <v/>
      </c>
      <c r="D694" s="36" t="str">
        <f ca="1">IFERROR(__xludf.DUMMYFUNCTION("""COMPUTED_VALUE"""),"")</f>
        <v/>
      </c>
      <c r="E694" s="36" t="str">
        <f ca="1">IFERROR(__xludf.DUMMYFUNCTION("""COMPUTED_VALUE"""),"")</f>
        <v/>
      </c>
      <c r="F694" s="36" t="str">
        <f ca="1">IFERROR(__xludf.DUMMYFUNCTION("""COMPUTED_VALUE"""),"")</f>
        <v/>
      </c>
      <c r="G694" s="36" t="str">
        <f ca="1">IFERROR(__xludf.DUMMYFUNCTION("""COMPUTED_VALUE"""),"")</f>
        <v/>
      </c>
      <c r="H694" s="36" t="str">
        <f ca="1">IFERROR(__xludf.DUMMYFUNCTION("""COMPUTED_VALUE"""),"")</f>
        <v/>
      </c>
      <c r="I694" s="36" t="str">
        <f ca="1">IFERROR(__xludf.DUMMYFUNCTION("""COMPUTED_VALUE"""),"")</f>
        <v/>
      </c>
      <c r="J694" s="36" t="str">
        <f ca="1">IFERROR(__xludf.DUMMYFUNCTION("""COMPUTED_VALUE"""),"")</f>
        <v/>
      </c>
      <c r="K694" s="36" t="str">
        <f ca="1">IFERROR(__xludf.DUMMYFUNCTION("""COMPUTED_VALUE"""),"")</f>
        <v/>
      </c>
      <c r="L694" s="36" t="str">
        <f ca="1">IFERROR(__xludf.DUMMYFUNCTION("""COMPUTED_VALUE"""),"")</f>
        <v/>
      </c>
      <c r="M694" s="36" t="str">
        <f ca="1">IFERROR(__xludf.DUMMYFUNCTION("""COMPUTED_VALUE"""),"")</f>
        <v/>
      </c>
      <c r="N694" s="36" t="str">
        <f ca="1">IFERROR(__xludf.DUMMYFUNCTION("""COMPUTED_VALUE"""),"")</f>
        <v/>
      </c>
      <c r="O694" s="36" t="str">
        <f ca="1">IFERROR(__xludf.DUMMYFUNCTION("""COMPUTED_VALUE"""),"")</f>
        <v/>
      </c>
      <c r="P694" s="36" t="str">
        <f ca="1">IFERROR(__xludf.DUMMYFUNCTION("""COMPUTED_VALUE"""),"")</f>
        <v/>
      </c>
      <c r="Q694" s="36" t="str">
        <f ca="1">IFERROR(__xludf.DUMMYFUNCTION("""COMPUTED_VALUE"""),"")</f>
        <v/>
      </c>
      <c r="R694" s="36" t="str">
        <f ca="1">IFERROR(__xludf.DUMMYFUNCTION("""COMPUTED_VALUE"""),"")</f>
        <v/>
      </c>
      <c r="S694" s="36" t="str">
        <f ca="1">IFERROR(__xludf.DUMMYFUNCTION("""COMPUTED_VALUE"""),"")</f>
        <v/>
      </c>
      <c r="T694" s="36" t="str">
        <f ca="1">IFERROR(__xludf.DUMMYFUNCTION("""COMPUTED_VALUE"""),"")</f>
        <v/>
      </c>
      <c r="U694" s="36" t="str">
        <f ca="1">IFERROR(__xludf.DUMMYFUNCTION("""COMPUTED_VALUE"""),"")</f>
        <v/>
      </c>
      <c r="V694" s="36" t="str">
        <f ca="1">IFERROR(__xludf.DUMMYFUNCTION("""COMPUTED_VALUE"""),"")</f>
        <v/>
      </c>
      <c r="W694" s="36" t="str">
        <f ca="1">IFERROR(__xludf.DUMMYFUNCTION("""COMPUTED_VALUE"""),"")</f>
        <v/>
      </c>
      <c r="X694" s="36"/>
      <c r="Y694" s="36"/>
      <c r="Z694" s="36"/>
    </row>
    <row r="695" spans="1:26" ht="12.75" hidden="1">
      <c r="A695" s="36" t="str">
        <f ca="1">IFERROR(__xludf.DUMMYFUNCTION("""COMPUTED_VALUE"""),"")</f>
        <v/>
      </c>
      <c r="B695" s="36" t="str">
        <f ca="1">IFERROR(__xludf.DUMMYFUNCTION("""COMPUTED_VALUE"""),"")</f>
        <v/>
      </c>
      <c r="C695" s="36" t="str">
        <f ca="1">IFERROR(__xludf.DUMMYFUNCTION("""COMPUTED_VALUE"""),"")</f>
        <v/>
      </c>
      <c r="D695" s="36" t="str">
        <f ca="1">IFERROR(__xludf.DUMMYFUNCTION("""COMPUTED_VALUE"""),"")</f>
        <v/>
      </c>
      <c r="E695" s="36" t="str">
        <f ca="1">IFERROR(__xludf.DUMMYFUNCTION("""COMPUTED_VALUE"""),"")</f>
        <v/>
      </c>
      <c r="F695" s="36" t="str">
        <f ca="1">IFERROR(__xludf.DUMMYFUNCTION("""COMPUTED_VALUE"""),"")</f>
        <v/>
      </c>
      <c r="G695" s="36" t="str">
        <f ca="1">IFERROR(__xludf.DUMMYFUNCTION("""COMPUTED_VALUE"""),"")</f>
        <v/>
      </c>
      <c r="H695" s="36" t="str">
        <f ca="1">IFERROR(__xludf.DUMMYFUNCTION("""COMPUTED_VALUE"""),"")</f>
        <v/>
      </c>
      <c r="I695" s="36" t="str">
        <f ca="1">IFERROR(__xludf.DUMMYFUNCTION("""COMPUTED_VALUE"""),"")</f>
        <v/>
      </c>
      <c r="J695" s="36" t="str">
        <f ca="1">IFERROR(__xludf.DUMMYFUNCTION("""COMPUTED_VALUE"""),"")</f>
        <v/>
      </c>
      <c r="K695" s="36" t="str">
        <f ca="1">IFERROR(__xludf.DUMMYFUNCTION("""COMPUTED_VALUE"""),"")</f>
        <v/>
      </c>
      <c r="L695" s="36" t="str">
        <f ca="1">IFERROR(__xludf.DUMMYFUNCTION("""COMPUTED_VALUE"""),"")</f>
        <v/>
      </c>
      <c r="M695" s="36" t="str">
        <f ca="1">IFERROR(__xludf.DUMMYFUNCTION("""COMPUTED_VALUE"""),"")</f>
        <v/>
      </c>
      <c r="N695" s="36" t="str">
        <f ca="1">IFERROR(__xludf.DUMMYFUNCTION("""COMPUTED_VALUE"""),"")</f>
        <v/>
      </c>
      <c r="O695" s="36" t="str">
        <f ca="1">IFERROR(__xludf.DUMMYFUNCTION("""COMPUTED_VALUE"""),"")</f>
        <v/>
      </c>
      <c r="P695" s="36" t="str">
        <f ca="1">IFERROR(__xludf.DUMMYFUNCTION("""COMPUTED_VALUE"""),"")</f>
        <v/>
      </c>
      <c r="Q695" s="36" t="str">
        <f ca="1">IFERROR(__xludf.DUMMYFUNCTION("""COMPUTED_VALUE"""),"")</f>
        <v/>
      </c>
      <c r="R695" s="36" t="str">
        <f ca="1">IFERROR(__xludf.DUMMYFUNCTION("""COMPUTED_VALUE"""),"")</f>
        <v/>
      </c>
      <c r="S695" s="36" t="str">
        <f ca="1">IFERROR(__xludf.DUMMYFUNCTION("""COMPUTED_VALUE"""),"")</f>
        <v/>
      </c>
      <c r="T695" s="36" t="str">
        <f ca="1">IFERROR(__xludf.DUMMYFUNCTION("""COMPUTED_VALUE"""),"")</f>
        <v/>
      </c>
      <c r="U695" s="36" t="str">
        <f ca="1">IFERROR(__xludf.DUMMYFUNCTION("""COMPUTED_VALUE"""),"")</f>
        <v/>
      </c>
      <c r="V695" s="36" t="str">
        <f ca="1">IFERROR(__xludf.DUMMYFUNCTION("""COMPUTED_VALUE"""),"")</f>
        <v/>
      </c>
      <c r="W695" s="36" t="str">
        <f ca="1">IFERROR(__xludf.DUMMYFUNCTION("""COMPUTED_VALUE"""),"")</f>
        <v/>
      </c>
      <c r="X695" s="36"/>
      <c r="Y695" s="36"/>
      <c r="Z695" s="36"/>
    </row>
    <row r="696" spans="1:26" ht="12.75" hidden="1">
      <c r="A696" s="36" t="str">
        <f ca="1">IFERROR(__xludf.DUMMYFUNCTION("""COMPUTED_VALUE"""),"")</f>
        <v/>
      </c>
      <c r="B696" s="36" t="str">
        <f ca="1">IFERROR(__xludf.DUMMYFUNCTION("""COMPUTED_VALUE"""),"")</f>
        <v/>
      </c>
      <c r="C696" s="36" t="str">
        <f ca="1">IFERROR(__xludf.DUMMYFUNCTION("""COMPUTED_VALUE"""),"")</f>
        <v/>
      </c>
      <c r="D696" s="36" t="str">
        <f ca="1">IFERROR(__xludf.DUMMYFUNCTION("""COMPUTED_VALUE"""),"")</f>
        <v/>
      </c>
      <c r="E696" s="36" t="str">
        <f ca="1">IFERROR(__xludf.DUMMYFUNCTION("""COMPUTED_VALUE"""),"")</f>
        <v/>
      </c>
      <c r="F696" s="36" t="str">
        <f ca="1">IFERROR(__xludf.DUMMYFUNCTION("""COMPUTED_VALUE"""),"")</f>
        <v/>
      </c>
      <c r="G696" s="36" t="str">
        <f ca="1">IFERROR(__xludf.DUMMYFUNCTION("""COMPUTED_VALUE"""),"")</f>
        <v/>
      </c>
      <c r="H696" s="36" t="str">
        <f ca="1">IFERROR(__xludf.DUMMYFUNCTION("""COMPUTED_VALUE"""),"")</f>
        <v/>
      </c>
      <c r="I696" s="36" t="str">
        <f ca="1">IFERROR(__xludf.DUMMYFUNCTION("""COMPUTED_VALUE"""),"")</f>
        <v/>
      </c>
      <c r="J696" s="36" t="str">
        <f ca="1">IFERROR(__xludf.DUMMYFUNCTION("""COMPUTED_VALUE"""),"")</f>
        <v/>
      </c>
      <c r="K696" s="36" t="str">
        <f ca="1">IFERROR(__xludf.DUMMYFUNCTION("""COMPUTED_VALUE"""),"")</f>
        <v/>
      </c>
      <c r="L696" s="36" t="str">
        <f ca="1">IFERROR(__xludf.DUMMYFUNCTION("""COMPUTED_VALUE"""),"")</f>
        <v/>
      </c>
      <c r="M696" s="36" t="str">
        <f ca="1">IFERROR(__xludf.DUMMYFUNCTION("""COMPUTED_VALUE"""),"")</f>
        <v/>
      </c>
      <c r="N696" s="36" t="str">
        <f ca="1">IFERROR(__xludf.DUMMYFUNCTION("""COMPUTED_VALUE"""),"")</f>
        <v/>
      </c>
      <c r="O696" s="36" t="str">
        <f ca="1">IFERROR(__xludf.DUMMYFUNCTION("""COMPUTED_VALUE"""),"")</f>
        <v/>
      </c>
      <c r="P696" s="36" t="str">
        <f ca="1">IFERROR(__xludf.DUMMYFUNCTION("""COMPUTED_VALUE"""),"")</f>
        <v/>
      </c>
      <c r="Q696" s="36" t="str">
        <f ca="1">IFERROR(__xludf.DUMMYFUNCTION("""COMPUTED_VALUE"""),"")</f>
        <v/>
      </c>
      <c r="R696" s="36" t="str">
        <f ca="1">IFERROR(__xludf.DUMMYFUNCTION("""COMPUTED_VALUE"""),"")</f>
        <v/>
      </c>
      <c r="S696" s="36" t="str">
        <f ca="1">IFERROR(__xludf.DUMMYFUNCTION("""COMPUTED_VALUE"""),"")</f>
        <v/>
      </c>
      <c r="T696" s="36" t="str">
        <f ca="1">IFERROR(__xludf.DUMMYFUNCTION("""COMPUTED_VALUE"""),"")</f>
        <v/>
      </c>
      <c r="U696" s="36" t="str">
        <f ca="1">IFERROR(__xludf.DUMMYFUNCTION("""COMPUTED_VALUE"""),"")</f>
        <v/>
      </c>
      <c r="V696" s="36" t="str">
        <f ca="1">IFERROR(__xludf.DUMMYFUNCTION("""COMPUTED_VALUE"""),"")</f>
        <v/>
      </c>
      <c r="W696" s="36" t="str">
        <f ca="1">IFERROR(__xludf.DUMMYFUNCTION("""COMPUTED_VALUE"""),"")</f>
        <v/>
      </c>
      <c r="X696" s="36"/>
      <c r="Y696" s="36"/>
      <c r="Z696" s="36"/>
    </row>
    <row r="697" spans="1:26" ht="12.75" hidden="1">
      <c r="A697" s="36" t="str">
        <f ca="1">IFERROR(__xludf.DUMMYFUNCTION("""COMPUTED_VALUE"""),"")</f>
        <v/>
      </c>
      <c r="B697" s="36" t="str">
        <f ca="1">IFERROR(__xludf.DUMMYFUNCTION("""COMPUTED_VALUE"""),"")</f>
        <v/>
      </c>
      <c r="C697" s="36" t="str">
        <f ca="1">IFERROR(__xludf.DUMMYFUNCTION("""COMPUTED_VALUE"""),"")</f>
        <v/>
      </c>
      <c r="D697" s="36" t="str">
        <f ca="1">IFERROR(__xludf.DUMMYFUNCTION("""COMPUTED_VALUE"""),"")</f>
        <v/>
      </c>
      <c r="E697" s="36" t="str">
        <f ca="1">IFERROR(__xludf.DUMMYFUNCTION("""COMPUTED_VALUE"""),"")</f>
        <v/>
      </c>
      <c r="F697" s="36" t="str">
        <f ca="1">IFERROR(__xludf.DUMMYFUNCTION("""COMPUTED_VALUE"""),"")</f>
        <v/>
      </c>
      <c r="G697" s="36" t="str">
        <f ca="1">IFERROR(__xludf.DUMMYFUNCTION("""COMPUTED_VALUE"""),"")</f>
        <v/>
      </c>
      <c r="H697" s="36" t="str">
        <f ca="1">IFERROR(__xludf.DUMMYFUNCTION("""COMPUTED_VALUE"""),"")</f>
        <v/>
      </c>
      <c r="I697" s="36" t="str">
        <f ca="1">IFERROR(__xludf.DUMMYFUNCTION("""COMPUTED_VALUE"""),"")</f>
        <v/>
      </c>
      <c r="J697" s="36" t="str">
        <f ca="1">IFERROR(__xludf.DUMMYFUNCTION("""COMPUTED_VALUE"""),"")</f>
        <v/>
      </c>
      <c r="K697" s="36" t="str">
        <f ca="1">IFERROR(__xludf.DUMMYFUNCTION("""COMPUTED_VALUE"""),"")</f>
        <v/>
      </c>
      <c r="L697" s="36" t="str">
        <f ca="1">IFERROR(__xludf.DUMMYFUNCTION("""COMPUTED_VALUE"""),"")</f>
        <v/>
      </c>
      <c r="M697" s="36" t="str">
        <f ca="1">IFERROR(__xludf.DUMMYFUNCTION("""COMPUTED_VALUE"""),"")</f>
        <v/>
      </c>
      <c r="N697" s="36" t="str">
        <f ca="1">IFERROR(__xludf.DUMMYFUNCTION("""COMPUTED_VALUE"""),"")</f>
        <v/>
      </c>
      <c r="O697" s="36" t="str">
        <f ca="1">IFERROR(__xludf.DUMMYFUNCTION("""COMPUTED_VALUE"""),"")</f>
        <v/>
      </c>
      <c r="P697" s="36" t="str">
        <f ca="1">IFERROR(__xludf.DUMMYFUNCTION("""COMPUTED_VALUE"""),"")</f>
        <v/>
      </c>
      <c r="Q697" s="36" t="str">
        <f ca="1">IFERROR(__xludf.DUMMYFUNCTION("""COMPUTED_VALUE"""),"")</f>
        <v/>
      </c>
      <c r="R697" s="36" t="str">
        <f ca="1">IFERROR(__xludf.DUMMYFUNCTION("""COMPUTED_VALUE"""),"")</f>
        <v/>
      </c>
      <c r="S697" s="36" t="str">
        <f ca="1">IFERROR(__xludf.DUMMYFUNCTION("""COMPUTED_VALUE"""),"")</f>
        <v/>
      </c>
      <c r="T697" s="36" t="str">
        <f ca="1">IFERROR(__xludf.DUMMYFUNCTION("""COMPUTED_VALUE"""),"")</f>
        <v/>
      </c>
      <c r="U697" s="36" t="str">
        <f ca="1">IFERROR(__xludf.DUMMYFUNCTION("""COMPUTED_VALUE"""),"")</f>
        <v/>
      </c>
      <c r="V697" s="36" t="str">
        <f ca="1">IFERROR(__xludf.DUMMYFUNCTION("""COMPUTED_VALUE"""),"")</f>
        <v/>
      </c>
      <c r="W697" s="36" t="str">
        <f ca="1">IFERROR(__xludf.DUMMYFUNCTION("""COMPUTED_VALUE"""),"")</f>
        <v/>
      </c>
      <c r="X697" s="36"/>
      <c r="Y697" s="36"/>
      <c r="Z697" s="36"/>
    </row>
    <row r="698" spans="1:26" ht="12.75" hidden="1">
      <c r="A698" s="36" t="str">
        <f ca="1">IFERROR(__xludf.DUMMYFUNCTION("""COMPUTED_VALUE"""),"")</f>
        <v/>
      </c>
      <c r="B698" s="36" t="str">
        <f ca="1">IFERROR(__xludf.DUMMYFUNCTION("""COMPUTED_VALUE"""),"")</f>
        <v/>
      </c>
      <c r="C698" s="36" t="str">
        <f ca="1">IFERROR(__xludf.DUMMYFUNCTION("""COMPUTED_VALUE"""),"")</f>
        <v/>
      </c>
      <c r="D698" s="36" t="str">
        <f ca="1">IFERROR(__xludf.DUMMYFUNCTION("""COMPUTED_VALUE"""),"")</f>
        <v/>
      </c>
      <c r="E698" s="36" t="str">
        <f ca="1">IFERROR(__xludf.DUMMYFUNCTION("""COMPUTED_VALUE"""),"")</f>
        <v/>
      </c>
      <c r="F698" s="36" t="str">
        <f ca="1">IFERROR(__xludf.DUMMYFUNCTION("""COMPUTED_VALUE"""),"")</f>
        <v/>
      </c>
      <c r="G698" s="36" t="str">
        <f ca="1">IFERROR(__xludf.DUMMYFUNCTION("""COMPUTED_VALUE"""),"")</f>
        <v/>
      </c>
      <c r="H698" s="36" t="str">
        <f ca="1">IFERROR(__xludf.DUMMYFUNCTION("""COMPUTED_VALUE"""),"")</f>
        <v/>
      </c>
      <c r="I698" s="36" t="str">
        <f ca="1">IFERROR(__xludf.DUMMYFUNCTION("""COMPUTED_VALUE"""),"")</f>
        <v/>
      </c>
      <c r="J698" s="36" t="str">
        <f ca="1">IFERROR(__xludf.DUMMYFUNCTION("""COMPUTED_VALUE"""),"")</f>
        <v/>
      </c>
      <c r="K698" s="36" t="str">
        <f ca="1">IFERROR(__xludf.DUMMYFUNCTION("""COMPUTED_VALUE"""),"")</f>
        <v/>
      </c>
      <c r="L698" s="36" t="str">
        <f ca="1">IFERROR(__xludf.DUMMYFUNCTION("""COMPUTED_VALUE"""),"")</f>
        <v/>
      </c>
      <c r="M698" s="36" t="str">
        <f ca="1">IFERROR(__xludf.DUMMYFUNCTION("""COMPUTED_VALUE"""),"")</f>
        <v/>
      </c>
      <c r="N698" s="36" t="str">
        <f ca="1">IFERROR(__xludf.DUMMYFUNCTION("""COMPUTED_VALUE"""),"")</f>
        <v/>
      </c>
      <c r="O698" s="36" t="str">
        <f ca="1">IFERROR(__xludf.DUMMYFUNCTION("""COMPUTED_VALUE"""),"")</f>
        <v/>
      </c>
      <c r="P698" s="36" t="str">
        <f ca="1">IFERROR(__xludf.DUMMYFUNCTION("""COMPUTED_VALUE"""),"")</f>
        <v/>
      </c>
      <c r="Q698" s="36" t="str">
        <f ca="1">IFERROR(__xludf.DUMMYFUNCTION("""COMPUTED_VALUE"""),"")</f>
        <v/>
      </c>
      <c r="R698" s="36" t="str">
        <f ca="1">IFERROR(__xludf.DUMMYFUNCTION("""COMPUTED_VALUE"""),"")</f>
        <v/>
      </c>
      <c r="S698" s="36" t="str">
        <f ca="1">IFERROR(__xludf.DUMMYFUNCTION("""COMPUTED_VALUE"""),"")</f>
        <v/>
      </c>
      <c r="T698" s="36" t="str">
        <f ca="1">IFERROR(__xludf.DUMMYFUNCTION("""COMPUTED_VALUE"""),"")</f>
        <v/>
      </c>
      <c r="U698" s="36" t="str">
        <f ca="1">IFERROR(__xludf.DUMMYFUNCTION("""COMPUTED_VALUE"""),"")</f>
        <v/>
      </c>
      <c r="V698" s="36" t="str">
        <f ca="1">IFERROR(__xludf.DUMMYFUNCTION("""COMPUTED_VALUE"""),"")</f>
        <v/>
      </c>
      <c r="W698" s="36" t="str">
        <f ca="1">IFERROR(__xludf.DUMMYFUNCTION("""COMPUTED_VALUE"""),"")</f>
        <v/>
      </c>
      <c r="X698" s="36"/>
      <c r="Y698" s="36"/>
      <c r="Z698" s="36"/>
    </row>
    <row r="699" spans="1:26" ht="12.75" hidden="1">
      <c r="A699" s="36" t="str">
        <f ca="1">IFERROR(__xludf.DUMMYFUNCTION("""COMPUTED_VALUE"""),"")</f>
        <v/>
      </c>
      <c r="B699" s="36" t="str">
        <f ca="1">IFERROR(__xludf.DUMMYFUNCTION("""COMPUTED_VALUE"""),"")</f>
        <v/>
      </c>
      <c r="C699" s="36" t="str">
        <f ca="1">IFERROR(__xludf.DUMMYFUNCTION("""COMPUTED_VALUE"""),"")</f>
        <v/>
      </c>
      <c r="D699" s="36" t="str">
        <f ca="1">IFERROR(__xludf.DUMMYFUNCTION("""COMPUTED_VALUE"""),"")</f>
        <v/>
      </c>
      <c r="E699" s="36" t="str">
        <f ca="1">IFERROR(__xludf.DUMMYFUNCTION("""COMPUTED_VALUE"""),"")</f>
        <v/>
      </c>
      <c r="F699" s="36" t="str">
        <f ca="1">IFERROR(__xludf.DUMMYFUNCTION("""COMPUTED_VALUE"""),"")</f>
        <v/>
      </c>
      <c r="G699" s="36" t="str">
        <f ca="1">IFERROR(__xludf.DUMMYFUNCTION("""COMPUTED_VALUE"""),"")</f>
        <v/>
      </c>
      <c r="H699" s="36" t="str">
        <f ca="1">IFERROR(__xludf.DUMMYFUNCTION("""COMPUTED_VALUE"""),"")</f>
        <v/>
      </c>
      <c r="I699" s="36" t="str">
        <f ca="1">IFERROR(__xludf.DUMMYFUNCTION("""COMPUTED_VALUE"""),"")</f>
        <v/>
      </c>
      <c r="J699" s="36" t="str">
        <f ca="1">IFERROR(__xludf.DUMMYFUNCTION("""COMPUTED_VALUE"""),"")</f>
        <v/>
      </c>
      <c r="K699" s="36" t="str">
        <f ca="1">IFERROR(__xludf.DUMMYFUNCTION("""COMPUTED_VALUE"""),"")</f>
        <v/>
      </c>
      <c r="L699" s="36" t="str">
        <f ca="1">IFERROR(__xludf.DUMMYFUNCTION("""COMPUTED_VALUE"""),"")</f>
        <v/>
      </c>
      <c r="M699" s="36" t="str">
        <f ca="1">IFERROR(__xludf.DUMMYFUNCTION("""COMPUTED_VALUE"""),"")</f>
        <v/>
      </c>
      <c r="N699" s="36" t="str">
        <f ca="1">IFERROR(__xludf.DUMMYFUNCTION("""COMPUTED_VALUE"""),"")</f>
        <v/>
      </c>
      <c r="O699" s="36" t="str">
        <f ca="1">IFERROR(__xludf.DUMMYFUNCTION("""COMPUTED_VALUE"""),"")</f>
        <v/>
      </c>
      <c r="P699" s="36" t="str">
        <f ca="1">IFERROR(__xludf.DUMMYFUNCTION("""COMPUTED_VALUE"""),"")</f>
        <v/>
      </c>
      <c r="Q699" s="36" t="str">
        <f ca="1">IFERROR(__xludf.DUMMYFUNCTION("""COMPUTED_VALUE"""),"")</f>
        <v/>
      </c>
      <c r="R699" s="36" t="str">
        <f ca="1">IFERROR(__xludf.DUMMYFUNCTION("""COMPUTED_VALUE"""),"")</f>
        <v/>
      </c>
      <c r="S699" s="36" t="str">
        <f ca="1">IFERROR(__xludf.DUMMYFUNCTION("""COMPUTED_VALUE"""),"")</f>
        <v/>
      </c>
      <c r="T699" s="36" t="str">
        <f ca="1">IFERROR(__xludf.DUMMYFUNCTION("""COMPUTED_VALUE"""),"")</f>
        <v/>
      </c>
      <c r="U699" s="36" t="str">
        <f ca="1">IFERROR(__xludf.DUMMYFUNCTION("""COMPUTED_VALUE"""),"")</f>
        <v/>
      </c>
      <c r="V699" s="36" t="str">
        <f ca="1">IFERROR(__xludf.DUMMYFUNCTION("""COMPUTED_VALUE"""),"")</f>
        <v/>
      </c>
      <c r="W699" s="36" t="str">
        <f ca="1">IFERROR(__xludf.DUMMYFUNCTION("""COMPUTED_VALUE"""),"")</f>
        <v/>
      </c>
      <c r="X699" s="36"/>
      <c r="Y699" s="36"/>
      <c r="Z699" s="36"/>
    </row>
    <row r="700" spans="1:26" ht="12.75" hidden="1">
      <c r="A700" s="36" t="str">
        <f ca="1">IFERROR(__xludf.DUMMYFUNCTION("""COMPUTED_VALUE"""),"")</f>
        <v/>
      </c>
      <c r="B700" s="36" t="str">
        <f ca="1">IFERROR(__xludf.DUMMYFUNCTION("""COMPUTED_VALUE"""),"")</f>
        <v/>
      </c>
      <c r="C700" s="36" t="str">
        <f ca="1">IFERROR(__xludf.DUMMYFUNCTION("""COMPUTED_VALUE"""),"")</f>
        <v/>
      </c>
      <c r="D700" s="36" t="str">
        <f ca="1">IFERROR(__xludf.DUMMYFUNCTION("""COMPUTED_VALUE"""),"")</f>
        <v/>
      </c>
      <c r="E700" s="36" t="str">
        <f ca="1">IFERROR(__xludf.DUMMYFUNCTION("""COMPUTED_VALUE"""),"")</f>
        <v/>
      </c>
      <c r="F700" s="36" t="str">
        <f ca="1">IFERROR(__xludf.DUMMYFUNCTION("""COMPUTED_VALUE"""),"")</f>
        <v/>
      </c>
      <c r="G700" s="36" t="str">
        <f ca="1">IFERROR(__xludf.DUMMYFUNCTION("""COMPUTED_VALUE"""),"")</f>
        <v/>
      </c>
      <c r="H700" s="36" t="str">
        <f ca="1">IFERROR(__xludf.DUMMYFUNCTION("""COMPUTED_VALUE"""),"")</f>
        <v/>
      </c>
      <c r="I700" s="36" t="str">
        <f ca="1">IFERROR(__xludf.DUMMYFUNCTION("""COMPUTED_VALUE"""),"")</f>
        <v/>
      </c>
      <c r="J700" s="36" t="str">
        <f ca="1">IFERROR(__xludf.DUMMYFUNCTION("""COMPUTED_VALUE"""),"")</f>
        <v/>
      </c>
      <c r="K700" s="36" t="str">
        <f ca="1">IFERROR(__xludf.DUMMYFUNCTION("""COMPUTED_VALUE"""),"")</f>
        <v/>
      </c>
      <c r="L700" s="36" t="str">
        <f ca="1">IFERROR(__xludf.DUMMYFUNCTION("""COMPUTED_VALUE"""),"")</f>
        <v/>
      </c>
      <c r="M700" s="36" t="str">
        <f ca="1">IFERROR(__xludf.DUMMYFUNCTION("""COMPUTED_VALUE"""),"")</f>
        <v/>
      </c>
      <c r="N700" s="36" t="str">
        <f ca="1">IFERROR(__xludf.DUMMYFUNCTION("""COMPUTED_VALUE"""),"")</f>
        <v/>
      </c>
      <c r="O700" s="36" t="str">
        <f ca="1">IFERROR(__xludf.DUMMYFUNCTION("""COMPUTED_VALUE"""),"")</f>
        <v/>
      </c>
      <c r="P700" s="36" t="str">
        <f ca="1">IFERROR(__xludf.DUMMYFUNCTION("""COMPUTED_VALUE"""),"")</f>
        <v/>
      </c>
      <c r="Q700" s="36" t="str">
        <f ca="1">IFERROR(__xludf.DUMMYFUNCTION("""COMPUTED_VALUE"""),"")</f>
        <v/>
      </c>
      <c r="R700" s="36" t="str">
        <f ca="1">IFERROR(__xludf.DUMMYFUNCTION("""COMPUTED_VALUE"""),"")</f>
        <v/>
      </c>
      <c r="S700" s="36" t="str">
        <f ca="1">IFERROR(__xludf.DUMMYFUNCTION("""COMPUTED_VALUE"""),"")</f>
        <v/>
      </c>
      <c r="T700" s="36" t="str">
        <f ca="1">IFERROR(__xludf.DUMMYFUNCTION("""COMPUTED_VALUE"""),"")</f>
        <v/>
      </c>
      <c r="U700" s="36" t="str">
        <f ca="1">IFERROR(__xludf.DUMMYFUNCTION("""COMPUTED_VALUE"""),"")</f>
        <v/>
      </c>
      <c r="V700" s="36" t="str">
        <f ca="1">IFERROR(__xludf.DUMMYFUNCTION("""COMPUTED_VALUE"""),"")</f>
        <v/>
      </c>
      <c r="W700" s="36" t="str">
        <f ca="1">IFERROR(__xludf.DUMMYFUNCTION("""COMPUTED_VALUE"""),"")</f>
        <v/>
      </c>
      <c r="X700" s="36"/>
      <c r="Y700" s="36"/>
      <c r="Z700" s="36"/>
    </row>
    <row r="701" spans="1:26" ht="12.75" hidden="1">
      <c r="A701" s="36" t="str">
        <f ca="1">IFERROR(__xludf.DUMMYFUNCTION("""COMPUTED_VALUE"""),"")</f>
        <v/>
      </c>
      <c r="B701" s="36" t="str">
        <f ca="1">IFERROR(__xludf.DUMMYFUNCTION("""COMPUTED_VALUE"""),"")</f>
        <v/>
      </c>
      <c r="C701" s="36" t="str">
        <f ca="1">IFERROR(__xludf.DUMMYFUNCTION("""COMPUTED_VALUE"""),"")</f>
        <v/>
      </c>
      <c r="D701" s="36" t="str">
        <f ca="1">IFERROR(__xludf.DUMMYFUNCTION("""COMPUTED_VALUE"""),"")</f>
        <v/>
      </c>
      <c r="E701" s="36" t="str">
        <f ca="1">IFERROR(__xludf.DUMMYFUNCTION("""COMPUTED_VALUE"""),"")</f>
        <v/>
      </c>
      <c r="F701" s="36" t="str">
        <f ca="1">IFERROR(__xludf.DUMMYFUNCTION("""COMPUTED_VALUE"""),"")</f>
        <v/>
      </c>
      <c r="G701" s="36" t="str">
        <f ca="1">IFERROR(__xludf.DUMMYFUNCTION("""COMPUTED_VALUE"""),"")</f>
        <v/>
      </c>
      <c r="H701" s="36" t="str">
        <f ca="1">IFERROR(__xludf.DUMMYFUNCTION("""COMPUTED_VALUE"""),"")</f>
        <v/>
      </c>
      <c r="I701" s="36" t="str">
        <f ca="1">IFERROR(__xludf.DUMMYFUNCTION("""COMPUTED_VALUE"""),"")</f>
        <v/>
      </c>
      <c r="J701" s="36" t="str">
        <f ca="1">IFERROR(__xludf.DUMMYFUNCTION("""COMPUTED_VALUE"""),"")</f>
        <v/>
      </c>
      <c r="K701" s="36" t="str">
        <f ca="1">IFERROR(__xludf.DUMMYFUNCTION("""COMPUTED_VALUE"""),"")</f>
        <v/>
      </c>
      <c r="L701" s="36" t="str">
        <f ca="1">IFERROR(__xludf.DUMMYFUNCTION("""COMPUTED_VALUE"""),"")</f>
        <v/>
      </c>
      <c r="M701" s="36" t="str">
        <f ca="1">IFERROR(__xludf.DUMMYFUNCTION("""COMPUTED_VALUE"""),"")</f>
        <v/>
      </c>
      <c r="N701" s="36" t="str">
        <f ca="1">IFERROR(__xludf.DUMMYFUNCTION("""COMPUTED_VALUE"""),"")</f>
        <v/>
      </c>
      <c r="O701" s="36" t="str">
        <f ca="1">IFERROR(__xludf.DUMMYFUNCTION("""COMPUTED_VALUE"""),"")</f>
        <v/>
      </c>
      <c r="P701" s="36" t="str">
        <f ca="1">IFERROR(__xludf.DUMMYFUNCTION("""COMPUTED_VALUE"""),"")</f>
        <v/>
      </c>
      <c r="Q701" s="36" t="str">
        <f ca="1">IFERROR(__xludf.DUMMYFUNCTION("""COMPUTED_VALUE"""),"")</f>
        <v/>
      </c>
      <c r="R701" s="36" t="str">
        <f ca="1">IFERROR(__xludf.DUMMYFUNCTION("""COMPUTED_VALUE"""),"")</f>
        <v/>
      </c>
      <c r="S701" s="36" t="str">
        <f ca="1">IFERROR(__xludf.DUMMYFUNCTION("""COMPUTED_VALUE"""),"")</f>
        <v/>
      </c>
      <c r="T701" s="36" t="str">
        <f ca="1">IFERROR(__xludf.DUMMYFUNCTION("""COMPUTED_VALUE"""),"")</f>
        <v/>
      </c>
      <c r="U701" s="36" t="str">
        <f ca="1">IFERROR(__xludf.DUMMYFUNCTION("""COMPUTED_VALUE"""),"")</f>
        <v/>
      </c>
      <c r="V701" s="36" t="str">
        <f ca="1">IFERROR(__xludf.DUMMYFUNCTION("""COMPUTED_VALUE"""),"")</f>
        <v/>
      </c>
      <c r="W701" s="36" t="str">
        <f ca="1">IFERROR(__xludf.DUMMYFUNCTION("""COMPUTED_VALUE"""),"")</f>
        <v/>
      </c>
      <c r="X701" s="36"/>
      <c r="Y701" s="36"/>
      <c r="Z701" s="36"/>
    </row>
    <row r="702" spans="1:26" ht="12.75" hidden="1">
      <c r="A702" s="36" t="str">
        <f ca="1">IFERROR(__xludf.DUMMYFUNCTION("""COMPUTED_VALUE"""),"")</f>
        <v/>
      </c>
      <c r="B702" s="36" t="str">
        <f ca="1">IFERROR(__xludf.DUMMYFUNCTION("""COMPUTED_VALUE"""),"")</f>
        <v/>
      </c>
      <c r="C702" s="36" t="str">
        <f ca="1">IFERROR(__xludf.DUMMYFUNCTION("""COMPUTED_VALUE"""),"")</f>
        <v/>
      </c>
      <c r="D702" s="36" t="str">
        <f ca="1">IFERROR(__xludf.DUMMYFUNCTION("""COMPUTED_VALUE"""),"")</f>
        <v/>
      </c>
      <c r="E702" s="36" t="str">
        <f ca="1">IFERROR(__xludf.DUMMYFUNCTION("""COMPUTED_VALUE"""),"")</f>
        <v/>
      </c>
      <c r="F702" s="36" t="str">
        <f ca="1">IFERROR(__xludf.DUMMYFUNCTION("""COMPUTED_VALUE"""),"")</f>
        <v/>
      </c>
      <c r="G702" s="36" t="str">
        <f ca="1">IFERROR(__xludf.DUMMYFUNCTION("""COMPUTED_VALUE"""),"")</f>
        <v/>
      </c>
      <c r="H702" s="36" t="str">
        <f ca="1">IFERROR(__xludf.DUMMYFUNCTION("""COMPUTED_VALUE"""),"")</f>
        <v/>
      </c>
      <c r="I702" s="36" t="str">
        <f ca="1">IFERROR(__xludf.DUMMYFUNCTION("""COMPUTED_VALUE"""),"")</f>
        <v/>
      </c>
      <c r="J702" s="36" t="str">
        <f ca="1">IFERROR(__xludf.DUMMYFUNCTION("""COMPUTED_VALUE"""),"")</f>
        <v/>
      </c>
      <c r="K702" s="36" t="str">
        <f ca="1">IFERROR(__xludf.DUMMYFUNCTION("""COMPUTED_VALUE"""),"")</f>
        <v/>
      </c>
      <c r="L702" s="36" t="str">
        <f ca="1">IFERROR(__xludf.DUMMYFUNCTION("""COMPUTED_VALUE"""),"")</f>
        <v/>
      </c>
      <c r="M702" s="36" t="str">
        <f ca="1">IFERROR(__xludf.DUMMYFUNCTION("""COMPUTED_VALUE"""),"")</f>
        <v/>
      </c>
      <c r="N702" s="36" t="str">
        <f ca="1">IFERROR(__xludf.DUMMYFUNCTION("""COMPUTED_VALUE"""),"")</f>
        <v/>
      </c>
      <c r="O702" s="36" t="str">
        <f ca="1">IFERROR(__xludf.DUMMYFUNCTION("""COMPUTED_VALUE"""),"")</f>
        <v/>
      </c>
      <c r="P702" s="36" t="str">
        <f ca="1">IFERROR(__xludf.DUMMYFUNCTION("""COMPUTED_VALUE"""),"")</f>
        <v/>
      </c>
      <c r="Q702" s="36" t="str">
        <f ca="1">IFERROR(__xludf.DUMMYFUNCTION("""COMPUTED_VALUE"""),"")</f>
        <v/>
      </c>
      <c r="R702" s="36" t="str">
        <f ca="1">IFERROR(__xludf.DUMMYFUNCTION("""COMPUTED_VALUE"""),"")</f>
        <v/>
      </c>
      <c r="S702" s="36" t="str">
        <f ca="1">IFERROR(__xludf.DUMMYFUNCTION("""COMPUTED_VALUE"""),"")</f>
        <v/>
      </c>
      <c r="T702" s="36" t="str">
        <f ca="1">IFERROR(__xludf.DUMMYFUNCTION("""COMPUTED_VALUE"""),"")</f>
        <v/>
      </c>
      <c r="U702" s="36" t="str">
        <f ca="1">IFERROR(__xludf.DUMMYFUNCTION("""COMPUTED_VALUE"""),"")</f>
        <v/>
      </c>
      <c r="V702" s="36" t="str">
        <f ca="1">IFERROR(__xludf.DUMMYFUNCTION("""COMPUTED_VALUE"""),"")</f>
        <v/>
      </c>
      <c r="W702" s="36" t="str">
        <f ca="1">IFERROR(__xludf.DUMMYFUNCTION("""COMPUTED_VALUE"""),"")</f>
        <v/>
      </c>
      <c r="X702" s="36"/>
      <c r="Y702" s="36"/>
      <c r="Z702" s="36"/>
    </row>
    <row r="703" spans="1:26" ht="12.75" hidden="1">
      <c r="A703" s="36" t="str">
        <f ca="1">IFERROR(__xludf.DUMMYFUNCTION("""COMPUTED_VALUE"""),"")</f>
        <v/>
      </c>
      <c r="B703" s="36" t="str">
        <f ca="1">IFERROR(__xludf.DUMMYFUNCTION("""COMPUTED_VALUE"""),"")</f>
        <v/>
      </c>
      <c r="C703" s="36" t="str">
        <f ca="1">IFERROR(__xludf.DUMMYFUNCTION("""COMPUTED_VALUE"""),"")</f>
        <v/>
      </c>
      <c r="D703" s="36" t="str">
        <f ca="1">IFERROR(__xludf.DUMMYFUNCTION("""COMPUTED_VALUE"""),"")</f>
        <v/>
      </c>
      <c r="E703" s="36" t="str">
        <f ca="1">IFERROR(__xludf.DUMMYFUNCTION("""COMPUTED_VALUE"""),"")</f>
        <v/>
      </c>
      <c r="F703" s="36" t="str">
        <f ca="1">IFERROR(__xludf.DUMMYFUNCTION("""COMPUTED_VALUE"""),"")</f>
        <v/>
      </c>
      <c r="G703" s="36" t="str">
        <f ca="1">IFERROR(__xludf.DUMMYFUNCTION("""COMPUTED_VALUE"""),"")</f>
        <v/>
      </c>
      <c r="H703" s="36" t="str">
        <f ca="1">IFERROR(__xludf.DUMMYFUNCTION("""COMPUTED_VALUE"""),"")</f>
        <v/>
      </c>
      <c r="I703" s="36" t="str">
        <f ca="1">IFERROR(__xludf.DUMMYFUNCTION("""COMPUTED_VALUE"""),"")</f>
        <v/>
      </c>
      <c r="J703" s="36" t="str">
        <f ca="1">IFERROR(__xludf.DUMMYFUNCTION("""COMPUTED_VALUE"""),"")</f>
        <v/>
      </c>
      <c r="K703" s="36" t="str">
        <f ca="1">IFERROR(__xludf.DUMMYFUNCTION("""COMPUTED_VALUE"""),"")</f>
        <v/>
      </c>
      <c r="L703" s="36" t="str">
        <f ca="1">IFERROR(__xludf.DUMMYFUNCTION("""COMPUTED_VALUE"""),"")</f>
        <v/>
      </c>
      <c r="M703" s="36" t="str">
        <f ca="1">IFERROR(__xludf.DUMMYFUNCTION("""COMPUTED_VALUE"""),"")</f>
        <v/>
      </c>
      <c r="N703" s="36" t="str">
        <f ca="1">IFERROR(__xludf.DUMMYFUNCTION("""COMPUTED_VALUE"""),"")</f>
        <v/>
      </c>
      <c r="O703" s="36" t="str">
        <f ca="1">IFERROR(__xludf.DUMMYFUNCTION("""COMPUTED_VALUE"""),"")</f>
        <v/>
      </c>
      <c r="P703" s="36" t="str">
        <f ca="1">IFERROR(__xludf.DUMMYFUNCTION("""COMPUTED_VALUE"""),"")</f>
        <v/>
      </c>
      <c r="Q703" s="36" t="str">
        <f ca="1">IFERROR(__xludf.DUMMYFUNCTION("""COMPUTED_VALUE"""),"")</f>
        <v/>
      </c>
      <c r="R703" s="36" t="str">
        <f ca="1">IFERROR(__xludf.DUMMYFUNCTION("""COMPUTED_VALUE"""),"")</f>
        <v/>
      </c>
      <c r="S703" s="36" t="str">
        <f ca="1">IFERROR(__xludf.DUMMYFUNCTION("""COMPUTED_VALUE"""),"")</f>
        <v/>
      </c>
      <c r="T703" s="36" t="str">
        <f ca="1">IFERROR(__xludf.DUMMYFUNCTION("""COMPUTED_VALUE"""),"")</f>
        <v/>
      </c>
      <c r="U703" s="36" t="str">
        <f ca="1">IFERROR(__xludf.DUMMYFUNCTION("""COMPUTED_VALUE"""),"")</f>
        <v/>
      </c>
      <c r="V703" s="36" t="str">
        <f ca="1">IFERROR(__xludf.DUMMYFUNCTION("""COMPUTED_VALUE"""),"")</f>
        <v/>
      </c>
      <c r="W703" s="36" t="str">
        <f ca="1">IFERROR(__xludf.DUMMYFUNCTION("""COMPUTED_VALUE"""),"")</f>
        <v/>
      </c>
      <c r="X703" s="36"/>
      <c r="Y703" s="36"/>
      <c r="Z703" s="36"/>
    </row>
    <row r="704" spans="1:26" ht="12.75" hidden="1">
      <c r="A704" s="36" t="str">
        <f ca="1">IFERROR(__xludf.DUMMYFUNCTION("""COMPUTED_VALUE"""),"")</f>
        <v/>
      </c>
      <c r="B704" s="36" t="str">
        <f ca="1">IFERROR(__xludf.DUMMYFUNCTION("""COMPUTED_VALUE"""),"")</f>
        <v/>
      </c>
      <c r="C704" s="36" t="str">
        <f ca="1">IFERROR(__xludf.DUMMYFUNCTION("""COMPUTED_VALUE"""),"")</f>
        <v/>
      </c>
      <c r="D704" s="36" t="str">
        <f ca="1">IFERROR(__xludf.DUMMYFUNCTION("""COMPUTED_VALUE"""),"")</f>
        <v/>
      </c>
      <c r="E704" s="36" t="str">
        <f ca="1">IFERROR(__xludf.DUMMYFUNCTION("""COMPUTED_VALUE"""),"")</f>
        <v/>
      </c>
      <c r="F704" s="36" t="str">
        <f ca="1">IFERROR(__xludf.DUMMYFUNCTION("""COMPUTED_VALUE"""),"")</f>
        <v/>
      </c>
      <c r="G704" s="36" t="str">
        <f ca="1">IFERROR(__xludf.DUMMYFUNCTION("""COMPUTED_VALUE"""),"")</f>
        <v/>
      </c>
      <c r="H704" s="36" t="str">
        <f ca="1">IFERROR(__xludf.DUMMYFUNCTION("""COMPUTED_VALUE"""),"")</f>
        <v/>
      </c>
      <c r="I704" s="36" t="str">
        <f ca="1">IFERROR(__xludf.DUMMYFUNCTION("""COMPUTED_VALUE"""),"")</f>
        <v/>
      </c>
      <c r="J704" s="36" t="str">
        <f ca="1">IFERROR(__xludf.DUMMYFUNCTION("""COMPUTED_VALUE"""),"")</f>
        <v/>
      </c>
      <c r="K704" s="36" t="str">
        <f ca="1">IFERROR(__xludf.DUMMYFUNCTION("""COMPUTED_VALUE"""),"")</f>
        <v/>
      </c>
      <c r="L704" s="36" t="str">
        <f ca="1">IFERROR(__xludf.DUMMYFUNCTION("""COMPUTED_VALUE"""),"")</f>
        <v/>
      </c>
      <c r="M704" s="36" t="str">
        <f ca="1">IFERROR(__xludf.DUMMYFUNCTION("""COMPUTED_VALUE"""),"")</f>
        <v/>
      </c>
      <c r="N704" s="36" t="str">
        <f ca="1">IFERROR(__xludf.DUMMYFUNCTION("""COMPUTED_VALUE"""),"")</f>
        <v/>
      </c>
      <c r="O704" s="36" t="str">
        <f ca="1">IFERROR(__xludf.DUMMYFUNCTION("""COMPUTED_VALUE"""),"")</f>
        <v/>
      </c>
      <c r="P704" s="36" t="str">
        <f ca="1">IFERROR(__xludf.DUMMYFUNCTION("""COMPUTED_VALUE"""),"")</f>
        <v/>
      </c>
      <c r="Q704" s="36" t="str">
        <f ca="1">IFERROR(__xludf.DUMMYFUNCTION("""COMPUTED_VALUE"""),"")</f>
        <v/>
      </c>
      <c r="R704" s="36" t="str">
        <f ca="1">IFERROR(__xludf.DUMMYFUNCTION("""COMPUTED_VALUE"""),"")</f>
        <v/>
      </c>
      <c r="S704" s="36" t="str">
        <f ca="1">IFERROR(__xludf.DUMMYFUNCTION("""COMPUTED_VALUE"""),"")</f>
        <v/>
      </c>
      <c r="T704" s="36" t="str">
        <f ca="1">IFERROR(__xludf.DUMMYFUNCTION("""COMPUTED_VALUE"""),"")</f>
        <v/>
      </c>
      <c r="U704" s="36" t="str">
        <f ca="1">IFERROR(__xludf.DUMMYFUNCTION("""COMPUTED_VALUE"""),"")</f>
        <v/>
      </c>
      <c r="V704" s="36" t="str">
        <f ca="1">IFERROR(__xludf.DUMMYFUNCTION("""COMPUTED_VALUE"""),"")</f>
        <v/>
      </c>
      <c r="W704" s="36" t="str">
        <f ca="1">IFERROR(__xludf.DUMMYFUNCTION("""COMPUTED_VALUE"""),"")</f>
        <v/>
      </c>
      <c r="X704" s="36"/>
      <c r="Y704" s="36"/>
      <c r="Z704" s="36"/>
    </row>
    <row r="705" spans="1:26" ht="12.75" hidden="1">
      <c r="A705" s="36" t="str">
        <f ca="1">IFERROR(__xludf.DUMMYFUNCTION("""COMPUTED_VALUE"""),"")</f>
        <v/>
      </c>
      <c r="B705" s="36" t="str">
        <f ca="1">IFERROR(__xludf.DUMMYFUNCTION("""COMPUTED_VALUE"""),"")</f>
        <v/>
      </c>
      <c r="C705" s="36" t="str">
        <f ca="1">IFERROR(__xludf.DUMMYFUNCTION("""COMPUTED_VALUE"""),"")</f>
        <v/>
      </c>
      <c r="D705" s="36" t="str">
        <f ca="1">IFERROR(__xludf.DUMMYFUNCTION("""COMPUTED_VALUE"""),"")</f>
        <v/>
      </c>
      <c r="E705" s="36" t="str">
        <f ca="1">IFERROR(__xludf.DUMMYFUNCTION("""COMPUTED_VALUE"""),"")</f>
        <v/>
      </c>
      <c r="F705" s="36" t="str">
        <f ca="1">IFERROR(__xludf.DUMMYFUNCTION("""COMPUTED_VALUE"""),"")</f>
        <v/>
      </c>
      <c r="G705" s="36" t="str">
        <f ca="1">IFERROR(__xludf.DUMMYFUNCTION("""COMPUTED_VALUE"""),"")</f>
        <v/>
      </c>
      <c r="H705" s="36" t="str">
        <f ca="1">IFERROR(__xludf.DUMMYFUNCTION("""COMPUTED_VALUE"""),"")</f>
        <v/>
      </c>
      <c r="I705" s="36" t="str">
        <f ca="1">IFERROR(__xludf.DUMMYFUNCTION("""COMPUTED_VALUE"""),"")</f>
        <v/>
      </c>
      <c r="J705" s="36" t="str">
        <f ca="1">IFERROR(__xludf.DUMMYFUNCTION("""COMPUTED_VALUE"""),"")</f>
        <v/>
      </c>
      <c r="K705" s="36" t="str">
        <f ca="1">IFERROR(__xludf.DUMMYFUNCTION("""COMPUTED_VALUE"""),"")</f>
        <v/>
      </c>
      <c r="L705" s="36" t="str">
        <f ca="1">IFERROR(__xludf.DUMMYFUNCTION("""COMPUTED_VALUE"""),"")</f>
        <v/>
      </c>
      <c r="M705" s="36" t="str">
        <f ca="1">IFERROR(__xludf.DUMMYFUNCTION("""COMPUTED_VALUE"""),"")</f>
        <v/>
      </c>
      <c r="N705" s="36" t="str">
        <f ca="1">IFERROR(__xludf.DUMMYFUNCTION("""COMPUTED_VALUE"""),"")</f>
        <v/>
      </c>
      <c r="O705" s="36" t="str">
        <f ca="1">IFERROR(__xludf.DUMMYFUNCTION("""COMPUTED_VALUE"""),"")</f>
        <v/>
      </c>
      <c r="P705" s="36" t="str">
        <f ca="1">IFERROR(__xludf.DUMMYFUNCTION("""COMPUTED_VALUE"""),"")</f>
        <v/>
      </c>
      <c r="Q705" s="36" t="str">
        <f ca="1">IFERROR(__xludf.DUMMYFUNCTION("""COMPUTED_VALUE"""),"")</f>
        <v/>
      </c>
      <c r="R705" s="36" t="str">
        <f ca="1">IFERROR(__xludf.DUMMYFUNCTION("""COMPUTED_VALUE"""),"")</f>
        <v/>
      </c>
      <c r="S705" s="36" t="str">
        <f ca="1">IFERROR(__xludf.DUMMYFUNCTION("""COMPUTED_VALUE"""),"")</f>
        <v/>
      </c>
      <c r="T705" s="36" t="str">
        <f ca="1">IFERROR(__xludf.DUMMYFUNCTION("""COMPUTED_VALUE"""),"")</f>
        <v/>
      </c>
      <c r="U705" s="36" t="str">
        <f ca="1">IFERROR(__xludf.DUMMYFUNCTION("""COMPUTED_VALUE"""),"")</f>
        <v/>
      </c>
      <c r="V705" s="36" t="str">
        <f ca="1">IFERROR(__xludf.DUMMYFUNCTION("""COMPUTED_VALUE"""),"")</f>
        <v/>
      </c>
      <c r="W705" s="36" t="str">
        <f ca="1">IFERROR(__xludf.DUMMYFUNCTION("""COMPUTED_VALUE"""),"")</f>
        <v/>
      </c>
      <c r="X705" s="36"/>
      <c r="Y705" s="36"/>
      <c r="Z705" s="36"/>
    </row>
    <row r="706" spans="1:26" ht="12.75" hidden="1">
      <c r="A706" s="36" t="str">
        <f ca="1">IFERROR(__xludf.DUMMYFUNCTION("""COMPUTED_VALUE"""),"")</f>
        <v/>
      </c>
      <c r="B706" s="36" t="str">
        <f ca="1">IFERROR(__xludf.DUMMYFUNCTION("""COMPUTED_VALUE"""),"")</f>
        <v/>
      </c>
      <c r="C706" s="36" t="str">
        <f ca="1">IFERROR(__xludf.DUMMYFUNCTION("""COMPUTED_VALUE"""),"")</f>
        <v/>
      </c>
      <c r="D706" s="36" t="str">
        <f ca="1">IFERROR(__xludf.DUMMYFUNCTION("""COMPUTED_VALUE"""),"")</f>
        <v/>
      </c>
      <c r="E706" s="36" t="str">
        <f ca="1">IFERROR(__xludf.DUMMYFUNCTION("""COMPUTED_VALUE"""),"")</f>
        <v/>
      </c>
      <c r="F706" s="36" t="str">
        <f ca="1">IFERROR(__xludf.DUMMYFUNCTION("""COMPUTED_VALUE"""),"")</f>
        <v/>
      </c>
      <c r="G706" s="36" t="str">
        <f ca="1">IFERROR(__xludf.DUMMYFUNCTION("""COMPUTED_VALUE"""),"")</f>
        <v/>
      </c>
      <c r="H706" s="36" t="str">
        <f ca="1">IFERROR(__xludf.DUMMYFUNCTION("""COMPUTED_VALUE"""),"")</f>
        <v/>
      </c>
      <c r="I706" s="36" t="str">
        <f ca="1">IFERROR(__xludf.DUMMYFUNCTION("""COMPUTED_VALUE"""),"")</f>
        <v/>
      </c>
      <c r="J706" s="36" t="str">
        <f ca="1">IFERROR(__xludf.DUMMYFUNCTION("""COMPUTED_VALUE"""),"")</f>
        <v/>
      </c>
      <c r="K706" s="36" t="str">
        <f ca="1">IFERROR(__xludf.DUMMYFUNCTION("""COMPUTED_VALUE"""),"")</f>
        <v/>
      </c>
      <c r="L706" s="36" t="str">
        <f ca="1">IFERROR(__xludf.DUMMYFUNCTION("""COMPUTED_VALUE"""),"")</f>
        <v/>
      </c>
      <c r="M706" s="36" t="str">
        <f ca="1">IFERROR(__xludf.DUMMYFUNCTION("""COMPUTED_VALUE"""),"")</f>
        <v/>
      </c>
      <c r="N706" s="36" t="str">
        <f ca="1">IFERROR(__xludf.DUMMYFUNCTION("""COMPUTED_VALUE"""),"")</f>
        <v/>
      </c>
      <c r="O706" s="36" t="str">
        <f ca="1">IFERROR(__xludf.DUMMYFUNCTION("""COMPUTED_VALUE"""),"")</f>
        <v/>
      </c>
      <c r="P706" s="36" t="str">
        <f ca="1">IFERROR(__xludf.DUMMYFUNCTION("""COMPUTED_VALUE"""),"")</f>
        <v/>
      </c>
      <c r="Q706" s="36" t="str">
        <f ca="1">IFERROR(__xludf.DUMMYFUNCTION("""COMPUTED_VALUE"""),"")</f>
        <v/>
      </c>
      <c r="R706" s="36" t="str">
        <f ca="1">IFERROR(__xludf.DUMMYFUNCTION("""COMPUTED_VALUE"""),"")</f>
        <v/>
      </c>
      <c r="S706" s="36" t="str">
        <f ca="1">IFERROR(__xludf.DUMMYFUNCTION("""COMPUTED_VALUE"""),"")</f>
        <v/>
      </c>
      <c r="T706" s="36" t="str">
        <f ca="1">IFERROR(__xludf.DUMMYFUNCTION("""COMPUTED_VALUE"""),"")</f>
        <v/>
      </c>
      <c r="U706" s="36" t="str">
        <f ca="1">IFERROR(__xludf.DUMMYFUNCTION("""COMPUTED_VALUE"""),"")</f>
        <v/>
      </c>
      <c r="V706" s="36" t="str">
        <f ca="1">IFERROR(__xludf.DUMMYFUNCTION("""COMPUTED_VALUE"""),"")</f>
        <v/>
      </c>
      <c r="W706" s="36" t="str">
        <f ca="1">IFERROR(__xludf.DUMMYFUNCTION("""COMPUTED_VALUE"""),"")</f>
        <v/>
      </c>
      <c r="X706" s="36"/>
      <c r="Y706" s="36"/>
      <c r="Z706" s="36"/>
    </row>
    <row r="707" spans="1:26" ht="12.75" hidden="1">
      <c r="A707" s="36" t="str">
        <f ca="1">IFERROR(__xludf.DUMMYFUNCTION("""COMPUTED_VALUE"""),"")</f>
        <v/>
      </c>
      <c r="B707" s="36" t="str">
        <f ca="1">IFERROR(__xludf.DUMMYFUNCTION("""COMPUTED_VALUE"""),"")</f>
        <v/>
      </c>
      <c r="C707" s="36" t="str">
        <f ca="1">IFERROR(__xludf.DUMMYFUNCTION("""COMPUTED_VALUE"""),"")</f>
        <v/>
      </c>
      <c r="D707" s="36" t="str">
        <f ca="1">IFERROR(__xludf.DUMMYFUNCTION("""COMPUTED_VALUE"""),"")</f>
        <v/>
      </c>
      <c r="E707" s="36" t="str">
        <f ca="1">IFERROR(__xludf.DUMMYFUNCTION("""COMPUTED_VALUE"""),"")</f>
        <v/>
      </c>
      <c r="F707" s="36" t="str">
        <f ca="1">IFERROR(__xludf.DUMMYFUNCTION("""COMPUTED_VALUE"""),"")</f>
        <v/>
      </c>
      <c r="G707" s="36" t="str">
        <f ca="1">IFERROR(__xludf.DUMMYFUNCTION("""COMPUTED_VALUE"""),"")</f>
        <v/>
      </c>
      <c r="H707" s="36" t="str">
        <f ca="1">IFERROR(__xludf.DUMMYFUNCTION("""COMPUTED_VALUE"""),"")</f>
        <v/>
      </c>
      <c r="I707" s="36" t="str">
        <f ca="1">IFERROR(__xludf.DUMMYFUNCTION("""COMPUTED_VALUE"""),"")</f>
        <v/>
      </c>
      <c r="J707" s="36" t="str">
        <f ca="1">IFERROR(__xludf.DUMMYFUNCTION("""COMPUTED_VALUE"""),"")</f>
        <v/>
      </c>
      <c r="K707" s="36" t="str">
        <f ca="1">IFERROR(__xludf.DUMMYFUNCTION("""COMPUTED_VALUE"""),"")</f>
        <v/>
      </c>
      <c r="L707" s="36" t="str">
        <f ca="1">IFERROR(__xludf.DUMMYFUNCTION("""COMPUTED_VALUE"""),"")</f>
        <v/>
      </c>
      <c r="M707" s="36" t="str">
        <f ca="1">IFERROR(__xludf.DUMMYFUNCTION("""COMPUTED_VALUE"""),"")</f>
        <v/>
      </c>
      <c r="N707" s="36" t="str">
        <f ca="1">IFERROR(__xludf.DUMMYFUNCTION("""COMPUTED_VALUE"""),"")</f>
        <v/>
      </c>
      <c r="O707" s="36" t="str">
        <f ca="1">IFERROR(__xludf.DUMMYFUNCTION("""COMPUTED_VALUE"""),"")</f>
        <v/>
      </c>
      <c r="P707" s="36" t="str">
        <f ca="1">IFERROR(__xludf.DUMMYFUNCTION("""COMPUTED_VALUE"""),"")</f>
        <v/>
      </c>
      <c r="Q707" s="36" t="str">
        <f ca="1">IFERROR(__xludf.DUMMYFUNCTION("""COMPUTED_VALUE"""),"")</f>
        <v/>
      </c>
      <c r="R707" s="36" t="str">
        <f ca="1">IFERROR(__xludf.DUMMYFUNCTION("""COMPUTED_VALUE"""),"")</f>
        <v/>
      </c>
      <c r="S707" s="36" t="str">
        <f ca="1">IFERROR(__xludf.DUMMYFUNCTION("""COMPUTED_VALUE"""),"")</f>
        <v/>
      </c>
      <c r="T707" s="36" t="str">
        <f ca="1">IFERROR(__xludf.DUMMYFUNCTION("""COMPUTED_VALUE"""),"")</f>
        <v/>
      </c>
      <c r="U707" s="36" t="str">
        <f ca="1">IFERROR(__xludf.DUMMYFUNCTION("""COMPUTED_VALUE"""),"")</f>
        <v/>
      </c>
      <c r="V707" s="36" t="str">
        <f ca="1">IFERROR(__xludf.DUMMYFUNCTION("""COMPUTED_VALUE"""),"")</f>
        <v/>
      </c>
      <c r="W707" s="36" t="str">
        <f ca="1">IFERROR(__xludf.DUMMYFUNCTION("""COMPUTED_VALUE"""),"")</f>
        <v/>
      </c>
      <c r="X707" s="36"/>
      <c r="Y707" s="36"/>
      <c r="Z707" s="36"/>
    </row>
    <row r="708" spans="1:26" ht="12.75" hidden="1">
      <c r="A708" s="36" t="str">
        <f ca="1">IFERROR(__xludf.DUMMYFUNCTION("""COMPUTED_VALUE"""),"")</f>
        <v/>
      </c>
      <c r="B708" s="36" t="str">
        <f ca="1">IFERROR(__xludf.DUMMYFUNCTION("""COMPUTED_VALUE"""),"")</f>
        <v/>
      </c>
      <c r="C708" s="36" t="str">
        <f ca="1">IFERROR(__xludf.DUMMYFUNCTION("""COMPUTED_VALUE"""),"")</f>
        <v/>
      </c>
      <c r="D708" s="36" t="str">
        <f ca="1">IFERROR(__xludf.DUMMYFUNCTION("""COMPUTED_VALUE"""),"")</f>
        <v/>
      </c>
      <c r="E708" s="36" t="str">
        <f ca="1">IFERROR(__xludf.DUMMYFUNCTION("""COMPUTED_VALUE"""),"")</f>
        <v/>
      </c>
      <c r="F708" s="36" t="str">
        <f ca="1">IFERROR(__xludf.DUMMYFUNCTION("""COMPUTED_VALUE"""),"")</f>
        <v/>
      </c>
      <c r="G708" s="36" t="str">
        <f ca="1">IFERROR(__xludf.DUMMYFUNCTION("""COMPUTED_VALUE"""),"")</f>
        <v/>
      </c>
      <c r="H708" s="36" t="str">
        <f ca="1">IFERROR(__xludf.DUMMYFUNCTION("""COMPUTED_VALUE"""),"")</f>
        <v/>
      </c>
      <c r="I708" s="36" t="str">
        <f ca="1">IFERROR(__xludf.DUMMYFUNCTION("""COMPUTED_VALUE"""),"")</f>
        <v/>
      </c>
      <c r="J708" s="36" t="str">
        <f ca="1">IFERROR(__xludf.DUMMYFUNCTION("""COMPUTED_VALUE"""),"")</f>
        <v/>
      </c>
      <c r="K708" s="36" t="str">
        <f ca="1">IFERROR(__xludf.DUMMYFUNCTION("""COMPUTED_VALUE"""),"")</f>
        <v/>
      </c>
      <c r="L708" s="36" t="str">
        <f ca="1">IFERROR(__xludf.DUMMYFUNCTION("""COMPUTED_VALUE"""),"")</f>
        <v/>
      </c>
      <c r="M708" s="36" t="str">
        <f ca="1">IFERROR(__xludf.DUMMYFUNCTION("""COMPUTED_VALUE"""),"")</f>
        <v/>
      </c>
      <c r="N708" s="36" t="str">
        <f ca="1">IFERROR(__xludf.DUMMYFUNCTION("""COMPUTED_VALUE"""),"")</f>
        <v/>
      </c>
      <c r="O708" s="36" t="str">
        <f ca="1">IFERROR(__xludf.DUMMYFUNCTION("""COMPUTED_VALUE"""),"")</f>
        <v/>
      </c>
      <c r="P708" s="36" t="str">
        <f ca="1">IFERROR(__xludf.DUMMYFUNCTION("""COMPUTED_VALUE"""),"")</f>
        <v/>
      </c>
      <c r="Q708" s="36" t="str">
        <f ca="1">IFERROR(__xludf.DUMMYFUNCTION("""COMPUTED_VALUE"""),"")</f>
        <v/>
      </c>
      <c r="R708" s="36" t="str">
        <f ca="1">IFERROR(__xludf.DUMMYFUNCTION("""COMPUTED_VALUE"""),"")</f>
        <v/>
      </c>
      <c r="S708" s="36" t="str">
        <f ca="1">IFERROR(__xludf.DUMMYFUNCTION("""COMPUTED_VALUE"""),"")</f>
        <v/>
      </c>
      <c r="T708" s="36" t="str">
        <f ca="1">IFERROR(__xludf.DUMMYFUNCTION("""COMPUTED_VALUE"""),"")</f>
        <v/>
      </c>
      <c r="U708" s="36" t="str">
        <f ca="1">IFERROR(__xludf.DUMMYFUNCTION("""COMPUTED_VALUE"""),"")</f>
        <v/>
      </c>
      <c r="V708" s="36" t="str">
        <f ca="1">IFERROR(__xludf.DUMMYFUNCTION("""COMPUTED_VALUE"""),"")</f>
        <v/>
      </c>
      <c r="W708" s="36" t="str">
        <f ca="1">IFERROR(__xludf.DUMMYFUNCTION("""COMPUTED_VALUE"""),"")</f>
        <v/>
      </c>
      <c r="X708" s="36"/>
      <c r="Y708" s="36"/>
      <c r="Z708" s="36"/>
    </row>
    <row r="709" spans="1:26" ht="12.75" hidden="1">
      <c r="A709" s="36" t="str">
        <f ca="1">IFERROR(__xludf.DUMMYFUNCTION("""COMPUTED_VALUE"""),"")</f>
        <v/>
      </c>
      <c r="B709" s="36" t="str">
        <f ca="1">IFERROR(__xludf.DUMMYFUNCTION("""COMPUTED_VALUE"""),"")</f>
        <v/>
      </c>
      <c r="C709" s="36" t="str">
        <f ca="1">IFERROR(__xludf.DUMMYFUNCTION("""COMPUTED_VALUE"""),"")</f>
        <v/>
      </c>
      <c r="D709" s="36" t="str">
        <f ca="1">IFERROR(__xludf.DUMMYFUNCTION("""COMPUTED_VALUE"""),"")</f>
        <v/>
      </c>
      <c r="E709" s="36" t="str">
        <f ca="1">IFERROR(__xludf.DUMMYFUNCTION("""COMPUTED_VALUE"""),"")</f>
        <v/>
      </c>
      <c r="F709" s="36" t="str">
        <f ca="1">IFERROR(__xludf.DUMMYFUNCTION("""COMPUTED_VALUE"""),"")</f>
        <v/>
      </c>
      <c r="G709" s="36" t="str">
        <f ca="1">IFERROR(__xludf.DUMMYFUNCTION("""COMPUTED_VALUE"""),"")</f>
        <v/>
      </c>
      <c r="H709" s="36" t="str">
        <f ca="1">IFERROR(__xludf.DUMMYFUNCTION("""COMPUTED_VALUE"""),"")</f>
        <v/>
      </c>
      <c r="I709" s="36" t="str">
        <f ca="1">IFERROR(__xludf.DUMMYFUNCTION("""COMPUTED_VALUE"""),"")</f>
        <v/>
      </c>
      <c r="J709" s="36" t="str">
        <f ca="1">IFERROR(__xludf.DUMMYFUNCTION("""COMPUTED_VALUE"""),"")</f>
        <v/>
      </c>
      <c r="K709" s="36" t="str">
        <f ca="1">IFERROR(__xludf.DUMMYFUNCTION("""COMPUTED_VALUE"""),"")</f>
        <v/>
      </c>
      <c r="L709" s="36" t="str">
        <f ca="1">IFERROR(__xludf.DUMMYFUNCTION("""COMPUTED_VALUE"""),"")</f>
        <v/>
      </c>
      <c r="M709" s="36" t="str">
        <f ca="1">IFERROR(__xludf.DUMMYFUNCTION("""COMPUTED_VALUE"""),"")</f>
        <v/>
      </c>
      <c r="N709" s="36" t="str">
        <f ca="1">IFERROR(__xludf.DUMMYFUNCTION("""COMPUTED_VALUE"""),"")</f>
        <v/>
      </c>
      <c r="O709" s="36" t="str">
        <f ca="1">IFERROR(__xludf.DUMMYFUNCTION("""COMPUTED_VALUE"""),"")</f>
        <v/>
      </c>
      <c r="P709" s="36" t="str">
        <f ca="1">IFERROR(__xludf.DUMMYFUNCTION("""COMPUTED_VALUE"""),"")</f>
        <v/>
      </c>
      <c r="Q709" s="36" t="str">
        <f ca="1">IFERROR(__xludf.DUMMYFUNCTION("""COMPUTED_VALUE"""),"")</f>
        <v/>
      </c>
      <c r="R709" s="36" t="str">
        <f ca="1">IFERROR(__xludf.DUMMYFUNCTION("""COMPUTED_VALUE"""),"")</f>
        <v/>
      </c>
      <c r="S709" s="36" t="str">
        <f ca="1">IFERROR(__xludf.DUMMYFUNCTION("""COMPUTED_VALUE"""),"")</f>
        <v/>
      </c>
      <c r="T709" s="36" t="str">
        <f ca="1">IFERROR(__xludf.DUMMYFUNCTION("""COMPUTED_VALUE"""),"")</f>
        <v/>
      </c>
      <c r="U709" s="36" t="str">
        <f ca="1">IFERROR(__xludf.DUMMYFUNCTION("""COMPUTED_VALUE"""),"")</f>
        <v/>
      </c>
      <c r="V709" s="36" t="str">
        <f ca="1">IFERROR(__xludf.DUMMYFUNCTION("""COMPUTED_VALUE"""),"")</f>
        <v/>
      </c>
      <c r="W709" s="36" t="str">
        <f ca="1">IFERROR(__xludf.DUMMYFUNCTION("""COMPUTED_VALUE"""),"")</f>
        <v/>
      </c>
      <c r="X709" s="36"/>
      <c r="Y709" s="36"/>
      <c r="Z709" s="36"/>
    </row>
    <row r="710" spans="1:26" ht="12.75" hidden="1">
      <c r="A710" s="36" t="str">
        <f ca="1">IFERROR(__xludf.DUMMYFUNCTION("""COMPUTED_VALUE"""),"")</f>
        <v/>
      </c>
      <c r="B710" s="36" t="str">
        <f ca="1">IFERROR(__xludf.DUMMYFUNCTION("""COMPUTED_VALUE"""),"")</f>
        <v/>
      </c>
      <c r="C710" s="36" t="str">
        <f ca="1">IFERROR(__xludf.DUMMYFUNCTION("""COMPUTED_VALUE"""),"")</f>
        <v/>
      </c>
      <c r="D710" s="36" t="str">
        <f ca="1">IFERROR(__xludf.DUMMYFUNCTION("""COMPUTED_VALUE"""),"")</f>
        <v/>
      </c>
      <c r="E710" s="36" t="str">
        <f ca="1">IFERROR(__xludf.DUMMYFUNCTION("""COMPUTED_VALUE"""),"")</f>
        <v/>
      </c>
      <c r="F710" s="36" t="str">
        <f ca="1">IFERROR(__xludf.DUMMYFUNCTION("""COMPUTED_VALUE"""),"")</f>
        <v/>
      </c>
      <c r="G710" s="36" t="str">
        <f ca="1">IFERROR(__xludf.DUMMYFUNCTION("""COMPUTED_VALUE"""),"")</f>
        <v/>
      </c>
      <c r="H710" s="36" t="str">
        <f ca="1">IFERROR(__xludf.DUMMYFUNCTION("""COMPUTED_VALUE"""),"")</f>
        <v/>
      </c>
      <c r="I710" s="36" t="str">
        <f ca="1">IFERROR(__xludf.DUMMYFUNCTION("""COMPUTED_VALUE"""),"")</f>
        <v/>
      </c>
      <c r="J710" s="36" t="str">
        <f ca="1">IFERROR(__xludf.DUMMYFUNCTION("""COMPUTED_VALUE"""),"")</f>
        <v/>
      </c>
      <c r="K710" s="36" t="str">
        <f ca="1">IFERROR(__xludf.DUMMYFUNCTION("""COMPUTED_VALUE"""),"")</f>
        <v/>
      </c>
      <c r="L710" s="36" t="str">
        <f ca="1">IFERROR(__xludf.DUMMYFUNCTION("""COMPUTED_VALUE"""),"")</f>
        <v/>
      </c>
      <c r="M710" s="36" t="str">
        <f ca="1">IFERROR(__xludf.DUMMYFUNCTION("""COMPUTED_VALUE"""),"")</f>
        <v/>
      </c>
      <c r="N710" s="36" t="str">
        <f ca="1">IFERROR(__xludf.DUMMYFUNCTION("""COMPUTED_VALUE"""),"")</f>
        <v/>
      </c>
      <c r="O710" s="36" t="str">
        <f ca="1">IFERROR(__xludf.DUMMYFUNCTION("""COMPUTED_VALUE"""),"")</f>
        <v/>
      </c>
      <c r="P710" s="36" t="str">
        <f ca="1">IFERROR(__xludf.DUMMYFUNCTION("""COMPUTED_VALUE"""),"")</f>
        <v/>
      </c>
      <c r="Q710" s="36" t="str">
        <f ca="1">IFERROR(__xludf.DUMMYFUNCTION("""COMPUTED_VALUE"""),"")</f>
        <v/>
      </c>
      <c r="R710" s="36" t="str">
        <f ca="1">IFERROR(__xludf.DUMMYFUNCTION("""COMPUTED_VALUE"""),"")</f>
        <v/>
      </c>
      <c r="S710" s="36" t="str">
        <f ca="1">IFERROR(__xludf.DUMMYFUNCTION("""COMPUTED_VALUE"""),"")</f>
        <v/>
      </c>
      <c r="T710" s="36" t="str">
        <f ca="1">IFERROR(__xludf.DUMMYFUNCTION("""COMPUTED_VALUE"""),"")</f>
        <v/>
      </c>
      <c r="U710" s="36" t="str">
        <f ca="1">IFERROR(__xludf.DUMMYFUNCTION("""COMPUTED_VALUE"""),"")</f>
        <v/>
      </c>
      <c r="V710" s="36" t="str">
        <f ca="1">IFERROR(__xludf.DUMMYFUNCTION("""COMPUTED_VALUE"""),"")</f>
        <v/>
      </c>
      <c r="W710" s="36" t="str">
        <f ca="1">IFERROR(__xludf.DUMMYFUNCTION("""COMPUTED_VALUE"""),"")</f>
        <v/>
      </c>
      <c r="X710" s="36"/>
      <c r="Y710" s="36"/>
      <c r="Z710" s="36"/>
    </row>
    <row r="711" spans="1:26" ht="12.75" hidden="1">
      <c r="A711" s="36" t="str">
        <f ca="1">IFERROR(__xludf.DUMMYFUNCTION("""COMPUTED_VALUE"""),"")</f>
        <v/>
      </c>
      <c r="B711" s="36" t="str">
        <f ca="1">IFERROR(__xludf.DUMMYFUNCTION("""COMPUTED_VALUE"""),"")</f>
        <v/>
      </c>
      <c r="C711" s="36" t="str">
        <f ca="1">IFERROR(__xludf.DUMMYFUNCTION("""COMPUTED_VALUE"""),"")</f>
        <v/>
      </c>
      <c r="D711" s="36" t="str">
        <f ca="1">IFERROR(__xludf.DUMMYFUNCTION("""COMPUTED_VALUE"""),"")</f>
        <v/>
      </c>
      <c r="E711" s="36" t="str">
        <f ca="1">IFERROR(__xludf.DUMMYFUNCTION("""COMPUTED_VALUE"""),"")</f>
        <v/>
      </c>
      <c r="F711" s="36" t="str">
        <f ca="1">IFERROR(__xludf.DUMMYFUNCTION("""COMPUTED_VALUE"""),"")</f>
        <v/>
      </c>
      <c r="G711" s="36" t="str">
        <f ca="1">IFERROR(__xludf.DUMMYFUNCTION("""COMPUTED_VALUE"""),"")</f>
        <v/>
      </c>
      <c r="H711" s="36" t="str">
        <f ca="1">IFERROR(__xludf.DUMMYFUNCTION("""COMPUTED_VALUE"""),"")</f>
        <v/>
      </c>
      <c r="I711" s="36" t="str">
        <f ca="1">IFERROR(__xludf.DUMMYFUNCTION("""COMPUTED_VALUE"""),"")</f>
        <v/>
      </c>
      <c r="J711" s="36" t="str">
        <f ca="1">IFERROR(__xludf.DUMMYFUNCTION("""COMPUTED_VALUE"""),"")</f>
        <v/>
      </c>
      <c r="K711" s="36" t="str">
        <f ca="1">IFERROR(__xludf.DUMMYFUNCTION("""COMPUTED_VALUE"""),"")</f>
        <v/>
      </c>
      <c r="L711" s="36" t="str">
        <f ca="1">IFERROR(__xludf.DUMMYFUNCTION("""COMPUTED_VALUE"""),"")</f>
        <v/>
      </c>
      <c r="M711" s="36" t="str">
        <f ca="1">IFERROR(__xludf.DUMMYFUNCTION("""COMPUTED_VALUE"""),"")</f>
        <v/>
      </c>
      <c r="N711" s="36" t="str">
        <f ca="1">IFERROR(__xludf.DUMMYFUNCTION("""COMPUTED_VALUE"""),"")</f>
        <v/>
      </c>
      <c r="O711" s="36" t="str">
        <f ca="1">IFERROR(__xludf.DUMMYFUNCTION("""COMPUTED_VALUE"""),"")</f>
        <v/>
      </c>
      <c r="P711" s="36" t="str">
        <f ca="1">IFERROR(__xludf.DUMMYFUNCTION("""COMPUTED_VALUE"""),"")</f>
        <v/>
      </c>
      <c r="Q711" s="36" t="str">
        <f ca="1">IFERROR(__xludf.DUMMYFUNCTION("""COMPUTED_VALUE"""),"")</f>
        <v/>
      </c>
      <c r="R711" s="36" t="str">
        <f ca="1">IFERROR(__xludf.DUMMYFUNCTION("""COMPUTED_VALUE"""),"")</f>
        <v/>
      </c>
      <c r="S711" s="36" t="str">
        <f ca="1">IFERROR(__xludf.DUMMYFUNCTION("""COMPUTED_VALUE"""),"")</f>
        <v/>
      </c>
      <c r="T711" s="36" t="str">
        <f ca="1">IFERROR(__xludf.DUMMYFUNCTION("""COMPUTED_VALUE"""),"")</f>
        <v/>
      </c>
      <c r="U711" s="36" t="str">
        <f ca="1">IFERROR(__xludf.DUMMYFUNCTION("""COMPUTED_VALUE"""),"")</f>
        <v/>
      </c>
      <c r="V711" s="36" t="str">
        <f ca="1">IFERROR(__xludf.DUMMYFUNCTION("""COMPUTED_VALUE"""),"")</f>
        <v/>
      </c>
      <c r="W711" s="36" t="str">
        <f ca="1">IFERROR(__xludf.DUMMYFUNCTION("""COMPUTED_VALUE"""),"")</f>
        <v/>
      </c>
      <c r="X711" s="36"/>
      <c r="Y711" s="36"/>
      <c r="Z711" s="36"/>
    </row>
    <row r="712" spans="1:26" ht="12.75" hidden="1">
      <c r="A712" s="36" t="str">
        <f ca="1">IFERROR(__xludf.DUMMYFUNCTION("""COMPUTED_VALUE"""),"")</f>
        <v/>
      </c>
      <c r="B712" s="36" t="str">
        <f ca="1">IFERROR(__xludf.DUMMYFUNCTION("""COMPUTED_VALUE"""),"")</f>
        <v/>
      </c>
      <c r="C712" s="36" t="str">
        <f ca="1">IFERROR(__xludf.DUMMYFUNCTION("""COMPUTED_VALUE"""),"")</f>
        <v/>
      </c>
      <c r="D712" s="36" t="str">
        <f ca="1">IFERROR(__xludf.DUMMYFUNCTION("""COMPUTED_VALUE"""),"")</f>
        <v/>
      </c>
      <c r="E712" s="36" t="str">
        <f ca="1">IFERROR(__xludf.DUMMYFUNCTION("""COMPUTED_VALUE"""),"")</f>
        <v/>
      </c>
      <c r="F712" s="36" t="str">
        <f ca="1">IFERROR(__xludf.DUMMYFUNCTION("""COMPUTED_VALUE"""),"")</f>
        <v/>
      </c>
      <c r="G712" s="36" t="str">
        <f ca="1">IFERROR(__xludf.DUMMYFUNCTION("""COMPUTED_VALUE"""),"")</f>
        <v/>
      </c>
      <c r="H712" s="36" t="str">
        <f ca="1">IFERROR(__xludf.DUMMYFUNCTION("""COMPUTED_VALUE"""),"")</f>
        <v/>
      </c>
      <c r="I712" s="36" t="str">
        <f ca="1">IFERROR(__xludf.DUMMYFUNCTION("""COMPUTED_VALUE"""),"")</f>
        <v/>
      </c>
      <c r="J712" s="36" t="str">
        <f ca="1">IFERROR(__xludf.DUMMYFUNCTION("""COMPUTED_VALUE"""),"")</f>
        <v/>
      </c>
      <c r="K712" s="36" t="str">
        <f ca="1">IFERROR(__xludf.DUMMYFUNCTION("""COMPUTED_VALUE"""),"")</f>
        <v/>
      </c>
      <c r="L712" s="36" t="str">
        <f ca="1">IFERROR(__xludf.DUMMYFUNCTION("""COMPUTED_VALUE"""),"")</f>
        <v/>
      </c>
      <c r="M712" s="36" t="str">
        <f ca="1">IFERROR(__xludf.DUMMYFUNCTION("""COMPUTED_VALUE"""),"")</f>
        <v/>
      </c>
      <c r="N712" s="36" t="str">
        <f ca="1">IFERROR(__xludf.DUMMYFUNCTION("""COMPUTED_VALUE"""),"")</f>
        <v/>
      </c>
      <c r="O712" s="36" t="str">
        <f ca="1">IFERROR(__xludf.DUMMYFUNCTION("""COMPUTED_VALUE"""),"")</f>
        <v/>
      </c>
      <c r="P712" s="36" t="str">
        <f ca="1">IFERROR(__xludf.DUMMYFUNCTION("""COMPUTED_VALUE"""),"")</f>
        <v/>
      </c>
      <c r="Q712" s="36" t="str">
        <f ca="1">IFERROR(__xludf.DUMMYFUNCTION("""COMPUTED_VALUE"""),"")</f>
        <v/>
      </c>
      <c r="R712" s="36" t="str">
        <f ca="1">IFERROR(__xludf.DUMMYFUNCTION("""COMPUTED_VALUE"""),"")</f>
        <v/>
      </c>
      <c r="S712" s="36" t="str">
        <f ca="1">IFERROR(__xludf.DUMMYFUNCTION("""COMPUTED_VALUE"""),"")</f>
        <v/>
      </c>
      <c r="T712" s="36" t="str">
        <f ca="1">IFERROR(__xludf.DUMMYFUNCTION("""COMPUTED_VALUE"""),"")</f>
        <v/>
      </c>
      <c r="U712" s="36" t="str">
        <f ca="1">IFERROR(__xludf.DUMMYFUNCTION("""COMPUTED_VALUE"""),"")</f>
        <v/>
      </c>
      <c r="V712" s="36" t="str">
        <f ca="1">IFERROR(__xludf.DUMMYFUNCTION("""COMPUTED_VALUE"""),"")</f>
        <v/>
      </c>
      <c r="W712" s="36" t="str">
        <f ca="1">IFERROR(__xludf.DUMMYFUNCTION("""COMPUTED_VALUE"""),"")</f>
        <v/>
      </c>
      <c r="X712" s="36"/>
      <c r="Y712" s="36"/>
      <c r="Z712" s="36"/>
    </row>
    <row r="713" spans="1:26" ht="12.75" hidden="1">
      <c r="A713" s="36" t="str">
        <f ca="1">IFERROR(__xludf.DUMMYFUNCTION("""COMPUTED_VALUE"""),"")</f>
        <v/>
      </c>
      <c r="B713" s="36" t="str">
        <f ca="1">IFERROR(__xludf.DUMMYFUNCTION("""COMPUTED_VALUE"""),"")</f>
        <v/>
      </c>
      <c r="C713" s="36" t="str">
        <f ca="1">IFERROR(__xludf.DUMMYFUNCTION("""COMPUTED_VALUE"""),"")</f>
        <v/>
      </c>
      <c r="D713" s="36" t="str">
        <f ca="1">IFERROR(__xludf.DUMMYFUNCTION("""COMPUTED_VALUE"""),"")</f>
        <v/>
      </c>
      <c r="E713" s="36" t="str">
        <f ca="1">IFERROR(__xludf.DUMMYFUNCTION("""COMPUTED_VALUE"""),"")</f>
        <v/>
      </c>
      <c r="F713" s="36" t="str">
        <f ca="1">IFERROR(__xludf.DUMMYFUNCTION("""COMPUTED_VALUE"""),"")</f>
        <v/>
      </c>
      <c r="G713" s="36" t="str">
        <f ca="1">IFERROR(__xludf.DUMMYFUNCTION("""COMPUTED_VALUE"""),"")</f>
        <v/>
      </c>
      <c r="H713" s="36" t="str">
        <f ca="1">IFERROR(__xludf.DUMMYFUNCTION("""COMPUTED_VALUE"""),"")</f>
        <v/>
      </c>
      <c r="I713" s="36" t="str">
        <f ca="1">IFERROR(__xludf.DUMMYFUNCTION("""COMPUTED_VALUE"""),"")</f>
        <v/>
      </c>
      <c r="J713" s="36" t="str">
        <f ca="1">IFERROR(__xludf.DUMMYFUNCTION("""COMPUTED_VALUE"""),"")</f>
        <v/>
      </c>
      <c r="K713" s="36" t="str">
        <f ca="1">IFERROR(__xludf.DUMMYFUNCTION("""COMPUTED_VALUE"""),"")</f>
        <v/>
      </c>
      <c r="L713" s="36" t="str">
        <f ca="1">IFERROR(__xludf.DUMMYFUNCTION("""COMPUTED_VALUE"""),"")</f>
        <v/>
      </c>
      <c r="M713" s="36" t="str">
        <f ca="1">IFERROR(__xludf.DUMMYFUNCTION("""COMPUTED_VALUE"""),"")</f>
        <v/>
      </c>
      <c r="N713" s="36" t="str">
        <f ca="1">IFERROR(__xludf.DUMMYFUNCTION("""COMPUTED_VALUE"""),"")</f>
        <v/>
      </c>
      <c r="O713" s="36" t="str">
        <f ca="1">IFERROR(__xludf.DUMMYFUNCTION("""COMPUTED_VALUE"""),"")</f>
        <v/>
      </c>
      <c r="P713" s="36" t="str">
        <f ca="1">IFERROR(__xludf.DUMMYFUNCTION("""COMPUTED_VALUE"""),"")</f>
        <v/>
      </c>
      <c r="Q713" s="36" t="str">
        <f ca="1">IFERROR(__xludf.DUMMYFUNCTION("""COMPUTED_VALUE"""),"")</f>
        <v/>
      </c>
      <c r="R713" s="36" t="str">
        <f ca="1">IFERROR(__xludf.DUMMYFUNCTION("""COMPUTED_VALUE"""),"")</f>
        <v/>
      </c>
      <c r="S713" s="36" t="str">
        <f ca="1">IFERROR(__xludf.DUMMYFUNCTION("""COMPUTED_VALUE"""),"")</f>
        <v/>
      </c>
      <c r="T713" s="36" t="str">
        <f ca="1">IFERROR(__xludf.DUMMYFUNCTION("""COMPUTED_VALUE"""),"")</f>
        <v/>
      </c>
      <c r="U713" s="36" t="str">
        <f ca="1">IFERROR(__xludf.DUMMYFUNCTION("""COMPUTED_VALUE"""),"")</f>
        <v/>
      </c>
      <c r="V713" s="36" t="str">
        <f ca="1">IFERROR(__xludf.DUMMYFUNCTION("""COMPUTED_VALUE"""),"")</f>
        <v/>
      </c>
      <c r="W713" s="36" t="str">
        <f ca="1">IFERROR(__xludf.DUMMYFUNCTION("""COMPUTED_VALUE"""),"")</f>
        <v/>
      </c>
      <c r="X713" s="36"/>
      <c r="Y713" s="36"/>
      <c r="Z713" s="36"/>
    </row>
    <row r="714" spans="1:26" ht="12.75" hidden="1">
      <c r="A714" s="36" t="str">
        <f ca="1">IFERROR(__xludf.DUMMYFUNCTION("""COMPUTED_VALUE"""),"")</f>
        <v/>
      </c>
      <c r="B714" s="36" t="str">
        <f ca="1">IFERROR(__xludf.DUMMYFUNCTION("""COMPUTED_VALUE"""),"")</f>
        <v/>
      </c>
      <c r="C714" s="36" t="str">
        <f ca="1">IFERROR(__xludf.DUMMYFUNCTION("""COMPUTED_VALUE"""),"")</f>
        <v/>
      </c>
      <c r="D714" s="36" t="str">
        <f ca="1">IFERROR(__xludf.DUMMYFUNCTION("""COMPUTED_VALUE"""),"")</f>
        <v/>
      </c>
      <c r="E714" s="36" t="str">
        <f ca="1">IFERROR(__xludf.DUMMYFUNCTION("""COMPUTED_VALUE"""),"")</f>
        <v/>
      </c>
      <c r="F714" s="36" t="str">
        <f ca="1">IFERROR(__xludf.DUMMYFUNCTION("""COMPUTED_VALUE"""),"")</f>
        <v/>
      </c>
      <c r="G714" s="36" t="str">
        <f ca="1">IFERROR(__xludf.DUMMYFUNCTION("""COMPUTED_VALUE"""),"")</f>
        <v/>
      </c>
      <c r="H714" s="36" t="str">
        <f ca="1">IFERROR(__xludf.DUMMYFUNCTION("""COMPUTED_VALUE"""),"")</f>
        <v/>
      </c>
      <c r="I714" s="36" t="str">
        <f ca="1">IFERROR(__xludf.DUMMYFUNCTION("""COMPUTED_VALUE"""),"")</f>
        <v/>
      </c>
      <c r="J714" s="36" t="str">
        <f ca="1">IFERROR(__xludf.DUMMYFUNCTION("""COMPUTED_VALUE"""),"")</f>
        <v/>
      </c>
      <c r="K714" s="36" t="str">
        <f ca="1">IFERROR(__xludf.DUMMYFUNCTION("""COMPUTED_VALUE"""),"")</f>
        <v/>
      </c>
      <c r="L714" s="36" t="str">
        <f ca="1">IFERROR(__xludf.DUMMYFUNCTION("""COMPUTED_VALUE"""),"")</f>
        <v/>
      </c>
      <c r="M714" s="36" t="str">
        <f ca="1">IFERROR(__xludf.DUMMYFUNCTION("""COMPUTED_VALUE"""),"")</f>
        <v/>
      </c>
      <c r="N714" s="36" t="str">
        <f ca="1">IFERROR(__xludf.DUMMYFUNCTION("""COMPUTED_VALUE"""),"")</f>
        <v/>
      </c>
      <c r="O714" s="36" t="str">
        <f ca="1">IFERROR(__xludf.DUMMYFUNCTION("""COMPUTED_VALUE"""),"")</f>
        <v/>
      </c>
      <c r="P714" s="36" t="str">
        <f ca="1">IFERROR(__xludf.DUMMYFUNCTION("""COMPUTED_VALUE"""),"")</f>
        <v/>
      </c>
      <c r="Q714" s="36" t="str">
        <f ca="1">IFERROR(__xludf.DUMMYFUNCTION("""COMPUTED_VALUE"""),"")</f>
        <v/>
      </c>
      <c r="R714" s="36" t="str">
        <f ca="1">IFERROR(__xludf.DUMMYFUNCTION("""COMPUTED_VALUE"""),"")</f>
        <v/>
      </c>
      <c r="S714" s="36" t="str">
        <f ca="1">IFERROR(__xludf.DUMMYFUNCTION("""COMPUTED_VALUE"""),"")</f>
        <v/>
      </c>
      <c r="T714" s="36" t="str">
        <f ca="1">IFERROR(__xludf.DUMMYFUNCTION("""COMPUTED_VALUE"""),"")</f>
        <v/>
      </c>
      <c r="U714" s="36" t="str">
        <f ca="1">IFERROR(__xludf.DUMMYFUNCTION("""COMPUTED_VALUE"""),"")</f>
        <v/>
      </c>
      <c r="V714" s="36" t="str">
        <f ca="1">IFERROR(__xludf.DUMMYFUNCTION("""COMPUTED_VALUE"""),"")</f>
        <v/>
      </c>
      <c r="W714" s="36" t="str">
        <f ca="1">IFERROR(__xludf.DUMMYFUNCTION("""COMPUTED_VALUE"""),"")</f>
        <v/>
      </c>
      <c r="X714" s="36"/>
      <c r="Y714" s="36"/>
      <c r="Z714" s="36"/>
    </row>
    <row r="715" spans="1:26" ht="12.75" hidden="1">
      <c r="A715" s="36" t="str">
        <f ca="1">IFERROR(__xludf.DUMMYFUNCTION("""COMPUTED_VALUE"""),"")</f>
        <v/>
      </c>
      <c r="B715" s="36" t="str">
        <f ca="1">IFERROR(__xludf.DUMMYFUNCTION("""COMPUTED_VALUE"""),"")</f>
        <v/>
      </c>
      <c r="C715" s="36" t="str">
        <f ca="1">IFERROR(__xludf.DUMMYFUNCTION("""COMPUTED_VALUE"""),"")</f>
        <v/>
      </c>
      <c r="D715" s="36" t="str">
        <f ca="1">IFERROR(__xludf.DUMMYFUNCTION("""COMPUTED_VALUE"""),"")</f>
        <v/>
      </c>
      <c r="E715" s="36" t="str">
        <f ca="1">IFERROR(__xludf.DUMMYFUNCTION("""COMPUTED_VALUE"""),"")</f>
        <v/>
      </c>
      <c r="F715" s="36" t="str">
        <f ca="1">IFERROR(__xludf.DUMMYFUNCTION("""COMPUTED_VALUE"""),"")</f>
        <v/>
      </c>
      <c r="G715" s="36" t="str">
        <f ca="1">IFERROR(__xludf.DUMMYFUNCTION("""COMPUTED_VALUE"""),"")</f>
        <v/>
      </c>
      <c r="H715" s="36" t="str">
        <f ca="1">IFERROR(__xludf.DUMMYFUNCTION("""COMPUTED_VALUE"""),"")</f>
        <v/>
      </c>
      <c r="I715" s="36" t="str">
        <f ca="1">IFERROR(__xludf.DUMMYFUNCTION("""COMPUTED_VALUE"""),"")</f>
        <v/>
      </c>
      <c r="J715" s="36" t="str">
        <f ca="1">IFERROR(__xludf.DUMMYFUNCTION("""COMPUTED_VALUE"""),"")</f>
        <v/>
      </c>
      <c r="K715" s="36" t="str">
        <f ca="1">IFERROR(__xludf.DUMMYFUNCTION("""COMPUTED_VALUE"""),"")</f>
        <v/>
      </c>
      <c r="L715" s="36" t="str">
        <f ca="1">IFERROR(__xludf.DUMMYFUNCTION("""COMPUTED_VALUE"""),"")</f>
        <v/>
      </c>
      <c r="M715" s="36" t="str">
        <f ca="1">IFERROR(__xludf.DUMMYFUNCTION("""COMPUTED_VALUE"""),"")</f>
        <v/>
      </c>
      <c r="N715" s="36" t="str">
        <f ca="1">IFERROR(__xludf.DUMMYFUNCTION("""COMPUTED_VALUE"""),"")</f>
        <v/>
      </c>
      <c r="O715" s="36" t="str">
        <f ca="1">IFERROR(__xludf.DUMMYFUNCTION("""COMPUTED_VALUE"""),"")</f>
        <v/>
      </c>
      <c r="P715" s="36" t="str">
        <f ca="1">IFERROR(__xludf.DUMMYFUNCTION("""COMPUTED_VALUE"""),"")</f>
        <v/>
      </c>
      <c r="Q715" s="36" t="str">
        <f ca="1">IFERROR(__xludf.DUMMYFUNCTION("""COMPUTED_VALUE"""),"")</f>
        <v/>
      </c>
      <c r="R715" s="36" t="str">
        <f ca="1">IFERROR(__xludf.DUMMYFUNCTION("""COMPUTED_VALUE"""),"")</f>
        <v/>
      </c>
      <c r="S715" s="36" t="str">
        <f ca="1">IFERROR(__xludf.DUMMYFUNCTION("""COMPUTED_VALUE"""),"")</f>
        <v/>
      </c>
      <c r="T715" s="36" t="str">
        <f ca="1">IFERROR(__xludf.DUMMYFUNCTION("""COMPUTED_VALUE"""),"")</f>
        <v/>
      </c>
      <c r="U715" s="36" t="str">
        <f ca="1">IFERROR(__xludf.DUMMYFUNCTION("""COMPUTED_VALUE"""),"")</f>
        <v/>
      </c>
      <c r="V715" s="36" t="str">
        <f ca="1">IFERROR(__xludf.DUMMYFUNCTION("""COMPUTED_VALUE"""),"")</f>
        <v/>
      </c>
      <c r="W715" s="36" t="str">
        <f ca="1">IFERROR(__xludf.DUMMYFUNCTION("""COMPUTED_VALUE"""),"")</f>
        <v/>
      </c>
      <c r="X715" s="36"/>
      <c r="Y715" s="36"/>
      <c r="Z715" s="36"/>
    </row>
    <row r="716" spans="1:26" ht="12.75" hidden="1">
      <c r="A716" s="36" t="str">
        <f ca="1">IFERROR(__xludf.DUMMYFUNCTION("""COMPUTED_VALUE"""),"")</f>
        <v/>
      </c>
      <c r="B716" s="36" t="str">
        <f ca="1">IFERROR(__xludf.DUMMYFUNCTION("""COMPUTED_VALUE"""),"")</f>
        <v/>
      </c>
      <c r="C716" s="36" t="str">
        <f ca="1">IFERROR(__xludf.DUMMYFUNCTION("""COMPUTED_VALUE"""),"")</f>
        <v/>
      </c>
      <c r="D716" s="36" t="str">
        <f ca="1">IFERROR(__xludf.DUMMYFUNCTION("""COMPUTED_VALUE"""),"")</f>
        <v/>
      </c>
      <c r="E716" s="36" t="str">
        <f ca="1">IFERROR(__xludf.DUMMYFUNCTION("""COMPUTED_VALUE"""),"")</f>
        <v/>
      </c>
      <c r="F716" s="36" t="str">
        <f ca="1">IFERROR(__xludf.DUMMYFUNCTION("""COMPUTED_VALUE"""),"")</f>
        <v/>
      </c>
      <c r="G716" s="36" t="str">
        <f ca="1">IFERROR(__xludf.DUMMYFUNCTION("""COMPUTED_VALUE"""),"")</f>
        <v/>
      </c>
      <c r="H716" s="36" t="str">
        <f ca="1">IFERROR(__xludf.DUMMYFUNCTION("""COMPUTED_VALUE"""),"")</f>
        <v/>
      </c>
      <c r="I716" s="36" t="str">
        <f ca="1">IFERROR(__xludf.DUMMYFUNCTION("""COMPUTED_VALUE"""),"")</f>
        <v/>
      </c>
      <c r="J716" s="36" t="str">
        <f ca="1">IFERROR(__xludf.DUMMYFUNCTION("""COMPUTED_VALUE"""),"")</f>
        <v/>
      </c>
      <c r="K716" s="36" t="str">
        <f ca="1">IFERROR(__xludf.DUMMYFUNCTION("""COMPUTED_VALUE"""),"")</f>
        <v/>
      </c>
      <c r="L716" s="36" t="str">
        <f ca="1">IFERROR(__xludf.DUMMYFUNCTION("""COMPUTED_VALUE"""),"")</f>
        <v/>
      </c>
      <c r="M716" s="36" t="str">
        <f ca="1">IFERROR(__xludf.DUMMYFUNCTION("""COMPUTED_VALUE"""),"")</f>
        <v/>
      </c>
      <c r="N716" s="36" t="str">
        <f ca="1">IFERROR(__xludf.DUMMYFUNCTION("""COMPUTED_VALUE"""),"")</f>
        <v/>
      </c>
      <c r="O716" s="36" t="str">
        <f ca="1">IFERROR(__xludf.DUMMYFUNCTION("""COMPUTED_VALUE"""),"")</f>
        <v/>
      </c>
      <c r="P716" s="36" t="str">
        <f ca="1">IFERROR(__xludf.DUMMYFUNCTION("""COMPUTED_VALUE"""),"")</f>
        <v/>
      </c>
      <c r="Q716" s="36" t="str">
        <f ca="1">IFERROR(__xludf.DUMMYFUNCTION("""COMPUTED_VALUE"""),"")</f>
        <v/>
      </c>
      <c r="R716" s="36" t="str">
        <f ca="1">IFERROR(__xludf.DUMMYFUNCTION("""COMPUTED_VALUE"""),"")</f>
        <v/>
      </c>
      <c r="S716" s="36" t="str">
        <f ca="1">IFERROR(__xludf.DUMMYFUNCTION("""COMPUTED_VALUE"""),"")</f>
        <v/>
      </c>
      <c r="T716" s="36" t="str">
        <f ca="1">IFERROR(__xludf.DUMMYFUNCTION("""COMPUTED_VALUE"""),"")</f>
        <v/>
      </c>
      <c r="U716" s="36" t="str">
        <f ca="1">IFERROR(__xludf.DUMMYFUNCTION("""COMPUTED_VALUE"""),"")</f>
        <v/>
      </c>
      <c r="V716" s="36" t="str">
        <f ca="1">IFERROR(__xludf.DUMMYFUNCTION("""COMPUTED_VALUE"""),"")</f>
        <v/>
      </c>
      <c r="W716" s="36" t="str">
        <f ca="1">IFERROR(__xludf.DUMMYFUNCTION("""COMPUTED_VALUE"""),"")</f>
        <v/>
      </c>
      <c r="X716" s="36"/>
      <c r="Y716" s="36"/>
      <c r="Z716" s="36"/>
    </row>
    <row r="717" spans="1:26" ht="12.75" hidden="1">
      <c r="A717" s="36" t="str">
        <f ca="1">IFERROR(__xludf.DUMMYFUNCTION("""COMPUTED_VALUE"""),"")</f>
        <v/>
      </c>
      <c r="B717" s="36" t="str">
        <f ca="1">IFERROR(__xludf.DUMMYFUNCTION("""COMPUTED_VALUE"""),"")</f>
        <v/>
      </c>
      <c r="C717" s="36" t="str">
        <f ca="1">IFERROR(__xludf.DUMMYFUNCTION("""COMPUTED_VALUE"""),"")</f>
        <v/>
      </c>
      <c r="D717" s="36" t="str">
        <f ca="1">IFERROR(__xludf.DUMMYFUNCTION("""COMPUTED_VALUE"""),"")</f>
        <v/>
      </c>
      <c r="E717" s="36" t="str">
        <f ca="1">IFERROR(__xludf.DUMMYFUNCTION("""COMPUTED_VALUE"""),"")</f>
        <v/>
      </c>
      <c r="F717" s="36" t="str">
        <f ca="1">IFERROR(__xludf.DUMMYFUNCTION("""COMPUTED_VALUE"""),"")</f>
        <v/>
      </c>
      <c r="G717" s="36" t="str">
        <f ca="1">IFERROR(__xludf.DUMMYFUNCTION("""COMPUTED_VALUE"""),"")</f>
        <v/>
      </c>
      <c r="H717" s="36" t="str">
        <f ca="1">IFERROR(__xludf.DUMMYFUNCTION("""COMPUTED_VALUE"""),"")</f>
        <v/>
      </c>
      <c r="I717" s="36" t="str">
        <f ca="1">IFERROR(__xludf.DUMMYFUNCTION("""COMPUTED_VALUE"""),"")</f>
        <v/>
      </c>
      <c r="J717" s="36" t="str">
        <f ca="1">IFERROR(__xludf.DUMMYFUNCTION("""COMPUTED_VALUE"""),"")</f>
        <v/>
      </c>
      <c r="K717" s="36" t="str">
        <f ca="1">IFERROR(__xludf.DUMMYFUNCTION("""COMPUTED_VALUE"""),"")</f>
        <v/>
      </c>
      <c r="L717" s="36" t="str">
        <f ca="1">IFERROR(__xludf.DUMMYFUNCTION("""COMPUTED_VALUE"""),"")</f>
        <v/>
      </c>
      <c r="M717" s="36" t="str">
        <f ca="1">IFERROR(__xludf.DUMMYFUNCTION("""COMPUTED_VALUE"""),"")</f>
        <v/>
      </c>
      <c r="N717" s="36" t="str">
        <f ca="1">IFERROR(__xludf.DUMMYFUNCTION("""COMPUTED_VALUE"""),"")</f>
        <v/>
      </c>
      <c r="O717" s="36" t="str">
        <f ca="1">IFERROR(__xludf.DUMMYFUNCTION("""COMPUTED_VALUE"""),"")</f>
        <v/>
      </c>
      <c r="P717" s="36" t="str">
        <f ca="1">IFERROR(__xludf.DUMMYFUNCTION("""COMPUTED_VALUE"""),"")</f>
        <v/>
      </c>
      <c r="Q717" s="36" t="str">
        <f ca="1">IFERROR(__xludf.DUMMYFUNCTION("""COMPUTED_VALUE"""),"")</f>
        <v/>
      </c>
      <c r="R717" s="36" t="str">
        <f ca="1">IFERROR(__xludf.DUMMYFUNCTION("""COMPUTED_VALUE"""),"")</f>
        <v/>
      </c>
      <c r="S717" s="36" t="str">
        <f ca="1">IFERROR(__xludf.DUMMYFUNCTION("""COMPUTED_VALUE"""),"")</f>
        <v/>
      </c>
      <c r="T717" s="36" t="str">
        <f ca="1">IFERROR(__xludf.DUMMYFUNCTION("""COMPUTED_VALUE"""),"")</f>
        <v/>
      </c>
      <c r="U717" s="36" t="str">
        <f ca="1">IFERROR(__xludf.DUMMYFUNCTION("""COMPUTED_VALUE"""),"")</f>
        <v/>
      </c>
      <c r="V717" s="36" t="str">
        <f ca="1">IFERROR(__xludf.DUMMYFUNCTION("""COMPUTED_VALUE"""),"")</f>
        <v/>
      </c>
      <c r="W717" s="36" t="str">
        <f ca="1">IFERROR(__xludf.DUMMYFUNCTION("""COMPUTED_VALUE"""),"")</f>
        <v/>
      </c>
      <c r="X717" s="36"/>
      <c r="Y717" s="36"/>
      <c r="Z717" s="36"/>
    </row>
    <row r="718" spans="1:26" ht="12.75" hidden="1">
      <c r="A718" s="36" t="str">
        <f ca="1">IFERROR(__xludf.DUMMYFUNCTION("""COMPUTED_VALUE"""),"")</f>
        <v/>
      </c>
      <c r="B718" s="36" t="str">
        <f ca="1">IFERROR(__xludf.DUMMYFUNCTION("""COMPUTED_VALUE"""),"")</f>
        <v/>
      </c>
      <c r="C718" s="36" t="str">
        <f ca="1">IFERROR(__xludf.DUMMYFUNCTION("""COMPUTED_VALUE"""),"")</f>
        <v/>
      </c>
      <c r="D718" s="36" t="str">
        <f ca="1">IFERROR(__xludf.DUMMYFUNCTION("""COMPUTED_VALUE"""),"")</f>
        <v/>
      </c>
      <c r="E718" s="36" t="str">
        <f ca="1">IFERROR(__xludf.DUMMYFUNCTION("""COMPUTED_VALUE"""),"")</f>
        <v/>
      </c>
      <c r="F718" s="36" t="str">
        <f ca="1">IFERROR(__xludf.DUMMYFUNCTION("""COMPUTED_VALUE"""),"")</f>
        <v/>
      </c>
      <c r="G718" s="36" t="str">
        <f ca="1">IFERROR(__xludf.DUMMYFUNCTION("""COMPUTED_VALUE"""),"")</f>
        <v/>
      </c>
      <c r="H718" s="36" t="str">
        <f ca="1">IFERROR(__xludf.DUMMYFUNCTION("""COMPUTED_VALUE"""),"")</f>
        <v/>
      </c>
      <c r="I718" s="36" t="str">
        <f ca="1">IFERROR(__xludf.DUMMYFUNCTION("""COMPUTED_VALUE"""),"")</f>
        <v/>
      </c>
      <c r="J718" s="36" t="str">
        <f ca="1">IFERROR(__xludf.DUMMYFUNCTION("""COMPUTED_VALUE"""),"")</f>
        <v/>
      </c>
      <c r="K718" s="36" t="str">
        <f ca="1">IFERROR(__xludf.DUMMYFUNCTION("""COMPUTED_VALUE"""),"")</f>
        <v/>
      </c>
      <c r="L718" s="36" t="str">
        <f ca="1">IFERROR(__xludf.DUMMYFUNCTION("""COMPUTED_VALUE"""),"")</f>
        <v/>
      </c>
      <c r="M718" s="36" t="str">
        <f ca="1">IFERROR(__xludf.DUMMYFUNCTION("""COMPUTED_VALUE"""),"")</f>
        <v/>
      </c>
      <c r="N718" s="36" t="str">
        <f ca="1">IFERROR(__xludf.DUMMYFUNCTION("""COMPUTED_VALUE"""),"")</f>
        <v/>
      </c>
      <c r="O718" s="36" t="str">
        <f ca="1">IFERROR(__xludf.DUMMYFUNCTION("""COMPUTED_VALUE"""),"")</f>
        <v/>
      </c>
      <c r="P718" s="36" t="str">
        <f ca="1">IFERROR(__xludf.DUMMYFUNCTION("""COMPUTED_VALUE"""),"")</f>
        <v/>
      </c>
      <c r="Q718" s="36" t="str">
        <f ca="1">IFERROR(__xludf.DUMMYFUNCTION("""COMPUTED_VALUE"""),"")</f>
        <v/>
      </c>
      <c r="R718" s="36" t="str">
        <f ca="1">IFERROR(__xludf.DUMMYFUNCTION("""COMPUTED_VALUE"""),"")</f>
        <v/>
      </c>
      <c r="S718" s="36" t="str">
        <f ca="1">IFERROR(__xludf.DUMMYFUNCTION("""COMPUTED_VALUE"""),"")</f>
        <v/>
      </c>
      <c r="T718" s="36" t="str">
        <f ca="1">IFERROR(__xludf.DUMMYFUNCTION("""COMPUTED_VALUE"""),"")</f>
        <v/>
      </c>
      <c r="U718" s="36" t="str">
        <f ca="1">IFERROR(__xludf.DUMMYFUNCTION("""COMPUTED_VALUE"""),"")</f>
        <v/>
      </c>
      <c r="V718" s="36" t="str">
        <f ca="1">IFERROR(__xludf.DUMMYFUNCTION("""COMPUTED_VALUE"""),"")</f>
        <v/>
      </c>
      <c r="W718" s="36" t="str">
        <f ca="1">IFERROR(__xludf.DUMMYFUNCTION("""COMPUTED_VALUE"""),"")</f>
        <v/>
      </c>
      <c r="X718" s="36"/>
      <c r="Y718" s="36"/>
      <c r="Z718" s="36"/>
    </row>
    <row r="719" spans="1:26" ht="12.75" hidden="1">
      <c r="A719" s="36" t="str">
        <f ca="1">IFERROR(__xludf.DUMMYFUNCTION("""COMPUTED_VALUE"""),"")</f>
        <v/>
      </c>
      <c r="B719" s="36" t="str">
        <f ca="1">IFERROR(__xludf.DUMMYFUNCTION("""COMPUTED_VALUE"""),"")</f>
        <v/>
      </c>
      <c r="C719" s="36" t="str">
        <f ca="1">IFERROR(__xludf.DUMMYFUNCTION("""COMPUTED_VALUE"""),"")</f>
        <v/>
      </c>
      <c r="D719" s="36" t="str">
        <f ca="1">IFERROR(__xludf.DUMMYFUNCTION("""COMPUTED_VALUE"""),"")</f>
        <v/>
      </c>
      <c r="E719" s="36" t="str">
        <f ca="1">IFERROR(__xludf.DUMMYFUNCTION("""COMPUTED_VALUE"""),"")</f>
        <v/>
      </c>
      <c r="F719" s="36" t="str">
        <f ca="1">IFERROR(__xludf.DUMMYFUNCTION("""COMPUTED_VALUE"""),"")</f>
        <v/>
      </c>
      <c r="G719" s="36" t="str">
        <f ca="1">IFERROR(__xludf.DUMMYFUNCTION("""COMPUTED_VALUE"""),"")</f>
        <v/>
      </c>
      <c r="H719" s="36" t="str">
        <f ca="1">IFERROR(__xludf.DUMMYFUNCTION("""COMPUTED_VALUE"""),"")</f>
        <v/>
      </c>
      <c r="I719" s="36" t="str">
        <f ca="1">IFERROR(__xludf.DUMMYFUNCTION("""COMPUTED_VALUE"""),"")</f>
        <v/>
      </c>
      <c r="J719" s="36" t="str">
        <f ca="1">IFERROR(__xludf.DUMMYFUNCTION("""COMPUTED_VALUE"""),"")</f>
        <v/>
      </c>
      <c r="K719" s="36" t="str">
        <f ca="1">IFERROR(__xludf.DUMMYFUNCTION("""COMPUTED_VALUE"""),"")</f>
        <v/>
      </c>
      <c r="L719" s="36" t="str">
        <f ca="1">IFERROR(__xludf.DUMMYFUNCTION("""COMPUTED_VALUE"""),"")</f>
        <v/>
      </c>
      <c r="M719" s="36" t="str">
        <f ca="1">IFERROR(__xludf.DUMMYFUNCTION("""COMPUTED_VALUE"""),"")</f>
        <v/>
      </c>
      <c r="N719" s="36" t="str">
        <f ca="1">IFERROR(__xludf.DUMMYFUNCTION("""COMPUTED_VALUE"""),"")</f>
        <v/>
      </c>
      <c r="O719" s="36" t="str">
        <f ca="1">IFERROR(__xludf.DUMMYFUNCTION("""COMPUTED_VALUE"""),"")</f>
        <v/>
      </c>
      <c r="P719" s="36" t="str">
        <f ca="1">IFERROR(__xludf.DUMMYFUNCTION("""COMPUTED_VALUE"""),"")</f>
        <v/>
      </c>
      <c r="Q719" s="36" t="str">
        <f ca="1">IFERROR(__xludf.DUMMYFUNCTION("""COMPUTED_VALUE"""),"")</f>
        <v/>
      </c>
      <c r="R719" s="36" t="str">
        <f ca="1">IFERROR(__xludf.DUMMYFUNCTION("""COMPUTED_VALUE"""),"")</f>
        <v/>
      </c>
      <c r="S719" s="36" t="str">
        <f ca="1">IFERROR(__xludf.DUMMYFUNCTION("""COMPUTED_VALUE"""),"")</f>
        <v/>
      </c>
      <c r="T719" s="36" t="str">
        <f ca="1">IFERROR(__xludf.DUMMYFUNCTION("""COMPUTED_VALUE"""),"")</f>
        <v/>
      </c>
      <c r="U719" s="36" t="str">
        <f ca="1">IFERROR(__xludf.DUMMYFUNCTION("""COMPUTED_VALUE"""),"")</f>
        <v/>
      </c>
      <c r="V719" s="36" t="str">
        <f ca="1">IFERROR(__xludf.DUMMYFUNCTION("""COMPUTED_VALUE"""),"")</f>
        <v/>
      </c>
      <c r="W719" s="36" t="str">
        <f ca="1">IFERROR(__xludf.DUMMYFUNCTION("""COMPUTED_VALUE"""),"")</f>
        <v/>
      </c>
      <c r="X719" s="36"/>
      <c r="Y719" s="36"/>
      <c r="Z719" s="36"/>
    </row>
    <row r="720" spans="1:26" ht="12.75" hidden="1">
      <c r="A720" s="36" t="str">
        <f ca="1">IFERROR(__xludf.DUMMYFUNCTION("""COMPUTED_VALUE"""),"")</f>
        <v/>
      </c>
      <c r="B720" s="36" t="str">
        <f ca="1">IFERROR(__xludf.DUMMYFUNCTION("""COMPUTED_VALUE"""),"")</f>
        <v/>
      </c>
      <c r="C720" s="36" t="str">
        <f ca="1">IFERROR(__xludf.DUMMYFUNCTION("""COMPUTED_VALUE"""),"")</f>
        <v/>
      </c>
      <c r="D720" s="36" t="str">
        <f ca="1">IFERROR(__xludf.DUMMYFUNCTION("""COMPUTED_VALUE"""),"")</f>
        <v/>
      </c>
      <c r="E720" s="36" t="str">
        <f ca="1">IFERROR(__xludf.DUMMYFUNCTION("""COMPUTED_VALUE"""),"")</f>
        <v/>
      </c>
      <c r="F720" s="36" t="str">
        <f ca="1">IFERROR(__xludf.DUMMYFUNCTION("""COMPUTED_VALUE"""),"")</f>
        <v/>
      </c>
      <c r="G720" s="36" t="str">
        <f ca="1">IFERROR(__xludf.DUMMYFUNCTION("""COMPUTED_VALUE"""),"")</f>
        <v/>
      </c>
      <c r="H720" s="36" t="str">
        <f ca="1">IFERROR(__xludf.DUMMYFUNCTION("""COMPUTED_VALUE"""),"")</f>
        <v/>
      </c>
      <c r="I720" s="36" t="str">
        <f ca="1">IFERROR(__xludf.DUMMYFUNCTION("""COMPUTED_VALUE"""),"")</f>
        <v/>
      </c>
      <c r="J720" s="36" t="str">
        <f ca="1">IFERROR(__xludf.DUMMYFUNCTION("""COMPUTED_VALUE"""),"")</f>
        <v/>
      </c>
      <c r="K720" s="36" t="str">
        <f ca="1">IFERROR(__xludf.DUMMYFUNCTION("""COMPUTED_VALUE"""),"")</f>
        <v/>
      </c>
      <c r="L720" s="36" t="str">
        <f ca="1">IFERROR(__xludf.DUMMYFUNCTION("""COMPUTED_VALUE"""),"")</f>
        <v/>
      </c>
      <c r="M720" s="36" t="str">
        <f ca="1">IFERROR(__xludf.DUMMYFUNCTION("""COMPUTED_VALUE"""),"")</f>
        <v/>
      </c>
      <c r="N720" s="36" t="str">
        <f ca="1">IFERROR(__xludf.DUMMYFUNCTION("""COMPUTED_VALUE"""),"")</f>
        <v/>
      </c>
      <c r="O720" s="36" t="str">
        <f ca="1">IFERROR(__xludf.DUMMYFUNCTION("""COMPUTED_VALUE"""),"")</f>
        <v/>
      </c>
      <c r="P720" s="36" t="str">
        <f ca="1">IFERROR(__xludf.DUMMYFUNCTION("""COMPUTED_VALUE"""),"")</f>
        <v/>
      </c>
      <c r="Q720" s="36" t="str">
        <f ca="1">IFERROR(__xludf.DUMMYFUNCTION("""COMPUTED_VALUE"""),"")</f>
        <v/>
      </c>
      <c r="R720" s="36" t="str">
        <f ca="1">IFERROR(__xludf.DUMMYFUNCTION("""COMPUTED_VALUE"""),"")</f>
        <v/>
      </c>
      <c r="S720" s="36" t="str">
        <f ca="1">IFERROR(__xludf.DUMMYFUNCTION("""COMPUTED_VALUE"""),"")</f>
        <v/>
      </c>
      <c r="T720" s="36" t="str">
        <f ca="1">IFERROR(__xludf.DUMMYFUNCTION("""COMPUTED_VALUE"""),"")</f>
        <v/>
      </c>
      <c r="U720" s="36" t="str">
        <f ca="1">IFERROR(__xludf.DUMMYFUNCTION("""COMPUTED_VALUE"""),"")</f>
        <v/>
      </c>
      <c r="V720" s="36" t="str">
        <f ca="1">IFERROR(__xludf.DUMMYFUNCTION("""COMPUTED_VALUE"""),"")</f>
        <v/>
      </c>
      <c r="W720" s="36" t="str">
        <f ca="1">IFERROR(__xludf.DUMMYFUNCTION("""COMPUTED_VALUE"""),"")</f>
        <v/>
      </c>
      <c r="X720" s="36"/>
      <c r="Y720" s="36"/>
      <c r="Z720" s="36"/>
    </row>
    <row r="721" spans="1:26" ht="12.75" hidden="1">
      <c r="A721" s="36" t="str">
        <f ca="1">IFERROR(__xludf.DUMMYFUNCTION("""COMPUTED_VALUE"""),"")</f>
        <v/>
      </c>
      <c r="B721" s="36" t="str">
        <f ca="1">IFERROR(__xludf.DUMMYFUNCTION("""COMPUTED_VALUE"""),"")</f>
        <v/>
      </c>
      <c r="C721" s="36" t="str">
        <f ca="1">IFERROR(__xludf.DUMMYFUNCTION("""COMPUTED_VALUE"""),"")</f>
        <v/>
      </c>
      <c r="D721" s="36" t="str">
        <f ca="1">IFERROR(__xludf.DUMMYFUNCTION("""COMPUTED_VALUE"""),"")</f>
        <v/>
      </c>
      <c r="E721" s="36" t="str">
        <f ca="1">IFERROR(__xludf.DUMMYFUNCTION("""COMPUTED_VALUE"""),"")</f>
        <v/>
      </c>
      <c r="F721" s="36" t="str">
        <f ca="1">IFERROR(__xludf.DUMMYFUNCTION("""COMPUTED_VALUE"""),"")</f>
        <v/>
      </c>
      <c r="G721" s="36" t="str">
        <f ca="1">IFERROR(__xludf.DUMMYFUNCTION("""COMPUTED_VALUE"""),"")</f>
        <v/>
      </c>
      <c r="H721" s="36" t="str">
        <f ca="1">IFERROR(__xludf.DUMMYFUNCTION("""COMPUTED_VALUE"""),"")</f>
        <v/>
      </c>
      <c r="I721" s="36" t="str">
        <f ca="1">IFERROR(__xludf.DUMMYFUNCTION("""COMPUTED_VALUE"""),"")</f>
        <v/>
      </c>
      <c r="J721" s="36" t="str">
        <f ca="1">IFERROR(__xludf.DUMMYFUNCTION("""COMPUTED_VALUE"""),"")</f>
        <v/>
      </c>
      <c r="K721" s="36" t="str">
        <f ca="1">IFERROR(__xludf.DUMMYFUNCTION("""COMPUTED_VALUE"""),"")</f>
        <v/>
      </c>
      <c r="L721" s="36" t="str">
        <f ca="1">IFERROR(__xludf.DUMMYFUNCTION("""COMPUTED_VALUE"""),"")</f>
        <v/>
      </c>
      <c r="M721" s="36" t="str">
        <f ca="1">IFERROR(__xludf.DUMMYFUNCTION("""COMPUTED_VALUE"""),"")</f>
        <v/>
      </c>
      <c r="N721" s="36" t="str">
        <f ca="1">IFERROR(__xludf.DUMMYFUNCTION("""COMPUTED_VALUE"""),"")</f>
        <v/>
      </c>
      <c r="O721" s="36" t="str">
        <f ca="1">IFERROR(__xludf.DUMMYFUNCTION("""COMPUTED_VALUE"""),"")</f>
        <v/>
      </c>
      <c r="P721" s="36" t="str">
        <f ca="1">IFERROR(__xludf.DUMMYFUNCTION("""COMPUTED_VALUE"""),"")</f>
        <v/>
      </c>
      <c r="Q721" s="36" t="str">
        <f ca="1">IFERROR(__xludf.DUMMYFUNCTION("""COMPUTED_VALUE"""),"")</f>
        <v/>
      </c>
      <c r="R721" s="36" t="str">
        <f ca="1">IFERROR(__xludf.DUMMYFUNCTION("""COMPUTED_VALUE"""),"")</f>
        <v/>
      </c>
      <c r="S721" s="36" t="str">
        <f ca="1">IFERROR(__xludf.DUMMYFUNCTION("""COMPUTED_VALUE"""),"")</f>
        <v/>
      </c>
      <c r="T721" s="36" t="str">
        <f ca="1">IFERROR(__xludf.DUMMYFUNCTION("""COMPUTED_VALUE"""),"")</f>
        <v/>
      </c>
      <c r="U721" s="36" t="str">
        <f ca="1">IFERROR(__xludf.DUMMYFUNCTION("""COMPUTED_VALUE"""),"")</f>
        <v/>
      </c>
      <c r="V721" s="36" t="str">
        <f ca="1">IFERROR(__xludf.DUMMYFUNCTION("""COMPUTED_VALUE"""),"")</f>
        <v/>
      </c>
      <c r="W721" s="36" t="str">
        <f ca="1">IFERROR(__xludf.DUMMYFUNCTION("""COMPUTED_VALUE"""),"")</f>
        <v/>
      </c>
      <c r="X721" s="36"/>
      <c r="Y721" s="36"/>
      <c r="Z721" s="36"/>
    </row>
    <row r="722" spans="1:26" ht="12.75" hidden="1">
      <c r="A722" s="36" t="str">
        <f ca="1">IFERROR(__xludf.DUMMYFUNCTION("""COMPUTED_VALUE"""),"")</f>
        <v/>
      </c>
      <c r="B722" s="36" t="str">
        <f ca="1">IFERROR(__xludf.DUMMYFUNCTION("""COMPUTED_VALUE"""),"")</f>
        <v/>
      </c>
      <c r="C722" s="36" t="str">
        <f ca="1">IFERROR(__xludf.DUMMYFUNCTION("""COMPUTED_VALUE"""),"")</f>
        <v/>
      </c>
      <c r="D722" s="36" t="str">
        <f ca="1">IFERROR(__xludf.DUMMYFUNCTION("""COMPUTED_VALUE"""),"")</f>
        <v/>
      </c>
      <c r="E722" s="36" t="str">
        <f ca="1">IFERROR(__xludf.DUMMYFUNCTION("""COMPUTED_VALUE"""),"")</f>
        <v/>
      </c>
      <c r="F722" s="36" t="str">
        <f ca="1">IFERROR(__xludf.DUMMYFUNCTION("""COMPUTED_VALUE"""),"")</f>
        <v/>
      </c>
      <c r="G722" s="36" t="str">
        <f ca="1">IFERROR(__xludf.DUMMYFUNCTION("""COMPUTED_VALUE"""),"")</f>
        <v/>
      </c>
      <c r="H722" s="36" t="str">
        <f ca="1">IFERROR(__xludf.DUMMYFUNCTION("""COMPUTED_VALUE"""),"")</f>
        <v/>
      </c>
      <c r="I722" s="36" t="str">
        <f ca="1">IFERROR(__xludf.DUMMYFUNCTION("""COMPUTED_VALUE"""),"")</f>
        <v/>
      </c>
      <c r="J722" s="36" t="str">
        <f ca="1">IFERROR(__xludf.DUMMYFUNCTION("""COMPUTED_VALUE"""),"")</f>
        <v/>
      </c>
      <c r="K722" s="36" t="str">
        <f ca="1">IFERROR(__xludf.DUMMYFUNCTION("""COMPUTED_VALUE"""),"")</f>
        <v/>
      </c>
      <c r="L722" s="36" t="str">
        <f ca="1">IFERROR(__xludf.DUMMYFUNCTION("""COMPUTED_VALUE"""),"")</f>
        <v/>
      </c>
      <c r="M722" s="36" t="str">
        <f ca="1">IFERROR(__xludf.DUMMYFUNCTION("""COMPUTED_VALUE"""),"")</f>
        <v/>
      </c>
      <c r="N722" s="36" t="str">
        <f ca="1">IFERROR(__xludf.DUMMYFUNCTION("""COMPUTED_VALUE"""),"")</f>
        <v/>
      </c>
      <c r="O722" s="36" t="str">
        <f ca="1">IFERROR(__xludf.DUMMYFUNCTION("""COMPUTED_VALUE"""),"")</f>
        <v/>
      </c>
      <c r="P722" s="36" t="str">
        <f ca="1">IFERROR(__xludf.DUMMYFUNCTION("""COMPUTED_VALUE"""),"")</f>
        <v/>
      </c>
      <c r="Q722" s="36" t="str">
        <f ca="1">IFERROR(__xludf.DUMMYFUNCTION("""COMPUTED_VALUE"""),"")</f>
        <v/>
      </c>
      <c r="R722" s="36" t="str">
        <f ca="1">IFERROR(__xludf.DUMMYFUNCTION("""COMPUTED_VALUE"""),"")</f>
        <v/>
      </c>
      <c r="S722" s="36" t="str">
        <f ca="1">IFERROR(__xludf.DUMMYFUNCTION("""COMPUTED_VALUE"""),"")</f>
        <v/>
      </c>
      <c r="T722" s="36" t="str">
        <f ca="1">IFERROR(__xludf.DUMMYFUNCTION("""COMPUTED_VALUE"""),"")</f>
        <v/>
      </c>
      <c r="U722" s="36" t="str">
        <f ca="1">IFERROR(__xludf.DUMMYFUNCTION("""COMPUTED_VALUE"""),"")</f>
        <v/>
      </c>
      <c r="V722" s="36" t="str">
        <f ca="1">IFERROR(__xludf.DUMMYFUNCTION("""COMPUTED_VALUE"""),"")</f>
        <v/>
      </c>
      <c r="W722" s="36" t="str">
        <f ca="1">IFERROR(__xludf.DUMMYFUNCTION("""COMPUTED_VALUE"""),"")</f>
        <v/>
      </c>
      <c r="X722" s="36"/>
      <c r="Y722" s="36"/>
      <c r="Z722" s="36"/>
    </row>
    <row r="723" spans="1:26" ht="12.75" hidden="1">
      <c r="A723" s="36" t="str">
        <f ca="1">IFERROR(__xludf.DUMMYFUNCTION("""COMPUTED_VALUE"""),"")</f>
        <v/>
      </c>
      <c r="B723" s="36" t="str">
        <f ca="1">IFERROR(__xludf.DUMMYFUNCTION("""COMPUTED_VALUE"""),"")</f>
        <v/>
      </c>
      <c r="C723" s="36" t="str">
        <f ca="1">IFERROR(__xludf.DUMMYFUNCTION("""COMPUTED_VALUE"""),"")</f>
        <v/>
      </c>
      <c r="D723" s="36" t="str">
        <f ca="1">IFERROR(__xludf.DUMMYFUNCTION("""COMPUTED_VALUE"""),"")</f>
        <v/>
      </c>
      <c r="E723" s="36" t="str">
        <f ca="1">IFERROR(__xludf.DUMMYFUNCTION("""COMPUTED_VALUE"""),"")</f>
        <v/>
      </c>
      <c r="F723" s="36" t="str">
        <f ca="1">IFERROR(__xludf.DUMMYFUNCTION("""COMPUTED_VALUE"""),"")</f>
        <v/>
      </c>
      <c r="G723" s="36" t="str">
        <f ca="1">IFERROR(__xludf.DUMMYFUNCTION("""COMPUTED_VALUE"""),"")</f>
        <v/>
      </c>
      <c r="H723" s="36" t="str">
        <f ca="1">IFERROR(__xludf.DUMMYFUNCTION("""COMPUTED_VALUE"""),"")</f>
        <v/>
      </c>
      <c r="I723" s="36" t="str">
        <f ca="1">IFERROR(__xludf.DUMMYFUNCTION("""COMPUTED_VALUE"""),"")</f>
        <v/>
      </c>
      <c r="J723" s="36" t="str">
        <f ca="1">IFERROR(__xludf.DUMMYFUNCTION("""COMPUTED_VALUE"""),"")</f>
        <v/>
      </c>
      <c r="K723" s="36" t="str">
        <f ca="1">IFERROR(__xludf.DUMMYFUNCTION("""COMPUTED_VALUE"""),"")</f>
        <v/>
      </c>
      <c r="L723" s="36" t="str">
        <f ca="1">IFERROR(__xludf.DUMMYFUNCTION("""COMPUTED_VALUE"""),"")</f>
        <v/>
      </c>
      <c r="M723" s="36" t="str">
        <f ca="1">IFERROR(__xludf.DUMMYFUNCTION("""COMPUTED_VALUE"""),"")</f>
        <v/>
      </c>
      <c r="N723" s="36" t="str">
        <f ca="1">IFERROR(__xludf.DUMMYFUNCTION("""COMPUTED_VALUE"""),"")</f>
        <v/>
      </c>
      <c r="O723" s="36" t="str">
        <f ca="1">IFERROR(__xludf.DUMMYFUNCTION("""COMPUTED_VALUE"""),"")</f>
        <v/>
      </c>
      <c r="P723" s="36" t="str">
        <f ca="1">IFERROR(__xludf.DUMMYFUNCTION("""COMPUTED_VALUE"""),"")</f>
        <v/>
      </c>
      <c r="Q723" s="36" t="str">
        <f ca="1">IFERROR(__xludf.DUMMYFUNCTION("""COMPUTED_VALUE"""),"")</f>
        <v/>
      </c>
      <c r="R723" s="36" t="str">
        <f ca="1">IFERROR(__xludf.DUMMYFUNCTION("""COMPUTED_VALUE"""),"")</f>
        <v/>
      </c>
      <c r="S723" s="36" t="str">
        <f ca="1">IFERROR(__xludf.DUMMYFUNCTION("""COMPUTED_VALUE"""),"")</f>
        <v/>
      </c>
      <c r="T723" s="36" t="str">
        <f ca="1">IFERROR(__xludf.DUMMYFUNCTION("""COMPUTED_VALUE"""),"")</f>
        <v/>
      </c>
      <c r="U723" s="36" t="str">
        <f ca="1">IFERROR(__xludf.DUMMYFUNCTION("""COMPUTED_VALUE"""),"")</f>
        <v/>
      </c>
      <c r="V723" s="36" t="str">
        <f ca="1">IFERROR(__xludf.DUMMYFUNCTION("""COMPUTED_VALUE"""),"")</f>
        <v/>
      </c>
      <c r="W723" s="36" t="str">
        <f ca="1">IFERROR(__xludf.DUMMYFUNCTION("""COMPUTED_VALUE"""),"")</f>
        <v/>
      </c>
      <c r="X723" s="36"/>
      <c r="Y723" s="36"/>
      <c r="Z723" s="36"/>
    </row>
    <row r="724" spans="1:26" ht="12.75" hidden="1">
      <c r="A724" s="36" t="str">
        <f ca="1">IFERROR(__xludf.DUMMYFUNCTION("""COMPUTED_VALUE"""),"")</f>
        <v/>
      </c>
      <c r="B724" s="36" t="str">
        <f ca="1">IFERROR(__xludf.DUMMYFUNCTION("""COMPUTED_VALUE"""),"")</f>
        <v/>
      </c>
      <c r="C724" s="36" t="str">
        <f ca="1">IFERROR(__xludf.DUMMYFUNCTION("""COMPUTED_VALUE"""),"")</f>
        <v/>
      </c>
      <c r="D724" s="36" t="str">
        <f ca="1">IFERROR(__xludf.DUMMYFUNCTION("""COMPUTED_VALUE"""),"")</f>
        <v/>
      </c>
      <c r="E724" s="36" t="str">
        <f ca="1">IFERROR(__xludf.DUMMYFUNCTION("""COMPUTED_VALUE"""),"")</f>
        <v/>
      </c>
      <c r="F724" s="36" t="str">
        <f ca="1">IFERROR(__xludf.DUMMYFUNCTION("""COMPUTED_VALUE"""),"")</f>
        <v/>
      </c>
      <c r="G724" s="36" t="str">
        <f ca="1">IFERROR(__xludf.DUMMYFUNCTION("""COMPUTED_VALUE"""),"")</f>
        <v/>
      </c>
      <c r="H724" s="36" t="str">
        <f ca="1">IFERROR(__xludf.DUMMYFUNCTION("""COMPUTED_VALUE"""),"")</f>
        <v/>
      </c>
      <c r="I724" s="36" t="str">
        <f ca="1">IFERROR(__xludf.DUMMYFUNCTION("""COMPUTED_VALUE"""),"")</f>
        <v/>
      </c>
      <c r="J724" s="36" t="str">
        <f ca="1">IFERROR(__xludf.DUMMYFUNCTION("""COMPUTED_VALUE"""),"")</f>
        <v/>
      </c>
      <c r="K724" s="36" t="str">
        <f ca="1">IFERROR(__xludf.DUMMYFUNCTION("""COMPUTED_VALUE"""),"")</f>
        <v/>
      </c>
      <c r="L724" s="36" t="str">
        <f ca="1">IFERROR(__xludf.DUMMYFUNCTION("""COMPUTED_VALUE"""),"")</f>
        <v/>
      </c>
      <c r="M724" s="36" t="str">
        <f ca="1">IFERROR(__xludf.DUMMYFUNCTION("""COMPUTED_VALUE"""),"")</f>
        <v/>
      </c>
      <c r="N724" s="36" t="str">
        <f ca="1">IFERROR(__xludf.DUMMYFUNCTION("""COMPUTED_VALUE"""),"")</f>
        <v/>
      </c>
      <c r="O724" s="36" t="str">
        <f ca="1">IFERROR(__xludf.DUMMYFUNCTION("""COMPUTED_VALUE"""),"")</f>
        <v/>
      </c>
      <c r="P724" s="36" t="str">
        <f ca="1">IFERROR(__xludf.DUMMYFUNCTION("""COMPUTED_VALUE"""),"")</f>
        <v/>
      </c>
      <c r="Q724" s="36" t="str">
        <f ca="1">IFERROR(__xludf.DUMMYFUNCTION("""COMPUTED_VALUE"""),"")</f>
        <v/>
      </c>
      <c r="R724" s="36" t="str">
        <f ca="1">IFERROR(__xludf.DUMMYFUNCTION("""COMPUTED_VALUE"""),"")</f>
        <v/>
      </c>
      <c r="S724" s="36" t="str">
        <f ca="1">IFERROR(__xludf.DUMMYFUNCTION("""COMPUTED_VALUE"""),"")</f>
        <v/>
      </c>
      <c r="T724" s="36" t="str">
        <f ca="1">IFERROR(__xludf.DUMMYFUNCTION("""COMPUTED_VALUE"""),"")</f>
        <v/>
      </c>
      <c r="U724" s="36" t="str">
        <f ca="1">IFERROR(__xludf.DUMMYFUNCTION("""COMPUTED_VALUE"""),"")</f>
        <v/>
      </c>
      <c r="V724" s="36" t="str">
        <f ca="1">IFERROR(__xludf.DUMMYFUNCTION("""COMPUTED_VALUE"""),"")</f>
        <v/>
      </c>
      <c r="W724" s="36" t="str">
        <f ca="1">IFERROR(__xludf.DUMMYFUNCTION("""COMPUTED_VALUE"""),"")</f>
        <v/>
      </c>
      <c r="X724" s="36"/>
      <c r="Y724" s="36"/>
      <c r="Z724" s="36"/>
    </row>
    <row r="725" spans="1:26" ht="12.75" hidden="1">
      <c r="A725" s="36" t="str">
        <f ca="1">IFERROR(__xludf.DUMMYFUNCTION("""COMPUTED_VALUE"""),"")</f>
        <v/>
      </c>
      <c r="B725" s="36" t="str">
        <f ca="1">IFERROR(__xludf.DUMMYFUNCTION("""COMPUTED_VALUE"""),"")</f>
        <v/>
      </c>
      <c r="C725" s="36" t="str">
        <f ca="1">IFERROR(__xludf.DUMMYFUNCTION("""COMPUTED_VALUE"""),"")</f>
        <v/>
      </c>
      <c r="D725" s="36" t="str">
        <f ca="1">IFERROR(__xludf.DUMMYFUNCTION("""COMPUTED_VALUE"""),"")</f>
        <v/>
      </c>
      <c r="E725" s="36" t="str">
        <f ca="1">IFERROR(__xludf.DUMMYFUNCTION("""COMPUTED_VALUE"""),"")</f>
        <v/>
      </c>
      <c r="F725" s="36" t="str">
        <f ca="1">IFERROR(__xludf.DUMMYFUNCTION("""COMPUTED_VALUE"""),"")</f>
        <v/>
      </c>
      <c r="G725" s="36" t="str">
        <f ca="1">IFERROR(__xludf.DUMMYFUNCTION("""COMPUTED_VALUE"""),"")</f>
        <v/>
      </c>
      <c r="H725" s="36" t="str">
        <f ca="1">IFERROR(__xludf.DUMMYFUNCTION("""COMPUTED_VALUE"""),"")</f>
        <v/>
      </c>
      <c r="I725" s="36" t="str">
        <f ca="1">IFERROR(__xludf.DUMMYFUNCTION("""COMPUTED_VALUE"""),"")</f>
        <v/>
      </c>
      <c r="J725" s="36" t="str">
        <f ca="1">IFERROR(__xludf.DUMMYFUNCTION("""COMPUTED_VALUE"""),"")</f>
        <v/>
      </c>
      <c r="K725" s="36" t="str">
        <f ca="1">IFERROR(__xludf.DUMMYFUNCTION("""COMPUTED_VALUE"""),"")</f>
        <v/>
      </c>
      <c r="L725" s="36" t="str">
        <f ca="1">IFERROR(__xludf.DUMMYFUNCTION("""COMPUTED_VALUE"""),"")</f>
        <v/>
      </c>
      <c r="M725" s="36" t="str">
        <f ca="1">IFERROR(__xludf.DUMMYFUNCTION("""COMPUTED_VALUE"""),"")</f>
        <v/>
      </c>
      <c r="N725" s="36" t="str">
        <f ca="1">IFERROR(__xludf.DUMMYFUNCTION("""COMPUTED_VALUE"""),"")</f>
        <v/>
      </c>
      <c r="O725" s="36" t="str">
        <f ca="1">IFERROR(__xludf.DUMMYFUNCTION("""COMPUTED_VALUE"""),"")</f>
        <v/>
      </c>
      <c r="P725" s="36" t="str">
        <f ca="1">IFERROR(__xludf.DUMMYFUNCTION("""COMPUTED_VALUE"""),"")</f>
        <v/>
      </c>
      <c r="Q725" s="36" t="str">
        <f ca="1">IFERROR(__xludf.DUMMYFUNCTION("""COMPUTED_VALUE"""),"")</f>
        <v/>
      </c>
      <c r="R725" s="36" t="str">
        <f ca="1">IFERROR(__xludf.DUMMYFUNCTION("""COMPUTED_VALUE"""),"")</f>
        <v/>
      </c>
      <c r="S725" s="36" t="str">
        <f ca="1">IFERROR(__xludf.DUMMYFUNCTION("""COMPUTED_VALUE"""),"")</f>
        <v/>
      </c>
      <c r="T725" s="36" t="str">
        <f ca="1">IFERROR(__xludf.DUMMYFUNCTION("""COMPUTED_VALUE"""),"")</f>
        <v/>
      </c>
      <c r="U725" s="36" t="str">
        <f ca="1">IFERROR(__xludf.DUMMYFUNCTION("""COMPUTED_VALUE"""),"")</f>
        <v/>
      </c>
      <c r="V725" s="36" t="str">
        <f ca="1">IFERROR(__xludf.DUMMYFUNCTION("""COMPUTED_VALUE"""),"")</f>
        <v/>
      </c>
      <c r="W725" s="36" t="str">
        <f ca="1">IFERROR(__xludf.DUMMYFUNCTION("""COMPUTED_VALUE"""),"")</f>
        <v/>
      </c>
      <c r="X725" s="36"/>
      <c r="Y725" s="36"/>
      <c r="Z725" s="36"/>
    </row>
    <row r="726" spans="1:26" ht="12.75" hidden="1">
      <c r="A726" s="36" t="str">
        <f ca="1">IFERROR(__xludf.DUMMYFUNCTION("""COMPUTED_VALUE"""),"")</f>
        <v/>
      </c>
      <c r="B726" s="36" t="str">
        <f ca="1">IFERROR(__xludf.DUMMYFUNCTION("""COMPUTED_VALUE"""),"")</f>
        <v/>
      </c>
      <c r="C726" s="36" t="str">
        <f ca="1">IFERROR(__xludf.DUMMYFUNCTION("""COMPUTED_VALUE"""),"")</f>
        <v/>
      </c>
      <c r="D726" s="36" t="str">
        <f ca="1">IFERROR(__xludf.DUMMYFUNCTION("""COMPUTED_VALUE"""),"")</f>
        <v/>
      </c>
      <c r="E726" s="36" t="str">
        <f ca="1">IFERROR(__xludf.DUMMYFUNCTION("""COMPUTED_VALUE"""),"")</f>
        <v/>
      </c>
      <c r="F726" s="36" t="str">
        <f ca="1">IFERROR(__xludf.DUMMYFUNCTION("""COMPUTED_VALUE"""),"")</f>
        <v/>
      </c>
      <c r="G726" s="36" t="str">
        <f ca="1">IFERROR(__xludf.DUMMYFUNCTION("""COMPUTED_VALUE"""),"")</f>
        <v/>
      </c>
      <c r="H726" s="36" t="str">
        <f ca="1">IFERROR(__xludf.DUMMYFUNCTION("""COMPUTED_VALUE"""),"")</f>
        <v/>
      </c>
      <c r="I726" s="36" t="str">
        <f ca="1">IFERROR(__xludf.DUMMYFUNCTION("""COMPUTED_VALUE"""),"")</f>
        <v/>
      </c>
      <c r="J726" s="36" t="str">
        <f ca="1">IFERROR(__xludf.DUMMYFUNCTION("""COMPUTED_VALUE"""),"")</f>
        <v/>
      </c>
      <c r="K726" s="36" t="str">
        <f ca="1">IFERROR(__xludf.DUMMYFUNCTION("""COMPUTED_VALUE"""),"")</f>
        <v/>
      </c>
      <c r="L726" s="36" t="str">
        <f ca="1">IFERROR(__xludf.DUMMYFUNCTION("""COMPUTED_VALUE"""),"")</f>
        <v/>
      </c>
      <c r="M726" s="36" t="str">
        <f ca="1">IFERROR(__xludf.DUMMYFUNCTION("""COMPUTED_VALUE"""),"")</f>
        <v/>
      </c>
      <c r="N726" s="36" t="str">
        <f ca="1">IFERROR(__xludf.DUMMYFUNCTION("""COMPUTED_VALUE"""),"")</f>
        <v/>
      </c>
      <c r="O726" s="36" t="str">
        <f ca="1">IFERROR(__xludf.DUMMYFUNCTION("""COMPUTED_VALUE"""),"")</f>
        <v/>
      </c>
      <c r="P726" s="36" t="str">
        <f ca="1">IFERROR(__xludf.DUMMYFUNCTION("""COMPUTED_VALUE"""),"")</f>
        <v/>
      </c>
      <c r="Q726" s="36" t="str">
        <f ca="1">IFERROR(__xludf.DUMMYFUNCTION("""COMPUTED_VALUE"""),"")</f>
        <v/>
      </c>
      <c r="R726" s="36" t="str">
        <f ca="1">IFERROR(__xludf.DUMMYFUNCTION("""COMPUTED_VALUE"""),"")</f>
        <v/>
      </c>
      <c r="S726" s="36" t="str">
        <f ca="1">IFERROR(__xludf.DUMMYFUNCTION("""COMPUTED_VALUE"""),"")</f>
        <v/>
      </c>
      <c r="T726" s="36" t="str">
        <f ca="1">IFERROR(__xludf.DUMMYFUNCTION("""COMPUTED_VALUE"""),"")</f>
        <v/>
      </c>
      <c r="U726" s="36" t="str">
        <f ca="1">IFERROR(__xludf.DUMMYFUNCTION("""COMPUTED_VALUE"""),"")</f>
        <v/>
      </c>
      <c r="V726" s="36" t="str">
        <f ca="1">IFERROR(__xludf.DUMMYFUNCTION("""COMPUTED_VALUE"""),"")</f>
        <v/>
      </c>
      <c r="W726" s="36" t="str">
        <f ca="1">IFERROR(__xludf.DUMMYFUNCTION("""COMPUTED_VALUE"""),"")</f>
        <v/>
      </c>
      <c r="X726" s="36"/>
      <c r="Y726" s="36"/>
      <c r="Z726" s="36"/>
    </row>
    <row r="727" spans="1:26" ht="12.75" hidden="1">
      <c r="A727" s="36" t="str">
        <f ca="1">IFERROR(__xludf.DUMMYFUNCTION("""COMPUTED_VALUE"""),"")</f>
        <v/>
      </c>
      <c r="B727" s="36" t="str">
        <f ca="1">IFERROR(__xludf.DUMMYFUNCTION("""COMPUTED_VALUE"""),"")</f>
        <v/>
      </c>
      <c r="C727" s="36" t="str">
        <f ca="1">IFERROR(__xludf.DUMMYFUNCTION("""COMPUTED_VALUE"""),"")</f>
        <v/>
      </c>
      <c r="D727" s="36" t="str">
        <f ca="1">IFERROR(__xludf.DUMMYFUNCTION("""COMPUTED_VALUE"""),"")</f>
        <v/>
      </c>
      <c r="E727" s="36" t="str">
        <f ca="1">IFERROR(__xludf.DUMMYFUNCTION("""COMPUTED_VALUE"""),"")</f>
        <v/>
      </c>
      <c r="F727" s="36" t="str">
        <f ca="1">IFERROR(__xludf.DUMMYFUNCTION("""COMPUTED_VALUE"""),"")</f>
        <v/>
      </c>
      <c r="G727" s="36" t="str">
        <f ca="1">IFERROR(__xludf.DUMMYFUNCTION("""COMPUTED_VALUE"""),"")</f>
        <v/>
      </c>
      <c r="H727" s="36" t="str">
        <f ca="1">IFERROR(__xludf.DUMMYFUNCTION("""COMPUTED_VALUE"""),"")</f>
        <v/>
      </c>
      <c r="I727" s="36" t="str">
        <f ca="1">IFERROR(__xludf.DUMMYFUNCTION("""COMPUTED_VALUE"""),"")</f>
        <v/>
      </c>
      <c r="J727" s="36" t="str">
        <f ca="1">IFERROR(__xludf.DUMMYFUNCTION("""COMPUTED_VALUE"""),"")</f>
        <v/>
      </c>
      <c r="K727" s="36" t="str">
        <f ca="1">IFERROR(__xludf.DUMMYFUNCTION("""COMPUTED_VALUE"""),"")</f>
        <v/>
      </c>
      <c r="L727" s="36" t="str">
        <f ca="1">IFERROR(__xludf.DUMMYFUNCTION("""COMPUTED_VALUE"""),"")</f>
        <v/>
      </c>
      <c r="M727" s="36" t="str">
        <f ca="1">IFERROR(__xludf.DUMMYFUNCTION("""COMPUTED_VALUE"""),"")</f>
        <v/>
      </c>
      <c r="N727" s="36" t="str">
        <f ca="1">IFERROR(__xludf.DUMMYFUNCTION("""COMPUTED_VALUE"""),"")</f>
        <v/>
      </c>
      <c r="O727" s="36" t="str">
        <f ca="1">IFERROR(__xludf.DUMMYFUNCTION("""COMPUTED_VALUE"""),"")</f>
        <v/>
      </c>
      <c r="P727" s="36" t="str">
        <f ca="1">IFERROR(__xludf.DUMMYFUNCTION("""COMPUTED_VALUE"""),"")</f>
        <v/>
      </c>
      <c r="Q727" s="36" t="str">
        <f ca="1">IFERROR(__xludf.DUMMYFUNCTION("""COMPUTED_VALUE"""),"")</f>
        <v/>
      </c>
      <c r="R727" s="36" t="str">
        <f ca="1">IFERROR(__xludf.DUMMYFUNCTION("""COMPUTED_VALUE"""),"")</f>
        <v/>
      </c>
      <c r="S727" s="36" t="str">
        <f ca="1">IFERROR(__xludf.DUMMYFUNCTION("""COMPUTED_VALUE"""),"")</f>
        <v/>
      </c>
      <c r="T727" s="36" t="str">
        <f ca="1">IFERROR(__xludf.DUMMYFUNCTION("""COMPUTED_VALUE"""),"")</f>
        <v/>
      </c>
      <c r="U727" s="36" t="str">
        <f ca="1">IFERROR(__xludf.DUMMYFUNCTION("""COMPUTED_VALUE"""),"")</f>
        <v/>
      </c>
      <c r="V727" s="36" t="str">
        <f ca="1">IFERROR(__xludf.DUMMYFUNCTION("""COMPUTED_VALUE"""),"")</f>
        <v/>
      </c>
      <c r="W727" s="36" t="str">
        <f ca="1">IFERROR(__xludf.DUMMYFUNCTION("""COMPUTED_VALUE"""),"")</f>
        <v/>
      </c>
      <c r="X727" s="36"/>
      <c r="Y727" s="36"/>
      <c r="Z727" s="36"/>
    </row>
    <row r="728" spans="1:26" ht="12.75" hidden="1">
      <c r="A728" s="36" t="str">
        <f ca="1">IFERROR(__xludf.DUMMYFUNCTION("""COMPUTED_VALUE"""),"")</f>
        <v/>
      </c>
      <c r="B728" s="36" t="str">
        <f ca="1">IFERROR(__xludf.DUMMYFUNCTION("""COMPUTED_VALUE"""),"")</f>
        <v/>
      </c>
      <c r="C728" s="36" t="str">
        <f ca="1">IFERROR(__xludf.DUMMYFUNCTION("""COMPUTED_VALUE"""),"")</f>
        <v/>
      </c>
      <c r="D728" s="36" t="str">
        <f ca="1">IFERROR(__xludf.DUMMYFUNCTION("""COMPUTED_VALUE"""),"")</f>
        <v/>
      </c>
      <c r="E728" s="36" t="str">
        <f ca="1">IFERROR(__xludf.DUMMYFUNCTION("""COMPUTED_VALUE"""),"")</f>
        <v/>
      </c>
      <c r="F728" s="36" t="str">
        <f ca="1">IFERROR(__xludf.DUMMYFUNCTION("""COMPUTED_VALUE"""),"")</f>
        <v/>
      </c>
      <c r="G728" s="36" t="str">
        <f ca="1">IFERROR(__xludf.DUMMYFUNCTION("""COMPUTED_VALUE"""),"")</f>
        <v/>
      </c>
      <c r="H728" s="36" t="str">
        <f ca="1">IFERROR(__xludf.DUMMYFUNCTION("""COMPUTED_VALUE"""),"")</f>
        <v/>
      </c>
      <c r="I728" s="36" t="str">
        <f ca="1">IFERROR(__xludf.DUMMYFUNCTION("""COMPUTED_VALUE"""),"")</f>
        <v/>
      </c>
      <c r="J728" s="36" t="str">
        <f ca="1">IFERROR(__xludf.DUMMYFUNCTION("""COMPUTED_VALUE"""),"")</f>
        <v/>
      </c>
      <c r="K728" s="36" t="str">
        <f ca="1">IFERROR(__xludf.DUMMYFUNCTION("""COMPUTED_VALUE"""),"")</f>
        <v/>
      </c>
      <c r="L728" s="36" t="str">
        <f ca="1">IFERROR(__xludf.DUMMYFUNCTION("""COMPUTED_VALUE"""),"")</f>
        <v/>
      </c>
      <c r="M728" s="36" t="str">
        <f ca="1">IFERROR(__xludf.DUMMYFUNCTION("""COMPUTED_VALUE"""),"")</f>
        <v/>
      </c>
      <c r="N728" s="36" t="str">
        <f ca="1">IFERROR(__xludf.DUMMYFUNCTION("""COMPUTED_VALUE"""),"")</f>
        <v/>
      </c>
      <c r="O728" s="36" t="str">
        <f ca="1">IFERROR(__xludf.DUMMYFUNCTION("""COMPUTED_VALUE"""),"")</f>
        <v/>
      </c>
      <c r="P728" s="36" t="str">
        <f ca="1">IFERROR(__xludf.DUMMYFUNCTION("""COMPUTED_VALUE"""),"")</f>
        <v/>
      </c>
      <c r="Q728" s="36" t="str">
        <f ca="1">IFERROR(__xludf.DUMMYFUNCTION("""COMPUTED_VALUE"""),"")</f>
        <v/>
      </c>
      <c r="R728" s="36" t="str">
        <f ca="1">IFERROR(__xludf.DUMMYFUNCTION("""COMPUTED_VALUE"""),"")</f>
        <v/>
      </c>
      <c r="S728" s="36" t="str">
        <f ca="1">IFERROR(__xludf.DUMMYFUNCTION("""COMPUTED_VALUE"""),"")</f>
        <v/>
      </c>
      <c r="T728" s="36" t="str">
        <f ca="1">IFERROR(__xludf.DUMMYFUNCTION("""COMPUTED_VALUE"""),"")</f>
        <v/>
      </c>
      <c r="U728" s="36" t="str">
        <f ca="1">IFERROR(__xludf.DUMMYFUNCTION("""COMPUTED_VALUE"""),"")</f>
        <v/>
      </c>
      <c r="V728" s="36" t="str">
        <f ca="1">IFERROR(__xludf.DUMMYFUNCTION("""COMPUTED_VALUE"""),"")</f>
        <v/>
      </c>
      <c r="W728" s="36" t="str">
        <f ca="1">IFERROR(__xludf.DUMMYFUNCTION("""COMPUTED_VALUE"""),"")</f>
        <v/>
      </c>
      <c r="X728" s="36"/>
      <c r="Y728" s="36"/>
      <c r="Z728" s="36"/>
    </row>
    <row r="729" spans="1:26" ht="12.75" hidden="1">
      <c r="A729" s="36" t="str">
        <f ca="1">IFERROR(__xludf.DUMMYFUNCTION("""COMPUTED_VALUE"""),"")</f>
        <v/>
      </c>
      <c r="B729" s="36" t="str">
        <f ca="1">IFERROR(__xludf.DUMMYFUNCTION("""COMPUTED_VALUE"""),"")</f>
        <v/>
      </c>
      <c r="C729" s="36" t="str">
        <f ca="1">IFERROR(__xludf.DUMMYFUNCTION("""COMPUTED_VALUE"""),"")</f>
        <v/>
      </c>
      <c r="D729" s="36" t="str">
        <f ca="1">IFERROR(__xludf.DUMMYFUNCTION("""COMPUTED_VALUE"""),"")</f>
        <v/>
      </c>
      <c r="E729" s="36" t="str">
        <f ca="1">IFERROR(__xludf.DUMMYFUNCTION("""COMPUTED_VALUE"""),"")</f>
        <v/>
      </c>
      <c r="F729" s="36" t="str">
        <f ca="1">IFERROR(__xludf.DUMMYFUNCTION("""COMPUTED_VALUE"""),"")</f>
        <v/>
      </c>
      <c r="G729" s="36" t="str">
        <f ca="1">IFERROR(__xludf.DUMMYFUNCTION("""COMPUTED_VALUE"""),"")</f>
        <v/>
      </c>
      <c r="H729" s="36" t="str">
        <f ca="1">IFERROR(__xludf.DUMMYFUNCTION("""COMPUTED_VALUE"""),"")</f>
        <v/>
      </c>
      <c r="I729" s="36" t="str">
        <f ca="1">IFERROR(__xludf.DUMMYFUNCTION("""COMPUTED_VALUE"""),"")</f>
        <v/>
      </c>
      <c r="J729" s="36" t="str">
        <f ca="1">IFERROR(__xludf.DUMMYFUNCTION("""COMPUTED_VALUE"""),"")</f>
        <v/>
      </c>
      <c r="K729" s="36" t="str">
        <f ca="1">IFERROR(__xludf.DUMMYFUNCTION("""COMPUTED_VALUE"""),"")</f>
        <v/>
      </c>
      <c r="L729" s="36" t="str">
        <f ca="1">IFERROR(__xludf.DUMMYFUNCTION("""COMPUTED_VALUE"""),"")</f>
        <v/>
      </c>
      <c r="M729" s="36" t="str">
        <f ca="1">IFERROR(__xludf.DUMMYFUNCTION("""COMPUTED_VALUE"""),"")</f>
        <v/>
      </c>
      <c r="N729" s="36" t="str">
        <f ca="1">IFERROR(__xludf.DUMMYFUNCTION("""COMPUTED_VALUE"""),"")</f>
        <v/>
      </c>
      <c r="O729" s="36" t="str">
        <f ca="1">IFERROR(__xludf.DUMMYFUNCTION("""COMPUTED_VALUE"""),"")</f>
        <v/>
      </c>
      <c r="P729" s="36" t="str">
        <f ca="1">IFERROR(__xludf.DUMMYFUNCTION("""COMPUTED_VALUE"""),"")</f>
        <v/>
      </c>
      <c r="Q729" s="36" t="str">
        <f ca="1">IFERROR(__xludf.DUMMYFUNCTION("""COMPUTED_VALUE"""),"")</f>
        <v/>
      </c>
      <c r="R729" s="36" t="str">
        <f ca="1">IFERROR(__xludf.DUMMYFUNCTION("""COMPUTED_VALUE"""),"")</f>
        <v/>
      </c>
      <c r="S729" s="36" t="str">
        <f ca="1">IFERROR(__xludf.DUMMYFUNCTION("""COMPUTED_VALUE"""),"")</f>
        <v/>
      </c>
      <c r="T729" s="36" t="str">
        <f ca="1">IFERROR(__xludf.DUMMYFUNCTION("""COMPUTED_VALUE"""),"")</f>
        <v/>
      </c>
      <c r="U729" s="36" t="str">
        <f ca="1">IFERROR(__xludf.DUMMYFUNCTION("""COMPUTED_VALUE"""),"")</f>
        <v/>
      </c>
      <c r="V729" s="36" t="str">
        <f ca="1">IFERROR(__xludf.DUMMYFUNCTION("""COMPUTED_VALUE"""),"")</f>
        <v/>
      </c>
      <c r="W729" s="36" t="str">
        <f ca="1">IFERROR(__xludf.DUMMYFUNCTION("""COMPUTED_VALUE"""),"")</f>
        <v/>
      </c>
      <c r="X729" s="36"/>
      <c r="Y729" s="36"/>
      <c r="Z729" s="36"/>
    </row>
    <row r="730" spans="1:26" ht="12.75" hidden="1">
      <c r="A730" s="36" t="str">
        <f ca="1">IFERROR(__xludf.DUMMYFUNCTION("""COMPUTED_VALUE"""),"")</f>
        <v/>
      </c>
      <c r="B730" s="36" t="str">
        <f ca="1">IFERROR(__xludf.DUMMYFUNCTION("""COMPUTED_VALUE"""),"")</f>
        <v/>
      </c>
      <c r="C730" s="36" t="str">
        <f ca="1">IFERROR(__xludf.DUMMYFUNCTION("""COMPUTED_VALUE"""),"")</f>
        <v/>
      </c>
      <c r="D730" s="36" t="str">
        <f ca="1">IFERROR(__xludf.DUMMYFUNCTION("""COMPUTED_VALUE"""),"")</f>
        <v/>
      </c>
      <c r="E730" s="36" t="str">
        <f ca="1">IFERROR(__xludf.DUMMYFUNCTION("""COMPUTED_VALUE"""),"")</f>
        <v/>
      </c>
      <c r="F730" s="36" t="str">
        <f ca="1">IFERROR(__xludf.DUMMYFUNCTION("""COMPUTED_VALUE"""),"")</f>
        <v/>
      </c>
      <c r="G730" s="36" t="str">
        <f ca="1">IFERROR(__xludf.DUMMYFUNCTION("""COMPUTED_VALUE"""),"")</f>
        <v/>
      </c>
      <c r="H730" s="36" t="str">
        <f ca="1">IFERROR(__xludf.DUMMYFUNCTION("""COMPUTED_VALUE"""),"")</f>
        <v/>
      </c>
      <c r="I730" s="36" t="str">
        <f ca="1">IFERROR(__xludf.DUMMYFUNCTION("""COMPUTED_VALUE"""),"")</f>
        <v/>
      </c>
      <c r="J730" s="36" t="str">
        <f ca="1">IFERROR(__xludf.DUMMYFUNCTION("""COMPUTED_VALUE"""),"")</f>
        <v/>
      </c>
      <c r="K730" s="36" t="str">
        <f ca="1">IFERROR(__xludf.DUMMYFUNCTION("""COMPUTED_VALUE"""),"")</f>
        <v/>
      </c>
      <c r="L730" s="36" t="str">
        <f ca="1">IFERROR(__xludf.DUMMYFUNCTION("""COMPUTED_VALUE"""),"")</f>
        <v/>
      </c>
      <c r="M730" s="36" t="str">
        <f ca="1">IFERROR(__xludf.DUMMYFUNCTION("""COMPUTED_VALUE"""),"")</f>
        <v/>
      </c>
      <c r="N730" s="36" t="str">
        <f ca="1">IFERROR(__xludf.DUMMYFUNCTION("""COMPUTED_VALUE"""),"")</f>
        <v/>
      </c>
      <c r="O730" s="36" t="str">
        <f ca="1">IFERROR(__xludf.DUMMYFUNCTION("""COMPUTED_VALUE"""),"")</f>
        <v/>
      </c>
      <c r="P730" s="36" t="str">
        <f ca="1">IFERROR(__xludf.DUMMYFUNCTION("""COMPUTED_VALUE"""),"")</f>
        <v/>
      </c>
      <c r="Q730" s="36" t="str">
        <f ca="1">IFERROR(__xludf.DUMMYFUNCTION("""COMPUTED_VALUE"""),"")</f>
        <v/>
      </c>
      <c r="R730" s="36" t="str">
        <f ca="1">IFERROR(__xludf.DUMMYFUNCTION("""COMPUTED_VALUE"""),"")</f>
        <v/>
      </c>
      <c r="S730" s="36" t="str">
        <f ca="1">IFERROR(__xludf.DUMMYFUNCTION("""COMPUTED_VALUE"""),"")</f>
        <v/>
      </c>
      <c r="T730" s="36" t="str">
        <f ca="1">IFERROR(__xludf.DUMMYFUNCTION("""COMPUTED_VALUE"""),"")</f>
        <v/>
      </c>
      <c r="U730" s="36" t="str">
        <f ca="1">IFERROR(__xludf.DUMMYFUNCTION("""COMPUTED_VALUE"""),"")</f>
        <v/>
      </c>
      <c r="V730" s="36" t="str">
        <f ca="1">IFERROR(__xludf.DUMMYFUNCTION("""COMPUTED_VALUE"""),"")</f>
        <v/>
      </c>
      <c r="W730" s="36" t="str">
        <f ca="1">IFERROR(__xludf.DUMMYFUNCTION("""COMPUTED_VALUE"""),"")</f>
        <v/>
      </c>
      <c r="X730" s="36"/>
      <c r="Y730" s="36"/>
      <c r="Z730" s="36"/>
    </row>
    <row r="731" spans="1:26" ht="12.75" hidden="1">
      <c r="A731" s="36" t="str">
        <f ca="1">IFERROR(__xludf.DUMMYFUNCTION("""COMPUTED_VALUE"""),"")</f>
        <v/>
      </c>
      <c r="B731" s="36" t="str">
        <f ca="1">IFERROR(__xludf.DUMMYFUNCTION("""COMPUTED_VALUE"""),"")</f>
        <v/>
      </c>
      <c r="C731" s="36" t="str">
        <f ca="1">IFERROR(__xludf.DUMMYFUNCTION("""COMPUTED_VALUE"""),"")</f>
        <v/>
      </c>
      <c r="D731" s="36" t="str">
        <f ca="1">IFERROR(__xludf.DUMMYFUNCTION("""COMPUTED_VALUE"""),"")</f>
        <v/>
      </c>
      <c r="E731" s="36" t="str">
        <f ca="1">IFERROR(__xludf.DUMMYFUNCTION("""COMPUTED_VALUE"""),"")</f>
        <v/>
      </c>
      <c r="F731" s="36" t="str">
        <f ca="1">IFERROR(__xludf.DUMMYFUNCTION("""COMPUTED_VALUE"""),"")</f>
        <v/>
      </c>
      <c r="G731" s="36" t="str">
        <f ca="1">IFERROR(__xludf.DUMMYFUNCTION("""COMPUTED_VALUE"""),"")</f>
        <v/>
      </c>
      <c r="H731" s="36" t="str">
        <f ca="1">IFERROR(__xludf.DUMMYFUNCTION("""COMPUTED_VALUE"""),"")</f>
        <v/>
      </c>
      <c r="I731" s="36" t="str">
        <f ca="1">IFERROR(__xludf.DUMMYFUNCTION("""COMPUTED_VALUE"""),"")</f>
        <v/>
      </c>
      <c r="J731" s="36" t="str">
        <f ca="1">IFERROR(__xludf.DUMMYFUNCTION("""COMPUTED_VALUE"""),"")</f>
        <v/>
      </c>
      <c r="K731" s="36" t="str">
        <f ca="1">IFERROR(__xludf.DUMMYFUNCTION("""COMPUTED_VALUE"""),"")</f>
        <v/>
      </c>
      <c r="L731" s="36" t="str">
        <f ca="1">IFERROR(__xludf.DUMMYFUNCTION("""COMPUTED_VALUE"""),"")</f>
        <v/>
      </c>
      <c r="M731" s="36" t="str">
        <f ca="1">IFERROR(__xludf.DUMMYFUNCTION("""COMPUTED_VALUE"""),"")</f>
        <v/>
      </c>
      <c r="N731" s="36" t="str">
        <f ca="1">IFERROR(__xludf.DUMMYFUNCTION("""COMPUTED_VALUE"""),"")</f>
        <v/>
      </c>
      <c r="O731" s="36" t="str">
        <f ca="1">IFERROR(__xludf.DUMMYFUNCTION("""COMPUTED_VALUE"""),"")</f>
        <v/>
      </c>
      <c r="P731" s="36" t="str">
        <f ca="1">IFERROR(__xludf.DUMMYFUNCTION("""COMPUTED_VALUE"""),"")</f>
        <v/>
      </c>
      <c r="Q731" s="36" t="str">
        <f ca="1">IFERROR(__xludf.DUMMYFUNCTION("""COMPUTED_VALUE"""),"")</f>
        <v/>
      </c>
      <c r="R731" s="36" t="str">
        <f ca="1">IFERROR(__xludf.DUMMYFUNCTION("""COMPUTED_VALUE"""),"")</f>
        <v/>
      </c>
      <c r="S731" s="36" t="str">
        <f ca="1">IFERROR(__xludf.DUMMYFUNCTION("""COMPUTED_VALUE"""),"")</f>
        <v/>
      </c>
      <c r="T731" s="36" t="str">
        <f ca="1">IFERROR(__xludf.DUMMYFUNCTION("""COMPUTED_VALUE"""),"")</f>
        <v/>
      </c>
      <c r="U731" s="36" t="str">
        <f ca="1">IFERROR(__xludf.DUMMYFUNCTION("""COMPUTED_VALUE"""),"")</f>
        <v/>
      </c>
      <c r="V731" s="36" t="str">
        <f ca="1">IFERROR(__xludf.DUMMYFUNCTION("""COMPUTED_VALUE"""),"")</f>
        <v/>
      </c>
      <c r="W731" s="36" t="str">
        <f ca="1">IFERROR(__xludf.DUMMYFUNCTION("""COMPUTED_VALUE"""),"")</f>
        <v/>
      </c>
      <c r="X731" s="36"/>
      <c r="Y731" s="36"/>
      <c r="Z731" s="36"/>
    </row>
    <row r="732" spans="1:26" ht="12.75" hidden="1">
      <c r="A732" s="36" t="str">
        <f ca="1">IFERROR(__xludf.DUMMYFUNCTION("""COMPUTED_VALUE"""),"")</f>
        <v/>
      </c>
      <c r="B732" s="36" t="str">
        <f ca="1">IFERROR(__xludf.DUMMYFUNCTION("""COMPUTED_VALUE"""),"")</f>
        <v/>
      </c>
      <c r="C732" s="36" t="str">
        <f ca="1">IFERROR(__xludf.DUMMYFUNCTION("""COMPUTED_VALUE"""),"")</f>
        <v/>
      </c>
      <c r="D732" s="36" t="str">
        <f ca="1">IFERROR(__xludf.DUMMYFUNCTION("""COMPUTED_VALUE"""),"")</f>
        <v/>
      </c>
      <c r="E732" s="36" t="str">
        <f ca="1">IFERROR(__xludf.DUMMYFUNCTION("""COMPUTED_VALUE"""),"")</f>
        <v/>
      </c>
      <c r="F732" s="36" t="str">
        <f ca="1">IFERROR(__xludf.DUMMYFUNCTION("""COMPUTED_VALUE"""),"")</f>
        <v/>
      </c>
      <c r="G732" s="36" t="str">
        <f ca="1">IFERROR(__xludf.DUMMYFUNCTION("""COMPUTED_VALUE"""),"")</f>
        <v/>
      </c>
      <c r="H732" s="36" t="str">
        <f ca="1">IFERROR(__xludf.DUMMYFUNCTION("""COMPUTED_VALUE"""),"")</f>
        <v/>
      </c>
      <c r="I732" s="36" t="str">
        <f ca="1">IFERROR(__xludf.DUMMYFUNCTION("""COMPUTED_VALUE"""),"")</f>
        <v/>
      </c>
      <c r="J732" s="36" t="str">
        <f ca="1">IFERROR(__xludf.DUMMYFUNCTION("""COMPUTED_VALUE"""),"")</f>
        <v/>
      </c>
      <c r="K732" s="36" t="str">
        <f ca="1">IFERROR(__xludf.DUMMYFUNCTION("""COMPUTED_VALUE"""),"")</f>
        <v/>
      </c>
      <c r="L732" s="36" t="str">
        <f ca="1">IFERROR(__xludf.DUMMYFUNCTION("""COMPUTED_VALUE"""),"")</f>
        <v/>
      </c>
      <c r="M732" s="36" t="str">
        <f ca="1">IFERROR(__xludf.DUMMYFUNCTION("""COMPUTED_VALUE"""),"")</f>
        <v/>
      </c>
      <c r="N732" s="36" t="str">
        <f ca="1">IFERROR(__xludf.DUMMYFUNCTION("""COMPUTED_VALUE"""),"")</f>
        <v/>
      </c>
      <c r="O732" s="36" t="str">
        <f ca="1">IFERROR(__xludf.DUMMYFUNCTION("""COMPUTED_VALUE"""),"")</f>
        <v/>
      </c>
      <c r="P732" s="36" t="str">
        <f ca="1">IFERROR(__xludf.DUMMYFUNCTION("""COMPUTED_VALUE"""),"")</f>
        <v/>
      </c>
      <c r="Q732" s="36" t="str">
        <f ca="1">IFERROR(__xludf.DUMMYFUNCTION("""COMPUTED_VALUE"""),"")</f>
        <v/>
      </c>
      <c r="R732" s="36" t="str">
        <f ca="1">IFERROR(__xludf.DUMMYFUNCTION("""COMPUTED_VALUE"""),"")</f>
        <v/>
      </c>
      <c r="S732" s="36" t="str">
        <f ca="1">IFERROR(__xludf.DUMMYFUNCTION("""COMPUTED_VALUE"""),"")</f>
        <v/>
      </c>
      <c r="T732" s="36" t="str">
        <f ca="1">IFERROR(__xludf.DUMMYFUNCTION("""COMPUTED_VALUE"""),"")</f>
        <v/>
      </c>
      <c r="U732" s="36" t="str">
        <f ca="1">IFERROR(__xludf.DUMMYFUNCTION("""COMPUTED_VALUE"""),"")</f>
        <v/>
      </c>
      <c r="V732" s="36" t="str">
        <f ca="1">IFERROR(__xludf.DUMMYFUNCTION("""COMPUTED_VALUE"""),"")</f>
        <v/>
      </c>
      <c r="W732" s="36" t="str">
        <f ca="1">IFERROR(__xludf.DUMMYFUNCTION("""COMPUTED_VALUE"""),"")</f>
        <v/>
      </c>
      <c r="X732" s="36"/>
      <c r="Y732" s="36"/>
      <c r="Z732" s="36"/>
    </row>
    <row r="733" spans="1:26" ht="12.75" hidden="1">
      <c r="A733" s="36" t="str">
        <f ca="1">IFERROR(__xludf.DUMMYFUNCTION("""COMPUTED_VALUE"""),"")</f>
        <v/>
      </c>
      <c r="B733" s="36" t="str">
        <f ca="1">IFERROR(__xludf.DUMMYFUNCTION("""COMPUTED_VALUE"""),"")</f>
        <v/>
      </c>
      <c r="C733" s="36" t="str">
        <f ca="1">IFERROR(__xludf.DUMMYFUNCTION("""COMPUTED_VALUE"""),"")</f>
        <v/>
      </c>
      <c r="D733" s="36" t="str">
        <f ca="1">IFERROR(__xludf.DUMMYFUNCTION("""COMPUTED_VALUE"""),"")</f>
        <v/>
      </c>
      <c r="E733" s="36" t="str">
        <f ca="1">IFERROR(__xludf.DUMMYFUNCTION("""COMPUTED_VALUE"""),"")</f>
        <v/>
      </c>
      <c r="F733" s="36" t="str">
        <f ca="1">IFERROR(__xludf.DUMMYFUNCTION("""COMPUTED_VALUE"""),"")</f>
        <v/>
      </c>
      <c r="G733" s="36" t="str">
        <f ca="1">IFERROR(__xludf.DUMMYFUNCTION("""COMPUTED_VALUE"""),"")</f>
        <v/>
      </c>
      <c r="H733" s="36" t="str">
        <f ca="1">IFERROR(__xludf.DUMMYFUNCTION("""COMPUTED_VALUE"""),"")</f>
        <v/>
      </c>
      <c r="I733" s="36" t="str">
        <f ca="1">IFERROR(__xludf.DUMMYFUNCTION("""COMPUTED_VALUE"""),"")</f>
        <v/>
      </c>
      <c r="J733" s="36" t="str">
        <f ca="1">IFERROR(__xludf.DUMMYFUNCTION("""COMPUTED_VALUE"""),"")</f>
        <v/>
      </c>
      <c r="K733" s="36" t="str">
        <f ca="1">IFERROR(__xludf.DUMMYFUNCTION("""COMPUTED_VALUE"""),"")</f>
        <v/>
      </c>
      <c r="L733" s="36" t="str">
        <f ca="1">IFERROR(__xludf.DUMMYFUNCTION("""COMPUTED_VALUE"""),"")</f>
        <v/>
      </c>
      <c r="M733" s="36" t="str">
        <f ca="1">IFERROR(__xludf.DUMMYFUNCTION("""COMPUTED_VALUE"""),"")</f>
        <v/>
      </c>
      <c r="N733" s="36" t="str">
        <f ca="1">IFERROR(__xludf.DUMMYFUNCTION("""COMPUTED_VALUE"""),"")</f>
        <v/>
      </c>
      <c r="O733" s="36" t="str">
        <f ca="1">IFERROR(__xludf.DUMMYFUNCTION("""COMPUTED_VALUE"""),"")</f>
        <v/>
      </c>
      <c r="P733" s="36" t="str">
        <f ca="1">IFERROR(__xludf.DUMMYFUNCTION("""COMPUTED_VALUE"""),"")</f>
        <v/>
      </c>
      <c r="Q733" s="36" t="str">
        <f ca="1">IFERROR(__xludf.DUMMYFUNCTION("""COMPUTED_VALUE"""),"")</f>
        <v/>
      </c>
      <c r="R733" s="36" t="str">
        <f ca="1">IFERROR(__xludf.DUMMYFUNCTION("""COMPUTED_VALUE"""),"")</f>
        <v/>
      </c>
      <c r="S733" s="36" t="str">
        <f ca="1">IFERROR(__xludf.DUMMYFUNCTION("""COMPUTED_VALUE"""),"")</f>
        <v/>
      </c>
      <c r="T733" s="36" t="str">
        <f ca="1">IFERROR(__xludf.DUMMYFUNCTION("""COMPUTED_VALUE"""),"")</f>
        <v/>
      </c>
      <c r="U733" s="36" t="str">
        <f ca="1">IFERROR(__xludf.DUMMYFUNCTION("""COMPUTED_VALUE"""),"")</f>
        <v/>
      </c>
      <c r="V733" s="36" t="str">
        <f ca="1">IFERROR(__xludf.DUMMYFUNCTION("""COMPUTED_VALUE"""),"")</f>
        <v/>
      </c>
      <c r="W733" s="36" t="str">
        <f ca="1">IFERROR(__xludf.DUMMYFUNCTION("""COMPUTED_VALUE"""),"")</f>
        <v/>
      </c>
      <c r="X733" s="36"/>
      <c r="Y733" s="36"/>
      <c r="Z733" s="36"/>
    </row>
    <row r="734" spans="1:26" ht="12.75" hidden="1">
      <c r="A734" s="36" t="str">
        <f ca="1">IFERROR(__xludf.DUMMYFUNCTION("""COMPUTED_VALUE"""),"")</f>
        <v/>
      </c>
      <c r="B734" s="36" t="str">
        <f ca="1">IFERROR(__xludf.DUMMYFUNCTION("""COMPUTED_VALUE"""),"")</f>
        <v/>
      </c>
      <c r="C734" s="36" t="str">
        <f ca="1">IFERROR(__xludf.DUMMYFUNCTION("""COMPUTED_VALUE"""),"")</f>
        <v/>
      </c>
      <c r="D734" s="36" t="str">
        <f ca="1">IFERROR(__xludf.DUMMYFUNCTION("""COMPUTED_VALUE"""),"")</f>
        <v/>
      </c>
      <c r="E734" s="36" t="str">
        <f ca="1">IFERROR(__xludf.DUMMYFUNCTION("""COMPUTED_VALUE"""),"")</f>
        <v/>
      </c>
      <c r="F734" s="36" t="str">
        <f ca="1">IFERROR(__xludf.DUMMYFUNCTION("""COMPUTED_VALUE"""),"")</f>
        <v/>
      </c>
      <c r="G734" s="36" t="str">
        <f ca="1">IFERROR(__xludf.DUMMYFUNCTION("""COMPUTED_VALUE"""),"")</f>
        <v/>
      </c>
      <c r="H734" s="36" t="str">
        <f ca="1">IFERROR(__xludf.DUMMYFUNCTION("""COMPUTED_VALUE"""),"")</f>
        <v/>
      </c>
      <c r="I734" s="36" t="str">
        <f ca="1">IFERROR(__xludf.DUMMYFUNCTION("""COMPUTED_VALUE"""),"")</f>
        <v/>
      </c>
      <c r="J734" s="36" t="str">
        <f ca="1">IFERROR(__xludf.DUMMYFUNCTION("""COMPUTED_VALUE"""),"")</f>
        <v/>
      </c>
      <c r="K734" s="36" t="str">
        <f ca="1">IFERROR(__xludf.DUMMYFUNCTION("""COMPUTED_VALUE"""),"")</f>
        <v/>
      </c>
      <c r="L734" s="36" t="str">
        <f ca="1">IFERROR(__xludf.DUMMYFUNCTION("""COMPUTED_VALUE"""),"")</f>
        <v/>
      </c>
      <c r="M734" s="36" t="str">
        <f ca="1">IFERROR(__xludf.DUMMYFUNCTION("""COMPUTED_VALUE"""),"")</f>
        <v/>
      </c>
      <c r="N734" s="36" t="str">
        <f ca="1">IFERROR(__xludf.DUMMYFUNCTION("""COMPUTED_VALUE"""),"")</f>
        <v/>
      </c>
      <c r="O734" s="36" t="str">
        <f ca="1">IFERROR(__xludf.DUMMYFUNCTION("""COMPUTED_VALUE"""),"")</f>
        <v/>
      </c>
      <c r="P734" s="36" t="str">
        <f ca="1">IFERROR(__xludf.DUMMYFUNCTION("""COMPUTED_VALUE"""),"")</f>
        <v/>
      </c>
      <c r="Q734" s="36" t="str">
        <f ca="1">IFERROR(__xludf.DUMMYFUNCTION("""COMPUTED_VALUE"""),"")</f>
        <v/>
      </c>
      <c r="R734" s="36" t="str">
        <f ca="1">IFERROR(__xludf.DUMMYFUNCTION("""COMPUTED_VALUE"""),"")</f>
        <v/>
      </c>
      <c r="S734" s="36" t="str">
        <f ca="1">IFERROR(__xludf.DUMMYFUNCTION("""COMPUTED_VALUE"""),"")</f>
        <v/>
      </c>
      <c r="T734" s="36" t="str">
        <f ca="1">IFERROR(__xludf.DUMMYFUNCTION("""COMPUTED_VALUE"""),"")</f>
        <v/>
      </c>
      <c r="U734" s="36" t="str">
        <f ca="1">IFERROR(__xludf.DUMMYFUNCTION("""COMPUTED_VALUE"""),"")</f>
        <v/>
      </c>
      <c r="V734" s="36" t="str">
        <f ca="1">IFERROR(__xludf.DUMMYFUNCTION("""COMPUTED_VALUE"""),"")</f>
        <v/>
      </c>
      <c r="W734" s="36" t="str">
        <f ca="1">IFERROR(__xludf.DUMMYFUNCTION("""COMPUTED_VALUE"""),"")</f>
        <v/>
      </c>
      <c r="X734" s="36"/>
      <c r="Y734" s="36"/>
      <c r="Z734" s="36"/>
    </row>
    <row r="735" spans="1:26" ht="12.75" hidden="1">
      <c r="A735" s="36" t="str">
        <f ca="1">IFERROR(__xludf.DUMMYFUNCTION("""COMPUTED_VALUE"""),"")</f>
        <v/>
      </c>
      <c r="B735" s="36" t="str">
        <f ca="1">IFERROR(__xludf.DUMMYFUNCTION("""COMPUTED_VALUE"""),"")</f>
        <v/>
      </c>
      <c r="C735" s="36" t="str">
        <f ca="1">IFERROR(__xludf.DUMMYFUNCTION("""COMPUTED_VALUE"""),"")</f>
        <v/>
      </c>
      <c r="D735" s="36" t="str">
        <f ca="1">IFERROR(__xludf.DUMMYFUNCTION("""COMPUTED_VALUE"""),"")</f>
        <v/>
      </c>
      <c r="E735" s="36" t="str">
        <f ca="1">IFERROR(__xludf.DUMMYFUNCTION("""COMPUTED_VALUE"""),"")</f>
        <v/>
      </c>
      <c r="F735" s="36" t="str">
        <f ca="1">IFERROR(__xludf.DUMMYFUNCTION("""COMPUTED_VALUE"""),"")</f>
        <v/>
      </c>
      <c r="G735" s="36" t="str">
        <f ca="1">IFERROR(__xludf.DUMMYFUNCTION("""COMPUTED_VALUE"""),"")</f>
        <v/>
      </c>
      <c r="H735" s="36" t="str">
        <f ca="1">IFERROR(__xludf.DUMMYFUNCTION("""COMPUTED_VALUE"""),"")</f>
        <v/>
      </c>
      <c r="I735" s="36" t="str">
        <f ca="1">IFERROR(__xludf.DUMMYFUNCTION("""COMPUTED_VALUE"""),"")</f>
        <v/>
      </c>
      <c r="J735" s="36" t="str">
        <f ca="1">IFERROR(__xludf.DUMMYFUNCTION("""COMPUTED_VALUE"""),"")</f>
        <v/>
      </c>
      <c r="K735" s="36" t="str">
        <f ca="1">IFERROR(__xludf.DUMMYFUNCTION("""COMPUTED_VALUE"""),"")</f>
        <v/>
      </c>
      <c r="L735" s="36" t="str">
        <f ca="1">IFERROR(__xludf.DUMMYFUNCTION("""COMPUTED_VALUE"""),"")</f>
        <v/>
      </c>
      <c r="M735" s="36" t="str">
        <f ca="1">IFERROR(__xludf.DUMMYFUNCTION("""COMPUTED_VALUE"""),"")</f>
        <v/>
      </c>
      <c r="N735" s="36" t="str">
        <f ca="1">IFERROR(__xludf.DUMMYFUNCTION("""COMPUTED_VALUE"""),"")</f>
        <v/>
      </c>
      <c r="O735" s="36" t="str">
        <f ca="1">IFERROR(__xludf.DUMMYFUNCTION("""COMPUTED_VALUE"""),"")</f>
        <v/>
      </c>
      <c r="P735" s="36" t="str">
        <f ca="1">IFERROR(__xludf.DUMMYFUNCTION("""COMPUTED_VALUE"""),"")</f>
        <v/>
      </c>
      <c r="Q735" s="36" t="str">
        <f ca="1">IFERROR(__xludf.DUMMYFUNCTION("""COMPUTED_VALUE"""),"")</f>
        <v/>
      </c>
      <c r="R735" s="36" t="str">
        <f ca="1">IFERROR(__xludf.DUMMYFUNCTION("""COMPUTED_VALUE"""),"")</f>
        <v/>
      </c>
      <c r="S735" s="36" t="str">
        <f ca="1">IFERROR(__xludf.DUMMYFUNCTION("""COMPUTED_VALUE"""),"")</f>
        <v/>
      </c>
      <c r="T735" s="36" t="str">
        <f ca="1">IFERROR(__xludf.DUMMYFUNCTION("""COMPUTED_VALUE"""),"")</f>
        <v/>
      </c>
      <c r="U735" s="36" t="str">
        <f ca="1">IFERROR(__xludf.DUMMYFUNCTION("""COMPUTED_VALUE"""),"")</f>
        <v/>
      </c>
      <c r="V735" s="36" t="str">
        <f ca="1">IFERROR(__xludf.DUMMYFUNCTION("""COMPUTED_VALUE"""),"")</f>
        <v/>
      </c>
      <c r="W735" s="36" t="str">
        <f ca="1">IFERROR(__xludf.DUMMYFUNCTION("""COMPUTED_VALUE"""),"")</f>
        <v/>
      </c>
      <c r="X735" s="36"/>
      <c r="Y735" s="36"/>
      <c r="Z735" s="36"/>
    </row>
    <row r="736" spans="1:26" ht="12.75" hidden="1">
      <c r="A736" s="36" t="str">
        <f ca="1">IFERROR(__xludf.DUMMYFUNCTION("""COMPUTED_VALUE"""),"")</f>
        <v/>
      </c>
      <c r="B736" s="36" t="str">
        <f ca="1">IFERROR(__xludf.DUMMYFUNCTION("""COMPUTED_VALUE"""),"")</f>
        <v/>
      </c>
      <c r="C736" s="36" t="str">
        <f ca="1">IFERROR(__xludf.DUMMYFUNCTION("""COMPUTED_VALUE"""),"")</f>
        <v/>
      </c>
      <c r="D736" s="36" t="str">
        <f ca="1">IFERROR(__xludf.DUMMYFUNCTION("""COMPUTED_VALUE"""),"")</f>
        <v/>
      </c>
      <c r="E736" s="36" t="str">
        <f ca="1">IFERROR(__xludf.DUMMYFUNCTION("""COMPUTED_VALUE"""),"")</f>
        <v/>
      </c>
      <c r="F736" s="36" t="str">
        <f ca="1">IFERROR(__xludf.DUMMYFUNCTION("""COMPUTED_VALUE"""),"")</f>
        <v/>
      </c>
      <c r="G736" s="36" t="str">
        <f ca="1">IFERROR(__xludf.DUMMYFUNCTION("""COMPUTED_VALUE"""),"")</f>
        <v/>
      </c>
      <c r="H736" s="36" t="str">
        <f ca="1">IFERROR(__xludf.DUMMYFUNCTION("""COMPUTED_VALUE"""),"")</f>
        <v/>
      </c>
      <c r="I736" s="36" t="str">
        <f ca="1">IFERROR(__xludf.DUMMYFUNCTION("""COMPUTED_VALUE"""),"")</f>
        <v/>
      </c>
      <c r="J736" s="36" t="str">
        <f ca="1">IFERROR(__xludf.DUMMYFUNCTION("""COMPUTED_VALUE"""),"")</f>
        <v/>
      </c>
      <c r="K736" s="36" t="str">
        <f ca="1">IFERROR(__xludf.DUMMYFUNCTION("""COMPUTED_VALUE"""),"")</f>
        <v/>
      </c>
      <c r="L736" s="36" t="str">
        <f ca="1">IFERROR(__xludf.DUMMYFUNCTION("""COMPUTED_VALUE"""),"")</f>
        <v/>
      </c>
      <c r="M736" s="36" t="str">
        <f ca="1">IFERROR(__xludf.DUMMYFUNCTION("""COMPUTED_VALUE"""),"")</f>
        <v/>
      </c>
      <c r="N736" s="36" t="str">
        <f ca="1">IFERROR(__xludf.DUMMYFUNCTION("""COMPUTED_VALUE"""),"")</f>
        <v/>
      </c>
      <c r="O736" s="36" t="str">
        <f ca="1">IFERROR(__xludf.DUMMYFUNCTION("""COMPUTED_VALUE"""),"")</f>
        <v/>
      </c>
      <c r="P736" s="36" t="str">
        <f ca="1">IFERROR(__xludf.DUMMYFUNCTION("""COMPUTED_VALUE"""),"")</f>
        <v/>
      </c>
      <c r="Q736" s="36" t="str">
        <f ca="1">IFERROR(__xludf.DUMMYFUNCTION("""COMPUTED_VALUE"""),"")</f>
        <v/>
      </c>
      <c r="R736" s="36" t="str">
        <f ca="1">IFERROR(__xludf.DUMMYFUNCTION("""COMPUTED_VALUE"""),"")</f>
        <v/>
      </c>
      <c r="S736" s="36" t="str">
        <f ca="1">IFERROR(__xludf.DUMMYFUNCTION("""COMPUTED_VALUE"""),"")</f>
        <v/>
      </c>
      <c r="T736" s="36" t="str">
        <f ca="1">IFERROR(__xludf.DUMMYFUNCTION("""COMPUTED_VALUE"""),"")</f>
        <v/>
      </c>
      <c r="U736" s="36" t="str">
        <f ca="1">IFERROR(__xludf.DUMMYFUNCTION("""COMPUTED_VALUE"""),"")</f>
        <v/>
      </c>
      <c r="V736" s="36" t="str">
        <f ca="1">IFERROR(__xludf.DUMMYFUNCTION("""COMPUTED_VALUE"""),"")</f>
        <v/>
      </c>
      <c r="W736" s="36" t="str">
        <f ca="1">IFERROR(__xludf.DUMMYFUNCTION("""COMPUTED_VALUE"""),"")</f>
        <v/>
      </c>
      <c r="X736" s="36"/>
      <c r="Y736" s="36"/>
      <c r="Z736" s="36"/>
    </row>
    <row r="737" spans="1:26" ht="12.75" hidden="1">
      <c r="A737" s="36" t="str">
        <f ca="1">IFERROR(__xludf.DUMMYFUNCTION("""COMPUTED_VALUE"""),"")</f>
        <v/>
      </c>
      <c r="B737" s="36" t="str">
        <f ca="1">IFERROR(__xludf.DUMMYFUNCTION("""COMPUTED_VALUE"""),"")</f>
        <v/>
      </c>
      <c r="C737" s="36" t="str">
        <f ca="1">IFERROR(__xludf.DUMMYFUNCTION("""COMPUTED_VALUE"""),"")</f>
        <v/>
      </c>
      <c r="D737" s="36" t="str">
        <f ca="1">IFERROR(__xludf.DUMMYFUNCTION("""COMPUTED_VALUE"""),"")</f>
        <v/>
      </c>
      <c r="E737" s="36" t="str">
        <f ca="1">IFERROR(__xludf.DUMMYFUNCTION("""COMPUTED_VALUE"""),"")</f>
        <v/>
      </c>
      <c r="F737" s="36" t="str">
        <f ca="1">IFERROR(__xludf.DUMMYFUNCTION("""COMPUTED_VALUE"""),"")</f>
        <v/>
      </c>
      <c r="G737" s="36" t="str">
        <f ca="1">IFERROR(__xludf.DUMMYFUNCTION("""COMPUTED_VALUE"""),"")</f>
        <v/>
      </c>
      <c r="H737" s="36" t="str">
        <f ca="1">IFERROR(__xludf.DUMMYFUNCTION("""COMPUTED_VALUE"""),"")</f>
        <v/>
      </c>
      <c r="I737" s="36" t="str">
        <f ca="1">IFERROR(__xludf.DUMMYFUNCTION("""COMPUTED_VALUE"""),"")</f>
        <v/>
      </c>
      <c r="J737" s="36" t="str">
        <f ca="1">IFERROR(__xludf.DUMMYFUNCTION("""COMPUTED_VALUE"""),"")</f>
        <v/>
      </c>
      <c r="K737" s="36" t="str">
        <f ca="1">IFERROR(__xludf.DUMMYFUNCTION("""COMPUTED_VALUE"""),"")</f>
        <v/>
      </c>
      <c r="L737" s="36" t="str">
        <f ca="1">IFERROR(__xludf.DUMMYFUNCTION("""COMPUTED_VALUE"""),"")</f>
        <v/>
      </c>
      <c r="M737" s="36" t="str">
        <f ca="1">IFERROR(__xludf.DUMMYFUNCTION("""COMPUTED_VALUE"""),"")</f>
        <v/>
      </c>
      <c r="N737" s="36" t="str">
        <f ca="1">IFERROR(__xludf.DUMMYFUNCTION("""COMPUTED_VALUE"""),"")</f>
        <v/>
      </c>
      <c r="O737" s="36" t="str">
        <f ca="1">IFERROR(__xludf.DUMMYFUNCTION("""COMPUTED_VALUE"""),"")</f>
        <v/>
      </c>
      <c r="P737" s="36" t="str">
        <f ca="1">IFERROR(__xludf.DUMMYFUNCTION("""COMPUTED_VALUE"""),"")</f>
        <v/>
      </c>
      <c r="Q737" s="36" t="str">
        <f ca="1">IFERROR(__xludf.DUMMYFUNCTION("""COMPUTED_VALUE"""),"")</f>
        <v/>
      </c>
      <c r="R737" s="36" t="str">
        <f ca="1">IFERROR(__xludf.DUMMYFUNCTION("""COMPUTED_VALUE"""),"")</f>
        <v/>
      </c>
      <c r="S737" s="36" t="str">
        <f ca="1">IFERROR(__xludf.DUMMYFUNCTION("""COMPUTED_VALUE"""),"")</f>
        <v/>
      </c>
      <c r="T737" s="36" t="str">
        <f ca="1">IFERROR(__xludf.DUMMYFUNCTION("""COMPUTED_VALUE"""),"")</f>
        <v/>
      </c>
      <c r="U737" s="36" t="str">
        <f ca="1">IFERROR(__xludf.DUMMYFUNCTION("""COMPUTED_VALUE"""),"")</f>
        <v/>
      </c>
      <c r="V737" s="36" t="str">
        <f ca="1">IFERROR(__xludf.DUMMYFUNCTION("""COMPUTED_VALUE"""),"")</f>
        <v/>
      </c>
      <c r="W737" s="36" t="str">
        <f ca="1">IFERROR(__xludf.DUMMYFUNCTION("""COMPUTED_VALUE"""),"")</f>
        <v/>
      </c>
      <c r="X737" s="36"/>
      <c r="Y737" s="36"/>
      <c r="Z737" s="36"/>
    </row>
    <row r="738" spans="1:26" ht="12.75" hidden="1">
      <c r="A738" s="36" t="str">
        <f ca="1">IFERROR(__xludf.DUMMYFUNCTION("""COMPUTED_VALUE"""),"")</f>
        <v/>
      </c>
      <c r="B738" s="36" t="str">
        <f ca="1">IFERROR(__xludf.DUMMYFUNCTION("""COMPUTED_VALUE"""),"")</f>
        <v/>
      </c>
      <c r="C738" s="36" t="str">
        <f ca="1">IFERROR(__xludf.DUMMYFUNCTION("""COMPUTED_VALUE"""),"")</f>
        <v/>
      </c>
      <c r="D738" s="36" t="str">
        <f ca="1">IFERROR(__xludf.DUMMYFUNCTION("""COMPUTED_VALUE"""),"")</f>
        <v/>
      </c>
      <c r="E738" s="36" t="str">
        <f ca="1">IFERROR(__xludf.DUMMYFUNCTION("""COMPUTED_VALUE"""),"")</f>
        <v/>
      </c>
      <c r="F738" s="36" t="str">
        <f ca="1">IFERROR(__xludf.DUMMYFUNCTION("""COMPUTED_VALUE"""),"")</f>
        <v/>
      </c>
      <c r="G738" s="36" t="str">
        <f ca="1">IFERROR(__xludf.DUMMYFUNCTION("""COMPUTED_VALUE"""),"")</f>
        <v/>
      </c>
      <c r="H738" s="36" t="str">
        <f ca="1">IFERROR(__xludf.DUMMYFUNCTION("""COMPUTED_VALUE"""),"")</f>
        <v/>
      </c>
      <c r="I738" s="36" t="str">
        <f ca="1">IFERROR(__xludf.DUMMYFUNCTION("""COMPUTED_VALUE"""),"")</f>
        <v/>
      </c>
      <c r="J738" s="36" t="str">
        <f ca="1">IFERROR(__xludf.DUMMYFUNCTION("""COMPUTED_VALUE"""),"")</f>
        <v/>
      </c>
      <c r="K738" s="36" t="str">
        <f ca="1">IFERROR(__xludf.DUMMYFUNCTION("""COMPUTED_VALUE"""),"")</f>
        <v/>
      </c>
      <c r="L738" s="36" t="str">
        <f ca="1">IFERROR(__xludf.DUMMYFUNCTION("""COMPUTED_VALUE"""),"")</f>
        <v/>
      </c>
      <c r="M738" s="36" t="str">
        <f ca="1">IFERROR(__xludf.DUMMYFUNCTION("""COMPUTED_VALUE"""),"")</f>
        <v/>
      </c>
      <c r="N738" s="36" t="str">
        <f ca="1">IFERROR(__xludf.DUMMYFUNCTION("""COMPUTED_VALUE"""),"")</f>
        <v/>
      </c>
      <c r="O738" s="36" t="str">
        <f ca="1">IFERROR(__xludf.DUMMYFUNCTION("""COMPUTED_VALUE"""),"")</f>
        <v/>
      </c>
      <c r="P738" s="36" t="str">
        <f ca="1">IFERROR(__xludf.DUMMYFUNCTION("""COMPUTED_VALUE"""),"")</f>
        <v/>
      </c>
      <c r="Q738" s="36" t="str">
        <f ca="1">IFERROR(__xludf.DUMMYFUNCTION("""COMPUTED_VALUE"""),"")</f>
        <v/>
      </c>
      <c r="R738" s="36" t="str">
        <f ca="1">IFERROR(__xludf.DUMMYFUNCTION("""COMPUTED_VALUE"""),"")</f>
        <v/>
      </c>
      <c r="S738" s="36" t="str">
        <f ca="1">IFERROR(__xludf.DUMMYFUNCTION("""COMPUTED_VALUE"""),"")</f>
        <v/>
      </c>
      <c r="T738" s="36" t="str">
        <f ca="1">IFERROR(__xludf.DUMMYFUNCTION("""COMPUTED_VALUE"""),"")</f>
        <v/>
      </c>
      <c r="U738" s="36" t="str">
        <f ca="1">IFERROR(__xludf.DUMMYFUNCTION("""COMPUTED_VALUE"""),"")</f>
        <v/>
      </c>
      <c r="V738" s="36" t="str">
        <f ca="1">IFERROR(__xludf.DUMMYFUNCTION("""COMPUTED_VALUE"""),"")</f>
        <v/>
      </c>
      <c r="W738" s="36" t="str">
        <f ca="1">IFERROR(__xludf.DUMMYFUNCTION("""COMPUTED_VALUE"""),"")</f>
        <v/>
      </c>
      <c r="X738" s="36"/>
      <c r="Y738" s="36"/>
      <c r="Z738" s="36"/>
    </row>
    <row r="739" spans="1:26" ht="12.75" hidden="1">
      <c r="A739" s="36" t="str">
        <f ca="1">IFERROR(__xludf.DUMMYFUNCTION("""COMPUTED_VALUE"""),"")</f>
        <v/>
      </c>
      <c r="B739" s="36" t="str">
        <f ca="1">IFERROR(__xludf.DUMMYFUNCTION("""COMPUTED_VALUE"""),"")</f>
        <v/>
      </c>
      <c r="C739" s="36" t="str">
        <f ca="1">IFERROR(__xludf.DUMMYFUNCTION("""COMPUTED_VALUE"""),"")</f>
        <v/>
      </c>
      <c r="D739" s="36" t="str">
        <f ca="1">IFERROR(__xludf.DUMMYFUNCTION("""COMPUTED_VALUE"""),"")</f>
        <v/>
      </c>
      <c r="E739" s="36" t="str">
        <f ca="1">IFERROR(__xludf.DUMMYFUNCTION("""COMPUTED_VALUE"""),"")</f>
        <v/>
      </c>
      <c r="F739" s="36" t="str">
        <f ca="1">IFERROR(__xludf.DUMMYFUNCTION("""COMPUTED_VALUE"""),"")</f>
        <v/>
      </c>
      <c r="G739" s="36" t="str">
        <f ca="1">IFERROR(__xludf.DUMMYFUNCTION("""COMPUTED_VALUE"""),"")</f>
        <v/>
      </c>
      <c r="H739" s="36" t="str">
        <f ca="1">IFERROR(__xludf.DUMMYFUNCTION("""COMPUTED_VALUE"""),"")</f>
        <v/>
      </c>
      <c r="I739" s="36" t="str">
        <f ca="1">IFERROR(__xludf.DUMMYFUNCTION("""COMPUTED_VALUE"""),"")</f>
        <v/>
      </c>
      <c r="J739" s="36" t="str">
        <f ca="1">IFERROR(__xludf.DUMMYFUNCTION("""COMPUTED_VALUE"""),"")</f>
        <v/>
      </c>
      <c r="K739" s="36" t="str">
        <f ca="1">IFERROR(__xludf.DUMMYFUNCTION("""COMPUTED_VALUE"""),"")</f>
        <v/>
      </c>
      <c r="L739" s="36" t="str">
        <f ca="1">IFERROR(__xludf.DUMMYFUNCTION("""COMPUTED_VALUE"""),"")</f>
        <v/>
      </c>
      <c r="M739" s="36" t="str">
        <f ca="1">IFERROR(__xludf.DUMMYFUNCTION("""COMPUTED_VALUE"""),"")</f>
        <v/>
      </c>
      <c r="N739" s="36" t="str">
        <f ca="1">IFERROR(__xludf.DUMMYFUNCTION("""COMPUTED_VALUE"""),"")</f>
        <v/>
      </c>
      <c r="O739" s="36" t="str">
        <f ca="1">IFERROR(__xludf.DUMMYFUNCTION("""COMPUTED_VALUE"""),"")</f>
        <v/>
      </c>
      <c r="P739" s="36" t="str">
        <f ca="1">IFERROR(__xludf.DUMMYFUNCTION("""COMPUTED_VALUE"""),"")</f>
        <v/>
      </c>
      <c r="Q739" s="36" t="str">
        <f ca="1">IFERROR(__xludf.DUMMYFUNCTION("""COMPUTED_VALUE"""),"")</f>
        <v/>
      </c>
      <c r="R739" s="36" t="str">
        <f ca="1">IFERROR(__xludf.DUMMYFUNCTION("""COMPUTED_VALUE"""),"")</f>
        <v/>
      </c>
      <c r="S739" s="36" t="str">
        <f ca="1">IFERROR(__xludf.DUMMYFUNCTION("""COMPUTED_VALUE"""),"")</f>
        <v/>
      </c>
      <c r="T739" s="36" t="str">
        <f ca="1">IFERROR(__xludf.DUMMYFUNCTION("""COMPUTED_VALUE"""),"")</f>
        <v/>
      </c>
      <c r="U739" s="36" t="str">
        <f ca="1">IFERROR(__xludf.DUMMYFUNCTION("""COMPUTED_VALUE"""),"")</f>
        <v/>
      </c>
      <c r="V739" s="36" t="str">
        <f ca="1">IFERROR(__xludf.DUMMYFUNCTION("""COMPUTED_VALUE"""),"")</f>
        <v/>
      </c>
      <c r="W739" s="36" t="str">
        <f ca="1">IFERROR(__xludf.DUMMYFUNCTION("""COMPUTED_VALUE"""),"")</f>
        <v/>
      </c>
      <c r="X739" s="36"/>
      <c r="Y739" s="36"/>
      <c r="Z739" s="36"/>
    </row>
    <row r="740" spans="1:26" ht="12.75" hidden="1">
      <c r="A740" s="36" t="str">
        <f ca="1">IFERROR(__xludf.DUMMYFUNCTION("""COMPUTED_VALUE"""),"")</f>
        <v/>
      </c>
      <c r="B740" s="36" t="str">
        <f ca="1">IFERROR(__xludf.DUMMYFUNCTION("""COMPUTED_VALUE"""),"")</f>
        <v/>
      </c>
      <c r="C740" s="36" t="str">
        <f ca="1">IFERROR(__xludf.DUMMYFUNCTION("""COMPUTED_VALUE"""),"")</f>
        <v/>
      </c>
      <c r="D740" s="36" t="str">
        <f ca="1">IFERROR(__xludf.DUMMYFUNCTION("""COMPUTED_VALUE"""),"")</f>
        <v/>
      </c>
      <c r="E740" s="36" t="str">
        <f ca="1">IFERROR(__xludf.DUMMYFUNCTION("""COMPUTED_VALUE"""),"")</f>
        <v/>
      </c>
      <c r="F740" s="36" t="str">
        <f ca="1">IFERROR(__xludf.DUMMYFUNCTION("""COMPUTED_VALUE"""),"")</f>
        <v/>
      </c>
      <c r="G740" s="36" t="str">
        <f ca="1">IFERROR(__xludf.DUMMYFUNCTION("""COMPUTED_VALUE"""),"")</f>
        <v/>
      </c>
      <c r="H740" s="36" t="str">
        <f ca="1">IFERROR(__xludf.DUMMYFUNCTION("""COMPUTED_VALUE"""),"")</f>
        <v/>
      </c>
      <c r="I740" s="36" t="str">
        <f ca="1">IFERROR(__xludf.DUMMYFUNCTION("""COMPUTED_VALUE"""),"")</f>
        <v/>
      </c>
      <c r="J740" s="36" t="str">
        <f ca="1">IFERROR(__xludf.DUMMYFUNCTION("""COMPUTED_VALUE"""),"")</f>
        <v/>
      </c>
      <c r="K740" s="36" t="str">
        <f ca="1">IFERROR(__xludf.DUMMYFUNCTION("""COMPUTED_VALUE"""),"")</f>
        <v/>
      </c>
      <c r="L740" s="36" t="str">
        <f ca="1">IFERROR(__xludf.DUMMYFUNCTION("""COMPUTED_VALUE"""),"")</f>
        <v/>
      </c>
      <c r="M740" s="36" t="str">
        <f ca="1">IFERROR(__xludf.DUMMYFUNCTION("""COMPUTED_VALUE"""),"")</f>
        <v/>
      </c>
      <c r="N740" s="36" t="str">
        <f ca="1">IFERROR(__xludf.DUMMYFUNCTION("""COMPUTED_VALUE"""),"")</f>
        <v/>
      </c>
      <c r="O740" s="36" t="str">
        <f ca="1">IFERROR(__xludf.DUMMYFUNCTION("""COMPUTED_VALUE"""),"")</f>
        <v/>
      </c>
      <c r="P740" s="36" t="str">
        <f ca="1">IFERROR(__xludf.DUMMYFUNCTION("""COMPUTED_VALUE"""),"")</f>
        <v/>
      </c>
      <c r="Q740" s="36" t="str">
        <f ca="1">IFERROR(__xludf.DUMMYFUNCTION("""COMPUTED_VALUE"""),"")</f>
        <v/>
      </c>
      <c r="R740" s="36" t="str">
        <f ca="1">IFERROR(__xludf.DUMMYFUNCTION("""COMPUTED_VALUE"""),"")</f>
        <v/>
      </c>
      <c r="S740" s="36" t="str">
        <f ca="1">IFERROR(__xludf.DUMMYFUNCTION("""COMPUTED_VALUE"""),"")</f>
        <v/>
      </c>
      <c r="T740" s="36" t="str">
        <f ca="1">IFERROR(__xludf.DUMMYFUNCTION("""COMPUTED_VALUE"""),"")</f>
        <v/>
      </c>
      <c r="U740" s="36" t="str">
        <f ca="1">IFERROR(__xludf.DUMMYFUNCTION("""COMPUTED_VALUE"""),"")</f>
        <v/>
      </c>
      <c r="V740" s="36" t="str">
        <f ca="1">IFERROR(__xludf.DUMMYFUNCTION("""COMPUTED_VALUE"""),"")</f>
        <v/>
      </c>
      <c r="W740" s="36" t="str">
        <f ca="1">IFERROR(__xludf.DUMMYFUNCTION("""COMPUTED_VALUE"""),"")</f>
        <v/>
      </c>
      <c r="X740" s="36"/>
      <c r="Y740" s="36"/>
      <c r="Z740" s="36"/>
    </row>
    <row r="741" spans="1:26" ht="12.75" hidden="1">
      <c r="A741" s="36" t="str">
        <f ca="1">IFERROR(__xludf.DUMMYFUNCTION("""COMPUTED_VALUE"""),"")</f>
        <v/>
      </c>
      <c r="B741" s="36" t="str">
        <f ca="1">IFERROR(__xludf.DUMMYFUNCTION("""COMPUTED_VALUE"""),"")</f>
        <v/>
      </c>
      <c r="C741" s="36" t="str">
        <f ca="1">IFERROR(__xludf.DUMMYFUNCTION("""COMPUTED_VALUE"""),"")</f>
        <v/>
      </c>
      <c r="D741" s="36" t="str">
        <f ca="1">IFERROR(__xludf.DUMMYFUNCTION("""COMPUTED_VALUE"""),"")</f>
        <v/>
      </c>
      <c r="E741" s="36" t="str">
        <f ca="1">IFERROR(__xludf.DUMMYFUNCTION("""COMPUTED_VALUE"""),"")</f>
        <v/>
      </c>
      <c r="F741" s="36" t="str">
        <f ca="1">IFERROR(__xludf.DUMMYFUNCTION("""COMPUTED_VALUE"""),"")</f>
        <v/>
      </c>
      <c r="G741" s="36" t="str">
        <f ca="1">IFERROR(__xludf.DUMMYFUNCTION("""COMPUTED_VALUE"""),"")</f>
        <v/>
      </c>
      <c r="H741" s="36" t="str">
        <f ca="1">IFERROR(__xludf.DUMMYFUNCTION("""COMPUTED_VALUE"""),"")</f>
        <v/>
      </c>
      <c r="I741" s="36" t="str">
        <f ca="1">IFERROR(__xludf.DUMMYFUNCTION("""COMPUTED_VALUE"""),"")</f>
        <v/>
      </c>
      <c r="J741" s="36" t="str">
        <f ca="1">IFERROR(__xludf.DUMMYFUNCTION("""COMPUTED_VALUE"""),"")</f>
        <v/>
      </c>
      <c r="K741" s="36" t="str">
        <f ca="1">IFERROR(__xludf.DUMMYFUNCTION("""COMPUTED_VALUE"""),"")</f>
        <v/>
      </c>
      <c r="L741" s="36" t="str">
        <f ca="1">IFERROR(__xludf.DUMMYFUNCTION("""COMPUTED_VALUE"""),"")</f>
        <v/>
      </c>
      <c r="M741" s="36" t="str">
        <f ca="1">IFERROR(__xludf.DUMMYFUNCTION("""COMPUTED_VALUE"""),"")</f>
        <v/>
      </c>
      <c r="N741" s="36" t="str">
        <f ca="1">IFERROR(__xludf.DUMMYFUNCTION("""COMPUTED_VALUE"""),"")</f>
        <v/>
      </c>
      <c r="O741" s="36" t="str">
        <f ca="1">IFERROR(__xludf.DUMMYFUNCTION("""COMPUTED_VALUE"""),"")</f>
        <v/>
      </c>
      <c r="P741" s="36" t="str">
        <f ca="1">IFERROR(__xludf.DUMMYFUNCTION("""COMPUTED_VALUE"""),"")</f>
        <v/>
      </c>
      <c r="Q741" s="36" t="str">
        <f ca="1">IFERROR(__xludf.DUMMYFUNCTION("""COMPUTED_VALUE"""),"")</f>
        <v/>
      </c>
      <c r="R741" s="36" t="str">
        <f ca="1">IFERROR(__xludf.DUMMYFUNCTION("""COMPUTED_VALUE"""),"")</f>
        <v/>
      </c>
      <c r="S741" s="36" t="str">
        <f ca="1">IFERROR(__xludf.DUMMYFUNCTION("""COMPUTED_VALUE"""),"")</f>
        <v/>
      </c>
      <c r="T741" s="36" t="str">
        <f ca="1">IFERROR(__xludf.DUMMYFUNCTION("""COMPUTED_VALUE"""),"")</f>
        <v/>
      </c>
      <c r="U741" s="36" t="str">
        <f ca="1">IFERROR(__xludf.DUMMYFUNCTION("""COMPUTED_VALUE"""),"")</f>
        <v/>
      </c>
      <c r="V741" s="36" t="str">
        <f ca="1">IFERROR(__xludf.DUMMYFUNCTION("""COMPUTED_VALUE"""),"")</f>
        <v/>
      </c>
      <c r="W741" s="36" t="str">
        <f ca="1">IFERROR(__xludf.DUMMYFUNCTION("""COMPUTED_VALUE"""),"")</f>
        <v/>
      </c>
      <c r="X741" s="36"/>
      <c r="Y741" s="36"/>
      <c r="Z741" s="36"/>
    </row>
    <row r="742" spans="1:26" ht="12.75" hidden="1">
      <c r="A742" s="36" t="str">
        <f ca="1">IFERROR(__xludf.DUMMYFUNCTION("""COMPUTED_VALUE"""),"")</f>
        <v/>
      </c>
      <c r="B742" s="36" t="str">
        <f ca="1">IFERROR(__xludf.DUMMYFUNCTION("""COMPUTED_VALUE"""),"")</f>
        <v/>
      </c>
      <c r="C742" s="36" t="str">
        <f ca="1">IFERROR(__xludf.DUMMYFUNCTION("""COMPUTED_VALUE"""),"")</f>
        <v/>
      </c>
      <c r="D742" s="36" t="str">
        <f ca="1">IFERROR(__xludf.DUMMYFUNCTION("""COMPUTED_VALUE"""),"")</f>
        <v/>
      </c>
      <c r="E742" s="36" t="str">
        <f ca="1">IFERROR(__xludf.DUMMYFUNCTION("""COMPUTED_VALUE"""),"")</f>
        <v/>
      </c>
      <c r="F742" s="36" t="str">
        <f ca="1">IFERROR(__xludf.DUMMYFUNCTION("""COMPUTED_VALUE"""),"")</f>
        <v/>
      </c>
      <c r="G742" s="36" t="str">
        <f ca="1">IFERROR(__xludf.DUMMYFUNCTION("""COMPUTED_VALUE"""),"")</f>
        <v/>
      </c>
      <c r="H742" s="36" t="str">
        <f ca="1">IFERROR(__xludf.DUMMYFUNCTION("""COMPUTED_VALUE"""),"")</f>
        <v/>
      </c>
      <c r="I742" s="36" t="str">
        <f ca="1">IFERROR(__xludf.DUMMYFUNCTION("""COMPUTED_VALUE"""),"")</f>
        <v/>
      </c>
      <c r="J742" s="36" t="str">
        <f ca="1">IFERROR(__xludf.DUMMYFUNCTION("""COMPUTED_VALUE"""),"")</f>
        <v/>
      </c>
      <c r="K742" s="36" t="str">
        <f ca="1">IFERROR(__xludf.DUMMYFUNCTION("""COMPUTED_VALUE"""),"")</f>
        <v/>
      </c>
      <c r="L742" s="36" t="str">
        <f ca="1">IFERROR(__xludf.DUMMYFUNCTION("""COMPUTED_VALUE"""),"")</f>
        <v/>
      </c>
      <c r="M742" s="36" t="str">
        <f ca="1">IFERROR(__xludf.DUMMYFUNCTION("""COMPUTED_VALUE"""),"")</f>
        <v/>
      </c>
      <c r="N742" s="36" t="str">
        <f ca="1">IFERROR(__xludf.DUMMYFUNCTION("""COMPUTED_VALUE"""),"")</f>
        <v/>
      </c>
      <c r="O742" s="36" t="str">
        <f ca="1">IFERROR(__xludf.DUMMYFUNCTION("""COMPUTED_VALUE"""),"")</f>
        <v/>
      </c>
      <c r="P742" s="36" t="str">
        <f ca="1">IFERROR(__xludf.DUMMYFUNCTION("""COMPUTED_VALUE"""),"")</f>
        <v/>
      </c>
      <c r="Q742" s="36" t="str">
        <f ca="1">IFERROR(__xludf.DUMMYFUNCTION("""COMPUTED_VALUE"""),"")</f>
        <v/>
      </c>
      <c r="R742" s="36" t="str">
        <f ca="1">IFERROR(__xludf.DUMMYFUNCTION("""COMPUTED_VALUE"""),"")</f>
        <v/>
      </c>
      <c r="S742" s="36" t="str">
        <f ca="1">IFERROR(__xludf.DUMMYFUNCTION("""COMPUTED_VALUE"""),"")</f>
        <v/>
      </c>
      <c r="T742" s="36" t="str">
        <f ca="1">IFERROR(__xludf.DUMMYFUNCTION("""COMPUTED_VALUE"""),"")</f>
        <v/>
      </c>
      <c r="U742" s="36" t="str">
        <f ca="1">IFERROR(__xludf.DUMMYFUNCTION("""COMPUTED_VALUE"""),"")</f>
        <v/>
      </c>
      <c r="V742" s="36" t="str">
        <f ca="1">IFERROR(__xludf.DUMMYFUNCTION("""COMPUTED_VALUE"""),"")</f>
        <v/>
      </c>
      <c r="W742" s="36" t="str">
        <f ca="1">IFERROR(__xludf.DUMMYFUNCTION("""COMPUTED_VALUE"""),"")</f>
        <v/>
      </c>
      <c r="X742" s="36"/>
      <c r="Y742" s="36"/>
      <c r="Z742" s="36"/>
    </row>
    <row r="743" spans="1:26" ht="12.75" hidden="1">
      <c r="A743" s="36" t="str">
        <f ca="1">IFERROR(__xludf.DUMMYFUNCTION("""COMPUTED_VALUE"""),"")</f>
        <v/>
      </c>
      <c r="B743" s="36" t="str">
        <f ca="1">IFERROR(__xludf.DUMMYFUNCTION("""COMPUTED_VALUE"""),"")</f>
        <v/>
      </c>
      <c r="C743" s="36" t="str">
        <f ca="1">IFERROR(__xludf.DUMMYFUNCTION("""COMPUTED_VALUE"""),"")</f>
        <v/>
      </c>
      <c r="D743" s="36" t="str">
        <f ca="1">IFERROR(__xludf.DUMMYFUNCTION("""COMPUTED_VALUE"""),"")</f>
        <v/>
      </c>
      <c r="E743" s="36" t="str">
        <f ca="1">IFERROR(__xludf.DUMMYFUNCTION("""COMPUTED_VALUE"""),"")</f>
        <v/>
      </c>
      <c r="F743" s="36" t="str">
        <f ca="1">IFERROR(__xludf.DUMMYFUNCTION("""COMPUTED_VALUE"""),"")</f>
        <v/>
      </c>
      <c r="G743" s="36" t="str">
        <f ca="1">IFERROR(__xludf.DUMMYFUNCTION("""COMPUTED_VALUE"""),"")</f>
        <v/>
      </c>
      <c r="H743" s="36" t="str">
        <f ca="1">IFERROR(__xludf.DUMMYFUNCTION("""COMPUTED_VALUE"""),"")</f>
        <v/>
      </c>
      <c r="I743" s="36" t="str">
        <f ca="1">IFERROR(__xludf.DUMMYFUNCTION("""COMPUTED_VALUE"""),"")</f>
        <v/>
      </c>
      <c r="J743" s="36" t="str">
        <f ca="1">IFERROR(__xludf.DUMMYFUNCTION("""COMPUTED_VALUE"""),"")</f>
        <v/>
      </c>
      <c r="K743" s="36" t="str">
        <f ca="1">IFERROR(__xludf.DUMMYFUNCTION("""COMPUTED_VALUE"""),"")</f>
        <v/>
      </c>
      <c r="L743" s="36" t="str">
        <f ca="1">IFERROR(__xludf.DUMMYFUNCTION("""COMPUTED_VALUE"""),"")</f>
        <v/>
      </c>
      <c r="M743" s="36" t="str">
        <f ca="1">IFERROR(__xludf.DUMMYFUNCTION("""COMPUTED_VALUE"""),"")</f>
        <v/>
      </c>
      <c r="N743" s="36" t="str">
        <f ca="1">IFERROR(__xludf.DUMMYFUNCTION("""COMPUTED_VALUE"""),"")</f>
        <v/>
      </c>
      <c r="O743" s="36" t="str">
        <f ca="1">IFERROR(__xludf.DUMMYFUNCTION("""COMPUTED_VALUE"""),"")</f>
        <v/>
      </c>
      <c r="P743" s="36" t="str">
        <f ca="1">IFERROR(__xludf.DUMMYFUNCTION("""COMPUTED_VALUE"""),"")</f>
        <v/>
      </c>
      <c r="Q743" s="36" t="str">
        <f ca="1">IFERROR(__xludf.DUMMYFUNCTION("""COMPUTED_VALUE"""),"")</f>
        <v/>
      </c>
      <c r="R743" s="36" t="str">
        <f ca="1">IFERROR(__xludf.DUMMYFUNCTION("""COMPUTED_VALUE"""),"")</f>
        <v/>
      </c>
      <c r="S743" s="36" t="str">
        <f ca="1">IFERROR(__xludf.DUMMYFUNCTION("""COMPUTED_VALUE"""),"")</f>
        <v/>
      </c>
      <c r="T743" s="36" t="str">
        <f ca="1">IFERROR(__xludf.DUMMYFUNCTION("""COMPUTED_VALUE"""),"")</f>
        <v/>
      </c>
      <c r="U743" s="36" t="str">
        <f ca="1">IFERROR(__xludf.DUMMYFUNCTION("""COMPUTED_VALUE"""),"")</f>
        <v/>
      </c>
      <c r="V743" s="36" t="str">
        <f ca="1">IFERROR(__xludf.DUMMYFUNCTION("""COMPUTED_VALUE"""),"")</f>
        <v/>
      </c>
      <c r="W743" s="36" t="str">
        <f ca="1">IFERROR(__xludf.DUMMYFUNCTION("""COMPUTED_VALUE"""),"")</f>
        <v/>
      </c>
      <c r="X743" s="36"/>
      <c r="Y743" s="36"/>
      <c r="Z743" s="36"/>
    </row>
    <row r="744" spans="1:26" ht="12.75" hidden="1">
      <c r="A744" s="36" t="str">
        <f ca="1">IFERROR(__xludf.DUMMYFUNCTION("""COMPUTED_VALUE"""),"")</f>
        <v/>
      </c>
      <c r="B744" s="36" t="str">
        <f ca="1">IFERROR(__xludf.DUMMYFUNCTION("""COMPUTED_VALUE"""),"")</f>
        <v/>
      </c>
      <c r="C744" s="36" t="str">
        <f ca="1">IFERROR(__xludf.DUMMYFUNCTION("""COMPUTED_VALUE"""),"")</f>
        <v/>
      </c>
      <c r="D744" s="36" t="str">
        <f ca="1">IFERROR(__xludf.DUMMYFUNCTION("""COMPUTED_VALUE"""),"")</f>
        <v/>
      </c>
      <c r="E744" s="36" t="str">
        <f ca="1">IFERROR(__xludf.DUMMYFUNCTION("""COMPUTED_VALUE"""),"")</f>
        <v/>
      </c>
      <c r="F744" s="36" t="str">
        <f ca="1">IFERROR(__xludf.DUMMYFUNCTION("""COMPUTED_VALUE"""),"")</f>
        <v/>
      </c>
      <c r="G744" s="36" t="str">
        <f ca="1">IFERROR(__xludf.DUMMYFUNCTION("""COMPUTED_VALUE"""),"")</f>
        <v/>
      </c>
      <c r="H744" s="36" t="str">
        <f ca="1">IFERROR(__xludf.DUMMYFUNCTION("""COMPUTED_VALUE"""),"")</f>
        <v/>
      </c>
      <c r="I744" s="36" t="str">
        <f ca="1">IFERROR(__xludf.DUMMYFUNCTION("""COMPUTED_VALUE"""),"")</f>
        <v/>
      </c>
      <c r="J744" s="36" t="str">
        <f ca="1">IFERROR(__xludf.DUMMYFUNCTION("""COMPUTED_VALUE"""),"")</f>
        <v/>
      </c>
      <c r="K744" s="36" t="str">
        <f ca="1">IFERROR(__xludf.DUMMYFUNCTION("""COMPUTED_VALUE"""),"")</f>
        <v/>
      </c>
      <c r="L744" s="36" t="str">
        <f ca="1">IFERROR(__xludf.DUMMYFUNCTION("""COMPUTED_VALUE"""),"")</f>
        <v/>
      </c>
      <c r="M744" s="36" t="str">
        <f ca="1">IFERROR(__xludf.DUMMYFUNCTION("""COMPUTED_VALUE"""),"")</f>
        <v/>
      </c>
      <c r="N744" s="36" t="str">
        <f ca="1">IFERROR(__xludf.DUMMYFUNCTION("""COMPUTED_VALUE"""),"")</f>
        <v/>
      </c>
      <c r="O744" s="36" t="str">
        <f ca="1">IFERROR(__xludf.DUMMYFUNCTION("""COMPUTED_VALUE"""),"")</f>
        <v/>
      </c>
      <c r="P744" s="36" t="str">
        <f ca="1">IFERROR(__xludf.DUMMYFUNCTION("""COMPUTED_VALUE"""),"")</f>
        <v/>
      </c>
      <c r="Q744" s="36" t="str">
        <f ca="1">IFERROR(__xludf.DUMMYFUNCTION("""COMPUTED_VALUE"""),"")</f>
        <v/>
      </c>
      <c r="R744" s="36" t="str">
        <f ca="1">IFERROR(__xludf.DUMMYFUNCTION("""COMPUTED_VALUE"""),"")</f>
        <v/>
      </c>
      <c r="S744" s="36" t="str">
        <f ca="1">IFERROR(__xludf.DUMMYFUNCTION("""COMPUTED_VALUE"""),"")</f>
        <v/>
      </c>
      <c r="T744" s="36" t="str">
        <f ca="1">IFERROR(__xludf.DUMMYFUNCTION("""COMPUTED_VALUE"""),"")</f>
        <v/>
      </c>
      <c r="U744" s="36" t="str">
        <f ca="1">IFERROR(__xludf.DUMMYFUNCTION("""COMPUTED_VALUE"""),"")</f>
        <v/>
      </c>
      <c r="V744" s="36" t="str">
        <f ca="1">IFERROR(__xludf.DUMMYFUNCTION("""COMPUTED_VALUE"""),"")</f>
        <v/>
      </c>
      <c r="W744" s="36" t="str">
        <f ca="1">IFERROR(__xludf.DUMMYFUNCTION("""COMPUTED_VALUE"""),"")</f>
        <v/>
      </c>
      <c r="X744" s="36"/>
      <c r="Y744" s="36"/>
      <c r="Z744" s="36"/>
    </row>
    <row r="745" spans="1:26" ht="12.75" hidden="1">
      <c r="A745" s="36" t="str">
        <f ca="1">IFERROR(__xludf.DUMMYFUNCTION("""COMPUTED_VALUE"""),"")</f>
        <v/>
      </c>
      <c r="B745" s="36" t="str">
        <f ca="1">IFERROR(__xludf.DUMMYFUNCTION("""COMPUTED_VALUE"""),"")</f>
        <v/>
      </c>
      <c r="C745" s="36" t="str">
        <f ca="1">IFERROR(__xludf.DUMMYFUNCTION("""COMPUTED_VALUE"""),"")</f>
        <v/>
      </c>
      <c r="D745" s="36" t="str">
        <f ca="1">IFERROR(__xludf.DUMMYFUNCTION("""COMPUTED_VALUE"""),"")</f>
        <v/>
      </c>
      <c r="E745" s="36" t="str">
        <f ca="1">IFERROR(__xludf.DUMMYFUNCTION("""COMPUTED_VALUE"""),"")</f>
        <v/>
      </c>
      <c r="F745" s="36" t="str">
        <f ca="1">IFERROR(__xludf.DUMMYFUNCTION("""COMPUTED_VALUE"""),"")</f>
        <v/>
      </c>
      <c r="G745" s="36" t="str">
        <f ca="1">IFERROR(__xludf.DUMMYFUNCTION("""COMPUTED_VALUE"""),"")</f>
        <v/>
      </c>
      <c r="H745" s="36" t="str">
        <f ca="1">IFERROR(__xludf.DUMMYFUNCTION("""COMPUTED_VALUE"""),"")</f>
        <v/>
      </c>
      <c r="I745" s="36" t="str">
        <f ca="1">IFERROR(__xludf.DUMMYFUNCTION("""COMPUTED_VALUE"""),"")</f>
        <v/>
      </c>
      <c r="J745" s="36" t="str">
        <f ca="1">IFERROR(__xludf.DUMMYFUNCTION("""COMPUTED_VALUE"""),"")</f>
        <v/>
      </c>
      <c r="K745" s="36" t="str">
        <f ca="1">IFERROR(__xludf.DUMMYFUNCTION("""COMPUTED_VALUE"""),"")</f>
        <v/>
      </c>
      <c r="L745" s="36" t="str">
        <f ca="1">IFERROR(__xludf.DUMMYFUNCTION("""COMPUTED_VALUE"""),"")</f>
        <v/>
      </c>
      <c r="M745" s="36" t="str">
        <f ca="1">IFERROR(__xludf.DUMMYFUNCTION("""COMPUTED_VALUE"""),"")</f>
        <v/>
      </c>
      <c r="N745" s="36" t="str">
        <f ca="1">IFERROR(__xludf.DUMMYFUNCTION("""COMPUTED_VALUE"""),"")</f>
        <v/>
      </c>
      <c r="O745" s="36" t="str">
        <f ca="1">IFERROR(__xludf.DUMMYFUNCTION("""COMPUTED_VALUE"""),"")</f>
        <v/>
      </c>
      <c r="P745" s="36" t="str">
        <f ca="1">IFERROR(__xludf.DUMMYFUNCTION("""COMPUTED_VALUE"""),"")</f>
        <v/>
      </c>
      <c r="Q745" s="36" t="str">
        <f ca="1">IFERROR(__xludf.DUMMYFUNCTION("""COMPUTED_VALUE"""),"")</f>
        <v/>
      </c>
      <c r="R745" s="36" t="str">
        <f ca="1">IFERROR(__xludf.DUMMYFUNCTION("""COMPUTED_VALUE"""),"")</f>
        <v/>
      </c>
      <c r="S745" s="36" t="str">
        <f ca="1">IFERROR(__xludf.DUMMYFUNCTION("""COMPUTED_VALUE"""),"")</f>
        <v/>
      </c>
      <c r="T745" s="36" t="str">
        <f ca="1">IFERROR(__xludf.DUMMYFUNCTION("""COMPUTED_VALUE"""),"")</f>
        <v/>
      </c>
      <c r="U745" s="36" t="str">
        <f ca="1">IFERROR(__xludf.DUMMYFUNCTION("""COMPUTED_VALUE"""),"")</f>
        <v/>
      </c>
      <c r="V745" s="36" t="str">
        <f ca="1">IFERROR(__xludf.DUMMYFUNCTION("""COMPUTED_VALUE"""),"")</f>
        <v/>
      </c>
      <c r="W745" s="36" t="str">
        <f ca="1">IFERROR(__xludf.DUMMYFUNCTION("""COMPUTED_VALUE"""),"")</f>
        <v/>
      </c>
      <c r="X745" s="36"/>
      <c r="Y745" s="36"/>
      <c r="Z745" s="36"/>
    </row>
    <row r="746" spans="1:26" ht="12.75" hidden="1">
      <c r="A746" s="36" t="str">
        <f ca="1">IFERROR(__xludf.DUMMYFUNCTION("""COMPUTED_VALUE"""),"")</f>
        <v/>
      </c>
      <c r="B746" s="36" t="str">
        <f ca="1">IFERROR(__xludf.DUMMYFUNCTION("""COMPUTED_VALUE"""),"")</f>
        <v/>
      </c>
      <c r="C746" s="36" t="str">
        <f ca="1">IFERROR(__xludf.DUMMYFUNCTION("""COMPUTED_VALUE"""),"")</f>
        <v/>
      </c>
      <c r="D746" s="36" t="str">
        <f ca="1">IFERROR(__xludf.DUMMYFUNCTION("""COMPUTED_VALUE"""),"")</f>
        <v/>
      </c>
      <c r="E746" s="36" t="str">
        <f ca="1">IFERROR(__xludf.DUMMYFUNCTION("""COMPUTED_VALUE"""),"")</f>
        <v/>
      </c>
      <c r="F746" s="36" t="str">
        <f ca="1">IFERROR(__xludf.DUMMYFUNCTION("""COMPUTED_VALUE"""),"")</f>
        <v/>
      </c>
      <c r="G746" s="36" t="str">
        <f ca="1">IFERROR(__xludf.DUMMYFUNCTION("""COMPUTED_VALUE"""),"")</f>
        <v/>
      </c>
      <c r="H746" s="36" t="str">
        <f ca="1">IFERROR(__xludf.DUMMYFUNCTION("""COMPUTED_VALUE"""),"")</f>
        <v/>
      </c>
      <c r="I746" s="36" t="str">
        <f ca="1">IFERROR(__xludf.DUMMYFUNCTION("""COMPUTED_VALUE"""),"")</f>
        <v/>
      </c>
      <c r="J746" s="36" t="str">
        <f ca="1">IFERROR(__xludf.DUMMYFUNCTION("""COMPUTED_VALUE"""),"")</f>
        <v/>
      </c>
      <c r="K746" s="36" t="str">
        <f ca="1">IFERROR(__xludf.DUMMYFUNCTION("""COMPUTED_VALUE"""),"")</f>
        <v/>
      </c>
      <c r="L746" s="36" t="str">
        <f ca="1">IFERROR(__xludf.DUMMYFUNCTION("""COMPUTED_VALUE"""),"")</f>
        <v/>
      </c>
      <c r="M746" s="36" t="str">
        <f ca="1">IFERROR(__xludf.DUMMYFUNCTION("""COMPUTED_VALUE"""),"")</f>
        <v/>
      </c>
      <c r="N746" s="36" t="str">
        <f ca="1">IFERROR(__xludf.DUMMYFUNCTION("""COMPUTED_VALUE"""),"")</f>
        <v/>
      </c>
      <c r="O746" s="36" t="str">
        <f ca="1">IFERROR(__xludf.DUMMYFUNCTION("""COMPUTED_VALUE"""),"")</f>
        <v/>
      </c>
      <c r="P746" s="36" t="str">
        <f ca="1">IFERROR(__xludf.DUMMYFUNCTION("""COMPUTED_VALUE"""),"")</f>
        <v/>
      </c>
      <c r="Q746" s="36" t="str">
        <f ca="1">IFERROR(__xludf.DUMMYFUNCTION("""COMPUTED_VALUE"""),"")</f>
        <v/>
      </c>
      <c r="R746" s="36" t="str">
        <f ca="1">IFERROR(__xludf.DUMMYFUNCTION("""COMPUTED_VALUE"""),"")</f>
        <v/>
      </c>
      <c r="S746" s="36" t="str">
        <f ca="1">IFERROR(__xludf.DUMMYFUNCTION("""COMPUTED_VALUE"""),"")</f>
        <v/>
      </c>
      <c r="T746" s="36" t="str">
        <f ca="1">IFERROR(__xludf.DUMMYFUNCTION("""COMPUTED_VALUE"""),"")</f>
        <v/>
      </c>
      <c r="U746" s="36" t="str">
        <f ca="1">IFERROR(__xludf.DUMMYFUNCTION("""COMPUTED_VALUE"""),"")</f>
        <v/>
      </c>
      <c r="V746" s="36" t="str">
        <f ca="1">IFERROR(__xludf.DUMMYFUNCTION("""COMPUTED_VALUE"""),"")</f>
        <v/>
      </c>
      <c r="W746" s="36" t="str">
        <f ca="1">IFERROR(__xludf.DUMMYFUNCTION("""COMPUTED_VALUE"""),"")</f>
        <v/>
      </c>
      <c r="X746" s="36"/>
      <c r="Y746" s="36"/>
      <c r="Z746" s="36"/>
    </row>
    <row r="747" spans="1:26" ht="12.75" hidden="1">
      <c r="A747" s="36" t="str">
        <f ca="1">IFERROR(__xludf.DUMMYFUNCTION("""COMPUTED_VALUE"""),"")</f>
        <v/>
      </c>
      <c r="B747" s="36" t="str">
        <f ca="1">IFERROR(__xludf.DUMMYFUNCTION("""COMPUTED_VALUE"""),"")</f>
        <v/>
      </c>
      <c r="C747" s="36" t="str">
        <f ca="1">IFERROR(__xludf.DUMMYFUNCTION("""COMPUTED_VALUE"""),"")</f>
        <v/>
      </c>
      <c r="D747" s="36" t="str">
        <f ca="1">IFERROR(__xludf.DUMMYFUNCTION("""COMPUTED_VALUE"""),"")</f>
        <v/>
      </c>
      <c r="E747" s="36" t="str">
        <f ca="1">IFERROR(__xludf.DUMMYFUNCTION("""COMPUTED_VALUE"""),"")</f>
        <v/>
      </c>
      <c r="F747" s="36" t="str">
        <f ca="1">IFERROR(__xludf.DUMMYFUNCTION("""COMPUTED_VALUE"""),"")</f>
        <v/>
      </c>
      <c r="G747" s="36" t="str">
        <f ca="1">IFERROR(__xludf.DUMMYFUNCTION("""COMPUTED_VALUE"""),"")</f>
        <v/>
      </c>
      <c r="H747" s="36" t="str">
        <f ca="1">IFERROR(__xludf.DUMMYFUNCTION("""COMPUTED_VALUE"""),"")</f>
        <v/>
      </c>
      <c r="I747" s="36" t="str">
        <f ca="1">IFERROR(__xludf.DUMMYFUNCTION("""COMPUTED_VALUE"""),"")</f>
        <v/>
      </c>
      <c r="J747" s="36" t="str">
        <f ca="1">IFERROR(__xludf.DUMMYFUNCTION("""COMPUTED_VALUE"""),"")</f>
        <v/>
      </c>
      <c r="K747" s="36" t="str">
        <f ca="1">IFERROR(__xludf.DUMMYFUNCTION("""COMPUTED_VALUE"""),"")</f>
        <v/>
      </c>
      <c r="L747" s="36" t="str">
        <f ca="1">IFERROR(__xludf.DUMMYFUNCTION("""COMPUTED_VALUE"""),"")</f>
        <v/>
      </c>
      <c r="M747" s="36" t="str">
        <f ca="1">IFERROR(__xludf.DUMMYFUNCTION("""COMPUTED_VALUE"""),"")</f>
        <v/>
      </c>
      <c r="N747" s="36" t="str">
        <f ca="1">IFERROR(__xludf.DUMMYFUNCTION("""COMPUTED_VALUE"""),"")</f>
        <v/>
      </c>
      <c r="O747" s="36" t="str">
        <f ca="1">IFERROR(__xludf.DUMMYFUNCTION("""COMPUTED_VALUE"""),"")</f>
        <v/>
      </c>
      <c r="P747" s="36" t="str">
        <f ca="1">IFERROR(__xludf.DUMMYFUNCTION("""COMPUTED_VALUE"""),"")</f>
        <v/>
      </c>
      <c r="Q747" s="36" t="str">
        <f ca="1">IFERROR(__xludf.DUMMYFUNCTION("""COMPUTED_VALUE"""),"")</f>
        <v/>
      </c>
      <c r="R747" s="36" t="str">
        <f ca="1">IFERROR(__xludf.DUMMYFUNCTION("""COMPUTED_VALUE"""),"")</f>
        <v/>
      </c>
      <c r="S747" s="36" t="str">
        <f ca="1">IFERROR(__xludf.DUMMYFUNCTION("""COMPUTED_VALUE"""),"")</f>
        <v/>
      </c>
      <c r="T747" s="36" t="str">
        <f ca="1">IFERROR(__xludf.DUMMYFUNCTION("""COMPUTED_VALUE"""),"")</f>
        <v/>
      </c>
      <c r="U747" s="36" t="str">
        <f ca="1">IFERROR(__xludf.DUMMYFUNCTION("""COMPUTED_VALUE"""),"")</f>
        <v/>
      </c>
      <c r="V747" s="36" t="str">
        <f ca="1">IFERROR(__xludf.DUMMYFUNCTION("""COMPUTED_VALUE"""),"")</f>
        <v/>
      </c>
      <c r="W747" s="36" t="str">
        <f ca="1">IFERROR(__xludf.DUMMYFUNCTION("""COMPUTED_VALUE"""),"")</f>
        <v/>
      </c>
      <c r="X747" s="36"/>
      <c r="Y747" s="36"/>
      <c r="Z747" s="36"/>
    </row>
    <row r="748" spans="1:26" ht="12.75" hidden="1">
      <c r="A748" s="36" t="str">
        <f ca="1">IFERROR(__xludf.DUMMYFUNCTION("""COMPUTED_VALUE"""),"")</f>
        <v/>
      </c>
      <c r="B748" s="36" t="str">
        <f ca="1">IFERROR(__xludf.DUMMYFUNCTION("""COMPUTED_VALUE"""),"")</f>
        <v/>
      </c>
      <c r="C748" s="36" t="str">
        <f ca="1">IFERROR(__xludf.DUMMYFUNCTION("""COMPUTED_VALUE"""),"")</f>
        <v/>
      </c>
      <c r="D748" s="36" t="str">
        <f ca="1">IFERROR(__xludf.DUMMYFUNCTION("""COMPUTED_VALUE"""),"")</f>
        <v/>
      </c>
      <c r="E748" s="36" t="str">
        <f ca="1">IFERROR(__xludf.DUMMYFUNCTION("""COMPUTED_VALUE"""),"")</f>
        <v/>
      </c>
      <c r="F748" s="36" t="str">
        <f ca="1">IFERROR(__xludf.DUMMYFUNCTION("""COMPUTED_VALUE"""),"")</f>
        <v/>
      </c>
      <c r="G748" s="36" t="str">
        <f ca="1">IFERROR(__xludf.DUMMYFUNCTION("""COMPUTED_VALUE"""),"")</f>
        <v/>
      </c>
      <c r="H748" s="36" t="str">
        <f ca="1">IFERROR(__xludf.DUMMYFUNCTION("""COMPUTED_VALUE"""),"")</f>
        <v/>
      </c>
      <c r="I748" s="36" t="str">
        <f ca="1">IFERROR(__xludf.DUMMYFUNCTION("""COMPUTED_VALUE"""),"")</f>
        <v/>
      </c>
      <c r="J748" s="36" t="str">
        <f ca="1">IFERROR(__xludf.DUMMYFUNCTION("""COMPUTED_VALUE"""),"")</f>
        <v/>
      </c>
      <c r="K748" s="36" t="str">
        <f ca="1">IFERROR(__xludf.DUMMYFUNCTION("""COMPUTED_VALUE"""),"")</f>
        <v/>
      </c>
      <c r="L748" s="36" t="str">
        <f ca="1">IFERROR(__xludf.DUMMYFUNCTION("""COMPUTED_VALUE"""),"")</f>
        <v/>
      </c>
      <c r="M748" s="36" t="str">
        <f ca="1">IFERROR(__xludf.DUMMYFUNCTION("""COMPUTED_VALUE"""),"")</f>
        <v/>
      </c>
      <c r="N748" s="36" t="str">
        <f ca="1">IFERROR(__xludf.DUMMYFUNCTION("""COMPUTED_VALUE"""),"")</f>
        <v/>
      </c>
      <c r="O748" s="36" t="str">
        <f ca="1">IFERROR(__xludf.DUMMYFUNCTION("""COMPUTED_VALUE"""),"")</f>
        <v/>
      </c>
      <c r="P748" s="36" t="str">
        <f ca="1">IFERROR(__xludf.DUMMYFUNCTION("""COMPUTED_VALUE"""),"")</f>
        <v/>
      </c>
      <c r="Q748" s="36" t="str">
        <f ca="1">IFERROR(__xludf.DUMMYFUNCTION("""COMPUTED_VALUE"""),"")</f>
        <v/>
      </c>
      <c r="R748" s="36" t="str">
        <f ca="1">IFERROR(__xludf.DUMMYFUNCTION("""COMPUTED_VALUE"""),"")</f>
        <v/>
      </c>
      <c r="S748" s="36" t="str">
        <f ca="1">IFERROR(__xludf.DUMMYFUNCTION("""COMPUTED_VALUE"""),"")</f>
        <v/>
      </c>
      <c r="T748" s="36" t="str">
        <f ca="1">IFERROR(__xludf.DUMMYFUNCTION("""COMPUTED_VALUE"""),"")</f>
        <v/>
      </c>
      <c r="U748" s="36" t="str">
        <f ca="1">IFERROR(__xludf.DUMMYFUNCTION("""COMPUTED_VALUE"""),"")</f>
        <v/>
      </c>
      <c r="V748" s="36" t="str">
        <f ca="1">IFERROR(__xludf.DUMMYFUNCTION("""COMPUTED_VALUE"""),"")</f>
        <v/>
      </c>
      <c r="W748" s="36" t="str">
        <f ca="1">IFERROR(__xludf.DUMMYFUNCTION("""COMPUTED_VALUE"""),"")</f>
        <v/>
      </c>
      <c r="X748" s="36"/>
      <c r="Y748" s="36"/>
      <c r="Z748" s="36"/>
    </row>
    <row r="749" spans="1:26" ht="12.75" hidden="1">
      <c r="A749" s="36" t="str">
        <f ca="1">IFERROR(__xludf.DUMMYFUNCTION("""COMPUTED_VALUE"""),"")</f>
        <v/>
      </c>
      <c r="B749" s="36" t="str">
        <f ca="1">IFERROR(__xludf.DUMMYFUNCTION("""COMPUTED_VALUE"""),"")</f>
        <v/>
      </c>
      <c r="C749" s="36" t="str">
        <f ca="1">IFERROR(__xludf.DUMMYFUNCTION("""COMPUTED_VALUE"""),"")</f>
        <v/>
      </c>
      <c r="D749" s="36" t="str">
        <f ca="1">IFERROR(__xludf.DUMMYFUNCTION("""COMPUTED_VALUE"""),"")</f>
        <v/>
      </c>
      <c r="E749" s="36" t="str">
        <f ca="1">IFERROR(__xludf.DUMMYFUNCTION("""COMPUTED_VALUE"""),"")</f>
        <v/>
      </c>
      <c r="F749" s="36" t="str">
        <f ca="1">IFERROR(__xludf.DUMMYFUNCTION("""COMPUTED_VALUE"""),"")</f>
        <v/>
      </c>
      <c r="G749" s="36" t="str">
        <f ca="1">IFERROR(__xludf.DUMMYFUNCTION("""COMPUTED_VALUE"""),"")</f>
        <v/>
      </c>
      <c r="H749" s="36" t="str">
        <f ca="1">IFERROR(__xludf.DUMMYFUNCTION("""COMPUTED_VALUE"""),"")</f>
        <v/>
      </c>
      <c r="I749" s="36" t="str">
        <f ca="1">IFERROR(__xludf.DUMMYFUNCTION("""COMPUTED_VALUE"""),"")</f>
        <v/>
      </c>
      <c r="J749" s="36" t="str">
        <f ca="1">IFERROR(__xludf.DUMMYFUNCTION("""COMPUTED_VALUE"""),"")</f>
        <v/>
      </c>
      <c r="K749" s="36" t="str">
        <f ca="1">IFERROR(__xludf.DUMMYFUNCTION("""COMPUTED_VALUE"""),"")</f>
        <v/>
      </c>
      <c r="L749" s="36" t="str">
        <f ca="1">IFERROR(__xludf.DUMMYFUNCTION("""COMPUTED_VALUE"""),"")</f>
        <v/>
      </c>
      <c r="M749" s="36" t="str">
        <f ca="1">IFERROR(__xludf.DUMMYFUNCTION("""COMPUTED_VALUE"""),"")</f>
        <v/>
      </c>
      <c r="N749" s="36" t="str">
        <f ca="1">IFERROR(__xludf.DUMMYFUNCTION("""COMPUTED_VALUE"""),"")</f>
        <v/>
      </c>
      <c r="O749" s="36" t="str">
        <f ca="1">IFERROR(__xludf.DUMMYFUNCTION("""COMPUTED_VALUE"""),"")</f>
        <v/>
      </c>
      <c r="P749" s="36" t="str">
        <f ca="1">IFERROR(__xludf.DUMMYFUNCTION("""COMPUTED_VALUE"""),"")</f>
        <v/>
      </c>
      <c r="Q749" s="36" t="str">
        <f ca="1">IFERROR(__xludf.DUMMYFUNCTION("""COMPUTED_VALUE"""),"")</f>
        <v/>
      </c>
      <c r="R749" s="36" t="str">
        <f ca="1">IFERROR(__xludf.DUMMYFUNCTION("""COMPUTED_VALUE"""),"")</f>
        <v/>
      </c>
      <c r="S749" s="36" t="str">
        <f ca="1">IFERROR(__xludf.DUMMYFUNCTION("""COMPUTED_VALUE"""),"")</f>
        <v/>
      </c>
      <c r="T749" s="36" t="str">
        <f ca="1">IFERROR(__xludf.DUMMYFUNCTION("""COMPUTED_VALUE"""),"")</f>
        <v/>
      </c>
      <c r="U749" s="36" t="str">
        <f ca="1">IFERROR(__xludf.DUMMYFUNCTION("""COMPUTED_VALUE"""),"")</f>
        <v/>
      </c>
      <c r="V749" s="36" t="str">
        <f ca="1">IFERROR(__xludf.DUMMYFUNCTION("""COMPUTED_VALUE"""),"")</f>
        <v/>
      </c>
      <c r="W749" s="36" t="str">
        <f ca="1">IFERROR(__xludf.DUMMYFUNCTION("""COMPUTED_VALUE"""),"")</f>
        <v/>
      </c>
      <c r="X749" s="36"/>
      <c r="Y749" s="36"/>
      <c r="Z749" s="36"/>
    </row>
    <row r="750" spans="1:26" ht="12.75" hidden="1">
      <c r="A750" s="36" t="str">
        <f ca="1">IFERROR(__xludf.DUMMYFUNCTION("""COMPUTED_VALUE"""),"")</f>
        <v/>
      </c>
      <c r="B750" s="36" t="str">
        <f ca="1">IFERROR(__xludf.DUMMYFUNCTION("""COMPUTED_VALUE"""),"")</f>
        <v/>
      </c>
      <c r="C750" s="36" t="str">
        <f ca="1">IFERROR(__xludf.DUMMYFUNCTION("""COMPUTED_VALUE"""),"")</f>
        <v/>
      </c>
      <c r="D750" s="36" t="str">
        <f ca="1">IFERROR(__xludf.DUMMYFUNCTION("""COMPUTED_VALUE"""),"")</f>
        <v/>
      </c>
      <c r="E750" s="36" t="str">
        <f ca="1">IFERROR(__xludf.DUMMYFUNCTION("""COMPUTED_VALUE"""),"")</f>
        <v/>
      </c>
      <c r="F750" s="36" t="str">
        <f ca="1">IFERROR(__xludf.DUMMYFUNCTION("""COMPUTED_VALUE"""),"")</f>
        <v/>
      </c>
      <c r="G750" s="36" t="str">
        <f ca="1">IFERROR(__xludf.DUMMYFUNCTION("""COMPUTED_VALUE"""),"")</f>
        <v/>
      </c>
      <c r="H750" s="36" t="str">
        <f ca="1">IFERROR(__xludf.DUMMYFUNCTION("""COMPUTED_VALUE"""),"")</f>
        <v/>
      </c>
      <c r="I750" s="36" t="str">
        <f ca="1">IFERROR(__xludf.DUMMYFUNCTION("""COMPUTED_VALUE"""),"")</f>
        <v/>
      </c>
      <c r="J750" s="36" t="str">
        <f ca="1">IFERROR(__xludf.DUMMYFUNCTION("""COMPUTED_VALUE"""),"")</f>
        <v/>
      </c>
      <c r="K750" s="36" t="str">
        <f ca="1">IFERROR(__xludf.DUMMYFUNCTION("""COMPUTED_VALUE"""),"")</f>
        <v/>
      </c>
      <c r="L750" s="36" t="str">
        <f ca="1">IFERROR(__xludf.DUMMYFUNCTION("""COMPUTED_VALUE"""),"")</f>
        <v/>
      </c>
      <c r="M750" s="36" t="str">
        <f ca="1">IFERROR(__xludf.DUMMYFUNCTION("""COMPUTED_VALUE"""),"")</f>
        <v/>
      </c>
      <c r="N750" s="36" t="str">
        <f ca="1">IFERROR(__xludf.DUMMYFUNCTION("""COMPUTED_VALUE"""),"")</f>
        <v/>
      </c>
      <c r="O750" s="36" t="str">
        <f ca="1">IFERROR(__xludf.DUMMYFUNCTION("""COMPUTED_VALUE"""),"")</f>
        <v/>
      </c>
      <c r="P750" s="36" t="str">
        <f ca="1">IFERROR(__xludf.DUMMYFUNCTION("""COMPUTED_VALUE"""),"")</f>
        <v/>
      </c>
      <c r="Q750" s="36" t="str">
        <f ca="1">IFERROR(__xludf.DUMMYFUNCTION("""COMPUTED_VALUE"""),"")</f>
        <v/>
      </c>
      <c r="R750" s="36" t="str">
        <f ca="1">IFERROR(__xludf.DUMMYFUNCTION("""COMPUTED_VALUE"""),"")</f>
        <v/>
      </c>
      <c r="S750" s="36" t="str">
        <f ca="1">IFERROR(__xludf.DUMMYFUNCTION("""COMPUTED_VALUE"""),"")</f>
        <v/>
      </c>
      <c r="T750" s="36" t="str">
        <f ca="1">IFERROR(__xludf.DUMMYFUNCTION("""COMPUTED_VALUE"""),"")</f>
        <v/>
      </c>
      <c r="U750" s="36" t="str">
        <f ca="1">IFERROR(__xludf.DUMMYFUNCTION("""COMPUTED_VALUE"""),"")</f>
        <v/>
      </c>
      <c r="V750" s="36" t="str">
        <f ca="1">IFERROR(__xludf.DUMMYFUNCTION("""COMPUTED_VALUE"""),"")</f>
        <v/>
      </c>
      <c r="W750" s="36" t="str">
        <f ca="1">IFERROR(__xludf.DUMMYFUNCTION("""COMPUTED_VALUE"""),"")</f>
        <v/>
      </c>
      <c r="X750" s="36"/>
      <c r="Y750" s="36"/>
      <c r="Z750" s="36"/>
    </row>
    <row r="751" spans="1:26" ht="12.75" hidden="1">
      <c r="A751" s="36" t="str">
        <f ca="1">IFERROR(__xludf.DUMMYFUNCTION("""COMPUTED_VALUE"""),"")</f>
        <v/>
      </c>
      <c r="B751" s="36" t="str">
        <f ca="1">IFERROR(__xludf.DUMMYFUNCTION("""COMPUTED_VALUE"""),"")</f>
        <v/>
      </c>
      <c r="C751" s="36" t="str">
        <f ca="1">IFERROR(__xludf.DUMMYFUNCTION("""COMPUTED_VALUE"""),"")</f>
        <v/>
      </c>
      <c r="D751" s="36" t="str">
        <f ca="1">IFERROR(__xludf.DUMMYFUNCTION("""COMPUTED_VALUE"""),"")</f>
        <v/>
      </c>
      <c r="E751" s="36" t="str">
        <f ca="1">IFERROR(__xludf.DUMMYFUNCTION("""COMPUTED_VALUE"""),"")</f>
        <v/>
      </c>
      <c r="F751" s="36" t="str">
        <f ca="1">IFERROR(__xludf.DUMMYFUNCTION("""COMPUTED_VALUE"""),"")</f>
        <v/>
      </c>
      <c r="G751" s="36" t="str">
        <f ca="1">IFERROR(__xludf.DUMMYFUNCTION("""COMPUTED_VALUE"""),"")</f>
        <v/>
      </c>
      <c r="H751" s="36" t="str">
        <f ca="1">IFERROR(__xludf.DUMMYFUNCTION("""COMPUTED_VALUE"""),"")</f>
        <v/>
      </c>
      <c r="I751" s="36" t="str">
        <f ca="1">IFERROR(__xludf.DUMMYFUNCTION("""COMPUTED_VALUE"""),"")</f>
        <v/>
      </c>
      <c r="J751" s="36" t="str">
        <f ca="1">IFERROR(__xludf.DUMMYFUNCTION("""COMPUTED_VALUE"""),"")</f>
        <v/>
      </c>
      <c r="K751" s="36" t="str">
        <f ca="1">IFERROR(__xludf.DUMMYFUNCTION("""COMPUTED_VALUE"""),"")</f>
        <v/>
      </c>
      <c r="L751" s="36" t="str">
        <f ca="1">IFERROR(__xludf.DUMMYFUNCTION("""COMPUTED_VALUE"""),"")</f>
        <v/>
      </c>
      <c r="M751" s="36" t="str">
        <f ca="1">IFERROR(__xludf.DUMMYFUNCTION("""COMPUTED_VALUE"""),"")</f>
        <v/>
      </c>
      <c r="N751" s="36" t="str">
        <f ca="1">IFERROR(__xludf.DUMMYFUNCTION("""COMPUTED_VALUE"""),"")</f>
        <v/>
      </c>
      <c r="O751" s="36" t="str">
        <f ca="1">IFERROR(__xludf.DUMMYFUNCTION("""COMPUTED_VALUE"""),"")</f>
        <v/>
      </c>
      <c r="P751" s="36" t="str">
        <f ca="1">IFERROR(__xludf.DUMMYFUNCTION("""COMPUTED_VALUE"""),"")</f>
        <v/>
      </c>
      <c r="Q751" s="36" t="str">
        <f ca="1">IFERROR(__xludf.DUMMYFUNCTION("""COMPUTED_VALUE"""),"")</f>
        <v/>
      </c>
      <c r="R751" s="36" t="str">
        <f ca="1">IFERROR(__xludf.DUMMYFUNCTION("""COMPUTED_VALUE"""),"")</f>
        <v/>
      </c>
      <c r="S751" s="36" t="str">
        <f ca="1">IFERROR(__xludf.DUMMYFUNCTION("""COMPUTED_VALUE"""),"")</f>
        <v/>
      </c>
      <c r="T751" s="36" t="str">
        <f ca="1">IFERROR(__xludf.DUMMYFUNCTION("""COMPUTED_VALUE"""),"")</f>
        <v/>
      </c>
      <c r="U751" s="36" t="str">
        <f ca="1">IFERROR(__xludf.DUMMYFUNCTION("""COMPUTED_VALUE"""),"")</f>
        <v/>
      </c>
      <c r="V751" s="36" t="str">
        <f ca="1">IFERROR(__xludf.DUMMYFUNCTION("""COMPUTED_VALUE"""),"")</f>
        <v/>
      </c>
      <c r="W751" s="36" t="str">
        <f ca="1">IFERROR(__xludf.DUMMYFUNCTION("""COMPUTED_VALUE"""),"")</f>
        <v/>
      </c>
      <c r="X751" s="36"/>
      <c r="Y751" s="36"/>
      <c r="Z751" s="36"/>
    </row>
    <row r="752" spans="1:26" ht="12.75" hidden="1">
      <c r="A752" s="36" t="str">
        <f ca="1">IFERROR(__xludf.DUMMYFUNCTION("""COMPUTED_VALUE"""),"")</f>
        <v/>
      </c>
      <c r="B752" s="36" t="str">
        <f ca="1">IFERROR(__xludf.DUMMYFUNCTION("""COMPUTED_VALUE"""),"")</f>
        <v/>
      </c>
      <c r="C752" s="36" t="str">
        <f ca="1">IFERROR(__xludf.DUMMYFUNCTION("""COMPUTED_VALUE"""),"")</f>
        <v/>
      </c>
      <c r="D752" s="36" t="str">
        <f ca="1">IFERROR(__xludf.DUMMYFUNCTION("""COMPUTED_VALUE"""),"")</f>
        <v/>
      </c>
      <c r="E752" s="36" t="str">
        <f ca="1">IFERROR(__xludf.DUMMYFUNCTION("""COMPUTED_VALUE"""),"")</f>
        <v/>
      </c>
      <c r="F752" s="36" t="str">
        <f ca="1">IFERROR(__xludf.DUMMYFUNCTION("""COMPUTED_VALUE"""),"")</f>
        <v/>
      </c>
      <c r="G752" s="36" t="str">
        <f ca="1">IFERROR(__xludf.DUMMYFUNCTION("""COMPUTED_VALUE"""),"")</f>
        <v/>
      </c>
      <c r="H752" s="36" t="str">
        <f ca="1">IFERROR(__xludf.DUMMYFUNCTION("""COMPUTED_VALUE"""),"")</f>
        <v/>
      </c>
      <c r="I752" s="36" t="str">
        <f ca="1">IFERROR(__xludf.DUMMYFUNCTION("""COMPUTED_VALUE"""),"")</f>
        <v/>
      </c>
      <c r="J752" s="36" t="str">
        <f ca="1">IFERROR(__xludf.DUMMYFUNCTION("""COMPUTED_VALUE"""),"")</f>
        <v/>
      </c>
      <c r="K752" s="36" t="str">
        <f ca="1">IFERROR(__xludf.DUMMYFUNCTION("""COMPUTED_VALUE"""),"")</f>
        <v/>
      </c>
      <c r="L752" s="36" t="str">
        <f ca="1">IFERROR(__xludf.DUMMYFUNCTION("""COMPUTED_VALUE"""),"")</f>
        <v/>
      </c>
      <c r="M752" s="36" t="str">
        <f ca="1">IFERROR(__xludf.DUMMYFUNCTION("""COMPUTED_VALUE"""),"")</f>
        <v/>
      </c>
      <c r="N752" s="36" t="str">
        <f ca="1">IFERROR(__xludf.DUMMYFUNCTION("""COMPUTED_VALUE"""),"")</f>
        <v/>
      </c>
      <c r="O752" s="36" t="str">
        <f ca="1">IFERROR(__xludf.DUMMYFUNCTION("""COMPUTED_VALUE"""),"")</f>
        <v/>
      </c>
      <c r="P752" s="36" t="str">
        <f ca="1">IFERROR(__xludf.DUMMYFUNCTION("""COMPUTED_VALUE"""),"")</f>
        <v/>
      </c>
      <c r="Q752" s="36" t="str">
        <f ca="1">IFERROR(__xludf.DUMMYFUNCTION("""COMPUTED_VALUE"""),"")</f>
        <v/>
      </c>
      <c r="R752" s="36" t="str">
        <f ca="1">IFERROR(__xludf.DUMMYFUNCTION("""COMPUTED_VALUE"""),"")</f>
        <v/>
      </c>
      <c r="S752" s="36" t="str">
        <f ca="1">IFERROR(__xludf.DUMMYFUNCTION("""COMPUTED_VALUE"""),"")</f>
        <v/>
      </c>
      <c r="T752" s="36" t="str">
        <f ca="1">IFERROR(__xludf.DUMMYFUNCTION("""COMPUTED_VALUE"""),"")</f>
        <v/>
      </c>
      <c r="U752" s="36" t="str">
        <f ca="1">IFERROR(__xludf.DUMMYFUNCTION("""COMPUTED_VALUE"""),"")</f>
        <v/>
      </c>
      <c r="V752" s="36" t="str">
        <f ca="1">IFERROR(__xludf.DUMMYFUNCTION("""COMPUTED_VALUE"""),"")</f>
        <v/>
      </c>
      <c r="W752" s="36" t="str">
        <f ca="1">IFERROR(__xludf.DUMMYFUNCTION("""COMPUTED_VALUE"""),"")</f>
        <v/>
      </c>
      <c r="X752" s="36"/>
      <c r="Y752" s="36"/>
      <c r="Z752" s="36"/>
    </row>
    <row r="753" spans="1:26" ht="12.75" hidden="1">
      <c r="A753" s="36" t="str">
        <f ca="1">IFERROR(__xludf.DUMMYFUNCTION("""COMPUTED_VALUE"""),"")</f>
        <v/>
      </c>
      <c r="B753" s="36" t="str">
        <f ca="1">IFERROR(__xludf.DUMMYFUNCTION("""COMPUTED_VALUE"""),"")</f>
        <v/>
      </c>
      <c r="C753" s="36" t="str">
        <f ca="1">IFERROR(__xludf.DUMMYFUNCTION("""COMPUTED_VALUE"""),"")</f>
        <v/>
      </c>
      <c r="D753" s="36" t="str">
        <f ca="1">IFERROR(__xludf.DUMMYFUNCTION("""COMPUTED_VALUE"""),"")</f>
        <v/>
      </c>
      <c r="E753" s="36" t="str">
        <f ca="1">IFERROR(__xludf.DUMMYFUNCTION("""COMPUTED_VALUE"""),"")</f>
        <v/>
      </c>
      <c r="F753" s="36" t="str">
        <f ca="1">IFERROR(__xludf.DUMMYFUNCTION("""COMPUTED_VALUE"""),"")</f>
        <v/>
      </c>
      <c r="G753" s="36" t="str">
        <f ca="1">IFERROR(__xludf.DUMMYFUNCTION("""COMPUTED_VALUE"""),"")</f>
        <v/>
      </c>
      <c r="H753" s="36" t="str">
        <f ca="1">IFERROR(__xludf.DUMMYFUNCTION("""COMPUTED_VALUE"""),"")</f>
        <v/>
      </c>
      <c r="I753" s="36" t="str">
        <f ca="1">IFERROR(__xludf.DUMMYFUNCTION("""COMPUTED_VALUE"""),"")</f>
        <v/>
      </c>
      <c r="J753" s="36" t="str">
        <f ca="1">IFERROR(__xludf.DUMMYFUNCTION("""COMPUTED_VALUE"""),"")</f>
        <v/>
      </c>
      <c r="K753" s="36" t="str">
        <f ca="1">IFERROR(__xludf.DUMMYFUNCTION("""COMPUTED_VALUE"""),"")</f>
        <v/>
      </c>
      <c r="L753" s="36" t="str">
        <f ca="1">IFERROR(__xludf.DUMMYFUNCTION("""COMPUTED_VALUE"""),"")</f>
        <v/>
      </c>
      <c r="M753" s="36" t="str">
        <f ca="1">IFERROR(__xludf.DUMMYFUNCTION("""COMPUTED_VALUE"""),"")</f>
        <v/>
      </c>
      <c r="N753" s="36" t="str">
        <f ca="1">IFERROR(__xludf.DUMMYFUNCTION("""COMPUTED_VALUE"""),"")</f>
        <v/>
      </c>
      <c r="O753" s="36" t="str">
        <f ca="1">IFERROR(__xludf.DUMMYFUNCTION("""COMPUTED_VALUE"""),"")</f>
        <v/>
      </c>
      <c r="P753" s="36" t="str">
        <f ca="1">IFERROR(__xludf.DUMMYFUNCTION("""COMPUTED_VALUE"""),"")</f>
        <v/>
      </c>
      <c r="Q753" s="36" t="str">
        <f ca="1">IFERROR(__xludf.DUMMYFUNCTION("""COMPUTED_VALUE"""),"")</f>
        <v/>
      </c>
      <c r="R753" s="36" t="str">
        <f ca="1">IFERROR(__xludf.DUMMYFUNCTION("""COMPUTED_VALUE"""),"")</f>
        <v/>
      </c>
      <c r="S753" s="36" t="str">
        <f ca="1">IFERROR(__xludf.DUMMYFUNCTION("""COMPUTED_VALUE"""),"")</f>
        <v/>
      </c>
      <c r="T753" s="36" t="str">
        <f ca="1">IFERROR(__xludf.DUMMYFUNCTION("""COMPUTED_VALUE"""),"")</f>
        <v/>
      </c>
      <c r="U753" s="36" t="str">
        <f ca="1">IFERROR(__xludf.DUMMYFUNCTION("""COMPUTED_VALUE"""),"")</f>
        <v/>
      </c>
      <c r="V753" s="36" t="str">
        <f ca="1">IFERROR(__xludf.DUMMYFUNCTION("""COMPUTED_VALUE"""),"")</f>
        <v/>
      </c>
      <c r="W753" s="36" t="str">
        <f ca="1">IFERROR(__xludf.DUMMYFUNCTION("""COMPUTED_VALUE"""),"")</f>
        <v/>
      </c>
      <c r="X753" s="36"/>
      <c r="Y753" s="36"/>
      <c r="Z753" s="36"/>
    </row>
    <row r="754" spans="1:26" ht="12.75" hidden="1">
      <c r="A754" s="36" t="str">
        <f ca="1">IFERROR(__xludf.DUMMYFUNCTION("""COMPUTED_VALUE"""),"")</f>
        <v/>
      </c>
      <c r="B754" s="36" t="str">
        <f ca="1">IFERROR(__xludf.DUMMYFUNCTION("""COMPUTED_VALUE"""),"")</f>
        <v/>
      </c>
      <c r="C754" s="36" t="str">
        <f ca="1">IFERROR(__xludf.DUMMYFUNCTION("""COMPUTED_VALUE"""),"")</f>
        <v/>
      </c>
      <c r="D754" s="36" t="str">
        <f ca="1">IFERROR(__xludf.DUMMYFUNCTION("""COMPUTED_VALUE"""),"")</f>
        <v/>
      </c>
      <c r="E754" s="36" t="str">
        <f ca="1">IFERROR(__xludf.DUMMYFUNCTION("""COMPUTED_VALUE"""),"")</f>
        <v/>
      </c>
      <c r="F754" s="36" t="str">
        <f ca="1">IFERROR(__xludf.DUMMYFUNCTION("""COMPUTED_VALUE"""),"")</f>
        <v/>
      </c>
      <c r="G754" s="36" t="str">
        <f ca="1">IFERROR(__xludf.DUMMYFUNCTION("""COMPUTED_VALUE"""),"")</f>
        <v/>
      </c>
      <c r="H754" s="36" t="str">
        <f ca="1">IFERROR(__xludf.DUMMYFUNCTION("""COMPUTED_VALUE"""),"")</f>
        <v/>
      </c>
      <c r="I754" s="36" t="str">
        <f ca="1">IFERROR(__xludf.DUMMYFUNCTION("""COMPUTED_VALUE"""),"")</f>
        <v/>
      </c>
      <c r="J754" s="36" t="str">
        <f ca="1">IFERROR(__xludf.DUMMYFUNCTION("""COMPUTED_VALUE"""),"")</f>
        <v/>
      </c>
      <c r="K754" s="36" t="str">
        <f ca="1">IFERROR(__xludf.DUMMYFUNCTION("""COMPUTED_VALUE"""),"")</f>
        <v/>
      </c>
      <c r="L754" s="36" t="str">
        <f ca="1">IFERROR(__xludf.DUMMYFUNCTION("""COMPUTED_VALUE"""),"")</f>
        <v/>
      </c>
      <c r="M754" s="36" t="str">
        <f ca="1">IFERROR(__xludf.DUMMYFUNCTION("""COMPUTED_VALUE"""),"")</f>
        <v/>
      </c>
      <c r="N754" s="36" t="str">
        <f ca="1">IFERROR(__xludf.DUMMYFUNCTION("""COMPUTED_VALUE"""),"")</f>
        <v/>
      </c>
      <c r="O754" s="36" t="str">
        <f ca="1">IFERROR(__xludf.DUMMYFUNCTION("""COMPUTED_VALUE"""),"")</f>
        <v/>
      </c>
      <c r="P754" s="36" t="str">
        <f ca="1">IFERROR(__xludf.DUMMYFUNCTION("""COMPUTED_VALUE"""),"")</f>
        <v/>
      </c>
      <c r="Q754" s="36" t="str">
        <f ca="1">IFERROR(__xludf.DUMMYFUNCTION("""COMPUTED_VALUE"""),"")</f>
        <v/>
      </c>
      <c r="R754" s="36" t="str">
        <f ca="1">IFERROR(__xludf.DUMMYFUNCTION("""COMPUTED_VALUE"""),"")</f>
        <v/>
      </c>
      <c r="S754" s="36" t="str">
        <f ca="1">IFERROR(__xludf.DUMMYFUNCTION("""COMPUTED_VALUE"""),"")</f>
        <v/>
      </c>
      <c r="T754" s="36" t="str">
        <f ca="1">IFERROR(__xludf.DUMMYFUNCTION("""COMPUTED_VALUE"""),"")</f>
        <v/>
      </c>
      <c r="U754" s="36" t="str">
        <f ca="1">IFERROR(__xludf.DUMMYFUNCTION("""COMPUTED_VALUE"""),"")</f>
        <v/>
      </c>
      <c r="V754" s="36" t="str">
        <f ca="1">IFERROR(__xludf.DUMMYFUNCTION("""COMPUTED_VALUE"""),"")</f>
        <v/>
      </c>
      <c r="W754" s="36" t="str">
        <f ca="1">IFERROR(__xludf.DUMMYFUNCTION("""COMPUTED_VALUE"""),"")</f>
        <v/>
      </c>
      <c r="X754" s="36"/>
      <c r="Y754" s="36"/>
      <c r="Z754" s="36"/>
    </row>
    <row r="755" spans="1:26" ht="12.75" hidden="1">
      <c r="A755" s="36" t="str">
        <f ca="1">IFERROR(__xludf.DUMMYFUNCTION("""COMPUTED_VALUE"""),"")</f>
        <v/>
      </c>
      <c r="B755" s="36" t="str">
        <f ca="1">IFERROR(__xludf.DUMMYFUNCTION("""COMPUTED_VALUE"""),"")</f>
        <v/>
      </c>
      <c r="C755" s="36" t="str">
        <f ca="1">IFERROR(__xludf.DUMMYFUNCTION("""COMPUTED_VALUE"""),"")</f>
        <v/>
      </c>
      <c r="D755" s="36" t="str">
        <f ca="1">IFERROR(__xludf.DUMMYFUNCTION("""COMPUTED_VALUE"""),"")</f>
        <v/>
      </c>
      <c r="E755" s="36" t="str">
        <f ca="1">IFERROR(__xludf.DUMMYFUNCTION("""COMPUTED_VALUE"""),"")</f>
        <v/>
      </c>
      <c r="F755" s="36" t="str">
        <f ca="1">IFERROR(__xludf.DUMMYFUNCTION("""COMPUTED_VALUE"""),"")</f>
        <v/>
      </c>
      <c r="G755" s="36" t="str">
        <f ca="1">IFERROR(__xludf.DUMMYFUNCTION("""COMPUTED_VALUE"""),"")</f>
        <v/>
      </c>
      <c r="H755" s="36" t="str">
        <f ca="1">IFERROR(__xludf.DUMMYFUNCTION("""COMPUTED_VALUE"""),"")</f>
        <v/>
      </c>
      <c r="I755" s="36" t="str">
        <f ca="1">IFERROR(__xludf.DUMMYFUNCTION("""COMPUTED_VALUE"""),"")</f>
        <v/>
      </c>
      <c r="J755" s="36" t="str">
        <f ca="1">IFERROR(__xludf.DUMMYFUNCTION("""COMPUTED_VALUE"""),"")</f>
        <v/>
      </c>
      <c r="K755" s="36" t="str">
        <f ca="1">IFERROR(__xludf.DUMMYFUNCTION("""COMPUTED_VALUE"""),"")</f>
        <v/>
      </c>
      <c r="L755" s="36" t="str">
        <f ca="1">IFERROR(__xludf.DUMMYFUNCTION("""COMPUTED_VALUE"""),"")</f>
        <v/>
      </c>
      <c r="M755" s="36" t="str">
        <f ca="1">IFERROR(__xludf.DUMMYFUNCTION("""COMPUTED_VALUE"""),"")</f>
        <v/>
      </c>
      <c r="N755" s="36" t="str">
        <f ca="1">IFERROR(__xludf.DUMMYFUNCTION("""COMPUTED_VALUE"""),"")</f>
        <v/>
      </c>
      <c r="O755" s="36" t="str">
        <f ca="1">IFERROR(__xludf.DUMMYFUNCTION("""COMPUTED_VALUE"""),"")</f>
        <v/>
      </c>
      <c r="P755" s="36" t="str">
        <f ca="1">IFERROR(__xludf.DUMMYFUNCTION("""COMPUTED_VALUE"""),"")</f>
        <v/>
      </c>
      <c r="Q755" s="36" t="str">
        <f ca="1">IFERROR(__xludf.DUMMYFUNCTION("""COMPUTED_VALUE"""),"")</f>
        <v/>
      </c>
      <c r="R755" s="36" t="str">
        <f ca="1">IFERROR(__xludf.DUMMYFUNCTION("""COMPUTED_VALUE"""),"")</f>
        <v/>
      </c>
      <c r="S755" s="36" t="str">
        <f ca="1">IFERROR(__xludf.DUMMYFUNCTION("""COMPUTED_VALUE"""),"")</f>
        <v/>
      </c>
      <c r="T755" s="36" t="str">
        <f ca="1">IFERROR(__xludf.DUMMYFUNCTION("""COMPUTED_VALUE"""),"")</f>
        <v/>
      </c>
      <c r="U755" s="36" t="str">
        <f ca="1">IFERROR(__xludf.DUMMYFUNCTION("""COMPUTED_VALUE"""),"")</f>
        <v/>
      </c>
      <c r="V755" s="36" t="str">
        <f ca="1">IFERROR(__xludf.DUMMYFUNCTION("""COMPUTED_VALUE"""),"")</f>
        <v/>
      </c>
      <c r="W755" s="36" t="str">
        <f ca="1">IFERROR(__xludf.DUMMYFUNCTION("""COMPUTED_VALUE"""),"")</f>
        <v/>
      </c>
      <c r="X755" s="36"/>
      <c r="Y755" s="36"/>
      <c r="Z755" s="36"/>
    </row>
    <row r="756" spans="1:26" ht="12.75" hidden="1">
      <c r="A756" s="36" t="str">
        <f ca="1">IFERROR(__xludf.DUMMYFUNCTION("""COMPUTED_VALUE"""),"")</f>
        <v/>
      </c>
      <c r="B756" s="36" t="str">
        <f ca="1">IFERROR(__xludf.DUMMYFUNCTION("""COMPUTED_VALUE"""),"")</f>
        <v/>
      </c>
      <c r="C756" s="36" t="str">
        <f ca="1">IFERROR(__xludf.DUMMYFUNCTION("""COMPUTED_VALUE"""),"")</f>
        <v/>
      </c>
      <c r="D756" s="36" t="str">
        <f ca="1">IFERROR(__xludf.DUMMYFUNCTION("""COMPUTED_VALUE"""),"")</f>
        <v/>
      </c>
      <c r="E756" s="36" t="str">
        <f ca="1">IFERROR(__xludf.DUMMYFUNCTION("""COMPUTED_VALUE"""),"")</f>
        <v/>
      </c>
      <c r="F756" s="36" t="str">
        <f ca="1">IFERROR(__xludf.DUMMYFUNCTION("""COMPUTED_VALUE"""),"")</f>
        <v/>
      </c>
      <c r="G756" s="36" t="str">
        <f ca="1">IFERROR(__xludf.DUMMYFUNCTION("""COMPUTED_VALUE"""),"")</f>
        <v/>
      </c>
      <c r="H756" s="36" t="str">
        <f ca="1">IFERROR(__xludf.DUMMYFUNCTION("""COMPUTED_VALUE"""),"")</f>
        <v/>
      </c>
      <c r="I756" s="36" t="str">
        <f ca="1">IFERROR(__xludf.DUMMYFUNCTION("""COMPUTED_VALUE"""),"")</f>
        <v/>
      </c>
      <c r="J756" s="36" t="str">
        <f ca="1">IFERROR(__xludf.DUMMYFUNCTION("""COMPUTED_VALUE"""),"")</f>
        <v/>
      </c>
      <c r="K756" s="36" t="str">
        <f ca="1">IFERROR(__xludf.DUMMYFUNCTION("""COMPUTED_VALUE"""),"")</f>
        <v/>
      </c>
      <c r="L756" s="36" t="str">
        <f ca="1">IFERROR(__xludf.DUMMYFUNCTION("""COMPUTED_VALUE"""),"")</f>
        <v/>
      </c>
      <c r="M756" s="36" t="str">
        <f ca="1">IFERROR(__xludf.DUMMYFUNCTION("""COMPUTED_VALUE"""),"")</f>
        <v/>
      </c>
      <c r="N756" s="36" t="str">
        <f ca="1">IFERROR(__xludf.DUMMYFUNCTION("""COMPUTED_VALUE"""),"")</f>
        <v/>
      </c>
      <c r="O756" s="36" t="str">
        <f ca="1">IFERROR(__xludf.DUMMYFUNCTION("""COMPUTED_VALUE"""),"")</f>
        <v/>
      </c>
      <c r="P756" s="36" t="str">
        <f ca="1">IFERROR(__xludf.DUMMYFUNCTION("""COMPUTED_VALUE"""),"")</f>
        <v/>
      </c>
      <c r="Q756" s="36" t="str">
        <f ca="1">IFERROR(__xludf.DUMMYFUNCTION("""COMPUTED_VALUE"""),"")</f>
        <v/>
      </c>
      <c r="R756" s="36" t="str">
        <f ca="1">IFERROR(__xludf.DUMMYFUNCTION("""COMPUTED_VALUE"""),"")</f>
        <v/>
      </c>
      <c r="S756" s="36" t="str">
        <f ca="1">IFERROR(__xludf.DUMMYFUNCTION("""COMPUTED_VALUE"""),"")</f>
        <v/>
      </c>
      <c r="T756" s="36" t="str">
        <f ca="1">IFERROR(__xludf.DUMMYFUNCTION("""COMPUTED_VALUE"""),"")</f>
        <v/>
      </c>
      <c r="U756" s="36" t="str">
        <f ca="1">IFERROR(__xludf.DUMMYFUNCTION("""COMPUTED_VALUE"""),"")</f>
        <v/>
      </c>
      <c r="V756" s="36" t="str">
        <f ca="1">IFERROR(__xludf.DUMMYFUNCTION("""COMPUTED_VALUE"""),"")</f>
        <v/>
      </c>
      <c r="W756" s="36" t="str">
        <f ca="1">IFERROR(__xludf.DUMMYFUNCTION("""COMPUTED_VALUE"""),"")</f>
        <v/>
      </c>
      <c r="X756" s="36"/>
      <c r="Y756" s="36"/>
      <c r="Z756" s="36"/>
    </row>
    <row r="757" spans="1:26" ht="12.75" hidden="1">
      <c r="A757" s="36" t="str">
        <f ca="1">IFERROR(__xludf.DUMMYFUNCTION("""COMPUTED_VALUE"""),"")</f>
        <v/>
      </c>
      <c r="B757" s="36" t="str">
        <f ca="1">IFERROR(__xludf.DUMMYFUNCTION("""COMPUTED_VALUE"""),"")</f>
        <v/>
      </c>
      <c r="C757" s="36" t="str">
        <f ca="1">IFERROR(__xludf.DUMMYFUNCTION("""COMPUTED_VALUE"""),"")</f>
        <v/>
      </c>
      <c r="D757" s="36" t="str">
        <f ca="1">IFERROR(__xludf.DUMMYFUNCTION("""COMPUTED_VALUE"""),"")</f>
        <v/>
      </c>
      <c r="E757" s="36" t="str">
        <f ca="1">IFERROR(__xludf.DUMMYFUNCTION("""COMPUTED_VALUE"""),"")</f>
        <v/>
      </c>
      <c r="F757" s="36" t="str">
        <f ca="1">IFERROR(__xludf.DUMMYFUNCTION("""COMPUTED_VALUE"""),"")</f>
        <v/>
      </c>
      <c r="G757" s="36" t="str">
        <f ca="1">IFERROR(__xludf.DUMMYFUNCTION("""COMPUTED_VALUE"""),"")</f>
        <v/>
      </c>
      <c r="H757" s="36" t="str">
        <f ca="1">IFERROR(__xludf.DUMMYFUNCTION("""COMPUTED_VALUE"""),"")</f>
        <v/>
      </c>
      <c r="I757" s="36" t="str">
        <f ca="1">IFERROR(__xludf.DUMMYFUNCTION("""COMPUTED_VALUE"""),"")</f>
        <v/>
      </c>
      <c r="J757" s="36" t="str">
        <f ca="1">IFERROR(__xludf.DUMMYFUNCTION("""COMPUTED_VALUE"""),"")</f>
        <v/>
      </c>
      <c r="K757" s="36" t="str">
        <f ca="1">IFERROR(__xludf.DUMMYFUNCTION("""COMPUTED_VALUE"""),"")</f>
        <v/>
      </c>
      <c r="L757" s="36" t="str">
        <f ca="1">IFERROR(__xludf.DUMMYFUNCTION("""COMPUTED_VALUE"""),"")</f>
        <v/>
      </c>
      <c r="M757" s="36" t="str">
        <f ca="1">IFERROR(__xludf.DUMMYFUNCTION("""COMPUTED_VALUE"""),"")</f>
        <v/>
      </c>
      <c r="N757" s="36" t="str">
        <f ca="1">IFERROR(__xludf.DUMMYFUNCTION("""COMPUTED_VALUE"""),"")</f>
        <v/>
      </c>
      <c r="O757" s="36" t="str">
        <f ca="1">IFERROR(__xludf.DUMMYFUNCTION("""COMPUTED_VALUE"""),"")</f>
        <v/>
      </c>
      <c r="P757" s="36" t="str">
        <f ca="1">IFERROR(__xludf.DUMMYFUNCTION("""COMPUTED_VALUE"""),"")</f>
        <v/>
      </c>
      <c r="Q757" s="36" t="str">
        <f ca="1">IFERROR(__xludf.DUMMYFUNCTION("""COMPUTED_VALUE"""),"")</f>
        <v/>
      </c>
      <c r="R757" s="36" t="str">
        <f ca="1">IFERROR(__xludf.DUMMYFUNCTION("""COMPUTED_VALUE"""),"")</f>
        <v/>
      </c>
      <c r="S757" s="36" t="str">
        <f ca="1">IFERROR(__xludf.DUMMYFUNCTION("""COMPUTED_VALUE"""),"")</f>
        <v/>
      </c>
      <c r="T757" s="36" t="str">
        <f ca="1">IFERROR(__xludf.DUMMYFUNCTION("""COMPUTED_VALUE"""),"")</f>
        <v/>
      </c>
      <c r="U757" s="36" t="str">
        <f ca="1">IFERROR(__xludf.DUMMYFUNCTION("""COMPUTED_VALUE"""),"")</f>
        <v/>
      </c>
      <c r="V757" s="36" t="str">
        <f ca="1">IFERROR(__xludf.DUMMYFUNCTION("""COMPUTED_VALUE"""),"")</f>
        <v/>
      </c>
      <c r="W757" s="36" t="str">
        <f ca="1">IFERROR(__xludf.DUMMYFUNCTION("""COMPUTED_VALUE"""),"")</f>
        <v/>
      </c>
      <c r="X757" s="36"/>
      <c r="Y757" s="36"/>
      <c r="Z757" s="36"/>
    </row>
    <row r="758" spans="1:26" ht="12.75" hidden="1">
      <c r="A758" s="36" t="str">
        <f ca="1">IFERROR(__xludf.DUMMYFUNCTION("""COMPUTED_VALUE"""),"")</f>
        <v/>
      </c>
      <c r="B758" s="36" t="str">
        <f ca="1">IFERROR(__xludf.DUMMYFUNCTION("""COMPUTED_VALUE"""),"")</f>
        <v/>
      </c>
      <c r="C758" s="36" t="str">
        <f ca="1">IFERROR(__xludf.DUMMYFUNCTION("""COMPUTED_VALUE"""),"")</f>
        <v/>
      </c>
      <c r="D758" s="36" t="str">
        <f ca="1">IFERROR(__xludf.DUMMYFUNCTION("""COMPUTED_VALUE"""),"")</f>
        <v/>
      </c>
      <c r="E758" s="36" t="str">
        <f ca="1">IFERROR(__xludf.DUMMYFUNCTION("""COMPUTED_VALUE"""),"")</f>
        <v/>
      </c>
      <c r="F758" s="36" t="str">
        <f ca="1">IFERROR(__xludf.DUMMYFUNCTION("""COMPUTED_VALUE"""),"")</f>
        <v/>
      </c>
      <c r="G758" s="36" t="str">
        <f ca="1">IFERROR(__xludf.DUMMYFUNCTION("""COMPUTED_VALUE"""),"")</f>
        <v/>
      </c>
      <c r="H758" s="36" t="str">
        <f ca="1">IFERROR(__xludf.DUMMYFUNCTION("""COMPUTED_VALUE"""),"")</f>
        <v/>
      </c>
      <c r="I758" s="36" t="str">
        <f ca="1">IFERROR(__xludf.DUMMYFUNCTION("""COMPUTED_VALUE"""),"")</f>
        <v/>
      </c>
      <c r="J758" s="36" t="str">
        <f ca="1">IFERROR(__xludf.DUMMYFUNCTION("""COMPUTED_VALUE"""),"")</f>
        <v/>
      </c>
      <c r="K758" s="36" t="str">
        <f ca="1">IFERROR(__xludf.DUMMYFUNCTION("""COMPUTED_VALUE"""),"")</f>
        <v/>
      </c>
      <c r="L758" s="36" t="str">
        <f ca="1">IFERROR(__xludf.DUMMYFUNCTION("""COMPUTED_VALUE"""),"")</f>
        <v/>
      </c>
      <c r="M758" s="36" t="str">
        <f ca="1">IFERROR(__xludf.DUMMYFUNCTION("""COMPUTED_VALUE"""),"")</f>
        <v/>
      </c>
      <c r="N758" s="36" t="str">
        <f ca="1">IFERROR(__xludf.DUMMYFUNCTION("""COMPUTED_VALUE"""),"")</f>
        <v/>
      </c>
      <c r="O758" s="36" t="str">
        <f ca="1">IFERROR(__xludf.DUMMYFUNCTION("""COMPUTED_VALUE"""),"")</f>
        <v/>
      </c>
      <c r="P758" s="36" t="str">
        <f ca="1">IFERROR(__xludf.DUMMYFUNCTION("""COMPUTED_VALUE"""),"")</f>
        <v/>
      </c>
      <c r="Q758" s="36" t="str">
        <f ca="1">IFERROR(__xludf.DUMMYFUNCTION("""COMPUTED_VALUE"""),"")</f>
        <v/>
      </c>
      <c r="R758" s="36" t="str">
        <f ca="1">IFERROR(__xludf.DUMMYFUNCTION("""COMPUTED_VALUE"""),"")</f>
        <v/>
      </c>
      <c r="S758" s="36" t="str">
        <f ca="1">IFERROR(__xludf.DUMMYFUNCTION("""COMPUTED_VALUE"""),"")</f>
        <v/>
      </c>
      <c r="T758" s="36" t="str">
        <f ca="1">IFERROR(__xludf.DUMMYFUNCTION("""COMPUTED_VALUE"""),"")</f>
        <v/>
      </c>
      <c r="U758" s="36" t="str">
        <f ca="1">IFERROR(__xludf.DUMMYFUNCTION("""COMPUTED_VALUE"""),"")</f>
        <v/>
      </c>
      <c r="V758" s="36" t="str">
        <f ca="1">IFERROR(__xludf.DUMMYFUNCTION("""COMPUTED_VALUE"""),"")</f>
        <v/>
      </c>
      <c r="W758" s="36" t="str">
        <f ca="1">IFERROR(__xludf.DUMMYFUNCTION("""COMPUTED_VALUE"""),"")</f>
        <v/>
      </c>
      <c r="X758" s="36"/>
      <c r="Y758" s="36"/>
      <c r="Z758" s="36"/>
    </row>
    <row r="759" spans="1:26" ht="12.75" hidden="1">
      <c r="A759" s="36" t="str">
        <f ca="1">IFERROR(__xludf.DUMMYFUNCTION("""COMPUTED_VALUE"""),"")</f>
        <v/>
      </c>
      <c r="B759" s="36" t="str">
        <f ca="1">IFERROR(__xludf.DUMMYFUNCTION("""COMPUTED_VALUE"""),"")</f>
        <v/>
      </c>
      <c r="C759" s="36" t="str">
        <f ca="1">IFERROR(__xludf.DUMMYFUNCTION("""COMPUTED_VALUE"""),"")</f>
        <v/>
      </c>
      <c r="D759" s="36" t="str">
        <f ca="1">IFERROR(__xludf.DUMMYFUNCTION("""COMPUTED_VALUE"""),"")</f>
        <v/>
      </c>
      <c r="E759" s="36" t="str">
        <f ca="1">IFERROR(__xludf.DUMMYFUNCTION("""COMPUTED_VALUE"""),"")</f>
        <v/>
      </c>
      <c r="F759" s="36" t="str">
        <f ca="1">IFERROR(__xludf.DUMMYFUNCTION("""COMPUTED_VALUE"""),"")</f>
        <v/>
      </c>
      <c r="G759" s="36" t="str">
        <f ca="1">IFERROR(__xludf.DUMMYFUNCTION("""COMPUTED_VALUE"""),"")</f>
        <v/>
      </c>
      <c r="H759" s="36" t="str">
        <f ca="1">IFERROR(__xludf.DUMMYFUNCTION("""COMPUTED_VALUE"""),"")</f>
        <v/>
      </c>
      <c r="I759" s="36" t="str">
        <f ca="1">IFERROR(__xludf.DUMMYFUNCTION("""COMPUTED_VALUE"""),"")</f>
        <v/>
      </c>
      <c r="J759" s="36" t="str">
        <f ca="1">IFERROR(__xludf.DUMMYFUNCTION("""COMPUTED_VALUE"""),"")</f>
        <v/>
      </c>
      <c r="K759" s="36" t="str">
        <f ca="1">IFERROR(__xludf.DUMMYFUNCTION("""COMPUTED_VALUE"""),"")</f>
        <v/>
      </c>
      <c r="L759" s="36" t="str">
        <f ca="1">IFERROR(__xludf.DUMMYFUNCTION("""COMPUTED_VALUE"""),"")</f>
        <v/>
      </c>
      <c r="M759" s="36" t="str">
        <f ca="1">IFERROR(__xludf.DUMMYFUNCTION("""COMPUTED_VALUE"""),"")</f>
        <v/>
      </c>
      <c r="N759" s="36" t="str">
        <f ca="1">IFERROR(__xludf.DUMMYFUNCTION("""COMPUTED_VALUE"""),"")</f>
        <v/>
      </c>
      <c r="O759" s="36" t="str">
        <f ca="1">IFERROR(__xludf.DUMMYFUNCTION("""COMPUTED_VALUE"""),"")</f>
        <v/>
      </c>
      <c r="P759" s="36" t="str">
        <f ca="1">IFERROR(__xludf.DUMMYFUNCTION("""COMPUTED_VALUE"""),"")</f>
        <v/>
      </c>
      <c r="Q759" s="36" t="str">
        <f ca="1">IFERROR(__xludf.DUMMYFUNCTION("""COMPUTED_VALUE"""),"")</f>
        <v/>
      </c>
      <c r="R759" s="36" t="str">
        <f ca="1">IFERROR(__xludf.DUMMYFUNCTION("""COMPUTED_VALUE"""),"")</f>
        <v/>
      </c>
      <c r="S759" s="36" t="str">
        <f ca="1">IFERROR(__xludf.DUMMYFUNCTION("""COMPUTED_VALUE"""),"")</f>
        <v/>
      </c>
      <c r="T759" s="36" t="str">
        <f ca="1">IFERROR(__xludf.DUMMYFUNCTION("""COMPUTED_VALUE"""),"")</f>
        <v/>
      </c>
      <c r="U759" s="36" t="str">
        <f ca="1">IFERROR(__xludf.DUMMYFUNCTION("""COMPUTED_VALUE"""),"")</f>
        <v/>
      </c>
      <c r="V759" s="36" t="str">
        <f ca="1">IFERROR(__xludf.DUMMYFUNCTION("""COMPUTED_VALUE"""),"")</f>
        <v/>
      </c>
      <c r="W759" s="36" t="str">
        <f ca="1">IFERROR(__xludf.DUMMYFUNCTION("""COMPUTED_VALUE"""),"")</f>
        <v/>
      </c>
      <c r="X759" s="36"/>
      <c r="Y759" s="36"/>
      <c r="Z759" s="36"/>
    </row>
    <row r="760" spans="1:26" ht="12.75" hidden="1">
      <c r="A760" s="36" t="str">
        <f ca="1">IFERROR(__xludf.DUMMYFUNCTION("""COMPUTED_VALUE"""),"")</f>
        <v/>
      </c>
      <c r="B760" s="36" t="str">
        <f ca="1">IFERROR(__xludf.DUMMYFUNCTION("""COMPUTED_VALUE"""),"")</f>
        <v/>
      </c>
      <c r="C760" s="36" t="str">
        <f ca="1">IFERROR(__xludf.DUMMYFUNCTION("""COMPUTED_VALUE"""),"")</f>
        <v/>
      </c>
      <c r="D760" s="36" t="str">
        <f ca="1">IFERROR(__xludf.DUMMYFUNCTION("""COMPUTED_VALUE"""),"")</f>
        <v/>
      </c>
      <c r="E760" s="36" t="str">
        <f ca="1">IFERROR(__xludf.DUMMYFUNCTION("""COMPUTED_VALUE"""),"")</f>
        <v/>
      </c>
      <c r="F760" s="36" t="str">
        <f ca="1">IFERROR(__xludf.DUMMYFUNCTION("""COMPUTED_VALUE"""),"")</f>
        <v/>
      </c>
      <c r="G760" s="36" t="str">
        <f ca="1">IFERROR(__xludf.DUMMYFUNCTION("""COMPUTED_VALUE"""),"")</f>
        <v/>
      </c>
      <c r="H760" s="36" t="str">
        <f ca="1">IFERROR(__xludf.DUMMYFUNCTION("""COMPUTED_VALUE"""),"")</f>
        <v/>
      </c>
      <c r="I760" s="36" t="str">
        <f ca="1">IFERROR(__xludf.DUMMYFUNCTION("""COMPUTED_VALUE"""),"")</f>
        <v/>
      </c>
      <c r="J760" s="36" t="str">
        <f ca="1">IFERROR(__xludf.DUMMYFUNCTION("""COMPUTED_VALUE"""),"")</f>
        <v/>
      </c>
      <c r="K760" s="36" t="str">
        <f ca="1">IFERROR(__xludf.DUMMYFUNCTION("""COMPUTED_VALUE"""),"")</f>
        <v/>
      </c>
      <c r="L760" s="36" t="str">
        <f ca="1">IFERROR(__xludf.DUMMYFUNCTION("""COMPUTED_VALUE"""),"")</f>
        <v/>
      </c>
      <c r="M760" s="36" t="str">
        <f ca="1">IFERROR(__xludf.DUMMYFUNCTION("""COMPUTED_VALUE"""),"")</f>
        <v/>
      </c>
      <c r="N760" s="36" t="str">
        <f ca="1">IFERROR(__xludf.DUMMYFUNCTION("""COMPUTED_VALUE"""),"")</f>
        <v/>
      </c>
      <c r="O760" s="36" t="str">
        <f ca="1">IFERROR(__xludf.DUMMYFUNCTION("""COMPUTED_VALUE"""),"")</f>
        <v/>
      </c>
      <c r="P760" s="36" t="str">
        <f ca="1">IFERROR(__xludf.DUMMYFUNCTION("""COMPUTED_VALUE"""),"")</f>
        <v/>
      </c>
      <c r="Q760" s="36" t="str">
        <f ca="1">IFERROR(__xludf.DUMMYFUNCTION("""COMPUTED_VALUE"""),"")</f>
        <v/>
      </c>
      <c r="R760" s="36" t="str">
        <f ca="1">IFERROR(__xludf.DUMMYFUNCTION("""COMPUTED_VALUE"""),"")</f>
        <v/>
      </c>
      <c r="S760" s="36" t="str">
        <f ca="1">IFERROR(__xludf.DUMMYFUNCTION("""COMPUTED_VALUE"""),"")</f>
        <v/>
      </c>
      <c r="T760" s="36" t="str">
        <f ca="1">IFERROR(__xludf.DUMMYFUNCTION("""COMPUTED_VALUE"""),"")</f>
        <v/>
      </c>
      <c r="U760" s="36" t="str">
        <f ca="1">IFERROR(__xludf.DUMMYFUNCTION("""COMPUTED_VALUE"""),"")</f>
        <v/>
      </c>
      <c r="V760" s="36" t="str">
        <f ca="1">IFERROR(__xludf.DUMMYFUNCTION("""COMPUTED_VALUE"""),"")</f>
        <v/>
      </c>
      <c r="W760" s="36" t="str">
        <f ca="1">IFERROR(__xludf.DUMMYFUNCTION("""COMPUTED_VALUE"""),"")</f>
        <v/>
      </c>
      <c r="X760" s="36"/>
      <c r="Y760" s="36"/>
      <c r="Z760" s="36"/>
    </row>
    <row r="761" spans="1:26" ht="12.75" hidden="1">
      <c r="A761" s="36" t="str">
        <f ca="1">IFERROR(__xludf.DUMMYFUNCTION("""COMPUTED_VALUE"""),"")</f>
        <v/>
      </c>
      <c r="B761" s="36" t="str">
        <f ca="1">IFERROR(__xludf.DUMMYFUNCTION("""COMPUTED_VALUE"""),"")</f>
        <v/>
      </c>
      <c r="C761" s="36" t="str">
        <f ca="1">IFERROR(__xludf.DUMMYFUNCTION("""COMPUTED_VALUE"""),"")</f>
        <v/>
      </c>
      <c r="D761" s="36" t="str">
        <f ca="1">IFERROR(__xludf.DUMMYFUNCTION("""COMPUTED_VALUE"""),"")</f>
        <v/>
      </c>
      <c r="E761" s="36" t="str">
        <f ca="1">IFERROR(__xludf.DUMMYFUNCTION("""COMPUTED_VALUE"""),"")</f>
        <v/>
      </c>
      <c r="F761" s="36" t="str">
        <f ca="1">IFERROR(__xludf.DUMMYFUNCTION("""COMPUTED_VALUE"""),"")</f>
        <v/>
      </c>
      <c r="G761" s="36" t="str">
        <f ca="1">IFERROR(__xludf.DUMMYFUNCTION("""COMPUTED_VALUE"""),"")</f>
        <v/>
      </c>
      <c r="H761" s="36" t="str">
        <f ca="1">IFERROR(__xludf.DUMMYFUNCTION("""COMPUTED_VALUE"""),"")</f>
        <v/>
      </c>
      <c r="I761" s="36" t="str">
        <f ca="1">IFERROR(__xludf.DUMMYFUNCTION("""COMPUTED_VALUE"""),"")</f>
        <v/>
      </c>
      <c r="J761" s="36" t="str">
        <f ca="1">IFERROR(__xludf.DUMMYFUNCTION("""COMPUTED_VALUE"""),"")</f>
        <v/>
      </c>
      <c r="K761" s="36" t="str">
        <f ca="1">IFERROR(__xludf.DUMMYFUNCTION("""COMPUTED_VALUE"""),"")</f>
        <v/>
      </c>
      <c r="L761" s="36" t="str">
        <f ca="1">IFERROR(__xludf.DUMMYFUNCTION("""COMPUTED_VALUE"""),"")</f>
        <v/>
      </c>
      <c r="M761" s="36" t="str">
        <f ca="1">IFERROR(__xludf.DUMMYFUNCTION("""COMPUTED_VALUE"""),"")</f>
        <v/>
      </c>
      <c r="N761" s="36" t="str">
        <f ca="1">IFERROR(__xludf.DUMMYFUNCTION("""COMPUTED_VALUE"""),"")</f>
        <v/>
      </c>
      <c r="O761" s="36" t="str">
        <f ca="1">IFERROR(__xludf.DUMMYFUNCTION("""COMPUTED_VALUE"""),"")</f>
        <v/>
      </c>
      <c r="P761" s="36" t="str">
        <f ca="1">IFERROR(__xludf.DUMMYFUNCTION("""COMPUTED_VALUE"""),"")</f>
        <v/>
      </c>
      <c r="Q761" s="36" t="str">
        <f ca="1">IFERROR(__xludf.DUMMYFUNCTION("""COMPUTED_VALUE"""),"")</f>
        <v/>
      </c>
      <c r="R761" s="36" t="str">
        <f ca="1">IFERROR(__xludf.DUMMYFUNCTION("""COMPUTED_VALUE"""),"")</f>
        <v/>
      </c>
      <c r="S761" s="36" t="str">
        <f ca="1">IFERROR(__xludf.DUMMYFUNCTION("""COMPUTED_VALUE"""),"")</f>
        <v/>
      </c>
      <c r="T761" s="36" t="str">
        <f ca="1">IFERROR(__xludf.DUMMYFUNCTION("""COMPUTED_VALUE"""),"")</f>
        <v/>
      </c>
      <c r="U761" s="36" t="str">
        <f ca="1">IFERROR(__xludf.DUMMYFUNCTION("""COMPUTED_VALUE"""),"")</f>
        <v/>
      </c>
      <c r="V761" s="36" t="str">
        <f ca="1">IFERROR(__xludf.DUMMYFUNCTION("""COMPUTED_VALUE"""),"")</f>
        <v/>
      </c>
      <c r="W761" s="36" t="str">
        <f ca="1">IFERROR(__xludf.DUMMYFUNCTION("""COMPUTED_VALUE"""),"")</f>
        <v/>
      </c>
      <c r="X761" s="36"/>
      <c r="Y761" s="36"/>
      <c r="Z761" s="36"/>
    </row>
    <row r="762" spans="1:26" ht="12.75" hidden="1">
      <c r="A762" s="36" t="str">
        <f ca="1">IFERROR(__xludf.DUMMYFUNCTION("""COMPUTED_VALUE"""),"")</f>
        <v/>
      </c>
      <c r="B762" s="36" t="str">
        <f ca="1">IFERROR(__xludf.DUMMYFUNCTION("""COMPUTED_VALUE"""),"")</f>
        <v/>
      </c>
      <c r="C762" s="36" t="str">
        <f ca="1">IFERROR(__xludf.DUMMYFUNCTION("""COMPUTED_VALUE"""),"")</f>
        <v/>
      </c>
      <c r="D762" s="36" t="str">
        <f ca="1">IFERROR(__xludf.DUMMYFUNCTION("""COMPUTED_VALUE"""),"")</f>
        <v/>
      </c>
      <c r="E762" s="36" t="str">
        <f ca="1">IFERROR(__xludf.DUMMYFUNCTION("""COMPUTED_VALUE"""),"")</f>
        <v/>
      </c>
      <c r="F762" s="36" t="str">
        <f ca="1">IFERROR(__xludf.DUMMYFUNCTION("""COMPUTED_VALUE"""),"")</f>
        <v/>
      </c>
      <c r="G762" s="36" t="str">
        <f ca="1">IFERROR(__xludf.DUMMYFUNCTION("""COMPUTED_VALUE"""),"")</f>
        <v/>
      </c>
      <c r="H762" s="36" t="str">
        <f ca="1">IFERROR(__xludf.DUMMYFUNCTION("""COMPUTED_VALUE"""),"")</f>
        <v/>
      </c>
      <c r="I762" s="36" t="str">
        <f ca="1">IFERROR(__xludf.DUMMYFUNCTION("""COMPUTED_VALUE"""),"")</f>
        <v/>
      </c>
      <c r="J762" s="36" t="str">
        <f ca="1">IFERROR(__xludf.DUMMYFUNCTION("""COMPUTED_VALUE"""),"")</f>
        <v/>
      </c>
      <c r="K762" s="36" t="str">
        <f ca="1">IFERROR(__xludf.DUMMYFUNCTION("""COMPUTED_VALUE"""),"")</f>
        <v/>
      </c>
      <c r="L762" s="36" t="str">
        <f ca="1">IFERROR(__xludf.DUMMYFUNCTION("""COMPUTED_VALUE"""),"")</f>
        <v/>
      </c>
      <c r="M762" s="36" t="str">
        <f ca="1">IFERROR(__xludf.DUMMYFUNCTION("""COMPUTED_VALUE"""),"")</f>
        <v/>
      </c>
      <c r="N762" s="36" t="str">
        <f ca="1">IFERROR(__xludf.DUMMYFUNCTION("""COMPUTED_VALUE"""),"")</f>
        <v/>
      </c>
      <c r="O762" s="36" t="str">
        <f ca="1">IFERROR(__xludf.DUMMYFUNCTION("""COMPUTED_VALUE"""),"")</f>
        <v/>
      </c>
      <c r="P762" s="36" t="str">
        <f ca="1">IFERROR(__xludf.DUMMYFUNCTION("""COMPUTED_VALUE"""),"")</f>
        <v/>
      </c>
      <c r="Q762" s="36" t="str">
        <f ca="1">IFERROR(__xludf.DUMMYFUNCTION("""COMPUTED_VALUE"""),"")</f>
        <v/>
      </c>
      <c r="R762" s="36" t="str">
        <f ca="1">IFERROR(__xludf.DUMMYFUNCTION("""COMPUTED_VALUE"""),"")</f>
        <v/>
      </c>
      <c r="S762" s="36" t="str">
        <f ca="1">IFERROR(__xludf.DUMMYFUNCTION("""COMPUTED_VALUE"""),"")</f>
        <v/>
      </c>
      <c r="T762" s="36" t="str">
        <f ca="1">IFERROR(__xludf.DUMMYFUNCTION("""COMPUTED_VALUE"""),"")</f>
        <v/>
      </c>
      <c r="U762" s="36" t="str">
        <f ca="1">IFERROR(__xludf.DUMMYFUNCTION("""COMPUTED_VALUE"""),"")</f>
        <v/>
      </c>
      <c r="V762" s="36" t="str">
        <f ca="1">IFERROR(__xludf.DUMMYFUNCTION("""COMPUTED_VALUE"""),"")</f>
        <v/>
      </c>
      <c r="W762" s="36" t="str">
        <f ca="1">IFERROR(__xludf.DUMMYFUNCTION("""COMPUTED_VALUE"""),"")</f>
        <v/>
      </c>
      <c r="X762" s="36"/>
      <c r="Y762" s="36"/>
      <c r="Z762" s="36"/>
    </row>
    <row r="763" spans="1:26" ht="12.75" hidden="1">
      <c r="A763" s="36" t="str">
        <f ca="1">IFERROR(__xludf.DUMMYFUNCTION("""COMPUTED_VALUE"""),"")</f>
        <v/>
      </c>
      <c r="B763" s="36" t="str">
        <f ca="1">IFERROR(__xludf.DUMMYFUNCTION("""COMPUTED_VALUE"""),"")</f>
        <v/>
      </c>
      <c r="C763" s="36" t="str">
        <f ca="1">IFERROR(__xludf.DUMMYFUNCTION("""COMPUTED_VALUE"""),"")</f>
        <v/>
      </c>
      <c r="D763" s="36" t="str">
        <f ca="1">IFERROR(__xludf.DUMMYFUNCTION("""COMPUTED_VALUE"""),"")</f>
        <v/>
      </c>
      <c r="E763" s="36" t="str">
        <f ca="1">IFERROR(__xludf.DUMMYFUNCTION("""COMPUTED_VALUE"""),"")</f>
        <v/>
      </c>
      <c r="F763" s="36" t="str">
        <f ca="1">IFERROR(__xludf.DUMMYFUNCTION("""COMPUTED_VALUE"""),"")</f>
        <v/>
      </c>
      <c r="G763" s="36" t="str">
        <f ca="1">IFERROR(__xludf.DUMMYFUNCTION("""COMPUTED_VALUE"""),"")</f>
        <v/>
      </c>
      <c r="H763" s="36" t="str">
        <f ca="1">IFERROR(__xludf.DUMMYFUNCTION("""COMPUTED_VALUE"""),"")</f>
        <v/>
      </c>
      <c r="I763" s="36" t="str">
        <f ca="1">IFERROR(__xludf.DUMMYFUNCTION("""COMPUTED_VALUE"""),"")</f>
        <v/>
      </c>
      <c r="J763" s="36" t="str">
        <f ca="1">IFERROR(__xludf.DUMMYFUNCTION("""COMPUTED_VALUE"""),"")</f>
        <v/>
      </c>
      <c r="K763" s="36" t="str">
        <f ca="1">IFERROR(__xludf.DUMMYFUNCTION("""COMPUTED_VALUE"""),"")</f>
        <v/>
      </c>
      <c r="L763" s="36" t="str">
        <f ca="1">IFERROR(__xludf.DUMMYFUNCTION("""COMPUTED_VALUE"""),"")</f>
        <v/>
      </c>
      <c r="M763" s="36" t="str">
        <f ca="1">IFERROR(__xludf.DUMMYFUNCTION("""COMPUTED_VALUE"""),"")</f>
        <v/>
      </c>
      <c r="N763" s="36" t="str">
        <f ca="1">IFERROR(__xludf.DUMMYFUNCTION("""COMPUTED_VALUE"""),"")</f>
        <v/>
      </c>
      <c r="O763" s="36" t="str">
        <f ca="1">IFERROR(__xludf.DUMMYFUNCTION("""COMPUTED_VALUE"""),"")</f>
        <v/>
      </c>
      <c r="P763" s="36" t="str">
        <f ca="1">IFERROR(__xludf.DUMMYFUNCTION("""COMPUTED_VALUE"""),"")</f>
        <v/>
      </c>
      <c r="Q763" s="36" t="str">
        <f ca="1">IFERROR(__xludf.DUMMYFUNCTION("""COMPUTED_VALUE"""),"")</f>
        <v/>
      </c>
      <c r="R763" s="36" t="str">
        <f ca="1">IFERROR(__xludf.DUMMYFUNCTION("""COMPUTED_VALUE"""),"")</f>
        <v/>
      </c>
      <c r="S763" s="36" t="str">
        <f ca="1">IFERROR(__xludf.DUMMYFUNCTION("""COMPUTED_VALUE"""),"")</f>
        <v/>
      </c>
      <c r="T763" s="36" t="str">
        <f ca="1">IFERROR(__xludf.DUMMYFUNCTION("""COMPUTED_VALUE"""),"")</f>
        <v/>
      </c>
      <c r="U763" s="36" t="str">
        <f ca="1">IFERROR(__xludf.DUMMYFUNCTION("""COMPUTED_VALUE"""),"")</f>
        <v/>
      </c>
      <c r="V763" s="36" t="str">
        <f ca="1">IFERROR(__xludf.DUMMYFUNCTION("""COMPUTED_VALUE"""),"")</f>
        <v/>
      </c>
      <c r="W763" s="36" t="str">
        <f ca="1">IFERROR(__xludf.DUMMYFUNCTION("""COMPUTED_VALUE"""),"")</f>
        <v/>
      </c>
      <c r="X763" s="36"/>
      <c r="Y763" s="36"/>
      <c r="Z763" s="36"/>
    </row>
    <row r="764" spans="1:26" ht="12.75" hidden="1">
      <c r="A764" s="36" t="str">
        <f ca="1">IFERROR(__xludf.DUMMYFUNCTION("""COMPUTED_VALUE"""),"")</f>
        <v/>
      </c>
      <c r="B764" s="36" t="str">
        <f ca="1">IFERROR(__xludf.DUMMYFUNCTION("""COMPUTED_VALUE"""),"")</f>
        <v/>
      </c>
      <c r="C764" s="36" t="str">
        <f ca="1">IFERROR(__xludf.DUMMYFUNCTION("""COMPUTED_VALUE"""),"")</f>
        <v/>
      </c>
      <c r="D764" s="36" t="str">
        <f ca="1">IFERROR(__xludf.DUMMYFUNCTION("""COMPUTED_VALUE"""),"")</f>
        <v/>
      </c>
      <c r="E764" s="36" t="str">
        <f ca="1">IFERROR(__xludf.DUMMYFUNCTION("""COMPUTED_VALUE"""),"")</f>
        <v/>
      </c>
      <c r="F764" s="36" t="str">
        <f ca="1">IFERROR(__xludf.DUMMYFUNCTION("""COMPUTED_VALUE"""),"")</f>
        <v/>
      </c>
      <c r="G764" s="36" t="str">
        <f ca="1">IFERROR(__xludf.DUMMYFUNCTION("""COMPUTED_VALUE"""),"")</f>
        <v/>
      </c>
      <c r="H764" s="36" t="str">
        <f ca="1">IFERROR(__xludf.DUMMYFUNCTION("""COMPUTED_VALUE"""),"")</f>
        <v/>
      </c>
      <c r="I764" s="36" t="str">
        <f ca="1">IFERROR(__xludf.DUMMYFUNCTION("""COMPUTED_VALUE"""),"")</f>
        <v/>
      </c>
      <c r="J764" s="36" t="str">
        <f ca="1">IFERROR(__xludf.DUMMYFUNCTION("""COMPUTED_VALUE"""),"")</f>
        <v/>
      </c>
      <c r="K764" s="36" t="str">
        <f ca="1">IFERROR(__xludf.DUMMYFUNCTION("""COMPUTED_VALUE"""),"")</f>
        <v/>
      </c>
      <c r="L764" s="36" t="str">
        <f ca="1">IFERROR(__xludf.DUMMYFUNCTION("""COMPUTED_VALUE"""),"")</f>
        <v/>
      </c>
      <c r="M764" s="36" t="str">
        <f ca="1">IFERROR(__xludf.DUMMYFUNCTION("""COMPUTED_VALUE"""),"")</f>
        <v/>
      </c>
      <c r="N764" s="36" t="str">
        <f ca="1">IFERROR(__xludf.DUMMYFUNCTION("""COMPUTED_VALUE"""),"")</f>
        <v/>
      </c>
      <c r="O764" s="36" t="str">
        <f ca="1">IFERROR(__xludf.DUMMYFUNCTION("""COMPUTED_VALUE"""),"")</f>
        <v/>
      </c>
      <c r="P764" s="36" t="str">
        <f ca="1">IFERROR(__xludf.DUMMYFUNCTION("""COMPUTED_VALUE"""),"")</f>
        <v/>
      </c>
      <c r="Q764" s="36" t="str">
        <f ca="1">IFERROR(__xludf.DUMMYFUNCTION("""COMPUTED_VALUE"""),"")</f>
        <v/>
      </c>
      <c r="R764" s="36" t="str">
        <f ca="1">IFERROR(__xludf.DUMMYFUNCTION("""COMPUTED_VALUE"""),"")</f>
        <v/>
      </c>
      <c r="S764" s="36" t="str">
        <f ca="1">IFERROR(__xludf.DUMMYFUNCTION("""COMPUTED_VALUE"""),"")</f>
        <v/>
      </c>
      <c r="T764" s="36" t="str">
        <f ca="1">IFERROR(__xludf.DUMMYFUNCTION("""COMPUTED_VALUE"""),"")</f>
        <v/>
      </c>
      <c r="U764" s="36" t="str">
        <f ca="1">IFERROR(__xludf.DUMMYFUNCTION("""COMPUTED_VALUE"""),"")</f>
        <v/>
      </c>
      <c r="V764" s="36" t="str">
        <f ca="1">IFERROR(__xludf.DUMMYFUNCTION("""COMPUTED_VALUE"""),"")</f>
        <v/>
      </c>
      <c r="W764" s="36" t="str">
        <f ca="1">IFERROR(__xludf.DUMMYFUNCTION("""COMPUTED_VALUE"""),"")</f>
        <v/>
      </c>
      <c r="X764" s="36"/>
      <c r="Y764" s="36"/>
      <c r="Z764" s="36"/>
    </row>
    <row r="765" spans="1:26" ht="12.75" hidden="1">
      <c r="A765" s="36" t="str">
        <f ca="1">IFERROR(__xludf.DUMMYFUNCTION("""COMPUTED_VALUE"""),"")</f>
        <v/>
      </c>
      <c r="B765" s="36" t="str">
        <f ca="1">IFERROR(__xludf.DUMMYFUNCTION("""COMPUTED_VALUE"""),"")</f>
        <v/>
      </c>
      <c r="C765" s="36" t="str">
        <f ca="1">IFERROR(__xludf.DUMMYFUNCTION("""COMPUTED_VALUE"""),"")</f>
        <v/>
      </c>
      <c r="D765" s="36" t="str">
        <f ca="1">IFERROR(__xludf.DUMMYFUNCTION("""COMPUTED_VALUE"""),"")</f>
        <v/>
      </c>
      <c r="E765" s="36" t="str">
        <f ca="1">IFERROR(__xludf.DUMMYFUNCTION("""COMPUTED_VALUE"""),"")</f>
        <v/>
      </c>
      <c r="F765" s="36" t="str">
        <f ca="1">IFERROR(__xludf.DUMMYFUNCTION("""COMPUTED_VALUE"""),"")</f>
        <v/>
      </c>
      <c r="G765" s="36" t="str">
        <f ca="1">IFERROR(__xludf.DUMMYFUNCTION("""COMPUTED_VALUE"""),"")</f>
        <v/>
      </c>
      <c r="H765" s="36" t="str">
        <f ca="1">IFERROR(__xludf.DUMMYFUNCTION("""COMPUTED_VALUE"""),"")</f>
        <v/>
      </c>
      <c r="I765" s="36" t="str">
        <f ca="1">IFERROR(__xludf.DUMMYFUNCTION("""COMPUTED_VALUE"""),"")</f>
        <v/>
      </c>
      <c r="J765" s="36" t="str">
        <f ca="1">IFERROR(__xludf.DUMMYFUNCTION("""COMPUTED_VALUE"""),"")</f>
        <v/>
      </c>
      <c r="K765" s="36" t="str">
        <f ca="1">IFERROR(__xludf.DUMMYFUNCTION("""COMPUTED_VALUE"""),"")</f>
        <v/>
      </c>
      <c r="L765" s="36" t="str">
        <f ca="1">IFERROR(__xludf.DUMMYFUNCTION("""COMPUTED_VALUE"""),"")</f>
        <v/>
      </c>
      <c r="M765" s="36" t="str">
        <f ca="1">IFERROR(__xludf.DUMMYFUNCTION("""COMPUTED_VALUE"""),"")</f>
        <v/>
      </c>
      <c r="N765" s="36" t="str">
        <f ca="1">IFERROR(__xludf.DUMMYFUNCTION("""COMPUTED_VALUE"""),"")</f>
        <v/>
      </c>
      <c r="O765" s="36" t="str">
        <f ca="1">IFERROR(__xludf.DUMMYFUNCTION("""COMPUTED_VALUE"""),"")</f>
        <v/>
      </c>
      <c r="P765" s="36" t="str">
        <f ca="1">IFERROR(__xludf.DUMMYFUNCTION("""COMPUTED_VALUE"""),"")</f>
        <v/>
      </c>
      <c r="Q765" s="36" t="str">
        <f ca="1">IFERROR(__xludf.DUMMYFUNCTION("""COMPUTED_VALUE"""),"")</f>
        <v/>
      </c>
      <c r="R765" s="36" t="str">
        <f ca="1">IFERROR(__xludf.DUMMYFUNCTION("""COMPUTED_VALUE"""),"")</f>
        <v/>
      </c>
      <c r="S765" s="36" t="str">
        <f ca="1">IFERROR(__xludf.DUMMYFUNCTION("""COMPUTED_VALUE"""),"")</f>
        <v/>
      </c>
      <c r="T765" s="36" t="str">
        <f ca="1">IFERROR(__xludf.DUMMYFUNCTION("""COMPUTED_VALUE"""),"")</f>
        <v/>
      </c>
      <c r="U765" s="36" t="str">
        <f ca="1">IFERROR(__xludf.DUMMYFUNCTION("""COMPUTED_VALUE"""),"")</f>
        <v/>
      </c>
      <c r="V765" s="36" t="str">
        <f ca="1">IFERROR(__xludf.DUMMYFUNCTION("""COMPUTED_VALUE"""),"")</f>
        <v/>
      </c>
      <c r="W765" s="36" t="str">
        <f ca="1">IFERROR(__xludf.DUMMYFUNCTION("""COMPUTED_VALUE"""),"")</f>
        <v/>
      </c>
      <c r="X765" s="36"/>
      <c r="Y765" s="36"/>
      <c r="Z765" s="36"/>
    </row>
    <row r="766" spans="1:26" ht="12.75" hidden="1">
      <c r="A766" s="36" t="str">
        <f ca="1">IFERROR(__xludf.DUMMYFUNCTION("""COMPUTED_VALUE"""),"")</f>
        <v/>
      </c>
      <c r="B766" s="36" t="str">
        <f ca="1">IFERROR(__xludf.DUMMYFUNCTION("""COMPUTED_VALUE"""),"")</f>
        <v/>
      </c>
      <c r="C766" s="36" t="str">
        <f ca="1">IFERROR(__xludf.DUMMYFUNCTION("""COMPUTED_VALUE"""),"")</f>
        <v/>
      </c>
      <c r="D766" s="36" t="str">
        <f ca="1">IFERROR(__xludf.DUMMYFUNCTION("""COMPUTED_VALUE"""),"")</f>
        <v/>
      </c>
      <c r="E766" s="36" t="str">
        <f ca="1">IFERROR(__xludf.DUMMYFUNCTION("""COMPUTED_VALUE"""),"")</f>
        <v/>
      </c>
      <c r="F766" s="36" t="str">
        <f ca="1">IFERROR(__xludf.DUMMYFUNCTION("""COMPUTED_VALUE"""),"")</f>
        <v/>
      </c>
      <c r="G766" s="36" t="str">
        <f ca="1">IFERROR(__xludf.DUMMYFUNCTION("""COMPUTED_VALUE"""),"")</f>
        <v/>
      </c>
      <c r="H766" s="36" t="str">
        <f ca="1">IFERROR(__xludf.DUMMYFUNCTION("""COMPUTED_VALUE"""),"")</f>
        <v/>
      </c>
      <c r="I766" s="36" t="str">
        <f ca="1">IFERROR(__xludf.DUMMYFUNCTION("""COMPUTED_VALUE"""),"")</f>
        <v/>
      </c>
      <c r="J766" s="36" t="str">
        <f ca="1">IFERROR(__xludf.DUMMYFUNCTION("""COMPUTED_VALUE"""),"")</f>
        <v/>
      </c>
      <c r="K766" s="36" t="str">
        <f ca="1">IFERROR(__xludf.DUMMYFUNCTION("""COMPUTED_VALUE"""),"")</f>
        <v/>
      </c>
      <c r="L766" s="36" t="str">
        <f ca="1">IFERROR(__xludf.DUMMYFUNCTION("""COMPUTED_VALUE"""),"")</f>
        <v/>
      </c>
      <c r="M766" s="36" t="str">
        <f ca="1">IFERROR(__xludf.DUMMYFUNCTION("""COMPUTED_VALUE"""),"")</f>
        <v/>
      </c>
      <c r="N766" s="36" t="str">
        <f ca="1">IFERROR(__xludf.DUMMYFUNCTION("""COMPUTED_VALUE"""),"")</f>
        <v/>
      </c>
      <c r="O766" s="36" t="str">
        <f ca="1">IFERROR(__xludf.DUMMYFUNCTION("""COMPUTED_VALUE"""),"")</f>
        <v/>
      </c>
      <c r="P766" s="36" t="str">
        <f ca="1">IFERROR(__xludf.DUMMYFUNCTION("""COMPUTED_VALUE"""),"")</f>
        <v/>
      </c>
      <c r="Q766" s="36" t="str">
        <f ca="1">IFERROR(__xludf.DUMMYFUNCTION("""COMPUTED_VALUE"""),"")</f>
        <v/>
      </c>
      <c r="R766" s="36" t="str">
        <f ca="1">IFERROR(__xludf.DUMMYFUNCTION("""COMPUTED_VALUE"""),"")</f>
        <v/>
      </c>
      <c r="S766" s="36" t="str">
        <f ca="1">IFERROR(__xludf.DUMMYFUNCTION("""COMPUTED_VALUE"""),"")</f>
        <v/>
      </c>
      <c r="T766" s="36" t="str">
        <f ca="1">IFERROR(__xludf.DUMMYFUNCTION("""COMPUTED_VALUE"""),"")</f>
        <v/>
      </c>
      <c r="U766" s="36" t="str">
        <f ca="1">IFERROR(__xludf.DUMMYFUNCTION("""COMPUTED_VALUE"""),"")</f>
        <v/>
      </c>
      <c r="V766" s="36" t="str">
        <f ca="1">IFERROR(__xludf.DUMMYFUNCTION("""COMPUTED_VALUE"""),"")</f>
        <v/>
      </c>
      <c r="W766" s="36" t="str">
        <f ca="1">IFERROR(__xludf.DUMMYFUNCTION("""COMPUTED_VALUE"""),"")</f>
        <v/>
      </c>
      <c r="X766" s="36"/>
      <c r="Y766" s="36"/>
      <c r="Z766" s="36"/>
    </row>
    <row r="767" spans="1:26" ht="12.75" hidden="1">
      <c r="A767" s="36" t="str">
        <f ca="1">IFERROR(__xludf.DUMMYFUNCTION("""COMPUTED_VALUE"""),"")</f>
        <v/>
      </c>
      <c r="B767" s="36" t="str">
        <f ca="1">IFERROR(__xludf.DUMMYFUNCTION("""COMPUTED_VALUE"""),"")</f>
        <v/>
      </c>
      <c r="C767" s="36" t="str">
        <f ca="1">IFERROR(__xludf.DUMMYFUNCTION("""COMPUTED_VALUE"""),"")</f>
        <v/>
      </c>
      <c r="D767" s="36" t="str">
        <f ca="1">IFERROR(__xludf.DUMMYFUNCTION("""COMPUTED_VALUE"""),"")</f>
        <v/>
      </c>
      <c r="E767" s="36" t="str">
        <f ca="1">IFERROR(__xludf.DUMMYFUNCTION("""COMPUTED_VALUE"""),"")</f>
        <v/>
      </c>
      <c r="F767" s="36" t="str">
        <f ca="1">IFERROR(__xludf.DUMMYFUNCTION("""COMPUTED_VALUE"""),"")</f>
        <v/>
      </c>
      <c r="G767" s="36" t="str">
        <f ca="1">IFERROR(__xludf.DUMMYFUNCTION("""COMPUTED_VALUE"""),"")</f>
        <v/>
      </c>
      <c r="H767" s="36" t="str">
        <f ca="1">IFERROR(__xludf.DUMMYFUNCTION("""COMPUTED_VALUE"""),"")</f>
        <v/>
      </c>
      <c r="I767" s="36" t="str">
        <f ca="1">IFERROR(__xludf.DUMMYFUNCTION("""COMPUTED_VALUE"""),"")</f>
        <v/>
      </c>
      <c r="J767" s="36" t="str">
        <f ca="1">IFERROR(__xludf.DUMMYFUNCTION("""COMPUTED_VALUE"""),"")</f>
        <v/>
      </c>
      <c r="K767" s="36" t="str">
        <f ca="1">IFERROR(__xludf.DUMMYFUNCTION("""COMPUTED_VALUE"""),"")</f>
        <v/>
      </c>
      <c r="L767" s="36" t="str">
        <f ca="1">IFERROR(__xludf.DUMMYFUNCTION("""COMPUTED_VALUE"""),"")</f>
        <v/>
      </c>
      <c r="M767" s="36" t="str">
        <f ca="1">IFERROR(__xludf.DUMMYFUNCTION("""COMPUTED_VALUE"""),"")</f>
        <v/>
      </c>
      <c r="N767" s="36" t="str">
        <f ca="1">IFERROR(__xludf.DUMMYFUNCTION("""COMPUTED_VALUE"""),"")</f>
        <v/>
      </c>
      <c r="O767" s="36" t="str">
        <f ca="1">IFERROR(__xludf.DUMMYFUNCTION("""COMPUTED_VALUE"""),"")</f>
        <v/>
      </c>
      <c r="P767" s="36" t="str">
        <f ca="1">IFERROR(__xludf.DUMMYFUNCTION("""COMPUTED_VALUE"""),"")</f>
        <v/>
      </c>
      <c r="Q767" s="36" t="str">
        <f ca="1">IFERROR(__xludf.DUMMYFUNCTION("""COMPUTED_VALUE"""),"")</f>
        <v/>
      </c>
      <c r="R767" s="36" t="str">
        <f ca="1">IFERROR(__xludf.DUMMYFUNCTION("""COMPUTED_VALUE"""),"")</f>
        <v/>
      </c>
      <c r="S767" s="36" t="str">
        <f ca="1">IFERROR(__xludf.DUMMYFUNCTION("""COMPUTED_VALUE"""),"")</f>
        <v/>
      </c>
      <c r="T767" s="36" t="str">
        <f ca="1">IFERROR(__xludf.DUMMYFUNCTION("""COMPUTED_VALUE"""),"")</f>
        <v/>
      </c>
      <c r="U767" s="36" t="str">
        <f ca="1">IFERROR(__xludf.DUMMYFUNCTION("""COMPUTED_VALUE"""),"")</f>
        <v/>
      </c>
      <c r="V767" s="36" t="str">
        <f ca="1">IFERROR(__xludf.DUMMYFUNCTION("""COMPUTED_VALUE"""),"")</f>
        <v/>
      </c>
      <c r="W767" s="36" t="str">
        <f ca="1">IFERROR(__xludf.DUMMYFUNCTION("""COMPUTED_VALUE"""),"")</f>
        <v/>
      </c>
      <c r="X767" s="36"/>
      <c r="Y767" s="36"/>
      <c r="Z767" s="36"/>
    </row>
    <row r="768" spans="1:26" ht="12.75" hidden="1">
      <c r="A768" s="36" t="str">
        <f ca="1">IFERROR(__xludf.DUMMYFUNCTION("""COMPUTED_VALUE"""),"")</f>
        <v/>
      </c>
      <c r="B768" s="36" t="str">
        <f ca="1">IFERROR(__xludf.DUMMYFUNCTION("""COMPUTED_VALUE"""),"")</f>
        <v/>
      </c>
      <c r="C768" s="36" t="str">
        <f ca="1">IFERROR(__xludf.DUMMYFUNCTION("""COMPUTED_VALUE"""),"")</f>
        <v/>
      </c>
      <c r="D768" s="36" t="str">
        <f ca="1">IFERROR(__xludf.DUMMYFUNCTION("""COMPUTED_VALUE"""),"")</f>
        <v/>
      </c>
      <c r="E768" s="36" t="str">
        <f ca="1">IFERROR(__xludf.DUMMYFUNCTION("""COMPUTED_VALUE"""),"")</f>
        <v/>
      </c>
      <c r="F768" s="36" t="str">
        <f ca="1">IFERROR(__xludf.DUMMYFUNCTION("""COMPUTED_VALUE"""),"")</f>
        <v/>
      </c>
      <c r="G768" s="36" t="str">
        <f ca="1">IFERROR(__xludf.DUMMYFUNCTION("""COMPUTED_VALUE"""),"")</f>
        <v/>
      </c>
      <c r="H768" s="36" t="str">
        <f ca="1">IFERROR(__xludf.DUMMYFUNCTION("""COMPUTED_VALUE"""),"")</f>
        <v/>
      </c>
      <c r="I768" s="36" t="str">
        <f ca="1">IFERROR(__xludf.DUMMYFUNCTION("""COMPUTED_VALUE"""),"")</f>
        <v/>
      </c>
      <c r="J768" s="36" t="str">
        <f ca="1">IFERROR(__xludf.DUMMYFUNCTION("""COMPUTED_VALUE"""),"")</f>
        <v/>
      </c>
      <c r="K768" s="36" t="str">
        <f ca="1">IFERROR(__xludf.DUMMYFUNCTION("""COMPUTED_VALUE"""),"")</f>
        <v/>
      </c>
      <c r="L768" s="36" t="str">
        <f ca="1">IFERROR(__xludf.DUMMYFUNCTION("""COMPUTED_VALUE"""),"")</f>
        <v/>
      </c>
      <c r="M768" s="36" t="str">
        <f ca="1">IFERROR(__xludf.DUMMYFUNCTION("""COMPUTED_VALUE"""),"")</f>
        <v/>
      </c>
      <c r="N768" s="36" t="str">
        <f ca="1">IFERROR(__xludf.DUMMYFUNCTION("""COMPUTED_VALUE"""),"")</f>
        <v/>
      </c>
      <c r="O768" s="36" t="str">
        <f ca="1">IFERROR(__xludf.DUMMYFUNCTION("""COMPUTED_VALUE"""),"")</f>
        <v/>
      </c>
      <c r="P768" s="36" t="str">
        <f ca="1">IFERROR(__xludf.DUMMYFUNCTION("""COMPUTED_VALUE"""),"")</f>
        <v/>
      </c>
      <c r="Q768" s="36" t="str">
        <f ca="1">IFERROR(__xludf.DUMMYFUNCTION("""COMPUTED_VALUE"""),"")</f>
        <v/>
      </c>
      <c r="R768" s="36" t="str">
        <f ca="1">IFERROR(__xludf.DUMMYFUNCTION("""COMPUTED_VALUE"""),"")</f>
        <v/>
      </c>
      <c r="S768" s="36" t="str">
        <f ca="1">IFERROR(__xludf.DUMMYFUNCTION("""COMPUTED_VALUE"""),"")</f>
        <v/>
      </c>
      <c r="T768" s="36" t="str">
        <f ca="1">IFERROR(__xludf.DUMMYFUNCTION("""COMPUTED_VALUE"""),"")</f>
        <v/>
      </c>
      <c r="U768" s="36" t="str">
        <f ca="1">IFERROR(__xludf.DUMMYFUNCTION("""COMPUTED_VALUE"""),"")</f>
        <v/>
      </c>
      <c r="V768" s="36" t="str">
        <f ca="1">IFERROR(__xludf.DUMMYFUNCTION("""COMPUTED_VALUE"""),"")</f>
        <v/>
      </c>
      <c r="W768" s="36" t="str">
        <f ca="1">IFERROR(__xludf.DUMMYFUNCTION("""COMPUTED_VALUE"""),"")</f>
        <v/>
      </c>
      <c r="X768" s="36"/>
      <c r="Y768" s="36"/>
      <c r="Z768" s="36"/>
    </row>
    <row r="769" spans="1:26" ht="12.75" hidden="1">
      <c r="A769" s="36" t="str">
        <f ca="1">IFERROR(__xludf.DUMMYFUNCTION("""COMPUTED_VALUE"""),"")</f>
        <v/>
      </c>
      <c r="B769" s="36" t="str">
        <f ca="1">IFERROR(__xludf.DUMMYFUNCTION("""COMPUTED_VALUE"""),"")</f>
        <v/>
      </c>
      <c r="C769" s="36" t="str">
        <f ca="1">IFERROR(__xludf.DUMMYFUNCTION("""COMPUTED_VALUE"""),"")</f>
        <v/>
      </c>
      <c r="D769" s="36" t="str">
        <f ca="1">IFERROR(__xludf.DUMMYFUNCTION("""COMPUTED_VALUE"""),"")</f>
        <v/>
      </c>
      <c r="E769" s="36" t="str">
        <f ca="1">IFERROR(__xludf.DUMMYFUNCTION("""COMPUTED_VALUE"""),"")</f>
        <v/>
      </c>
      <c r="F769" s="36" t="str">
        <f ca="1">IFERROR(__xludf.DUMMYFUNCTION("""COMPUTED_VALUE"""),"")</f>
        <v/>
      </c>
      <c r="G769" s="36" t="str">
        <f ca="1">IFERROR(__xludf.DUMMYFUNCTION("""COMPUTED_VALUE"""),"")</f>
        <v/>
      </c>
      <c r="H769" s="36" t="str">
        <f ca="1">IFERROR(__xludf.DUMMYFUNCTION("""COMPUTED_VALUE"""),"")</f>
        <v/>
      </c>
      <c r="I769" s="36" t="str">
        <f ca="1">IFERROR(__xludf.DUMMYFUNCTION("""COMPUTED_VALUE"""),"")</f>
        <v/>
      </c>
      <c r="J769" s="36" t="str">
        <f ca="1">IFERROR(__xludf.DUMMYFUNCTION("""COMPUTED_VALUE"""),"")</f>
        <v/>
      </c>
      <c r="K769" s="36" t="str">
        <f ca="1">IFERROR(__xludf.DUMMYFUNCTION("""COMPUTED_VALUE"""),"")</f>
        <v/>
      </c>
      <c r="L769" s="36" t="str">
        <f ca="1">IFERROR(__xludf.DUMMYFUNCTION("""COMPUTED_VALUE"""),"")</f>
        <v/>
      </c>
      <c r="M769" s="36" t="str">
        <f ca="1">IFERROR(__xludf.DUMMYFUNCTION("""COMPUTED_VALUE"""),"")</f>
        <v/>
      </c>
      <c r="N769" s="36" t="str">
        <f ca="1">IFERROR(__xludf.DUMMYFUNCTION("""COMPUTED_VALUE"""),"")</f>
        <v/>
      </c>
      <c r="O769" s="36" t="str">
        <f ca="1">IFERROR(__xludf.DUMMYFUNCTION("""COMPUTED_VALUE"""),"")</f>
        <v/>
      </c>
      <c r="P769" s="36" t="str">
        <f ca="1">IFERROR(__xludf.DUMMYFUNCTION("""COMPUTED_VALUE"""),"")</f>
        <v/>
      </c>
      <c r="Q769" s="36" t="str">
        <f ca="1">IFERROR(__xludf.DUMMYFUNCTION("""COMPUTED_VALUE"""),"")</f>
        <v/>
      </c>
      <c r="R769" s="36" t="str">
        <f ca="1">IFERROR(__xludf.DUMMYFUNCTION("""COMPUTED_VALUE"""),"")</f>
        <v/>
      </c>
      <c r="S769" s="36" t="str">
        <f ca="1">IFERROR(__xludf.DUMMYFUNCTION("""COMPUTED_VALUE"""),"")</f>
        <v/>
      </c>
      <c r="T769" s="36" t="str">
        <f ca="1">IFERROR(__xludf.DUMMYFUNCTION("""COMPUTED_VALUE"""),"")</f>
        <v/>
      </c>
      <c r="U769" s="36" t="str">
        <f ca="1">IFERROR(__xludf.DUMMYFUNCTION("""COMPUTED_VALUE"""),"")</f>
        <v/>
      </c>
      <c r="V769" s="36" t="str">
        <f ca="1">IFERROR(__xludf.DUMMYFUNCTION("""COMPUTED_VALUE"""),"")</f>
        <v/>
      </c>
      <c r="W769" s="36" t="str">
        <f ca="1">IFERROR(__xludf.DUMMYFUNCTION("""COMPUTED_VALUE"""),"")</f>
        <v/>
      </c>
      <c r="X769" s="36"/>
      <c r="Y769" s="36"/>
      <c r="Z769" s="36"/>
    </row>
    <row r="770" spans="1:26" ht="12.75" hidden="1">
      <c r="A770" s="36" t="str">
        <f ca="1">IFERROR(__xludf.DUMMYFUNCTION("""COMPUTED_VALUE"""),"")</f>
        <v/>
      </c>
      <c r="B770" s="36" t="str">
        <f ca="1">IFERROR(__xludf.DUMMYFUNCTION("""COMPUTED_VALUE"""),"")</f>
        <v/>
      </c>
      <c r="C770" s="36" t="str">
        <f ca="1">IFERROR(__xludf.DUMMYFUNCTION("""COMPUTED_VALUE"""),"")</f>
        <v/>
      </c>
      <c r="D770" s="36" t="str">
        <f ca="1">IFERROR(__xludf.DUMMYFUNCTION("""COMPUTED_VALUE"""),"")</f>
        <v/>
      </c>
      <c r="E770" s="36" t="str">
        <f ca="1">IFERROR(__xludf.DUMMYFUNCTION("""COMPUTED_VALUE"""),"")</f>
        <v/>
      </c>
      <c r="F770" s="36" t="str">
        <f ca="1">IFERROR(__xludf.DUMMYFUNCTION("""COMPUTED_VALUE"""),"")</f>
        <v/>
      </c>
      <c r="G770" s="36" t="str">
        <f ca="1">IFERROR(__xludf.DUMMYFUNCTION("""COMPUTED_VALUE"""),"")</f>
        <v/>
      </c>
      <c r="H770" s="36" t="str">
        <f ca="1">IFERROR(__xludf.DUMMYFUNCTION("""COMPUTED_VALUE"""),"")</f>
        <v/>
      </c>
      <c r="I770" s="36" t="str">
        <f ca="1">IFERROR(__xludf.DUMMYFUNCTION("""COMPUTED_VALUE"""),"")</f>
        <v/>
      </c>
      <c r="J770" s="36" t="str">
        <f ca="1">IFERROR(__xludf.DUMMYFUNCTION("""COMPUTED_VALUE"""),"")</f>
        <v/>
      </c>
      <c r="K770" s="36" t="str">
        <f ca="1">IFERROR(__xludf.DUMMYFUNCTION("""COMPUTED_VALUE"""),"")</f>
        <v/>
      </c>
      <c r="L770" s="36" t="str">
        <f ca="1">IFERROR(__xludf.DUMMYFUNCTION("""COMPUTED_VALUE"""),"")</f>
        <v/>
      </c>
      <c r="M770" s="36" t="str">
        <f ca="1">IFERROR(__xludf.DUMMYFUNCTION("""COMPUTED_VALUE"""),"")</f>
        <v/>
      </c>
      <c r="N770" s="36" t="str">
        <f ca="1">IFERROR(__xludf.DUMMYFUNCTION("""COMPUTED_VALUE"""),"")</f>
        <v/>
      </c>
      <c r="O770" s="36" t="str">
        <f ca="1">IFERROR(__xludf.DUMMYFUNCTION("""COMPUTED_VALUE"""),"")</f>
        <v/>
      </c>
      <c r="P770" s="36" t="str">
        <f ca="1">IFERROR(__xludf.DUMMYFUNCTION("""COMPUTED_VALUE"""),"")</f>
        <v/>
      </c>
      <c r="Q770" s="36" t="str">
        <f ca="1">IFERROR(__xludf.DUMMYFUNCTION("""COMPUTED_VALUE"""),"")</f>
        <v/>
      </c>
      <c r="R770" s="36" t="str">
        <f ca="1">IFERROR(__xludf.DUMMYFUNCTION("""COMPUTED_VALUE"""),"")</f>
        <v/>
      </c>
      <c r="S770" s="36" t="str">
        <f ca="1">IFERROR(__xludf.DUMMYFUNCTION("""COMPUTED_VALUE"""),"")</f>
        <v/>
      </c>
      <c r="T770" s="36" t="str">
        <f ca="1">IFERROR(__xludf.DUMMYFUNCTION("""COMPUTED_VALUE"""),"")</f>
        <v/>
      </c>
      <c r="U770" s="36" t="str">
        <f ca="1">IFERROR(__xludf.DUMMYFUNCTION("""COMPUTED_VALUE"""),"")</f>
        <v/>
      </c>
      <c r="V770" s="36" t="str">
        <f ca="1">IFERROR(__xludf.DUMMYFUNCTION("""COMPUTED_VALUE"""),"")</f>
        <v/>
      </c>
      <c r="W770" s="36" t="str">
        <f ca="1">IFERROR(__xludf.DUMMYFUNCTION("""COMPUTED_VALUE"""),"")</f>
        <v/>
      </c>
      <c r="X770" s="36"/>
      <c r="Y770" s="36"/>
      <c r="Z770" s="36"/>
    </row>
    <row r="771" spans="1:26" ht="12.75" hidden="1">
      <c r="A771" s="36" t="str">
        <f ca="1">IFERROR(__xludf.DUMMYFUNCTION("""COMPUTED_VALUE"""),"")</f>
        <v/>
      </c>
      <c r="B771" s="36" t="str">
        <f ca="1">IFERROR(__xludf.DUMMYFUNCTION("""COMPUTED_VALUE"""),"")</f>
        <v/>
      </c>
      <c r="C771" s="36" t="str">
        <f ca="1">IFERROR(__xludf.DUMMYFUNCTION("""COMPUTED_VALUE"""),"")</f>
        <v/>
      </c>
      <c r="D771" s="36" t="str">
        <f ca="1">IFERROR(__xludf.DUMMYFUNCTION("""COMPUTED_VALUE"""),"")</f>
        <v/>
      </c>
      <c r="E771" s="36" t="str">
        <f ca="1">IFERROR(__xludf.DUMMYFUNCTION("""COMPUTED_VALUE"""),"")</f>
        <v/>
      </c>
      <c r="F771" s="36" t="str">
        <f ca="1">IFERROR(__xludf.DUMMYFUNCTION("""COMPUTED_VALUE"""),"")</f>
        <v/>
      </c>
      <c r="G771" s="36" t="str">
        <f ca="1">IFERROR(__xludf.DUMMYFUNCTION("""COMPUTED_VALUE"""),"")</f>
        <v/>
      </c>
      <c r="H771" s="36" t="str">
        <f ca="1">IFERROR(__xludf.DUMMYFUNCTION("""COMPUTED_VALUE"""),"")</f>
        <v/>
      </c>
      <c r="I771" s="36" t="str">
        <f ca="1">IFERROR(__xludf.DUMMYFUNCTION("""COMPUTED_VALUE"""),"")</f>
        <v/>
      </c>
      <c r="J771" s="36" t="str">
        <f ca="1">IFERROR(__xludf.DUMMYFUNCTION("""COMPUTED_VALUE"""),"")</f>
        <v/>
      </c>
      <c r="K771" s="36" t="str">
        <f ca="1">IFERROR(__xludf.DUMMYFUNCTION("""COMPUTED_VALUE"""),"")</f>
        <v/>
      </c>
      <c r="L771" s="36" t="str">
        <f ca="1">IFERROR(__xludf.DUMMYFUNCTION("""COMPUTED_VALUE"""),"")</f>
        <v/>
      </c>
      <c r="M771" s="36" t="str">
        <f ca="1">IFERROR(__xludf.DUMMYFUNCTION("""COMPUTED_VALUE"""),"")</f>
        <v/>
      </c>
      <c r="N771" s="36" t="str">
        <f ca="1">IFERROR(__xludf.DUMMYFUNCTION("""COMPUTED_VALUE"""),"")</f>
        <v/>
      </c>
      <c r="O771" s="36" t="str">
        <f ca="1">IFERROR(__xludf.DUMMYFUNCTION("""COMPUTED_VALUE"""),"")</f>
        <v/>
      </c>
      <c r="P771" s="36" t="str">
        <f ca="1">IFERROR(__xludf.DUMMYFUNCTION("""COMPUTED_VALUE"""),"")</f>
        <v/>
      </c>
      <c r="Q771" s="36" t="str">
        <f ca="1">IFERROR(__xludf.DUMMYFUNCTION("""COMPUTED_VALUE"""),"")</f>
        <v/>
      </c>
      <c r="R771" s="36" t="str">
        <f ca="1">IFERROR(__xludf.DUMMYFUNCTION("""COMPUTED_VALUE"""),"")</f>
        <v/>
      </c>
      <c r="S771" s="36" t="str">
        <f ca="1">IFERROR(__xludf.DUMMYFUNCTION("""COMPUTED_VALUE"""),"")</f>
        <v/>
      </c>
      <c r="T771" s="36" t="str">
        <f ca="1">IFERROR(__xludf.DUMMYFUNCTION("""COMPUTED_VALUE"""),"")</f>
        <v/>
      </c>
      <c r="U771" s="36" t="str">
        <f ca="1">IFERROR(__xludf.DUMMYFUNCTION("""COMPUTED_VALUE"""),"")</f>
        <v/>
      </c>
      <c r="V771" s="36" t="str">
        <f ca="1">IFERROR(__xludf.DUMMYFUNCTION("""COMPUTED_VALUE"""),"")</f>
        <v/>
      </c>
      <c r="W771" s="36" t="str">
        <f ca="1">IFERROR(__xludf.DUMMYFUNCTION("""COMPUTED_VALUE"""),"")</f>
        <v/>
      </c>
      <c r="X771" s="36"/>
      <c r="Y771" s="36"/>
      <c r="Z771" s="36"/>
    </row>
    <row r="772" spans="1:26" ht="12.75" hidden="1">
      <c r="A772" s="36" t="str">
        <f ca="1">IFERROR(__xludf.DUMMYFUNCTION("""COMPUTED_VALUE"""),"")</f>
        <v/>
      </c>
      <c r="B772" s="36" t="str">
        <f ca="1">IFERROR(__xludf.DUMMYFUNCTION("""COMPUTED_VALUE"""),"")</f>
        <v/>
      </c>
      <c r="C772" s="36" t="str">
        <f ca="1">IFERROR(__xludf.DUMMYFUNCTION("""COMPUTED_VALUE"""),"")</f>
        <v/>
      </c>
      <c r="D772" s="36" t="str">
        <f ca="1">IFERROR(__xludf.DUMMYFUNCTION("""COMPUTED_VALUE"""),"")</f>
        <v/>
      </c>
      <c r="E772" s="36" t="str">
        <f ca="1">IFERROR(__xludf.DUMMYFUNCTION("""COMPUTED_VALUE"""),"")</f>
        <v/>
      </c>
      <c r="F772" s="36" t="str">
        <f ca="1">IFERROR(__xludf.DUMMYFUNCTION("""COMPUTED_VALUE"""),"")</f>
        <v/>
      </c>
      <c r="G772" s="36" t="str">
        <f ca="1">IFERROR(__xludf.DUMMYFUNCTION("""COMPUTED_VALUE"""),"")</f>
        <v/>
      </c>
      <c r="H772" s="36" t="str">
        <f ca="1">IFERROR(__xludf.DUMMYFUNCTION("""COMPUTED_VALUE"""),"")</f>
        <v/>
      </c>
      <c r="I772" s="36" t="str">
        <f ca="1">IFERROR(__xludf.DUMMYFUNCTION("""COMPUTED_VALUE"""),"")</f>
        <v/>
      </c>
      <c r="J772" s="36" t="str">
        <f ca="1">IFERROR(__xludf.DUMMYFUNCTION("""COMPUTED_VALUE"""),"")</f>
        <v/>
      </c>
      <c r="K772" s="36" t="str">
        <f ca="1">IFERROR(__xludf.DUMMYFUNCTION("""COMPUTED_VALUE"""),"")</f>
        <v/>
      </c>
      <c r="L772" s="36" t="str">
        <f ca="1">IFERROR(__xludf.DUMMYFUNCTION("""COMPUTED_VALUE"""),"")</f>
        <v/>
      </c>
      <c r="M772" s="36" t="str">
        <f ca="1">IFERROR(__xludf.DUMMYFUNCTION("""COMPUTED_VALUE"""),"")</f>
        <v/>
      </c>
      <c r="N772" s="36" t="str">
        <f ca="1">IFERROR(__xludf.DUMMYFUNCTION("""COMPUTED_VALUE"""),"")</f>
        <v/>
      </c>
      <c r="O772" s="36" t="str">
        <f ca="1">IFERROR(__xludf.DUMMYFUNCTION("""COMPUTED_VALUE"""),"")</f>
        <v/>
      </c>
      <c r="P772" s="36" t="str">
        <f ca="1">IFERROR(__xludf.DUMMYFUNCTION("""COMPUTED_VALUE"""),"")</f>
        <v/>
      </c>
      <c r="Q772" s="36" t="str">
        <f ca="1">IFERROR(__xludf.DUMMYFUNCTION("""COMPUTED_VALUE"""),"")</f>
        <v/>
      </c>
      <c r="R772" s="36" t="str">
        <f ca="1">IFERROR(__xludf.DUMMYFUNCTION("""COMPUTED_VALUE"""),"")</f>
        <v/>
      </c>
      <c r="S772" s="36" t="str">
        <f ca="1">IFERROR(__xludf.DUMMYFUNCTION("""COMPUTED_VALUE"""),"")</f>
        <v/>
      </c>
      <c r="T772" s="36" t="str">
        <f ca="1">IFERROR(__xludf.DUMMYFUNCTION("""COMPUTED_VALUE"""),"")</f>
        <v/>
      </c>
      <c r="U772" s="36" t="str">
        <f ca="1">IFERROR(__xludf.DUMMYFUNCTION("""COMPUTED_VALUE"""),"")</f>
        <v/>
      </c>
      <c r="V772" s="36" t="str">
        <f ca="1">IFERROR(__xludf.DUMMYFUNCTION("""COMPUTED_VALUE"""),"")</f>
        <v/>
      </c>
      <c r="W772" s="36" t="str">
        <f ca="1">IFERROR(__xludf.DUMMYFUNCTION("""COMPUTED_VALUE"""),"")</f>
        <v/>
      </c>
      <c r="X772" s="36"/>
      <c r="Y772" s="36"/>
      <c r="Z772" s="36"/>
    </row>
    <row r="773" spans="1:26" ht="12.75" hidden="1">
      <c r="A773" s="36" t="str">
        <f ca="1">IFERROR(__xludf.DUMMYFUNCTION("""COMPUTED_VALUE"""),"")</f>
        <v/>
      </c>
      <c r="B773" s="36" t="str">
        <f ca="1">IFERROR(__xludf.DUMMYFUNCTION("""COMPUTED_VALUE"""),"")</f>
        <v/>
      </c>
      <c r="C773" s="36" t="str">
        <f ca="1">IFERROR(__xludf.DUMMYFUNCTION("""COMPUTED_VALUE"""),"")</f>
        <v/>
      </c>
      <c r="D773" s="36" t="str">
        <f ca="1">IFERROR(__xludf.DUMMYFUNCTION("""COMPUTED_VALUE"""),"")</f>
        <v/>
      </c>
      <c r="E773" s="36" t="str">
        <f ca="1">IFERROR(__xludf.DUMMYFUNCTION("""COMPUTED_VALUE"""),"")</f>
        <v/>
      </c>
      <c r="F773" s="36" t="str">
        <f ca="1">IFERROR(__xludf.DUMMYFUNCTION("""COMPUTED_VALUE"""),"")</f>
        <v/>
      </c>
      <c r="G773" s="36" t="str">
        <f ca="1">IFERROR(__xludf.DUMMYFUNCTION("""COMPUTED_VALUE"""),"")</f>
        <v/>
      </c>
      <c r="H773" s="36" t="str">
        <f ca="1">IFERROR(__xludf.DUMMYFUNCTION("""COMPUTED_VALUE"""),"")</f>
        <v/>
      </c>
      <c r="I773" s="36" t="str">
        <f ca="1">IFERROR(__xludf.DUMMYFUNCTION("""COMPUTED_VALUE"""),"")</f>
        <v/>
      </c>
      <c r="J773" s="36" t="str">
        <f ca="1">IFERROR(__xludf.DUMMYFUNCTION("""COMPUTED_VALUE"""),"")</f>
        <v/>
      </c>
      <c r="K773" s="36" t="str">
        <f ca="1">IFERROR(__xludf.DUMMYFUNCTION("""COMPUTED_VALUE"""),"")</f>
        <v/>
      </c>
      <c r="L773" s="36" t="str">
        <f ca="1">IFERROR(__xludf.DUMMYFUNCTION("""COMPUTED_VALUE"""),"")</f>
        <v/>
      </c>
      <c r="M773" s="36" t="str">
        <f ca="1">IFERROR(__xludf.DUMMYFUNCTION("""COMPUTED_VALUE"""),"")</f>
        <v/>
      </c>
      <c r="N773" s="36" t="str">
        <f ca="1">IFERROR(__xludf.DUMMYFUNCTION("""COMPUTED_VALUE"""),"")</f>
        <v/>
      </c>
      <c r="O773" s="36" t="str">
        <f ca="1">IFERROR(__xludf.DUMMYFUNCTION("""COMPUTED_VALUE"""),"")</f>
        <v/>
      </c>
      <c r="P773" s="36" t="str">
        <f ca="1">IFERROR(__xludf.DUMMYFUNCTION("""COMPUTED_VALUE"""),"")</f>
        <v/>
      </c>
      <c r="Q773" s="36" t="str">
        <f ca="1">IFERROR(__xludf.DUMMYFUNCTION("""COMPUTED_VALUE"""),"")</f>
        <v/>
      </c>
      <c r="R773" s="36" t="str">
        <f ca="1">IFERROR(__xludf.DUMMYFUNCTION("""COMPUTED_VALUE"""),"")</f>
        <v/>
      </c>
      <c r="S773" s="36" t="str">
        <f ca="1">IFERROR(__xludf.DUMMYFUNCTION("""COMPUTED_VALUE"""),"")</f>
        <v/>
      </c>
      <c r="T773" s="36" t="str">
        <f ca="1">IFERROR(__xludf.DUMMYFUNCTION("""COMPUTED_VALUE"""),"")</f>
        <v/>
      </c>
      <c r="U773" s="36" t="str">
        <f ca="1">IFERROR(__xludf.DUMMYFUNCTION("""COMPUTED_VALUE"""),"")</f>
        <v/>
      </c>
      <c r="V773" s="36" t="str">
        <f ca="1">IFERROR(__xludf.DUMMYFUNCTION("""COMPUTED_VALUE"""),"")</f>
        <v/>
      </c>
      <c r="W773" s="36" t="str">
        <f ca="1">IFERROR(__xludf.DUMMYFUNCTION("""COMPUTED_VALUE"""),"")</f>
        <v/>
      </c>
      <c r="X773" s="36"/>
      <c r="Y773" s="36"/>
      <c r="Z773" s="36"/>
    </row>
    <row r="774" spans="1:26" ht="12.75" hidden="1">
      <c r="A774" s="36" t="str">
        <f ca="1">IFERROR(__xludf.DUMMYFUNCTION("""COMPUTED_VALUE"""),"")</f>
        <v/>
      </c>
      <c r="B774" s="36" t="str">
        <f ca="1">IFERROR(__xludf.DUMMYFUNCTION("""COMPUTED_VALUE"""),"")</f>
        <v/>
      </c>
      <c r="C774" s="36" t="str">
        <f ca="1">IFERROR(__xludf.DUMMYFUNCTION("""COMPUTED_VALUE"""),"")</f>
        <v/>
      </c>
      <c r="D774" s="36" t="str">
        <f ca="1">IFERROR(__xludf.DUMMYFUNCTION("""COMPUTED_VALUE"""),"")</f>
        <v/>
      </c>
      <c r="E774" s="36" t="str">
        <f ca="1">IFERROR(__xludf.DUMMYFUNCTION("""COMPUTED_VALUE"""),"")</f>
        <v/>
      </c>
      <c r="F774" s="36" t="str">
        <f ca="1">IFERROR(__xludf.DUMMYFUNCTION("""COMPUTED_VALUE"""),"")</f>
        <v/>
      </c>
      <c r="G774" s="36" t="str">
        <f ca="1">IFERROR(__xludf.DUMMYFUNCTION("""COMPUTED_VALUE"""),"")</f>
        <v/>
      </c>
      <c r="H774" s="36" t="str">
        <f ca="1">IFERROR(__xludf.DUMMYFUNCTION("""COMPUTED_VALUE"""),"")</f>
        <v/>
      </c>
      <c r="I774" s="36" t="str">
        <f ca="1">IFERROR(__xludf.DUMMYFUNCTION("""COMPUTED_VALUE"""),"")</f>
        <v/>
      </c>
      <c r="J774" s="36" t="str">
        <f ca="1">IFERROR(__xludf.DUMMYFUNCTION("""COMPUTED_VALUE"""),"")</f>
        <v/>
      </c>
      <c r="K774" s="36" t="str">
        <f ca="1">IFERROR(__xludf.DUMMYFUNCTION("""COMPUTED_VALUE"""),"")</f>
        <v/>
      </c>
      <c r="L774" s="36" t="str">
        <f ca="1">IFERROR(__xludf.DUMMYFUNCTION("""COMPUTED_VALUE"""),"")</f>
        <v/>
      </c>
      <c r="M774" s="36" t="str">
        <f ca="1">IFERROR(__xludf.DUMMYFUNCTION("""COMPUTED_VALUE"""),"")</f>
        <v/>
      </c>
      <c r="N774" s="36" t="str">
        <f ca="1">IFERROR(__xludf.DUMMYFUNCTION("""COMPUTED_VALUE"""),"")</f>
        <v/>
      </c>
      <c r="O774" s="36" t="str">
        <f ca="1">IFERROR(__xludf.DUMMYFUNCTION("""COMPUTED_VALUE"""),"")</f>
        <v/>
      </c>
      <c r="P774" s="36" t="str">
        <f ca="1">IFERROR(__xludf.DUMMYFUNCTION("""COMPUTED_VALUE"""),"")</f>
        <v/>
      </c>
      <c r="Q774" s="36" t="str">
        <f ca="1">IFERROR(__xludf.DUMMYFUNCTION("""COMPUTED_VALUE"""),"")</f>
        <v/>
      </c>
      <c r="R774" s="36" t="str">
        <f ca="1">IFERROR(__xludf.DUMMYFUNCTION("""COMPUTED_VALUE"""),"")</f>
        <v/>
      </c>
      <c r="S774" s="36" t="str">
        <f ca="1">IFERROR(__xludf.DUMMYFUNCTION("""COMPUTED_VALUE"""),"")</f>
        <v/>
      </c>
      <c r="T774" s="36" t="str">
        <f ca="1">IFERROR(__xludf.DUMMYFUNCTION("""COMPUTED_VALUE"""),"")</f>
        <v/>
      </c>
      <c r="U774" s="36" t="str">
        <f ca="1">IFERROR(__xludf.DUMMYFUNCTION("""COMPUTED_VALUE"""),"")</f>
        <v/>
      </c>
      <c r="V774" s="36" t="str">
        <f ca="1">IFERROR(__xludf.DUMMYFUNCTION("""COMPUTED_VALUE"""),"")</f>
        <v/>
      </c>
      <c r="W774" s="36" t="str">
        <f ca="1">IFERROR(__xludf.DUMMYFUNCTION("""COMPUTED_VALUE"""),"")</f>
        <v/>
      </c>
      <c r="X774" s="36"/>
      <c r="Y774" s="36"/>
      <c r="Z774" s="36"/>
    </row>
    <row r="775" spans="1:26" ht="12.75" hidden="1">
      <c r="A775" s="36" t="str">
        <f ca="1">IFERROR(__xludf.DUMMYFUNCTION("""COMPUTED_VALUE"""),"")</f>
        <v/>
      </c>
      <c r="B775" s="36" t="str">
        <f ca="1">IFERROR(__xludf.DUMMYFUNCTION("""COMPUTED_VALUE"""),"")</f>
        <v/>
      </c>
      <c r="C775" s="36" t="str">
        <f ca="1">IFERROR(__xludf.DUMMYFUNCTION("""COMPUTED_VALUE"""),"")</f>
        <v/>
      </c>
      <c r="D775" s="36" t="str">
        <f ca="1">IFERROR(__xludf.DUMMYFUNCTION("""COMPUTED_VALUE"""),"")</f>
        <v/>
      </c>
      <c r="E775" s="36" t="str">
        <f ca="1">IFERROR(__xludf.DUMMYFUNCTION("""COMPUTED_VALUE"""),"")</f>
        <v/>
      </c>
      <c r="F775" s="36" t="str">
        <f ca="1">IFERROR(__xludf.DUMMYFUNCTION("""COMPUTED_VALUE"""),"")</f>
        <v/>
      </c>
      <c r="G775" s="36" t="str">
        <f ca="1">IFERROR(__xludf.DUMMYFUNCTION("""COMPUTED_VALUE"""),"")</f>
        <v/>
      </c>
      <c r="H775" s="36" t="str">
        <f ca="1">IFERROR(__xludf.DUMMYFUNCTION("""COMPUTED_VALUE"""),"")</f>
        <v/>
      </c>
      <c r="I775" s="36" t="str">
        <f ca="1">IFERROR(__xludf.DUMMYFUNCTION("""COMPUTED_VALUE"""),"")</f>
        <v/>
      </c>
      <c r="J775" s="36" t="str">
        <f ca="1">IFERROR(__xludf.DUMMYFUNCTION("""COMPUTED_VALUE"""),"")</f>
        <v/>
      </c>
      <c r="K775" s="36" t="str">
        <f ca="1">IFERROR(__xludf.DUMMYFUNCTION("""COMPUTED_VALUE"""),"")</f>
        <v/>
      </c>
      <c r="L775" s="36" t="str">
        <f ca="1">IFERROR(__xludf.DUMMYFUNCTION("""COMPUTED_VALUE"""),"")</f>
        <v/>
      </c>
      <c r="M775" s="36" t="str">
        <f ca="1">IFERROR(__xludf.DUMMYFUNCTION("""COMPUTED_VALUE"""),"")</f>
        <v/>
      </c>
      <c r="N775" s="36" t="str">
        <f ca="1">IFERROR(__xludf.DUMMYFUNCTION("""COMPUTED_VALUE"""),"")</f>
        <v/>
      </c>
      <c r="O775" s="36" t="str">
        <f ca="1">IFERROR(__xludf.DUMMYFUNCTION("""COMPUTED_VALUE"""),"")</f>
        <v/>
      </c>
      <c r="P775" s="36" t="str">
        <f ca="1">IFERROR(__xludf.DUMMYFUNCTION("""COMPUTED_VALUE"""),"")</f>
        <v/>
      </c>
      <c r="Q775" s="36" t="str">
        <f ca="1">IFERROR(__xludf.DUMMYFUNCTION("""COMPUTED_VALUE"""),"")</f>
        <v/>
      </c>
      <c r="R775" s="36" t="str">
        <f ca="1">IFERROR(__xludf.DUMMYFUNCTION("""COMPUTED_VALUE"""),"")</f>
        <v/>
      </c>
      <c r="S775" s="36" t="str">
        <f ca="1">IFERROR(__xludf.DUMMYFUNCTION("""COMPUTED_VALUE"""),"")</f>
        <v/>
      </c>
      <c r="T775" s="36" t="str">
        <f ca="1">IFERROR(__xludf.DUMMYFUNCTION("""COMPUTED_VALUE"""),"")</f>
        <v/>
      </c>
      <c r="U775" s="36" t="str">
        <f ca="1">IFERROR(__xludf.DUMMYFUNCTION("""COMPUTED_VALUE"""),"")</f>
        <v/>
      </c>
      <c r="V775" s="36" t="str">
        <f ca="1">IFERROR(__xludf.DUMMYFUNCTION("""COMPUTED_VALUE"""),"")</f>
        <v/>
      </c>
      <c r="W775" s="36" t="str">
        <f ca="1">IFERROR(__xludf.DUMMYFUNCTION("""COMPUTED_VALUE"""),"")</f>
        <v/>
      </c>
      <c r="X775" s="36"/>
      <c r="Y775" s="36"/>
      <c r="Z775" s="36"/>
    </row>
    <row r="776" spans="1:26" ht="12.75" hidden="1">
      <c r="A776" s="36" t="str">
        <f ca="1">IFERROR(__xludf.DUMMYFUNCTION("""COMPUTED_VALUE"""),"")</f>
        <v/>
      </c>
      <c r="B776" s="36" t="str">
        <f ca="1">IFERROR(__xludf.DUMMYFUNCTION("""COMPUTED_VALUE"""),"")</f>
        <v/>
      </c>
      <c r="C776" s="36" t="str">
        <f ca="1">IFERROR(__xludf.DUMMYFUNCTION("""COMPUTED_VALUE"""),"")</f>
        <v/>
      </c>
      <c r="D776" s="36" t="str">
        <f ca="1">IFERROR(__xludf.DUMMYFUNCTION("""COMPUTED_VALUE"""),"")</f>
        <v/>
      </c>
      <c r="E776" s="36" t="str">
        <f ca="1">IFERROR(__xludf.DUMMYFUNCTION("""COMPUTED_VALUE"""),"")</f>
        <v/>
      </c>
      <c r="F776" s="36" t="str">
        <f ca="1">IFERROR(__xludf.DUMMYFUNCTION("""COMPUTED_VALUE"""),"")</f>
        <v/>
      </c>
      <c r="G776" s="36" t="str">
        <f ca="1">IFERROR(__xludf.DUMMYFUNCTION("""COMPUTED_VALUE"""),"")</f>
        <v/>
      </c>
      <c r="H776" s="36" t="str">
        <f ca="1">IFERROR(__xludf.DUMMYFUNCTION("""COMPUTED_VALUE"""),"")</f>
        <v/>
      </c>
      <c r="I776" s="36" t="str">
        <f ca="1">IFERROR(__xludf.DUMMYFUNCTION("""COMPUTED_VALUE"""),"")</f>
        <v/>
      </c>
      <c r="J776" s="36" t="str">
        <f ca="1">IFERROR(__xludf.DUMMYFUNCTION("""COMPUTED_VALUE"""),"")</f>
        <v/>
      </c>
      <c r="K776" s="36" t="str">
        <f ca="1">IFERROR(__xludf.DUMMYFUNCTION("""COMPUTED_VALUE"""),"")</f>
        <v/>
      </c>
      <c r="L776" s="36" t="str">
        <f ca="1">IFERROR(__xludf.DUMMYFUNCTION("""COMPUTED_VALUE"""),"")</f>
        <v/>
      </c>
      <c r="M776" s="36" t="str">
        <f ca="1">IFERROR(__xludf.DUMMYFUNCTION("""COMPUTED_VALUE"""),"")</f>
        <v/>
      </c>
      <c r="N776" s="36" t="str">
        <f ca="1">IFERROR(__xludf.DUMMYFUNCTION("""COMPUTED_VALUE"""),"")</f>
        <v/>
      </c>
      <c r="O776" s="36" t="str">
        <f ca="1">IFERROR(__xludf.DUMMYFUNCTION("""COMPUTED_VALUE"""),"")</f>
        <v/>
      </c>
      <c r="P776" s="36" t="str">
        <f ca="1">IFERROR(__xludf.DUMMYFUNCTION("""COMPUTED_VALUE"""),"")</f>
        <v/>
      </c>
      <c r="Q776" s="36" t="str">
        <f ca="1">IFERROR(__xludf.DUMMYFUNCTION("""COMPUTED_VALUE"""),"")</f>
        <v/>
      </c>
      <c r="R776" s="36" t="str">
        <f ca="1">IFERROR(__xludf.DUMMYFUNCTION("""COMPUTED_VALUE"""),"")</f>
        <v/>
      </c>
      <c r="S776" s="36" t="str">
        <f ca="1">IFERROR(__xludf.DUMMYFUNCTION("""COMPUTED_VALUE"""),"")</f>
        <v/>
      </c>
      <c r="T776" s="36" t="str">
        <f ca="1">IFERROR(__xludf.DUMMYFUNCTION("""COMPUTED_VALUE"""),"")</f>
        <v/>
      </c>
      <c r="U776" s="36" t="str">
        <f ca="1">IFERROR(__xludf.DUMMYFUNCTION("""COMPUTED_VALUE"""),"")</f>
        <v/>
      </c>
      <c r="V776" s="36" t="str">
        <f ca="1">IFERROR(__xludf.DUMMYFUNCTION("""COMPUTED_VALUE"""),"")</f>
        <v/>
      </c>
      <c r="W776" s="36" t="str">
        <f ca="1">IFERROR(__xludf.DUMMYFUNCTION("""COMPUTED_VALUE"""),"")</f>
        <v/>
      </c>
      <c r="X776" s="36"/>
      <c r="Y776" s="36"/>
      <c r="Z776" s="36"/>
    </row>
    <row r="777" spans="1:26" ht="12.75" hidden="1">
      <c r="A777" s="36" t="str">
        <f ca="1">IFERROR(__xludf.DUMMYFUNCTION("""COMPUTED_VALUE"""),"")</f>
        <v/>
      </c>
      <c r="B777" s="36" t="str">
        <f ca="1">IFERROR(__xludf.DUMMYFUNCTION("""COMPUTED_VALUE"""),"")</f>
        <v/>
      </c>
      <c r="C777" s="36" t="str">
        <f ca="1">IFERROR(__xludf.DUMMYFUNCTION("""COMPUTED_VALUE"""),"")</f>
        <v/>
      </c>
      <c r="D777" s="36" t="str">
        <f ca="1">IFERROR(__xludf.DUMMYFUNCTION("""COMPUTED_VALUE"""),"")</f>
        <v/>
      </c>
      <c r="E777" s="36" t="str">
        <f ca="1">IFERROR(__xludf.DUMMYFUNCTION("""COMPUTED_VALUE"""),"")</f>
        <v/>
      </c>
      <c r="F777" s="36" t="str">
        <f ca="1">IFERROR(__xludf.DUMMYFUNCTION("""COMPUTED_VALUE"""),"")</f>
        <v/>
      </c>
      <c r="G777" s="36" t="str">
        <f ca="1">IFERROR(__xludf.DUMMYFUNCTION("""COMPUTED_VALUE"""),"")</f>
        <v/>
      </c>
      <c r="H777" s="36" t="str">
        <f ca="1">IFERROR(__xludf.DUMMYFUNCTION("""COMPUTED_VALUE"""),"")</f>
        <v/>
      </c>
      <c r="I777" s="36" t="str">
        <f ca="1">IFERROR(__xludf.DUMMYFUNCTION("""COMPUTED_VALUE"""),"")</f>
        <v/>
      </c>
      <c r="J777" s="36" t="str">
        <f ca="1">IFERROR(__xludf.DUMMYFUNCTION("""COMPUTED_VALUE"""),"")</f>
        <v/>
      </c>
      <c r="K777" s="36" t="str">
        <f ca="1">IFERROR(__xludf.DUMMYFUNCTION("""COMPUTED_VALUE"""),"")</f>
        <v/>
      </c>
      <c r="L777" s="36" t="str">
        <f ca="1">IFERROR(__xludf.DUMMYFUNCTION("""COMPUTED_VALUE"""),"")</f>
        <v/>
      </c>
      <c r="M777" s="36" t="str">
        <f ca="1">IFERROR(__xludf.DUMMYFUNCTION("""COMPUTED_VALUE"""),"")</f>
        <v/>
      </c>
      <c r="N777" s="36" t="str">
        <f ca="1">IFERROR(__xludf.DUMMYFUNCTION("""COMPUTED_VALUE"""),"")</f>
        <v/>
      </c>
      <c r="O777" s="36" t="str">
        <f ca="1">IFERROR(__xludf.DUMMYFUNCTION("""COMPUTED_VALUE"""),"")</f>
        <v/>
      </c>
      <c r="P777" s="36" t="str">
        <f ca="1">IFERROR(__xludf.DUMMYFUNCTION("""COMPUTED_VALUE"""),"")</f>
        <v/>
      </c>
      <c r="Q777" s="36" t="str">
        <f ca="1">IFERROR(__xludf.DUMMYFUNCTION("""COMPUTED_VALUE"""),"")</f>
        <v/>
      </c>
      <c r="R777" s="36" t="str">
        <f ca="1">IFERROR(__xludf.DUMMYFUNCTION("""COMPUTED_VALUE"""),"")</f>
        <v/>
      </c>
      <c r="S777" s="36" t="str">
        <f ca="1">IFERROR(__xludf.DUMMYFUNCTION("""COMPUTED_VALUE"""),"")</f>
        <v/>
      </c>
      <c r="T777" s="36" t="str">
        <f ca="1">IFERROR(__xludf.DUMMYFUNCTION("""COMPUTED_VALUE"""),"")</f>
        <v/>
      </c>
      <c r="U777" s="36" t="str">
        <f ca="1">IFERROR(__xludf.DUMMYFUNCTION("""COMPUTED_VALUE"""),"")</f>
        <v/>
      </c>
      <c r="V777" s="36" t="str">
        <f ca="1">IFERROR(__xludf.DUMMYFUNCTION("""COMPUTED_VALUE"""),"")</f>
        <v/>
      </c>
      <c r="W777" s="36" t="str">
        <f ca="1">IFERROR(__xludf.DUMMYFUNCTION("""COMPUTED_VALUE"""),"")</f>
        <v/>
      </c>
      <c r="X777" s="36"/>
      <c r="Y777" s="36"/>
      <c r="Z777" s="36"/>
    </row>
    <row r="778" spans="1:26" ht="12.75" hidden="1">
      <c r="A778" s="36" t="str">
        <f ca="1">IFERROR(__xludf.DUMMYFUNCTION("""COMPUTED_VALUE"""),"")</f>
        <v/>
      </c>
      <c r="B778" s="36" t="str">
        <f ca="1">IFERROR(__xludf.DUMMYFUNCTION("""COMPUTED_VALUE"""),"")</f>
        <v/>
      </c>
      <c r="C778" s="36" t="str">
        <f ca="1">IFERROR(__xludf.DUMMYFUNCTION("""COMPUTED_VALUE"""),"")</f>
        <v/>
      </c>
      <c r="D778" s="36" t="str">
        <f ca="1">IFERROR(__xludf.DUMMYFUNCTION("""COMPUTED_VALUE"""),"")</f>
        <v/>
      </c>
      <c r="E778" s="36" t="str">
        <f ca="1">IFERROR(__xludf.DUMMYFUNCTION("""COMPUTED_VALUE"""),"")</f>
        <v/>
      </c>
      <c r="F778" s="36" t="str">
        <f ca="1">IFERROR(__xludf.DUMMYFUNCTION("""COMPUTED_VALUE"""),"")</f>
        <v/>
      </c>
      <c r="G778" s="36" t="str">
        <f ca="1">IFERROR(__xludf.DUMMYFUNCTION("""COMPUTED_VALUE"""),"")</f>
        <v/>
      </c>
      <c r="H778" s="36" t="str">
        <f ca="1">IFERROR(__xludf.DUMMYFUNCTION("""COMPUTED_VALUE"""),"")</f>
        <v/>
      </c>
      <c r="I778" s="36" t="str">
        <f ca="1">IFERROR(__xludf.DUMMYFUNCTION("""COMPUTED_VALUE"""),"")</f>
        <v/>
      </c>
      <c r="J778" s="36" t="str">
        <f ca="1">IFERROR(__xludf.DUMMYFUNCTION("""COMPUTED_VALUE"""),"")</f>
        <v/>
      </c>
      <c r="K778" s="36" t="str">
        <f ca="1">IFERROR(__xludf.DUMMYFUNCTION("""COMPUTED_VALUE"""),"")</f>
        <v/>
      </c>
      <c r="L778" s="36" t="str">
        <f ca="1">IFERROR(__xludf.DUMMYFUNCTION("""COMPUTED_VALUE"""),"")</f>
        <v/>
      </c>
      <c r="M778" s="36" t="str">
        <f ca="1">IFERROR(__xludf.DUMMYFUNCTION("""COMPUTED_VALUE"""),"")</f>
        <v/>
      </c>
      <c r="N778" s="36" t="str">
        <f ca="1">IFERROR(__xludf.DUMMYFUNCTION("""COMPUTED_VALUE"""),"")</f>
        <v/>
      </c>
      <c r="O778" s="36" t="str">
        <f ca="1">IFERROR(__xludf.DUMMYFUNCTION("""COMPUTED_VALUE"""),"")</f>
        <v/>
      </c>
      <c r="P778" s="36" t="str">
        <f ca="1">IFERROR(__xludf.DUMMYFUNCTION("""COMPUTED_VALUE"""),"")</f>
        <v/>
      </c>
      <c r="Q778" s="36" t="str">
        <f ca="1">IFERROR(__xludf.DUMMYFUNCTION("""COMPUTED_VALUE"""),"")</f>
        <v/>
      </c>
      <c r="R778" s="36" t="str">
        <f ca="1">IFERROR(__xludf.DUMMYFUNCTION("""COMPUTED_VALUE"""),"")</f>
        <v/>
      </c>
      <c r="S778" s="36" t="str">
        <f ca="1">IFERROR(__xludf.DUMMYFUNCTION("""COMPUTED_VALUE"""),"")</f>
        <v/>
      </c>
      <c r="T778" s="36" t="str">
        <f ca="1">IFERROR(__xludf.DUMMYFUNCTION("""COMPUTED_VALUE"""),"")</f>
        <v/>
      </c>
      <c r="U778" s="36" t="str">
        <f ca="1">IFERROR(__xludf.DUMMYFUNCTION("""COMPUTED_VALUE"""),"")</f>
        <v/>
      </c>
      <c r="V778" s="36" t="str">
        <f ca="1">IFERROR(__xludf.DUMMYFUNCTION("""COMPUTED_VALUE"""),"")</f>
        <v/>
      </c>
      <c r="W778" s="36" t="str">
        <f ca="1">IFERROR(__xludf.DUMMYFUNCTION("""COMPUTED_VALUE"""),"")</f>
        <v/>
      </c>
      <c r="X778" s="36"/>
      <c r="Y778" s="36"/>
      <c r="Z778" s="36"/>
    </row>
    <row r="779" spans="1:26" ht="12.75" hidden="1">
      <c r="A779" s="36" t="str">
        <f ca="1">IFERROR(__xludf.DUMMYFUNCTION("""COMPUTED_VALUE"""),"")</f>
        <v/>
      </c>
      <c r="B779" s="36" t="str">
        <f ca="1">IFERROR(__xludf.DUMMYFUNCTION("""COMPUTED_VALUE"""),"")</f>
        <v/>
      </c>
      <c r="C779" s="36" t="str">
        <f ca="1">IFERROR(__xludf.DUMMYFUNCTION("""COMPUTED_VALUE"""),"")</f>
        <v/>
      </c>
      <c r="D779" s="36" t="str">
        <f ca="1">IFERROR(__xludf.DUMMYFUNCTION("""COMPUTED_VALUE"""),"")</f>
        <v/>
      </c>
      <c r="E779" s="36" t="str">
        <f ca="1">IFERROR(__xludf.DUMMYFUNCTION("""COMPUTED_VALUE"""),"")</f>
        <v/>
      </c>
      <c r="F779" s="36" t="str">
        <f ca="1">IFERROR(__xludf.DUMMYFUNCTION("""COMPUTED_VALUE"""),"")</f>
        <v/>
      </c>
      <c r="G779" s="36" t="str">
        <f ca="1">IFERROR(__xludf.DUMMYFUNCTION("""COMPUTED_VALUE"""),"")</f>
        <v/>
      </c>
      <c r="H779" s="36" t="str">
        <f ca="1">IFERROR(__xludf.DUMMYFUNCTION("""COMPUTED_VALUE"""),"")</f>
        <v/>
      </c>
      <c r="I779" s="36" t="str">
        <f ca="1">IFERROR(__xludf.DUMMYFUNCTION("""COMPUTED_VALUE"""),"")</f>
        <v/>
      </c>
      <c r="J779" s="36" t="str">
        <f ca="1">IFERROR(__xludf.DUMMYFUNCTION("""COMPUTED_VALUE"""),"")</f>
        <v/>
      </c>
      <c r="K779" s="36" t="str">
        <f ca="1">IFERROR(__xludf.DUMMYFUNCTION("""COMPUTED_VALUE"""),"")</f>
        <v/>
      </c>
      <c r="L779" s="36" t="str">
        <f ca="1">IFERROR(__xludf.DUMMYFUNCTION("""COMPUTED_VALUE"""),"")</f>
        <v/>
      </c>
      <c r="M779" s="36" t="str">
        <f ca="1">IFERROR(__xludf.DUMMYFUNCTION("""COMPUTED_VALUE"""),"")</f>
        <v/>
      </c>
      <c r="N779" s="36" t="str">
        <f ca="1">IFERROR(__xludf.DUMMYFUNCTION("""COMPUTED_VALUE"""),"")</f>
        <v/>
      </c>
      <c r="O779" s="36" t="str">
        <f ca="1">IFERROR(__xludf.DUMMYFUNCTION("""COMPUTED_VALUE"""),"")</f>
        <v/>
      </c>
      <c r="P779" s="36" t="str">
        <f ca="1">IFERROR(__xludf.DUMMYFUNCTION("""COMPUTED_VALUE"""),"")</f>
        <v/>
      </c>
      <c r="Q779" s="36" t="str">
        <f ca="1">IFERROR(__xludf.DUMMYFUNCTION("""COMPUTED_VALUE"""),"")</f>
        <v/>
      </c>
      <c r="R779" s="36" t="str">
        <f ca="1">IFERROR(__xludf.DUMMYFUNCTION("""COMPUTED_VALUE"""),"")</f>
        <v/>
      </c>
      <c r="S779" s="36" t="str">
        <f ca="1">IFERROR(__xludf.DUMMYFUNCTION("""COMPUTED_VALUE"""),"")</f>
        <v/>
      </c>
      <c r="T779" s="36" t="str">
        <f ca="1">IFERROR(__xludf.DUMMYFUNCTION("""COMPUTED_VALUE"""),"")</f>
        <v/>
      </c>
      <c r="U779" s="36" t="str">
        <f ca="1">IFERROR(__xludf.DUMMYFUNCTION("""COMPUTED_VALUE"""),"")</f>
        <v/>
      </c>
      <c r="V779" s="36" t="str">
        <f ca="1">IFERROR(__xludf.DUMMYFUNCTION("""COMPUTED_VALUE"""),"")</f>
        <v/>
      </c>
      <c r="W779" s="36" t="str">
        <f ca="1">IFERROR(__xludf.DUMMYFUNCTION("""COMPUTED_VALUE"""),"")</f>
        <v/>
      </c>
      <c r="X779" s="36"/>
      <c r="Y779" s="36"/>
      <c r="Z779" s="36"/>
    </row>
    <row r="780" spans="1:26" ht="12.75" hidden="1">
      <c r="A780" s="36" t="str">
        <f ca="1">IFERROR(__xludf.DUMMYFUNCTION("""COMPUTED_VALUE"""),"")</f>
        <v/>
      </c>
      <c r="B780" s="36" t="str">
        <f ca="1">IFERROR(__xludf.DUMMYFUNCTION("""COMPUTED_VALUE"""),"")</f>
        <v/>
      </c>
      <c r="C780" s="36" t="str">
        <f ca="1">IFERROR(__xludf.DUMMYFUNCTION("""COMPUTED_VALUE"""),"")</f>
        <v/>
      </c>
      <c r="D780" s="36" t="str">
        <f ca="1">IFERROR(__xludf.DUMMYFUNCTION("""COMPUTED_VALUE"""),"")</f>
        <v/>
      </c>
      <c r="E780" s="36" t="str">
        <f ca="1">IFERROR(__xludf.DUMMYFUNCTION("""COMPUTED_VALUE"""),"")</f>
        <v/>
      </c>
      <c r="F780" s="36" t="str">
        <f ca="1">IFERROR(__xludf.DUMMYFUNCTION("""COMPUTED_VALUE"""),"")</f>
        <v/>
      </c>
      <c r="G780" s="36" t="str">
        <f ca="1">IFERROR(__xludf.DUMMYFUNCTION("""COMPUTED_VALUE"""),"")</f>
        <v/>
      </c>
      <c r="H780" s="36" t="str">
        <f ca="1">IFERROR(__xludf.DUMMYFUNCTION("""COMPUTED_VALUE"""),"")</f>
        <v/>
      </c>
      <c r="I780" s="36" t="str">
        <f ca="1">IFERROR(__xludf.DUMMYFUNCTION("""COMPUTED_VALUE"""),"")</f>
        <v/>
      </c>
      <c r="J780" s="36" t="str">
        <f ca="1">IFERROR(__xludf.DUMMYFUNCTION("""COMPUTED_VALUE"""),"")</f>
        <v/>
      </c>
      <c r="K780" s="36" t="str">
        <f ca="1">IFERROR(__xludf.DUMMYFUNCTION("""COMPUTED_VALUE"""),"")</f>
        <v/>
      </c>
      <c r="L780" s="36" t="str">
        <f ca="1">IFERROR(__xludf.DUMMYFUNCTION("""COMPUTED_VALUE"""),"")</f>
        <v/>
      </c>
      <c r="M780" s="36" t="str">
        <f ca="1">IFERROR(__xludf.DUMMYFUNCTION("""COMPUTED_VALUE"""),"")</f>
        <v/>
      </c>
      <c r="N780" s="36" t="str">
        <f ca="1">IFERROR(__xludf.DUMMYFUNCTION("""COMPUTED_VALUE"""),"")</f>
        <v/>
      </c>
      <c r="O780" s="36" t="str">
        <f ca="1">IFERROR(__xludf.DUMMYFUNCTION("""COMPUTED_VALUE"""),"")</f>
        <v/>
      </c>
      <c r="P780" s="36" t="str">
        <f ca="1">IFERROR(__xludf.DUMMYFUNCTION("""COMPUTED_VALUE"""),"")</f>
        <v/>
      </c>
      <c r="Q780" s="36" t="str">
        <f ca="1">IFERROR(__xludf.DUMMYFUNCTION("""COMPUTED_VALUE"""),"")</f>
        <v/>
      </c>
      <c r="R780" s="36" t="str">
        <f ca="1">IFERROR(__xludf.DUMMYFUNCTION("""COMPUTED_VALUE"""),"")</f>
        <v/>
      </c>
      <c r="S780" s="36" t="str">
        <f ca="1">IFERROR(__xludf.DUMMYFUNCTION("""COMPUTED_VALUE"""),"")</f>
        <v/>
      </c>
      <c r="T780" s="36" t="str">
        <f ca="1">IFERROR(__xludf.DUMMYFUNCTION("""COMPUTED_VALUE"""),"")</f>
        <v/>
      </c>
      <c r="U780" s="36" t="str">
        <f ca="1">IFERROR(__xludf.DUMMYFUNCTION("""COMPUTED_VALUE"""),"")</f>
        <v/>
      </c>
      <c r="V780" s="36" t="str">
        <f ca="1">IFERROR(__xludf.DUMMYFUNCTION("""COMPUTED_VALUE"""),"")</f>
        <v/>
      </c>
      <c r="W780" s="36" t="str">
        <f ca="1">IFERROR(__xludf.DUMMYFUNCTION("""COMPUTED_VALUE"""),"")</f>
        <v/>
      </c>
      <c r="X780" s="36"/>
      <c r="Y780" s="36"/>
      <c r="Z780" s="36"/>
    </row>
    <row r="781" spans="1:26" ht="12.75" hidden="1">
      <c r="A781" s="36" t="str">
        <f ca="1">IFERROR(__xludf.DUMMYFUNCTION("""COMPUTED_VALUE"""),"")</f>
        <v/>
      </c>
      <c r="B781" s="36" t="str">
        <f ca="1">IFERROR(__xludf.DUMMYFUNCTION("""COMPUTED_VALUE"""),"")</f>
        <v/>
      </c>
      <c r="C781" s="36" t="str">
        <f ca="1">IFERROR(__xludf.DUMMYFUNCTION("""COMPUTED_VALUE"""),"")</f>
        <v/>
      </c>
      <c r="D781" s="36" t="str">
        <f ca="1">IFERROR(__xludf.DUMMYFUNCTION("""COMPUTED_VALUE"""),"")</f>
        <v/>
      </c>
      <c r="E781" s="36" t="str">
        <f ca="1">IFERROR(__xludf.DUMMYFUNCTION("""COMPUTED_VALUE"""),"")</f>
        <v/>
      </c>
      <c r="F781" s="36" t="str">
        <f ca="1">IFERROR(__xludf.DUMMYFUNCTION("""COMPUTED_VALUE"""),"")</f>
        <v/>
      </c>
      <c r="G781" s="36" t="str">
        <f ca="1">IFERROR(__xludf.DUMMYFUNCTION("""COMPUTED_VALUE"""),"")</f>
        <v/>
      </c>
      <c r="H781" s="36" t="str">
        <f ca="1">IFERROR(__xludf.DUMMYFUNCTION("""COMPUTED_VALUE"""),"")</f>
        <v/>
      </c>
      <c r="I781" s="36" t="str">
        <f ca="1">IFERROR(__xludf.DUMMYFUNCTION("""COMPUTED_VALUE"""),"")</f>
        <v/>
      </c>
      <c r="J781" s="36" t="str">
        <f ca="1">IFERROR(__xludf.DUMMYFUNCTION("""COMPUTED_VALUE"""),"")</f>
        <v/>
      </c>
      <c r="K781" s="36" t="str">
        <f ca="1">IFERROR(__xludf.DUMMYFUNCTION("""COMPUTED_VALUE"""),"")</f>
        <v/>
      </c>
      <c r="L781" s="36" t="str">
        <f ca="1">IFERROR(__xludf.DUMMYFUNCTION("""COMPUTED_VALUE"""),"")</f>
        <v/>
      </c>
      <c r="M781" s="36" t="str">
        <f ca="1">IFERROR(__xludf.DUMMYFUNCTION("""COMPUTED_VALUE"""),"")</f>
        <v/>
      </c>
      <c r="N781" s="36" t="str">
        <f ca="1">IFERROR(__xludf.DUMMYFUNCTION("""COMPUTED_VALUE"""),"")</f>
        <v/>
      </c>
      <c r="O781" s="36" t="str">
        <f ca="1">IFERROR(__xludf.DUMMYFUNCTION("""COMPUTED_VALUE"""),"")</f>
        <v/>
      </c>
      <c r="P781" s="36" t="str">
        <f ca="1">IFERROR(__xludf.DUMMYFUNCTION("""COMPUTED_VALUE"""),"")</f>
        <v/>
      </c>
      <c r="Q781" s="36" t="str">
        <f ca="1">IFERROR(__xludf.DUMMYFUNCTION("""COMPUTED_VALUE"""),"")</f>
        <v/>
      </c>
      <c r="R781" s="36" t="str">
        <f ca="1">IFERROR(__xludf.DUMMYFUNCTION("""COMPUTED_VALUE"""),"")</f>
        <v/>
      </c>
      <c r="S781" s="36" t="str">
        <f ca="1">IFERROR(__xludf.DUMMYFUNCTION("""COMPUTED_VALUE"""),"")</f>
        <v/>
      </c>
      <c r="T781" s="36" t="str">
        <f ca="1">IFERROR(__xludf.DUMMYFUNCTION("""COMPUTED_VALUE"""),"")</f>
        <v/>
      </c>
      <c r="U781" s="36" t="str">
        <f ca="1">IFERROR(__xludf.DUMMYFUNCTION("""COMPUTED_VALUE"""),"")</f>
        <v/>
      </c>
      <c r="V781" s="36" t="str">
        <f ca="1">IFERROR(__xludf.DUMMYFUNCTION("""COMPUTED_VALUE"""),"")</f>
        <v/>
      </c>
      <c r="W781" s="36" t="str">
        <f ca="1">IFERROR(__xludf.DUMMYFUNCTION("""COMPUTED_VALUE"""),"")</f>
        <v/>
      </c>
      <c r="X781" s="36"/>
      <c r="Y781" s="36"/>
      <c r="Z781" s="36"/>
    </row>
    <row r="782" spans="1:26" ht="12.75" hidden="1">
      <c r="A782" s="36" t="str">
        <f ca="1">IFERROR(__xludf.DUMMYFUNCTION("""COMPUTED_VALUE"""),"")</f>
        <v/>
      </c>
      <c r="B782" s="36" t="str">
        <f ca="1">IFERROR(__xludf.DUMMYFUNCTION("""COMPUTED_VALUE"""),"")</f>
        <v/>
      </c>
      <c r="C782" s="36" t="str">
        <f ca="1">IFERROR(__xludf.DUMMYFUNCTION("""COMPUTED_VALUE"""),"")</f>
        <v/>
      </c>
      <c r="D782" s="36" t="str">
        <f ca="1">IFERROR(__xludf.DUMMYFUNCTION("""COMPUTED_VALUE"""),"")</f>
        <v/>
      </c>
      <c r="E782" s="36" t="str">
        <f ca="1">IFERROR(__xludf.DUMMYFUNCTION("""COMPUTED_VALUE"""),"")</f>
        <v/>
      </c>
      <c r="F782" s="36" t="str">
        <f ca="1">IFERROR(__xludf.DUMMYFUNCTION("""COMPUTED_VALUE"""),"")</f>
        <v/>
      </c>
      <c r="G782" s="36" t="str">
        <f ca="1">IFERROR(__xludf.DUMMYFUNCTION("""COMPUTED_VALUE"""),"")</f>
        <v/>
      </c>
      <c r="H782" s="36" t="str">
        <f ca="1">IFERROR(__xludf.DUMMYFUNCTION("""COMPUTED_VALUE"""),"")</f>
        <v/>
      </c>
      <c r="I782" s="36" t="str">
        <f ca="1">IFERROR(__xludf.DUMMYFUNCTION("""COMPUTED_VALUE"""),"")</f>
        <v/>
      </c>
      <c r="J782" s="36" t="str">
        <f ca="1">IFERROR(__xludf.DUMMYFUNCTION("""COMPUTED_VALUE"""),"")</f>
        <v/>
      </c>
      <c r="K782" s="36" t="str">
        <f ca="1">IFERROR(__xludf.DUMMYFUNCTION("""COMPUTED_VALUE"""),"")</f>
        <v/>
      </c>
      <c r="L782" s="36" t="str">
        <f ca="1">IFERROR(__xludf.DUMMYFUNCTION("""COMPUTED_VALUE"""),"")</f>
        <v/>
      </c>
      <c r="M782" s="36" t="str">
        <f ca="1">IFERROR(__xludf.DUMMYFUNCTION("""COMPUTED_VALUE"""),"")</f>
        <v/>
      </c>
      <c r="N782" s="36" t="str">
        <f ca="1">IFERROR(__xludf.DUMMYFUNCTION("""COMPUTED_VALUE"""),"")</f>
        <v/>
      </c>
      <c r="O782" s="36" t="str">
        <f ca="1">IFERROR(__xludf.DUMMYFUNCTION("""COMPUTED_VALUE"""),"")</f>
        <v/>
      </c>
      <c r="P782" s="36" t="str">
        <f ca="1">IFERROR(__xludf.DUMMYFUNCTION("""COMPUTED_VALUE"""),"")</f>
        <v/>
      </c>
      <c r="Q782" s="36" t="str">
        <f ca="1">IFERROR(__xludf.DUMMYFUNCTION("""COMPUTED_VALUE"""),"")</f>
        <v/>
      </c>
      <c r="R782" s="36" t="str">
        <f ca="1">IFERROR(__xludf.DUMMYFUNCTION("""COMPUTED_VALUE"""),"")</f>
        <v/>
      </c>
      <c r="S782" s="36" t="str">
        <f ca="1">IFERROR(__xludf.DUMMYFUNCTION("""COMPUTED_VALUE"""),"")</f>
        <v/>
      </c>
      <c r="T782" s="36" t="str">
        <f ca="1">IFERROR(__xludf.DUMMYFUNCTION("""COMPUTED_VALUE"""),"")</f>
        <v/>
      </c>
      <c r="U782" s="36" t="str">
        <f ca="1">IFERROR(__xludf.DUMMYFUNCTION("""COMPUTED_VALUE"""),"")</f>
        <v/>
      </c>
      <c r="V782" s="36" t="str">
        <f ca="1">IFERROR(__xludf.DUMMYFUNCTION("""COMPUTED_VALUE"""),"")</f>
        <v/>
      </c>
      <c r="W782" s="36" t="str">
        <f ca="1">IFERROR(__xludf.DUMMYFUNCTION("""COMPUTED_VALUE"""),"")</f>
        <v/>
      </c>
      <c r="X782" s="36"/>
      <c r="Y782" s="36"/>
      <c r="Z782" s="36"/>
    </row>
    <row r="783" spans="1:26" ht="12.75" hidden="1">
      <c r="A783" s="36" t="str">
        <f ca="1">IFERROR(__xludf.DUMMYFUNCTION("""COMPUTED_VALUE"""),"")</f>
        <v/>
      </c>
      <c r="B783" s="36" t="str">
        <f ca="1">IFERROR(__xludf.DUMMYFUNCTION("""COMPUTED_VALUE"""),"")</f>
        <v/>
      </c>
      <c r="C783" s="36" t="str">
        <f ca="1">IFERROR(__xludf.DUMMYFUNCTION("""COMPUTED_VALUE"""),"")</f>
        <v/>
      </c>
      <c r="D783" s="36" t="str">
        <f ca="1">IFERROR(__xludf.DUMMYFUNCTION("""COMPUTED_VALUE"""),"")</f>
        <v/>
      </c>
      <c r="E783" s="36" t="str">
        <f ca="1">IFERROR(__xludf.DUMMYFUNCTION("""COMPUTED_VALUE"""),"")</f>
        <v/>
      </c>
      <c r="F783" s="36" t="str">
        <f ca="1">IFERROR(__xludf.DUMMYFUNCTION("""COMPUTED_VALUE"""),"")</f>
        <v/>
      </c>
      <c r="G783" s="36" t="str">
        <f ca="1">IFERROR(__xludf.DUMMYFUNCTION("""COMPUTED_VALUE"""),"")</f>
        <v/>
      </c>
      <c r="H783" s="36" t="str">
        <f ca="1">IFERROR(__xludf.DUMMYFUNCTION("""COMPUTED_VALUE"""),"")</f>
        <v/>
      </c>
      <c r="I783" s="36" t="str">
        <f ca="1">IFERROR(__xludf.DUMMYFUNCTION("""COMPUTED_VALUE"""),"")</f>
        <v/>
      </c>
      <c r="J783" s="36" t="str">
        <f ca="1">IFERROR(__xludf.DUMMYFUNCTION("""COMPUTED_VALUE"""),"")</f>
        <v/>
      </c>
      <c r="K783" s="36" t="str">
        <f ca="1">IFERROR(__xludf.DUMMYFUNCTION("""COMPUTED_VALUE"""),"")</f>
        <v/>
      </c>
      <c r="L783" s="36" t="str">
        <f ca="1">IFERROR(__xludf.DUMMYFUNCTION("""COMPUTED_VALUE"""),"")</f>
        <v/>
      </c>
      <c r="M783" s="36" t="str">
        <f ca="1">IFERROR(__xludf.DUMMYFUNCTION("""COMPUTED_VALUE"""),"")</f>
        <v/>
      </c>
      <c r="N783" s="36" t="str">
        <f ca="1">IFERROR(__xludf.DUMMYFUNCTION("""COMPUTED_VALUE"""),"")</f>
        <v/>
      </c>
      <c r="O783" s="36" t="str">
        <f ca="1">IFERROR(__xludf.DUMMYFUNCTION("""COMPUTED_VALUE"""),"")</f>
        <v/>
      </c>
      <c r="P783" s="36" t="str">
        <f ca="1">IFERROR(__xludf.DUMMYFUNCTION("""COMPUTED_VALUE"""),"")</f>
        <v/>
      </c>
      <c r="Q783" s="36" t="str">
        <f ca="1">IFERROR(__xludf.DUMMYFUNCTION("""COMPUTED_VALUE"""),"")</f>
        <v/>
      </c>
      <c r="R783" s="36" t="str">
        <f ca="1">IFERROR(__xludf.DUMMYFUNCTION("""COMPUTED_VALUE"""),"")</f>
        <v/>
      </c>
      <c r="S783" s="36" t="str">
        <f ca="1">IFERROR(__xludf.DUMMYFUNCTION("""COMPUTED_VALUE"""),"")</f>
        <v/>
      </c>
      <c r="T783" s="36" t="str">
        <f ca="1">IFERROR(__xludf.DUMMYFUNCTION("""COMPUTED_VALUE"""),"")</f>
        <v/>
      </c>
      <c r="U783" s="36" t="str">
        <f ca="1">IFERROR(__xludf.DUMMYFUNCTION("""COMPUTED_VALUE"""),"")</f>
        <v/>
      </c>
      <c r="V783" s="36" t="str">
        <f ca="1">IFERROR(__xludf.DUMMYFUNCTION("""COMPUTED_VALUE"""),"")</f>
        <v/>
      </c>
      <c r="W783" s="36" t="str">
        <f ca="1">IFERROR(__xludf.DUMMYFUNCTION("""COMPUTED_VALUE"""),"")</f>
        <v/>
      </c>
      <c r="X783" s="36"/>
      <c r="Y783" s="36"/>
      <c r="Z783" s="36"/>
    </row>
    <row r="784" spans="1:26" ht="12.75" hidden="1">
      <c r="A784" s="36" t="str">
        <f ca="1">IFERROR(__xludf.DUMMYFUNCTION("""COMPUTED_VALUE"""),"")</f>
        <v/>
      </c>
      <c r="B784" s="36" t="str">
        <f ca="1">IFERROR(__xludf.DUMMYFUNCTION("""COMPUTED_VALUE"""),"")</f>
        <v/>
      </c>
      <c r="C784" s="36" t="str">
        <f ca="1">IFERROR(__xludf.DUMMYFUNCTION("""COMPUTED_VALUE"""),"")</f>
        <v/>
      </c>
      <c r="D784" s="36" t="str">
        <f ca="1">IFERROR(__xludf.DUMMYFUNCTION("""COMPUTED_VALUE"""),"")</f>
        <v/>
      </c>
      <c r="E784" s="36" t="str">
        <f ca="1">IFERROR(__xludf.DUMMYFUNCTION("""COMPUTED_VALUE"""),"")</f>
        <v/>
      </c>
      <c r="F784" s="36" t="str">
        <f ca="1">IFERROR(__xludf.DUMMYFUNCTION("""COMPUTED_VALUE"""),"")</f>
        <v/>
      </c>
      <c r="G784" s="36" t="str">
        <f ca="1">IFERROR(__xludf.DUMMYFUNCTION("""COMPUTED_VALUE"""),"")</f>
        <v/>
      </c>
      <c r="H784" s="36" t="str">
        <f ca="1">IFERROR(__xludf.DUMMYFUNCTION("""COMPUTED_VALUE"""),"")</f>
        <v/>
      </c>
      <c r="I784" s="36" t="str">
        <f ca="1">IFERROR(__xludf.DUMMYFUNCTION("""COMPUTED_VALUE"""),"")</f>
        <v/>
      </c>
      <c r="J784" s="36" t="str">
        <f ca="1">IFERROR(__xludf.DUMMYFUNCTION("""COMPUTED_VALUE"""),"")</f>
        <v/>
      </c>
      <c r="K784" s="36" t="str">
        <f ca="1">IFERROR(__xludf.DUMMYFUNCTION("""COMPUTED_VALUE"""),"")</f>
        <v/>
      </c>
      <c r="L784" s="36" t="str">
        <f ca="1">IFERROR(__xludf.DUMMYFUNCTION("""COMPUTED_VALUE"""),"")</f>
        <v/>
      </c>
      <c r="M784" s="36" t="str">
        <f ca="1">IFERROR(__xludf.DUMMYFUNCTION("""COMPUTED_VALUE"""),"")</f>
        <v/>
      </c>
      <c r="N784" s="36" t="str">
        <f ca="1">IFERROR(__xludf.DUMMYFUNCTION("""COMPUTED_VALUE"""),"")</f>
        <v/>
      </c>
      <c r="O784" s="36" t="str">
        <f ca="1">IFERROR(__xludf.DUMMYFUNCTION("""COMPUTED_VALUE"""),"")</f>
        <v/>
      </c>
      <c r="P784" s="36" t="str">
        <f ca="1">IFERROR(__xludf.DUMMYFUNCTION("""COMPUTED_VALUE"""),"")</f>
        <v/>
      </c>
      <c r="Q784" s="36" t="str">
        <f ca="1">IFERROR(__xludf.DUMMYFUNCTION("""COMPUTED_VALUE"""),"")</f>
        <v/>
      </c>
      <c r="R784" s="36" t="str">
        <f ca="1">IFERROR(__xludf.DUMMYFUNCTION("""COMPUTED_VALUE"""),"")</f>
        <v/>
      </c>
      <c r="S784" s="36" t="str">
        <f ca="1">IFERROR(__xludf.DUMMYFUNCTION("""COMPUTED_VALUE"""),"")</f>
        <v/>
      </c>
      <c r="T784" s="36" t="str">
        <f ca="1">IFERROR(__xludf.DUMMYFUNCTION("""COMPUTED_VALUE"""),"")</f>
        <v/>
      </c>
      <c r="U784" s="36" t="str">
        <f ca="1">IFERROR(__xludf.DUMMYFUNCTION("""COMPUTED_VALUE"""),"")</f>
        <v/>
      </c>
      <c r="V784" s="36" t="str">
        <f ca="1">IFERROR(__xludf.DUMMYFUNCTION("""COMPUTED_VALUE"""),"")</f>
        <v/>
      </c>
      <c r="W784" s="36" t="str">
        <f ca="1">IFERROR(__xludf.DUMMYFUNCTION("""COMPUTED_VALUE"""),"")</f>
        <v/>
      </c>
      <c r="X784" s="36"/>
      <c r="Y784" s="36"/>
      <c r="Z784" s="36"/>
    </row>
    <row r="785" spans="1:26" ht="12.75" hidden="1">
      <c r="A785" s="36" t="str">
        <f ca="1">IFERROR(__xludf.DUMMYFUNCTION("""COMPUTED_VALUE"""),"")</f>
        <v/>
      </c>
      <c r="B785" s="36" t="str">
        <f ca="1">IFERROR(__xludf.DUMMYFUNCTION("""COMPUTED_VALUE"""),"")</f>
        <v/>
      </c>
      <c r="C785" s="36" t="str">
        <f ca="1">IFERROR(__xludf.DUMMYFUNCTION("""COMPUTED_VALUE"""),"")</f>
        <v/>
      </c>
      <c r="D785" s="36" t="str">
        <f ca="1">IFERROR(__xludf.DUMMYFUNCTION("""COMPUTED_VALUE"""),"")</f>
        <v/>
      </c>
      <c r="E785" s="36" t="str">
        <f ca="1">IFERROR(__xludf.DUMMYFUNCTION("""COMPUTED_VALUE"""),"")</f>
        <v/>
      </c>
      <c r="F785" s="36" t="str">
        <f ca="1">IFERROR(__xludf.DUMMYFUNCTION("""COMPUTED_VALUE"""),"")</f>
        <v/>
      </c>
      <c r="G785" s="36" t="str">
        <f ca="1">IFERROR(__xludf.DUMMYFUNCTION("""COMPUTED_VALUE"""),"")</f>
        <v/>
      </c>
      <c r="H785" s="36" t="str">
        <f ca="1">IFERROR(__xludf.DUMMYFUNCTION("""COMPUTED_VALUE"""),"")</f>
        <v/>
      </c>
      <c r="I785" s="36" t="str">
        <f ca="1">IFERROR(__xludf.DUMMYFUNCTION("""COMPUTED_VALUE"""),"")</f>
        <v/>
      </c>
      <c r="J785" s="36" t="str">
        <f ca="1">IFERROR(__xludf.DUMMYFUNCTION("""COMPUTED_VALUE"""),"")</f>
        <v/>
      </c>
      <c r="K785" s="36" t="str">
        <f ca="1">IFERROR(__xludf.DUMMYFUNCTION("""COMPUTED_VALUE"""),"")</f>
        <v/>
      </c>
      <c r="L785" s="36" t="str">
        <f ca="1">IFERROR(__xludf.DUMMYFUNCTION("""COMPUTED_VALUE"""),"")</f>
        <v/>
      </c>
      <c r="M785" s="36" t="str">
        <f ca="1">IFERROR(__xludf.DUMMYFUNCTION("""COMPUTED_VALUE"""),"")</f>
        <v/>
      </c>
      <c r="N785" s="36" t="str">
        <f ca="1">IFERROR(__xludf.DUMMYFUNCTION("""COMPUTED_VALUE"""),"")</f>
        <v/>
      </c>
      <c r="O785" s="36" t="str">
        <f ca="1">IFERROR(__xludf.DUMMYFUNCTION("""COMPUTED_VALUE"""),"")</f>
        <v/>
      </c>
      <c r="P785" s="36" t="str">
        <f ca="1">IFERROR(__xludf.DUMMYFUNCTION("""COMPUTED_VALUE"""),"")</f>
        <v/>
      </c>
      <c r="Q785" s="36" t="str">
        <f ca="1">IFERROR(__xludf.DUMMYFUNCTION("""COMPUTED_VALUE"""),"")</f>
        <v/>
      </c>
      <c r="R785" s="36" t="str">
        <f ca="1">IFERROR(__xludf.DUMMYFUNCTION("""COMPUTED_VALUE"""),"")</f>
        <v/>
      </c>
      <c r="S785" s="36" t="str">
        <f ca="1">IFERROR(__xludf.DUMMYFUNCTION("""COMPUTED_VALUE"""),"")</f>
        <v/>
      </c>
      <c r="T785" s="36" t="str">
        <f ca="1">IFERROR(__xludf.DUMMYFUNCTION("""COMPUTED_VALUE"""),"")</f>
        <v/>
      </c>
      <c r="U785" s="36" t="str">
        <f ca="1">IFERROR(__xludf.DUMMYFUNCTION("""COMPUTED_VALUE"""),"")</f>
        <v/>
      </c>
      <c r="V785" s="36" t="str">
        <f ca="1">IFERROR(__xludf.DUMMYFUNCTION("""COMPUTED_VALUE"""),"")</f>
        <v/>
      </c>
      <c r="W785" s="36" t="str">
        <f ca="1">IFERROR(__xludf.DUMMYFUNCTION("""COMPUTED_VALUE"""),"")</f>
        <v/>
      </c>
      <c r="X785" s="36"/>
      <c r="Y785" s="36"/>
      <c r="Z785" s="36"/>
    </row>
    <row r="786" spans="1:26" ht="12.75" hidden="1">
      <c r="A786" s="36" t="str">
        <f ca="1">IFERROR(__xludf.DUMMYFUNCTION("""COMPUTED_VALUE"""),"")</f>
        <v/>
      </c>
      <c r="B786" s="36" t="str">
        <f ca="1">IFERROR(__xludf.DUMMYFUNCTION("""COMPUTED_VALUE"""),"")</f>
        <v/>
      </c>
      <c r="C786" s="36" t="str">
        <f ca="1">IFERROR(__xludf.DUMMYFUNCTION("""COMPUTED_VALUE"""),"")</f>
        <v/>
      </c>
      <c r="D786" s="36" t="str">
        <f ca="1">IFERROR(__xludf.DUMMYFUNCTION("""COMPUTED_VALUE"""),"")</f>
        <v/>
      </c>
      <c r="E786" s="36" t="str">
        <f ca="1">IFERROR(__xludf.DUMMYFUNCTION("""COMPUTED_VALUE"""),"")</f>
        <v/>
      </c>
      <c r="F786" s="36" t="str">
        <f ca="1">IFERROR(__xludf.DUMMYFUNCTION("""COMPUTED_VALUE"""),"")</f>
        <v/>
      </c>
      <c r="G786" s="36" t="str">
        <f ca="1">IFERROR(__xludf.DUMMYFUNCTION("""COMPUTED_VALUE"""),"")</f>
        <v/>
      </c>
      <c r="H786" s="36" t="str">
        <f ca="1">IFERROR(__xludf.DUMMYFUNCTION("""COMPUTED_VALUE"""),"")</f>
        <v/>
      </c>
      <c r="I786" s="36" t="str">
        <f ca="1">IFERROR(__xludf.DUMMYFUNCTION("""COMPUTED_VALUE"""),"")</f>
        <v/>
      </c>
      <c r="J786" s="36" t="str">
        <f ca="1">IFERROR(__xludf.DUMMYFUNCTION("""COMPUTED_VALUE"""),"")</f>
        <v/>
      </c>
      <c r="K786" s="36" t="str">
        <f ca="1">IFERROR(__xludf.DUMMYFUNCTION("""COMPUTED_VALUE"""),"")</f>
        <v/>
      </c>
      <c r="L786" s="36" t="str">
        <f ca="1">IFERROR(__xludf.DUMMYFUNCTION("""COMPUTED_VALUE"""),"")</f>
        <v/>
      </c>
      <c r="M786" s="36" t="str">
        <f ca="1">IFERROR(__xludf.DUMMYFUNCTION("""COMPUTED_VALUE"""),"")</f>
        <v/>
      </c>
      <c r="N786" s="36" t="str">
        <f ca="1">IFERROR(__xludf.DUMMYFUNCTION("""COMPUTED_VALUE"""),"")</f>
        <v/>
      </c>
      <c r="O786" s="36" t="str">
        <f ca="1">IFERROR(__xludf.DUMMYFUNCTION("""COMPUTED_VALUE"""),"")</f>
        <v/>
      </c>
      <c r="P786" s="36" t="str">
        <f ca="1">IFERROR(__xludf.DUMMYFUNCTION("""COMPUTED_VALUE"""),"")</f>
        <v/>
      </c>
      <c r="Q786" s="36" t="str">
        <f ca="1">IFERROR(__xludf.DUMMYFUNCTION("""COMPUTED_VALUE"""),"")</f>
        <v/>
      </c>
      <c r="R786" s="36" t="str">
        <f ca="1">IFERROR(__xludf.DUMMYFUNCTION("""COMPUTED_VALUE"""),"")</f>
        <v/>
      </c>
      <c r="S786" s="36" t="str">
        <f ca="1">IFERROR(__xludf.DUMMYFUNCTION("""COMPUTED_VALUE"""),"")</f>
        <v/>
      </c>
      <c r="T786" s="36" t="str">
        <f ca="1">IFERROR(__xludf.DUMMYFUNCTION("""COMPUTED_VALUE"""),"")</f>
        <v/>
      </c>
      <c r="U786" s="36" t="str">
        <f ca="1">IFERROR(__xludf.DUMMYFUNCTION("""COMPUTED_VALUE"""),"")</f>
        <v/>
      </c>
      <c r="V786" s="36" t="str">
        <f ca="1">IFERROR(__xludf.DUMMYFUNCTION("""COMPUTED_VALUE"""),"")</f>
        <v/>
      </c>
      <c r="W786" s="36" t="str">
        <f ca="1">IFERROR(__xludf.DUMMYFUNCTION("""COMPUTED_VALUE"""),"")</f>
        <v/>
      </c>
      <c r="X786" s="36"/>
      <c r="Y786" s="36"/>
      <c r="Z786" s="36"/>
    </row>
    <row r="787" spans="1:26" ht="12.75" hidden="1">
      <c r="A787" s="36" t="str">
        <f ca="1">IFERROR(__xludf.DUMMYFUNCTION("""COMPUTED_VALUE"""),"")</f>
        <v/>
      </c>
      <c r="B787" s="36" t="str">
        <f ca="1">IFERROR(__xludf.DUMMYFUNCTION("""COMPUTED_VALUE"""),"")</f>
        <v/>
      </c>
      <c r="C787" s="36" t="str">
        <f ca="1">IFERROR(__xludf.DUMMYFUNCTION("""COMPUTED_VALUE"""),"")</f>
        <v/>
      </c>
      <c r="D787" s="36" t="str">
        <f ca="1">IFERROR(__xludf.DUMMYFUNCTION("""COMPUTED_VALUE"""),"")</f>
        <v/>
      </c>
      <c r="E787" s="36" t="str">
        <f ca="1">IFERROR(__xludf.DUMMYFUNCTION("""COMPUTED_VALUE"""),"")</f>
        <v/>
      </c>
      <c r="F787" s="36" t="str">
        <f ca="1">IFERROR(__xludf.DUMMYFUNCTION("""COMPUTED_VALUE"""),"")</f>
        <v/>
      </c>
      <c r="G787" s="36" t="str">
        <f ca="1">IFERROR(__xludf.DUMMYFUNCTION("""COMPUTED_VALUE"""),"")</f>
        <v/>
      </c>
      <c r="H787" s="36" t="str">
        <f ca="1">IFERROR(__xludf.DUMMYFUNCTION("""COMPUTED_VALUE"""),"")</f>
        <v/>
      </c>
      <c r="I787" s="36" t="str">
        <f ca="1">IFERROR(__xludf.DUMMYFUNCTION("""COMPUTED_VALUE"""),"")</f>
        <v/>
      </c>
      <c r="J787" s="36" t="str">
        <f ca="1">IFERROR(__xludf.DUMMYFUNCTION("""COMPUTED_VALUE"""),"")</f>
        <v/>
      </c>
      <c r="K787" s="36" t="str">
        <f ca="1">IFERROR(__xludf.DUMMYFUNCTION("""COMPUTED_VALUE"""),"")</f>
        <v/>
      </c>
      <c r="L787" s="36" t="str">
        <f ca="1">IFERROR(__xludf.DUMMYFUNCTION("""COMPUTED_VALUE"""),"")</f>
        <v/>
      </c>
      <c r="M787" s="36" t="str">
        <f ca="1">IFERROR(__xludf.DUMMYFUNCTION("""COMPUTED_VALUE"""),"")</f>
        <v/>
      </c>
      <c r="N787" s="36" t="str">
        <f ca="1">IFERROR(__xludf.DUMMYFUNCTION("""COMPUTED_VALUE"""),"")</f>
        <v/>
      </c>
      <c r="O787" s="36" t="str">
        <f ca="1">IFERROR(__xludf.DUMMYFUNCTION("""COMPUTED_VALUE"""),"")</f>
        <v/>
      </c>
      <c r="P787" s="36" t="str">
        <f ca="1">IFERROR(__xludf.DUMMYFUNCTION("""COMPUTED_VALUE"""),"")</f>
        <v/>
      </c>
      <c r="Q787" s="36" t="str">
        <f ca="1">IFERROR(__xludf.DUMMYFUNCTION("""COMPUTED_VALUE"""),"")</f>
        <v/>
      </c>
      <c r="R787" s="36" t="str">
        <f ca="1">IFERROR(__xludf.DUMMYFUNCTION("""COMPUTED_VALUE"""),"")</f>
        <v/>
      </c>
      <c r="S787" s="36" t="str">
        <f ca="1">IFERROR(__xludf.DUMMYFUNCTION("""COMPUTED_VALUE"""),"")</f>
        <v/>
      </c>
      <c r="T787" s="36" t="str">
        <f ca="1">IFERROR(__xludf.DUMMYFUNCTION("""COMPUTED_VALUE"""),"")</f>
        <v/>
      </c>
      <c r="U787" s="36" t="str">
        <f ca="1">IFERROR(__xludf.DUMMYFUNCTION("""COMPUTED_VALUE"""),"")</f>
        <v/>
      </c>
      <c r="V787" s="36" t="str">
        <f ca="1">IFERROR(__xludf.DUMMYFUNCTION("""COMPUTED_VALUE"""),"")</f>
        <v/>
      </c>
      <c r="W787" s="36" t="str">
        <f ca="1">IFERROR(__xludf.DUMMYFUNCTION("""COMPUTED_VALUE"""),"")</f>
        <v/>
      </c>
      <c r="X787" s="36"/>
      <c r="Y787" s="36"/>
      <c r="Z787" s="36"/>
    </row>
    <row r="788" spans="1:26" ht="12.75" hidden="1">
      <c r="A788" s="36" t="str">
        <f ca="1">IFERROR(__xludf.DUMMYFUNCTION("""COMPUTED_VALUE"""),"")</f>
        <v/>
      </c>
      <c r="B788" s="36" t="str">
        <f ca="1">IFERROR(__xludf.DUMMYFUNCTION("""COMPUTED_VALUE"""),"")</f>
        <v/>
      </c>
      <c r="C788" s="36" t="str">
        <f ca="1">IFERROR(__xludf.DUMMYFUNCTION("""COMPUTED_VALUE"""),"")</f>
        <v/>
      </c>
      <c r="D788" s="36" t="str">
        <f ca="1">IFERROR(__xludf.DUMMYFUNCTION("""COMPUTED_VALUE"""),"")</f>
        <v/>
      </c>
      <c r="E788" s="36" t="str">
        <f ca="1">IFERROR(__xludf.DUMMYFUNCTION("""COMPUTED_VALUE"""),"")</f>
        <v/>
      </c>
      <c r="F788" s="36" t="str">
        <f ca="1">IFERROR(__xludf.DUMMYFUNCTION("""COMPUTED_VALUE"""),"")</f>
        <v/>
      </c>
      <c r="G788" s="36" t="str">
        <f ca="1">IFERROR(__xludf.DUMMYFUNCTION("""COMPUTED_VALUE"""),"")</f>
        <v/>
      </c>
      <c r="H788" s="36" t="str">
        <f ca="1">IFERROR(__xludf.DUMMYFUNCTION("""COMPUTED_VALUE"""),"")</f>
        <v/>
      </c>
      <c r="I788" s="36" t="str">
        <f ca="1">IFERROR(__xludf.DUMMYFUNCTION("""COMPUTED_VALUE"""),"")</f>
        <v/>
      </c>
      <c r="J788" s="36" t="str">
        <f ca="1">IFERROR(__xludf.DUMMYFUNCTION("""COMPUTED_VALUE"""),"")</f>
        <v/>
      </c>
      <c r="K788" s="36" t="str">
        <f ca="1">IFERROR(__xludf.DUMMYFUNCTION("""COMPUTED_VALUE"""),"")</f>
        <v/>
      </c>
      <c r="L788" s="36" t="str">
        <f ca="1">IFERROR(__xludf.DUMMYFUNCTION("""COMPUTED_VALUE"""),"")</f>
        <v/>
      </c>
      <c r="M788" s="36" t="str">
        <f ca="1">IFERROR(__xludf.DUMMYFUNCTION("""COMPUTED_VALUE"""),"")</f>
        <v/>
      </c>
      <c r="N788" s="36" t="str">
        <f ca="1">IFERROR(__xludf.DUMMYFUNCTION("""COMPUTED_VALUE"""),"")</f>
        <v/>
      </c>
      <c r="O788" s="36" t="str">
        <f ca="1">IFERROR(__xludf.DUMMYFUNCTION("""COMPUTED_VALUE"""),"")</f>
        <v/>
      </c>
      <c r="P788" s="36" t="str">
        <f ca="1">IFERROR(__xludf.DUMMYFUNCTION("""COMPUTED_VALUE"""),"")</f>
        <v/>
      </c>
      <c r="Q788" s="36" t="str">
        <f ca="1">IFERROR(__xludf.DUMMYFUNCTION("""COMPUTED_VALUE"""),"")</f>
        <v/>
      </c>
      <c r="R788" s="36" t="str">
        <f ca="1">IFERROR(__xludf.DUMMYFUNCTION("""COMPUTED_VALUE"""),"")</f>
        <v/>
      </c>
      <c r="S788" s="36" t="str">
        <f ca="1">IFERROR(__xludf.DUMMYFUNCTION("""COMPUTED_VALUE"""),"")</f>
        <v/>
      </c>
      <c r="T788" s="36" t="str">
        <f ca="1">IFERROR(__xludf.DUMMYFUNCTION("""COMPUTED_VALUE"""),"")</f>
        <v/>
      </c>
      <c r="U788" s="36" t="str">
        <f ca="1">IFERROR(__xludf.DUMMYFUNCTION("""COMPUTED_VALUE"""),"")</f>
        <v/>
      </c>
      <c r="V788" s="36" t="str">
        <f ca="1">IFERROR(__xludf.DUMMYFUNCTION("""COMPUTED_VALUE"""),"")</f>
        <v/>
      </c>
      <c r="W788" s="36" t="str">
        <f ca="1">IFERROR(__xludf.DUMMYFUNCTION("""COMPUTED_VALUE"""),"")</f>
        <v/>
      </c>
      <c r="X788" s="36"/>
      <c r="Y788" s="36"/>
      <c r="Z788" s="36"/>
    </row>
    <row r="789" spans="1:26" ht="12.75" hidden="1">
      <c r="A789" s="36" t="str">
        <f ca="1">IFERROR(__xludf.DUMMYFUNCTION("""COMPUTED_VALUE"""),"")</f>
        <v/>
      </c>
      <c r="B789" s="36" t="str">
        <f ca="1">IFERROR(__xludf.DUMMYFUNCTION("""COMPUTED_VALUE"""),"")</f>
        <v/>
      </c>
      <c r="C789" s="36" t="str">
        <f ca="1">IFERROR(__xludf.DUMMYFUNCTION("""COMPUTED_VALUE"""),"")</f>
        <v/>
      </c>
      <c r="D789" s="36" t="str">
        <f ca="1">IFERROR(__xludf.DUMMYFUNCTION("""COMPUTED_VALUE"""),"")</f>
        <v/>
      </c>
      <c r="E789" s="36" t="str">
        <f ca="1">IFERROR(__xludf.DUMMYFUNCTION("""COMPUTED_VALUE"""),"")</f>
        <v/>
      </c>
      <c r="F789" s="36" t="str">
        <f ca="1">IFERROR(__xludf.DUMMYFUNCTION("""COMPUTED_VALUE"""),"")</f>
        <v/>
      </c>
      <c r="G789" s="36" t="str">
        <f ca="1">IFERROR(__xludf.DUMMYFUNCTION("""COMPUTED_VALUE"""),"")</f>
        <v/>
      </c>
      <c r="H789" s="36" t="str">
        <f ca="1">IFERROR(__xludf.DUMMYFUNCTION("""COMPUTED_VALUE"""),"")</f>
        <v/>
      </c>
      <c r="I789" s="36" t="str">
        <f ca="1">IFERROR(__xludf.DUMMYFUNCTION("""COMPUTED_VALUE"""),"")</f>
        <v/>
      </c>
      <c r="J789" s="36" t="str">
        <f ca="1">IFERROR(__xludf.DUMMYFUNCTION("""COMPUTED_VALUE"""),"")</f>
        <v/>
      </c>
      <c r="K789" s="36" t="str">
        <f ca="1">IFERROR(__xludf.DUMMYFUNCTION("""COMPUTED_VALUE"""),"")</f>
        <v/>
      </c>
      <c r="L789" s="36" t="str">
        <f ca="1">IFERROR(__xludf.DUMMYFUNCTION("""COMPUTED_VALUE"""),"")</f>
        <v/>
      </c>
      <c r="M789" s="36" t="str">
        <f ca="1">IFERROR(__xludf.DUMMYFUNCTION("""COMPUTED_VALUE"""),"")</f>
        <v/>
      </c>
      <c r="N789" s="36" t="str">
        <f ca="1">IFERROR(__xludf.DUMMYFUNCTION("""COMPUTED_VALUE"""),"")</f>
        <v/>
      </c>
      <c r="O789" s="36" t="str">
        <f ca="1">IFERROR(__xludf.DUMMYFUNCTION("""COMPUTED_VALUE"""),"")</f>
        <v/>
      </c>
      <c r="P789" s="36" t="str">
        <f ca="1">IFERROR(__xludf.DUMMYFUNCTION("""COMPUTED_VALUE"""),"")</f>
        <v/>
      </c>
      <c r="Q789" s="36" t="str">
        <f ca="1">IFERROR(__xludf.DUMMYFUNCTION("""COMPUTED_VALUE"""),"")</f>
        <v/>
      </c>
      <c r="R789" s="36" t="str">
        <f ca="1">IFERROR(__xludf.DUMMYFUNCTION("""COMPUTED_VALUE"""),"")</f>
        <v/>
      </c>
      <c r="S789" s="36" t="str">
        <f ca="1">IFERROR(__xludf.DUMMYFUNCTION("""COMPUTED_VALUE"""),"")</f>
        <v/>
      </c>
      <c r="T789" s="36" t="str">
        <f ca="1">IFERROR(__xludf.DUMMYFUNCTION("""COMPUTED_VALUE"""),"")</f>
        <v/>
      </c>
      <c r="U789" s="36" t="str">
        <f ca="1">IFERROR(__xludf.DUMMYFUNCTION("""COMPUTED_VALUE"""),"")</f>
        <v/>
      </c>
      <c r="V789" s="36" t="str">
        <f ca="1">IFERROR(__xludf.DUMMYFUNCTION("""COMPUTED_VALUE"""),"")</f>
        <v/>
      </c>
      <c r="W789" s="36" t="str">
        <f ca="1">IFERROR(__xludf.DUMMYFUNCTION("""COMPUTED_VALUE"""),"")</f>
        <v/>
      </c>
      <c r="X789" s="36"/>
      <c r="Y789" s="36"/>
      <c r="Z789" s="36"/>
    </row>
    <row r="790" spans="1:26" ht="12.75" hidden="1">
      <c r="A790" s="36" t="str">
        <f ca="1">IFERROR(__xludf.DUMMYFUNCTION("""COMPUTED_VALUE"""),"")</f>
        <v/>
      </c>
      <c r="B790" s="36" t="str">
        <f ca="1">IFERROR(__xludf.DUMMYFUNCTION("""COMPUTED_VALUE"""),"")</f>
        <v/>
      </c>
      <c r="C790" s="36" t="str">
        <f ca="1">IFERROR(__xludf.DUMMYFUNCTION("""COMPUTED_VALUE"""),"")</f>
        <v/>
      </c>
      <c r="D790" s="36" t="str">
        <f ca="1">IFERROR(__xludf.DUMMYFUNCTION("""COMPUTED_VALUE"""),"")</f>
        <v/>
      </c>
      <c r="E790" s="36" t="str">
        <f ca="1">IFERROR(__xludf.DUMMYFUNCTION("""COMPUTED_VALUE"""),"")</f>
        <v/>
      </c>
      <c r="F790" s="36" t="str">
        <f ca="1">IFERROR(__xludf.DUMMYFUNCTION("""COMPUTED_VALUE"""),"")</f>
        <v/>
      </c>
      <c r="G790" s="36" t="str">
        <f ca="1">IFERROR(__xludf.DUMMYFUNCTION("""COMPUTED_VALUE"""),"")</f>
        <v/>
      </c>
      <c r="H790" s="36" t="str">
        <f ca="1">IFERROR(__xludf.DUMMYFUNCTION("""COMPUTED_VALUE"""),"")</f>
        <v/>
      </c>
      <c r="I790" s="36" t="str">
        <f ca="1">IFERROR(__xludf.DUMMYFUNCTION("""COMPUTED_VALUE"""),"")</f>
        <v/>
      </c>
      <c r="J790" s="36" t="str">
        <f ca="1">IFERROR(__xludf.DUMMYFUNCTION("""COMPUTED_VALUE"""),"")</f>
        <v/>
      </c>
      <c r="K790" s="36" t="str">
        <f ca="1">IFERROR(__xludf.DUMMYFUNCTION("""COMPUTED_VALUE"""),"")</f>
        <v/>
      </c>
      <c r="L790" s="36" t="str">
        <f ca="1">IFERROR(__xludf.DUMMYFUNCTION("""COMPUTED_VALUE"""),"")</f>
        <v/>
      </c>
      <c r="M790" s="36" t="str">
        <f ca="1">IFERROR(__xludf.DUMMYFUNCTION("""COMPUTED_VALUE"""),"")</f>
        <v/>
      </c>
      <c r="N790" s="36" t="str">
        <f ca="1">IFERROR(__xludf.DUMMYFUNCTION("""COMPUTED_VALUE"""),"")</f>
        <v/>
      </c>
      <c r="O790" s="36" t="str">
        <f ca="1">IFERROR(__xludf.DUMMYFUNCTION("""COMPUTED_VALUE"""),"")</f>
        <v/>
      </c>
      <c r="P790" s="36" t="str">
        <f ca="1">IFERROR(__xludf.DUMMYFUNCTION("""COMPUTED_VALUE"""),"")</f>
        <v/>
      </c>
      <c r="Q790" s="36" t="str">
        <f ca="1">IFERROR(__xludf.DUMMYFUNCTION("""COMPUTED_VALUE"""),"")</f>
        <v/>
      </c>
      <c r="R790" s="36" t="str">
        <f ca="1">IFERROR(__xludf.DUMMYFUNCTION("""COMPUTED_VALUE"""),"")</f>
        <v/>
      </c>
      <c r="S790" s="36" t="str">
        <f ca="1">IFERROR(__xludf.DUMMYFUNCTION("""COMPUTED_VALUE"""),"")</f>
        <v/>
      </c>
      <c r="T790" s="36" t="str">
        <f ca="1">IFERROR(__xludf.DUMMYFUNCTION("""COMPUTED_VALUE"""),"")</f>
        <v/>
      </c>
      <c r="U790" s="36" t="str">
        <f ca="1">IFERROR(__xludf.DUMMYFUNCTION("""COMPUTED_VALUE"""),"")</f>
        <v/>
      </c>
      <c r="V790" s="36" t="str">
        <f ca="1">IFERROR(__xludf.DUMMYFUNCTION("""COMPUTED_VALUE"""),"")</f>
        <v/>
      </c>
      <c r="W790" s="36" t="str">
        <f ca="1">IFERROR(__xludf.DUMMYFUNCTION("""COMPUTED_VALUE"""),"")</f>
        <v/>
      </c>
      <c r="X790" s="36"/>
      <c r="Y790" s="36"/>
      <c r="Z790" s="36"/>
    </row>
    <row r="791" spans="1:26" ht="12.75" hidden="1">
      <c r="A791" s="36" t="str">
        <f ca="1">IFERROR(__xludf.DUMMYFUNCTION("""COMPUTED_VALUE"""),"")</f>
        <v/>
      </c>
      <c r="B791" s="36" t="str">
        <f ca="1">IFERROR(__xludf.DUMMYFUNCTION("""COMPUTED_VALUE"""),"")</f>
        <v/>
      </c>
      <c r="C791" s="36" t="str">
        <f ca="1">IFERROR(__xludf.DUMMYFUNCTION("""COMPUTED_VALUE"""),"")</f>
        <v/>
      </c>
      <c r="D791" s="36" t="str">
        <f ca="1">IFERROR(__xludf.DUMMYFUNCTION("""COMPUTED_VALUE"""),"")</f>
        <v/>
      </c>
      <c r="E791" s="36" t="str">
        <f ca="1">IFERROR(__xludf.DUMMYFUNCTION("""COMPUTED_VALUE"""),"")</f>
        <v/>
      </c>
      <c r="F791" s="36" t="str">
        <f ca="1">IFERROR(__xludf.DUMMYFUNCTION("""COMPUTED_VALUE"""),"")</f>
        <v/>
      </c>
      <c r="G791" s="36" t="str">
        <f ca="1">IFERROR(__xludf.DUMMYFUNCTION("""COMPUTED_VALUE"""),"")</f>
        <v/>
      </c>
      <c r="H791" s="36" t="str">
        <f ca="1">IFERROR(__xludf.DUMMYFUNCTION("""COMPUTED_VALUE"""),"")</f>
        <v/>
      </c>
      <c r="I791" s="36" t="str">
        <f ca="1">IFERROR(__xludf.DUMMYFUNCTION("""COMPUTED_VALUE"""),"")</f>
        <v/>
      </c>
      <c r="J791" s="36" t="str">
        <f ca="1">IFERROR(__xludf.DUMMYFUNCTION("""COMPUTED_VALUE"""),"")</f>
        <v/>
      </c>
      <c r="K791" s="36" t="str">
        <f ca="1">IFERROR(__xludf.DUMMYFUNCTION("""COMPUTED_VALUE"""),"")</f>
        <v/>
      </c>
      <c r="L791" s="36" t="str">
        <f ca="1">IFERROR(__xludf.DUMMYFUNCTION("""COMPUTED_VALUE"""),"")</f>
        <v/>
      </c>
      <c r="M791" s="36" t="str">
        <f ca="1">IFERROR(__xludf.DUMMYFUNCTION("""COMPUTED_VALUE"""),"")</f>
        <v/>
      </c>
      <c r="N791" s="36" t="str">
        <f ca="1">IFERROR(__xludf.DUMMYFUNCTION("""COMPUTED_VALUE"""),"")</f>
        <v/>
      </c>
      <c r="O791" s="36" t="str">
        <f ca="1">IFERROR(__xludf.DUMMYFUNCTION("""COMPUTED_VALUE"""),"")</f>
        <v/>
      </c>
      <c r="P791" s="36" t="str">
        <f ca="1">IFERROR(__xludf.DUMMYFUNCTION("""COMPUTED_VALUE"""),"")</f>
        <v/>
      </c>
      <c r="Q791" s="36" t="str">
        <f ca="1">IFERROR(__xludf.DUMMYFUNCTION("""COMPUTED_VALUE"""),"")</f>
        <v/>
      </c>
      <c r="R791" s="36" t="str">
        <f ca="1">IFERROR(__xludf.DUMMYFUNCTION("""COMPUTED_VALUE"""),"")</f>
        <v/>
      </c>
      <c r="S791" s="36" t="str">
        <f ca="1">IFERROR(__xludf.DUMMYFUNCTION("""COMPUTED_VALUE"""),"")</f>
        <v/>
      </c>
      <c r="T791" s="36" t="str">
        <f ca="1">IFERROR(__xludf.DUMMYFUNCTION("""COMPUTED_VALUE"""),"")</f>
        <v/>
      </c>
      <c r="U791" s="36" t="str">
        <f ca="1">IFERROR(__xludf.DUMMYFUNCTION("""COMPUTED_VALUE"""),"")</f>
        <v/>
      </c>
      <c r="V791" s="36" t="str">
        <f ca="1">IFERROR(__xludf.DUMMYFUNCTION("""COMPUTED_VALUE"""),"")</f>
        <v/>
      </c>
      <c r="W791" s="36" t="str">
        <f ca="1">IFERROR(__xludf.DUMMYFUNCTION("""COMPUTED_VALUE"""),"")</f>
        <v/>
      </c>
      <c r="X791" s="36"/>
      <c r="Y791" s="36"/>
      <c r="Z791" s="36"/>
    </row>
    <row r="792" spans="1:26" ht="12.75" hidden="1">
      <c r="A792" s="36" t="str">
        <f ca="1">IFERROR(__xludf.DUMMYFUNCTION("""COMPUTED_VALUE"""),"")</f>
        <v/>
      </c>
      <c r="B792" s="36" t="str">
        <f ca="1">IFERROR(__xludf.DUMMYFUNCTION("""COMPUTED_VALUE"""),"")</f>
        <v/>
      </c>
      <c r="C792" s="36" t="str">
        <f ca="1">IFERROR(__xludf.DUMMYFUNCTION("""COMPUTED_VALUE"""),"")</f>
        <v/>
      </c>
      <c r="D792" s="36" t="str">
        <f ca="1">IFERROR(__xludf.DUMMYFUNCTION("""COMPUTED_VALUE"""),"")</f>
        <v/>
      </c>
      <c r="E792" s="36" t="str">
        <f ca="1">IFERROR(__xludf.DUMMYFUNCTION("""COMPUTED_VALUE"""),"")</f>
        <v/>
      </c>
      <c r="F792" s="36" t="str">
        <f ca="1">IFERROR(__xludf.DUMMYFUNCTION("""COMPUTED_VALUE"""),"")</f>
        <v/>
      </c>
      <c r="G792" s="36" t="str">
        <f ca="1">IFERROR(__xludf.DUMMYFUNCTION("""COMPUTED_VALUE"""),"")</f>
        <v/>
      </c>
      <c r="H792" s="36" t="str">
        <f ca="1">IFERROR(__xludf.DUMMYFUNCTION("""COMPUTED_VALUE"""),"")</f>
        <v/>
      </c>
      <c r="I792" s="36" t="str">
        <f ca="1">IFERROR(__xludf.DUMMYFUNCTION("""COMPUTED_VALUE"""),"")</f>
        <v/>
      </c>
      <c r="J792" s="36" t="str">
        <f ca="1">IFERROR(__xludf.DUMMYFUNCTION("""COMPUTED_VALUE"""),"")</f>
        <v/>
      </c>
      <c r="K792" s="36" t="str">
        <f ca="1">IFERROR(__xludf.DUMMYFUNCTION("""COMPUTED_VALUE"""),"")</f>
        <v/>
      </c>
      <c r="L792" s="36" t="str">
        <f ca="1">IFERROR(__xludf.DUMMYFUNCTION("""COMPUTED_VALUE"""),"")</f>
        <v/>
      </c>
      <c r="M792" s="36" t="str">
        <f ca="1">IFERROR(__xludf.DUMMYFUNCTION("""COMPUTED_VALUE"""),"")</f>
        <v/>
      </c>
      <c r="N792" s="36" t="str">
        <f ca="1">IFERROR(__xludf.DUMMYFUNCTION("""COMPUTED_VALUE"""),"")</f>
        <v/>
      </c>
      <c r="O792" s="36" t="str">
        <f ca="1">IFERROR(__xludf.DUMMYFUNCTION("""COMPUTED_VALUE"""),"")</f>
        <v/>
      </c>
      <c r="P792" s="36" t="str">
        <f ca="1">IFERROR(__xludf.DUMMYFUNCTION("""COMPUTED_VALUE"""),"")</f>
        <v/>
      </c>
      <c r="Q792" s="36" t="str">
        <f ca="1">IFERROR(__xludf.DUMMYFUNCTION("""COMPUTED_VALUE"""),"")</f>
        <v/>
      </c>
      <c r="R792" s="36" t="str">
        <f ca="1">IFERROR(__xludf.DUMMYFUNCTION("""COMPUTED_VALUE"""),"")</f>
        <v/>
      </c>
      <c r="S792" s="36" t="str">
        <f ca="1">IFERROR(__xludf.DUMMYFUNCTION("""COMPUTED_VALUE"""),"")</f>
        <v/>
      </c>
      <c r="T792" s="36" t="str">
        <f ca="1">IFERROR(__xludf.DUMMYFUNCTION("""COMPUTED_VALUE"""),"")</f>
        <v/>
      </c>
      <c r="U792" s="36" t="str">
        <f ca="1">IFERROR(__xludf.DUMMYFUNCTION("""COMPUTED_VALUE"""),"")</f>
        <v/>
      </c>
      <c r="V792" s="36" t="str">
        <f ca="1">IFERROR(__xludf.DUMMYFUNCTION("""COMPUTED_VALUE"""),"")</f>
        <v/>
      </c>
      <c r="W792" s="36" t="str">
        <f ca="1">IFERROR(__xludf.DUMMYFUNCTION("""COMPUTED_VALUE"""),"")</f>
        <v/>
      </c>
      <c r="X792" s="36"/>
      <c r="Y792" s="36"/>
      <c r="Z792" s="36"/>
    </row>
    <row r="793" spans="1:26" ht="12.75" hidden="1">
      <c r="A793" s="36" t="str">
        <f ca="1">IFERROR(__xludf.DUMMYFUNCTION("""COMPUTED_VALUE"""),"")</f>
        <v/>
      </c>
      <c r="B793" s="36" t="str">
        <f ca="1">IFERROR(__xludf.DUMMYFUNCTION("""COMPUTED_VALUE"""),"")</f>
        <v/>
      </c>
      <c r="C793" s="36" t="str">
        <f ca="1">IFERROR(__xludf.DUMMYFUNCTION("""COMPUTED_VALUE"""),"")</f>
        <v/>
      </c>
      <c r="D793" s="36" t="str">
        <f ca="1">IFERROR(__xludf.DUMMYFUNCTION("""COMPUTED_VALUE"""),"")</f>
        <v/>
      </c>
      <c r="E793" s="36" t="str">
        <f ca="1">IFERROR(__xludf.DUMMYFUNCTION("""COMPUTED_VALUE"""),"")</f>
        <v/>
      </c>
      <c r="F793" s="36" t="str">
        <f ca="1">IFERROR(__xludf.DUMMYFUNCTION("""COMPUTED_VALUE"""),"")</f>
        <v/>
      </c>
      <c r="G793" s="36" t="str">
        <f ca="1">IFERROR(__xludf.DUMMYFUNCTION("""COMPUTED_VALUE"""),"")</f>
        <v/>
      </c>
      <c r="H793" s="36" t="str">
        <f ca="1">IFERROR(__xludf.DUMMYFUNCTION("""COMPUTED_VALUE"""),"")</f>
        <v/>
      </c>
      <c r="I793" s="36" t="str">
        <f ca="1">IFERROR(__xludf.DUMMYFUNCTION("""COMPUTED_VALUE"""),"")</f>
        <v/>
      </c>
      <c r="J793" s="36" t="str">
        <f ca="1">IFERROR(__xludf.DUMMYFUNCTION("""COMPUTED_VALUE"""),"")</f>
        <v/>
      </c>
      <c r="K793" s="36" t="str">
        <f ca="1">IFERROR(__xludf.DUMMYFUNCTION("""COMPUTED_VALUE"""),"")</f>
        <v/>
      </c>
      <c r="L793" s="36" t="str">
        <f ca="1">IFERROR(__xludf.DUMMYFUNCTION("""COMPUTED_VALUE"""),"")</f>
        <v/>
      </c>
      <c r="M793" s="36" t="str">
        <f ca="1">IFERROR(__xludf.DUMMYFUNCTION("""COMPUTED_VALUE"""),"")</f>
        <v/>
      </c>
      <c r="N793" s="36" t="str">
        <f ca="1">IFERROR(__xludf.DUMMYFUNCTION("""COMPUTED_VALUE"""),"")</f>
        <v/>
      </c>
      <c r="O793" s="36" t="str">
        <f ca="1">IFERROR(__xludf.DUMMYFUNCTION("""COMPUTED_VALUE"""),"")</f>
        <v/>
      </c>
      <c r="P793" s="36" t="str">
        <f ca="1">IFERROR(__xludf.DUMMYFUNCTION("""COMPUTED_VALUE"""),"")</f>
        <v/>
      </c>
      <c r="Q793" s="36" t="str">
        <f ca="1">IFERROR(__xludf.DUMMYFUNCTION("""COMPUTED_VALUE"""),"")</f>
        <v/>
      </c>
      <c r="R793" s="36" t="str">
        <f ca="1">IFERROR(__xludf.DUMMYFUNCTION("""COMPUTED_VALUE"""),"")</f>
        <v/>
      </c>
      <c r="S793" s="36" t="str">
        <f ca="1">IFERROR(__xludf.DUMMYFUNCTION("""COMPUTED_VALUE"""),"")</f>
        <v/>
      </c>
      <c r="T793" s="36" t="str">
        <f ca="1">IFERROR(__xludf.DUMMYFUNCTION("""COMPUTED_VALUE"""),"")</f>
        <v/>
      </c>
      <c r="U793" s="36" t="str">
        <f ca="1">IFERROR(__xludf.DUMMYFUNCTION("""COMPUTED_VALUE"""),"")</f>
        <v/>
      </c>
      <c r="V793" s="36" t="str">
        <f ca="1">IFERROR(__xludf.DUMMYFUNCTION("""COMPUTED_VALUE"""),"")</f>
        <v/>
      </c>
      <c r="W793" s="36" t="str">
        <f ca="1">IFERROR(__xludf.DUMMYFUNCTION("""COMPUTED_VALUE"""),"")</f>
        <v/>
      </c>
      <c r="X793" s="36"/>
      <c r="Y793" s="36"/>
      <c r="Z793" s="36"/>
    </row>
    <row r="794" spans="1:26" ht="12.75" hidden="1">
      <c r="A794" s="36" t="str">
        <f ca="1">IFERROR(__xludf.DUMMYFUNCTION("""COMPUTED_VALUE"""),"")</f>
        <v/>
      </c>
      <c r="B794" s="36" t="str">
        <f ca="1">IFERROR(__xludf.DUMMYFUNCTION("""COMPUTED_VALUE"""),"")</f>
        <v/>
      </c>
      <c r="C794" s="36" t="str">
        <f ca="1">IFERROR(__xludf.DUMMYFUNCTION("""COMPUTED_VALUE"""),"")</f>
        <v/>
      </c>
      <c r="D794" s="36" t="str">
        <f ca="1">IFERROR(__xludf.DUMMYFUNCTION("""COMPUTED_VALUE"""),"")</f>
        <v/>
      </c>
      <c r="E794" s="36" t="str">
        <f ca="1">IFERROR(__xludf.DUMMYFUNCTION("""COMPUTED_VALUE"""),"")</f>
        <v/>
      </c>
      <c r="F794" s="36" t="str">
        <f ca="1">IFERROR(__xludf.DUMMYFUNCTION("""COMPUTED_VALUE"""),"")</f>
        <v/>
      </c>
      <c r="G794" s="36" t="str">
        <f ca="1">IFERROR(__xludf.DUMMYFUNCTION("""COMPUTED_VALUE"""),"")</f>
        <v/>
      </c>
      <c r="H794" s="36" t="str">
        <f ca="1">IFERROR(__xludf.DUMMYFUNCTION("""COMPUTED_VALUE"""),"")</f>
        <v/>
      </c>
      <c r="I794" s="36" t="str">
        <f ca="1">IFERROR(__xludf.DUMMYFUNCTION("""COMPUTED_VALUE"""),"")</f>
        <v/>
      </c>
      <c r="J794" s="36" t="str">
        <f ca="1">IFERROR(__xludf.DUMMYFUNCTION("""COMPUTED_VALUE"""),"")</f>
        <v/>
      </c>
      <c r="K794" s="36" t="str">
        <f ca="1">IFERROR(__xludf.DUMMYFUNCTION("""COMPUTED_VALUE"""),"")</f>
        <v/>
      </c>
      <c r="L794" s="36" t="str">
        <f ca="1">IFERROR(__xludf.DUMMYFUNCTION("""COMPUTED_VALUE"""),"")</f>
        <v/>
      </c>
      <c r="M794" s="36" t="str">
        <f ca="1">IFERROR(__xludf.DUMMYFUNCTION("""COMPUTED_VALUE"""),"")</f>
        <v/>
      </c>
      <c r="N794" s="36" t="str">
        <f ca="1">IFERROR(__xludf.DUMMYFUNCTION("""COMPUTED_VALUE"""),"")</f>
        <v/>
      </c>
      <c r="O794" s="36" t="str">
        <f ca="1">IFERROR(__xludf.DUMMYFUNCTION("""COMPUTED_VALUE"""),"")</f>
        <v/>
      </c>
      <c r="P794" s="36" t="str">
        <f ca="1">IFERROR(__xludf.DUMMYFUNCTION("""COMPUTED_VALUE"""),"")</f>
        <v/>
      </c>
      <c r="Q794" s="36" t="str">
        <f ca="1">IFERROR(__xludf.DUMMYFUNCTION("""COMPUTED_VALUE"""),"")</f>
        <v/>
      </c>
      <c r="R794" s="36" t="str">
        <f ca="1">IFERROR(__xludf.DUMMYFUNCTION("""COMPUTED_VALUE"""),"")</f>
        <v/>
      </c>
      <c r="S794" s="36" t="str">
        <f ca="1">IFERROR(__xludf.DUMMYFUNCTION("""COMPUTED_VALUE"""),"")</f>
        <v/>
      </c>
      <c r="T794" s="36" t="str">
        <f ca="1">IFERROR(__xludf.DUMMYFUNCTION("""COMPUTED_VALUE"""),"")</f>
        <v/>
      </c>
      <c r="U794" s="36" t="str">
        <f ca="1">IFERROR(__xludf.DUMMYFUNCTION("""COMPUTED_VALUE"""),"")</f>
        <v/>
      </c>
      <c r="V794" s="36" t="str">
        <f ca="1">IFERROR(__xludf.DUMMYFUNCTION("""COMPUTED_VALUE"""),"")</f>
        <v/>
      </c>
      <c r="W794" s="36" t="str">
        <f ca="1">IFERROR(__xludf.DUMMYFUNCTION("""COMPUTED_VALUE"""),"")</f>
        <v/>
      </c>
      <c r="X794" s="36"/>
      <c r="Y794" s="36"/>
      <c r="Z794" s="36"/>
    </row>
    <row r="795" spans="1:26" ht="12.75" hidden="1">
      <c r="A795" s="36" t="str">
        <f ca="1">IFERROR(__xludf.DUMMYFUNCTION("""COMPUTED_VALUE"""),"")</f>
        <v/>
      </c>
      <c r="B795" s="36" t="str">
        <f ca="1">IFERROR(__xludf.DUMMYFUNCTION("""COMPUTED_VALUE"""),"")</f>
        <v/>
      </c>
      <c r="C795" s="36" t="str">
        <f ca="1">IFERROR(__xludf.DUMMYFUNCTION("""COMPUTED_VALUE"""),"")</f>
        <v/>
      </c>
      <c r="D795" s="36" t="str">
        <f ca="1">IFERROR(__xludf.DUMMYFUNCTION("""COMPUTED_VALUE"""),"")</f>
        <v/>
      </c>
      <c r="E795" s="36" t="str">
        <f ca="1">IFERROR(__xludf.DUMMYFUNCTION("""COMPUTED_VALUE"""),"")</f>
        <v/>
      </c>
      <c r="F795" s="36" t="str">
        <f ca="1">IFERROR(__xludf.DUMMYFUNCTION("""COMPUTED_VALUE"""),"")</f>
        <v/>
      </c>
      <c r="G795" s="36" t="str">
        <f ca="1">IFERROR(__xludf.DUMMYFUNCTION("""COMPUTED_VALUE"""),"")</f>
        <v/>
      </c>
      <c r="H795" s="36" t="str">
        <f ca="1">IFERROR(__xludf.DUMMYFUNCTION("""COMPUTED_VALUE"""),"")</f>
        <v/>
      </c>
      <c r="I795" s="36" t="str">
        <f ca="1">IFERROR(__xludf.DUMMYFUNCTION("""COMPUTED_VALUE"""),"")</f>
        <v/>
      </c>
      <c r="J795" s="36" t="str">
        <f ca="1">IFERROR(__xludf.DUMMYFUNCTION("""COMPUTED_VALUE"""),"")</f>
        <v/>
      </c>
      <c r="K795" s="36" t="str">
        <f ca="1">IFERROR(__xludf.DUMMYFUNCTION("""COMPUTED_VALUE"""),"")</f>
        <v/>
      </c>
      <c r="L795" s="36" t="str">
        <f ca="1">IFERROR(__xludf.DUMMYFUNCTION("""COMPUTED_VALUE"""),"")</f>
        <v/>
      </c>
      <c r="M795" s="36" t="str">
        <f ca="1">IFERROR(__xludf.DUMMYFUNCTION("""COMPUTED_VALUE"""),"")</f>
        <v/>
      </c>
      <c r="N795" s="36" t="str">
        <f ca="1">IFERROR(__xludf.DUMMYFUNCTION("""COMPUTED_VALUE"""),"")</f>
        <v/>
      </c>
      <c r="O795" s="36" t="str">
        <f ca="1">IFERROR(__xludf.DUMMYFUNCTION("""COMPUTED_VALUE"""),"")</f>
        <v/>
      </c>
      <c r="P795" s="36" t="str">
        <f ca="1">IFERROR(__xludf.DUMMYFUNCTION("""COMPUTED_VALUE"""),"")</f>
        <v/>
      </c>
      <c r="Q795" s="36" t="str">
        <f ca="1">IFERROR(__xludf.DUMMYFUNCTION("""COMPUTED_VALUE"""),"")</f>
        <v/>
      </c>
      <c r="R795" s="36" t="str">
        <f ca="1">IFERROR(__xludf.DUMMYFUNCTION("""COMPUTED_VALUE"""),"")</f>
        <v/>
      </c>
      <c r="S795" s="36" t="str">
        <f ca="1">IFERROR(__xludf.DUMMYFUNCTION("""COMPUTED_VALUE"""),"")</f>
        <v/>
      </c>
      <c r="T795" s="36" t="str">
        <f ca="1">IFERROR(__xludf.DUMMYFUNCTION("""COMPUTED_VALUE"""),"")</f>
        <v/>
      </c>
      <c r="U795" s="36" t="str">
        <f ca="1">IFERROR(__xludf.DUMMYFUNCTION("""COMPUTED_VALUE"""),"")</f>
        <v/>
      </c>
      <c r="V795" s="36" t="str">
        <f ca="1">IFERROR(__xludf.DUMMYFUNCTION("""COMPUTED_VALUE"""),"")</f>
        <v/>
      </c>
      <c r="W795" s="36" t="str">
        <f ca="1">IFERROR(__xludf.DUMMYFUNCTION("""COMPUTED_VALUE"""),"")</f>
        <v/>
      </c>
      <c r="X795" s="36"/>
      <c r="Y795" s="36"/>
      <c r="Z795" s="36"/>
    </row>
    <row r="796" spans="1:26" ht="12.75" hidden="1">
      <c r="A796" s="36" t="str">
        <f ca="1">IFERROR(__xludf.DUMMYFUNCTION("""COMPUTED_VALUE"""),"")</f>
        <v/>
      </c>
      <c r="B796" s="36" t="str">
        <f ca="1">IFERROR(__xludf.DUMMYFUNCTION("""COMPUTED_VALUE"""),"")</f>
        <v/>
      </c>
      <c r="C796" s="36" t="str">
        <f ca="1">IFERROR(__xludf.DUMMYFUNCTION("""COMPUTED_VALUE"""),"")</f>
        <v/>
      </c>
      <c r="D796" s="36" t="str">
        <f ca="1">IFERROR(__xludf.DUMMYFUNCTION("""COMPUTED_VALUE"""),"")</f>
        <v/>
      </c>
      <c r="E796" s="36" t="str">
        <f ca="1">IFERROR(__xludf.DUMMYFUNCTION("""COMPUTED_VALUE"""),"")</f>
        <v/>
      </c>
      <c r="F796" s="36" t="str">
        <f ca="1">IFERROR(__xludf.DUMMYFUNCTION("""COMPUTED_VALUE"""),"")</f>
        <v/>
      </c>
      <c r="G796" s="36" t="str">
        <f ca="1">IFERROR(__xludf.DUMMYFUNCTION("""COMPUTED_VALUE"""),"")</f>
        <v/>
      </c>
      <c r="H796" s="36" t="str">
        <f ca="1">IFERROR(__xludf.DUMMYFUNCTION("""COMPUTED_VALUE"""),"")</f>
        <v/>
      </c>
      <c r="I796" s="36" t="str">
        <f ca="1">IFERROR(__xludf.DUMMYFUNCTION("""COMPUTED_VALUE"""),"")</f>
        <v/>
      </c>
      <c r="J796" s="36" t="str">
        <f ca="1">IFERROR(__xludf.DUMMYFUNCTION("""COMPUTED_VALUE"""),"")</f>
        <v/>
      </c>
      <c r="K796" s="36" t="str">
        <f ca="1">IFERROR(__xludf.DUMMYFUNCTION("""COMPUTED_VALUE"""),"")</f>
        <v/>
      </c>
      <c r="L796" s="36" t="str">
        <f ca="1">IFERROR(__xludf.DUMMYFUNCTION("""COMPUTED_VALUE"""),"")</f>
        <v/>
      </c>
      <c r="M796" s="36" t="str">
        <f ca="1">IFERROR(__xludf.DUMMYFUNCTION("""COMPUTED_VALUE"""),"")</f>
        <v/>
      </c>
      <c r="N796" s="36" t="str">
        <f ca="1">IFERROR(__xludf.DUMMYFUNCTION("""COMPUTED_VALUE"""),"")</f>
        <v/>
      </c>
      <c r="O796" s="36" t="str">
        <f ca="1">IFERROR(__xludf.DUMMYFUNCTION("""COMPUTED_VALUE"""),"")</f>
        <v/>
      </c>
      <c r="P796" s="36" t="str">
        <f ca="1">IFERROR(__xludf.DUMMYFUNCTION("""COMPUTED_VALUE"""),"")</f>
        <v/>
      </c>
      <c r="Q796" s="36" t="str">
        <f ca="1">IFERROR(__xludf.DUMMYFUNCTION("""COMPUTED_VALUE"""),"")</f>
        <v/>
      </c>
      <c r="R796" s="36" t="str">
        <f ca="1">IFERROR(__xludf.DUMMYFUNCTION("""COMPUTED_VALUE"""),"")</f>
        <v/>
      </c>
      <c r="S796" s="36" t="str">
        <f ca="1">IFERROR(__xludf.DUMMYFUNCTION("""COMPUTED_VALUE"""),"")</f>
        <v/>
      </c>
      <c r="T796" s="36" t="str">
        <f ca="1">IFERROR(__xludf.DUMMYFUNCTION("""COMPUTED_VALUE"""),"")</f>
        <v/>
      </c>
      <c r="U796" s="36" t="str">
        <f ca="1">IFERROR(__xludf.DUMMYFUNCTION("""COMPUTED_VALUE"""),"")</f>
        <v/>
      </c>
      <c r="V796" s="36" t="str">
        <f ca="1">IFERROR(__xludf.DUMMYFUNCTION("""COMPUTED_VALUE"""),"")</f>
        <v/>
      </c>
      <c r="W796" s="36" t="str">
        <f ca="1">IFERROR(__xludf.DUMMYFUNCTION("""COMPUTED_VALUE"""),"")</f>
        <v/>
      </c>
      <c r="X796" s="36"/>
      <c r="Y796" s="36"/>
      <c r="Z796" s="36"/>
    </row>
    <row r="797" spans="1:26" ht="12.75" hidden="1">
      <c r="A797" s="36" t="str">
        <f ca="1">IFERROR(__xludf.DUMMYFUNCTION("""COMPUTED_VALUE"""),"")</f>
        <v/>
      </c>
      <c r="B797" s="36" t="str">
        <f ca="1">IFERROR(__xludf.DUMMYFUNCTION("""COMPUTED_VALUE"""),"")</f>
        <v/>
      </c>
      <c r="C797" s="36" t="str">
        <f ca="1">IFERROR(__xludf.DUMMYFUNCTION("""COMPUTED_VALUE"""),"")</f>
        <v/>
      </c>
      <c r="D797" s="36" t="str">
        <f ca="1">IFERROR(__xludf.DUMMYFUNCTION("""COMPUTED_VALUE"""),"")</f>
        <v/>
      </c>
      <c r="E797" s="36" t="str">
        <f ca="1">IFERROR(__xludf.DUMMYFUNCTION("""COMPUTED_VALUE"""),"")</f>
        <v/>
      </c>
      <c r="F797" s="36" t="str">
        <f ca="1">IFERROR(__xludf.DUMMYFUNCTION("""COMPUTED_VALUE"""),"")</f>
        <v/>
      </c>
      <c r="G797" s="36" t="str">
        <f ca="1">IFERROR(__xludf.DUMMYFUNCTION("""COMPUTED_VALUE"""),"")</f>
        <v/>
      </c>
      <c r="H797" s="36" t="str">
        <f ca="1">IFERROR(__xludf.DUMMYFUNCTION("""COMPUTED_VALUE"""),"")</f>
        <v/>
      </c>
      <c r="I797" s="36" t="str">
        <f ca="1">IFERROR(__xludf.DUMMYFUNCTION("""COMPUTED_VALUE"""),"")</f>
        <v/>
      </c>
      <c r="J797" s="36" t="str">
        <f ca="1">IFERROR(__xludf.DUMMYFUNCTION("""COMPUTED_VALUE"""),"")</f>
        <v/>
      </c>
      <c r="K797" s="36" t="str">
        <f ca="1">IFERROR(__xludf.DUMMYFUNCTION("""COMPUTED_VALUE"""),"")</f>
        <v/>
      </c>
      <c r="L797" s="36" t="str">
        <f ca="1">IFERROR(__xludf.DUMMYFUNCTION("""COMPUTED_VALUE"""),"")</f>
        <v/>
      </c>
      <c r="M797" s="36" t="str">
        <f ca="1">IFERROR(__xludf.DUMMYFUNCTION("""COMPUTED_VALUE"""),"")</f>
        <v/>
      </c>
      <c r="N797" s="36" t="str">
        <f ca="1">IFERROR(__xludf.DUMMYFUNCTION("""COMPUTED_VALUE"""),"")</f>
        <v/>
      </c>
      <c r="O797" s="36" t="str">
        <f ca="1">IFERROR(__xludf.DUMMYFUNCTION("""COMPUTED_VALUE"""),"")</f>
        <v/>
      </c>
      <c r="P797" s="36" t="str">
        <f ca="1">IFERROR(__xludf.DUMMYFUNCTION("""COMPUTED_VALUE"""),"")</f>
        <v/>
      </c>
      <c r="Q797" s="36" t="str">
        <f ca="1">IFERROR(__xludf.DUMMYFUNCTION("""COMPUTED_VALUE"""),"")</f>
        <v/>
      </c>
      <c r="R797" s="36" t="str">
        <f ca="1">IFERROR(__xludf.DUMMYFUNCTION("""COMPUTED_VALUE"""),"")</f>
        <v/>
      </c>
      <c r="S797" s="36" t="str">
        <f ca="1">IFERROR(__xludf.DUMMYFUNCTION("""COMPUTED_VALUE"""),"")</f>
        <v/>
      </c>
      <c r="T797" s="36" t="str">
        <f ca="1">IFERROR(__xludf.DUMMYFUNCTION("""COMPUTED_VALUE"""),"")</f>
        <v/>
      </c>
      <c r="U797" s="36" t="str">
        <f ca="1">IFERROR(__xludf.DUMMYFUNCTION("""COMPUTED_VALUE"""),"")</f>
        <v/>
      </c>
      <c r="V797" s="36" t="str">
        <f ca="1">IFERROR(__xludf.DUMMYFUNCTION("""COMPUTED_VALUE"""),"")</f>
        <v/>
      </c>
      <c r="W797" s="36" t="str">
        <f ca="1">IFERROR(__xludf.DUMMYFUNCTION("""COMPUTED_VALUE"""),"")</f>
        <v/>
      </c>
      <c r="X797" s="36"/>
      <c r="Y797" s="36"/>
      <c r="Z797" s="36"/>
    </row>
    <row r="798" spans="1:26" ht="12.75" hidden="1">
      <c r="A798" s="36" t="str">
        <f ca="1">IFERROR(__xludf.DUMMYFUNCTION("""COMPUTED_VALUE"""),"")</f>
        <v/>
      </c>
      <c r="B798" s="36" t="str">
        <f ca="1">IFERROR(__xludf.DUMMYFUNCTION("""COMPUTED_VALUE"""),"")</f>
        <v/>
      </c>
      <c r="C798" s="36" t="str">
        <f ca="1">IFERROR(__xludf.DUMMYFUNCTION("""COMPUTED_VALUE"""),"")</f>
        <v/>
      </c>
      <c r="D798" s="36" t="str">
        <f ca="1">IFERROR(__xludf.DUMMYFUNCTION("""COMPUTED_VALUE"""),"")</f>
        <v/>
      </c>
      <c r="E798" s="36" t="str">
        <f ca="1">IFERROR(__xludf.DUMMYFUNCTION("""COMPUTED_VALUE"""),"")</f>
        <v/>
      </c>
      <c r="F798" s="36" t="str">
        <f ca="1">IFERROR(__xludf.DUMMYFUNCTION("""COMPUTED_VALUE"""),"")</f>
        <v/>
      </c>
      <c r="G798" s="36" t="str">
        <f ca="1">IFERROR(__xludf.DUMMYFUNCTION("""COMPUTED_VALUE"""),"")</f>
        <v/>
      </c>
      <c r="H798" s="36" t="str">
        <f ca="1">IFERROR(__xludf.DUMMYFUNCTION("""COMPUTED_VALUE"""),"")</f>
        <v/>
      </c>
      <c r="I798" s="36" t="str">
        <f ca="1">IFERROR(__xludf.DUMMYFUNCTION("""COMPUTED_VALUE"""),"")</f>
        <v/>
      </c>
      <c r="J798" s="36" t="str">
        <f ca="1">IFERROR(__xludf.DUMMYFUNCTION("""COMPUTED_VALUE"""),"")</f>
        <v/>
      </c>
      <c r="K798" s="36" t="str">
        <f ca="1">IFERROR(__xludf.DUMMYFUNCTION("""COMPUTED_VALUE"""),"")</f>
        <v/>
      </c>
      <c r="L798" s="36" t="str">
        <f ca="1">IFERROR(__xludf.DUMMYFUNCTION("""COMPUTED_VALUE"""),"")</f>
        <v/>
      </c>
      <c r="M798" s="36" t="str">
        <f ca="1">IFERROR(__xludf.DUMMYFUNCTION("""COMPUTED_VALUE"""),"")</f>
        <v/>
      </c>
      <c r="N798" s="36" t="str">
        <f ca="1">IFERROR(__xludf.DUMMYFUNCTION("""COMPUTED_VALUE"""),"")</f>
        <v/>
      </c>
      <c r="O798" s="36" t="str">
        <f ca="1">IFERROR(__xludf.DUMMYFUNCTION("""COMPUTED_VALUE"""),"")</f>
        <v/>
      </c>
      <c r="P798" s="36" t="str">
        <f ca="1">IFERROR(__xludf.DUMMYFUNCTION("""COMPUTED_VALUE"""),"")</f>
        <v/>
      </c>
      <c r="Q798" s="36" t="str">
        <f ca="1">IFERROR(__xludf.DUMMYFUNCTION("""COMPUTED_VALUE"""),"")</f>
        <v/>
      </c>
      <c r="R798" s="36" t="str">
        <f ca="1">IFERROR(__xludf.DUMMYFUNCTION("""COMPUTED_VALUE"""),"")</f>
        <v/>
      </c>
      <c r="S798" s="36" t="str">
        <f ca="1">IFERROR(__xludf.DUMMYFUNCTION("""COMPUTED_VALUE"""),"")</f>
        <v/>
      </c>
      <c r="T798" s="36" t="str">
        <f ca="1">IFERROR(__xludf.DUMMYFUNCTION("""COMPUTED_VALUE"""),"")</f>
        <v/>
      </c>
      <c r="U798" s="36" t="str">
        <f ca="1">IFERROR(__xludf.DUMMYFUNCTION("""COMPUTED_VALUE"""),"")</f>
        <v/>
      </c>
      <c r="V798" s="36" t="str">
        <f ca="1">IFERROR(__xludf.DUMMYFUNCTION("""COMPUTED_VALUE"""),"")</f>
        <v/>
      </c>
      <c r="W798" s="36" t="str">
        <f ca="1">IFERROR(__xludf.DUMMYFUNCTION("""COMPUTED_VALUE"""),"")</f>
        <v/>
      </c>
      <c r="X798" s="36"/>
      <c r="Y798" s="36"/>
      <c r="Z798" s="36"/>
    </row>
    <row r="799" spans="1:26" ht="12.75" hidden="1">
      <c r="A799" s="36" t="str">
        <f ca="1">IFERROR(__xludf.DUMMYFUNCTION("""COMPUTED_VALUE"""),"")</f>
        <v/>
      </c>
      <c r="B799" s="36" t="str">
        <f ca="1">IFERROR(__xludf.DUMMYFUNCTION("""COMPUTED_VALUE"""),"")</f>
        <v/>
      </c>
      <c r="C799" s="36" t="str">
        <f ca="1">IFERROR(__xludf.DUMMYFUNCTION("""COMPUTED_VALUE"""),"")</f>
        <v/>
      </c>
      <c r="D799" s="36" t="str">
        <f ca="1">IFERROR(__xludf.DUMMYFUNCTION("""COMPUTED_VALUE"""),"")</f>
        <v/>
      </c>
      <c r="E799" s="36" t="str">
        <f ca="1">IFERROR(__xludf.DUMMYFUNCTION("""COMPUTED_VALUE"""),"")</f>
        <v/>
      </c>
      <c r="F799" s="36" t="str">
        <f ca="1">IFERROR(__xludf.DUMMYFUNCTION("""COMPUTED_VALUE"""),"")</f>
        <v/>
      </c>
      <c r="G799" s="36" t="str">
        <f ca="1">IFERROR(__xludf.DUMMYFUNCTION("""COMPUTED_VALUE"""),"")</f>
        <v/>
      </c>
      <c r="H799" s="36" t="str">
        <f ca="1">IFERROR(__xludf.DUMMYFUNCTION("""COMPUTED_VALUE"""),"")</f>
        <v/>
      </c>
      <c r="I799" s="36" t="str">
        <f ca="1">IFERROR(__xludf.DUMMYFUNCTION("""COMPUTED_VALUE"""),"")</f>
        <v/>
      </c>
      <c r="J799" s="36" t="str">
        <f ca="1">IFERROR(__xludf.DUMMYFUNCTION("""COMPUTED_VALUE"""),"")</f>
        <v/>
      </c>
      <c r="K799" s="36" t="str">
        <f ca="1">IFERROR(__xludf.DUMMYFUNCTION("""COMPUTED_VALUE"""),"")</f>
        <v/>
      </c>
      <c r="L799" s="36" t="str">
        <f ca="1">IFERROR(__xludf.DUMMYFUNCTION("""COMPUTED_VALUE"""),"")</f>
        <v/>
      </c>
      <c r="M799" s="36" t="str">
        <f ca="1">IFERROR(__xludf.DUMMYFUNCTION("""COMPUTED_VALUE"""),"")</f>
        <v/>
      </c>
      <c r="N799" s="36" t="str">
        <f ca="1">IFERROR(__xludf.DUMMYFUNCTION("""COMPUTED_VALUE"""),"")</f>
        <v/>
      </c>
      <c r="O799" s="36" t="str">
        <f ca="1">IFERROR(__xludf.DUMMYFUNCTION("""COMPUTED_VALUE"""),"")</f>
        <v/>
      </c>
      <c r="P799" s="36" t="str">
        <f ca="1">IFERROR(__xludf.DUMMYFUNCTION("""COMPUTED_VALUE"""),"")</f>
        <v/>
      </c>
      <c r="Q799" s="36" t="str">
        <f ca="1">IFERROR(__xludf.DUMMYFUNCTION("""COMPUTED_VALUE"""),"")</f>
        <v/>
      </c>
      <c r="R799" s="36" t="str">
        <f ca="1">IFERROR(__xludf.DUMMYFUNCTION("""COMPUTED_VALUE"""),"")</f>
        <v/>
      </c>
      <c r="S799" s="36" t="str">
        <f ca="1">IFERROR(__xludf.DUMMYFUNCTION("""COMPUTED_VALUE"""),"")</f>
        <v/>
      </c>
      <c r="T799" s="36" t="str">
        <f ca="1">IFERROR(__xludf.DUMMYFUNCTION("""COMPUTED_VALUE"""),"")</f>
        <v/>
      </c>
      <c r="U799" s="36" t="str">
        <f ca="1">IFERROR(__xludf.DUMMYFUNCTION("""COMPUTED_VALUE"""),"")</f>
        <v/>
      </c>
      <c r="V799" s="36" t="str">
        <f ca="1">IFERROR(__xludf.DUMMYFUNCTION("""COMPUTED_VALUE"""),"")</f>
        <v/>
      </c>
      <c r="W799" s="36" t="str">
        <f ca="1">IFERROR(__xludf.DUMMYFUNCTION("""COMPUTED_VALUE"""),"")</f>
        <v/>
      </c>
      <c r="X799" s="36"/>
      <c r="Y799" s="36"/>
      <c r="Z799" s="36"/>
    </row>
    <row r="800" spans="1:26" ht="12.75" hidden="1">
      <c r="A800" s="36" t="str">
        <f ca="1">IFERROR(__xludf.DUMMYFUNCTION("""COMPUTED_VALUE"""),"")</f>
        <v/>
      </c>
      <c r="B800" s="36" t="str">
        <f ca="1">IFERROR(__xludf.DUMMYFUNCTION("""COMPUTED_VALUE"""),"")</f>
        <v/>
      </c>
      <c r="C800" s="36" t="str">
        <f ca="1">IFERROR(__xludf.DUMMYFUNCTION("""COMPUTED_VALUE"""),"")</f>
        <v/>
      </c>
      <c r="D800" s="36" t="str">
        <f ca="1">IFERROR(__xludf.DUMMYFUNCTION("""COMPUTED_VALUE"""),"")</f>
        <v/>
      </c>
      <c r="E800" s="36" t="str">
        <f ca="1">IFERROR(__xludf.DUMMYFUNCTION("""COMPUTED_VALUE"""),"")</f>
        <v/>
      </c>
      <c r="F800" s="36" t="str">
        <f ca="1">IFERROR(__xludf.DUMMYFUNCTION("""COMPUTED_VALUE"""),"")</f>
        <v/>
      </c>
      <c r="G800" s="36" t="str">
        <f ca="1">IFERROR(__xludf.DUMMYFUNCTION("""COMPUTED_VALUE"""),"")</f>
        <v/>
      </c>
      <c r="H800" s="36" t="str">
        <f ca="1">IFERROR(__xludf.DUMMYFUNCTION("""COMPUTED_VALUE"""),"")</f>
        <v/>
      </c>
      <c r="I800" s="36" t="str">
        <f ca="1">IFERROR(__xludf.DUMMYFUNCTION("""COMPUTED_VALUE"""),"")</f>
        <v/>
      </c>
      <c r="J800" s="36" t="str">
        <f ca="1">IFERROR(__xludf.DUMMYFUNCTION("""COMPUTED_VALUE"""),"")</f>
        <v/>
      </c>
      <c r="K800" s="36" t="str">
        <f ca="1">IFERROR(__xludf.DUMMYFUNCTION("""COMPUTED_VALUE"""),"")</f>
        <v/>
      </c>
      <c r="L800" s="36" t="str">
        <f ca="1">IFERROR(__xludf.DUMMYFUNCTION("""COMPUTED_VALUE"""),"")</f>
        <v/>
      </c>
      <c r="M800" s="36" t="str">
        <f ca="1">IFERROR(__xludf.DUMMYFUNCTION("""COMPUTED_VALUE"""),"")</f>
        <v/>
      </c>
      <c r="N800" s="36" t="str">
        <f ca="1">IFERROR(__xludf.DUMMYFUNCTION("""COMPUTED_VALUE"""),"")</f>
        <v/>
      </c>
      <c r="O800" s="36" t="str">
        <f ca="1">IFERROR(__xludf.DUMMYFUNCTION("""COMPUTED_VALUE"""),"")</f>
        <v/>
      </c>
      <c r="P800" s="36" t="str">
        <f ca="1">IFERROR(__xludf.DUMMYFUNCTION("""COMPUTED_VALUE"""),"")</f>
        <v/>
      </c>
      <c r="Q800" s="36" t="str">
        <f ca="1">IFERROR(__xludf.DUMMYFUNCTION("""COMPUTED_VALUE"""),"")</f>
        <v/>
      </c>
      <c r="R800" s="36" t="str">
        <f ca="1">IFERROR(__xludf.DUMMYFUNCTION("""COMPUTED_VALUE"""),"")</f>
        <v/>
      </c>
      <c r="S800" s="36" t="str">
        <f ca="1">IFERROR(__xludf.DUMMYFUNCTION("""COMPUTED_VALUE"""),"")</f>
        <v/>
      </c>
      <c r="T800" s="36" t="str">
        <f ca="1">IFERROR(__xludf.DUMMYFUNCTION("""COMPUTED_VALUE"""),"")</f>
        <v/>
      </c>
      <c r="U800" s="36" t="str">
        <f ca="1">IFERROR(__xludf.DUMMYFUNCTION("""COMPUTED_VALUE"""),"")</f>
        <v/>
      </c>
      <c r="V800" s="36" t="str">
        <f ca="1">IFERROR(__xludf.DUMMYFUNCTION("""COMPUTED_VALUE"""),"")</f>
        <v/>
      </c>
      <c r="W800" s="36" t="str">
        <f ca="1">IFERROR(__xludf.DUMMYFUNCTION("""COMPUTED_VALUE"""),"")</f>
        <v/>
      </c>
      <c r="X800" s="36"/>
      <c r="Y800" s="36"/>
      <c r="Z800" s="36"/>
    </row>
    <row r="801" spans="1:26" ht="12.75" hidden="1">
      <c r="A801" s="36" t="str">
        <f ca="1">IFERROR(__xludf.DUMMYFUNCTION("""COMPUTED_VALUE"""),"")</f>
        <v/>
      </c>
      <c r="B801" s="36" t="str">
        <f ca="1">IFERROR(__xludf.DUMMYFUNCTION("""COMPUTED_VALUE"""),"")</f>
        <v/>
      </c>
      <c r="C801" s="36" t="str">
        <f ca="1">IFERROR(__xludf.DUMMYFUNCTION("""COMPUTED_VALUE"""),"")</f>
        <v/>
      </c>
      <c r="D801" s="36" t="str">
        <f ca="1">IFERROR(__xludf.DUMMYFUNCTION("""COMPUTED_VALUE"""),"")</f>
        <v/>
      </c>
      <c r="E801" s="36" t="str">
        <f ca="1">IFERROR(__xludf.DUMMYFUNCTION("""COMPUTED_VALUE"""),"")</f>
        <v/>
      </c>
      <c r="F801" s="36" t="str">
        <f ca="1">IFERROR(__xludf.DUMMYFUNCTION("""COMPUTED_VALUE"""),"")</f>
        <v/>
      </c>
      <c r="G801" s="36" t="str">
        <f ca="1">IFERROR(__xludf.DUMMYFUNCTION("""COMPUTED_VALUE"""),"")</f>
        <v/>
      </c>
      <c r="H801" s="36" t="str">
        <f ca="1">IFERROR(__xludf.DUMMYFUNCTION("""COMPUTED_VALUE"""),"")</f>
        <v/>
      </c>
      <c r="I801" s="36" t="str">
        <f ca="1">IFERROR(__xludf.DUMMYFUNCTION("""COMPUTED_VALUE"""),"")</f>
        <v/>
      </c>
      <c r="J801" s="36" t="str">
        <f ca="1">IFERROR(__xludf.DUMMYFUNCTION("""COMPUTED_VALUE"""),"")</f>
        <v/>
      </c>
      <c r="K801" s="36" t="str">
        <f ca="1">IFERROR(__xludf.DUMMYFUNCTION("""COMPUTED_VALUE"""),"")</f>
        <v/>
      </c>
      <c r="L801" s="36" t="str">
        <f ca="1">IFERROR(__xludf.DUMMYFUNCTION("""COMPUTED_VALUE"""),"")</f>
        <v/>
      </c>
      <c r="M801" s="36" t="str">
        <f ca="1">IFERROR(__xludf.DUMMYFUNCTION("""COMPUTED_VALUE"""),"")</f>
        <v/>
      </c>
      <c r="N801" s="36" t="str">
        <f ca="1">IFERROR(__xludf.DUMMYFUNCTION("""COMPUTED_VALUE"""),"")</f>
        <v/>
      </c>
      <c r="O801" s="36" t="str">
        <f ca="1">IFERROR(__xludf.DUMMYFUNCTION("""COMPUTED_VALUE"""),"")</f>
        <v/>
      </c>
      <c r="P801" s="36" t="str">
        <f ca="1">IFERROR(__xludf.DUMMYFUNCTION("""COMPUTED_VALUE"""),"")</f>
        <v/>
      </c>
      <c r="Q801" s="36" t="str">
        <f ca="1">IFERROR(__xludf.DUMMYFUNCTION("""COMPUTED_VALUE"""),"")</f>
        <v/>
      </c>
      <c r="R801" s="36" t="str">
        <f ca="1">IFERROR(__xludf.DUMMYFUNCTION("""COMPUTED_VALUE"""),"")</f>
        <v/>
      </c>
      <c r="S801" s="36" t="str">
        <f ca="1">IFERROR(__xludf.DUMMYFUNCTION("""COMPUTED_VALUE"""),"")</f>
        <v/>
      </c>
      <c r="T801" s="36" t="str">
        <f ca="1">IFERROR(__xludf.DUMMYFUNCTION("""COMPUTED_VALUE"""),"")</f>
        <v/>
      </c>
      <c r="U801" s="36" t="str">
        <f ca="1">IFERROR(__xludf.DUMMYFUNCTION("""COMPUTED_VALUE"""),"")</f>
        <v/>
      </c>
      <c r="V801" s="36" t="str">
        <f ca="1">IFERROR(__xludf.DUMMYFUNCTION("""COMPUTED_VALUE"""),"")</f>
        <v/>
      </c>
      <c r="W801" s="36" t="str">
        <f ca="1">IFERROR(__xludf.DUMMYFUNCTION("""COMPUTED_VALUE"""),"")</f>
        <v/>
      </c>
      <c r="X801" s="36"/>
      <c r="Y801" s="36"/>
      <c r="Z801" s="36"/>
    </row>
    <row r="802" spans="1:26" ht="12.75" hidden="1">
      <c r="A802" s="36" t="str">
        <f ca="1">IFERROR(__xludf.DUMMYFUNCTION("""COMPUTED_VALUE"""),"")</f>
        <v/>
      </c>
      <c r="B802" s="36" t="str">
        <f ca="1">IFERROR(__xludf.DUMMYFUNCTION("""COMPUTED_VALUE"""),"")</f>
        <v/>
      </c>
      <c r="C802" s="36" t="str">
        <f ca="1">IFERROR(__xludf.DUMMYFUNCTION("""COMPUTED_VALUE"""),"")</f>
        <v/>
      </c>
      <c r="D802" s="36" t="str">
        <f ca="1">IFERROR(__xludf.DUMMYFUNCTION("""COMPUTED_VALUE"""),"")</f>
        <v/>
      </c>
      <c r="E802" s="36" t="str">
        <f ca="1">IFERROR(__xludf.DUMMYFUNCTION("""COMPUTED_VALUE"""),"")</f>
        <v/>
      </c>
      <c r="F802" s="36" t="str">
        <f ca="1">IFERROR(__xludf.DUMMYFUNCTION("""COMPUTED_VALUE"""),"")</f>
        <v/>
      </c>
      <c r="G802" s="36" t="str">
        <f ca="1">IFERROR(__xludf.DUMMYFUNCTION("""COMPUTED_VALUE"""),"")</f>
        <v/>
      </c>
      <c r="H802" s="36" t="str">
        <f ca="1">IFERROR(__xludf.DUMMYFUNCTION("""COMPUTED_VALUE"""),"")</f>
        <v/>
      </c>
      <c r="I802" s="36" t="str">
        <f ca="1">IFERROR(__xludf.DUMMYFUNCTION("""COMPUTED_VALUE"""),"")</f>
        <v/>
      </c>
      <c r="J802" s="36" t="str">
        <f ca="1">IFERROR(__xludf.DUMMYFUNCTION("""COMPUTED_VALUE"""),"")</f>
        <v/>
      </c>
      <c r="K802" s="36" t="str">
        <f ca="1">IFERROR(__xludf.DUMMYFUNCTION("""COMPUTED_VALUE"""),"")</f>
        <v/>
      </c>
      <c r="L802" s="36" t="str">
        <f ca="1">IFERROR(__xludf.DUMMYFUNCTION("""COMPUTED_VALUE"""),"")</f>
        <v/>
      </c>
      <c r="M802" s="36" t="str">
        <f ca="1">IFERROR(__xludf.DUMMYFUNCTION("""COMPUTED_VALUE"""),"")</f>
        <v/>
      </c>
      <c r="N802" s="36" t="str">
        <f ca="1">IFERROR(__xludf.DUMMYFUNCTION("""COMPUTED_VALUE"""),"")</f>
        <v/>
      </c>
      <c r="O802" s="36" t="str">
        <f ca="1">IFERROR(__xludf.DUMMYFUNCTION("""COMPUTED_VALUE"""),"")</f>
        <v/>
      </c>
      <c r="P802" s="36" t="str">
        <f ca="1">IFERROR(__xludf.DUMMYFUNCTION("""COMPUTED_VALUE"""),"")</f>
        <v/>
      </c>
      <c r="Q802" s="36" t="str">
        <f ca="1">IFERROR(__xludf.DUMMYFUNCTION("""COMPUTED_VALUE"""),"")</f>
        <v/>
      </c>
      <c r="R802" s="36" t="str">
        <f ca="1">IFERROR(__xludf.DUMMYFUNCTION("""COMPUTED_VALUE"""),"")</f>
        <v/>
      </c>
      <c r="S802" s="36" t="str">
        <f ca="1">IFERROR(__xludf.DUMMYFUNCTION("""COMPUTED_VALUE"""),"")</f>
        <v/>
      </c>
      <c r="T802" s="36" t="str">
        <f ca="1">IFERROR(__xludf.DUMMYFUNCTION("""COMPUTED_VALUE"""),"")</f>
        <v/>
      </c>
      <c r="U802" s="36" t="str">
        <f ca="1">IFERROR(__xludf.DUMMYFUNCTION("""COMPUTED_VALUE"""),"")</f>
        <v/>
      </c>
      <c r="V802" s="36" t="str">
        <f ca="1">IFERROR(__xludf.DUMMYFUNCTION("""COMPUTED_VALUE"""),"")</f>
        <v/>
      </c>
      <c r="W802" s="36" t="str">
        <f ca="1">IFERROR(__xludf.DUMMYFUNCTION("""COMPUTED_VALUE"""),"")</f>
        <v/>
      </c>
      <c r="X802" s="36"/>
      <c r="Y802" s="36"/>
      <c r="Z802" s="36"/>
    </row>
    <row r="803" spans="1:26" ht="12.75" hidden="1">
      <c r="A803" s="36" t="str">
        <f ca="1">IFERROR(__xludf.DUMMYFUNCTION("""COMPUTED_VALUE"""),"")</f>
        <v/>
      </c>
      <c r="B803" s="36" t="str">
        <f ca="1">IFERROR(__xludf.DUMMYFUNCTION("""COMPUTED_VALUE"""),"")</f>
        <v/>
      </c>
      <c r="C803" s="36" t="str">
        <f ca="1">IFERROR(__xludf.DUMMYFUNCTION("""COMPUTED_VALUE"""),"")</f>
        <v/>
      </c>
      <c r="D803" s="36" t="str">
        <f ca="1">IFERROR(__xludf.DUMMYFUNCTION("""COMPUTED_VALUE"""),"")</f>
        <v/>
      </c>
      <c r="E803" s="36" t="str">
        <f ca="1">IFERROR(__xludf.DUMMYFUNCTION("""COMPUTED_VALUE"""),"")</f>
        <v/>
      </c>
      <c r="F803" s="36" t="str">
        <f ca="1">IFERROR(__xludf.DUMMYFUNCTION("""COMPUTED_VALUE"""),"")</f>
        <v/>
      </c>
      <c r="G803" s="36" t="str">
        <f ca="1">IFERROR(__xludf.DUMMYFUNCTION("""COMPUTED_VALUE"""),"")</f>
        <v/>
      </c>
      <c r="H803" s="36" t="str">
        <f ca="1">IFERROR(__xludf.DUMMYFUNCTION("""COMPUTED_VALUE"""),"")</f>
        <v/>
      </c>
      <c r="I803" s="36" t="str">
        <f ca="1">IFERROR(__xludf.DUMMYFUNCTION("""COMPUTED_VALUE"""),"")</f>
        <v/>
      </c>
      <c r="J803" s="36" t="str">
        <f ca="1">IFERROR(__xludf.DUMMYFUNCTION("""COMPUTED_VALUE"""),"")</f>
        <v/>
      </c>
      <c r="K803" s="36" t="str">
        <f ca="1">IFERROR(__xludf.DUMMYFUNCTION("""COMPUTED_VALUE"""),"")</f>
        <v/>
      </c>
      <c r="L803" s="36" t="str">
        <f ca="1">IFERROR(__xludf.DUMMYFUNCTION("""COMPUTED_VALUE"""),"")</f>
        <v/>
      </c>
      <c r="M803" s="36" t="str">
        <f ca="1">IFERROR(__xludf.DUMMYFUNCTION("""COMPUTED_VALUE"""),"")</f>
        <v/>
      </c>
      <c r="N803" s="36" t="str">
        <f ca="1">IFERROR(__xludf.DUMMYFUNCTION("""COMPUTED_VALUE"""),"")</f>
        <v/>
      </c>
      <c r="O803" s="36" t="str">
        <f ca="1">IFERROR(__xludf.DUMMYFUNCTION("""COMPUTED_VALUE"""),"")</f>
        <v/>
      </c>
      <c r="P803" s="36" t="str">
        <f ca="1">IFERROR(__xludf.DUMMYFUNCTION("""COMPUTED_VALUE"""),"")</f>
        <v/>
      </c>
      <c r="Q803" s="36" t="str">
        <f ca="1">IFERROR(__xludf.DUMMYFUNCTION("""COMPUTED_VALUE"""),"")</f>
        <v/>
      </c>
      <c r="R803" s="36" t="str">
        <f ca="1">IFERROR(__xludf.DUMMYFUNCTION("""COMPUTED_VALUE"""),"")</f>
        <v/>
      </c>
      <c r="S803" s="36" t="str">
        <f ca="1">IFERROR(__xludf.DUMMYFUNCTION("""COMPUTED_VALUE"""),"")</f>
        <v/>
      </c>
      <c r="T803" s="36" t="str">
        <f ca="1">IFERROR(__xludf.DUMMYFUNCTION("""COMPUTED_VALUE"""),"")</f>
        <v/>
      </c>
      <c r="U803" s="36" t="str">
        <f ca="1">IFERROR(__xludf.DUMMYFUNCTION("""COMPUTED_VALUE"""),"")</f>
        <v/>
      </c>
      <c r="V803" s="36" t="str">
        <f ca="1">IFERROR(__xludf.DUMMYFUNCTION("""COMPUTED_VALUE"""),"")</f>
        <v/>
      </c>
      <c r="W803" s="36" t="str">
        <f ca="1">IFERROR(__xludf.DUMMYFUNCTION("""COMPUTED_VALUE"""),"")</f>
        <v/>
      </c>
      <c r="X803" s="36"/>
      <c r="Y803" s="36"/>
      <c r="Z803" s="36"/>
    </row>
    <row r="804" spans="1:26" ht="12.75" hidden="1">
      <c r="A804" s="36" t="str">
        <f ca="1">IFERROR(__xludf.DUMMYFUNCTION("""COMPUTED_VALUE"""),"")</f>
        <v/>
      </c>
      <c r="B804" s="36" t="str">
        <f ca="1">IFERROR(__xludf.DUMMYFUNCTION("""COMPUTED_VALUE"""),"")</f>
        <v/>
      </c>
      <c r="C804" s="36" t="str">
        <f ca="1">IFERROR(__xludf.DUMMYFUNCTION("""COMPUTED_VALUE"""),"")</f>
        <v/>
      </c>
      <c r="D804" s="36" t="str">
        <f ca="1">IFERROR(__xludf.DUMMYFUNCTION("""COMPUTED_VALUE"""),"")</f>
        <v/>
      </c>
      <c r="E804" s="36" t="str">
        <f ca="1">IFERROR(__xludf.DUMMYFUNCTION("""COMPUTED_VALUE"""),"")</f>
        <v/>
      </c>
      <c r="F804" s="36" t="str">
        <f ca="1">IFERROR(__xludf.DUMMYFUNCTION("""COMPUTED_VALUE"""),"")</f>
        <v/>
      </c>
      <c r="G804" s="36" t="str">
        <f ca="1">IFERROR(__xludf.DUMMYFUNCTION("""COMPUTED_VALUE"""),"")</f>
        <v/>
      </c>
      <c r="H804" s="36" t="str">
        <f ca="1">IFERROR(__xludf.DUMMYFUNCTION("""COMPUTED_VALUE"""),"")</f>
        <v/>
      </c>
      <c r="I804" s="36" t="str">
        <f ca="1">IFERROR(__xludf.DUMMYFUNCTION("""COMPUTED_VALUE"""),"")</f>
        <v/>
      </c>
      <c r="J804" s="36" t="str">
        <f ca="1">IFERROR(__xludf.DUMMYFUNCTION("""COMPUTED_VALUE"""),"")</f>
        <v/>
      </c>
      <c r="K804" s="36" t="str">
        <f ca="1">IFERROR(__xludf.DUMMYFUNCTION("""COMPUTED_VALUE"""),"")</f>
        <v/>
      </c>
      <c r="L804" s="36" t="str">
        <f ca="1">IFERROR(__xludf.DUMMYFUNCTION("""COMPUTED_VALUE"""),"")</f>
        <v/>
      </c>
      <c r="M804" s="36" t="str">
        <f ca="1">IFERROR(__xludf.DUMMYFUNCTION("""COMPUTED_VALUE"""),"")</f>
        <v/>
      </c>
      <c r="N804" s="36" t="str">
        <f ca="1">IFERROR(__xludf.DUMMYFUNCTION("""COMPUTED_VALUE"""),"")</f>
        <v/>
      </c>
      <c r="O804" s="36" t="str">
        <f ca="1">IFERROR(__xludf.DUMMYFUNCTION("""COMPUTED_VALUE"""),"")</f>
        <v/>
      </c>
      <c r="P804" s="36" t="str">
        <f ca="1">IFERROR(__xludf.DUMMYFUNCTION("""COMPUTED_VALUE"""),"")</f>
        <v/>
      </c>
      <c r="Q804" s="36" t="str">
        <f ca="1">IFERROR(__xludf.DUMMYFUNCTION("""COMPUTED_VALUE"""),"")</f>
        <v/>
      </c>
      <c r="R804" s="36" t="str">
        <f ca="1">IFERROR(__xludf.DUMMYFUNCTION("""COMPUTED_VALUE"""),"")</f>
        <v/>
      </c>
      <c r="S804" s="36" t="str">
        <f ca="1">IFERROR(__xludf.DUMMYFUNCTION("""COMPUTED_VALUE"""),"")</f>
        <v/>
      </c>
      <c r="T804" s="36" t="str">
        <f ca="1">IFERROR(__xludf.DUMMYFUNCTION("""COMPUTED_VALUE"""),"")</f>
        <v/>
      </c>
      <c r="U804" s="36" t="str">
        <f ca="1">IFERROR(__xludf.DUMMYFUNCTION("""COMPUTED_VALUE"""),"")</f>
        <v/>
      </c>
      <c r="V804" s="36" t="str">
        <f ca="1">IFERROR(__xludf.DUMMYFUNCTION("""COMPUTED_VALUE"""),"")</f>
        <v/>
      </c>
      <c r="W804" s="36" t="str">
        <f ca="1">IFERROR(__xludf.DUMMYFUNCTION("""COMPUTED_VALUE"""),"")</f>
        <v/>
      </c>
      <c r="X804" s="36"/>
      <c r="Y804" s="36"/>
      <c r="Z804" s="36"/>
    </row>
    <row r="805" spans="1:26" ht="12.75" hidden="1">
      <c r="A805" s="36" t="str">
        <f ca="1">IFERROR(__xludf.DUMMYFUNCTION("""COMPUTED_VALUE"""),"")</f>
        <v/>
      </c>
      <c r="B805" s="36" t="str">
        <f ca="1">IFERROR(__xludf.DUMMYFUNCTION("""COMPUTED_VALUE"""),"")</f>
        <v/>
      </c>
      <c r="C805" s="36" t="str">
        <f ca="1">IFERROR(__xludf.DUMMYFUNCTION("""COMPUTED_VALUE"""),"")</f>
        <v/>
      </c>
      <c r="D805" s="36" t="str">
        <f ca="1">IFERROR(__xludf.DUMMYFUNCTION("""COMPUTED_VALUE"""),"")</f>
        <v/>
      </c>
      <c r="E805" s="36" t="str">
        <f ca="1">IFERROR(__xludf.DUMMYFUNCTION("""COMPUTED_VALUE"""),"")</f>
        <v/>
      </c>
      <c r="F805" s="36" t="str">
        <f ca="1">IFERROR(__xludf.DUMMYFUNCTION("""COMPUTED_VALUE"""),"")</f>
        <v/>
      </c>
      <c r="G805" s="36" t="str">
        <f ca="1">IFERROR(__xludf.DUMMYFUNCTION("""COMPUTED_VALUE"""),"")</f>
        <v/>
      </c>
      <c r="H805" s="36" t="str">
        <f ca="1">IFERROR(__xludf.DUMMYFUNCTION("""COMPUTED_VALUE"""),"")</f>
        <v/>
      </c>
      <c r="I805" s="36" t="str">
        <f ca="1">IFERROR(__xludf.DUMMYFUNCTION("""COMPUTED_VALUE"""),"")</f>
        <v/>
      </c>
      <c r="J805" s="36" t="str">
        <f ca="1">IFERROR(__xludf.DUMMYFUNCTION("""COMPUTED_VALUE"""),"")</f>
        <v/>
      </c>
      <c r="K805" s="36" t="str">
        <f ca="1">IFERROR(__xludf.DUMMYFUNCTION("""COMPUTED_VALUE"""),"")</f>
        <v/>
      </c>
      <c r="L805" s="36" t="str">
        <f ca="1">IFERROR(__xludf.DUMMYFUNCTION("""COMPUTED_VALUE"""),"")</f>
        <v/>
      </c>
      <c r="M805" s="36" t="str">
        <f ca="1">IFERROR(__xludf.DUMMYFUNCTION("""COMPUTED_VALUE"""),"")</f>
        <v/>
      </c>
      <c r="N805" s="36" t="str">
        <f ca="1">IFERROR(__xludf.DUMMYFUNCTION("""COMPUTED_VALUE"""),"")</f>
        <v/>
      </c>
      <c r="O805" s="36" t="str">
        <f ca="1">IFERROR(__xludf.DUMMYFUNCTION("""COMPUTED_VALUE"""),"")</f>
        <v/>
      </c>
      <c r="P805" s="36" t="str">
        <f ca="1">IFERROR(__xludf.DUMMYFUNCTION("""COMPUTED_VALUE"""),"")</f>
        <v/>
      </c>
      <c r="Q805" s="36" t="str">
        <f ca="1">IFERROR(__xludf.DUMMYFUNCTION("""COMPUTED_VALUE"""),"")</f>
        <v/>
      </c>
      <c r="R805" s="36" t="str">
        <f ca="1">IFERROR(__xludf.DUMMYFUNCTION("""COMPUTED_VALUE"""),"")</f>
        <v/>
      </c>
      <c r="S805" s="36" t="str">
        <f ca="1">IFERROR(__xludf.DUMMYFUNCTION("""COMPUTED_VALUE"""),"")</f>
        <v/>
      </c>
      <c r="T805" s="36" t="str">
        <f ca="1">IFERROR(__xludf.DUMMYFUNCTION("""COMPUTED_VALUE"""),"")</f>
        <v/>
      </c>
      <c r="U805" s="36" t="str">
        <f ca="1">IFERROR(__xludf.DUMMYFUNCTION("""COMPUTED_VALUE"""),"")</f>
        <v/>
      </c>
      <c r="V805" s="36" t="str">
        <f ca="1">IFERROR(__xludf.DUMMYFUNCTION("""COMPUTED_VALUE"""),"")</f>
        <v/>
      </c>
      <c r="W805" s="36" t="str">
        <f ca="1">IFERROR(__xludf.DUMMYFUNCTION("""COMPUTED_VALUE"""),"")</f>
        <v/>
      </c>
      <c r="X805" s="36"/>
      <c r="Y805" s="36"/>
      <c r="Z805" s="36"/>
    </row>
    <row r="806" spans="1:26" ht="12.75" hidden="1">
      <c r="A806" s="36" t="str">
        <f ca="1">IFERROR(__xludf.DUMMYFUNCTION("""COMPUTED_VALUE"""),"")</f>
        <v/>
      </c>
      <c r="B806" s="36" t="str">
        <f ca="1">IFERROR(__xludf.DUMMYFUNCTION("""COMPUTED_VALUE"""),"")</f>
        <v/>
      </c>
      <c r="C806" s="36" t="str">
        <f ca="1">IFERROR(__xludf.DUMMYFUNCTION("""COMPUTED_VALUE"""),"")</f>
        <v/>
      </c>
      <c r="D806" s="36" t="str">
        <f ca="1">IFERROR(__xludf.DUMMYFUNCTION("""COMPUTED_VALUE"""),"")</f>
        <v/>
      </c>
      <c r="E806" s="36" t="str">
        <f ca="1">IFERROR(__xludf.DUMMYFUNCTION("""COMPUTED_VALUE"""),"")</f>
        <v/>
      </c>
      <c r="F806" s="36" t="str">
        <f ca="1">IFERROR(__xludf.DUMMYFUNCTION("""COMPUTED_VALUE"""),"")</f>
        <v/>
      </c>
      <c r="G806" s="36" t="str">
        <f ca="1">IFERROR(__xludf.DUMMYFUNCTION("""COMPUTED_VALUE"""),"")</f>
        <v/>
      </c>
      <c r="H806" s="36" t="str">
        <f ca="1">IFERROR(__xludf.DUMMYFUNCTION("""COMPUTED_VALUE"""),"")</f>
        <v/>
      </c>
      <c r="I806" s="36" t="str">
        <f ca="1">IFERROR(__xludf.DUMMYFUNCTION("""COMPUTED_VALUE"""),"")</f>
        <v/>
      </c>
      <c r="J806" s="36" t="str">
        <f ca="1">IFERROR(__xludf.DUMMYFUNCTION("""COMPUTED_VALUE"""),"")</f>
        <v/>
      </c>
      <c r="K806" s="36" t="str">
        <f ca="1">IFERROR(__xludf.DUMMYFUNCTION("""COMPUTED_VALUE"""),"")</f>
        <v/>
      </c>
      <c r="L806" s="36" t="str">
        <f ca="1">IFERROR(__xludf.DUMMYFUNCTION("""COMPUTED_VALUE"""),"")</f>
        <v/>
      </c>
      <c r="M806" s="36" t="str">
        <f ca="1">IFERROR(__xludf.DUMMYFUNCTION("""COMPUTED_VALUE"""),"")</f>
        <v/>
      </c>
      <c r="N806" s="36" t="str">
        <f ca="1">IFERROR(__xludf.DUMMYFUNCTION("""COMPUTED_VALUE"""),"")</f>
        <v/>
      </c>
      <c r="O806" s="36" t="str">
        <f ca="1">IFERROR(__xludf.DUMMYFUNCTION("""COMPUTED_VALUE"""),"")</f>
        <v/>
      </c>
      <c r="P806" s="36" t="str">
        <f ca="1">IFERROR(__xludf.DUMMYFUNCTION("""COMPUTED_VALUE"""),"")</f>
        <v/>
      </c>
      <c r="Q806" s="36" t="str">
        <f ca="1">IFERROR(__xludf.DUMMYFUNCTION("""COMPUTED_VALUE"""),"")</f>
        <v/>
      </c>
      <c r="R806" s="36" t="str">
        <f ca="1">IFERROR(__xludf.DUMMYFUNCTION("""COMPUTED_VALUE"""),"")</f>
        <v/>
      </c>
      <c r="S806" s="36" t="str">
        <f ca="1">IFERROR(__xludf.DUMMYFUNCTION("""COMPUTED_VALUE"""),"")</f>
        <v/>
      </c>
      <c r="T806" s="36" t="str">
        <f ca="1">IFERROR(__xludf.DUMMYFUNCTION("""COMPUTED_VALUE"""),"")</f>
        <v/>
      </c>
      <c r="U806" s="36" t="str">
        <f ca="1">IFERROR(__xludf.DUMMYFUNCTION("""COMPUTED_VALUE"""),"")</f>
        <v/>
      </c>
      <c r="V806" s="36" t="str">
        <f ca="1">IFERROR(__xludf.DUMMYFUNCTION("""COMPUTED_VALUE"""),"")</f>
        <v/>
      </c>
      <c r="W806" s="36" t="str">
        <f ca="1">IFERROR(__xludf.DUMMYFUNCTION("""COMPUTED_VALUE"""),"")</f>
        <v/>
      </c>
      <c r="X806" s="36"/>
      <c r="Y806" s="36"/>
      <c r="Z806" s="36"/>
    </row>
    <row r="807" spans="1:26" ht="12.75" hidden="1">
      <c r="A807" s="36" t="str">
        <f ca="1">IFERROR(__xludf.DUMMYFUNCTION("""COMPUTED_VALUE"""),"")</f>
        <v/>
      </c>
      <c r="B807" s="36" t="str">
        <f ca="1">IFERROR(__xludf.DUMMYFUNCTION("""COMPUTED_VALUE"""),"")</f>
        <v/>
      </c>
      <c r="C807" s="36" t="str">
        <f ca="1">IFERROR(__xludf.DUMMYFUNCTION("""COMPUTED_VALUE"""),"")</f>
        <v/>
      </c>
      <c r="D807" s="36" t="str">
        <f ca="1">IFERROR(__xludf.DUMMYFUNCTION("""COMPUTED_VALUE"""),"")</f>
        <v/>
      </c>
      <c r="E807" s="36" t="str">
        <f ca="1">IFERROR(__xludf.DUMMYFUNCTION("""COMPUTED_VALUE"""),"")</f>
        <v/>
      </c>
      <c r="F807" s="36" t="str">
        <f ca="1">IFERROR(__xludf.DUMMYFUNCTION("""COMPUTED_VALUE"""),"")</f>
        <v/>
      </c>
      <c r="G807" s="36" t="str">
        <f ca="1">IFERROR(__xludf.DUMMYFUNCTION("""COMPUTED_VALUE"""),"")</f>
        <v/>
      </c>
      <c r="H807" s="36" t="str">
        <f ca="1">IFERROR(__xludf.DUMMYFUNCTION("""COMPUTED_VALUE"""),"")</f>
        <v/>
      </c>
      <c r="I807" s="36" t="str">
        <f ca="1">IFERROR(__xludf.DUMMYFUNCTION("""COMPUTED_VALUE"""),"")</f>
        <v/>
      </c>
      <c r="J807" s="36" t="str">
        <f ca="1">IFERROR(__xludf.DUMMYFUNCTION("""COMPUTED_VALUE"""),"")</f>
        <v/>
      </c>
      <c r="K807" s="36" t="str">
        <f ca="1">IFERROR(__xludf.DUMMYFUNCTION("""COMPUTED_VALUE"""),"")</f>
        <v/>
      </c>
      <c r="L807" s="36" t="str">
        <f ca="1">IFERROR(__xludf.DUMMYFUNCTION("""COMPUTED_VALUE"""),"")</f>
        <v/>
      </c>
      <c r="M807" s="36" t="str">
        <f ca="1">IFERROR(__xludf.DUMMYFUNCTION("""COMPUTED_VALUE"""),"")</f>
        <v/>
      </c>
      <c r="N807" s="36" t="str">
        <f ca="1">IFERROR(__xludf.DUMMYFUNCTION("""COMPUTED_VALUE"""),"")</f>
        <v/>
      </c>
      <c r="O807" s="36" t="str">
        <f ca="1">IFERROR(__xludf.DUMMYFUNCTION("""COMPUTED_VALUE"""),"")</f>
        <v/>
      </c>
      <c r="P807" s="36" t="str">
        <f ca="1">IFERROR(__xludf.DUMMYFUNCTION("""COMPUTED_VALUE"""),"")</f>
        <v/>
      </c>
      <c r="Q807" s="36" t="str">
        <f ca="1">IFERROR(__xludf.DUMMYFUNCTION("""COMPUTED_VALUE"""),"")</f>
        <v/>
      </c>
      <c r="R807" s="36" t="str">
        <f ca="1">IFERROR(__xludf.DUMMYFUNCTION("""COMPUTED_VALUE"""),"")</f>
        <v/>
      </c>
      <c r="S807" s="36" t="str">
        <f ca="1">IFERROR(__xludf.DUMMYFUNCTION("""COMPUTED_VALUE"""),"")</f>
        <v/>
      </c>
      <c r="T807" s="36" t="str">
        <f ca="1">IFERROR(__xludf.DUMMYFUNCTION("""COMPUTED_VALUE"""),"")</f>
        <v/>
      </c>
      <c r="U807" s="36" t="str">
        <f ca="1">IFERROR(__xludf.DUMMYFUNCTION("""COMPUTED_VALUE"""),"")</f>
        <v/>
      </c>
      <c r="V807" s="36" t="str">
        <f ca="1">IFERROR(__xludf.DUMMYFUNCTION("""COMPUTED_VALUE"""),"")</f>
        <v/>
      </c>
      <c r="W807" s="36" t="str">
        <f ca="1">IFERROR(__xludf.DUMMYFUNCTION("""COMPUTED_VALUE"""),"")</f>
        <v/>
      </c>
      <c r="X807" s="36"/>
      <c r="Y807" s="36"/>
      <c r="Z807" s="36"/>
    </row>
    <row r="808" spans="1:26" ht="12.75" hidden="1">
      <c r="A808" s="36" t="str">
        <f ca="1">IFERROR(__xludf.DUMMYFUNCTION("""COMPUTED_VALUE"""),"")</f>
        <v/>
      </c>
      <c r="B808" s="36" t="str">
        <f ca="1">IFERROR(__xludf.DUMMYFUNCTION("""COMPUTED_VALUE"""),"")</f>
        <v/>
      </c>
      <c r="C808" s="36" t="str">
        <f ca="1">IFERROR(__xludf.DUMMYFUNCTION("""COMPUTED_VALUE"""),"")</f>
        <v/>
      </c>
      <c r="D808" s="36" t="str">
        <f ca="1">IFERROR(__xludf.DUMMYFUNCTION("""COMPUTED_VALUE"""),"")</f>
        <v/>
      </c>
      <c r="E808" s="36" t="str">
        <f ca="1">IFERROR(__xludf.DUMMYFUNCTION("""COMPUTED_VALUE"""),"")</f>
        <v/>
      </c>
      <c r="F808" s="36" t="str">
        <f ca="1">IFERROR(__xludf.DUMMYFUNCTION("""COMPUTED_VALUE"""),"")</f>
        <v/>
      </c>
      <c r="G808" s="36" t="str">
        <f ca="1">IFERROR(__xludf.DUMMYFUNCTION("""COMPUTED_VALUE"""),"")</f>
        <v/>
      </c>
      <c r="H808" s="36" t="str">
        <f ca="1">IFERROR(__xludf.DUMMYFUNCTION("""COMPUTED_VALUE"""),"")</f>
        <v/>
      </c>
      <c r="I808" s="36" t="str">
        <f ca="1">IFERROR(__xludf.DUMMYFUNCTION("""COMPUTED_VALUE"""),"")</f>
        <v/>
      </c>
      <c r="J808" s="36" t="str">
        <f ca="1">IFERROR(__xludf.DUMMYFUNCTION("""COMPUTED_VALUE"""),"")</f>
        <v/>
      </c>
      <c r="K808" s="36" t="str">
        <f ca="1">IFERROR(__xludf.DUMMYFUNCTION("""COMPUTED_VALUE"""),"")</f>
        <v/>
      </c>
      <c r="L808" s="36" t="str">
        <f ca="1">IFERROR(__xludf.DUMMYFUNCTION("""COMPUTED_VALUE"""),"")</f>
        <v/>
      </c>
      <c r="M808" s="36" t="str">
        <f ca="1">IFERROR(__xludf.DUMMYFUNCTION("""COMPUTED_VALUE"""),"")</f>
        <v/>
      </c>
      <c r="N808" s="36" t="str">
        <f ca="1">IFERROR(__xludf.DUMMYFUNCTION("""COMPUTED_VALUE"""),"")</f>
        <v/>
      </c>
      <c r="O808" s="36" t="str">
        <f ca="1">IFERROR(__xludf.DUMMYFUNCTION("""COMPUTED_VALUE"""),"")</f>
        <v/>
      </c>
      <c r="P808" s="36" t="str">
        <f ca="1">IFERROR(__xludf.DUMMYFUNCTION("""COMPUTED_VALUE"""),"")</f>
        <v/>
      </c>
      <c r="Q808" s="36" t="str">
        <f ca="1">IFERROR(__xludf.DUMMYFUNCTION("""COMPUTED_VALUE"""),"")</f>
        <v/>
      </c>
      <c r="R808" s="36" t="str">
        <f ca="1">IFERROR(__xludf.DUMMYFUNCTION("""COMPUTED_VALUE"""),"")</f>
        <v/>
      </c>
      <c r="S808" s="36" t="str">
        <f ca="1">IFERROR(__xludf.DUMMYFUNCTION("""COMPUTED_VALUE"""),"")</f>
        <v/>
      </c>
      <c r="T808" s="36" t="str">
        <f ca="1">IFERROR(__xludf.DUMMYFUNCTION("""COMPUTED_VALUE"""),"")</f>
        <v/>
      </c>
      <c r="U808" s="36" t="str">
        <f ca="1">IFERROR(__xludf.DUMMYFUNCTION("""COMPUTED_VALUE"""),"")</f>
        <v/>
      </c>
      <c r="V808" s="36" t="str">
        <f ca="1">IFERROR(__xludf.DUMMYFUNCTION("""COMPUTED_VALUE"""),"")</f>
        <v/>
      </c>
      <c r="W808" s="36" t="str">
        <f ca="1">IFERROR(__xludf.DUMMYFUNCTION("""COMPUTED_VALUE"""),"")</f>
        <v/>
      </c>
      <c r="X808" s="36"/>
      <c r="Y808" s="36"/>
      <c r="Z808" s="36"/>
    </row>
    <row r="809" spans="1:26" ht="12.75" hidden="1">
      <c r="A809" s="36" t="str">
        <f ca="1">IFERROR(__xludf.DUMMYFUNCTION("""COMPUTED_VALUE"""),"")</f>
        <v/>
      </c>
      <c r="B809" s="36" t="str">
        <f ca="1">IFERROR(__xludf.DUMMYFUNCTION("""COMPUTED_VALUE"""),"")</f>
        <v/>
      </c>
      <c r="C809" s="36" t="str">
        <f ca="1">IFERROR(__xludf.DUMMYFUNCTION("""COMPUTED_VALUE"""),"")</f>
        <v/>
      </c>
      <c r="D809" s="36" t="str">
        <f ca="1">IFERROR(__xludf.DUMMYFUNCTION("""COMPUTED_VALUE"""),"")</f>
        <v/>
      </c>
      <c r="E809" s="36" t="str">
        <f ca="1">IFERROR(__xludf.DUMMYFUNCTION("""COMPUTED_VALUE"""),"")</f>
        <v/>
      </c>
      <c r="F809" s="36" t="str">
        <f ca="1">IFERROR(__xludf.DUMMYFUNCTION("""COMPUTED_VALUE"""),"")</f>
        <v/>
      </c>
      <c r="G809" s="36" t="str">
        <f ca="1">IFERROR(__xludf.DUMMYFUNCTION("""COMPUTED_VALUE"""),"")</f>
        <v/>
      </c>
      <c r="H809" s="36" t="str">
        <f ca="1">IFERROR(__xludf.DUMMYFUNCTION("""COMPUTED_VALUE"""),"")</f>
        <v/>
      </c>
      <c r="I809" s="36" t="str">
        <f ca="1">IFERROR(__xludf.DUMMYFUNCTION("""COMPUTED_VALUE"""),"")</f>
        <v/>
      </c>
      <c r="J809" s="36" t="str">
        <f ca="1">IFERROR(__xludf.DUMMYFUNCTION("""COMPUTED_VALUE"""),"")</f>
        <v/>
      </c>
      <c r="K809" s="36" t="str">
        <f ca="1">IFERROR(__xludf.DUMMYFUNCTION("""COMPUTED_VALUE"""),"")</f>
        <v/>
      </c>
      <c r="L809" s="36" t="str">
        <f ca="1">IFERROR(__xludf.DUMMYFUNCTION("""COMPUTED_VALUE"""),"")</f>
        <v/>
      </c>
      <c r="M809" s="36" t="str">
        <f ca="1">IFERROR(__xludf.DUMMYFUNCTION("""COMPUTED_VALUE"""),"")</f>
        <v/>
      </c>
      <c r="N809" s="36" t="str">
        <f ca="1">IFERROR(__xludf.DUMMYFUNCTION("""COMPUTED_VALUE"""),"")</f>
        <v/>
      </c>
      <c r="O809" s="36" t="str">
        <f ca="1">IFERROR(__xludf.DUMMYFUNCTION("""COMPUTED_VALUE"""),"")</f>
        <v/>
      </c>
      <c r="P809" s="36" t="str">
        <f ca="1">IFERROR(__xludf.DUMMYFUNCTION("""COMPUTED_VALUE"""),"")</f>
        <v/>
      </c>
      <c r="Q809" s="36" t="str">
        <f ca="1">IFERROR(__xludf.DUMMYFUNCTION("""COMPUTED_VALUE"""),"")</f>
        <v/>
      </c>
      <c r="R809" s="36" t="str">
        <f ca="1">IFERROR(__xludf.DUMMYFUNCTION("""COMPUTED_VALUE"""),"")</f>
        <v/>
      </c>
      <c r="S809" s="36" t="str">
        <f ca="1">IFERROR(__xludf.DUMMYFUNCTION("""COMPUTED_VALUE"""),"")</f>
        <v/>
      </c>
      <c r="T809" s="36" t="str">
        <f ca="1">IFERROR(__xludf.DUMMYFUNCTION("""COMPUTED_VALUE"""),"")</f>
        <v/>
      </c>
      <c r="U809" s="36" t="str">
        <f ca="1">IFERROR(__xludf.DUMMYFUNCTION("""COMPUTED_VALUE"""),"")</f>
        <v/>
      </c>
      <c r="V809" s="36" t="str">
        <f ca="1">IFERROR(__xludf.DUMMYFUNCTION("""COMPUTED_VALUE"""),"")</f>
        <v/>
      </c>
      <c r="W809" s="36" t="str">
        <f ca="1">IFERROR(__xludf.DUMMYFUNCTION("""COMPUTED_VALUE"""),"")</f>
        <v/>
      </c>
      <c r="X809" s="36"/>
      <c r="Y809" s="36"/>
      <c r="Z809" s="36"/>
    </row>
    <row r="810" spans="1:26" ht="12.75" hidden="1">
      <c r="A810" s="36" t="str">
        <f ca="1">IFERROR(__xludf.DUMMYFUNCTION("""COMPUTED_VALUE"""),"")</f>
        <v/>
      </c>
      <c r="B810" s="36" t="str">
        <f ca="1">IFERROR(__xludf.DUMMYFUNCTION("""COMPUTED_VALUE"""),"")</f>
        <v/>
      </c>
      <c r="C810" s="36" t="str">
        <f ca="1">IFERROR(__xludf.DUMMYFUNCTION("""COMPUTED_VALUE"""),"")</f>
        <v/>
      </c>
      <c r="D810" s="36" t="str">
        <f ca="1">IFERROR(__xludf.DUMMYFUNCTION("""COMPUTED_VALUE"""),"")</f>
        <v/>
      </c>
      <c r="E810" s="36" t="str">
        <f ca="1">IFERROR(__xludf.DUMMYFUNCTION("""COMPUTED_VALUE"""),"")</f>
        <v/>
      </c>
      <c r="F810" s="36" t="str">
        <f ca="1">IFERROR(__xludf.DUMMYFUNCTION("""COMPUTED_VALUE"""),"")</f>
        <v/>
      </c>
      <c r="G810" s="36" t="str">
        <f ca="1">IFERROR(__xludf.DUMMYFUNCTION("""COMPUTED_VALUE"""),"")</f>
        <v/>
      </c>
      <c r="H810" s="36" t="str">
        <f ca="1">IFERROR(__xludf.DUMMYFUNCTION("""COMPUTED_VALUE"""),"")</f>
        <v/>
      </c>
      <c r="I810" s="36" t="str">
        <f ca="1">IFERROR(__xludf.DUMMYFUNCTION("""COMPUTED_VALUE"""),"")</f>
        <v/>
      </c>
      <c r="J810" s="36" t="str">
        <f ca="1">IFERROR(__xludf.DUMMYFUNCTION("""COMPUTED_VALUE"""),"")</f>
        <v/>
      </c>
      <c r="K810" s="36" t="str">
        <f ca="1">IFERROR(__xludf.DUMMYFUNCTION("""COMPUTED_VALUE"""),"")</f>
        <v/>
      </c>
      <c r="L810" s="36" t="str">
        <f ca="1">IFERROR(__xludf.DUMMYFUNCTION("""COMPUTED_VALUE"""),"")</f>
        <v/>
      </c>
      <c r="M810" s="36" t="str">
        <f ca="1">IFERROR(__xludf.DUMMYFUNCTION("""COMPUTED_VALUE"""),"")</f>
        <v/>
      </c>
      <c r="N810" s="36" t="str">
        <f ca="1">IFERROR(__xludf.DUMMYFUNCTION("""COMPUTED_VALUE"""),"")</f>
        <v/>
      </c>
      <c r="O810" s="36" t="str">
        <f ca="1">IFERROR(__xludf.DUMMYFUNCTION("""COMPUTED_VALUE"""),"")</f>
        <v/>
      </c>
      <c r="P810" s="36" t="str">
        <f ca="1">IFERROR(__xludf.DUMMYFUNCTION("""COMPUTED_VALUE"""),"")</f>
        <v/>
      </c>
      <c r="Q810" s="36" t="str">
        <f ca="1">IFERROR(__xludf.DUMMYFUNCTION("""COMPUTED_VALUE"""),"")</f>
        <v/>
      </c>
      <c r="R810" s="36" t="str">
        <f ca="1">IFERROR(__xludf.DUMMYFUNCTION("""COMPUTED_VALUE"""),"")</f>
        <v/>
      </c>
      <c r="S810" s="36" t="str">
        <f ca="1">IFERROR(__xludf.DUMMYFUNCTION("""COMPUTED_VALUE"""),"")</f>
        <v/>
      </c>
      <c r="T810" s="36" t="str">
        <f ca="1">IFERROR(__xludf.DUMMYFUNCTION("""COMPUTED_VALUE"""),"")</f>
        <v/>
      </c>
      <c r="U810" s="36" t="str">
        <f ca="1">IFERROR(__xludf.DUMMYFUNCTION("""COMPUTED_VALUE"""),"")</f>
        <v/>
      </c>
      <c r="V810" s="36" t="str">
        <f ca="1">IFERROR(__xludf.DUMMYFUNCTION("""COMPUTED_VALUE"""),"")</f>
        <v/>
      </c>
      <c r="W810" s="36" t="str">
        <f ca="1">IFERROR(__xludf.DUMMYFUNCTION("""COMPUTED_VALUE"""),"")</f>
        <v/>
      </c>
      <c r="X810" s="36"/>
      <c r="Y810" s="36"/>
      <c r="Z810" s="36"/>
    </row>
    <row r="811" spans="1:26" ht="12.75" hidden="1">
      <c r="A811" s="36" t="str">
        <f ca="1">IFERROR(__xludf.DUMMYFUNCTION("""COMPUTED_VALUE"""),"")</f>
        <v/>
      </c>
      <c r="B811" s="36" t="str">
        <f ca="1">IFERROR(__xludf.DUMMYFUNCTION("""COMPUTED_VALUE"""),"")</f>
        <v/>
      </c>
      <c r="C811" s="36" t="str">
        <f ca="1">IFERROR(__xludf.DUMMYFUNCTION("""COMPUTED_VALUE"""),"")</f>
        <v/>
      </c>
      <c r="D811" s="36" t="str">
        <f ca="1">IFERROR(__xludf.DUMMYFUNCTION("""COMPUTED_VALUE"""),"")</f>
        <v/>
      </c>
      <c r="E811" s="36" t="str">
        <f ca="1">IFERROR(__xludf.DUMMYFUNCTION("""COMPUTED_VALUE"""),"")</f>
        <v/>
      </c>
      <c r="F811" s="36" t="str">
        <f ca="1">IFERROR(__xludf.DUMMYFUNCTION("""COMPUTED_VALUE"""),"")</f>
        <v/>
      </c>
      <c r="G811" s="36" t="str">
        <f ca="1">IFERROR(__xludf.DUMMYFUNCTION("""COMPUTED_VALUE"""),"")</f>
        <v/>
      </c>
      <c r="H811" s="36" t="str">
        <f ca="1">IFERROR(__xludf.DUMMYFUNCTION("""COMPUTED_VALUE"""),"")</f>
        <v/>
      </c>
      <c r="I811" s="36" t="str">
        <f ca="1">IFERROR(__xludf.DUMMYFUNCTION("""COMPUTED_VALUE"""),"")</f>
        <v/>
      </c>
      <c r="J811" s="36" t="str">
        <f ca="1">IFERROR(__xludf.DUMMYFUNCTION("""COMPUTED_VALUE"""),"")</f>
        <v/>
      </c>
      <c r="K811" s="36" t="str">
        <f ca="1">IFERROR(__xludf.DUMMYFUNCTION("""COMPUTED_VALUE"""),"")</f>
        <v/>
      </c>
      <c r="L811" s="36" t="str">
        <f ca="1">IFERROR(__xludf.DUMMYFUNCTION("""COMPUTED_VALUE"""),"")</f>
        <v/>
      </c>
      <c r="M811" s="36" t="str">
        <f ca="1">IFERROR(__xludf.DUMMYFUNCTION("""COMPUTED_VALUE"""),"")</f>
        <v/>
      </c>
      <c r="N811" s="36" t="str">
        <f ca="1">IFERROR(__xludf.DUMMYFUNCTION("""COMPUTED_VALUE"""),"")</f>
        <v/>
      </c>
      <c r="O811" s="36" t="str">
        <f ca="1">IFERROR(__xludf.DUMMYFUNCTION("""COMPUTED_VALUE"""),"")</f>
        <v/>
      </c>
      <c r="P811" s="36" t="str">
        <f ca="1">IFERROR(__xludf.DUMMYFUNCTION("""COMPUTED_VALUE"""),"")</f>
        <v/>
      </c>
      <c r="Q811" s="36" t="str">
        <f ca="1">IFERROR(__xludf.DUMMYFUNCTION("""COMPUTED_VALUE"""),"")</f>
        <v/>
      </c>
      <c r="R811" s="36" t="str">
        <f ca="1">IFERROR(__xludf.DUMMYFUNCTION("""COMPUTED_VALUE"""),"")</f>
        <v/>
      </c>
      <c r="S811" s="36" t="str">
        <f ca="1">IFERROR(__xludf.DUMMYFUNCTION("""COMPUTED_VALUE"""),"")</f>
        <v/>
      </c>
      <c r="T811" s="36" t="str">
        <f ca="1">IFERROR(__xludf.DUMMYFUNCTION("""COMPUTED_VALUE"""),"")</f>
        <v/>
      </c>
      <c r="U811" s="36" t="str">
        <f ca="1">IFERROR(__xludf.DUMMYFUNCTION("""COMPUTED_VALUE"""),"")</f>
        <v/>
      </c>
      <c r="V811" s="36" t="str">
        <f ca="1">IFERROR(__xludf.DUMMYFUNCTION("""COMPUTED_VALUE"""),"")</f>
        <v/>
      </c>
      <c r="W811" s="36" t="str">
        <f ca="1">IFERROR(__xludf.DUMMYFUNCTION("""COMPUTED_VALUE"""),"")</f>
        <v/>
      </c>
      <c r="X811" s="36"/>
      <c r="Y811" s="36"/>
      <c r="Z811" s="36"/>
    </row>
    <row r="812" spans="1:26" ht="12.75" hidden="1">
      <c r="A812" s="36" t="str">
        <f ca="1">IFERROR(__xludf.DUMMYFUNCTION("""COMPUTED_VALUE"""),"")</f>
        <v/>
      </c>
      <c r="B812" s="36" t="str">
        <f ca="1">IFERROR(__xludf.DUMMYFUNCTION("""COMPUTED_VALUE"""),"")</f>
        <v/>
      </c>
      <c r="C812" s="36" t="str">
        <f ca="1">IFERROR(__xludf.DUMMYFUNCTION("""COMPUTED_VALUE"""),"")</f>
        <v/>
      </c>
      <c r="D812" s="36" t="str">
        <f ca="1">IFERROR(__xludf.DUMMYFUNCTION("""COMPUTED_VALUE"""),"")</f>
        <v/>
      </c>
      <c r="E812" s="36" t="str">
        <f ca="1">IFERROR(__xludf.DUMMYFUNCTION("""COMPUTED_VALUE"""),"")</f>
        <v/>
      </c>
      <c r="F812" s="36" t="str">
        <f ca="1">IFERROR(__xludf.DUMMYFUNCTION("""COMPUTED_VALUE"""),"")</f>
        <v/>
      </c>
      <c r="G812" s="36" t="str">
        <f ca="1">IFERROR(__xludf.DUMMYFUNCTION("""COMPUTED_VALUE"""),"")</f>
        <v/>
      </c>
      <c r="H812" s="36" t="str">
        <f ca="1">IFERROR(__xludf.DUMMYFUNCTION("""COMPUTED_VALUE"""),"")</f>
        <v/>
      </c>
      <c r="I812" s="36" t="str">
        <f ca="1">IFERROR(__xludf.DUMMYFUNCTION("""COMPUTED_VALUE"""),"")</f>
        <v/>
      </c>
      <c r="J812" s="36" t="str">
        <f ca="1">IFERROR(__xludf.DUMMYFUNCTION("""COMPUTED_VALUE"""),"")</f>
        <v/>
      </c>
      <c r="K812" s="36" t="str">
        <f ca="1">IFERROR(__xludf.DUMMYFUNCTION("""COMPUTED_VALUE"""),"")</f>
        <v/>
      </c>
      <c r="L812" s="36" t="str">
        <f ca="1">IFERROR(__xludf.DUMMYFUNCTION("""COMPUTED_VALUE"""),"")</f>
        <v/>
      </c>
      <c r="M812" s="36" t="str">
        <f ca="1">IFERROR(__xludf.DUMMYFUNCTION("""COMPUTED_VALUE"""),"")</f>
        <v/>
      </c>
      <c r="N812" s="36" t="str">
        <f ca="1">IFERROR(__xludf.DUMMYFUNCTION("""COMPUTED_VALUE"""),"")</f>
        <v/>
      </c>
      <c r="O812" s="36" t="str">
        <f ca="1">IFERROR(__xludf.DUMMYFUNCTION("""COMPUTED_VALUE"""),"")</f>
        <v/>
      </c>
      <c r="P812" s="36" t="str">
        <f ca="1">IFERROR(__xludf.DUMMYFUNCTION("""COMPUTED_VALUE"""),"")</f>
        <v/>
      </c>
      <c r="Q812" s="36" t="str">
        <f ca="1">IFERROR(__xludf.DUMMYFUNCTION("""COMPUTED_VALUE"""),"")</f>
        <v/>
      </c>
      <c r="R812" s="36" t="str">
        <f ca="1">IFERROR(__xludf.DUMMYFUNCTION("""COMPUTED_VALUE"""),"")</f>
        <v/>
      </c>
      <c r="S812" s="36" t="str">
        <f ca="1">IFERROR(__xludf.DUMMYFUNCTION("""COMPUTED_VALUE"""),"")</f>
        <v/>
      </c>
      <c r="T812" s="36" t="str">
        <f ca="1">IFERROR(__xludf.DUMMYFUNCTION("""COMPUTED_VALUE"""),"")</f>
        <v/>
      </c>
      <c r="U812" s="36" t="str">
        <f ca="1">IFERROR(__xludf.DUMMYFUNCTION("""COMPUTED_VALUE"""),"")</f>
        <v/>
      </c>
      <c r="V812" s="36" t="str">
        <f ca="1">IFERROR(__xludf.DUMMYFUNCTION("""COMPUTED_VALUE"""),"")</f>
        <v/>
      </c>
      <c r="W812" s="36" t="str">
        <f ca="1">IFERROR(__xludf.DUMMYFUNCTION("""COMPUTED_VALUE"""),"")</f>
        <v/>
      </c>
      <c r="X812" s="36"/>
      <c r="Y812" s="36"/>
      <c r="Z812" s="36"/>
    </row>
    <row r="813" spans="1:26" ht="12.75" hidden="1">
      <c r="A813" s="36" t="str">
        <f ca="1">IFERROR(__xludf.DUMMYFUNCTION("""COMPUTED_VALUE"""),"")</f>
        <v/>
      </c>
      <c r="B813" s="36" t="str">
        <f ca="1">IFERROR(__xludf.DUMMYFUNCTION("""COMPUTED_VALUE"""),"")</f>
        <v/>
      </c>
      <c r="C813" s="36" t="str">
        <f ca="1">IFERROR(__xludf.DUMMYFUNCTION("""COMPUTED_VALUE"""),"")</f>
        <v/>
      </c>
      <c r="D813" s="36" t="str">
        <f ca="1">IFERROR(__xludf.DUMMYFUNCTION("""COMPUTED_VALUE"""),"")</f>
        <v/>
      </c>
      <c r="E813" s="36" t="str">
        <f ca="1">IFERROR(__xludf.DUMMYFUNCTION("""COMPUTED_VALUE"""),"")</f>
        <v/>
      </c>
      <c r="F813" s="36" t="str">
        <f ca="1">IFERROR(__xludf.DUMMYFUNCTION("""COMPUTED_VALUE"""),"")</f>
        <v/>
      </c>
      <c r="G813" s="36" t="str">
        <f ca="1">IFERROR(__xludf.DUMMYFUNCTION("""COMPUTED_VALUE"""),"")</f>
        <v/>
      </c>
      <c r="H813" s="36" t="str">
        <f ca="1">IFERROR(__xludf.DUMMYFUNCTION("""COMPUTED_VALUE"""),"")</f>
        <v/>
      </c>
      <c r="I813" s="36" t="str">
        <f ca="1">IFERROR(__xludf.DUMMYFUNCTION("""COMPUTED_VALUE"""),"")</f>
        <v/>
      </c>
      <c r="J813" s="36" t="str">
        <f ca="1">IFERROR(__xludf.DUMMYFUNCTION("""COMPUTED_VALUE"""),"")</f>
        <v/>
      </c>
      <c r="K813" s="36" t="str">
        <f ca="1">IFERROR(__xludf.DUMMYFUNCTION("""COMPUTED_VALUE"""),"")</f>
        <v/>
      </c>
      <c r="L813" s="36" t="str">
        <f ca="1">IFERROR(__xludf.DUMMYFUNCTION("""COMPUTED_VALUE"""),"")</f>
        <v/>
      </c>
      <c r="M813" s="36" t="str">
        <f ca="1">IFERROR(__xludf.DUMMYFUNCTION("""COMPUTED_VALUE"""),"")</f>
        <v/>
      </c>
      <c r="N813" s="36" t="str">
        <f ca="1">IFERROR(__xludf.DUMMYFUNCTION("""COMPUTED_VALUE"""),"")</f>
        <v/>
      </c>
      <c r="O813" s="36" t="str">
        <f ca="1">IFERROR(__xludf.DUMMYFUNCTION("""COMPUTED_VALUE"""),"")</f>
        <v/>
      </c>
      <c r="P813" s="36" t="str">
        <f ca="1">IFERROR(__xludf.DUMMYFUNCTION("""COMPUTED_VALUE"""),"")</f>
        <v/>
      </c>
      <c r="Q813" s="36" t="str">
        <f ca="1">IFERROR(__xludf.DUMMYFUNCTION("""COMPUTED_VALUE"""),"")</f>
        <v/>
      </c>
      <c r="R813" s="36" t="str">
        <f ca="1">IFERROR(__xludf.DUMMYFUNCTION("""COMPUTED_VALUE"""),"")</f>
        <v/>
      </c>
      <c r="S813" s="36" t="str">
        <f ca="1">IFERROR(__xludf.DUMMYFUNCTION("""COMPUTED_VALUE"""),"")</f>
        <v/>
      </c>
      <c r="T813" s="36" t="str">
        <f ca="1">IFERROR(__xludf.DUMMYFUNCTION("""COMPUTED_VALUE"""),"")</f>
        <v/>
      </c>
      <c r="U813" s="36" t="str">
        <f ca="1">IFERROR(__xludf.DUMMYFUNCTION("""COMPUTED_VALUE"""),"")</f>
        <v/>
      </c>
      <c r="V813" s="36" t="str">
        <f ca="1">IFERROR(__xludf.DUMMYFUNCTION("""COMPUTED_VALUE"""),"")</f>
        <v/>
      </c>
      <c r="W813" s="36" t="str">
        <f ca="1">IFERROR(__xludf.DUMMYFUNCTION("""COMPUTED_VALUE"""),"")</f>
        <v/>
      </c>
      <c r="X813" s="36"/>
      <c r="Y813" s="36"/>
      <c r="Z813" s="36"/>
    </row>
    <row r="814" spans="1:26" ht="12.75" hidden="1">
      <c r="A814" s="36" t="str">
        <f ca="1">IFERROR(__xludf.DUMMYFUNCTION("""COMPUTED_VALUE"""),"")</f>
        <v/>
      </c>
      <c r="B814" s="36" t="str">
        <f ca="1">IFERROR(__xludf.DUMMYFUNCTION("""COMPUTED_VALUE"""),"")</f>
        <v/>
      </c>
      <c r="C814" s="36" t="str">
        <f ca="1">IFERROR(__xludf.DUMMYFUNCTION("""COMPUTED_VALUE"""),"")</f>
        <v/>
      </c>
      <c r="D814" s="36" t="str">
        <f ca="1">IFERROR(__xludf.DUMMYFUNCTION("""COMPUTED_VALUE"""),"")</f>
        <v/>
      </c>
      <c r="E814" s="36" t="str">
        <f ca="1">IFERROR(__xludf.DUMMYFUNCTION("""COMPUTED_VALUE"""),"")</f>
        <v/>
      </c>
      <c r="F814" s="36" t="str">
        <f ca="1">IFERROR(__xludf.DUMMYFUNCTION("""COMPUTED_VALUE"""),"")</f>
        <v/>
      </c>
      <c r="G814" s="36" t="str">
        <f ca="1">IFERROR(__xludf.DUMMYFUNCTION("""COMPUTED_VALUE"""),"")</f>
        <v/>
      </c>
      <c r="H814" s="36" t="str">
        <f ca="1">IFERROR(__xludf.DUMMYFUNCTION("""COMPUTED_VALUE"""),"")</f>
        <v/>
      </c>
      <c r="I814" s="36" t="str">
        <f ca="1">IFERROR(__xludf.DUMMYFUNCTION("""COMPUTED_VALUE"""),"")</f>
        <v/>
      </c>
      <c r="J814" s="36" t="str">
        <f ca="1">IFERROR(__xludf.DUMMYFUNCTION("""COMPUTED_VALUE"""),"")</f>
        <v/>
      </c>
      <c r="K814" s="36" t="str">
        <f ca="1">IFERROR(__xludf.DUMMYFUNCTION("""COMPUTED_VALUE"""),"")</f>
        <v/>
      </c>
      <c r="L814" s="36" t="str">
        <f ca="1">IFERROR(__xludf.DUMMYFUNCTION("""COMPUTED_VALUE"""),"")</f>
        <v/>
      </c>
      <c r="M814" s="36" t="str">
        <f ca="1">IFERROR(__xludf.DUMMYFUNCTION("""COMPUTED_VALUE"""),"")</f>
        <v/>
      </c>
      <c r="N814" s="36" t="str">
        <f ca="1">IFERROR(__xludf.DUMMYFUNCTION("""COMPUTED_VALUE"""),"")</f>
        <v/>
      </c>
      <c r="O814" s="36" t="str">
        <f ca="1">IFERROR(__xludf.DUMMYFUNCTION("""COMPUTED_VALUE"""),"")</f>
        <v/>
      </c>
      <c r="P814" s="36" t="str">
        <f ca="1">IFERROR(__xludf.DUMMYFUNCTION("""COMPUTED_VALUE"""),"")</f>
        <v/>
      </c>
      <c r="Q814" s="36" t="str">
        <f ca="1">IFERROR(__xludf.DUMMYFUNCTION("""COMPUTED_VALUE"""),"")</f>
        <v/>
      </c>
      <c r="R814" s="36" t="str">
        <f ca="1">IFERROR(__xludf.DUMMYFUNCTION("""COMPUTED_VALUE"""),"")</f>
        <v/>
      </c>
      <c r="S814" s="36" t="str">
        <f ca="1">IFERROR(__xludf.DUMMYFUNCTION("""COMPUTED_VALUE"""),"")</f>
        <v/>
      </c>
      <c r="T814" s="36" t="str">
        <f ca="1">IFERROR(__xludf.DUMMYFUNCTION("""COMPUTED_VALUE"""),"")</f>
        <v/>
      </c>
      <c r="U814" s="36" t="str">
        <f ca="1">IFERROR(__xludf.DUMMYFUNCTION("""COMPUTED_VALUE"""),"")</f>
        <v/>
      </c>
      <c r="V814" s="36" t="str">
        <f ca="1">IFERROR(__xludf.DUMMYFUNCTION("""COMPUTED_VALUE"""),"")</f>
        <v/>
      </c>
      <c r="W814" s="36" t="str">
        <f ca="1">IFERROR(__xludf.DUMMYFUNCTION("""COMPUTED_VALUE"""),"")</f>
        <v/>
      </c>
      <c r="X814" s="36"/>
      <c r="Y814" s="36"/>
      <c r="Z814" s="36"/>
    </row>
    <row r="815" spans="1:26" ht="12.75" hidden="1">
      <c r="A815" s="36" t="str">
        <f ca="1">IFERROR(__xludf.DUMMYFUNCTION("""COMPUTED_VALUE"""),"")</f>
        <v/>
      </c>
      <c r="B815" s="36" t="str">
        <f ca="1">IFERROR(__xludf.DUMMYFUNCTION("""COMPUTED_VALUE"""),"")</f>
        <v/>
      </c>
      <c r="C815" s="36" t="str">
        <f ca="1">IFERROR(__xludf.DUMMYFUNCTION("""COMPUTED_VALUE"""),"")</f>
        <v/>
      </c>
      <c r="D815" s="36" t="str">
        <f ca="1">IFERROR(__xludf.DUMMYFUNCTION("""COMPUTED_VALUE"""),"")</f>
        <v/>
      </c>
      <c r="E815" s="36" t="str">
        <f ca="1">IFERROR(__xludf.DUMMYFUNCTION("""COMPUTED_VALUE"""),"")</f>
        <v/>
      </c>
      <c r="F815" s="36" t="str">
        <f ca="1">IFERROR(__xludf.DUMMYFUNCTION("""COMPUTED_VALUE"""),"")</f>
        <v/>
      </c>
      <c r="G815" s="36" t="str">
        <f ca="1">IFERROR(__xludf.DUMMYFUNCTION("""COMPUTED_VALUE"""),"")</f>
        <v/>
      </c>
      <c r="H815" s="36" t="str">
        <f ca="1">IFERROR(__xludf.DUMMYFUNCTION("""COMPUTED_VALUE"""),"")</f>
        <v/>
      </c>
      <c r="I815" s="36" t="str">
        <f ca="1">IFERROR(__xludf.DUMMYFUNCTION("""COMPUTED_VALUE"""),"")</f>
        <v/>
      </c>
      <c r="J815" s="36" t="str">
        <f ca="1">IFERROR(__xludf.DUMMYFUNCTION("""COMPUTED_VALUE"""),"")</f>
        <v/>
      </c>
      <c r="K815" s="36" t="str">
        <f ca="1">IFERROR(__xludf.DUMMYFUNCTION("""COMPUTED_VALUE"""),"")</f>
        <v/>
      </c>
      <c r="L815" s="36" t="str">
        <f ca="1">IFERROR(__xludf.DUMMYFUNCTION("""COMPUTED_VALUE"""),"")</f>
        <v/>
      </c>
      <c r="M815" s="36" t="str">
        <f ca="1">IFERROR(__xludf.DUMMYFUNCTION("""COMPUTED_VALUE"""),"")</f>
        <v/>
      </c>
      <c r="N815" s="36" t="str">
        <f ca="1">IFERROR(__xludf.DUMMYFUNCTION("""COMPUTED_VALUE"""),"")</f>
        <v/>
      </c>
      <c r="O815" s="36" t="str">
        <f ca="1">IFERROR(__xludf.DUMMYFUNCTION("""COMPUTED_VALUE"""),"")</f>
        <v/>
      </c>
      <c r="P815" s="36" t="str">
        <f ca="1">IFERROR(__xludf.DUMMYFUNCTION("""COMPUTED_VALUE"""),"")</f>
        <v/>
      </c>
      <c r="Q815" s="36" t="str">
        <f ca="1">IFERROR(__xludf.DUMMYFUNCTION("""COMPUTED_VALUE"""),"")</f>
        <v/>
      </c>
      <c r="R815" s="36" t="str">
        <f ca="1">IFERROR(__xludf.DUMMYFUNCTION("""COMPUTED_VALUE"""),"")</f>
        <v/>
      </c>
      <c r="S815" s="36" t="str">
        <f ca="1">IFERROR(__xludf.DUMMYFUNCTION("""COMPUTED_VALUE"""),"")</f>
        <v/>
      </c>
      <c r="T815" s="36" t="str">
        <f ca="1">IFERROR(__xludf.DUMMYFUNCTION("""COMPUTED_VALUE"""),"")</f>
        <v/>
      </c>
      <c r="U815" s="36" t="str">
        <f ca="1">IFERROR(__xludf.DUMMYFUNCTION("""COMPUTED_VALUE"""),"")</f>
        <v/>
      </c>
      <c r="V815" s="36" t="str">
        <f ca="1">IFERROR(__xludf.DUMMYFUNCTION("""COMPUTED_VALUE"""),"")</f>
        <v/>
      </c>
      <c r="W815" s="36" t="str">
        <f ca="1">IFERROR(__xludf.DUMMYFUNCTION("""COMPUTED_VALUE"""),"")</f>
        <v/>
      </c>
      <c r="X815" s="36"/>
      <c r="Y815" s="36"/>
      <c r="Z815" s="36"/>
    </row>
    <row r="816" spans="1:26" ht="12.75" hidden="1">
      <c r="A816" s="36" t="str">
        <f ca="1">IFERROR(__xludf.DUMMYFUNCTION("""COMPUTED_VALUE"""),"")</f>
        <v/>
      </c>
      <c r="B816" s="36" t="str">
        <f ca="1">IFERROR(__xludf.DUMMYFUNCTION("""COMPUTED_VALUE"""),"")</f>
        <v/>
      </c>
      <c r="C816" s="36" t="str">
        <f ca="1">IFERROR(__xludf.DUMMYFUNCTION("""COMPUTED_VALUE"""),"")</f>
        <v/>
      </c>
      <c r="D816" s="36" t="str">
        <f ca="1">IFERROR(__xludf.DUMMYFUNCTION("""COMPUTED_VALUE"""),"")</f>
        <v/>
      </c>
      <c r="E816" s="36" t="str">
        <f ca="1">IFERROR(__xludf.DUMMYFUNCTION("""COMPUTED_VALUE"""),"")</f>
        <v/>
      </c>
      <c r="F816" s="36" t="str">
        <f ca="1">IFERROR(__xludf.DUMMYFUNCTION("""COMPUTED_VALUE"""),"")</f>
        <v/>
      </c>
      <c r="G816" s="36" t="str">
        <f ca="1">IFERROR(__xludf.DUMMYFUNCTION("""COMPUTED_VALUE"""),"")</f>
        <v/>
      </c>
      <c r="H816" s="36" t="str">
        <f ca="1">IFERROR(__xludf.DUMMYFUNCTION("""COMPUTED_VALUE"""),"")</f>
        <v/>
      </c>
      <c r="I816" s="36" t="str">
        <f ca="1">IFERROR(__xludf.DUMMYFUNCTION("""COMPUTED_VALUE"""),"")</f>
        <v/>
      </c>
      <c r="J816" s="36" t="str">
        <f ca="1">IFERROR(__xludf.DUMMYFUNCTION("""COMPUTED_VALUE"""),"")</f>
        <v/>
      </c>
      <c r="K816" s="36" t="str">
        <f ca="1">IFERROR(__xludf.DUMMYFUNCTION("""COMPUTED_VALUE"""),"")</f>
        <v/>
      </c>
      <c r="L816" s="36" t="str">
        <f ca="1">IFERROR(__xludf.DUMMYFUNCTION("""COMPUTED_VALUE"""),"")</f>
        <v/>
      </c>
      <c r="M816" s="36" t="str">
        <f ca="1">IFERROR(__xludf.DUMMYFUNCTION("""COMPUTED_VALUE"""),"")</f>
        <v/>
      </c>
      <c r="N816" s="36" t="str">
        <f ca="1">IFERROR(__xludf.DUMMYFUNCTION("""COMPUTED_VALUE"""),"")</f>
        <v/>
      </c>
      <c r="O816" s="36" t="str">
        <f ca="1">IFERROR(__xludf.DUMMYFUNCTION("""COMPUTED_VALUE"""),"")</f>
        <v/>
      </c>
      <c r="P816" s="36" t="str">
        <f ca="1">IFERROR(__xludf.DUMMYFUNCTION("""COMPUTED_VALUE"""),"")</f>
        <v/>
      </c>
      <c r="Q816" s="36" t="str">
        <f ca="1">IFERROR(__xludf.DUMMYFUNCTION("""COMPUTED_VALUE"""),"")</f>
        <v/>
      </c>
      <c r="R816" s="36" t="str">
        <f ca="1">IFERROR(__xludf.DUMMYFUNCTION("""COMPUTED_VALUE"""),"")</f>
        <v/>
      </c>
      <c r="S816" s="36" t="str">
        <f ca="1">IFERROR(__xludf.DUMMYFUNCTION("""COMPUTED_VALUE"""),"")</f>
        <v/>
      </c>
      <c r="T816" s="36" t="str">
        <f ca="1">IFERROR(__xludf.DUMMYFUNCTION("""COMPUTED_VALUE"""),"")</f>
        <v/>
      </c>
      <c r="U816" s="36" t="str">
        <f ca="1">IFERROR(__xludf.DUMMYFUNCTION("""COMPUTED_VALUE"""),"")</f>
        <v/>
      </c>
      <c r="V816" s="36" t="str">
        <f ca="1">IFERROR(__xludf.DUMMYFUNCTION("""COMPUTED_VALUE"""),"")</f>
        <v/>
      </c>
      <c r="W816" s="36" t="str">
        <f ca="1">IFERROR(__xludf.DUMMYFUNCTION("""COMPUTED_VALUE"""),"")</f>
        <v/>
      </c>
      <c r="X816" s="36"/>
      <c r="Y816" s="36"/>
      <c r="Z816" s="36"/>
    </row>
    <row r="817" spans="1:26" ht="12.75" hidden="1">
      <c r="A817" s="36" t="str">
        <f ca="1">IFERROR(__xludf.DUMMYFUNCTION("""COMPUTED_VALUE"""),"")</f>
        <v/>
      </c>
      <c r="B817" s="36" t="str">
        <f ca="1">IFERROR(__xludf.DUMMYFUNCTION("""COMPUTED_VALUE"""),"")</f>
        <v/>
      </c>
      <c r="C817" s="36" t="str">
        <f ca="1">IFERROR(__xludf.DUMMYFUNCTION("""COMPUTED_VALUE"""),"")</f>
        <v/>
      </c>
      <c r="D817" s="36" t="str">
        <f ca="1">IFERROR(__xludf.DUMMYFUNCTION("""COMPUTED_VALUE"""),"")</f>
        <v/>
      </c>
      <c r="E817" s="36" t="str">
        <f ca="1">IFERROR(__xludf.DUMMYFUNCTION("""COMPUTED_VALUE"""),"")</f>
        <v/>
      </c>
      <c r="F817" s="36" t="str">
        <f ca="1">IFERROR(__xludf.DUMMYFUNCTION("""COMPUTED_VALUE"""),"")</f>
        <v/>
      </c>
      <c r="G817" s="36" t="str">
        <f ca="1">IFERROR(__xludf.DUMMYFUNCTION("""COMPUTED_VALUE"""),"")</f>
        <v/>
      </c>
      <c r="H817" s="36" t="str">
        <f ca="1">IFERROR(__xludf.DUMMYFUNCTION("""COMPUTED_VALUE"""),"")</f>
        <v/>
      </c>
      <c r="I817" s="36" t="str">
        <f ca="1">IFERROR(__xludf.DUMMYFUNCTION("""COMPUTED_VALUE"""),"")</f>
        <v/>
      </c>
      <c r="J817" s="36" t="str">
        <f ca="1">IFERROR(__xludf.DUMMYFUNCTION("""COMPUTED_VALUE"""),"")</f>
        <v/>
      </c>
      <c r="K817" s="36" t="str">
        <f ca="1">IFERROR(__xludf.DUMMYFUNCTION("""COMPUTED_VALUE"""),"")</f>
        <v/>
      </c>
      <c r="L817" s="36" t="str">
        <f ca="1">IFERROR(__xludf.DUMMYFUNCTION("""COMPUTED_VALUE"""),"")</f>
        <v/>
      </c>
      <c r="M817" s="36" t="str">
        <f ca="1">IFERROR(__xludf.DUMMYFUNCTION("""COMPUTED_VALUE"""),"")</f>
        <v/>
      </c>
      <c r="N817" s="36" t="str">
        <f ca="1">IFERROR(__xludf.DUMMYFUNCTION("""COMPUTED_VALUE"""),"")</f>
        <v/>
      </c>
      <c r="O817" s="36" t="str">
        <f ca="1">IFERROR(__xludf.DUMMYFUNCTION("""COMPUTED_VALUE"""),"")</f>
        <v/>
      </c>
      <c r="P817" s="36" t="str">
        <f ca="1">IFERROR(__xludf.DUMMYFUNCTION("""COMPUTED_VALUE"""),"")</f>
        <v/>
      </c>
      <c r="Q817" s="36" t="str">
        <f ca="1">IFERROR(__xludf.DUMMYFUNCTION("""COMPUTED_VALUE"""),"")</f>
        <v/>
      </c>
      <c r="R817" s="36" t="str">
        <f ca="1">IFERROR(__xludf.DUMMYFUNCTION("""COMPUTED_VALUE"""),"")</f>
        <v/>
      </c>
      <c r="S817" s="36" t="str">
        <f ca="1">IFERROR(__xludf.DUMMYFUNCTION("""COMPUTED_VALUE"""),"")</f>
        <v/>
      </c>
      <c r="T817" s="36" t="str">
        <f ca="1">IFERROR(__xludf.DUMMYFUNCTION("""COMPUTED_VALUE"""),"")</f>
        <v/>
      </c>
      <c r="U817" s="36" t="str">
        <f ca="1">IFERROR(__xludf.DUMMYFUNCTION("""COMPUTED_VALUE"""),"")</f>
        <v/>
      </c>
      <c r="V817" s="36" t="str">
        <f ca="1">IFERROR(__xludf.DUMMYFUNCTION("""COMPUTED_VALUE"""),"")</f>
        <v/>
      </c>
      <c r="W817" s="36" t="str">
        <f ca="1">IFERROR(__xludf.DUMMYFUNCTION("""COMPUTED_VALUE"""),"")</f>
        <v/>
      </c>
      <c r="X817" s="36"/>
      <c r="Y817" s="36"/>
      <c r="Z817" s="36"/>
    </row>
    <row r="818" spans="1:26" ht="12.75" hidden="1">
      <c r="A818" s="36" t="str">
        <f ca="1">IFERROR(__xludf.DUMMYFUNCTION("""COMPUTED_VALUE"""),"")</f>
        <v/>
      </c>
      <c r="B818" s="36" t="str">
        <f ca="1">IFERROR(__xludf.DUMMYFUNCTION("""COMPUTED_VALUE"""),"")</f>
        <v/>
      </c>
      <c r="C818" s="36" t="str">
        <f ca="1">IFERROR(__xludf.DUMMYFUNCTION("""COMPUTED_VALUE"""),"")</f>
        <v/>
      </c>
      <c r="D818" s="36" t="str">
        <f ca="1">IFERROR(__xludf.DUMMYFUNCTION("""COMPUTED_VALUE"""),"")</f>
        <v/>
      </c>
      <c r="E818" s="36" t="str">
        <f ca="1">IFERROR(__xludf.DUMMYFUNCTION("""COMPUTED_VALUE"""),"")</f>
        <v/>
      </c>
      <c r="F818" s="36" t="str">
        <f ca="1">IFERROR(__xludf.DUMMYFUNCTION("""COMPUTED_VALUE"""),"")</f>
        <v/>
      </c>
      <c r="G818" s="36" t="str">
        <f ca="1">IFERROR(__xludf.DUMMYFUNCTION("""COMPUTED_VALUE"""),"")</f>
        <v/>
      </c>
      <c r="H818" s="36" t="str">
        <f ca="1">IFERROR(__xludf.DUMMYFUNCTION("""COMPUTED_VALUE"""),"")</f>
        <v/>
      </c>
      <c r="I818" s="36" t="str">
        <f ca="1">IFERROR(__xludf.DUMMYFUNCTION("""COMPUTED_VALUE"""),"")</f>
        <v/>
      </c>
      <c r="J818" s="36" t="str">
        <f ca="1">IFERROR(__xludf.DUMMYFUNCTION("""COMPUTED_VALUE"""),"")</f>
        <v/>
      </c>
      <c r="K818" s="36" t="str">
        <f ca="1">IFERROR(__xludf.DUMMYFUNCTION("""COMPUTED_VALUE"""),"")</f>
        <v/>
      </c>
      <c r="L818" s="36" t="str">
        <f ca="1">IFERROR(__xludf.DUMMYFUNCTION("""COMPUTED_VALUE"""),"")</f>
        <v/>
      </c>
      <c r="M818" s="36" t="str">
        <f ca="1">IFERROR(__xludf.DUMMYFUNCTION("""COMPUTED_VALUE"""),"")</f>
        <v/>
      </c>
      <c r="N818" s="36" t="str">
        <f ca="1">IFERROR(__xludf.DUMMYFUNCTION("""COMPUTED_VALUE"""),"")</f>
        <v/>
      </c>
      <c r="O818" s="36" t="str">
        <f ca="1">IFERROR(__xludf.DUMMYFUNCTION("""COMPUTED_VALUE"""),"")</f>
        <v/>
      </c>
      <c r="P818" s="36" t="str">
        <f ca="1">IFERROR(__xludf.DUMMYFUNCTION("""COMPUTED_VALUE"""),"")</f>
        <v/>
      </c>
      <c r="Q818" s="36" t="str">
        <f ca="1">IFERROR(__xludf.DUMMYFUNCTION("""COMPUTED_VALUE"""),"")</f>
        <v/>
      </c>
      <c r="R818" s="36" t="str">
        <f ca="1">IFERROR(__xludf.DUMMYFUNCTION("""COMPUTED_VALUE"""),"")</f>
        <v/>
      </c>
      <c r="S818" s="36" t="str">
        <f ca="1">IFERROR(__xludf.DUMMYFUNCTION("""COMPUTED_VALUE"""),"")</f>
        <v/>
      </c>
      <c r="T818" s="36" t="str">
        <f ca="1">IFERROR(__xludf.DUMMYFUNCTION("""COMPUTED_VALUE"""),"")</f>
        <v/>
      </c>
      <c r="U818" s="36" t="str">
        <f ca="1">IFERROR(__xludf.DUMMYFUNCTION("""COMPUTED_VALUE"""),"")</f>
        <v/>
      </c>
      <c r="V818" s="36" t="str">
        <f ca="1">IFERROR(__xludf.DUMMYFUNCTION("""COMPUTED_VALUE"""),"")</f>
        <v/>
      </c>
      <c r="W818" s="36" t="str">
        <f ca="1">IFERROR(__xludf.DUMMYFUNCTION("""COMPUTED_VALUE"""),"")</f>
        <v/>
      </c>
      <c r="X818" s="36"/>
      <c r="Y818" s="36"/>
      <c r="Z818" s="36"/>
    </row>
    <row r="819" spans="1:26" ht="12.75" hidden="1">
      <c r="A819" s="36" t="str">
        <f ca="1">IFERROR(__xludf.DUMMYFUNCTION("""COMPUTED_VALUE"""),"")</f>
        <v/>
      </c>
      <c r="B819" s="36" t="str">
        <f ca="1">IFERROR(__xludf.DUMMYFUNCTION("""COMPUTED_VALUE"""),"")</f>
        <v/>
      </c>
      <c r="C819" s="36" t="str">
        <f ca="1">IFERROR(__xludf.DUMMYFUNCTION("""COMPUTED_VALUE"""),"")</f>
        <v/>
      </c>
      <c r="D819" s="36" t="str">
        <f ca="1">IFERROR(__xludf.DUMMYFUNCTION("""COMPUTED_VALUE"""),"")</f>
        <v/>
      </c>
      <c r="E819" s="36" t="str">
        <f ca="1">IFERROR(__xludf.DUMMYFUNCTION("""COMPUTED_VALUE"""),"")</f>
        <v/>
      </c>
      <c r="F819" s="36" t="str">
        <f ca="1">IFERROR(__xludf.DUMMYFUNCTION("""COMPUTED_VALUE"""),"")</f>
        <v/>
      </c>
      <c r="G819" s="36" t="str">
        <f ca="1">IFERROR(__xludf.DUMMYFUNCTION("""COMPUTED_VALUE"""),"")</f>
        <v/>
      </c>
      <c r="H819" s="36" t="str">
        <f ca="1">IFERROR(__xludf.DUMMYFUNCTION("""COMPUTED_VALUE"""),"")</f>
        <v/>
      </c>
      <c r="I819" s="36" t="str">
        <f ca="1">IFERROR(__xludf.DUMMYFUNCTION("""COMPUTED_VALUE"""),"")</f>
        <v/>
      </c>
      <c r="J819" s="36" t="str">
        <f ca="1">IFERROR(__xludf.DUMMYFUNCTION("""COMPUTED_VALUE"""),"")</f>
        <v/>
      </c>
      <c r="K819" s="36" t="str">
        <f ca="1">IFERROR(__xludf.DUMMYFUNCTION("""COMPUTED_VALUE"""),"")</f>
        <v/>
      </c>
      <c r="L819" s="36" t="str">
        <f ca="1">IFERROR(__xludf.DUMMYFUNCTION("""COMPUTED_VALUE"""),"")</f>
        <v/>
      </c>
      <c r="M819" s="36" t="str">
        <f ca="1">IFERROR(__xludf.DUMMYFUNCTION("""COMPUTED_VALUE"""),"")</f>
        <v/>
      </c>
      <c r="N819" s="36" t="str">
        <f ca="1">IFERROR(__xludf.DUMMYFUNCTION("""COMPUTED_VALUE"""),"")</f>
        <v/>
      </c>
      <c r="O819" s="36" t="str">
        <f ca="1">IFERROR(__xludf.DUMMYFUNCTION("""COMPUTED_VALUE"""),"")</f>
        <v/>
      </c>
      <c r="P819" s="36" t="str">
        <f ca="1">IFERROR(__xludf.DUMMYFUNCTION("""COMPUTED_VALUE"""),"")</f>
        <v/>
      </c>
      <c r="Q819" s="36" t="str">
        <f ca="1">IFERROR(__xludf.DUMMYFUNCTION("""COMPUTED_VALUE"""),"")</f>
        <v/>
      </c>
      <c r="R819" s="36" t="str">
        <f ca="1">IFERROR(__xludf.DUMMYFUNCTION("""COMPUTED_VALUE"""),"")</f>
        <v/>
      </c>
      <c r="S819" s="36" t="str">
        <f ca="1">IFERROR(__xludf.DUMMYFUNCTION("""COMPUTED_VALUE"""),"")</f>
        <v/>
      </c>
      <c r="T819" s="36" t="str">
        <f ca="1">IFERROR(__xludf.DUMMYFUNCTION("""COMPUTED_VALUE"""),"")</f>
        <v/>
      </c>
      <c r="U819" s="36" t="str">
        <f ca="1">IFERROR(__xludf.DUMMYFUNCTION("""COMPUTED_VALUE"""),"")</f>
        <v/>
      </c>
      <c r="V819" s="36" t="str">
        <f ca="1">IFERROR(__xludf.DUMMYFUNCTION("""COMPUTED_VALUE"""),"")</f>
        <v/>
      </c>
      <c r="W819" s="36" t="str">
        <f ca="1">IFERROR(__xludf.DUMMYFUNCTION("""COMPUTED_VALUE"""),"")</f>
        <v/>
      </c>
      <c r="X819" s="36"/>
      <c r="Y819" s="36"/>
      <c r="Z819" s="36"/>
    </row>
    <row r="820" spans="1:26" ht="12.75" hidden="1">
      <c r="A820" s="36" t="str">
        <f ca="1">IFERROR(__xludf.DUMMYFUNCTION("""COMPUTED_VALUE"""),"")</f>
        <v/>
      </c>
      <c r="B820" s="36" t="str">
        <f ca="1">IFERROR(__xludf.DUMMYFUNCTION("""COMPUTED_VALUE"""),"")</f>
        <v/>
      </c>
      <c r="C820" s="36" t="str">
        <f ca="1">IFERROR(__xludf.DUMMYFUNCTION("""COMPUTED_VALUE"""),"")</f>
        <v/>
      </c>
      <c r="D820" s="36" t="str">
        <f ca="1">IFERROR(__xludf.DUMMYFUNCTION("""COMPUTED_VALUE"""),"")</f>
        <v/>
      </c>
      <c r="E820" s="36" t="str">
        <f ca="1">IFERROR(__xludf.DUMMYFUNCTION("""COMPUTED_VALUE"""),"")</f>
        <v/>
      </c>
      <c r="F820" s="36" t="str">
        <f ca="1">IFERROR(__xludf.DUMMYFUNCTION("""COMPUTED_VALUE"""),"")</f>
        <v/>
      </c>
      <c r="G820" s="36" t="str">
        <f ca="1">IFERROR(__xludf.DUMMYFUNCTION("""COMPUTED_VALUE"""),"")</f>
        <v/>
      </c>
      <c r="H820" s="36" t="str">
        <f ca="1">IFERROR(__xludf.DUMMYFUNCTION("""COMPUTED_VALUE"""),"")</f>
        <v/>
      </c>
      <c r="I820" s="36" t="str">
        <f ca="1">IFERROR(__xludf.DUMMYFUNCTION("""COMPUTED_VALUE"""),"")</f>
        <v/>
      </c>
      <c r="J820" s="36" t="str">
        <f ca="1">IFERROR(__xludf.DUMMYFUNCTION("""COMPUTED_VALUE"""),"")</f>
        <v/>
      </c>
      <c r="K820" s="36" t="str">
        <f ca="1">IFERROR(__xludf.DUMMYFUNCTION("""COMPUTED_VALUE"""),"")</f>
        <v/>
      </c>
      <c r="L820" s="36" t="str">
        <f ca="1">IFERROR(__xludf.DUMMYFUNCTION("""COMPUTED_VALUE"""),"")</f>
        <v/>
      </c>
      <c r="M820" s="36" t="str">
        <f ca="1">IFERROR(__xludf.DUMMYFUNCTION("""COMPUTED_VALUE"""),"")</f>
        <v/>
      </c>
      <c r="N820" s="36" t="str">
        <f ca="1">IFERROR(__xludf.DUMMYFUNCTION("""COMPUTED_VALUE"""),"")</f>
        <v/>
      </c>
      <c r="O820" s="36" t="str">
        <f ca="1">IFERROR(__xludf.DUMMYFUNCTION("""COMPUTED_VALUE"""),"")</f>
        <v/>
      </c>
      <c r="P820" s="36" t="str">
        <f ca="1">IFERROR(__xludf.DUMMYFUNCTION("""COMPUTED_VALUE"""),"")</f>
        <v/>
      </c>
      <c r="Q820" s="36" t="str">
        <f ca="1">IFERROR(__xludf.DUMMYFUNCTION("""COMPUTED_VALUE"""),"")</f>
        <v/>
      </c>
      <c r="R820" s="36" t="str">
        <f ca="1">IFERROR(__xludf.DUMMYFUNCTION("""COMPUTED_VALUE"""),"")</f>
        <v/>
      </c>
      <c r="S820" s="36" t="str">
        <f ca="1">IFERROR(__xludf.DUMMYFUNCTION("""COMPUTED_VALUE"""),"")</f>
        <v/>
      </c>
      <c r="T820" s="36" t="str">
        <f ca="1">IFERROR(__xludf.DUMMYFUNCTION("""COMPUTED_VALUE"""),"")</f>
        <v/>
      </c>
      <c r="U820" s="36" t="str">
        <f ca="1">IFERROR(__xludf.DUMMYFUNCTION("""COMPUTED_VALUE"""),"")</f>
        <v/>
      </c>
      <c r="V820" s="36" t="str">
        <f ca="1">IFERROR(__xludf.DUMMYFUNCTION("""COMPUTED_VALUE"""),"")</f>
        <v/>
      </c>
      <c r="W820" s="36" t="str">
        <f ca="1">IFERROR(__xludf.DUMMYFUNCTION("""COMPUTED_VALUE"""),"")</f>
        <v/>
      </c>
      <c r="X820" s="36"/>
      <c r="Y820" s="36"/>
      <c r="Z820" s="36"/>
    </row>
    <row r="821" spans="1:26" ht="12.75" hidden="1">
      <c r="A821" s="36" t="str">
        <f ca="1">IFERROR(__xludf.DUMMYFUNCTION("""COMPUTED_VALUE"""),"")</f>
        <v/>
      </c>
      <c r="B821" s="36" t="str">
        <f ca="1">IFERROR(__xludf.DUMMYFUNCTION("""COMPUTED_VALUE"""),"")</f>
        <v/>
      </c>
      <c r="C821" s="36" t="str">
        <f ca="1">IFERROR(__xludf.DUMMYFUNCTION("""COMPUTED_VALUE"""),"")</f>
        <v/>
      </c>
      <c r="D821" s="36" t="str">
        <f ca="1">IFERROR(__xludf.DUMMYFUNCTION("""COMPUTED_VALUE"""),"")</f>
        <v/>
      </c>
      <c r="E821" s="36" t="str">
        <f ca="1">IFERROR(__xludf.DUMMYFUNCTION("""COMPUTED_VALUE"""),"")</f>
        <v/>
      </c>
      <c r="F821" s="36" t="str">
        <f ca="1">IFERROR(__xludf.DUMMYFUNCTION("""COMPUTED_VALUE"""),"")</f>
        <v/>
      </c>
      <c r="G821" s="36" t="str">
        <f ca="1">IFERROR(__xludf.DUMMYFUNCTION("""COMPUTED_VALUE"""),"")</f>
        <v/>
      </c>
      <c r="H821" s="36" t="str">
        <f ca="1">IFERROR(__xludf.DUMMYFUNCTION("""COMPUTED_VALUE"""),"")</f>
        <v/>
      </c>
      <c r="I821" s="36" t="str">
        <f ca="1">IFERROR(__xludf.DUMMYFUNCTION("""COMPUTED_VALUE"""),"")</f>
        <v/>
      </c>
      <c r="J821" s="36" t="str">
        <f ca="1">IFERROR(__xludf.DUMMYFUNCTION("""COMPUTED_VALUE"""),"")</f>
        <v/>
      </c>
      <c r="K821" s="36" t="str">
        <f ca="1">IFERROR(__xludf.DUMMYFUNCTION("""COMPUTED_VALUE"""),"")</f>
        <v/>
      </c>
      <c r="L821" s="36" t="str">
        <f ca="1">IFERROR(__xludf.DUMMYFUNCTION("""COMPUTED_VALUE"""),"")</f>
        <v/>
      </c>
      <c r="M821" s="36" t="str">
        <f ca="1">IFERROR(__xludf.DUMMYFUNCTION("""COMPUTED_VALUE"""),"")</f>
        <v/>
      </c>
      <c r="N821" s="36" t="str">
        <f ca="1">IFERROR(__xludf.DUMMYFUNCTION("""COMPUTED_VALUE"""),"")</f>
        <v/>
      </c>
      <c r="O821" s="36" t="str">
        <f ca="1">IFERROR(__xludf.DUMMYFUNCTION("""COMPUTED_VALUE"""),"")</f>
        <v/>
      </c>
      <c r="P821" s="36" t="str">
        <f ca="1">IFERROR(__xludf.DUMMYFUNCTION("""COMPUTED_VALUE"""),"")</f>
        <v/>
      </c>
      <c r="Q821" s="36" t="str">
        <f ca="1">IFERROR(__xludf.DUMMYFUNCTION("""COMPUTED_VALUE"""),"")</f>
        <v/>
      </c>
      <c r="R821" s="36" t="str">
        <f ca="1">IFERROR(__xludf.DUMMYFUNCTION("""COMPUTED_VALUE"""),"")</f>
        <v/>
      </c>
      <c r="S821" s="36" t="str">
        <f ca="1">IFERROR(__xludf.DUMMYFUNCTION("""COMPUTED_VALUE"""),"")</f>
        <v/>
      </c>
      <c r="T821" s="36" t="str">
        <f ca="1">IFERROR(__xludf.DUMMYFUNCTION("""COMPUTED_VALUE"""),"")</f>
        <v/>
      </c>
      <c r="U821" s="36" t="str">
        <f ca="1">IFERROR(__xludf.DUMMYFUNCTION("""COMPUTED_VALUE"""),"")</f>
        <v/>
      </c>
      <c r="V821" s="36" t="str">
        <f ca="1">IFERROR(__xludf.DUMMYFUNCTION("""COMPUTED_VALUE"""),"")</f>
        <v/>
      </c>
      <c r="W821" s="36" t="str">
        <f ca="1">IFERROR(__xludf.DUMMYFUNCTION("""COMPUTED_VALUE"""),"")</f>
        <v/>
      </c>
      <c r="X821" s="36"/>
      <c r="Y821" s="36"/>
      <c r="Z821" s="36"/>
    </row>
    <row r="822" spans="1:26" ht="12.75" hidden="1">
      <c r="A822" s="36" t="str">
        <f ca="1">IFERROR(__xludf.DUMMYFUNCTION("""COMPUTED_VALUE"""),"")</f>
        <v/>
      </c>
      <c r="B822" s="36" t="str">
        <f ca="1">IFERROR(__xludf.DUMMYFUNCTION("""COMPUTED_VALUE"""),"")</f>
        <v/>
      </c>
      <c r="C822" s="36" t="str">
        <f ca="1">IFERROR(__xludf.DUMMYFUNCTION("""COMPUTED_VALUE"""),"")</f>
        <v/>
      </c>
      <c r="D822" s="36" t="str">
        <f ca="1">IFERROR(__xludf.DUMMYFUNCTION("""COMPUTED_VALUE"""),"")</f>
        <v/>
      </c>
      <c r="E822" s="36" t="str">
        <f ca="1">IFERROR(__xludf.DUMMYFUNCTION("""COMPUTED_VALUE"""),"")</f>
        <v/>
      </c>
      <c r="F822" s="36" t="str">
        <f ca="1">IFERROR(__xludf.DUMMYFUNCTION("""COMPUTED_VALUE"""),"")</f>
        <v/>
      </c>
      <c r="G822" s="36" t="str">
        <f ca="1">IFERROR(__xludf.DUMMYFUNCTION("""COMPUTED_VALUE"""),"")</f>
        <v/>
      </c>
      <c r="H822" s="36" t="str">
        <f ca="1">IFERROR(__xludf.DUMMYFUNCTION("""COMPUTED_VALUE"""),"")</f>
        <v/>
      </c>
      <c r="I822" s="36" t="str">
        <f ca="1">IFERROR(__xludf.DUMMYFUNCTION("""COMPUTED_VALUE"""),"")</f>
        <v/>
      </c>
      <c r="J822" s="36" t="str">
        <f ca="1">IFERROR(__xludf.DUMMYFUNCTION("""COMPUTED_VALUE"""),"")</f>
        <v/>
      </c>
      <c r="K822" s="36" t="str">
        <f ca="1">IFERROR(__xludf.DUMMYFUNCTION("""COMPUTED_VALUE"""),"")</f>
        <v/>
      </c>
      <c r="L822" s="36" t="str">
        <f ca="1">IFERROR(__xludf.DUMMYFUNCTION("""COMPUTED_VALUE"""),"")</f>
        <v/>
      </c>
      <c r="M822" s="36" t="str">
        <f ca="1">IFERROR(__xludf.DUMMYFUNCTION("""COMPUTED_VALUE"""),"")</f>
        <v/>
      </c>
      <c r="N822" s="36" t="str">
        <f ca="1">IFERROR(__xludf.DUMMYFUNCTION("""COMPUTED_VALUE"""),"")</f>
        <v/>
      </c>
      <c r="O822" s="36" t="str">
        <f ca="1">IFERROR(__xludf.DUMMYFUNCTION("""COMPUTED_VALUE"""),"")</f>
        <v/>
      </c>
      <c r="P822" s="36" t="str">
        <f ca="1">IFERROR(__xludf.DUMMYFUNCTION("""COMPUTED_VALUE"""),"")</f>
        <v/>
      </c>
      <c r="Q822" s="36" t="str">
        <f ca="1">IFERROR(__xludf.DUMMYFUNCTION("""COMPUTED_VALUE"""),"")</f>
        <v/>
      </c>
      <c r="R822" s="36" t="str">
        <f ca="1">IFERROR(__xludf.DUMMYFUNCTION("""COMPUTED_VALUE"""),"")</f>
        <v/>
      </c>
      <c r="S822" s="36" t="str">
        <f ca="1">IFERROR(__xludf.DUMMYFUNCTION("""COMPUTED_VALUE"""),"")</f>
        <v/>
      </c>
      <c r="T822" s="36" t="str">
        <f ca="1">IFERROR(__xludf.DUMMYFUNCTION("""COMPUTED_VALUE"""),"")</f>
        <v/>
      </c>
      <c r="U822" s="36" t="str">
        <f ca="1">IFERROR(__xludf.DUMMYFUNCTION("""COMPUTED_VALUE"""),"")</f>
        <v/>
      </c>
      <c r="V822" s="36" t="str">
        <f ca="1">IFERROR(__xludf.DUMMYFUNCTION("""COMPUTED_VALUE"""),"")</f>
        <v/>
      </c>
      <c r="W822" s="36" t="str">
        <f ca="1">IFERROR(__xludf.DUMMYFUNCTION("""COMPUTED_VALUE"""),"")</f>
        <v/>
      </c>
      <c r="X822" s="36"/>
      <c r="Y822" s="36"/>
      <c r="Z822" s="36"/>
    </row>
    <row r="823" spans="1:26" ht="12.75" hidden="1">
      <c r="A823" s="36" t="str">
        <f ca="1">IFERROR(__xludf.DUMMYFUNCTION("""COMPUTED_VALUE"""),"")</f>
        <v/>
      </c>
      <c r="B823" s="36" t="str">
        <f ca="1">IFERROR(__xludf.DUMMYFUNCTION("""COMPUTED_VALUE"""),"")</f>
        <v/>
      </c>
      <c r="C823" s="36" t="str">
        <f ca="1">IFERROR(__xludf.DUMMYFUNCTION("""COMPUTED_VALUE"""),"")</f>
        <v/>
      </c>
      <c r="D823" s="36" t="str">
        <f ca="1">IFERROR(__xludf.DUMMYFUNCTION("""COMPUTED_VALUE"""),"")</f>
        <v/>
      </c>
      <c r="E823" s="36" t="str">
        <f ca="1">IFERROR(__xludf.DUMMYFUNCTION("""COMPUTED_VALUE"""),"")</f>
        <v/>
      </c>
      <c r="F823" s="36" t="str">
        <f ca="1">IFERROR(__xludf.DUMMYFUNCTION("""COMPUTED_VALUE"""),"")</f>
        <v/>
      </c>
      <c r="G823" s="36" t="str">
        <f ca="1">IFERROR(__xludf.DUMMYFUNCTION("""COMPUTED_VALUE"""),"")</f>
        <v/>
      </c>
      <c r="H823" s="36" t="str">
        <f ca="1">IFERROR(__xludf.DUMMYFUNCTION("""COMPUTED_VALUE"""),"")</f>
        <v/>
      </c>
      <c r="I823" s="36" t="str">
        <f ca="1">IFERROR(__xludf.DUMMYFUNCTION("""COMPUTED_VALUE"""),"")</f>
        <v/>
      </c>
      <c r="J823" s="36" t="str">
        <f ca="1">IFERROR(__xludf.DUMMYFUNCTION("""COMPUTED_VALUE"""),"")</f>
        <v/>
      </c>
      <c r="K823" s="36" t="str">
        <f ca="1">IFERROR(__xludf.DUMMYFUNCTION("""COMPUTED_VALUE"""),"")</f>
        <v/>
      </c>
      <c r="L823" s="36" t="str">
        <f ca="1">IFERROR(__xludf.DUMMYFUNCTION("""COMPUTED_VALUE"""),"")</f>
        <v/>
      </c>
      <c r="M823" s="36" t="str">
        <f ca="1">IFERROR(__xludf.DUMMYFUNCTION("""COMPUTED_VALUE"""),"")</f>
        <v/>
      </c>
      <c r="N823" s="36" t="str">
        <f ca="1">IFERROR(__xludf.DUMMYFUNCTION("""COMPUTED_VALUE"""),"")</f>
        <v/>
      </c>
      <c r="O823" s="36" t="str">
        <f ca="1">IFERROR(__xludf.DUMMYFUNCTION("""COMPUTED_VALUE"""),"")</f>
        <v/>
      </c>
      <c r="P823" s="36" t="str">
        <f ca="1">IFERROR(__xludf.DUMMYFUNCTION("""COMPUTED_VALUE"""),"")</f>
        <v/>
      </c>
      <c r="Q823" s="36" t="str">
        <f ca="1">IFERROR(__xludf.DUMMYFUNCTION("""COMPUTED_VALUE"""),"")</f>
        <v/>
      </c>
      <c r="R823" s="36" t="str">
        <f ca="1">IFERROR(__xludf.DUMMYFUNCTION("""COMPUTED_VALUE"""),"")</f>
        <v/>
      </c>
      <c r="S823" s="36" t="str">
        <f ca="1">IFERROR(__xludf.DUMMYFUNCTION("""COMPUTED_VALUE"""),"")</f>
        <v/>
      </c>
      <c r="T823" s="36" t="str">
        <f ca="1">IFERROR(__xludf.DUMMYFUNCTION("""COMPUTED_VALUE"""),"")</f>
        <v/>
      </c>
      <c r="U823" s="36" t="str">
        <f ca="1">IFERROR(__xludf.DUMMYFUNCTION("""COMPUTED_VALUE"""),"")</f>
        <v/>
      </c>
      <c r="V823" s="36" t="str">
        <f ca="1">IFERROR(__xludf.DUMMYFUNCTION("""COMPUTED_VALUE"""),"")</f>
        <v/>
      </c>
      <c r="W823" s="36" t="str">
        <f ca="1">IFERROR(__xludf.DUMMYFUNCTION("""COMPUTED_VALUE"""),"")</f>
        <v/>
      </c>
      <c r="X823" s="36"/>
      <c r="Y823" s="36"/>
      <c r="Z823" s="36"/>
    </row>
    <row r="824" spans="1:26" ht="12.75" hidden="1">
      <c r="A824" s="36" t="str">
        <f ca="1">IFERROR(__xludf.DUMMYFUNCTION("""COMPUTED_VALUE"""),"")</f>
        <v/>
      </c>
      <c r="B824" s="36" t="str">
        <f ca="1">IFERROR(__xludf.DUMMYFUNCTION("""COMPUTED_VALUE"""),"")</f>
        <v/>
      </c>
      <c r="C824" s="36" t="str">
        <f ca="1">IFERROR(__xludf.DUMMYFUNCTION("""COMPUTED_VALUE"""),"")</f>
        <v/>
      </c>
      <c r="D824" s="36" t="str">
        <f ca="1">IFERROR(__xludf.DUMMYFUNCTION("""COMPUTED_VALUE"""),"")</f>
        <v/>
      </c>
      <c r="E824" s="36" t="str">
        <f ca="1">IFERROR(__xludf.DUMMYFUNCTION("""COMPUTED_VALUE"""),"")</f>
        <v/>
      </c>
      <c r="F824" s="36" t="str">
        <f ca="1">IFERROR(__xludf.DUMMYFUNCTION("""COMPUTED_VALUE"""),"")</f>
        <v/>
      </c>
      <c r="G824" s="36" t="str">
        <f ca="1">IFERROR(__xludf.DUMMYFUNCTION("""COMPUTED_VALUE"""),"")</f>
        <v/>
      </c>
      <c r="H824" s="36" t="str">
        <f ca="1">IFERROR(__xludf.DUMMYFUNCTION("""COMPUTED_VALUE"""),"")</f>
        <v/>
      </c>
      <c r="I824" s="36" t="str">
        <f ca="1">IFERROR(__xludf.DUMMYFUNCTION("""COMPUTED_VALUE"""),"")</f>
        <v/>
      </c>
      <c r="J824" s="36" t="str">
        <f ca="1">IFERROR(__xludf.DUMMYFUNCTION("""COMPUTED_VALUE"""),"")</f>
        <v/>
      </c>
      <c r="K824" s="36" t="str">
        <f ca="1">IFERROR(__xludf.DUMMYFUNCTION("""COMPUTED_VALUE"""),"")</f>
        <v/>
      </c>
      <c r="L824" s="36" t="str">
        <f ca="1">IFERROR(__xludf.DUMMYFUNCTION("""COMPUTED_VALUE"""),"")</f>
        <v/>
      </c>
      <c r="M824" s="36" t="str">
        <f ca="1">IFERROR(__xludf.DUMMYFUNCTION("""COMPUTED_VALUE"""),"")</f>
        <v/>
      </c>
      <c r="N824" s="36" t="str">
        <f ca="1">IFERROR(__xludf.DUMMYFUNCTION("""COMPUTED_VALUE"""),"")</f>
        <v/>
      </c>
      <c r="O824" s="36" t="str">
        <f ca="1">IFERROR(__xludf.DUMMYFUNCTION("""COMPUTED_VALUE"""),"")</f>
        <v/>
      </c>
      <c r="P824" s="36" t="str">
        <f ca="1">IFERROR(__xludf.DUMMYFUNCTION("""COMPUTED_VALUE"""),"")</f>
        <v/>
      </c>
      <c r="Q824" s="36" t="str">
        <f ca="1">IFERROR(__xludf.DUMMYFUNCTION("""COMPUTED_VALUE"""),"")</f>
        <v/>
      </c>
      <c r="R824" s="36" t="str">
        <f ca="1">IFERROR(__xludf.DUMMYFUNCTION("""COMPUTED_VALUE"""),"")</f>
        <v/>
      </c>
      <c r="S824" s="36" t="str">
        <f ca="1">IFERROR(__xludf.DUMMYFUNCTION("""COMPUTED_VALUE"""),"")</f>
        <v/>
      </c>
      <c r="T824" s="36" t="str">
        <f ca="1">IFERROR(__xludf.DUMMYFUNCTION("""COMPUTED_VALUE"""),"")</f>
        <v/>
      </c>
      <c r="U824" s="36" t="str">
        <f ca="1">IFERROR(__xludf.DUMMYFUNCTION("""COMPUTED_VALUE"""),"")</f>
        <v/>
      </c>
      <c r="V824" s="36" t="str">
        <f ca="1">IFERROR(__xludf.DUMMYFUNCTION("""COMPUTED_VALUE"""),"")</f>
        <v/>
      </c>
      <c r="W824" s="36" t="str">
        <f ca="1">IFERROR(__xludf.DUMMYFUNCTION("""COMPUTED_VALUE"""),"")</f>
        <v/>
      </c>
      <c r="X824" s="36"/>
      <c r="Y824" s="36"/>
      <c r="Z824" s="36"/>
    </row>
    <row r="825" spans="1:26" ht="12.75" hidden="1">
      <c r="A825" s="36" t="str">
        <f ca="1">IFERROR(__xludf.DUMMYFUNCTION("""COMPUTED_VALUE"""),"")</f>
        <v/>
      </c>
      <c r="B825" s="36" t="str">
        <f ca="1">IFERROR(__xludf.DUMMYFUNCTION("""COMPUTED_VALUE"""),"")</f>
        <v/>
      </c>
      <c r="C825" s="36" t="str">
        <f ca="1">IFERROR(__xludf.DUMMYFUNCTION("""COMPUTED_VALUE"""),"")</f>
        <v/>
      </c>
      <c r="D825" s="36" t="str">
        <f ca="1">IFERROR(__xludf.DUMMYFUNCTION("""COMPUTED_VALUE"""),"")</f>
        <v/>
      </c>
      <c r="E825" s="36" t="str">
        <f ca="1">IFERROR(__xludf.DUMMYFUNCTION("""COMPUTED_VALUE"""),"")</f>
        <v/>
      </c>
      <c r="F825" s="36" t="str">
        <f ca="1">IFERROR(__xludf.DUMMYFUNCTION("""COMPUTED_VALUE"""),"")</f>
        <v/>
      </c>
      <c r="G825" s="36" t="str">
        <f ca="1">IFERROR(__xludf.DUMMYFUNCTION("""COMPUTED_VALUE"""),"")</f>
        <v/>
      </c>
      <c r="H825" s="36" t="str">
        <f ca="1">IFERROR(__xludf.DUMMYFUNCTION("""COMPUTED_VALUE"""),"")</f>
        <v/>
      </c>
      <c r="I825" s="36" t="str">
        <f ca="1">IFERROR(__xludf.DUMMYFUNCTION("""COMPUTED_VALUE"""),"")</f>
        <v/>
      </c>
      <c r="J825" s="36" t="str">
        <f ca="1">IFERROR(__xludf.DUMMYFUNCTION("""COMPUTED_VALUE"""),"")</f>
        <v/>
      </c>
      <c r="K825" s="36" t="str">
        <f ca="1">IFERROR(__xludf.DUMMYFUNCTION("""COMPUTED_VALUE"""),"")</f>
        <v/>
      </c>
      <c r="L825" s="36" t="str">
        <f ca="1">IFERROR(__xludf.DUMMYFUNCTION("""COMPUTED_VALUE"""),"")</f>
        <v/>
      </c>
      <c r="M825" s="36" t="str">
        <f ca="1">IFERROR(__xludf.DUMMYFUNCTION("""COMPUTED_VALUE"""),"")</f>
        <v/>
      </c>
      <c r="N825" s="36" t="str">
        <f ca="1">IFERROR(__xludf.DUMMYFUNCTION("""COMPUTED_VALUE"""),"")</f>
        <v/>
      </c>
      <c r="O825" s="36" t="str">
        <f ca="1">IFERROR(__xludf.DUMMYFUNCTION("""COMPUTED_VALUE"""),"")</f>
        <v/>
      </c>
      <c r="P825" s="36" t="str">
        <f ca="1">IFERROR(__xludf.DUMMYFUNCTION("""COMPUTED_VALUE"""),"")</f>
        <v/>
      </c>
      <c r="Q825" s="36" t="str">
        <f ca="1">IFERROR(__xludf.DUMMYFUNCTION("""COMPUTED_VALUE"""),"")</f>
        <v/>
      </c>
      <c r="R825" s="36" t="str">
        <f ca="1">IFERROR(__xludf.DUMMYFUNCTION("""COMPUTED_VALUE"""),"")</f>
        <v/>
      </c>
      <c r="S825" s="36" t="str">
        <f ca="1">IFERROR(__xludf.DUMMYFUNCTION("""COMPUTED_VALUE"""),"")</f>
        <v/>
      </c>
      <c r="T825" s="36" t="str">
        <f ca="1">IFERROR(__xludf.DUMMYFUNCTION("""COMPUTED_VALUE"""),"")</f>
        <v/>
      </c>
      <c r="U825" s="36" t="str">
        <f ca="1">IFERROR(__xludf.DUMMYFUNCTION("""COMPUTED_VALUE"""),"")</f>
        <v/>
      </c>
      <c r="V825" s="36" t="str">
        <f ca="1">IFERROR(__xludf.DUMMYFUNCTION("""COMPUTED_VALUE"""),"")</f>
        <v/>
      </c>
      <c r="W825" s="36" t="str">
        <f ca="1">IFERROR(__xludf.DUMMYFUNCTION("""COMPUTED_VALUE"""),"")</f>
        <v/>
      </c>
      <c r="X825" s="36"/>
      <c r="Y825" s="36"/>
      <c r="Z825" s="36"/>
    </row>
    <row r="826" spans="1:26" ht="12.75" hidden="1">
      <c r="A826" s="36" t="str">
        <f ca="1">IFERROR(__xludf.DUMMYFUNCTION("""COMPUTED_VALUE"""),"")</f>
        <v/>
      </c>
      <c r="B826" s="36" t="str">
        <f ca="1">IFERROR(__xludf.DUMMYFUNCTION("""COMPUTED_VALUE"""),"")</f>
        <v/>
      </c>
      <c r="C826" s="36" t="str">
        <f ca="1">IFERROR(__xludf.DUMMYFUNCTION("""COMPUTED_VALUE"""),"")</f>
        <v/>
      </c>
      <c r="D826" s="36" t="str">
        <f ca="1">IFERROR(__xludf.DUMMYFUNCTION("""COMPUTED_VALUE"""),"")</f>
        <v/>
      </c>
      <c r="E826" s="36" t="str">
        <f ca="1">IFERROR(__xludf.DUMMYFUNCTION("""COMPUTED_VALUE"""),"")</f>
        <v/>
      </c>
      <c r="F826" s="36" t="str">
        <f ca="1">IFERROR(__xludf.DUMMYFUNCTION("""COMPUTED_VALUE"""),"")</f>
        <v/>
      </c>
      <c r="G826" s="36" t="str">
        <f ca="1">IFERROR(__xludf.DUMMYFUNCTION("""COMPUTED_VALUE"""),"")</f>
        <v/>
      </c>
      <c r="H826" s="36" t="str">
        <f ca="1">IFERROR(__xludf.DUMMYFUNCTION("""COMPUTED_VALUE"""),"")</f>
        <v/>
      </c>
      <c r="I826" s="36" t="str">
        <f ca="1">IFERROR(__xludf.DUMMYFUNCTION("""COMPUTED_VALUE"""),"")</f>
        <v/>
      </c>
      <c r="J826" s="36" t="str">
        <f ca="1">IFERROR(__xludf.DUMMYFUNCTION("""COMPUTED_VALUE"""),"")</f>
        <v/>
      </c>
      <c r="K826" s="36" t="str">
        <f ca="1">IFERROR(__xludf.DUMMYFUNCTION("""COMPUTED_VALUE"""),"")</f>
        <v/>
      </c>
      <c r="L826" s="36" t="str">
        <f ca="1">IFERROR(__xludf.DUMMYFUNCTION("""COMPUTED_VALUE"""),"")</f>
        <v/>
      </c>
      <c r="M826" s="36" t="str">
        <f ca="1">IFERROR(__xludf.DUMMYFUNCTION("""COMPUTED_VALUE"""),"")</f>
        <v/>
      </c>
      <c r="N826" s="36" t="str">
        <f ca="1">IFERROR(__xludf.DUMMYFUNCTION("""COMPUTED_VALUE"""),"")</f>
        <v/>
      </c>
      <c r="O826" s="36" t="str">
        <f ca="1">IFERROR(__xludf.DUMMYFUNCTION("""COMPUTED_VALUE"""),"")</f>
        <v/>
      </c>
      <c r="P826" s="36" t="str">
        <f ca="1">IFERROR(__xludf.DUMMYFUNCTION("""COMPUTED_VALUE"""),"")</f>
        <v/>
      </c>
      <c r="Q826" s="36" t="str">
        <f ca="1">IFERROR(__xludf.DUMMYFUNCTION("""COMPUTED_VALUE"""),"")</f>
        <v/>
      </c>
      <c r="R826" s="36" t="str">
        <f ca="1">IFERROR(__xludf.DUMMYFUNCTION("""COMPUTED_VALUE"""),"")</f>
        <v/>
      </c>
      <c r="S826" s="36" t="str">
        <f ca="1">IFERROR(__xludf.DUMMYFUNCTION("""COMPUTED_VALUE"""),"")</f>
        <v/>
      </c>
      <c r="T826" s="36" t="str">
        <f ca="1">IFERROR(__xludf.DUMMYFUNCTION("""COMPUTED_VALUE"""),"")</f>
        <v/>
      </c>
      <c r="U826" s="36" t="str">
        <f ca="1">IFERROR(__xludf.DUMMYFUNCTION("""COMPUTED_VALUE"""),"")</f>
        <v/>
      </c>
      <c r="V826" s="36" t="str">
        <f ca="1">IFERROR(__xludf.DUMMYFUNCTION("""COMPUTED_VALUE"""),"")</f>
        <v/>
      </c>
      <c r="W826" s="36" t="str">
        <f ca="1">IFERROR(__xludf.DUMMYFUNCTION("""COMPUTED_VALUE"""),"")</f>
        <v/>
      </c>
      <c r="X826" s="36"/>
      <c r="Y826" s="36"/>
      <c r="Z826" s="36"/>
    </row>
    <row r="827" spans="1:26" ht="12.75" hidden="1">
      <c r="A827" s="36" t="str">
        <f ca="1">IFERROR(__xludf.DUMMYFUNCTION("""COMPUTED_VALUE"""),"")</f>
        <v/>
      </c>
      <c r="B827" s="36" t="str">
        <f ca="1">IFERROR(__xludf.DUMMYFUNCTION("""COMPUTED_VALUE"""),"")</f>
        <v/>
      </c>
      <c r="C827" s="36" t="str">
        <f ca="1">IFERROR(__xludf.DUMMYFUNCTION("""COMPUTED_VALUE"""),"")</f>
        <v/>
      </c>
      <c r="D827" s="36" t="str">
        <f ca="1">IFERROR(__xludf.DUMMYFUNCTION("""COMPUTED_VALUE"""),"")</f>
        <v/>
      </c>
      <c r="E827" s="36" t="str">
        <f ca="1">IFERROR(__xludf.DUMMYFUNCTION("""COMPUTED_VALUE"""),"")</f>
        <v/>
      </c>
      <c r="F827" s="36" t="str">
        <f ca="1">IFERROR(__xludf.DUMMYFUNCTION("""COMPUTED_VALUE"""),"")</f>
        <v/>
      </c>
      <c r="G827" s="36" t="str">
        <f ca="1">IFERROR(__xludf.DUMMYFUNCTION("""COMPUTED_VALUE"""),"")</f>
        <v/>
      </c>
      <c r="H827" s="36" t="str">
        <f ca="1">IFERROR(__xludf.DUMMYFUNCTION("""COMPUTED_VALUE"""),"")</f>
        <v/>
      </c>
      <c r="I827" s="36" t="str">
        <f ca="1">IFERROR(__xludf.DUMMYFUNCTION("""COMPUTED_VALUE"""),"")</f>
        <v/>
      </c>
      <c r="J827" s="36" t="str">
        <f ca="1">IFERROR(__xludf.DUMMYFUNCTION("""COMPUTED_VALUE"""),"")</f>
        <v/>
      </c>
      <c r="K827" s="36" t="str">
        <f ca="1">IFERROR(__xludf.DUMMYFUNCTION("""COMPUTED_VALUE"""),"")</f>
        <v/>
      </c>
      <c r="L827" s="36" t="str">
        <f ca="1">IFERROR(__xludf.DUMMYFUNCTION("""COMPUTED_VALUE"""),"")</f>
        <v/>
      </c>
      <c r="M827" s="36" t="str">
        <f ca="1">IFERROR(__xludf.DUMMYFUNCTION("""COMPUTED_VALUE"""),"")</f>
        <v/>
      </c>
      <c r="N827" s="36" t="str">
        <f ca="1">IFERROR(__xludf.DUMMYFUNCTION("""COMPUTED_VALUE"""),"")</f>
        <v/>
      </c>
      <c r="O827" s="36" t="str">
        <f ca="1">IFERROR(__xludf.DUMMYFUNCTION("""COMPUTED_VALUE"""),"")</f>
        <v/>
      </c>
      <c r="P827" s="36" t="str">
        <f ca="1">IFERROR(__xludf.DUMMYFUNCTION("""COMPUTED_VALUE"""),"")</f>
        <v/>
      </c>
      <c r="Q827" s="36" t="str">
        <f ca="1">IFERROR(__xludf.DUMMYFUNCTION("""COMPUTED_VALUE"""),"")</f>
        <v/>
      </c>
      <c r="R827" s="36" t="str">
        <f ca="1">IFERROR(__xludf.DUMMYFUNCTION("""COMPUTED_VALUE"""),"")</f>
        <v/>
      </c>
      <c r="S827" s="36" t="str">
        <f ca="1">IFERROR(__xludf.DUMMYFUNCTION("""COMPUTED_VALUE"""),"")</f>
        <v/>
      </c>
      <c r="T827" s="36" t="str">
        <f ca="1">IFERROR(__xludf.DUMMYFUNCTION("""COMPUTED_VALUE"""),"")</f>
        <v/>
      </c>
      <c r="U827" s="36" t="str">
        <f ca="1">IFERROR(__xludf.DUMMYFUNCTION("""COMPUTED_VALUE"""),"")</f>
        <v/>
      </c>
      <c r="V827" s="36" t="str">
        <f ca="1">IFERROR(__xludf.DUMMYFUNCTION("""COMPUTED_VALUE"""),"")</f>
        <v/>
      </c>
      <c r="W827" s="36" t="str">
        <f ca="1">IFERROR(__xludf.DUMMYFUNCTION("""COMPUTED_VALUE"""),"")</f>
        <v/>
      </c>
      <c r="X827" s="36"/>
      <c r="Y827" s="36"/>
      <c r="Z827" s="36"/>
    </row>
    <row r="828" spans="1:26" ht="12.75" hidden="1">
      <c r="A828" s="36" t="str">
        <f ca="1">IFERROR(__xludf.DUMMYFUNCTION("""COMPUTED_VALUE"""),"")</f>
        <v/>
      </c>
      <c r="B828" s="36" t="str">
        <f ca="1">IFERROR(__xludf.DUMMYFUNCTION("""COMPUTED_VALUE"""),"")</f>
        <v/>
      </c>
      <c r="C828" s="36" t="str">
        <f ca="1">IFERROR(__xludf.DUMMYFUNCTION("""COMPUTED_VALUE"""),"")</f>
        <v/>
      </c>
      <c r="D828" s="36" t="str">
        <f ca="1">IFERROR(__xludf.DUMMYFUNCTION("""COMPUTED_VALUE"""),"")</f>
        <v/>
      </c>
      <c r="E828" s="36" t="str">
        <f ca="1">IFERROR(__xludf.DUMMYFUNCTION("""COMPUTED_VALUE"""),"")</f>
        <v/>
      </c>
      <c r="F828" s="36" t="str">
        <f ca="1">IFERROR(__xludf.DUMMYFUNCTION("""COMPUTED_VALUE"""),"")</f>
        <v/>
      </c>
      <c r="G828" s="36" t="str">
        <f ca="1">IFERROR(__xludf.DUMMYFUNCTION("""COMPUTED_VALUE"""),"")</f>
        <v/>
      </c>
      <c r="H828" s="36" t="str">
        <f ca="1">IFERROR(__xludf.DUMMYFUNCTION("""COMPUTED_VALUE"""),"")</f>
        <v/>
      </c>
      <c r="I828" s="36" t="str">
        <f ca="1">IFERROR(__xludf.DUMMYFUNCTION("""COMPUTED_VALUE"""),"")</f>
        <v/>
      </c>
      <c r="J828" s="36" t="str">
        <f ca="1">IFERROR(__xludf.DUMMYFUNCTION("""COMPUTED_VALUE"""),"")</f>
        <v/>
      </c>
      <c r="K828" s="36" t="str">
        <f ca="1">IFERROR(__xludf.DUMMYFUNCTION("""COMPUTED_VALUE"""),"")</f>
        <v/>
      </c>
      <c r="L828" s="36" t="str">
        <f ca="1">IFERROR(__xludf.DUMMYFUNCTION("""COMPUTED_VALUE"""),"")</f>
        <v/>
      </c>
      <c r="M828" s="36" t="str">
        <f ca="1">IFERROR(__xludf.DUMMYFUNCTION("""COMPUTED_VALUE"""),"")</f>
        <v/>
      </c>
      <c r="N828" s="36" t="str">
        <f ca="1">IFERROR(__xludf.DUMMYFUNCTION("""COMPUTED_VALUE"""),"")</f>
        <v/>
      </c>
      <c r="O828" s="36" t="str">
        <f ca="1">IFERROR(__xludf.DUMMYFUNCTION("""COMPUTED_VALUE"""),"")</f>
        <v/>
      </c>
      <c r="P828" s="36" t="str">
        <f ca="1">IFERROR(__xludf.DUMMYFUNCTION("""COMPUTED_VALUE"""),"")</f>
        <v/>
      </c>
      <c r="Q828" s="36" t="str">
        <f ca="1">IFERROR(__xludf.DUMMYFUNCTION("""COMPUTED_VALUE"""),"")</f>
        <v/>
      </c>
      <c r="R828" s="36" t="str">
        <f ca="1">IFERROR(__xludf.DUMMYFUNCTION("""COMPUTED_VALUE"""),"")</f>
        <v/>
      </c>
      <c r="S828" s="36" t="str">
        <f ca="1">IFERROR(__xludf.DUMMYFUNCTION("""COMPUTED_VALUE"""),"")</f>
        <v/>
      </c>
      <c r="T828" s="36" t="str">
        <f ca="1">IFERROR(__xludf.DUMMYFUNCTION("""COMPUTED_VALUE"""),"")</f>
        <v/>
      </c>
      <c r="U828" s="36" t="str">
        <f ca="1">IFERROR(__xludf.DUMMYFUNCTION("""COMPUTED_VALUE"""),"")</f>
        <v/>
      </c>
      <c r="V828" s="36" t="str">
        <f ca="1">IFERROR(__xludf.DUMMYFUNCTION("""COMPUTED_VALUE"""),"")</f>
        <v/>
      </c>
      <c r="W828" s="36" t="str">
        <f ca="1">IFERROR(__xludf.DUMMYFUNCTION("""COMPUTED_VALUE"""),"")</f>
        <v/>
      </c>
      <c r="X828" s="36"/>
      <c r="Y828" s="36"/>
      <c r="Z828" s="36"/>
    </row>
    <row r="829" spans="1:26" ht="12.75" hidden="1">
      <c r="A829" s="36" t="str">
        <f ca="1">IFERROR(__xludf.DUMMYFUNCTION("""COMPUTED_VALUE"""),"")</f>
        <v/>
      </c>
      <c r="B829" s="36" t="str">
        <f ca="1">IFERROR(__xludf.DUMMYFUNCTION("""COMPUTED_VALUE"""),"")</f>
        <v/>
      </c>
      <c r="C829" s="36" t="str">
        <f ca="1">IFERROR(__xludf.DUMMYFUNCTION("""COMPUTED_VALUE"""),"")</f>
        <v/>
      </c>
      <c r="D829" s="36" t="str">
        <f ca="1">IFERROR(__xludf.DUMMYFUNCTION("""COMPUTED_VALUE"""),"")</f>
        <v/>
      </c>
      <c r="E829" s="36" t="str">
        <f ca="1">IFERROR(__xludf.DUMMYFUNCTION("""COMPUTED_VALUE"""),"")</f>
        <v/>
      </c>
      <c r="F829" s="36" t="str">
        <f ca="1">IFERROR(__xludf.DUMMYFUNCTION("""COMPUTED_VALUE"""),"")</f>
        <v/>
      </c>
      <c r="G829" s="36" t="str">
        <f ca="1">IFERROR(__xludf.DUMMYFUNCTION("""COMPUTED_VALUE"""),"")</f>
        <v/>
      </c>
      <c r="H829" s="36" t="str">
        <f ca="1">IFERROR(__xludf.DUMMYFUNCTION("""COMPUTED_VALUE"""),"")</f>
        <v/>
      </c>
      <c r="I829" s="36" t="str">
        <f ca="1">IFERROR(__xludf.DUMMYFUNCTION("""COMPUTED_VALUE"""),"")</f>
        <v/>
      </c>
      <c r="J829" s="36" t="str">
        <f ca="1">IFERROR(__xludf.DUMMYFUNCTION("""COMPUTED_VALUE"""),"")</f>
        <v/>
      </c>
      <c r="K829" s="36" t="str">
        <f ca="1">IFERROR(__xludf.DUMMYFUNCTION("""COMPUTED_VALUE"""),"")</f>
        <v/>
      </c>
      <c r="L829" s="36" t="str">
        <f ca="1">IFERROR(__xludf.DUMMYFUNCTION("""COMPUTED_VALUE"""),"")</f>
        <v/>
      </c>
      <c r="M829" s="36" t="str">
        <f ca="1">IFERROR(__xludf.DUMMYFUNCTION("""COMPUTED_VALUE"""),"")</f>
        <v/>
      </c>
      <c r="N829" s="36" t="str">
        <f ca="1">IFERROR(__xludf.DUMMYFUNCTION("""COMPUTED_VALUE"""),"")</f>
        <v/>
      </c>
      <c r="O829" s="36" t="str">
        <f ca="1">IFERROR(__xludf.DUMMYFUNCTION("""COMPUTED_VALUE"""),"")</f>
        <v/>
      </c>
      <c r="P829" s="36" t="str">
        <f ca="1">IFERROR(__xludf.DUMMYFUNCTION("""COMPUTED_VALUE"""),"")</f>
        <v/>
      </c>
      <c r="Q829" s="36" t="str">
        <f ca="1">IFERROR(__xludf.DUMMYFUNCTION("""COMPUTED_VALUE"""),"")</f>
        <v/>
      </c>
      <c r="R829" s="36" t="str">
        <f ca="1">IFERROR(__xludf.DUMMYFUNCTION("""COMPUTED_VALUE"""),"")</f>
        <v/>
      </c>
      <c r="S829" s="36" t="str">
        <f ca="1">IFERROR(__xludf.DUMMYFUNCTION("""COMPUTED_VALUE"""),"")</f>
        <v/>
      </c>
      <c r="T829" s="36" t="str">
        <f ca="1">IFERROR(__xludf.DUMMYFUNCTION("""COMPUTED_VALUE"""),"")</f>
        <v/>
      </c>
      <c r="U829" s="36" t="str">
        <f ca="1">IFERROR(__xludf.DUMMYFUNCTION("""COMPUTED_VALUE"""),"")</f>
        <v/>
      </c>
      <c r="V829" s="36" t="str">
        <f ca="1">IFERROR(__xludf.DUMMYFUNCTION("""COMPUTED_VALUE"""),"")</f>
        <v/>
      </c>
      <c r="W829" s="36" t="str">
        <f ca="1">IFERROR(__xludf.DUMMYFUNCTION("""COMPUTED_VALUE"""),"")</f>
        <v/>
      </c>
      <c r="X829" s="36"/>
      <c r="Y829" s="36"/>
      <c r="Z829" s="36"/>
    </row>
    <row r="830" spans="1:26" ht="12.75" hidden="1">
      <c r="A830" s="36" t="str">
        <f ca="1">IFERROR(__xludf.DUMMYFUNCTION("""COMPUTED_VALUE"""),"")</f>
        <v/>
      </c>
      <c r="B830" s="36" t="str">
        <f ca="1">IFERROR(__xludf.DUMMYFUNCTION("""COMPUTED_VALUE"""),"")</f>
        <v/>
      </c>
      <c r="C830" s="36" t="str">
        <f ca="1">IFERROR(__xludf.DUMMYFUNCTION("""COMPUTED_VALUE"""),"")</f>
        <v/>
      </c>
      <c r="D830" s="36" t="str">
        <f ca="1">IFERROR(__xludf.DUMMYFUNCTION("""COMPUTED_VALUE"""),"")</f>
        <v/>
      </c>
      <c r="E830" s="36" t="str">
        <f ca="1">IFERROR(__xludf.DUMMYFUNCTION("""COMPUTED_VALUE"""),"")</f>
        <v/>
      </c>
      <c r="F830" s="36" t="str">
        <f ca="1">IFERROR(__xludf.DUMMYFUNCTION("""COMPUTED_VALUE"""),"")</f>
        <v/>
      </c>
      <c r="G830" s="36" t="str">
        <f ca="1">IFERROR(__xludf.DUMMYFUNCTION("""COMPUTED_VALUE"""),"")</f>
        <v/>
      </c>
      <c r="H830" s="36" t="str">
        <f ca="1">IFERROR(__xludf.DUMMYFUNCTION("""COMPUTED_VALUE"""),"")</f>
        <v/>
      </c>
      <c r="I830" s="36" t="str">
        <f ca="1">IFERROR(__xludf.DUMMYFUNCTION("""COMPUTED_VALUE"""),"")</f>
        <v/>
      </c>
      <c r="J830" s="36" t="str">
        <f ca="1">IFERROR(__xludf.DUMMYFUNCTION("""COMPUTED_VALUE"""),"")</f>
        <v/>
      </c>
      <c r="K830" s="36" t="str">
        <f ca="1">IFERROR(__xludf.DUMMYFUNCTION("""COMPUTED_VALUE"""),"")</f>
        <v/>
      </c>
      <c r="L830" s="36" t="str">
        <f ca="1">IFERROR(__xludf.DUMMYFUNCTION("""COMPUTED_VALUE"""),"")</f>
        <v/>
      </c>
      <c r="M830" s="36" t="str">
        <f ca="1">IFERROR(__xludf.DUMMYFUNCTION("""COMPUTED_VALUE"""),"")</f>
        <v/>
      </c>
      <c r="N830" s="36" t="str">
        <f ca="1">IFERROR(__xludf.DUMMYFUNCTION("""COMPUTED_VALUE"""),"")</f>
        <v/>
      </c>
      <c r="O830" s="36" t="str">
        <f ca="1">IFERROR(__xludf.DUMMYFUNCTION("""COMPUTED_VALUE"""),"")</f>
        <v/>
      </c>
      <c r="P830" s="36" t="str">
        <f ca="1">IFERROR(__xludf.DUMMYFUNCTION("""COMPUTED_VALUE"""),"")</f>
        <v/>
      </c>
      <c r="Q830" s="36" t="str">
        <f ca="1">IFERROR(__xludf.DUMMYFUNCTION("""COMPUTED_VALUE"""),"")</f>
        <v/>
      </c>
      <c r="R830" s="36" t="str">
        <f ca="1">IFERROR(__xludf.DUMMYFUNCTION("""COMPUTED_VALUE"""),"")</f>
        <v/>
      </c>
      <c r="S830" s="36" t="str">
        <f ca="1">IFERROR(__xludf.DUMMYFUNCTION("""COMPUTED_VALUE"""),"")</f>
        <v/>
      </c>
      <c r="T830" s="36" t="str">
        <f ca="1">IFERROR(__xludf.DUMMYFUNCTION("""COMPUTED_VALUE"""),"")</f>
        <v/>
      </c>
      <c r="U830" s="36" t="str">
        <f ca="1">IFERROR(__xludf.DUMMYFUNCTION("""COMPUTED_VALUE"""),"")</f>
        <v/>
      </c>
      <c r="V830" s="36" t="str">
        <f ca="1">IFERROR(__xludf.DUMMYFUNCTION("""COMPUTED_VALUE"""),"")</f>
        <v/>
      </c>
      <c r="W830" s="36" t="str">
        <f ca="1">IFERROR(__xludf.DUMMYFUNCTION("""COMPUTED_VALUE"""),"")</f>
        <v/>
      </c>
      <c r="X830" s="36"/>
      <c r="Y830" s="36"/>
      <c r="Z830" s="36"/>
    </row>
    <row r="831" spans="1:26" ht="12.75" hidden="1">
      <c r="A831" s="36" t="str">
        <f ca="1">IFERROR(__xludf.DUMMYFUNCTION("""COMPUTED_VALUE"""),"")</f>
        <v/>
      </c>
      <c r="B831" s="36" t="str">
        <f ca="1">IFERROR(__xludf.DUMMYFUNCTION("""COMPUTED_VALUE"""),"")</f>
        <v/>
      </c>
      <c r="C831" s="36" t="str">
        <f ca="1">IFERROR(__xludf.DUMMYFUNCTION("""COMPUTED_VALUE"""),"")</f>
        <v/>
      </c>
      <c r="D831" s="36" t="str">
        <f ca="1">IFERROR(__xludf.DUMMYFUNCTION("""COMPUTED_VALUE"""),"")</f>
        <v/>
      </c>
      <c r="E831" s="36" t="str">
        <f ca="1">IFERROR(__xludf.DUMMYFUNCTION("""COMPUTED_VALUE"""),"")</f>
        <v/>
      </c>
      <c r="F831" s="36" t="str">
        <f ca="1">IFERROR(__xludf.DUMMYFUNCTION("""COMPUTED_VALUE"""),"")</f>
        <v/>
      </c>
      <c r="G831" s="36" t="str">
        <f ca="1">IFERROR(__xludf.DUMMYFUNCTION("""COMPUTED_VALUE"""),"")</f>
        <v/>
      </c>
      <c r="H831" s="36" t="str">
        <f ca="1">IFERROR(__xludf.DUMMYFUNCTION("""COMPUTED_VALUE"""),"")</f>
        <v/>
      </c>
      <c r="I831" s="36" t="str">
        <f ca="1">IFERROR(__xludf.DUMMYFUNCTION("""COMPUTED_VALUE"""),"")</f>
        <v/>
      </c>
      <c r="J831" s="36" t="str">
        <f ca="1">IFERROR(__xludf.DUMMYFUNCTION("""COMPUTED_VALUE"""),"")</f>
        <v/>
      </c>
      <c r="K831" s="36" t="str">
        <f ca="1">IFERROR(__xludf.DUMMYFUNCTION("""COMPUTED_VALUE"""),"")</f>
        <v/>
      </c>
      <c r="L831" s="36" t="str">
        <f ca="1">IFERROR(__xludf.DUMMYFUNCTION("""COMPUTED_VALUE"""),"")</f>
        <v/>
      </c>
      <c r="M831" s="36" t="str">
        <f ca="1">IFERROR(__xludf.DUMMYFUNCTION("""COMPUTED_VALUE"""),"")</f>
        <v/>
      </c>
      <c r="N831" s="36" t="str">
        <f ca="1">IFERROR(__xludf.DUMMYFUNCTION("""COMPUTED_VALUE"""),"")</f>
        <v/>
      </c>
      <c r="O831" s="36" t="str">
        <f ca="1">IFERROR(__xludf.DUMMYFUNCTION("""COMPUTED_VALUE"""),"")</f>
        <v/>
      </c>
      <c r="P831" s="36" t="str">
        <f ca="1">IFERROR(__xludf.DUMMYFUNCTION("""COMPUTED_VALUE"""),"")</f>
        <v/>
      </c>
      <c r="Q831" s="36" t="str">
        <f ca="1">IFERROR(__xludf.DUMMYFUNCTION("""COMPUTED_VALUE"""),"")</f>
        <v/>
      </c>
      <c r="R831" s="36" t="str">
        <f ca="1">IFERROR(__xludf.DUMMYFUNCTION("""COMPUTED_VALUE"""),"")</f>
        <v/>
      </c>
      <c r="S831" s="36" t="str">
        <f ca="1">IFERROR(__xludf.DUMMYFUNCTION("""COMPUTED_VALUE"""),"")</f>
        <v/>
      </c>
      <c r="T831" s="36" t="str">
        <f ca="1">IFERROR(__xludf.DUMMYFUNCTION("""COMPUTED_VALUE"""),"")</f>
        <v/>
      </c>
      <c r="U831" s="36" t="str">
        <f ca="1">IFERROR(__xludf.DUMMYFUNCTION("""COMPUTED_VALUE"""),"")</f>
        <v/>
      </c>
      <c r="V831" s="36" t="str">
        <f ca="1">IFERROR(__xludf.DUMMYFUNCTION("""COMPUTED_VALUE"""),"")</f>
        <v/>
      </c>
      <c r="W831" s="36" t="str">
        <f ca="1">IFERROR(__xludf.DUMMYFUNCTION("""COMPUTED_VALUE"""),"")</f>
        <v/>
      </c>
      <c r="X831" s="36"/>
      <c r="Y831" s="36"/>
      <c r="Z831" s="36"/>
    </row>
    <row r="832" spans="1:26" ht="12.75" hidden="1">
      <c r="A832" s="36" t="str">
        <f ca="1">IFERROR(__xludf.DUMMYFUNCTION("""COMPUTED_VALUE"""),"")</f>
        <v/>
      </c>
      <c r="B832" s="36" t="str">
        <f ca="1">IFERROR(__xludf.DUMMYFUNCTION("""COMPUTED_VALUE"""),"")</f>
        <v/>
      </c>
      <c r="C832" s="36" t="str">
        <f ca="1">IFERROR(__xludf.DUMMYFUNCTION("""COMPUTED_VALUE"""),"")</f>
        <v/>
      </c>
      <c r="D832" s="36" t="str">
        <f ca="1">IFERROR(__xludf.DUMMYFUNCTION("""COMPUTED_VALUE"""),"")</f>
        <v/>
      </c>
      <c r="E832" s="36" t="str">
        <f ca="1">IFERROR(__xludf.DUMMYFUNCTION("""COMPUTED_VALUE"""),"")</f>
        <v/>
      </c>
      <c r="F832" s="36" t="str">
        <f ca="1">IFERROR(__xludf.DUMMYFUNCTION("""COMPUTED_VALUE"""),"")</f>
        <v/>
      </c>
      <c r="G832" s="36" t="str">
        <f ca="1">IFERROR(__xludf.DUMMYFUNCTION("""COMPUTED_VALUE"""),"")</f>
        <v/>
      </c>
      <c r="H832" s="36" t="str">
        <f ca="1">IFERROR(__xludf.DUMMYFUNCTION("""COMPUTED_VALUE"""),"")</f>
        <v/>
      </c>
      <c r="I832" s="36" t="str">
        <f ca="1">IFERROR(__xludf.DUMMYFUNCTION("""COMPUTED_VALUE"""),"")</f>
        <v/>
      </c>
      <c r="J832" s="36" t="str">
        <f ca="1">IFERROR(__xludf.DUMMYFUNCTION("""COMPUTED_VALUE"""),"")</f>
        <v/>
      </c>
      <c r="K832" s="36" t="str">
        <f ca="1">IFERROR(__xludf.DUMMYFUNCTION("""COMPUTED_VALUE"""),"")</f>
        <v/>
      </c>
      <c r="L832" s="36" t="str">
        <f ca="1">IFERROR(__xludf.DUMMYFUNCTION("""COMPUTED_VALUE"""),"")</f>
        <v/>
      </c>
      <c r="M832" s="36" t="str">
        <f ca="1">IFERROR(__xludf.DUMMYFUNCTION("""COMPUTED_VALUE"""),"")</f>
        <v/>
      </c>
      <c r="N832" s="36" t="str">
        <f ca="1">IFERROR(__xludf.DUMMYFUNCTION("""COMPUTED_VALUE"""),"")</f>
        <v/>
      </c>
      <c r="O832" s="36" t="str">
        <f ca="1">IFERROR(__xludf.DUMMYFUNCTION("""COMPUTED_VALUE"""),"")</f>
        <v/>
      </c>
      <c r="P832" s="36" t="str">
        <f ca="1">IFERROR(__xludf.DUMMYFUNCTION("""COMPUTED_VALUE"""),"")</f>
        <v/>
      </c>
      <c r="Q832" s="36" t="str">
        <f ca="1">IFERROR(__xludf.DUMMYFUNCTION("""COMPUTED_VALUE"""),"")</f>
        <v/>
      </c>
      <c r="R832" s="36" t="str">
        <f ca="1">IFERROR(__xludf.DUMMYFUNCTION("""COMPUTED_VALUE"""),"")</f>
        <v/>
      </c>
      <c r="S832" s="36" t="str">
        <f ca="1">IFERROR(__xludf.DUMMYFUNCTION("""COMPUTED_VALUE"""),"")</f>
        <v/>
      </c>
      <c r="T832" s="36" t="str">
        <f ca="1">IFERROR(__xludf.DUMMYFUNCTION("""COMPUTED_VALUE"""),"")</f>
        <v/>
      </c>
      <c r="U832" s="36" t="str">
        <f ca="1">IFERROR(__xludf.DUMMYFUNCTION("""COMPUTED_VALUE"""),"")</f>
        <v/>
      </c>
      <c r="V832" s="36" t="str">
        <f ca="1">IFERROR(__xludf.DUMMYFUNCTION("""COMPUTED_VALUE"""),"")</f>
        <v/>
      </c>
      <c r="W832" s="36" t="str">
        <f ca="1">IFERROR(__xludf.DUMMYFUNCTION("""COMPUTED_VALUE"""),"")</f>
        <v/>
      </c>
      <c r="X832" s="36"/>
      <c r="Y832" s="36"/>
      <c r="Z832" s="36"/>
    </row>
    <row r="833" spans="1:26" ht="12.75" hidden="1">
      <c r="A833" s="36" t="str">
        <f ca="1">IFERROR(__xludf.DUMMYFUNCTION("""COMPUTED_VALUE"""),"")</f>
        <v/>
      </c>
      <c r="B833" s="36" t="str">
        <f ca="1">IFERROR(__xludf.DUMMYFUNCTION("""COMPUTED_VALUE"""),"")</f>
        <v/>
      </c>
      <c r="C833" s="36" t="str">
        <f ca="1">IFERROR(__xludf.DUMMYFUNCTION("""COMPUTED_VALUE"""),"")</f>
        <v/>
      </c>
      <c r="D833" s="36" t="str">
        <f ca="1">IFERROR(__xludf.DUMMYFUNCTION("""COMPUTED_VALUE"""),"")</f>
        <v/>
      </c>
      <c r="E833" s="36" t="str">
        <f ca="1">IFERROR(__xludf.DUMMYFUNCTION("""COMPUTED_VALUE"""),"")</f>
        <v/>
      </c>
      <c r="F833" s="36" t="str">
        <f ca="1">IFERROR(__xludf.DUMMYFUNCTION("""COMPUTED_VALUE"""),"")</f>
        <v/>
      </c>
      <c r="G833" s="36" t="str">
        <f ca="1">IFERROR(__xludf.DUMMYFUNCTION("""COMPUTED_VALUE"""),"")</f>
        <v/>
      </c>
      <c r="H833" s="36" t="str">
        <f ca="1">IFERROR(__xludf.DUMMYFUNCTION("""COMPUTED_VALUE"""),"")</f>
        <v/>
      </c>
      <c r="I833" s="36" t="str">
        <f ca="1">IFERROR(__xludf.DUMMYFUNCTION("""COMPUTED_VALUE"""),"")</f>
        <v/>
      </c>
      <c r="J833" s="36" t="str">
        <f ca="1">IFERROR(__xludf.DUMMYFUNCTION("""COMPUTED_VALUE"""),"")</f>
        <v/>
      </c>
      <c r="K833" s="36" t="str">
        <f ca="1">IFERROR(__xludf.DUMMYFUNCTION("""COMPUTED_VALUE"""),"")</f>
        <v/>
      </c>
      <c r="L833" s="36" t="str">
        <f ca="1">IFERROR(__xludf.DUMMYFUNCTION("""COMPUTED_VALUE"""),"")</f>
        <v/>
      </c>
      <c r="M833" s="36" t="str">
        <f ca="1">IFERROR(__xludf.DUMMYFUNCTION("""COMPUTED_VALUE"""),"")</f>
        <v/>
      </c>
      <c r="N833" s="36" t="str">
        <f ca="1">IFERROR(__xludf.DUMMYFUNCTION("""COMPUTED_VALUE"""),"")</f>
        <v/>
      </c>
      <c r="O833" s="36" t="str">
        <f ca="1">IFERROR(__xludf.DUMMYFUNCTION("""COMPUTED_VALUE"""),"")</f>
        <v/>
      </c>
      <c r="P833" s="36" t="str">
        <f ca="1">IFERROR(__xludf.DUMMYFUNCTION("""COMPUTED_VALUE"""),"")</f>
        <v/>
      </c>
      <c r="Q833" s="36" t="str">
        <f ca="1">IFERROR(__xludf.DUMMYFUNCTION("""COMPUTED_VALUE"""),"")</f>
        <v/>
      </c>
      <c r="R833" s="36" t="str">
        <f ca="1">IFERROR(__xludf.DUMMYFUNCTION("""COMPUTED_VALUE"""),"")</f>
        <v/>
      </c>
      <c r="S833" s="36" t="str">
        <f ca="1">IFERROR(__xludf.DUMMYFUNCTION("""COMPUTED_VALUE"""),"")</f>
        <v/>
      </c>
      <c r="T833" s="36" t="str">
        <f ca="1">IFERROR(__xludf.DUMMYFUNCTION("""COMPUTED_VALUE"""),"")</f>
        <v/>
      </c>
      <c r="U833" s="36" t="str">
        <f ca="1">IFERROR(__xludf.DUMMYFUNCTION("""COMPUTED_VALUE"""),"")</f>
        <v/>
      </c>
      <c r="V833" s="36" t="str">
        <f ca="1">IFERROR(__xludf.DUMMYFUNCTION("""COMPUTED_VALUE"""),"")</f>
        <v/>
      </c>
      <c r="W833" s="36" t="str">
        <f ca="1">IFERROR(__xludf.DUMMYFUNCTION("""COMPUTED_VALUE"""),"")</f>
        <v/>
      </c>
      <c r="X833" s="36"/>
      <c r="Y833" s="36"/>
      <c r="Z833" s="36"/>
    </row>
    <row r="834" spans="1:26" ht="12.75" hidden="1">
      <c r="A834" s="36" t="str">
        <f ca="1">IFERROR(__xludf.DUMMYFUNCTION("""COMPUTED_VALUE"""),"")</f>
        <v/>
      </c>
      <c r="B834" s="36" t="str">
        <f ca="1">IFERROR(__xludf.DUMMYFUNCTION("""COMPUTED_VALUE"""),"")</f>
        <v/>
      </c>
      <c r="C834" s="36" t="str">
        <f ca="1">IFERROR(__xludf.DUMMYFUNCTION("""COMPUTED_VALUE"""),"")</f>
        <v/>
      </c>
      <c r="D834" s="36" t="str">
        <f ca="1">IFERROR(__xludf.DUMMYFUNCTION("""COMPUTED_VALUE"""),"")</f>
        <v/>
      </c>
      <c r="E834" s="36" t="str">
        <f ca="1">IFERROR(__xludf.DUMMYFUNCTION("""COMPUTED_VALUE"""),"")</f>
        <v/>
      </c>
      <c r="F834" s="36" t="str">
        <f ca="1">IFERROR(__xludf.DUMMYFUNCTION("""COMPUTED_VALUE"""),"")</f>
        <v/>
      </c>
      <c r="G834" s="36" t="str">
        <f ca="1">IFERROR(__xludf.DUMMYFUNCTION("""COMPUTED_VALUE"""),"")</f>
        <v/>
      </c>
      <c r="H834" s="36" t="str">
        <f ca="1">IFERROR(__xludf.DUMMYFUNCTION("""COMPUTED_VALUE"""),"")</f>
        <v/>
      </c>
      <c r="I834" s="36" t="str">
        <f ca="1">IFERROR(__xludf.DUMMYFUNCTION("""COMPUTED_VALUE"""),"")</f>
        <v/>
      </c>
      <c r="J834" s="36" t="str">
        <f ca="1">IFERROR(__xludf.DUMMYFUNCTION("""COMPUTED_VALUE"""),"")</f>
        <v/>
      </c>
      <c r="K834" s="36" t="str">
        <f ca="1">IFERROR(__xludf.DUMMYFUNCTION("""COMPUTED_VALUE"""),"")</f>
        <v/>
      </c>
      <c r="L834" s="36" t="str">
        <f ca="1">IFERROR(__xludf.DUMMYFUNCTION("""COMPUTED_VALUE"""),"")</f>
        <v/>
      </c>
      <c r="M834" s="36" t="str">
        <f ca="1">IFERROR(__xludf.DUMMYFUNCTION("""COMPUTED_VALUE"""),"")</f>
        <v/>
      </c>
      <c r="N834" s="36" t="str">
        <f ca="1">IFERROR(__xludf.DUMMYFUNCTION("""COMPUTED_VALUE"""),"")</f>
        <v/>
      </c>
      <c r="O834" s="36" t="str">
        <f ca="1">IFERROR(__xludf.DUMMYFUNCTION("""COMPUTED_VALUE"""),"")</f>
        <v/>
      </c>
      <c r="P834" s="36" t="str">
        <f ca="1">IFERROR(__xludf.DUMMYFUNCTION("""COMPUTED_VALUE"""),"")</f>
        <v/>
      </c>
      <c r="Q834" s="36" t="str">
        <f ca="1">IFERROR(__xludf.DUMMYFUNCTION("""COMPUTED_VALUE"""),"")</f>
        <v/>
      </c>
      <c r="R834" s="36" t="str">
        <f ca="1">IFERROR(__xludf.DUMMYFUNCTION("""COMPUTED_VALUE"""),"")</f>
        <v/>
      </c>
      <c r="S834" s="36" t="str">
        <f ca="1">IFERROR(__xludf.DUMMYFUNCTION("""COMPUTED_VALUE"""),"")</f>
        <v/>
      </c>
      <c r="T834" s="36" t="str">
        <f ca="1">IFERROR(__xludf.DUMMYFUNCTION("""COMPUTED_VALUE"""),"")</f>
        <v/>
      </c>
      <c r="U834" s="36" t="str">
        <f ca="1">IFERROR(__xludf.DUMMYFUNCTION("""COMPUTED_VALUE"""),"")</f>
        <v/>
      </c>
      <c r="V834" s="36" t="str">
        <f ca="1">IFERROR(__xludf.DUMMYFUNCTION("""COMPUTED_VALUE"""),"")</f>
        <v/>
      </c>
      <c r="W834" s="36" t="str">
        <f ca="1">IFERROR(__xludf.DUMMYFUNCTION("""COMPUTED_VALUE"""),"")</f>
        <v/>
      </c>
      <c r="X834" s="36"/>
      <c r="Y834" s="36"/>
      <c r="Z834" s="36"/>
    </row>
    <row r="835" spans="1:26" ht="12.75" hidden="1">
      <c r="A835" s="36" t="str">
        <f ca="1">IFERROR(__xludf.DUMMYFUNCTION("""COMPUTED_VALUE"""),"")</f>
        <v/>
      </c>
      <c r="B835" s="36" t="str">
        <f ca="1">IFERROR(__xludf.DUMMYFUNCTION("""COMPUTED_VALUE"""),"")</f>
        <v/>
      </c>
      <c r="C835" s="36" t="str">
        <f ca="1">IFERROR(__xludf.DUMMYFUNCTION("""COMPUTED_VALUE"""),"")</f>
        <v/>
      </c>
      <c r="D835" s="36" t="str">
        <f ca="1">IFERROR(__xludf.DUMMYFUNCTION("""COMPUTED_VALUE"""),"")</f>
        <v/>
      </c>
      <c r="E835" s="36" t="str">
        <f ca="1">IFERROR(__xludf.DUMMYFUNCTION("""COMPUTED_VALUE"""),"")</f>
        <v/>
      </c>
      <c r="F835" s="36" t="str">
        <f ca="1">IFERROR(__xludf.DUMMYFUNCTION("""COMPUTED_VALUE"""),"")</f>
        <v/>
      </c>
      <c r="G835" s="36" t="str">
        <f ca="1">IFERROR(__xludf.DUMMYFUNCTION("""COMPUTED_VALUE"""),"")</f>
        <v/>
      </c>
      <c r="H835" s="36" t="str">
        <f ca="1">IFERROR(__xludf.DUMMYFUNCTION("""COMPUTED_VALUE"""),"")</f>
        <v/>
      </c>
      <c r="I835" s="36" t="str">
        <f ca="1">IFERROR(__xludf.DUMMYFUNCTION("""COMPUTED_VALUE"""),"")</f>
        <v/>
      </c>
      <c r="J835" s="36" t="str">
        <f ca="1">IFERROR(__xludf.DUMMYFUNCTION("""COMPUTED_VALUE"""),"")</f>
        <v/>
      </c>
      <c r="K835" s="36" t="str">
        <f ca="1">IFERROR(__xludf.DUMMYFUNCTION("""COMPUTED_VALUE"""),"")</f>
        <v/>
      </c>
      <c r="L835" s="36" t="str">
        <f ca="1">IFERROR(__xludf.DUMMYFUNCTION("""COMPUTED_VALUE"""),"")</f>
        <v/>
      </c>
      <c r="M835" s="36" t="str">
        <f ca="1">IFERROR(__xludf.DUMMYFUNCTION("""COMPUTED_VALUE"""),"")</f>
        <v/>
      </c>
      <c r="N835" s="36" t="str">
        <f ca="1">IFERROR(__xludf.DUMMYFUNCTION("""COMPUTED_VALUE"""),"")</f>
        <v/>
      </c>
      <c r="O835" s="36" t="str">
        <f ca="1">IFERROR(__xludf.DUMMYFUNCTION("""COMPUTED_VALUE"""),"")</f>
        <v/>
      </c>
      <c r="P835" s="36" t="str">
        <f ca="1">IFERROR(__xludf.DUMMYFUNCTION("""COMPUTED_VALUE"""),"")</f>
        <v/>
      </c>
      <c r="Q835" s="36" t="str">
        <f ca="1">IFERROR(__xludf.DUMMYFUNCTION("""COMPUTED_VALUE"""),"")</f>
        <v/>
      </c>
      <c r="R835" s="36" t="str">
        <f ca="1">IFERROR(__xludf.DUMMYFUNCTION("""COMPUTED_VALUE"""),"")</f>
        <v/>
      </c>
      <c r="S835" s="36" t="str">
        <f ca="1">IFERROR(__xludf.DUMMYFUNCTION("""COMPUTED_VALUE"""),"")</f>
        <v/>
      </c>
      <c r="T835" s="36" t="str">
        <f ca="1">IFERROR(__xludf.DUMMYFUNCTION("""COMPUTED_VALUE"""),"")</f>
        <v/>
      </c>
      <c r="U835" s="36" t="str">
        <f ca="1">IFERROR(__xludf.DUMMYFUNCTION("""COMPUTED_VALUE"""),"")</f>
        <v/>
      </c>
      <c r="V835" s="36" t="str">
        <f ca="1">IFERROR(__xludf.DUMMYFUNCTION("""COMPUTED_VALUE"""),"")</f>
        <v/>
      </c>
      <c r="W835" s="36" t="str">
        <f ca="1">IFERROR(__xludf.DUMMYFUNCTION("""COMPUTED_VALUE"""),"")</f>
        <v/>
      </c>
      <c r="X835" s="36"/>
      <c r="Y835" s="36"/>
      <c r="Z835" s="36"/>
    </row>
    <row r="836" spans="1:26" ht="12.75" hidden="1">
      <c r="A836" s="36" t="str">
        <f ca="1">IFERROR(__xludf.DUMMYFUNCTION("""COMPUTED_VALUE"""),"")</f>
        <v/>
      </c>
      <c r="B836" s="36" t="str">
        <f ca="1">IFERROR(__xludf.DUMMYFUNCTION("""COMPUTED_VALUE"""),"")</f>
        <v/>
      </c>
      <c r="C836" s="36" t="str">
        <f ca="1">IFERROR(__xludf.DUMMYFUNCTION("""COMPUTED_VALUE"""),"")</f>
        <v/>
      </c>
      <c r="D836" s="36" t="str">
        <f ca="1">IFERROR(__xludf.DUMMYFUNCTION("""COMPUTED_VALUE"""),"")</f>
        <v/>
      </c>
      <c r="E836" s="36" t="str">
        <f ca="1">IFERROR(__xludf.DUMMYFUNCTION("""COMPUTED_VALUE"""),"")</f>
        <v/>
      </c>
      <c r="F836" s="36" t="str">
        <f ca="1">IFERROR(__xludf.DUMMYFUNCTION("""COMPUTED_VALUE"""),"")</f>
        <v/>
      </c>
      <c r="G836" s="36" t="str">
        <f ca="1">IFERROR(__xludf.DUMMYFUNCTION("""COMPUTED_VALUE"""),"")</f>
        <v/>
      </c>
      <c r="H836" s="36" t="str">
        <f ca="1">IFERROR(__xludf.DUMMYFUNCTION("""COMPUTED_VALUE"""),"")</f>
        <v/>
      </c>
      <c r="I836" s="36" t="str">
        <f ca="1">IFERROR(__xludf.DUMMYFUNCTION("""COMPUTED_VALUE"""),"")</f>
        <v/>
      </c>
      <c r="J836" s="36" t="str">
        <f ca="1">IFERROR(__xludf.DUMMYFUNCTION("""COMPUTED_VALUE"""),"")</f>
        <v/>
      </c>
      <c r="K836" s="36" t="str">
        <f ca="1">IFERROR(__xludf.DUMMYFUNCTION("""COMPUTED_VALUE"""),"")</f>
        <v/>
      </c>
      <c r="L836" s="36" t="str">
        <f ca="1">IFERROR(__xludf.DUMMYFUNCTION("""COMPUTED_VALUE"""),"")</f>
        <v/>
      </c>
      <c r="M836" s="36" t="str">
        <f ca="1">IFERROR(__xludf.DUMMYFUNCTION("""COMPUTED_VALUE"""),"")</f>
        <v/>
      </c>
      <c r="N836" s="36" t="str">
        <f ca="1">IFERROR(__xludf.DUMMYFUNCTION("""COMPUTED_VALUE"""),"")</f>
        <v/>
      </c>
      <c r="O836" s="36" t="str">
        <f ca="1">IFERROR(__xludf.DUMMYFUNCTION("""COMPUTED_VALUE"""),"")</f>
        <v/>
      </c>
      <c r="P836" s="36" t="str">
        <f ca="1">IFERROR(__xludf.DUMMYFUNCTION("""COMPUTED_VALUE"""),"")</f>
        <v/>
      </c>
      <c r="Q836" s="36" t="str">
        <f ca="1">IFERROR(__xludf.DUMMYFUNCTION("""COMPUTED_VALUE"""),"")</f>
        <v/>
      </c>
      <c r="R836" s="36" t="str">
        <f ca="1">IFERROR(__xludf.DUMMYFUNCTION("""COMPUTED_VALUE"""),"")</f>
        <v/>
      </c>
      <c r="S836" s="36" t="str">
        <f ca="1">IFERROR(__xludf.DUMMYFUNCTION("""COMPUTED_VALUE"""),"")</f>
        <v/>
      </c>
      <c r="T836" s="36" t="str">
        <f ca="1">IFERROR(__xludf.DUMMYFUNCTION("""COMPUTED_VALUE"""),"")</f>
        <v/>
      </c>
      <c r="U836" s="36" t="str">
        <f ca="1">IFERROR(__xludf.DUMMYFUNCTION("""COMPUTED_VALUE"""),"")</f>
        <v/>
      </c>
      <c r="V836" s="36" t="str">
        <f ca="1">IFERROR(__xludf.DUMMYFUNCTION("""COMPUTED_VALUE"""),"")</f>
        <v/>
      </c>
      <c r="W836" s="36" t="str">
        <f ca="1">IFERROR(__xludf.DUMMYFUNCTION("""COMPUTED_VALUE"""),"")</f>
        <v/>
      </c>
      <c r="X836" s="36"/>
      <c r="Y836" s="36"/>
      <c r="Z836" s="36"/>
    </row>
    <row r="837" spans="1:26" ht="12.75" hidden="1">
      <c r="A837" s="36" t="str">
        <f ca="1">IFERROR(__xludf.DUMMYFUNCTION("""COMPUTED_VALUE"""),"")</f>
        <v/>
      </c>
      <c r="B837" s="36" t="str">
        <f ca="1">IFERROR(__xludf.DUMMYFUNCTION("""COMPUTED_VALUE"""),"")</f>
        <v/>
      </c>
      <c r="C837" s="36" t="str">
        <f ca="1">IFERROR(__xludf.DUMMYFUNCTION("""COMPUTED_VALUE"""),"")</f>
        <v/>
      </c>
      <c r="D837" s="36" t="str">
        <f ca="1">IFERROR(__xludf.DUMMYFUNCTION("""COMPUTED_VALUE"""),"")</f>
        <v/>
      </c>
      <c r="E837" s="36" t="str">
        <f ca="1">IFERROR(__xludf.DUMMYFUNCTION("""COMPUTED_VALUE"""),"")</f>
        <v/>
      </c>
      <c r="F837" s="36" t="str">
        <f ca="1">IFERROR(__xludf.DUMMYFUNCTION("""COMPUTED_VALUE"""),"")</f>
        <v/>
      </c>
      <c r="G837" s="36" t="str">
        <f ca="1">IFERROR(__xludf.DUMMYFUNCTION("""COMPUTED_VALUE"""),"")</f>
        <v/>
      </c>
      <c r="H837" s="36" t="str">
        <f ca="1">IFERROR(__xludf.DUMMYFUNCTION("""COMPUTED_VALUE"""),"")</f>
        <v/>
      </c>
      <c r="I837" s="36" t="str">
        <f ca="1">IFERROR(__xludf.DUMMYFUNCTION("""COMPUTED_VALUE"""),"")</f>
        <v/>
      </c>
      <c r="J837" s="36" t="str">
        <f ca="1">IFERROR(__xludf.DUMMYFUNCTION("""COMPUTED_VALUE"""),"")</f>
        <v/>
      </c>
      <c r="K837" s="36" t="str">
        <f ca="1">IFERROR(__xludf.DUMMYFUNCTION("""COMPUTED_VALUE"""),"")</f>
        <v/>
      </c>
      <c r="L837" s="36" t="str">
        <f ca="1">IFERROR(__xludf.DUMMYFUNCTION("""COMPUTED_VALUE"""),"")</f>
        <v/>
      </c>
      <c r="M837" s="36" t="str">
        <f ca="1">IFERROR(__xludf.DUMMYFUNCTION("""COMPUTED_VALUE"""),"")</f>
        <v/>
      </c>
      <c r="N837" s="36" t="str">
        <f ca="1">IFERROR(__xludf.DUMMYFUNCTION("""COMPUTED_VALUE"""),"")</f>
        <v/>
      </c>
      <c r="O837" s="36" t="str">
        <f ca="1">IFERROR(__xludf.DUMMYFUNCTION("""COMPUTED_VALUE"""),"")</f>
        <v/>
      </c>
      <c r="P837" s="36" t="str">
        <f ca="1">IFERROR(__xludf.DUMMYFUNCTION("""COMPUTED_VALUE"""),"")</f>
        <v/>
      </c>
      <c r="Q837" s="36" t="str">
        <f ca="1">IFERROR(__xludf.DUMMYFUNCTION("""COMPUTED_VALUE"""),"")</f>
        <v/>
      </c>
      <c r="R837" s="36" t="str">
        <f ca="1">IFERROR(__xludf.DUMMYFUNCTION("""COMPUTED_VALUE"""),"")</f>
        <v/>
      </c>
      <c r="S837" s="36" t="str">
        <f ca="1">IFERROR(__xludf.DUMMYFUNCTION("""COMPUTED_VALUE"""),"")</f>
        <v/>
      </c>
      <c r="T837" s="36" t="str">
        <f ca="1">IFERROR(__xludf.DUMMYFUNCTION("""COMPUTED_VALUE"""),"")</f>
        <v/>
      </c>
      <c r="U837" s="36" t="str">
        <f ca="1">IFERROR(__xludf.DUMMYFUNCTION("""COMPUTED_VALUE"""),"")</f>
        <v/>
      </c>
      <c r="V837" s="36" t="str">
        <f ca="1">IFERROR(__xludf.DUMMYFUNCTION("""COMPUTED_VALUE"""),"")</f>
        <v/>
      </c>
      <c r="W837" s="36" t="str">
        <f ca="1">IFERROR(__xludf.DUMMYFUNCTION("""COMPUTED_VALUE"""),"")</f>
        <v/>
      </c>
      <c r="X837" s="36"/>
      <c r="Y837" s="36"/>
      <c r="Z837" s="36"/>
    </row>
    <row r="838" spans="1:26" ht="12.75" hidden="1">
      <c r="A838" s="36" t="str">
        <f ca="1">IFERROR(__xludf.DUMMYFUNCTION("""COMPUTED_VALUE"""),"")</f>
        <v/>
      </c>
      <c r="B838" s="36" t="str">
        <f ca="1">IFERROR(__xludf.DUMMYFUNCTION("""COMPUTED_VALUE"""),"")</f>
        <v/>
      </c>
      <c r="C838" s="36" t="str">
        <f ca="1">IFERROR(__xludf.DUMMYFUNCTION("""COMPUTED_VALUE"""),"")</f>
        <v/>
      </c>
      <c r="D838" s="36" t="str">
        <f ca="1">IFERROR(__xludf.DUMMYFUNCTION("""COMPUTED_VALUE"""),"")</f>
        <v/>
      </c>
      <c r="E838" s="36" t="str">
        <f ca="1">IFERROR(__xludf.DUMMYFUNCTION("""COMPUTED_VALUE"""),"")</f>
        <v/>
      </c>
      <c r="F838" s="36" t="str">
        <f ca="1">IFERROR(__xludf.DUMMYFUNCTION("""COMPUTED_VALUE"""),"")</f>
        <v/>
      </c>
      <c r="G838" s="36" t="str">
        <f ca="1">IFERROR(__xludf.DUMMYFUNCTION("""COMPUTED_VALUE"""),"")</f>
        <v/>
      </c>
      <c r="H838" s="36" t="str">
        <f ca="1">IFERROR(__xludf.DUMMYFUNCTION("""COMPUTED_VALUE"""),"")</f>
        <v/>
      </c>
      <c r="I838" s="36" t="str">
        <f ca="1">IFERROR(__xludf.DUMMYFUNCTION("""COMPUTED_VALUE"""),"")</f>
        <v/>
      </c>
      <c r="J838" s="36" t="str">
        <f ca="1">IFERROR(__xludf.DUMMYFUNCTION("""COMPUTED_VALUE"""),"")</f>
        <v/>
      </c>
      <c r="K838" s="36" t="str">
        <f ca="1">IFERROR(__xludf.DUMMYFUNCTION("""COMPUTED_VALUE"""),"")</f>
        <v/>
      </c>
      <c r="L838" s="36" t="str">
        <f ca="1">IFERROR(__xludf.DUMMYFUNCTION("""COMPUTED_VALUE"""),"")</f>
        <v/>
      </c>
      <c r="M838" s="36" t="str">
        <f ca="1">IFERROR(__xludf.DUMMYFUNCTION("""COMPUTED_VALUE"""),"")</f>
        <v/>
      </c>
      <c r="N838" s="36" t="str">
        <f ca="1">IFERROR(__xludf.DUMMYFUNCTION("""COMPUTED_VALUE"""),"")</f>
        <v/>
      </c>
      <c r="O838" s="36" t="str">
        <f ca="1">IFERROR(__xludf.DUMMYFUNCTION("""COMPUTED_VALUE"""),"")</f>
        <v/>
      </c>
      <c r="P838" s="36" t="str">
        <f ca="1">IFERROR(__xludf.DUMMYFUNCTION("""COMPUTED_VALUE"""),"")</f>
        <v/>
      </c>
      <c r="Q838" s="36" t="str">
        <f ca="1">IFERROR(__xludf.DUMMYFUNCTION("""COMPUTED_VALUE"""),"")</f>
        <v/>
      </c>
      <c r="R838" s="36" t="str">
        <f ca="1">IFERROR(__xludf.DUMMYFUNCTION("""COMPUTED_VALUE"""),"")</f>
        <v/>
      </c>
      <c r="S838" s="36" t="str">
        <f ca="1">IFERROR(__xludf.DUMMYFUNCTION("""COMPUTED_VALUE"""),"")</f>
        <v/>
      </c>
      <c r="T838" s="36" t="str">
        <f ca="1">IFERROR(__xludf.DUMMYFUNCTION("""COMPUTED_VALUE"""),"")</f>
        <v/>
      </c>
      <c r="U838" s="36" t="str">
        <f ca="1">IFERROR(__xludf.DUMMYFUNCTION("""COMPUTED_VALUE"""),"")</f>
        <v/>
      </c>
      <c r="V838" s="36" t="str">
        <f ca="1">IFERROR(__xludf.DUMMYFUNCTION("""COMPUTED_VALUE"""),"")</f>
        <v/>
      </c>
      <c r="W838" s="36" t="str">
        <f ca="1">IFERROR(__xludf.DUMMYFUNCTION("""COMPUTED_VALUE"""),"")</f>
        <v/>
      </c>
      <c r="X838" s="36"/>
      <c r="Y838" s="36"/>
      <c r="Z838" s="36"/>
    </row>
    <row r="839" spans="1:26" ht="12.75" hidden="1">
      <c r="A839" s="36" t="str">
        <f ca="1">IFERROR(__xludf.DUMMYFUNCTION("""COMPUTED_VALUE"""),"")</f>
        <v/>
      </c>
      <c r="B839" s="36" t="str">
        <f ca="1">IFERROR(__xludf.DUMMYFUNCTION("""COMPUTED_VALUE"""),"")</f>
        <v/>
      </c>
      <c r="C839" s="36" t="str">
        <f ca="1">IFERROR(__xludf.DUMMYFUNCTION("""COMPUTED_VALUE"""),"")</f>
        <v/>
      </c>
      <c r="D839" s="36" t="str">
        <f ca="1">IFERROR(__xludf.DUMMYFUNCTION("""COMPUTED_VALUE"""),"")</f>
        <v/>
      </c>
      <c r="E839" s="36" t="str">
        <f ca="1">IFERROR(__xludf.DUMMYFUNCTION("""COMPUTED_VALUE"""),"")</f>
        <v/>
      </c>
      <c r="F839" s="36" t="str">
        <f ca="1">IFERROR(__xludf.DUMMYFUNCTION("""COMPUTED_VALUE"""),"")</f>
        <v/>
      </c>
      <c r="G839" s="36" t="str">
        <f ca="1">IFERROR(__xludf.DUMMYFUNCTION("""COMPUTED_VALUE"""),"")</f>
        <v/>
      </c>
      <c r="H839" s="36" t="str">
        <f ca="1">IFERROR(__xludf.DUMMYFUNCTION("""COMPUTED_VALUE"""),"")</f>
        <v/>
      </c>
      <c r="I839" s="36" t="str">
        <f ca="1">IFERROR(__xludf.DUMMYFUNCTION("""COMPUTED_VALUE"""),"")</f>
        <v/>
      </c>
      <c r="J839" s="36" t="str">
        <f ca="1">IFERROR(__xludf.DUMMYFUNCTION("""COMPUTED_VALUE"""),"")</f>
        <v/>
      </c>
      <c r="K839" s="36" t="str">
        <f ca="1">IFERROR(__xludf.DUMMYFUNCTION("""COMPUTED_VALUE"""),"")</f>
        <v/>
      </c>
      <c r="L839" s="36" t="str">
        <f ca="1">IFERROR(__xludf.DUMMYFUNCTION("""COMPUTED_VALUE"""),"")</f>
        <v/>
      </c>
      <c r="M839" s="36" t="str">
        <f ca="1">IFERROR(__xludf.DUMMYFUNCTION("""COMPUTED_VALUE"""),"")</f>
        <v/>
      </c>
      <c r="N839" s="36" t="str">
        <f ca="1">IFERROR(__xludf.DUMMYFUNCTION("""COMPUTED_VALUE"""),"")</f>
        <v/>
      </c>
      <c r="O839" s="36" t="str">
        <f ca="1">IFERROR(__xludf.DUMMYFUNCTION("""COMPUTED_VALUE"""),"")</f>
        <v/>
      </c>
      <c r="P839" s="36" t="str">
        <f ca="1">IFERROR(__xludf.DUMMYFUNCTION("""COMPUTED_VALUE"""),"")</f>
        <v/>
      </c>
      <c r="Q839" s="36" t="str">
        <f ca="1">IFERROR(__xludf.DUMMYFUNCTION("""COMPUTED_VALUE"""),"")</f>
        <v/>
      </c>
      <c r="R839" s="36" t="str">
        <f ca="1">IFERROR(__xludf.DUMMYFUNCTION("""COMPUTED_VALUE"""),"")</f>
        <v/>
      </c>
      <c r="S839" s="36" t="str">
        <f ca="1">IFERROR(__xludf.DUMMYFUNCTION("""COMPUTED_VALUE"""),"")</f>
        <v/>
      </c>
      <c r="T839" s="36" t="str">
        <f ca="1">IFERROR(__xludf.DUMMYFUNCTION("""COMPUTED_VALUE"""),"")</f>
        <v/>
      </c>
      <c r="U839" s="36" t="str">
        <f ca="1">IFERROR(__xludf.DUMMYFUNCTION("""COMPUTED_VALUE"""),"")</f>
        <v/>
      </c>
      <c r="V839" s="36" t="str">
        <f ca="1">IFERROR(__xludf.DUMMYFUNCTION("""COMPUTED_VALUE"""),"")</f>
        <v/>
      </c>
      <c r="W839" s="36" t="str">
        <f ca="1">IFERROR(__xludf.DUMMYFUNCTION("""COMPUTED_VALUE"""),"")</f>
        <v/>
      </c>
      <c r="X839" s="36"/>
      <c r="Y839" s="36"/>
      <c r="Z839" s="36"/>
    </row>
    <row r="840" spans="1:26" ht="12.75" hidden="1">
      <c r="A840" s="36" t="str">
        <f ca="1">IFERROR(__xludf.DUMMYFUNCTION("""COMPUTED_VALUE"""),"")</f>
        <v/>
      </c>
      <c r="B840" s="36" t="str">
        <f ca="1">IFERROR(__xludf.DUMMYFUNCTION("""COMPUTED_VALUE"""),"")</f>
        <v/>
      </c>
      <c r="C840" s="36" t="str">
        <f ca="1">IFERROR(__xludf.DUMMYFUNCTION("""COMPUTED_VALUE"""),"")</f>
        <v/>
      </c>
      <c r="D840" s="36" t="str">
        <f ca="1">IFERROR(__xludf.DUMMYFUNCTION("""COMPUTED_VALUE"""),"")</f>
        <v/>
      </c>
      <c r="E840" s="36" t="str">
        <f ca="1">IFERROR(__xludf.DUMMYFUNCTION("""COMPUTED_VALUE"""),"")</f>
        <v/>
      </c>
      <c r="F840" s="36" t="str">
        <f ca="1">IFERROR(__xludf.DUMMYFUNCTION("""COMPUTED_VALUE"""),"")</f>
        <v/>
      </c>
      <c r="G840" s="36" t="str">
        <f ca="1">IFERROR(__xludf.DUMMYFUNCTION("""COMPUTED_VALUE"""),"")</f>
        <v/>
      </c>
      <c r="H840" s="36" t="str">
        <f ca="1">IFERROR(__xludf.DUMMYFUNCTION("""COMPUTED_VALUE"""),"")</f>
        <v/>
      </c>
      <c r="I840" s="36" t="str">
        <f ca="1">IFERROR(__xludf.DUMMYFUNCTION("""COMPUTED_VALUE"""),"")</f>
        <v/>
      </c>
      <c r="J840" s="36" t="str">
        <f ca="1">IFERROR(__xludf.DUMMYFUNCTION("""COMPUTED_VALUE"""),"")</f>
        <v/>
      </c>
      <c r="K840" s="36" t="str">
        <f ca="1">IFERROR(__xludf.DUMMYFUNCTION("""COMPUTED_VALUE"""),"")</f>
        <v/>
      </c>
      <c r="L840" s="36" t="str">
        <f ca="1">IFERROR(__xludf.DUMMYFUNCTION("""COMPUTED_VALUE"""),"")</f>
        <v/>
      </c>
      <c r="M840" s="36" t="str">
        <f ca="1">IFERROR(__xludf.DUMMYFUNCTION("""COMPUTED_VALUE"""),"")</f>
        <v/>
      </c>
      <c r="N840" s="36" t="str">
        <f ca="1">IFERROR(__xludf.DUMMYFUNCTION("""COMPUTED_VALUE"""),"")</f>
        <v/>
      </c>
      <c r="O840" s="36" t="str">
        <f ca="1">IFERROR(__xludf.DUMMYFUNCTION("""COMPUTED_VALUE"""),"")</f>
        <v/>
      </c>
      <c r="P840" s="36" t="str">
        <f ca="1">IFERROR(__xludf.DUMMYFUNCTION("""COMPUTED_VALUE"""),"")</f>
        <v/>
      </c>
      <c r="Q840" s="36" t="str">
        <f ca="1">IFERROR(__xludf.DUMMYFUNCTION("""COMPUTED_VALUE"""),"")</f>
        <v/>
      </c>
      <c r="R840" s="36" t="str">
        <f ca="1">IFERROR(__xludf.DUMMYFUNCTION("""COMPUTED_VALUE"""),"")</f>
        <v/>
      </c>
      <c r="S840" s="36" t="str">
        <f ca="1">IFERROR(__xludf.DUMMYFUNCTION("""COMPUTED_VALUE"""),"")</f>
        <v/>
      </c>
      <c r="T840" s="36" t="str">
        <f ca="1">IFERROR(__xludf.DUMMYFUNCTION("""COMPUTED_VALUE"""),"")</f>
        <v/>
      </c>
      <c r="U840" s="36" t="str">
        <f ca="1">IFERROR(__xludf.DUMMYFUNCTION("""COMPUTED_VALUE"""),"")</f>
        <v/>
      </c>
      <c r="V840" s="36" t="str">
        <f ca="1">IFERROR(__xludf.DUMMYFUNCTION("""COMPUTED_VALUE"""),"")</f>
        <v/>
      </c>
      <c r="W840" s="36" t="str">
        <f ca="1">IFERROR(__xludf.DUMMYFUNCTION("""COMPUTED_VALUE"""),"")</f>
        <v/>
      </c>
      <c r="X840" s="36"/>
      <c r="Y840" s="36"/>
      <c r="Z840" s="36"/>
    </row>
    <row r="841" spans="1:26" ht="12.75" hidden="1">
      <c r="A841" s="36" t="str">
        <f ca="1">IFERROR(__xludf.DUMMYFUNCTION("""COMPUTED_VALUE"""),"")</f>
        <v/>
      </c>
      <c r="B841" s="36" t="str">
        <f ca="1">IFERROR(__xludf.DUMMYFUNCTION("""COMPUTED_VALUE"""),"")</f>
        <v/>
      </c>
      <c r="C841" s="36" t="str">
        <f ca="1">IFERROR(__xludf.DUMMYFUNCTION("""COMPUTED_VALUE"""),"")</f>
        <v/>
      </c>
      <c r="D841" s="36" t="str">
        <f ca="1">IFERROR(__xludf.DUMMYFUNCTION("""COMPUTED_VALUE"""),"")</f>
        <v/>
      </c>
      <c r="E841" s="36" t="str">
        <f ca="1">IFERROR(__xludf.DUMMYFUNCTION("""COMPUTED_VALUE"""),"")</f>
        <v/>
      </c>
      <c r="F841" s="36" t="str">
        <f ca="1">IFERROR(__xludf.DUMMYFUNCTION("""COMPUTED_VALUE"""),"")</f>
        <v/>
      </c>
      <c r="G841" s="36" t="str">
        <f ca="1">IFERROR(__xludf.DUMMYFUNCTION("""COMPUTED_VALUE"""),"")</f>
        <v/>
      </c>
      <c r="H841" s="36" t="str">
        <f ca="1">IFERROR(__xludf.DUMMYFUNCTION("""COMPUTED_VALUE"""),"")</f>
        <v/>
      </c>
      <c r="I841" s="36" t="str">
        <f ca="1">IFERROR(__xludf.DUMMYFUNCTION("""COMPUTED_VALUE"""),"")</f>
        <v/>
      </c>
      <c r="J841" s="36" t="str">
        <f ca="1">IFERROR(__xludf.DUMMYFUNCTION("""COMPUTED_VALUE"""),"")</f>
        <v/>
      </c>
      <c r="K841" s="36" t="str">
        <f ca="1">IFERROR(__xludf.DUMMYFUNCTION("""COMPUTED_VALUE"""),"")</f>
        <v/>
      </c>
      <c r="L841" s="36" t="str">
        <f ca="1">IFERROR(__xludf.DUMMYFUNCTION("""COMPUTED_VALUE"""),"")</f>
        <v/>
      </c>
      <c r="M841" s="36" t="str">
        <f ca="1">IFERROR(__xludf.DUMMYFUNCTION("""COMPUTED_VALUE"""),"")</f>
        <v/>
      </c>
      <c r="N841" s="36" t="str">
        <f ca="1">IFERROR(__xludf.DUMMYFUNCTION("""COMPUTED_VALUE"""),"")</f>
        <v/>
      </c>
      <c r="O841" s="36" t="str">
        <f ca="1">IFERROR(__xludf.DUMMYFUNCTION("""COMPUTED_VALUE"""),"")</f>
        <v/>
      </c>
      <c r="P841" s="36" t="str">
        <f ca="1">IFERROR(__xludf.DUMMYFUNCTION("""COMPUTED_VALUE"""),"")</f>
        <v/>
      </c>
      <c r="Q841" s="36" t="str">
        <f ca="1">IFERROR(__xludf.DUMMYFUNCTION("""COMPUTED_VALUE"""),"")</f>
        <v/>
      </c>
      <c r="R841" s="36" t="str">
        <f ca="1">IFERROR(__xludf.DUMMYFUNCTION("""COMPUTED_VALUE"""),"")</f>
        <v/>
      </c>
      <c r="S841" s="36" t="str">
        <f ca="1">IFERROR(__xludf.DUMMYFUNCTION("""COMPUTED_VALUE"""),"")</f>
        <v/>
      </c>
      <c r="T841" s="36" t="str">
        <f ca="1">IFERROR(__xludf.DUMMYFUNCTION("""COMPUTED_VALUE"""),"")</f>
        <v/>
      </c>
      <c r="U841" s="36" t="str">
        <f ca="1">IFERROR(__xludf.DUMMYFUNCTION("""COMPUTED_VALUE"""),"")</f>
        <v/>
      </c>
      <c r="V841" s="36" t="str">
        <f ca="1">IFERROR(__xludf.DUMMYFUNCTION("""COMPUTED_VALUE"""),"")</f>
        <v/>
      </c>
      <c r="W841" s="36" t="str">
        <f ca="1">IFERROR(__xludf.DUMMYFUNCTION("""COMPUTED_VALUE"""),"")</f>
        <v/>
      </c>
      <c r="X841" s="36"/>
      <c r="Y841" s="36"/>
      <c r="Z841" s="36"/>
    </row>
    <row r="842" spans="1:26" ht="12.75" hidden="1">
      <c r="A842" s="36" t="str">
        <f ca="1">IFERROR(__xludf.DUMMYFUNCTION("""COMPUTED_VALUE"""),"")</f>
        <v/>
      </c>
      <c r="B842" s="36" t="str">
        <f ca="1">IFERROR(__xludf.DUMMYFUNCTION("""COMPUTED_VALUE"""),"")</f>
        <v/>
      </c>
      <c r="C842" s="36" t="str">
        <f ca="1">IFERROR(__xludf.DUMMYFUNCTION("""COMPUTED_VALUE"""),"")</f>
        <v/>
      </c>
      <c r="D842" s="36" t="str">
        <f ca="1">IFERROR(__xludf.DUMMYFUNCTION("""COMPUTED_VALUE"""),"")</f>
        <v/>
      </c>
      <c r="E842" s="36" t="str">
        <f ca="1">IFERROR(__xludf.DUMMYFUNCTION("""COMPUTED_VALUE"""),"")</f>
        <v/>
      </c>
      <c r="F842" s="36" t="str">
        <f ca="1">IFERROR(__xludf.DUMMYFUNCTION("""COMPUTED_VALUE"""),"")</f>
        <v/>
      </c>
      <c r="G842" s="36" t="str">
        <f ca="1">IFERROR(__xludf.DUMMYFUNCTION("""COMPUTED_VALUE"""),"")</f>
        <v/>
      </c>
      <c r="H842" s="36" t="str">
        <f ca="1">IFERROR(__xludf.DUMMYFUNCTION("""COMPUTED_VALUE"""),"")</f>
        <v/>
      </c>
      <c r="I842" s="36" t="str">
        <f ca="1">IFERROR(__xludf.DUMMYFUNCTION("""COMPUTED_VALUE"""),"")</f>
        <v/>
      </c>
      <c r="J842" s="36" t="str">
        <f ca="1">IFERROR(__xludf.DUMMYFUNCTION("""COMPUTED_VALUE"""),"")</f>
        <v/>
      </c>
      <c r="K842" s="36" t="str">
        <f ca="1">IFERROR(__xludf.DUMMYFUNCTION("""COMPUTED_VALUE"""),"")</f>
        <v/>
      </c>
      <c r="L842" s="36" t="str">
        <f ca="1">IFERROR(__xludf.DUMMYFUNCTION("""COMPUTED_VALUE"""),"")</f>
        <v/>
      </c>
      <c r="M842" s="36" t="str">
        <f ca="1">IFERROR(__xludf.DUMMYFUNCTION("""COMPUTED_VALUE"""),"")</f>
        <v/>
      </c>
      <c r="N842" s="36" t="str">
        <f ca="1">IFERROR(__xludf.DUMMYFUNCTION("""COMPUTED_VALUE"""),"")</f>
        <v/>
      </c>
      <c r="O842" s="36" t="str">
        <f ca="1">IFERROR(__xludf.DUMMYFUNCTION("""COMPUTED_VALUE"""),"")</f>
        <v/>
      </c>
      <c r="P842" s="36" t="str">
        <f ca="1">IFERROR(__xludf.DUMMYFUNCTION("""COMPUTED_VALUE"""),"")</f>
        <v/>
      </c>
      <c r="Q842" s="36" t="str">
        <f ca="1">IFERROR(__xludf.DUMMYFUNCTION("""COMPUTED_VALUE"""),"")</f>
        <v/>
      </c>
      <c r="R842" s="36" t="str">
        <f ca="1">IFERROR(__xludf.DUMMYFUNCTION("""COMPUTED_VALUE"""),"")</f>
        <v/>
      </c>
      <c r="S842" s="36" t="str">
        <f ca="1">IFERROR(__xludf.DUMMYFUNCTION("""COMPUTED_VALUE"""),"")</f>
        <v/>
      </c>
      <c r="T842" s="36" t="str">
        <f ca="1">IFERROR(__xludf.DUMMYFUNCTION("""COMPUTED_VALUE"""),"")</f>
        <v/>
      </c>
      <c r="U842" s="36" t="str">
        <f ca="1">IFERROR(__xludf.DUMMYFUNCTION("""COMPUTED_VALUE"""),"")</f>
        <v/>
      </c>
      <c r="V842" s="36" t="str">
        <f ca="1">IFERROR(__xludf.DUMMYFUNCTION("""COMPUTED_VALUE"""),"")</f>
        <v/>
      </c>
      <c r="W842" s="36" t="str">
        <f ca="1">IFERROR(__xludf.DUMMYFUNCTION("""COMPUTED_VALUE"""),"")</f>
        <v/>
      </c>
      <c r="X842" s="36"/>
      <c r="Y842" s="36"/>
      <c r="Z842" s="36"/>
    </row>
    <row r="843" spans="1:26" ht="12.75" hidden="1">
      <c r="A843" s="36" t="str">
        <f ca="1">IFERROR(__xludf.DUMMYFUNCTION("""COMPUTED_VALUE"""),"")</f>
        <v/>
      </c>
      <c r="B843" s="36" t="str">
        <f ca="1">IFERROR(__xludf.DUMMYFUNCTION("""COMPUTED_VALUE"""),"")</f>
        <v/>
      </c>
      <c r="C843" s="36" t="str">
        <f ca="1">IFERROR(__xludf.DUMMYFUNCTION("""COMPUTED_VALUE"""),"")</f>
        <v/>
      </c>
      <c r="D843" s="36" t="str">
        <f ca="1">IFERROR(__xludf.DUMMYFUNCTION("""COMPUTED_VALUE"""),"")</f>
        <v/>
      </c>
      <c r="E843" s="36" t="str">
        <f ca="1">IFERROR(__xludf.DUMMYFUNCTION("""COMPUTED_VALUE"""),"")</f>
        <v/>
      </c>
      <c r="F843" s="36" t="str">
        <f ca="1">IFERROR(__xludf.DUMMYFUNCTION("""COMPUTED_VALUE"""),"")</f>
        <v/>
      </c>
      <c r="G843" s="36" t="str">
        <f ca="1">IFERROR(__xludf.DUMMYFUNCTION("""COMPUTED_VALUE"""),"")</f>
        <v/>
      </c>
      <c r="H843" s="36" t="str">
        <f ca="1">IFERROR(__xludf.DUMMYFUNCTION("""COMPUTED_VALUE"""),"")</f>
        <v/>
      </c>
      <c r="I843" s="36" t="str">
        <f ca="1">IFERROR(__xludf.DUMMYFUNCTION("""COMPUTED_VALUE"""),"")</f>
        <v/>
      </c>
      <c r="J843" s="36" t="str">
        <f ca="1">IFERROR(__xludf.DUMMYFUNCTION("""COMPUTED_VALUE"""),"")</f>
        <v/>
      </c>
      <c r="K843" s="36" t="str">
        <f ca="1">IFERROR(__xludf.DUMMYFUNCTION("""COMPUTED_VALUE"""),"")</f>
        <v/>
      </c>
      <c r="L843" s="36" t="str">
        <f ca="1">IFERROR(__xludf.DUMMYFUNCTION("""COMPUTED_VALUE"""),"")</f>
        <v/>
      </c>
      <c r="M843" s="36" t="str">
        <f ca="1">IFERROR(__xludf.DUMMYFUNCTION("""COMPUTED_VALUE"""),"")</f>
        <v/>
      </c>
      <c r="N843" s="36" t="str">
        <f ca="1">IFERROR(__xludf.DUMMYFUNCTION("""COMPUTED_VALUE"""),"")</f>
        <v/>
      </c>
      <c r="O843" s="36" t="str">
        <f ca="1">IFERROR(__xludf.DUMMYFUNCTION("""COMPUTED_VALUE"""),"")</f>
        <v/>
      </c>
      <c r="P843" s="36" t="str">
        <f ca="1">IFERROR(__xludf.DUMMYFUNCTION("""COMPUTED_VALUE"""),"")</f>
        <v/>
      </c>
      <c r="Q843" s="36" t="str">
        <f ca="1">IFERROR(__xludf.DUMMYFUNCTION("""COMPUTED_VALUE"""),"")</f>
        <v/>
      </c>
      <c r="R843" s="36" t="str">
        <f ca="1">IFERROR(__xludf.DUMMYFUNCTION("""COMPUTED_VALUE"""),"")</f>
        <v/>
      </c>
      <c r="S843" s="36" t="str">
        <f ca="1">IFERROR(__xludf.DUMMYFUNCTION("""COMPUTED_VALUE"""),"")</f>
        <v/>
      </c>
      <c r="T843" s="36" t="str">
        <f ca="1">IFERROR(__xludf.DUMMYFUNCTION("""COMPUTED_VALUE"""),"")</f>
        <v/>
      </c>
      <c r="U843" s="36" t="str">
        <f ca="1">IFERROR(__xludf.DUMMYFUNCTION("""COMPUTED_VALUE"""),"")</f>
        <v/>
      </c>
      <c r="V843" s="36" t="str">
        <f ca="1">IFERROR(__xludf.DUMMYFUNCTION("""COMPUTED_VALUE"""),"")</f>
        <v/>
      </c>
      <c r="W843" s="36" t="str">
        <f ca="1">IFERROR(__xludf.DUMMYFUNCTION("""COMPUTED_VALUE"""),"")</f>
        <v/>
      </c>
      <c r="X843" s="36"/>
      <c r="Y843" s="36"/>
      <c r="Z843" s="36"/>
    </row>
    <row r="844" spans="1:26" ht="12.75" hidden="1">
      <c r="A844" s="36" t="str">
        <f ca="1">IFERROR(__xludf.DUMMYFUNCTION("""COMPUTED_VALUE"""),"")</f>
        <v/>
      </c>
      <c r="B844" s="36" t="str">
        <f ca="1">IFERROR(__xludf.DUMMYFUNCTION("""COMPUTED_VALUE"""),"")</f>
        <v/>
      </c>
      <c r="C844" s="36" t="str">
        <f ca="1">IFERROR(__xludf.DUMMYFUNCTION("""COMPUTED_VALUE"""),"")</f>
        <v/>
      </c>
      <c r="D844" s="36" t="str">
        <f ca="1">IFERROR(__xludf.DUMMYFUNCTION("""COMPUTED_VALUE"""),"")</f>
        <v/>
      </c>
      <c r="E844" s="36" t="str">
        <f ca="1">IFERROR(__xludf.DUMMYFUNCTION("""COMPUTED_VALUE"""),"")</f>
        <v/>
      </c>
      <c r="F844" s="36" t="str">
        <f ca="1">IFERROR(__xludf.DUMMYFUNCTION("""COMPUTED_VALUE"""),"")</f>
        <v/>
      </c>
      <c r="G844" s="36" t="str">
        <f ca="1">IFERROR(__xludf.DUMMYFUNCTION("""COMPUTED_VALUE"""),"")</f>
        <v/>
      </c>
      <c r="H844" s="36" t="str">
        <f ca="1">IFERROR(__xludf.DUMMYFUNCTION("""COMPUTED_VALUE"""),"")</f>
        <v/>
      </c>
      <c r="I844" s="36" t="str">
        <f ca="1">IFERROR(__xludf.DUMMYFUNCTION("""COMPUTED_VALUE"""),"")</f>
        <v/>
      </c>
      <c r="J844" s="36" t="str">
        <f ca="1">IFERROR(__xludf.DUMMYFUNCTION("""COMPUTED_VALUE"""),"")</f>
        <v/>
      </c>
      <c r="K844" s="36" t="str">
        <f ca="1">IFERROR(__xludf.DUMMYFUNCTION("""COMPUTED_VALUE"""),"")</f>
        <v/>
      </c>
      <c r="L844" s="36" t="str">
        <f ca="1">IFERROR(__xludf.DUMMYFUNCTION("""COMPUTED_VALUE"""),"")</f>
        <v/>
      </c>
      <c r="M844" s="36" t="str">
        <f ca="1">IFERROR(__xludf.DUMMYFUNCTION("""COMPUTED_VALUE"""),"")</f>
        <v/>
      </c>
      <c r="N844" s="36" t="str">
        <f ca="1">IFERROR(__xludf.DUMMYFUNCTION("""COMPUTED_VALUE"""),"")</f>
        <v/>
      </c>
      <c r="O844" s="36" t="str">
        <f ca="1">IFERROR(__xludf.DUMMYFUNCTION("""COMPUTED_VALUE"""),"")</f>
        <v/>
      </c>
      <c r="P844" s="36" t="str">
        <f ca="1">IFERROR(__xludf.DUMMYFUNCTION("""COMPUTED_VALUE"""),"")</f>
        <v/>
      </c>
      <c r="Q844" s="36" t="str">
        <f ca="1">IFERROR(__xludf.DUMMYFUNCTION("""COMPUTED_VALUE"""),"")</f>
        <v/>
      </c>
      <c r="R844" s="36" t="str">
        <f ca="1">IFERROR(__xludf.DUMMYFUNCTION("""COMPUTED_VALUE"""),"")</f>
        <v/>
      </c>
      <c r="S844" s="36" t="str">
        <f ca="1">IFERROR(__xludf.DUMMYFUNCTION("""COMPUTED_VALUE"""),"")</f>
        <v/>
      </c>
      <c r="T844" s="36" t="str">
        <f ca="1">IFERROR(__xludf.DUMMYFUNCTION("""COMPUTED_VALUE"""),"")</f>
        <v/>
      </c>
      <c r="U844" s="36" t="str">
        <f ca="1">IFERROR(__xludf.DUMMYFUNCTION("""COMPUTED_VALUE"""),"")</f>
        <v/>
      </c>
      <c r="V844" s="36" t="str">
        <f ca="1">IFERROR(__xludf.DUMMYFUNCTION("""COMPUTED_VALUE"""),"")</f>
        <v/>
      </c>
      <c r="W844" s="36" t="str">
        <f ca="1">IFERROR(__xludf.DUMMYFUNCTION("""COMPUTED_VALUE"""),"")</f>
        <v/>
      </c>
      <c r="X844" s="36"/>
      <c r="Y844" s="36"/>
      <c r="Z844" s="36"/>
    </row>
    <row r="845" spans="1:26" ht="12.75" hidden="1">
      <c r="A845" s="36" t="str">
        <f ca="1">IFERROR(__xludf.DUMMYFUNCTION("""COMPUTED_VALUE"""),"")</f>
        <v/>
      </c>
      <c r="B845" s="36" t="str">
        <f ca="1">IFERROR(__xludf.DUMMYFUNCTION("""COMPUTED_VALUE"""),"")</f>
        <v/>
      </c>
      <c r="C845" s="36" t="str">
        <f ca="1">IFERROR(__xludf.DUMMYFUNCTION("""COMPUTED_VALUE"""),"")</f>
        <v/>
      </c>
      <c r="D845" s="36" t="str">
        <f ca="1">IFERROR(__xludf.DUMMYFUNCTION("""COMPUTED_VALUE"""),"")</f>
        <v/>
      </c>
      <c r="E845" s="36" t="str">
        <f ca="1">IFERROR(__xludf.DUMMYFUNCTION("""COMPUTED_VALUE"""),"")</f>
        <v/>
      </c>
      <c r="F845" s="36" t="str">
        <f ca="1">IFERROR(__xludf.DUMMYFUNCTION("""COMPUTED_VALUE"""),"")</f>
        <v/>
      </c>
      <c r="G845" s="36" t="str">
        <f ca="1">IFERROR(__xludf.DUMMYFUNCTION("""COMPUTED_VALUE"""),"")</f>
        <v/>
      </c>
      <c r="H845" s="36" t="str">
        <f ca="1">IFERROR(__xludf.DUMMYFUNCTION("""COMPUTED_VALUE"""),"")</f>
        <v/>
      </c>
      <c r="I845" s="36" t="str">
        <f ca="1">IFERROR(__xludf.DUMMYFUNCTION("""COMPUTED_VALUE"""),"")</f>
        <v/>
      </c>
      <c r="J845" s="36" t="str">
        <f ca="1">IFERROR(__xludf.DUMMYFUNCTION("""COMPUTED_VALUE"""),"")</f>
        <v/>
      </c>
      <c r="K845" s="36" t="str">
        <f ca="1">IFERROR(__xludf.DUMMYFUNCTION("""COMPUTED_VALUE"""),"")</f>
        <v/>
      </c>
      <c r="L845" s="36" t="str">
        <f ca="1">IFERROR(__xludf.DUMMYFUNCTION("""COMPUTED_VALUE"""),"")</f>
        <v/>
      </c>
      <c r="M845" s="36" t="str">
        <f ca="1">IFERROR(__xludf.DUMMYFUNCTION("""COMPUTED_VALUE"""),"")</f>
        <v/>
      </c>
      <c r="N845" s="36" t="str">
        <f ca="1">IFERROR(__xludf.DUMMYFUNCTION("""COMPUTED_VALUE"""),"")</f>
        <v/>
      </c>
      <c r="O845" s="36" t="str">
        <f ca="1">IFERROR(__xludf.DUMMYFUNCTION("""COMPUTED_VALUE"""),"")</f>
        <v/>
      </c>
      <c r="P845" s="36" t="str">
        <f ca="1">IFERROR(__xludf.DUMMYFUNCTION("""COMPUTED_VALUE"""),"")</f>
        <v/>
      </c>
      <c r="Q845" s="36" t="str">
        <f ca="1">IFERROR(__xludf.DUMMYFUNCTION("""COMPUTED_VALUE"""),"")</f>
        <v/>
      </c>
      <c r="R845" s="36" t="str">
        <f ca="1">IFERROR(__xludf.DUMMYFUNCTION("""COMPUTED_VALUE"""),"")</f>
        <v/>
      </c>
      <c r="S845" s="36" t="str">
        <f ca="1">IFERROR(__xludf.DUMMYFUNCTION("""COMPUTED_VALUE"""),"")</f>
        <v/>
      </c>
      <c r="T845" s="36" t="str">
        <f ca="1">IFERROR(__xludf.DUMMYFUNCTION("""COMPUTED_VALUE"""),"")</f>
        <v/>
      </c>
      <c r="U845" s="36" t="str">
        <f ca="1">IFERROR(__xludf.DUMMYFUNCTION("""COMPUTED_VALUE"""),"")</f>
        <v/>
      </c>
      <c r="V845" s="36" t="str">
        <f ca="1">IFERROR(__xludf.DUMMYFUNCTION("""COMPUTED_VALUE"""),"")</f>
        <v/>
      </c>
      <c r="W845" s="36" t="str">
        <f ca="1">IFERROR(__xludf.DUMMYFUNCTION("""COMPUTED_VALUE"""),"")</f>
        <v/>
      </c>
      <c r="X845" s="36"/>
      <c r="Y845" s="36"/>
      <c r="Z845" s="36"/>
    </row>
    <row r="846" spans="1:26" ht="12.75" hidden="1">
      <c r="A846" s="36" t="str">
        <f ca="1">IFERROR(__xludf.DUMMYFUNCTION("""COMPUTED_VALUE"""),"")</f>
        <v/>
      </c>
      <c r="B846" s="36" t="str">
        <f ca="1">IFERROR(__xludf.DUMMYFUNCTION("""COMPUTED_VALUE"""),"")</f>
        <v/>
      </c>
      <c r="C846" s="36" t="str">
        <f ca="1">IFERROR(__xludf.DUMMYFUNCTION("""COMPUTED_VALUE"""),"")</f>
        <v/>
      </c>
      <c r="D846" s="36" t="str">
        <f ca="1">IFERROR(__xludf.DUMMYFUNCTION("""COMPUTED_VALUE"""),"")</f>
        <v/>
      </c>
      <c r="E846" s="36" t="str">
        <f ca="1">IFERROR(__xludf.DUMMYFUNCTION("""COMPUTED_VALUE"""),"")</f>
        <v/>
      </c>
      <c r="F846" s="36" t="str">
        <f ca="1">IFERROR(__xludf.DUMMYFUNCTION("""COMPUTED_VALUE"""),"")</f>
        <v/>
      </c>
      <c r="G846" s="36" t="str">
        <f ca="1">IFERROR(__xludf.DUMMYFUNCTION("""COMPUTED_VALUE"""),"")</f>
        <v/>
      </c>
      <c r="H846" s="36" t="str">
        <f ca="1">IFERROR(__xludf.DUMMYFUNCTION("""COMPUTED_VALUE"""),"")</f>
        <v/>
      </c>
      <c r="I846" s="36" t="str">
        <f ca="1">IFERROR(__xludf.DUMMYFUNCTION("""COMPUTED_VALUE"""),"")</f>
        <v/>
      </c>
      <c r="J846" s="36" t="str">
        <f ca="1">IFERROR(__xludf.DUMMYFUNCTION("""COMPUTED_VALUE"""),"")</f>
        <v/>
      </c>
      <c r="K846" s="36" t="str">
        <f ca="1">IFERROR(__xludf.DUMMYFUNCTION("""COMPUTED_VALUE"""),"")</f>
        <v/>
      </c>
      <c r="L846" s="36" t="str">
        <f ca="1">IFERROR(__xludf.DUMMYFUNCTION("""COMPUTED_VALUE"""),"")</f>
        <v/>
      </c>
      <c r="M846" s="36" t="str">
        <f ca="1">IFERROR(__xludf.DUMMYFUNCTION("""COMPUTED_VALUE"""),"")</f>
        <v/>
      </c>
      <c r="N846" s="36" t="str">
        <f ca="1">IFERROR(__xludf.DUMMYFUNCTION("""COMPUTED_VALUE"""),"")</f>
        <v/>
      </c>
      <c r="O846" s="36" t="str">
        <f ca="1">IFERROR(__xludf.DUMMYFUNCTION("""COMPUTED_VALUE"""),"")</f>
        <v/>
      </c>
      <c r="P846" s="36" t="str">
        <f ca="1">IFERROR(__xludf.DUMMYFUNCTION("""COMPUTED_VALUE"""),"")</f>
        <v/>
      </c>
      <c r="Q846" s="36" t="str">
        <f ca="1">IFERROR(__xludf.DUMMYFUNCTION("""COMPUTED_VALUE"""),"")</f>
        <v/>
      </c>
      <c r="R846" s="36" t="str">
        <f ca="1">IFERROR(__xludf.DUMMYFUNCTION("""COMPUTED_VALUE"""),"")</f>
        <v/>
      </c>
      <c r="S846" s="36" t="str">
        <f ca="1">IFERROR(__xludf.DUMMYFUNCTION("""COMPUTED_VALUE"""),"")</f>
        <v/>
      </c>
      <c r="T846" s="36" t="str">
        <f ca="1">IFERROR(__xludf.DUMMYFUNCTION("""COMPUTED_VALUE"""),"")</f>
        <v/>
      </c>
      <c r="U846" s="36" t="str">
        <f ca="1">IFERROR(__xludf.DUMMYFUNCTION("""COMPUTED_VALUE"""),"")</f>
        <v/>
      </c>
      <c r="V846" s="36" t="str">
        <f ca="1">IFERROR(__xludf.DUMMYFUNCTION("""COMPUTED_VALUE"""),"")</f>
        <v/>
      </c>
      <c r="W846" s="36" t="str">
        <f ca="1">IFERROR(__xludf.DUMMYFUNCTION("""COMPUTED_VALUE"""),"")</f>
        <v/>
      </c>
      <c r="X846" s="36"/>
      <c r="Y846" s="36"/>
      <c r="Z846" s="36"/>
    </row>
    <row r="847" spans="1:26" ht="12.75" hidden="1">
      <c r="A847" s="36" t="str">
        <f ca="1">IFERROR(__xludf.DUMMYFUNCTION("""COMPUTED_VALUE"""),"")</f>
        <v/>
      </c>
      <c r="B847" s="36" t="str">
        <f ca="1">IFERROR(__xludf.DUMMYFUNCTION("""COMPUTED_VALUE"""),"")</f>
        <v/>
      </c>
      <c r="C847" s="36" t="str">
        <f ca="1">IFERROR(__xludf.DUMMYFUNCTION("""COMPUTED_VALUE"""),"")</f>
        <v/>
      </c>
      <c r="D847" s="36" t="str">
        <f ca="1">IFERROR(__xludf.DUMMYFUNCTION("""COMPUTED_VALUE"""),"")</f>
        <v/>
      </c>
      <c r="E847" s="36" t="str">
        <f ca="1">IFERROR(__xludf.DUMMYFUNCTION("""COMPUTED_VALUE"""),"")</f>
        <v/>
      </c>
      <c r="F847" s="36" t="str">
        <f ca="1">IFERROR(__xludf.DUMMYFUNCTION("""COMPUTED_VALUE"""),"")</f>
        <v/>
      </c>
      <c r="G847" s="36" t="str">
        <f ca="1">IFERROR(__xludf.DUMMYFUNCTION("""COMPUTED_VALUE"""),"")</f>
        <v/>
      </c>
      <c r="H847" s="36" t="str">
        <f ca="1">IFERROR(__xludf.DUMMYFUNCTION("""COMPUTED_VALUE"""),"")</f>
        <v/>
      </c>
      <c r="I847" s="36" t="str">
        <f ca="1">IFERROR(__xludf.DUMMYFUNCTION("""COMPUTED_VALUE"""),"")</f>
        <v/>
      </c>
      <c r="J847" s="36" t="str">
        <f ca="1">IFERROR(__xludf.DUMMYFUNCTION("""COMPUTED_VALUE"""),"")</f>
        <v/>
      </c>
      <c r="K847" s="36" t="str">
        <f ca="1">IFERROR(__xludf.DUMMYFUNCTION("""COMPUTED_VALUE"""),"")</f>
        <v/>
      </c>
      <c r="L847" s="36" t="str">
        <f ca="1">IFERROR(__xludf.DUMMYFUNCTION("""COMPUTED_VALUE"""),"")</f>
        <v/>
      </c>
      <c r="M847" s="36" t="str">
        <f ca="1">IFERROR(__xludf.DUMMYFUNCTION("""COMPUTED_VALUE"""),"")</f>
        <v/>
      </c>
      <c r="N847" s="36" t="str">
        <f ca="1">IFERROR(__xludf.DUMMYFUNCTION("""COMPUTED_VALUE"""),"")</f>
        <v/>
      </c>
      <c r="O847" s="36" t="str">
        <f ca="1">IFERROR(__xludf.DUMMYFUNCTION("""COMPUTED_VALUE"""),"")</f>
        <v/>
      </c>
      <c r="P847" s="36" t="str">
        <f ca="1">IFERROR(__xludf.DUMMYFUNCTION("""COMPUTED_VALUE"""),"")</f>
        <v/>
      </c>
      <c r="Q847" s="36" t="str">
        <f ca="1">IFERROR(__xludf.DUMMYFUNCTION("""COMPUTED_VALUE"""),"")</f>
        <v/>
      </c>
      <c r="R847" s="36" t="str">
        <f ca="1">IFERROR(__xludf.DUMMYFUNCTION("""COMPUTED_VALUE"""),"")</f>
        <v/>
      </c>
      <c r="S847" s="36" t="str">
        <f ca="1">IFERROR(__xludf.DUMMYFUNCTION("""COMPUTED_VALUE"""),"")</f>
        <v/>
      </c>
      <c r="T847" s="36" t="str">
        <f ca="1">IFERROR(__xludf.DUMMYFUNCTION("""COMPUTED_VALUE"""),"")</f>
        <v/>
      </c>
      <c r="U847" s="36" t="str">
        <f ca="1">IFERROR(__xludf.DUMMYFUNCTION("""COMPUTED_VALUE"""),"")</f>
        <v/>
      </c>
      <c r="V847" s="36" t="str">
        <f ca="1">IFERROR(__xludf.DUMMYFUNCTION("""COMPUTED_VALUE"""),"")</f>
        <v/>
      </c>
      <c r="W847" s="36" t="str">
        <f ca="1">IFERROR(__xludf.DUMMYFUNCTION("""COMPUTED_VALUE"""),"")</f>
        <v/>
      </c>
      <c r="X847" s="36"/>
      <c r="Y847" s="36"/>
      <c r="Z847" s="36"/>
    </row>
    <row r="848" spans="1:26" ht="12.75" hidden="1">
      <c r="A848" s="36" t="str">
        <f ca="1">IFERROR(__xludf.DUMMYFUNCTION("""COMPUTED_VALUE"""),"")</f>
        <v/>
      </c>
      <c r="B848" s="36" t="str">
        <f ca="1">IFERROR(__xludf.DUMMYFUNCTION("""COMPUTED_VALUE"""),"")</f>
        <v/>
      </c>
      <c r="C848" s="36" t="str">
        <f ca="1">IFERROR(__xludf.DUMMYFUNCTION("""COMPUTED_VALUE"""),"")</f>
        <v/>
      </c>
      <c r="D848" s="36" t="str">
        <f ca="1">IFERROR(__xludf.DUMMYFUNCTION("""COMPUTED_VALUE"""),"")</f>
        <v/>
      </c>
      <c r="E848" s="36" t="str">
        <f ca="1">IFERROR(__xludf.DUMMYFUNCTION("""COMPUTED_VALUE"""),"")</f>
        <v/>
      </c>
      <c r="F848" s="36" t="str">
        <f ca="1">IFERROR(__xludf.DUMMYFUNCTION("""COMPUTED_VALUE"""),"")</f>
        <v/>
      </c>
      <c r="G848" s="36" t="str">
        <f ca="1">IFERROR(__xludf.DUMMYFUNCTION("""COMPUTED_VALUE"""),"")</f>
        <v/>
      </c>
      <c r="H848" s="36" t="str">
        <f ca="1">IFERROR(__xludf.DUMMYFUNCTION("""COMPUTED_VALUE"""),"")</f>
        <v/>
      </c>
      <c r="I848" s="36" t="str">
        <f ca="1">IFERROR(__xludf.DUMMYFUNCTION("""COMPUTED_VALUE"""),"")</f>
        <v/>
      </c>
      <c r="J848" s="36" t="str">
        <f ca="1">IFERROR(__xludf.DUMMYFUNCTION("""COMPUTED_VALUE"""),"")</f>
        <v/>
      </c>
      <c r="K848" s="36" t="str">
        <f ca="1">IFERROR(__xludf.DUMMYFUNCTION("""COMPUTED_VALUE"""),"")</f>
        <v/>
      </c>
      <c r="L848" s="36" t="str">
        <f ca="1">IFERROR(__xludf.DUMMYFUNCTION("""COMPUTED_VALUE"""),"")</f>
        <v/>
      </c>
      <c r="M848" s="36" t="str">
        <f ca="1">IFERROR(__xludf.DUMMYFUNCTION("""COMPUTED_VALUE"""),"")</f>
        <v/>
      </c>
      <c r="N848" s="36" t="str">
        <f ca="1">IFERROR(__xludf.DUMMYFUNCTION("""COMPUTED_VALUE"""),"")</f>
        <v/>
      </c>
      <c r="O848" s="36" t="str">
        <f ca="1">IFERROR(__xludf.DUMMYFUNCTION("""COMPUTED_VALUE"""),"")</f>
        <v/>
      </c>
      <c r="P848" s="36" t="str">
        <f ca="1">IFERROR(__xludf.DUMMYFUNCTION("""COMPUTED_VALUE"""),"")</f>
        <v/>
      </c>
      <c r="Q848" s="36" t="str">
        <f ca="1">IFERROR(__xludf.DUMMYFUNCTION("""COMPUTED_VALUE"""),"")</f>
        <v/>
      </c>
      <c r="R848" s="36" t="str">
        <f ca="1">IFERROR(__xludf.DUMMYFUNCTION("""COMPUTED_VALUE"""),"")</f>
        <v/>
      </c>
      <c r="S848" s="36" t="str">
        <f ca="1">IFERROR(__xludf.DUMMYFUNCTION("""COMPUTED_VALUE"""),"")</f>
        <v/>
      </c>
      <c r="T848" s="36" t="str">
        <f ca="1">IFERROR(__xludf.DUMMYFUNCTION("""COMPUTED_VALUE"""),"")</f>
        <v/>
      </c>
      <c r="U848" s="36" t="str">
        <f ca="1">IFERROR(__xludf.DUMMYFUNCTION("""COMPUTED_VALUE"""),"")</f>
        <v/>
      </c>
      <c r="V848" s="36" t="str">
        <f ca="1">IFERROR(__xludf.DUMMYFUNCTION("""COMPUTED_VALUE"""),"")</f>
        <v/>
      </c>
      <c r="W848" s="36" t="str">
        <f ca="1">IFERROR(__xludf.DUMMYFUNCTION("""COMPUTED_VALUE"""),"")</f>
        <v/>
      </c>
      <c r="X848" s="36"/>
      <c r="Y848" s="36"/>
      <c r="Z848" s="36"/>
    </row>
    <row r="849" spans="1:26" ht="12.75" hidden="1">
      <c r="A849" s="36" t="str">
        <f ca="1">IFERROR(__xludf.DUMMYFUNCTION("""COMPUTED_VALUE"""),"")</f>
        <v/>
      </c>
      <c r="B849" s="36" t="str">
        <f ca="1">IFERROR(__xludf.DUMMYFUNCTION("""COMPUTED_VALUE"""),"")</f>
        <v/>
      </c>
      <c r="C849" s="36" t="str">
        <f ca="1">IFERROR(__xludf.DUMMYFUNCTION("""COMPUTED_VALUE"""),"")</f>
        <v/>
      </c>
      <c r="D849" s="36" t="str">
        <f ca="1">IFERROR(__xludf.DUMMYFUNCTION("""COMPUTED_VALUE"""),"")</f>
        <v/>
      </c>
      <c r="E849" s="36" t="str">
        <f ca="1">IFERROR(__xludf.DUMMYFUNCTION("""COMPUTED_VALUE"""),"")</f>
        <v/>
      </c>
      <c r="F849" s="36" t="str">
        <f ca="1">IFERROR(__xludf.DUMMYFUNCTION("""COMPUTED_VALUE"""),"")</f>
        <v/>
      </c>
      <c r="G849" s="36" t="str">
        <f ca="1">IFERROR(__xludf.DUMMYFUNCTION("""COMPUTED_VALUE"""),"")</f>
        <v/>
      </c>
      <c r="H849" s="36" t="str">
        <f ca="1">IFERROR(__xludf.DUMMYFUNCTION("""COMPUTED_VALUE"""),"")</f>
        <v/>
      </c>
      <c r="I849" s="36" t="str">
        <f ca="1">IFERROR(__xludf.DUMMYFUNCTION("""COMPUTED_VALUE"""),"")</f>
        <v/>
      </c>
      <c r="J849" s="36" t="str">
        <f ca="1">IFERROR(__xludf.DUMMYFUNCTION("""COMPUTED_VALUE"""),"")</f>
        <v/>
      </c>
      <c r="K849" s="36" t="str">
        <f ca="1">IFERROR(__xludf.DUMMYFUNCTION("""COMPUTED_VALUE"""),"")</f>
        <v/>
      </c>
      <c r="L849" s="36" t="str">
        <f ca="1">IFERROR(__xludf.DUMMYFUNCTION("""COMPUTED_VALUE"""),"")</f>
        <v/>
      </c>
      <c r="M849" s="36" t="str">
        <f ca="1">IFERROR(__xludf.DUMMYFUNCTION("""COMPUTED_VALUE"""),"")</f>
        <v/>
      </c>
      <c r="N849" s="36" t="str">
        <f ca="1">IFERROR(__xludf.DUMMYFUNCTION("""COMPUTED_VALUE"""),"")</f>
        <v/>
      </c>
      <c r="O849" s="36" t="str">
        <f ca="1">IFERROR(__xludf.DUMMYFUNCTION("""COMPUTED_VALUE"""),"")</f>
        <v/>
      </c>
      <c r="P849" s="36" t="str">
        <f ca="1">IFERROR(__xludf.DUMMYFUNCTION("""COMPUTED_VALUE"""),"")</f>
        <v/>
      </c>
      <c r="Q849" s="36" t="str">
        <f ca="1">IFERROR(__xludf.DUMMYFUNCTION("""COMPUTED_VALUE"""),"")</f>
        <v/>
      </c>
      <c r="R849" s="36" t="str">
        <f ca="1">IFERROR(__xludf.DUMMYFUNCTION("""COMPUTED_VALUE"""),"")</f>
        <v/>
      </c>
      <c r="S849" s="36" t="str">
        <f ca="1">IFERROR(__xludf.DUMMYFUNCTION("""COMPUTED_VALUE"""),"")</f>
        <v/>
      </c>
      <c r="T849" s="36" t="str">
        <f ca="1">IFERROR(__xludf.DUMMYFUNCTION("""COMPUTED_VALUE"""),"")</f>
        <v/>
      </c>
      <c r="U849" s="36" t="str">
        <f ca="1">IFERROR(__xludf.DUMMYFUNCTION("""COMPUTED_VALUE"""),"")</f>
        <v/>
      </c>
      <c r="V849" s="36" t="str">
        <f ca="1">IFERROR(__xludf.DUMMYFUNCTION("""COMPUTED_VALUE"""),"")</f>
        <v/>
      </c>
      <c r="W849" s="36" t="str">
        <f ca="1">IFERROR(__xludf.DUMMYFUNCTION("""COMPUTED_VALUE"""),"")</f>
        <v/>
      </c>
      <c r="X849" s="36"/>
      <c r="Y849" s="36"/>
      <c r="Z849" s="36"/>
    </row>
    <row r="850" spans="1:26" ht="12.75" hidden="1">
      <c r="A850" s="36" t="str">
        <f ca="1">IFERROR(__xludf.DUMMYFUNCTION("""COMPUTED_VALUE"""),"")</f>
        <v/>
      </c>
      <c r="B850" s="36" t="str">
        <f ca="1">IFERROR(__xludf.DUMMYFUNCTION("""COMPUTED_VALUE"""),"")</f>
        <v/>
      </c>
      <c r="C850" s="36" t="str">
        <f ca="1">IFERROR(__xludf.DUMMYFUNCTION("""COMPUTED_VALUE"""),"")</f>
        <v/>
      </c>
      <c r="D850" s="36" t="str">
        <f ca="1">IFERROR(__xludf.DUMMYFUNCTION("""COMPUTED_VALUE"""),"")</f>
        <v/>
      </c>
      <c r="E850" s="36" t="str">
        <f ca="1">IFERROR(__xludf.DUMMYFUNCTION("""COMPUTED_VALUE"""),"")</f>
        <v/>
      </c>
      <c r="F850" s="36" t="str">
        <f ca="1">IFERROR(__xludf.DUMMYFUNCTION("""COMPUTED_VALUE"""),"")</f>
        <v/>
      </c>
      <c r="G850" s="36" t="str">
        <f ca="1">IFERROR(__xludf.DUMMYFUNCTION("""COMPUTED_VALUE"""),"")</f>
        <v/>
      </c>
      <c r="H850" s="36" t="str">
        <f ca="1">IFERROR(__xludf.DUMMYFUNCTION("""COMPUTED_VALUE"""),"")</f>
        <v/>
      </c>
      <c r="I850" s="36" t="str">
        <f ca="1">IFERROR(__xludf.DUMMYFUNCTION("""COMPUTED_VALUE"""),"")</f>
        <v/>
      </c>
      <c r="J850" s="36" t="str">
        <f ca="1">IFERROR(__xludf.DUMMYFUNCTION("""COMPUTED_VALUE"""),"")</f>
        <v/>
      </c>
      <c r="K850" s="36" t="str">
        <f ca="1">IFERROR(__xludf.DUMMYFUNCTION("""COMPUTED_VALUE"""),"")</f>
        <v/>
      </c>
      <c r="L850" s="36" t="str">
        <f ca="1">IFERROR(__xludf.DUMMYFUNCTION("""COMPUTED_VALUE"""),"")</f>
        <v/>
      </c>
      <c r="M850" s="36" t="str">
        <f ca="1">IFERROR(__xludf.DUMMYFUNCTION("""COMPUTED_VALUE"""),"")</f>
        <v/>
      </c>
      <c r="N850" s="36" t="str">
        <f ca="1">IFERROR(__xludf.DUMMYFUNCTION("""COMPUTED_VALUE"""),"")</f>
        <v/>
      </c>
      <c r="O850" s="36" t="str">
        <f ca="1">IFERROR(__xludf.DUMMYFUNCTION("""COMPUTED_VALUE"""),"")</f>
        <v/>
      </c>
      <c r="P850" s="36" t="str">
        <f ca="1">IFERROR(__xludf.DUMMYFUNCTION("""COMPUTED_VALUE"""),"")</f>
        <v/>
      </c>
      <c r="Q850" s="36" t="str">
        <f ca="1">IFERROR(__xludf.DUMMYFUNCTION("""COMPUTED_VALUE"""),"")</f>
        <v/>
      </c>
      <c r="R850" s="36" t="str">
        <f ca="1">IFERROR(__xludf.DUMMYFUNCTION("""COMPUTED_VALUE"""),"")</f>
        <v/>
      </c>
      <c r="S850" s="36" t="str">
        <f ca="1">IFERROR(__xludf.DUMMYFUNCTION("""COMPUTED_VALUE"""),"")</f>
        <v/>
      </c>
      <c r="T850" s="36" t="str">
        <f ca="1">IFERROR(__xludf.DUMMYFUNCTION("""COMPUTED_VALUE"""),"")</f>
        <v/>
      </c>
      <c r="U850" s="36" t="str">
        <f ca="1">IFERROR(__xludf.DUMMYFUNCTION("""COMPUTED_VALUE"""),"")</f>
        <v/>
      </c>
      <c r="V850" s="36" t="str">
        <f ca="1">IFERROR(__xludf.DUMMYFUNCTION("""COMPUTED_VALUE"""),"")</f>
        <v/>
      </c>
      <c r="W850" s="36" t="str">
        <f ca="1">IFERROR(__xludf.DUMMYFUNCTION("""COMPUTED_VALUE"""),"")</f>
        <v/>
      </c>
      <c r="X850" s="36"/>
      <c r="Y850" s="36"/>
      <c r="Z850" s="36"/>
    </row>
    <row r="851" spans="1:26" ht="12.75" hidden="1">
      <c r="A851" s="36" t="str">
        <f ca="1">IFERROR(__xludf.DUMMYFUNCTION("""COMPUTED_VALUE"""),"")</f>
        <v/>
      </c>
      <c r="B851" s="36" t="str">
        <f ca="1">IFERROR(__xludf.DUMMYFUNCTION("""COMPUTED_VALUE"""),"")</f>
        <v/>
      </c>
      <c r="C851" s="36" t="str">
        <f ca="1">IFERROR(__xludf.DUMMYFUNCTION("""COMPUTED_VALUE"""),"")</f>
        <v/>
      </c>
      <c r="D851" s="36" t="str">
        <f ca="1">IFERROR(__xludf.DUMMYFUNCTION("""COMPUTED_VALUE"""),"")</f>
        <v/>
      </c>
      <c r="E851" s="36" t="str">
        <f ca="1">IFERROR(__xludf.DUMMYFUNCTION("""COMPUTED_VALUE"""),"")</f>
        <v/>
      </c>
      <c r="F851" s="36" t="str">
        <f ca="1">IFERROR(__xludf.DUMMYFUNCTION("""COMPUTED_VALUE"""),"")</f>
        <v/>
      </c>
      <c r="G851" s="36" t="str">
        <f ca="1">IFERROR(__xludf.DUMMYFUNCTION("""COMPUTED_VALUE"""),"")</f>
        <v/>
      </c>
      <c r="H851" s="36" t="str">
        <f ca="1">IFERROR(__xludf.DUMMYFUNCTION("""COMPUTED_VALUE"""),"")</f>
        <v/>
      </c>
      <c r="I851" s="36" t="str">
        <f ca="1">IFERROR(__xludf.DUMMYFUNCTION("""COMPUTED_VALUE"""),"")</f>
        <v/>
      </c>
      <c r="J851" s="36" t="str">
        <f ca="1">IFERROR(__xludf.DUMMYFUNCTION("""COMPUTED_VALUE"""),"")</f>
        <v/>
      </c>
      <c r="K851" s="36" t="str">
        <f ca="1">IFERROR(__xludf.DUMMYFUNCTION("""COMPUTED_VALUE"""),"")</f>
        <v/>
      </c>
      <c r="L851" s="36" t="str">
        <f ca="1">IFERROR(__xludf.DUMMYFUNCTION("""COMPUTED_VALUE"""),"")</f>
        <v/>
      </c>
      <c r="M851" s="36" t="str">
        <f ca="1">IFERROR(__xludf.DUMMYFUNCTION("""COMPUTED_VALUE"""),"")</f>
        <v/>
      </c>
      <c r="N851" s="36" t="str">
        <f ca="1">IFERROR(__xludf.DUMMYFUNCTION("""COMPUTED_VALUE"""),"")</f>
        <v/>
      </c>
      <c r="O851" s="36" t="str">
        <f ca="1">IFERROR(__xludf.DUMMYFUNCTION("""COMPUTED_VALUE"""),"")</f>
        <v/>
      </c>
      <c r="P851" s="36" t="str">
        <f ca="1">IFERROR(__xludf.DUMMYFUNCTION("""COMPUTED_VALUE"""),"")</f>
        <v/>
      </c>
      <c r="Q851" s="36" t="str">
        <f ca="1">IFERROR(__xludf.DUMMYFUNCTION("""COMPUTED_VALUE"""),"")</f>
        <v/>
      </c>
      <c r="R851" s="36" t="str">
        <f ca="1">IFERROR(__xludf.DUMMYFUNCTION("""COMPUTED_VALUE"""),"")</f>
        <v/>
      </c>
      <c r="S851" s="36" t="str">
        <f ca="1">IFERROR(__xludf.DUMMYFUNCTION("""COMPUTED_VALUE"""),"")</f>
        <v/>
      </c>
      <c r="T851" s="36" t="str">
        <f ca="1">IFERROR(__xludf.DUMMYFUNCTION("""COMPUTED_VALUE"""),"")</f>
        <v/>
      </c>
      <c r="U851" s="36" t="str">
        <f ca="1">IFERROR(__xludf.DUMMYFUNCTION("""COMPUTED_VALUE"""),"")</f>
        <v/>
      </c>
      <c r="V851" s="36" t="str">
        <f ca="1">IFERROR(__xludf.DUMMYFUNCTION("""COMPUTED_VALUE"""),"")</f>
        <v/>
      </c>
      <c r="W851" s="36" t="str">
        <f ca="1">IFERROR(__xludf.DUMMYFUNCTION("""COMPUTED_VALUE"""),"")</f>
        <v/>
      </c>
      <c r="X851" s="36"/>
      <c r="Y851" s="36"/>
      <c r="Z851" s="36"/>
    </row>
    <row r="852" spans="1:26" ht="12.75" hidden="1">
      <c r="A852" s="36" t="str">
        <f ca="1">IFERROR(__xludf.DUMMYFUNCTION("""COMPUTED_VALUE"""),"")</f>
        <v/>
      </c>
      <c r="B852" s="36" t="str">
        <f ca="1">IFERROR(__xludf.DUMMYFUNCTION("""COMPUTED_VALUE"""),"")</f>
        <v/>
      </c>
      <c r="C852" s="36" t="str">
        <f ca="1">IFERROR(__xludf.DUMMYFUNCTION("""COMPUTED_VALUE"""),"")</f>
        <v/>
      </c>
      <c r="D852" s="36" t="str">
        <f ca="1">IFERROR(__xludf.DUMMYFUNCTION("""COMPUTED_VALUE"""),"")</f>
        <v/>
      </c>
      <c r="E852" s="36" t="str">
        <f ca="1">IFERROR(__xludf.DUMMYFUNCTION("""COMPUTED_VALUE"""),"")</f>
        <v/>
      </c>
      <c r="F852" s="36" t="str">
        <f ca="1">IFERROR(__xludf.DUMMYFUNCTION("""COMPUTED_VALUE"""),"")</f>
        <v/>
      </c>
      <c r="G852" s="36" t="str">
        <f ca="1">IFERROR(__xludf.DUMMYFUNCTION("""COMPUTED_VALUE"""),"")</f>
        <v/>
      </c>
      <c r="H852" s="36" t="str">
        <f ca="1">IFERROR(__xludf.DUMMYFUNCTION("""COMPUTED_VALUE"""),"")</f>
        <v/>
      </c>
      <c r="I852" s="36" t="str">
        <f ca="1">IFERROR(__xludf.DUMMYFUNCTION("""COMPUTED_VALUE"""),"")</f>
        <v/>
      </c>
      <c r="J852" s="36" t="str">
        <f ca="1">IFERROR(__xludf.DUMMYFUNCTION("""COMPUTED_VALUE"""),"")</f>
        <v/>
      </c>
      <c r="K852" s="36" t="str">
        <f ca="1">IFERROR(__xludf.DUMMYFUNCTION("""COMPUTED_VALUE"""),"")</f>
        <v/>
      </c>
      <c r="L852" s="36" t="str">
        <f ca="1">IFERROR(__xludf.DUMMYFUNCTION("""COMPUTED_VALUE"""),"")</f>
        <v/>
      </c>
      <c r="M852" s="36" t="str">
        <f ca="1">IFERROR(__xludf.DUMMYFUNCTION("""COMPUTED_VALUE"""),"")</f>
        <v/>
      </c>
      <c r="N852" s="36" t="str">
        <f ca="1">IFERROR(__xludf.DUMMYFUNCTION("""COMPUTED_VALUE"""),"")</f>
        <v/>
      </c>
      <c r="O852" s="36" t="str">
        <f ca="1">IFERROR(__xludf.DUMMYFUNCTION("""COMPUTED_VALUE"""),"")</f>
        <v/>
      </c>
      <c r="P852" s="36" t="str">
        <f ca="1">IFERROR(__xludf.DUMMYFUNCTION("""COMPUTED_VALUE"""),"")</f>
        <v/>
      </c>
      <c r="Q852" s="36" t="str">
        <f ca="1">IFERROR(__xludf.DUMMYFUNCTION("""COMPUTED_VALUE"""),"")</f>
        <v/>
      </c>
      <c r="R852" s="36" t="str">
        <f ca="1">IFERROR(__xludf.DUMMYFUNCTION("""COMPUTED_VALUE"""),"")</f>
        <v/>
      </c>
      <c r="S852" s="36" t="str">
        <f ca="1">IFERROR(__xludf.DUMMYFUNCTION("""COMPUTED_VALUE"""),"")</f>
        <v/>
      </c>
      <c r="T852" s="36" t="str">
        <f ca="1">IFERROR(__xludf.DUMMYFUNCTION("""COMPUTED_VALUE"""),"")</f>
        <v/>
      </c>
      <c r="U852" s="36" t="str">
        <f ca="1">IFERROR(__xludf.DUMMYFUNCTION("""COMPUTED_VALUE"""),"")</f>
        <v/>
      </c>
      <c r="V852" s="36" t="str">
        <f ca="1">IFERROR(__xludf.DUMMYFUNCTION("""COMPUTED_VALUE"""),"")</f>
        <v/>
      </c>
      <c r="W852" s="36" t="str">
        <f ca="1">IFERROR(__xludf.DUMMYFUNCTION("""COMPUTED_VALUE"""),"")</f>
        <v/>
      </c>
      <c r="X852" s="36"/>
      <c r="Y852" s="36"/>
      <c r="Z852" s="36"/>
    </row>
    <row r="853" spans="1:26" ht="12.75" hidden="1">
      <c r="A853" s="36" t="str">
        <f ca="1">IFERROR(__xludf.DUMMYFUNCTION("""COMPUTED_VALUE"""),"")</f>
        <v/>
      </c>
      <c r="B853" s="36" t="str">
        <f ca="1">IFERROR(__xludf.DUMMYFUNCTION("""COMPUTED_VALUE"""),"")</f>
        <v/>
      </c>
      <c r="C853" s="36" t="str">
        <f ca="1">IFERROR(__xludf.DUMMYFUNCTION("""COMPUTED_VALUE"""),"")</f>
        <v/>
      </c>
      <c r="D853" s="36" t="str">
        <f ca="1">IFERROR(__xludf.DUMMYFUNCTION("""COMPUTED_VALUE"""),"")</f>
        <v/>
      </c>
      <c r="E853" s="36" t="str">
        <f ca="1">IFERROR(__xludf.DUMMYFUNCTION("""COMPUTED_VALUE"""),"")</f>
        <v/>
      </c>
      <c r="F853" s="36" t="str">
        <f ca="1">IFERROR(__xludf.DUMMYFUNCTION("""COMPUTED_VALUE"""),"")</f>
        <v/>
      </c>
      <c r="G853" s="36" t="str">
        <f ca="1">IFERROR(__xludf.DUMMYFUNCTION("""COMPUTED_VALUE"""),"")</f>
        <v/>
      </c>
      <c r="H853" s="36" t="str">
        <f ca="1">IFERROR(__xludf.DUMMYFUNCTION("""COMPUTED_VALUE"""),"")</f>
        <v/>
      </c>
      <c r="I853" s="36" t="str">
        <f ca="1">IFERROR(__xludf.DUMMYFUNCTION("""COMPUTED_VALUE"""),"")</f>
        <v/>
      </c>
      <c r="J853" s="36" t="str">
        <f ca="1">IFERROR(__xludf.DUMMYFUNCTION("""COMPUTED_VALUE"""),"")</f>
        <v/>
      </c>
      <c r="K853" s="36" t="str">
        <f ca="1">IFERROR(__xludf.DUMMYFUNCTION("""COMPUTED_VALUE"""),"")</f>
        <v/>
      </c>
      <c r="L853" s="36" t="str">
        <f ca="1">IFERROR(__xludf.DUMMYFUNCTION("""COMPUTED_VALUE"""),"")</f>
        <v/>
      </c>
      <c r="M853" s="36" t="str">
        <f ca="1">IFERROR(__xludf.DUMMYFUNCTION("""COMPUTED_VALUE"""),"")</f>
        <v/>
      </c>
      <c r="N853" s="36" t="str">
        <f ca="1">IFERROR(__xludf.DUMMYFUNCTION("""COMPUTED_VALUE"""),"")</f>
        <v/>
      </c>
      <c r="O853" s="36" t="str">
        <f ca="1">IFERROR(__xludf.DUMMYFUNCTION("""COMPUTED_VALUE"""),"")</f>
        <v/>
      </c>
      <c r="P853" s="36" t="str">
        <f ca="1">IFERROR(__xludf.DUMMYFUNCTION("""COMPUTED_VALUE"""),"")</f>
        <v/>
      </c>
      <c r="Q853" s="36" t="str">
        <f ca="1">IFERROR(__xludf.DUMMYFUNCTION("""COMPUTED_VALUE"""),"")</f>
        <v/>
      </c>
      <c r="R853" s="36" t="str">
        <f ca="1">IFERROR(__xludf.DUMMYFUNCTION("""COMPUTED_VALUE"""),"")</f>
        <v/>
      </c>
      <c r="S853" s="36" t="str">
        <f ca="1">IFERROR(__xludf.DUMMYFUNCTION("""COMPUTED_VALUE"""),"")</f>
        <v/>
      </c>
      <c r="T853" s="36" t="str">
        <f ca="1">IFERROR(__xludf.DUMMYFUNCTION("""COMPUTED_VALUE"""),"")</f>
        <v/>
      </c>
      <c r="U853" s="36" t="str">
        <f ca="1">IFERROR(__xludf.DUMMYFUNCTION("""COMPUTED_VALUE"""),"")</f>
        <v/>
      </c>
      <c r="V853" s="36" t="str">
        <f ca="1">IFERROR(__xludf.DUMMYFUNCTION("""COMPUTED_VALUE"""),"")</f>
        <v/>
      </c>
      <c r="W853" s="36" t="str">
        <f ca="1">IFERROR(__xludf.DUMMYFUNCTION("""COMPUTED_VALUE"""),"")</f>
        <v/>
      </c>
      <c r="X853" s="36"/>
      <c r="Y853" s="36"/>
      <c r="Z853" s="36"/>
    </row>
    <row r="854" spans="1:26" ht="12.75" hidden="1">
      <c r="A854" s="36" t="str">
        <f ca="1">IFERROR(__xludf.DUMMYFUNCTION("""COMPUTED_VALUE"""),"")</f>
        <v/>
      </c>
      <c r="B854" s="36" t="str">
        <f ca="1">IFERROR(__xludf.DUMMYFUNCTION("""COMPUTED_VALUE"""),"")</f>
        <v/>
      </c>
      <c r="C854" s="36" t="str">
        <f ca="1">IFERROR(__xludf.DUMMYFUNCTION("""COMPUTED_VALUE"""),"")</f>
        <v/>
      </c>
      <c r="D854" s="36" t="str">
        <f ca="1">IFERROR(__xludf.DUMMYFUNCTION("""COMPUTED_VALUE"""),"")</f>
        <v/>
      </c>
      <c r="E854" s="36" t="str">
        <f ca="1">IFERROR(__xludf.DUMMYFUNCTION("""COMPUTED_VALUE"""),"")</f>
        <v/>
      </c>
      <c r="F854" s="36" t="str">
        <f ca="1">IFERROR(__xludf.DUMMYFUNCTION("""COMPUTED_VALUE"""),"")</f>
        <v/>
      </c>
      <c r="G854" s="36" t="str">
        <f ca="1">IFERROR(__xludf.DUMMYFUNCTION("""COMPUTED_VALUE"""),"")</f>
        <v/>
      </c>
      <c r="H854" s="36" t="str">
        <f ca="1">IFERROR(__xludf.DUMMYFUNCTION("""COMPUTED_VALUE"""),"")</f>
        <v/>
      </c>
      <c r="I854" s="36" t="str">
        <f ca="1">IFERROR(__xludf.DUMMYFUNCTION("""COMPUTED_VALUE"""),"")</f>
        <v/>
      </c>
      <c r="J854" s="36" t="str">
        <f ca="1">IFERROR(__xludf.DUMMYFUNCTION("""COMPUTED_VALUE"""),"")</f>
        <v/>
      </c>
      <c r="K854" s="36" t="str">
        <f ca="1">IFERROR(__xludf.DUMMYFUNCTION("""COMPUTED_VALUE"""),"")</f>
        <v/>
      </c>
      <c r="L854" s="36" t="str">
        <f ca="1">IFERROR(__xludf.DUMMYFUNCTION("""COMPUTED_VALUE"""),"")</f>
        <v/>
      </c>
      <c r="M854" s="36" t="str">
        <f ca="1">IFERROR(__xludf.DUMMYFUNCTION("""COMPUTED_VALUE"""),"")</f>
        <v/>
      </c>
      <c r="N854" s="36" t="str">
        <f ca="1">IFERROR(__xludf.DUMMYFUNCTION("""COMPUTED_VALUE"""),"")</f>
        <v/>
      </c>
      <c r="O854" s="36" t="str">
        <f ca="1">IFERROR(__xludf.DUMMYFUNCTION("""COMPUTED_VALUE"""),"")</f>
        <v/>
      </c>
      <c r="P854" s="36" t="str">
        <f ca="1">IFERROR(__xludf.DUMMYFUNCTION("""COMPUTED_VALUE"""),"")</f>
        <v/>
      </c>
      <c r="Q854" s="36" t="str">
        <f ca="1">IFERROR(__xludf.DUMMYFUNCTION("""COMPUTED_VALUE"""),"")</f>
        <v/>
      </c>
      <c r="R854" s="36" t="str">
        <f ca="1">IFERROR(__xludf.DUMMYFUNCTION("""COMPUTED_VALUE"""),"")</f>
        <v/>
      </c>
      <c r="S854" s="36" t="str">
        <f ca="1">IFERROR(__xludf.DUMMYFUNCTION("""COMPUTED_VALUE"""),"")</f>
        <v/>
      </c>
      <c r="T854" s="36" t="str">
        <f ca="1">IFERROR(__xludf.DUMMYFUNCTION("""COMPUTED_VALUE"""),"")</f>
        <v/>
      </c>
      <c r="U854" s="36" t="str">
        <f ca="1">IFERROR(__xludf.DUMMYFUNCTION("""COMPUTED_VALUE"""),"")</f>
        <v/>
      </c>
      <c r="V854" s="36" t="str">
        <f ca="1">IFERROR(__xludf.DUMMYFUNCTION("""COMPUTED_VALUE"""),"")</f>
        <v/>
      </c>
      <c r="W854" s="36" t="str">
        <f ca="1">IFERROR(__xludf.DUMMYFUNCTION("""COMPUTED_VALUE"""),"")</f>
        <v/>
      </c>
      <c r="X854" s="36"/>
      <c r="Y854" s="36"/>
      <c r="Z854" s="36"/>
    </row>
    <row r="855" spans="1:26" ht="12.75" hidden="1">
      <c r="A855" s="36" t="str">
        <f ca="1">IFERROR(__xludf.DUMMYFUNCTION("""COMPUTED_VALUE"""),"")</f>
        <v/>
      </c>
      <c r="B855" s="36" t="str">
        <f ca="1">IFERROR(__xludf.DUMMYFUNCTION("""COMPUTED_VALUE"""),"")</f>
        <v/>
      </c>
      <c r="C855" s="36" t="str">
        <f ca="1">IFERROR(__xludf.DUMMYFUNCTION("""COMPUTED_VALUE"""),"")</f>
        <v/>
      </c>
      <c r="D855" s="36" t="str">
        <f ca="1">IFERROR(__xludf.DUMMYFUNCTION("""COMPUTED_VALUE"""),"")</f>
        <v/>
      </c>
      <c r="E855" s="36" t="str">
        <f ca="1">IFERROR(__xludf.DUMMYFUNCTION("""COMPUTED_VALUE"""),"")</f>
        <v/>
      </c>
      <c r="F855" s="36" t="str">
        <f ca="1">IFERROR(__xludf.DUMMYFUNCTION("""COMPUTED_VALUE"""),"")</f>
        <v/>
      </c>
      <c r="G855" s="36" t="str">
        <f ca="1">IFERROR(__xludf.DUMMYFUNCTION("""COMPUTED_VALUE"""),"")</f>
        <v/>
      </c>
      <c r="H855" s="36" t="str">
        <f ca="1">IFERROR(__xludf.DUMMYFUNCTION("""COMPUTED_VALUE"""),"")</f>
        <v/>
      </c>
      <c r="I855" s="36" t="str">
        <f ca="1">IFERROR(__xludf.DUMMYFUNCTION("""COMPUTED_VALUE"""),"")</f>
        <v/>
      </c>
      <c r="J855" s="36" t="str">
        <f ca="1">IFERROR(__xludf.DUMMYFUNCTION("""COMPUTED_VALUE"""),"")</f>
        <v/>
      </c>
      <c r="K855" s="36" t="str">
        <f ca="1">IFERROR(__xludf.DUMMYFUNCTION("""COMPUTED_VALUE"""),"")</f>
        <v/>
      </c>
      <c r="L855" s="36" t="str">
        <f ca="1">IFERROR(__xludf.DUMMYFUNCTION("""COMPUTED_VALUE"""),"")</f>
        <v/>
      </c>
      <c r="M855" s="36" t="str">
        <f ca="1">IFERROR(__xludf.DUMMYFUNCTION("""COMPUTED_VALUE"""),"")</f>
        <v/>
      </c>
      <c r="N855" s="36" t="str">
        <f ca="1">IFERROR(__xludf.DUMMYFUNCTION("""COMPUTED_VALUE"""),"")</f>
        <v/>
      </c>
      <c r="O855" s="36" t="str">
        <f ca="1">IFERROR(__xludf.DUMMYFUNCTION("""COMPUTED_VALUE"""),"")</f>
        <v/>
      </c>
      <c r="P855" s="36" t="str">
        <f ca="1">IFERROR(__xludf.DUMMYFUNCTION("""COMPUTED_VALUE"""),"")</f>
        <v/>
      </c>
      <c r="Q855" s="36" t="str">
        <f ca="1">IFERROR(__xludf.DUMMYFUNCTION("""COMPUTED_VALUE"""),"")</f>
        <v/>
      </c>
      <c r="R855" s="36" t="str">
        <f ca="1">IFERROR(__xludf.DUMMYFUNCTION("""COMPUTED_VALUE"""),"")</f>
        <v/>
      </c>
      <c r="S855" s="36" t="str">
        <f ca="1">IFERROR(__xludf.DUMMYFUNCTION("""COMPUTED_VALUE"""),"")</f>
        <v/>
      </c>
      <c r="T855" s="36" t="str">
        <f ca="1">IFERROR(__xludf.DUMMYFUNCTION("""COMPUTED_VALUE"""),"")</f>
        <v/>
      </c>
      <c r="U855" s="36" t="str">
        <f ca="1">IFERROR(__xludf.DUMMYFUNCTION("""COMPUTED_VALUE"""),"")</f>
        <v/>
      </c>
      <c r="V855" s="36" t="str">
        <f ca="1">IFERROR(__xludf.DUMMYFUNCTION("""COMPUTED_VALUE"""),"")</f>
        <v/>
      </c>
      <c r="W855" s="36" t="str">
        <f ca="1">IFERROR(__xludf.DUMMYFUNCTION("""COMPUTED_VALUE"""),"")</f>
        <v/>
      </c>
      <c r="X855" s="36"/>
      <c r="Y855" s="36"/>
      <c r="Z855" s="36"/>
    </row>
    <row r="856" spans="1:26" ht="12.75" hidden="1">
      <c r="A856" s="36" t="str">
        <f ca="1">IFERROR(__xludf.DUMMYFUNCTION("""COMPUTED_VALUE"""),"")</f>
        <v/>
      </c>
      <c r="B856" s="36" t="str">
        <f ca="1">IFERROR(__xludf.DUMMYFUNCTION("""COMPUTED_VALUE"""),"")</f>
        <v/>
      </c>
      <c r="C856" s="36" t="str">
        <f ca="1">IFERROR(__xludf.DUMMYFUNCTION("""COMPUTED_VALUE"""),"")</f>
        <v/>
      </c>
      <c r="D856" s="36" t="str">
        <f ca="1">IFERROR(__xludf.DUMMYFUNCTION("""COMPUTED_VALUE"""),"")</f>
        <v/>
      </c>
      <c r="E856" s="36" t="str">
        <f ca="1">IFERROR(__xludf.DUMMYFUNCTION("""COMPUTED_VALUE"""),"")</f>
        <v/>
      </c>
      <c r="F856" s="36" t="str">
        <f ca="1">IFERROR(__xludf.DUMMYFUNCTION("""COMPUTED_VALUE"""),"")</f>
        <v/>
      </c>
      <c r="G856" s="36" t="str">
        <f ca="1">IFERROR(__xludf.DUMMYFUNCTION("""COMPUTED_VALUE"""),"")</f>
        <v/>
      </c>
      <c r="H856" s="36" t="str">
        <f ca="1">IFERROR(__xludf.DUMMYFUNCTION("""COMPUTED_VALUE"""),"")</f>
        <v/>
      </c>
      <c r="I856" s="36" t="str">
        <f ca="1">IFERROR(__xludf.DUMMYFUNCTION("""COMPUTED_VALUE"""),"")</f>
        <v/>
      </c>
      <c r="J856" s="36" t="str">
        <f ca="1">IFERROR(__xludf.DUMMYFUNCTION("""COMPUTED_VALUE"""),"")</f>
        <v/>
      </c>
      <c r="K856" s="36" t="str">
        <f ca="1">IFERROR(__xludf.DUMMYFUNCTION("""COMPUTED_VALUE"""),"")</f>
        <v/>
      </c>
      <c r="L856" s="36" t="str">
        <f ca="1">IFERROR(__xludf.DUMMYFUNCTION("""COMPUTED_VALUE"""),"")</f>
        <v/>
      </c>
      <c r="M856" s="36" t="str">
        <f ca="1">IFERROR(__xludf.DUMMYFUNCTION("""COMPUTED_VALUE"""),"")</f>
        <v/>
      </c>
      <c r="N856" s="36" t="str">
        <f ca="1">IFERROR(__xludf.DUMMYFUNCTION("""COMPUTED_VALUE"""),"")</f>
        <v/>
      </c>
      <c r="O856" s="36" t="str">
        <f ca="1">IFERROR(__xludf.DUMMYFUNCTION("""COMPUTED_VALUE"""),"")</f>
        <v/>
      </c>
      <c r="P856" s="36" t="str">
        <f ca="1">IFERROR(__xludf.DUMMYFUNCTION("""COMPUTED_VALUE"""),"")</f>
        <v/>
      </c>
      <c r="Q856" s="36" t="str">
        <f ca="1">IFERROR(__xludf.DUMMYFUNCTION("""COMPUTED_VALUE"""),"")</f>
        <v/>
      </c>
      <c r="R856" s="36" t="str">
        <f ca="1">IFERROR(__xludf.DUMMYFUNCTION("""COMPUTED_VALUE"""),"")</f>
        <v/>
      </c>
      <c r="S856" s="36" t="str">
        <f ca="1">IFERROR(__xludf.DUMMYFUNCTION("""COMPUTED_VALUE"""),"")</f>
        <v/>
      </c>
      <c r="T856" s="36" t="str">
        <f ca="1">IFERROR(__xludf.DUMMYFUNCTION("""COMPUTED_VALUE"""),"")</f>
        <v/>
      </c>
      <c r="U856" s="36" t="str">
        <f ca="1">IFERROR(__xludf.DUMMYFUNCTION("""COMPUTED_VALUE"""),"")</f>
        <v/>
      </c>
      <c r="V856" s="36" t="str">
        <f ca="1">IFERROR(__xludf.DUMMYFUNCTION("""COMPUTED_VALUE"""),"")</f>
        <v/>
      </c>
      <c r="W856" s="36" t="str">
        <f ca="1">IFERROR(__xludf.DUMMYFUNCTION("""COMPUTED_VALUE"""),"")</f>
        <v/>
      </c>
      <c r="X856" s="36"/>
      <c r="Y856" s="36"/>
      <c r="Z856" s="36"/>
    </row>
    <row r="857" spans="1:26" ht="12.75" hidden="1">
      <c r="A857" s="36" t="str">
        <f ca="1">IFERROR(__xludf.DUMMYFUNCTION("""COMPUTED_VALUE"""),"")</f>
        <v/>
      </c>
      <c r="B857" s="36" t="str">
        <f ca="1">IFERROR(__xludf.DUMMYFUNCTION("""COMPUTED_VALUE"""),"")</f>
        <v/>
      </c>
      <c r="C857" s="36" t="str">
        <f ca="1">IFERROR(__xludf.DUMMYFUNCTION("""COMPUTED_VALUE"""),"")</f>
        <v/>
      </c>
      <c r="D857" s="36" t="str">
        <f ca="1">IFERROR(__xludf.DUMMYFUNCTION("""COMPUTED_VALUE"""),"")</f>
        <v/>
      </c>
      <c r="E857" s="36" t="str">
        <f ca="1">IFERROR(__xludf.DUMMYFUNCTION("""COMPUTED_VALUE"""),"")</f>
        <v/>
      </c>
      <c r="F857" s="36" t="str">
        <f ca="1">IFERROR(__xludf.DUMMYFUNCTION("""COMPUTED_VALUE"""),"")</f>
        <v/>
      </c>
      <c r="G857" s="36" t="str">
        <f ca="1">IFERROR(__xludf.DUMMYFUNCTION("""COMPUTED_VALUE"""),"")</f>
        <v/>
      </c>
      <c r="H857" s="36" t="str">
        <f ca="1">IFERROR(__xludf.DUMMYFUNCTION("""COMPUTED_VALUE"""),"")</f>
        <v/>
      </c>
      <c r="I857" s="36" t="str">
        <f ca="1">IFERROR(__xludf.DUMMYFUNCTION("""COMPUTED_VALUE"""),"")</f>
        <v/>
      </c>
      <c r="J857" s="36" t="str">
        <f ca="1">IFERROR(__xludf.DUMMYFUNCTION("""COMPUTED_VALUE"""),"")</f>
        <v/>
      </c>
      <c r="K857" s="36" t="str">
        <f ca="1">IFERROR(__xludf.DUMMYFUNCTION("""COMPUTED_VALUE"""),"")</f>
        <v/>
      </c>
      <c r="L857" s="36" t="str">
        <f ca="1">IFERROR(__xludf.DUMMYFUNCTION("""COMPUTED_VALUE"""),"")</f>
        <v/>
      </c>
      <c r="M857" s="36" t="str">
        <f ca="1">IFERROR(__xludf.DUMMYFUNCTION("""COMPUTED_VALUE"""),"")</f>
        <v/>
      </c>
      <c r="N857" s="36" t="str">
        <f ca="1">IFERROR(__xludf.DUMMYFUNCTION("""COMPUTED_VALUE"""),"")</f>
        <v/>
      </c>
      <c r="O857" s="36" t="str">
        <f ca="1">IFERROR(__xludf.DUMMYFUNCTION("""COMPUTED_VALUE"""),"")</f>
        <v/>
      </c>
      <c r="P857" s="36" t="str">
        <f ca="1">IFERROR(__xludf.DUMMYFUNCTION("""COMPUTED_VALUE"""),"")</f>
        <v/>
      </c>
      <c r="Q857" s="36" t="str">
        <f ca="1">IFERROR(__xludf.DUMMYFUNCTION("""COMPUTED_VALUE"""),"")</f>
        <v/>
      </c>
      <c r="R857" s="36" t="str">
        <f ca="1">IFERROR(__xludf.DUMMYFUNCTION("""COMPUTED_VALUE"""),"")</f>
        <v/>
      </c>
      <c r="S857" s="36" t="str">
        <f ca="1">IFERROR(__xludf.DUMMYFUNCTION("""COMPUTED_VALUE"""),"")</f>
        <v/>
      </c>
      <c r="T857" s="36" t="str">
        <f ca="1">IFERROR(__xludf.DUMMYFUNCTION("""COMPUTED_VALUE"""),"")</f>
        <v/>
      </c>
      <c r="U857" s="36" t="str">
        <f ca="1">IFERROR(__xludf.DUMMYFUNCTION("""COMPUTED_VALUE"""),"")</f>
        <v/>
      </c>
      <c r="V857" s="36" t="str">
        <f ca="1">IFERROR(__xludf.DUMMYFUNCTION("""COMPUTED_VALUE"""),"")</f>
        <v/>
      </c>
      <c r="W857" s="36" t="str">
        <f ca="1">IFERROR(__xludf.DUMMYFUNCTION("""COMPUTED_VALUE"""),"")</f>
        <v/>
      </c>
      <c r="X857" s="36"/>
      <c r="Y857" s="36"/>
      <c r="Z857" s="36"/>
    </row>
    <row r="858" spans="1:26" ht="12.75" hidden="1">
      <c r="A858" s="36" t="str">
        <f ca="1">IFERROR(__xludf.DUMMYFUNCTION("""COMPUTED_VALUE"""),"")</f>
        <v/>
      </c>
      <c r="B858" s="36" t="str">
        <f ca="1">IFERROR(__xludf.DUMMYFUNCTION("""COMPUTED_VALUE"""),"")</f>
        <v/>
      </c>
      <c r="C858" s="36" t="str">
        <f ca="1">IFERROR(__xludf.DUMMYFUNCTION("""COMPUTED_VALUE"""),"")</f>
        <v/>
      </c>
      <c r="D858" s="36" t="str">
        <f ca="1">IFERROR(__xludf.DUMMYFUNCTION("""COMPUTED_VALUE"""),"")</f>
        <v/>
      </c>
      <c r="E858" s="36" t="str">
        <f ca="1">IFERROR(__xludf.DUMMYFUNCTION("""COMPUTED_VALUE"""),"")</f>
        <v/>
      </c>
      <c r="F858" s="36" t="str">
        <f ca="1">IFERROR(__xludf.DUMMYFUNCTION("""COMPUTED_VALUE"""),"")</f>
        <v/>
      </c>
      <c r="G858" s="36" t="str">
        <f ca="1">IFERROR(__xludf.DUMMYFUNCTION("""COMPUTED_VALUE"""),"")</f>
        <v/>
      </c>
      <c r="H858" s="36" t="str">
        <f ca="1">IFERROR(__xludf.DUMMYFUNCTION("""COMPUTED_VALUE"""),"")</f>
        <v/>
      </c>
      <c r="I858" s="36" t="str">
        <f ca="1">IFERROR(__xludf.DUMMYFUNCTION("""COMPUTED_VALUE"""),"")</f>
        <v/>
      </c>
      <c r="J858" s="36" t="str">
        <f ca="1">IFERROR(__xludf.DUMMYFUNCTION("""COMPUTED_VALUE"""),"")</f>
        <v/>
      </c>
      <c r="K858" s="36" t="str">
        <f ca="1">IFERROR(__xludf.DUMMYFUNCTION("""COMPUTED_VALUE"""),"")</f>
        <v/>
      </c>
      <c r="L858" s="36" t="str">
        <f ca="1">IFERROR(__xludf.DUMMYFUNCTION("""COMPUTED_VALUE"""),"")</f>
        <v/>
      </c>
      <c r="M858" s="36" t="str">
        <f ca="1">IFERROR(__xludf.DUMMYFUNCTION("""COMPUTED_VALUE"""),"")</f>
        <v/>
      </c>
      <c r="N858" s="36" t="str">
        <f ca="1">IFERROR(__xludf.DUMMYFUNCTION("""COMPUTED_VALUE"""),"")</f>
        <v/>
      </c>
      <c r="O858" s="36" t="str">
        <f ca="1">IFERROR(__xludf.DUMMYFUNCTION("""COMPUTED_VALUE"""),"")</f>
        <v/>
      </c>
      <c r="P858" s="36" t="str">
        <f ca="1">IFERROR(__xludf.DUMMYFUNCTION("""COMPUTED_VALUE"""),"")</f>
        <v/>
      </c>
      <c r="Q858" s="36" t="str">
        <f ca="1">IFERROR(__xludf.DUMMYFUNCTION("""COMPUTED_VALUE"""),"")</f>
        <v/>
      </c>
      <c r="R858" s="36" t="str">
        <f ca="1">IFERROR(__xludf.DUMMYFUNCTION("""COMPUTED_VALUE"""),"")</f>
        <v/>
      </c>
      <c r="S858" s="36" t="str">
        <f ca="1">IFERROR(__xludf.DUMMYFUNCTION("""COMPUTED_VALUE"""),"")</f>
        <v/>
      </c>
      <c r="T858" s="36" t="str">
        <f ca="1">IFERROR(__xludf.DUMMYFUNCTION("""COMPUTED_VALUE"""),"")</f>
        <v/>
      </c>
      <c r="U858" s="36" t="str">
        <f ca="1">IFERROR(__xludf.DUMMYFUNCTION("""COMPUTED_VALUE"""),"")</f>
        <v/>
      </c>
      <c r="V858" s="36" t="str">
        <f ca="1">IFERROR(__xludf.DUMMYFUNCTION("""COMPUTED_VALUE"""),"")</f>
        <v/>
      </c>
      <c r="W858" s="36" t="str">
        <f ca="1">IFERROR(__xludf.DUMMYFUNCTION("""COMPUTED_VALUE"""),"")</f>
        <v/>
      </c>
      <c r="X858" s="36"/>
      <c r="Y858" s="36"/>
      <c r="Z858" s="36"/>
    </row>
    <row r="859" spans="1:26" ht="12.75" hidden="1">
      <c r="A859" s="36" t="str">
        <f ca="1">IFERROR(__xludf.DUMMYFUNCTION("""COMPUTED_VALUE"""),"")</f>
        <v/>
      </c>
      <c r="B859" s="36" t="str">
        <f ca="1">IFERROR(__xludf.DUMMYFUNCTION("""COMPUTED_VALUE"""),"")</f>
        <v/>
      </c>
      <c r="C859" s="36" t="str">
        <f ca="1">IFERROR(__xludf.DUMMYFUNCTION("""COMPUTED_VALUE"""),"")</f>
        <v/>
      </c>
      <c r="D859" s="36" t="str">
        <f ca="1">IFERROR(__xludf.DUMMYFUNCTION("""COMPUTED_VALUE"""),"")</f>
        <v/>
      </c>
      <c r="E859" s="36" t="str">
        <f ca="1">IFERROR(__xludf.DUMMYFUNCTION("""COMPUTED_VALUE"""),"")</f>
        <v/>
      </c>
      <c r="F859" s="36" t="str">
        <f ca="1">IFERROR(__xludf.DUMMYFUNCTION("""COMPUTED_VALUE"""),"")</f>
        <v/>
      </c>
      <c r="G859" s="36" t="str">
        <f ca="1">IFERROR(__xludf.DUMMYFUNCTION("""COMPUTED_VALUE"""),"")</f>
        <v/>
      </c>
      <c r="H859" s="36" t="str">
        <f ca="1">IFERROR(__xludf.DUMMYFUNCTION("""COMPUTED_VALUE"""),"")</f>
        <v/>
      </c>
      <c r="I859" s="36" t="str">
        <f ca="1">IFERROR(__xludf.DUMMYFUNCTION("""COMPUTED_VALUE"""),"")</f>
        <v/>
      </c>
      <c r="J859" s="36" t="str">
        <f ca="1">IFERROR(__xludf.DUMMYFUNCTION("""COMPUTED_VALUE"""),"")</f>
        <v/>
      </c>
      <c r="K859" s="36" t="str">
        <f ca="1">IFERROR(__xludf.DUMMYFUNCTION("""COMPUTED_VALUE"""),"")</f>
        <v/>
      </c>
      <c r="L859" s="36" t="str">
        <f ca="1">IFERROR(__xludf.DUMMYFUNCTION("""COMPUTED_VALUE"""),"")</f>
        <v/>
      </c>
      <c r="M859" s="36" t="str">
        <f ca="1">IFERROR(__xludf.DUMMYFUNCTION("""COMPUTED_VALUE"""),"")</f>
        <v/>
      </c>
      <c r="N859" s="36" t="str">
        <f ca="1">IFERROR(__xludf.DUMMYFUNCTION("""COMPUTED_VALUE"""),"")</f>
        <v/>
      </c>
      <c r="O859" s="36" t="str">
        <f ca="1">IFERROR(__xludf.DUMMYFUNCTION("""COMPUTED_VALUE"""),"")</f>
        <v/>
      </c>
      <c r="P859" s="36" t="str">
        <f ca="1">IFERROR(__xludf.DUMMYFUNCTION("""COMPUTED_VALUE"""),"")</f>
        <v/>
      </c>
      <c r="Q859" s="36" t="str">
        <f ca="1">IFERROR(__xludf.DUMMYFUNCTION("""COMPUTED_VALUE"""),"")</f>
        <v/>
      </c>
      <c r="R859" s="36" t="str">
        <f ca="1">IFERROR(__xludf.DUMMYFUNCTION("""COMPUTED_VALUE"""),"")</f>
        <v/>
      </c>
      <c r="S859" s="36" t="str">
        <f ca="1">IFERROR(__xludf.DUMMYFUNCTION("""COMPUTED_VALUE"""),"")</f>
        <v/>
      </c>
      <c r="T859" s="36" t="str">
        <f ca="1">IFERROR(__xludf.DUMMYFUNCTION("""COMPUTED_VALUE"""),"")</f>
        <v/>
      </c>
      <c r="U859" s="36" t="str">
        <f ca="1">IFERROR(__xludf.DUMMYFUNCTION("""COMPUTED_VALUE"""),"")</f>
        <v/>
      </c>
      <c r="V859" s="36" t="str">
        <f ca="1">IFERROR(__xludf.DUMMYFUNCTION("""COMPUTED_VALUE"""),"")</f>
        <v/>
      </c>
      <c r="W859" s="36" t="str">
        <f ca="1">IFERROR(__xludf.DUMMYFUNCTION("""COMPUTED_VALUE"""),"")</f>
        <v/>
      </c>
      <c r="X859" s="36"/>
      <c r="Y859" s="36"/>
      <c r="Z859" s="36"/>
    </row>
    <row r="860" spans="1:26" ht="12.75" hidden="1">
      <c r="A860" s="36" t="str">
        <f ca="1">IFERROR(__xludf.DUMMYFUNCTION("""COMPUTED_VALUE"""),"")</f>
        <v/>
      </c>
      <c r="B860" s="36" t="str">
        <f ca="1">IFERROR(__xludf.DUMMYFUNCTION("""COMPUTED_VALUE"""),"")</f>
        <v/>
      </c>
      <c r="C860" s="36" t="str">
        <f ca="1">IFERROR(__xludf.DUMMYFUNCTION("""COMPUTED_VALUE"""),"")</f>
        <v/>
      </c>
      <c r="D860" s="36" t="str">
        <f ca="1">IFERROR(__xludf.DUMMYFUNCTION("""COMPUTED_VALUE"""),"")</f>
        <v/>
      </c>
      <c r="E860" s="36" t="str">
        <f ca="1">IFERROR(__xludf.DUMMYFUNCTION("""COMPUTED_VALUE"""),"")</f>
        <v/>
      </c>
      <c r="F860" s="36" t="str">
        <f ca="1">IFERROR(__xludf.DUMMYFUNCTION("""COMPUTED_VALUE"""),"")</f>
        <v/>
      </c>
      <c r="G860" s="36" t="str">
        <f ca="1">IFERROR(__xludf.DUMMYFUNCTION("""COMPUTED_VALUE"""),"")</f>
        <v/>
      </c>
      <c r="H860" s="36" t="str">
        <f ca="1">IFERROR(__xludf.DUMMYFUNCTION("""COMPUTED_VALUE"""),"")</f>
        <v/>
      </c>
      <c r="I860" s="36" t="str">
        <f ca="1">IFERROR(__xludf.DUMMYFUNCTION("""COMPUTED_VALUE"""),"")</f>
        <v/>
      </c>
      <c r="J860" s="36" t="str">
        <f ca="1">IFERROR(__xludf.DUMMYFUNCTION("""COMPUTED_VALUE"""),"")</f>
        <v/>
      </c>
      <c r="K860" s="36" t="str">
        <f ca="1">IFERROR(__xludf.DUMMYFUNCTION("""COMPUTED_VALUE"""),"")</f>
        <v/>
      </c>
      <c r="L860" s="36" t="str">
        <f ca="1">IFERROR(__xludf.DUMMYFUNCTION("""COMPUTED_VALUE"""),"")</f>
        <v/>
      </c>
      <c r="M860" s="36" t="str">
        <f ca="1">IFERROR(__xludf.DUMMYFUNCTION("""COMPUTED_VALUE"""),"")</f>
        <v/>
      </c>
      <c r="N860" s="36" t="str">
        <f ca="1">IFERROR(__xludf.DUMMYFUNCTION("""COMPUTED_VALUE"""),"")</f>
        <v/>
      </c>
      <c r="O860" s="36" t="str">
        <f ca="1">IFERROR(__xludf.DUMMYFUNCTION("""COMPUTED_VALUE"""),"")</f>
        <v/>
      </c>
      <c r="P860" s="36" t="str">
        <f ca="1">IFERROR(__xludf.DUMMYFUNCTION("""COMPUTED_VALUE"""),"")</f>
        <v/>
      </c>
      <c r="Q860" s="36" t="str">
        <f ca="1">IFERROR(__xludf.DUMMYFUNCTION("""COMPUTED_VALUE"""),"")</f>
        <v/>
      </c>
      <c r="R860" s="36" t="str">
        <f ca="1">IFERROR(__xludf.DUMMYFUNCTION("""COMPUTED_VALUE"""),"")</f>
        <v/>
      </c>
      <c r="S860" s="36" t="str">
        <f ca="1">IFERROR(__xludf.DUMMYFUNCTION("""COMPUTED_VALUE"""),"")</f>
        <v/>
      </c>
      <c r="T860" s="36" t="str">
        <f ca="1">IFERROR(__xludf.DUMMYFUNCTION("""COMPUTED_VALUE"""),"")</f>
        <v/>
      </c>
      <c r="U860" s="36" t="str">
        <f ca="1">IFERROR(__xludf.DUMMYFUNCTION("""COMPUTED_VALUE"""),"")</f>
        <v/>
      </c>
      <c r="V860" s="36" t="str">
        <f ca="1">IFERROR(__xludf.DUMMYFUNCTION("""COMPUTED_VALUE"""),"")</f>
        <v/>
      </c>
      <c r="W860" s="36" t="str">
        <f ca="1">IFERROR(__xludf.DUMMYFUNCTION("""COMPUTED_VALUE"""),"")</f>
        <v/>
      </c>
      <c r="X860" s="36"/>
      <c r="Y860" s="36"/>
      <c r="Z860" s="36"/>
    </row>
    <row r="861" spans="1:26" ht="12.75" hidden="1">
      <c r="A861" s="36" t="str">
        <f ca="1">IFERROR(__xludf.DUMMYFUNCTION("""COMPUTED_VALUE"""),"")</f>
        <v/>
      </c>
      <c r="B861" s="36" t="str">
        <f ca="1">IFERROR(__xludf.DUMMYFUNCTION("""COMPUTED_VALUE"""),"")</f>
        <v/>
      </c>
      <c r="C861" s="36" t="str">
        <f ca="1">IFERROR(__xludf.DUMMYFUNCTION("""COMPUTED_VALUE"""),"")</f>
        <v/>
      </c>
      <c r="D861" s="36" t="str">
        <f ca="1">IFERROR(__xludf.DUMMYFUNCTION("""COMPUTED_VALUE"""),"")</f>
        <v/>
      </c>
      <c r="E861" s="36" t="str">
        <f ca="1">IFERROR(__xludf.DUMMYFUNCTION("""COMPUTED_VALUE"""),"")</f>
        <v/>
      </c>
      <c r="F861" s="36" t="str">
        <f ca="1">IFERROR(__xludf.DUMMYFUNCTION("""COMPUTED_VALUE"""),"")</f>
        <v/>
      </c>
      <c r="G861" s="36" t="str">
        <f ca="1">IFERROR(__xludf.DUMMYFUNCTION("""COMPUTED_VALUE"""),"")</f>
        <v/>
      </c>
      <c r="H861" s="36" t="str">
        <f ca="1">IFERROR(__xludf.DUMMYFUNCTION("""COMPUTED_VALUE"""),"")</f>
        <v/>
      </c>
      <c r="I861" s="36" t="str">
        <f ca="1">IFERROR(__xludf.DUMMYFUNCTION("""COMPUTED_VALUE"""),"")</f>
        <v/>
      </c>
      <c r="J861" s="36" t="str">
        <f ca="1">IFERROR(__xludf.DUMMYFUNCTION("""COMPUTED_VALUE"""),"")</f>
        <v/>
      </c>
      <c r="K861" s="36" t="str">
        <f ca="1">IFERROR(__xludf.DUMMYFUNCTION("""COMPUTED_VALUE"""),"")</f>
        <v/>
      </c>
      <c r="L861" s="36" t="str">
        <f ca="1">IFERROR(__xludf.DUMMYFUNCTION("""COMPUTED_VALUE"""),"")</f>
        <v/>
      </c>
      <c r="M861" s="36" t="str">
        <f ca="1">IFERROR(__xludf.DUMMYFUNCTION("""COMPUTED_VALUE"""),"")</f>
        <v/>
      </c>
      <c r="N861" s="36" t="str">
        <f ca="1">IFERROR(__xludf.DUMMYFUNCTION("""COMPUTED_VALUE"""),"")</f>
        <v/>
      </c>
      <c r="O861" s="36" t="str">
        <f ca="1">IFERROR(__xludf.DUMMYFUNCTION("""COMPUTED_VALUE"""),"")</f>
        <v/>
      </c>
      <c r="P861" s="36" t="str">
        <f ca="1">IFERROR(__xludf.DUMMYFUNCTION("""COMPUTED_VALUE"""),"")</f>
        <v/>
      </c>
      <c r="Q861" s="36" t="str">
        <f ca="1">IFERROR(__xludf.DUMMYFUNCTION("""COMPUTED_VALUE"""),"")</f>
        <v/>
      </c>
      <c r="R861" s="36" t="str">
        <f ca="1">IFERROR(__xludf.DUMMYFUNCTION("""COMPUTED_VALUE"""),"")</f>
        <v/>
      </c>
      <c r="S861" s="36" t="str">
        <f ca="1">IFERROR(__xludf.DUMMYFUNCTION("""COMPUTED_VALUE"""),"")</f>
        <v/>
      </c>
      <c r="T861" s="36" t="str">
        <f ca="1">IFERROR(__xludf.DUMMYFUNCTION("""COMPUTED_VALUE"""),"")</f>
        <v/>
      </c>
      <c r="U861" s="36" t="str">
        <f ca="1">IFERROR(__xludf.DUMMYFUNCTION("""COMPUTED_VALUE"""),"")</f>
        <v/>
      </c>
      <c r="V861" s="36" t="str">
        <f ca="1">IFERROR(__xludf.DUMMYFUNCTION("""COMPUTED_VALUE"""),"")</f>
        <v/>
      </c>
      <c r="W861" s="36" t="str">
        <f ca="1">IFERROR(__xludf.DUMMYFUNCTION("""COMPUTED_VALUE"""),"")</f>
        <v/>
      </c>
      <c r="X861" s="36"/>
      <c r="Y861" s="36"/>
      <c r="Z861" s="36"/>
    </row>
    <row r="862" spans="1:26" ht="12.75" hidden="1">
      <c r="A862" s="36" t="str">
        <f ca="1">IFERROR(__xludf.DUMMYFUNCTION("""COMPUTED_VALUE"""),"")</f>
        <v/>
      </c>
      <c r="B862" s="36" t="str">
        <f ca="1">IFERROR(__xludf.DUMMYFUNCTION("""COMPUTED_VALUE"""),"")</f>
        <v/>
      </c>
      <c r="C862" s="36" t="str">
        <f ca="1">IFERROR(__xludf.DUMMYFUNCTION("""COMPUTED_VALUE"""),"")</f>
        <v/>
      </c>
      <c r="D862" s="36" t="str">
        <f ca="1">IFERROR(__xludf.DUMMYFUNCTION("""COMPUTED_VALUE"""),"")</f>
        <v/>
      </c>
      <c r="E862" s="36" t="str">
        <f ca="1">IFERROR(__xludf.DUMMYFUNCTION("""COMPUTED_VALUE"""),"")</f>
        <v/>
      </c>
      <c r="F862" s="36" t="str">
        <f ca="1">IFERROR(__xludf.DUMMYFUNCTION("""COMPUTED_VALUE"""),"")</f>
        <v/>
      </c>
      <c r="G862" s="36" t="str">
        <f ca="1">IFERROR(__xludf.DUMMYFUNCTION("""COMPUTED_VALUE"""),"")</f>
        <v/>
      </c>
      <c r="H862" s="36" t="str">
        <f ca="1">IFERROR(__xludf.DUMMYFUNCTION("""COMPUTED_VALUE"""),"")</f>
        <v/>
      </c>
      <c r="I862" s="36" t="str">
        <f ca="1">IFERROR(__xludf.DUMMYFUNCTION("""COMPUTED_VALUE"""),"")</f>
        <v/>
      </c>
      <c r="J862" s="36" t="str">
        <f ca="1">IFERROR(__xludf.DUMMYFUNCTION("""COMPUTED_VALUE"""),"")</f>
        <v/>
      </c>
      <c r="K862" s="36" t="str">
        <f ca="1">IFERROR(__xludf.DUMMYFUNCTION("""COMPUTED_VALUE"""),"")</f>
        <v/>
      </c>
      <c r="L862" s="36" t="str">
        <f ca="1">IFERROR(__xludf.DUMMYFUNCTION("""COMPUTED_VALUE"""),"")</f>
        <v/>
      </c>
      <c r="M862" s="36" t="str">
        <f ca="1">IFERROR(__xludf.DUMMYFUNCTION("""COMPUTED_VALUE"""),"")</f>
        <v/>
      </c>
      <c r="N862" s="36" t="str">
        <f ca="1">IFERROR(__xludf.DUMMYFUNCTION("""COMPUTED_VALUE"""),"")</f>
        <v/>
      </c>
      <c r="O862" s="36" t="str">
        <f ca="1">IFERROR(__xludf.DUMMYFUNCTION("""COMPUTED_VALUE"""),"")</f>
        <v/>
      </c>
      <c r="P862" s="36" t="str">
        <f ca="1">IFERROR(__xludf.DUMMYFUNCTION("""COMPUTED_VALUE"""),"")</f>
        <v/>
      </c>
      <c r="Q862" s="36" t="str">
        <f ca="1">IFERROR(__xludf.DUMMYFUNCTION("""COMPUTED_VALUE"""),"")</f>
        <v/>
      </c>
      <c r="R862" s="36" t="str">
        <f ca="1">IFERROR(__xludf.DUMMYFUNCTION("""COMPUTED_VALUE"""),"")</f>
        <v/>
      </c>
      <c r="S862" s="36" t="str">
        <f ca="1">IFERROR(__xludf.DUMMYFUNCTION("""COMPUTED_VALUE"""),"")</f>
        <v/>
      </c>
      <c r="T862" s="36" t="str">
        <f ca="1">IFERROR(__xludf.DUMMYFUNCTION("""COMPUTED_VALUE"""),"")</f>
        <v/>
      </c>
      <c r="U862" s="36" t="str">
        <f ca="1">IFERROR(__xludf.DUMMYFUNCTION("""COMPUTED_VALUE"""),"")</f>
        <v/>
      </c>
      <c r="V862" s="36" t="str">
        <f ca="1">IFERROR(__xludf.DUMMYFUNCTION("""COMPUTED_VALUE"""),"")</f>
        <v/>
      </c>
      <c r="W862" s="36" t="str">
        <f ca="1">IFERROR(__xludf.DUMMYFUNCTION("""COMPUTED_VALUE"""),"")</f>
        <v/>
      </c>
      <c r="X862" s="36"/>
      <c r="Y862" s="36"/>
      <c r="Z862" s="36"/>
    </row>
    <row r="863" spans="1:26" ht="12.75" hidden="1">
      <c r="A863" s="36" t="str">
        <f ca="1">IFERROR(__xludf.DUMMYFUNCTION("""COMPUTED_VALUE"""),"")</f>
        <v/>
      </c>
      <c r="B863" s="36" t="str">
        <f ca="1">IFERROR(__xludf.DUMMYFUNCTION("""COMPUTED_VALUE"""),"")</f>
        <v/>
      </c>
      <c r="C863" s="36" t="str">
        <f ca="1">IFERROR(__xludf.DUMMYFUNCTION("""COMPUTED_VALUE"""),"")</f>
        <v/>
      </c>
      <c r="D863" s="36" t="str">
        <f ca="1">IFERROR(__xludf.DUMMYFUNCTION("""COMPUTED_VALUE"""),"")</f>
        <v/>
      </c>
      <c r="E863" s="36" t="str">
        <f ca="1">IFERROR(__xludf.DUMMYFUNCTION("""COMPUTED_VALUE"""),"")</f>
        <v/>
      </c>
      <c r="F863" s="36" t="str">
        <f ca="1">IFERROR(__xludf.DUMMYFUNCTION("""COMPUTED_VALUE"""),"")</f>
        <v/>
      </c>
      <c r="G863" s="36" t="str">
        <f ca="1">IFERROR(__xludf.DUMMYFUNCTION("""COMPUTED_VALUE"""),"")</f>
        <v/>
      </c>
      <c r="H863" s="36" t="str">
        <f ca="1">IFERROR(__xludf.DUMMYFUNCTION("""COMPUTED_VALUE"""),"")</f>
        <v/>
      </c>
      <c r="I863" s="36" t="str">
        <f ca="1">IFERROR(__xludf.DUMMYFUNCTION("""COMPUTED_VALUE"""),"")</f>
        <v/>
      </c>
      <c r="J863" s="36" t="str">
        <f ca="1">IFERROR(__xludf.DUMMYFUNCTION("""COMPUTED_VALUE"""),"")</f>
        <v/>
      </c>
      <c r="K863" s="36" t="str">
        <f ca="1">IFERROR(__xludf.DUMMYFUNCTION("""COMPUTED_VALUE"""),"")</f>
        <v/>
      </c>
      <c r="L863" s="36" t="str">
        <f ca="1">IFERROR(__xludf.DUMMYFUNCTION("""COMPUTED_VALUE"""),"")</f>
        <v/>
      </c>
      <c r="M863" s="36" t="str">
        <f ca="1">IFERROR(__xludf.DUMMYFUNCTION("""COMPUTED_VALUE"""),"")</f>
        <v/>
      </c>
      <c r="N863" s="36" t="str">
        <f ca="1">IFERROR(__xludf.DUMMYFUNCTION("""COMPUTED_VALUE"""),"")</f>
        <v/>
      </c>
      <c r="O863" s="36" t="str">
        <f ca="1">IFERROR(__xludf.DUMMYFUNCTION("""COMPUTED_VALUE"""),"")</f>
        <v/>
      </c>
      <c r="P863" s="36" t="str">
        <f ca="1">IFERROR(__xludf.DUMMYFUNCTION("""COMPUTED_VALUE"""),"")</f>
        <v/>
      </c>
      <c r="Q863" s="36" t="str">
        <f ca="1">IFERROR(__xludf.DUMMYFUNCTION("""COMPUTED_VALUE"""),"")</f>
        <v/>
      </c>
      <c r="R863" s="36" t="str">
        <f ca="1">IFERROR(__xludf.DUMMYFUNCTION("""COMPUTED_VALUE"""),"")</f>
        <v/>
      </c>
      <c r="S863" s="36" t="str">
        <f ca="1">IFERROR(__xludf.DUMMYFUNCTION("""COMPUTED_VALUE"""),"")</f>
        <v/>
      </c>
      <c r="T863" s="36" t="str">
        <f ca="1">IFERROR(__xludf.DUMMYFUNCTION("""COMPUTED_VALUE"""),"")</f>
        <v/>
      </c>
      <c r="U863" s="36" t="str">
        <f ca="1">IFERROR(__xludf.DUMMYFUNCTION("""COMPUTED_VALUE"""),"")</f>
        <v/>
      </c>
      <c r="V863" s="36" t="str">
        <f ca="1">IFERROR(__xludf.DUMMYFUNCTION("""COMPUTED_VALUE"""),"")</f>
        <v/>
      </c>
      <c r="W863" s="36" t="str">
        <f ca="1">IFERROR(__xludf.DUMMYFUNCTION("""COMPUTED_VALUE"""),"")</f>
        <v/>
      </c>
      <c r="X863" s="36"/>
      <c r="Y863" s="36"/>
      <c r="Z863" s="36"/>
    </row>
    <row r="864" spans="1:26" ht="12.75" hidden="1">
      <c r="A864" s="36" t="str">
        <f ca="1">IFERROR(__xludf.DUMMYFUNCTION("""COMPUTED_VALUE"""),"")</f>
        <v/>
      </c>
      <c r="B864" s="36" t="str">
        <f ca="1">IFERROR(__xludf.DUMMYFUNCTION("""COMPUTED_VALUE"""),"")</f>
        <v/>
      </c>
      <c r="C864" s="36" t="str">
        <f ca="1">IFERROR(__xludf.DUMMYFUNCTION("""COMPUTED_VALUE"""),"")</f>
        <v/>
      </c>
      <c r="D864" s="36" t="str">
        <f ca="1">IFERROR(__xludf.DUMMYFUNCTION("""COMPUTED_VALUE"""),"")</f>
        <v/>
      </c>
      <c r="E864" s="36" t="str">
        <f ca="1">IFERROR(__xludf.DUMMYFUNCTION("""COMPUTED_VALUE"""),"")</f>
        <v/>
      </c>
      <c r="F864" s="36" t="str">
        <f ca="1">IFERROR(__xludf.DUMMYFUNCTION("""COMPUTED_VALUE"""),"")</f>
        <v/>
      </c>
      <c r="G864" s="36" t="str">
        <f ca="1">IFERROR(__xludf.DUMMYFUNCTION("""COMPUTED_VALUE"""),"")</f>
        <v/>
      </c>
      <c r="H864" s="36" t="str">
        <f ca="1">IFERROR(__xludf.DUMMYFUNCTION("""COMPUTED_VALUE"""),"")</f>
        <v/>
      </c>
      <c r="I864" s="36" t="str">
        <f ca="1">IFERROR(__xludf.DUMMYFUNCTION("""COMPUTED_VALUE"""),"")</f>
        <v/>
      </c>
      <c r="J864" s="36" t="str">
        <f ca="1">IFERROR(__xludf.DUMMYFUNCTION("""COMPUTED_VALUE"""),"")</f>
        <v/>
      </c>
      <c r="K864" s="36" t="str">
        <f ca="1">IFERROR(__xludf.DUMMYFUNCTION("""COMPUTED_VALUE"""),"")</f>
        <v/>
      </c>
      <c r="L864" s="36" t="str">
        <f ca="1">IFERROR(__xludf.DUMMYFUNCTION("""COMPUTED_VALUE"""),"")</f>
        <v/>
      </c>
      <c r="M864" s="36" t="str">
        <f ca="1">IFERROR(__xludf.DUMMYFUNCTION("""COMPUTED_VALUE"""),"")</f>
        <v/>
      </c>
      <c r="N864" s="36" t="str">
        <f ca="1">IFERROR(__xludf.DUMMYFUNCTION("""COMPUTED_VALUE"""),"")</f>
        <v/>
      </c>
      <c r="O864" s="36" t="str">
        <f ca="1">IFERROR(__xludf.DUMMYFUNCTION("""COMPUTED_VALUE"""),"")</f>
        <v/>
      </c>
      <c r="P864" s="36" t="str">
        <f ca="1">IFERROR(__xludf.DUMMYFUNCTION("""COMPUTED_VALUE"""),"")</f>
        <v/>
      </c>
      <c r="Q864" s="36" t="str">
        <f ca="1">IFERROR(__xludf.DUMMYFUNCTION("""COMPUTED_VALUE"""),"")</f>
        <v/>
      </c>
      <c r="R864" s="36" t="str">
        <f ca="1">IFERROR(__xludf.DUMMYFUNCTION("""COMPUTED_VALUE"""),"")</f>
        <v/>
      </c>
      <c r="S864" s="36" t="str">
        <f ca="1">IFERROR(__xludf.DUMMYFUNCTION("""COMPUTED_VALUE"""),"")</f>
        <v/>
      </c>
      <c r="T864" s="36" t="str">
        <f ca="1">IFERROR(__xludf.DUMMYFUNCTION("""COMPUTED_VALUE"""),"")</f>
        <v/>
      </c>
      <c r="U864" s="36" t="str">
        <f ca="1">IFERROR(__xludf.DUMMYFUNCTION("""COMPUTED_VALUE"""),"")</f>
        <v/>
      </c>
      <c r="V864" s="36" t="str">
        <f ca="1">IFERROR(__xludf.DUMMYFUNCTION("""COMPUTED_VALUE"""),"")</f>
        <v/>
      </c>
      <c r="W864" s="36" t="str">
        <f ca="1">IFERROR(__xludf.DUMMYFUNCTION("""COMPUTED_VALUE"""),"")</f>
        <v/>
      </c>
      <c r="X864" s="36"/>
      <c r="Y864" s="36"/>
      <c r="Z864" s="36"/>
    </row>
    <row r="865" spans="1:26" ht="12.75" hidden="1">
      <c r="A865" s="36" t="str">
        <f ca="1">IFERROR(__xludf.DUMMYFUNCTION("""COMPUTED_VALUE"""),"")</f>
        <v/>
      </c>
      <c r="B865" s="36" t="str">
        <f ca="1">IFERROR(__xludf.DUMMYFUNCTION("""COMPUTED_VALUE"""),"")</f>
        <v/>
      </c>
      <c r="C865" s="36" t="str">
        <f ca="1">IFERROR(__xludf.DUMMYFUNCTION("""COMPUTED_VALUE"""),"")</f>
        <v/>
      </c>
      <c r="D865" s="36" t="str">
        <f ca="1">IFERROR(__xludf.DUMMYFUNCTION("""COMPUTED_VALUE"""),"")</f>
        <v/>
      </c>
      <c r="E865" s="36" t="str">
        <f ca="1">IFERROR(__xludf.DUMMYFUNCTION("""COMPUTED_VALUE"""),"")</f>
        <v/>
      </c>
      <c r="F865" s="36" t="str">
        <f ca="1">IFERROR(__xludf.DUMMYFUNCTION("""COMPUTED_VALUE"""),"")</f>
        <v/>
      </c>
      <c r="G865" s="36" t="str">
        <f ca="1">IFERROR(__xludf.DUMMYFUNCTION("""COMPUTED_VALUE"""),"")</f>
        <v/>
      </c>
      <c r="H865" s="36" t="str">
        <f ca="1">IFERROR(__xludf.DUMMYFUNCTION("""COMPUTED_VALUE"""),"")</f>
        <v/>
      </c>
      <c r="I865" s="36" t="str">
        <f ca="1">IFERROR(__xludf.DUMMYFUNCTION("""COMPUTED_VALUE"""),"")</f>
        <v/>
      </c>
      <c r="J865" s="36" t="str">
        <f ca="1">IFERROR(__xludf.DUMMYFUNCTION("""COMPUTED_VALUE"""),"")</f>
        <v/>
      </c>
      <c r="K865" s="36" t="str">
        <f ca="1">IFERROR(__xludf.DUMMYFUNCTION("""COMPUTED_VALUE"""),"")</f>
        <v/>
      </c>
      <c r="L865" s="36" t="str">
        <f ca="1">IFERROR(__xludf.DUMMYFUNCTION("""COMPUTED_VALUE"""),"")</f>
        <v/>
      </c>
      <c r="M865" s="36" t="str">
        <f ca="1">IFERROR(__xludf.DUMMYFUNCTION("""COMPUTED_VALUE"""),"")</f>
        <v/>
      </c>
      <c r="N865" s="36" t="str">
        <f ca="1">IFERROR(__xludf.DUMMYFUNCTION("""COMPUTED_VALUE"""),"")</f>
        <v/>
      </c>
      <c r="O865" s="36" t="str">
        <f ca="1">IFERROR(__xludf.DUMMYFUNCTION("""COMPUTED_VALUE"""),"")</f>
        <v/>
      </c>
      <c r="P865" s="36" t="str">
        <f ca="1">IFERROR(__xludf.DUMMYFUNCTION("""COMPUTED_VALUE"""),"")</f>
        <v/>
      </c>
      <c r="Q865" s="36" t="str">
        <f ca="1">IFERROR(__xludf.DUMMYFUNCTION("""COMPUTED_VALUE"""),"")</f>
        <v/>
      </c>
      <c r="R865" s="36" t="str">
        <f ca="1">IFERROR(__xludf.DUMMYFUNCTION("""COMPUTED_VALUE"""),"")</f>
        <v/>
      </c>
      <c r="S865" s="36" t="str">
        <f ca="1">IFERROR(__xludf.DUMMYFUNCTION("""COMPUTED_VALUE"""),"")</f>
        <v/>
      </c>
      <c r="T865" s="36" t="str">
        <f ca="1">IFERROR(__xludf.DUMMYFUNCTION("""COMPUTED_VALUE"""),"")</f>
        <v/>
      </c>
      <c r="U865" s="36" t="str">
        <f ca="1">IFERROR(__xludf.DUMMYFUNCTION("""COMPUTED_VALUE"""),"")</f>
        <v/>
      </c>
      <c r="V865" s="36" t="str">
        <f ca="1">IFERROR(__xludf.DUMMYFUNCTION("""COMPUTED_VALUE"""),"")</f>
        <v/>
      </c>
      <c r="W865" s="36" t="str">
        <f ca="1">IFERROR(__xludf.DUMMYFUNCTION("""COMPUTED_VALUE"""),"")</f>
        <v/>
      </c>
      <c r="X865" s="36"/>
      <c r="Y865" s="36"/>
      <c r="Z865" s="36"/>
    </row>
    <row r="866" spans="1:26" ht="12.75" hidden="1">
      <c r="A866" s="36" t="str">
        <f ca="1">IFERROR(__xludf.DUMMYFUNCTION("""COMPUTED_VALUE"""),"")</f>
        <v/>
      </c>
      <c r="B866" s="36" t="str">
        <f ca="1">IFERROR(__xludf.DUMMYFUNCTION("""COMPUTED_VALUE"""),"")</f>
        <v/>
      </c>
      <c r="C866" s="36" t="str">
        <f ca="1">IFERROR(__xludf.DUMMYFUNCTION("""COMPUTED_VALUE"""),"")</f>
        <v/>
      </c>
      <c r="D866" s="36" t="str">
        <f ca="1">IFERROR(__xludf.DUMMYFUNCTION("""COMPUTED_VALUE"""),"")</f>
        <v/>
      </c>
      <c r="E866" s="36" t="str">
        <f ca="1">IFERROR(__xludf.DUMMYFUNCTION("""COMPUTED_VALUE"""),"")</f>
        <v/>
      </c>
      <c r="F866" s="36" t="str">
        <f ca="1">IFERROR(__xludf.DUMMYFUNCTION("""COMPUTED_VALUE"""),"")</f>
        <v/>
      </c>
      <c r="G866" s="36" t="str">
        <f ca="1">IFERROR(__xludf.DUMMYFUNCTION("""COMPUTED_VALUE"""),"")</f>
        <v/>
      </c>
      <c r="H866" s="36" t="str">
        <f ca="1">IFERROR(__xludf.DUMMYFUNCTION("""COMPUTED_VALUE"""),"")</f>
        <v/>
      </c>
      <c r="I866" s="36" t="str">
        <f ca="1">IFERROR(__xludf.DUMMYFUNCTION("""COMPUTED_VALUE"""),"")</f>
        <v/>
      </c>
      <c r="J866" s="36" t="str">
        <f ca="1">IFERROR(__xludf.DUMMYFUNCTION("""COMPUTED_VALUE"""),"")</f>
        <v/>
      </c>
      <c r="K866" s="36" t="str">
        <f ca="1">IFERROR(__xludf.DUMMYFUNCTION("""COMPUTED_VALUE"""),"")</f>
        <v/>
      </c>
      <c r="L866" s="36" t="str">
        <f ca="1">IFERROR(__xludf.DUMMYFUNCTION("""COMPUTED_VALUE"""),"")</f>
        <v/>
      </c>
      <c r="M866" s="36" t="str">
        <f ca="1">IFERROR(__xludf.DUMMYFUNCTION("""COMPUTED_VALUE"""),"")</f>
        <v/>
      </c>
      <c r="N866" s="36" t="str">
        <f ca="1">IFERROR(__xludf.DUMMYFUNCTION("""COMPUTED_VALUE"""),"")</f>
        <v/>
      </c>
      <c r="O866" s="36" t="str">
        <f ca="1">IFERROR(__xludf.DUMMYFUNCTION("""COMPUTED_VALUE"""),"")</f>
        <v/>
      </c>
      <c r="P866" s="36" t="str">
        <f ca="1">IFERROR(__xludf.DUMMYFUNCTION("""COMPUTED_VALUE"""),"")</f>
        <v/>
      </c>
      <c r="Q866" s="36" t="str">
        <f ca="1">IFERROR(__xludf.DUMMYFUNCTION("""COMPUTED_VALUE"""),"")</f>
        <v/>
      </c>
      <c r="R866" s="36" t="str">
        <f ca="1">IFERROR(__xludf.DUMMYFUNCTION("""COMPUTED_VALUE"""),"")</f>
        <v/>
      </c>
      <c r="S866" s="36" t="str">
        <f ca="1">IFERROR(__xludf.DUMMYFUNCTION("""COMPUTED_VALUE"""),"")</f>
        <v/>
      </c>
      <c r="T866" s="36" t="str">
        <f ca="1">IFERROR(__xludf.DUMMYFUNCTION("""COMPUTED_VALUE"""),"")</f>
        <v/>
      </c>
      <c r="U866" s="36" t="str">
        <f ca="1">IFERROR(__xludf.DUMMYFUNCTION("""COMPUTED_VALUE"""),"")</f>
        <v/>
      </c>
      <c r="V866" s="36" t="str">
        <f ca="1">IFERROR(__xludf.DUMMYFUNCTION("""COMPUTED_VALUE"""),"")</f>
        <v/>
      </c>
      <c r="W866" s="36" t="str">
        <f ca="1">IFERROR(__xludf.DUMMYFUNCTION("""COMPUTED_VALUE"""),"")</f>
        <v/>
      </c>
      <c r="X866" s="36"/>
      <c r="Y866" s="36"/>
      <c r="Z866" s="36"/>
    </row>
    <row r="867" spans="1:26" ht="12.75" hidden="1">
      <c r="A867" s="36" t="str">
        <f ca="1">IFERROR(__xludf.DUMMYFUNCTION("""COMPUTED_VALUE"""),"")</f>
        <v/>
      </c>
      <c r="B867" s="36" t="str">
        <f ca="1">IFERROR(__xludf.DUMMYFUNCTION("""COMPUTED_VALUE"""),"")</f>
        <v/>
      </c>
      <c r="C867" s="36" t="str">
        <f ca="1">IFERROR(__xludf.DUMMYFUNCTION("""COMPUTED_VALUE"""),"")</f>
        <v/>
      </c>
      <c r="D867" s="36" t="str">
        <f ca="1">IFERROR(__xludf.DUMMYFUNCTION("""COMPUTED_VALUE"""),"")</f>
        <v/>
      </c>
      <c r="E867" s="36" t="str">
        <f ca="1">IFERROR(__xludf.DUMMYFUNCTION("""COMPUTED_VALUE"""),"")</f>
        <v/>
      </c>
      <c r="F867" s="36" t="str">
        <f ca="1">IFERROR(__xludf.DUMMYFUNCTION("""COMPUTED_VALUE"""),"")</f>
        <v/>
      </c>
      <c r="G867" s="36" t="str">
        <f ca="1">IFERROR(__xludf.DUMMYFUNCTION("""COMPUTED_VALUE"""),"")</f>
        <v/>
      </c>
      <c r="H867" s="36" t="str">
        <f ca="1">IFERROR(__xludf.DUMMYFUNCTION("""COMPUTED_VALUE"""),"")</f>
        <v/>
      </c>
      <c r="I867" s="36" t="str">
        <f ca="1">IFERROR(__xludf.DUMMYFUNCTION("""COMPUTED_VALUE"""),"")</f>
        <v/>
      </c>
      <c r="J867" s="36" t="str">
        <f ca="1">IFERROR(__xludf.DUMMYFUNCTION("""COMPUTED_VALUE"""),"")</f>
        <v/>
      </c>
      <c r="K867" s="36" t="str">
        <f ca="1">IFERROR(__xludf.DUMMYFUNCTION("""COMPUTED_VALUE"""),"")</f>
        <v/>
      </c>
      <c r="L867" s="36" t="str">
        <f ca="1">IFERROR(__xludf.DUMMYFUNCTION("""COMPUTED_VALUE"""),"")</f>
        <v/>
      </c>
      <c r="M867" s="36" t="str">
        <f ca="1">IFERROR(__xludf.DUMMYFUNCTION("""COMPUTED_VALUE"""),"")</f>
        <v/>
      </c>
      <c r="N867" s="36" t="str">
        <f ca="1">IFERROR(__xludf.DUMMYFUNCTION("""COMPUTED_VALUE"""),"")</f>
        <v/>
      </c>
      <c r="O867" s="36" t="str">
        <f ca="1">IFERROR(__xludf.DUMMYFUNCTION("""COMPUTED_VALUE"""),"")</f>
        <v/>
      </c>
      <c r="P867" s="36" t="str">
        <f ca="1">IFERROR(__xludf.DUMMYFUNCTION("""COMPUTED_VALUE"""),"")</f>
        <v/>
      </c>
      <c r="Q867" s="36" t="str">
        <f ca="1">IFERROR(__xludf.DUMMYFUNCTION("""COMPUTED_VALUE"""),"")</f>
        <v/>
      </c>
      <c r="R867" s="36" t="str">
        <f ca="1">IFERROR(__xludf.DUMMYFUNCTION("""COMPUTED_VALUE"""),"")</f>
        <v/>
      </c>
      <c r="S867" s="36" t="str">
        <f ca="1">IFERROR(__xludf.DUMMYFUNCTION("""COMPUTED_VALUE"""),"")</f>
        <v/>
      </c>
      <c r="T867" s="36" t="str">
        <f ca="1">IFERROR(__xludf.DUMMYFUNCTION("""COMPUTED_VALUE"""),"")</f>
        <v/>
      </c>
      <c r="U867" s="36" t="str">
        <f ca="1">IFERROR(__xludf.DUMMYFUNCTION("""COMPUTED_VALUE"""),"")</f>
        <v/>
      </c>
      <c r="V867" s="36" t="str">
        <f ca="1">IFERROR(__xludf.DUMMYFUNCTION("""COMPUTED_VALUE"""),"")</f>
        <v/>
      </c>
      <c r="W867" s="36" t="str">
        <f ca="1">IFERROR(__xludf.DUMMYFUNCTION("""COMPUTED_VALUE"""),"")</f>
        <v/>
      </c>
      <c r="X867" s="36"/>
      <c r="Y867" s="36"/>
      <c r="Z867" s="36"/>
    </row>
    <row r="868" spans="1:26" ht="12.75" hidden="1">
      <c r="A868" s="36" t="str">
        <f ca="1">IFERROR(__xludf.DUMMYFUNCTION("""COMPUTED_VALUE"""),"")</f>
        <v/>
      </c>
      <c r="B868" s="36" t="str">
        <f ca="1">IFERROR(__xludf.DUMMYFUNCTION("""COMPUTED_VALUE"""),"")</f>
        <v/>
      </c>
      <c r="C868" s="36" t="str">
        <f ca="1">IFERROR(__xludf.DUMMYFUNCTION("""COMPUTED_VALUE"""),"")</f>
        <v/>
      </c>
      <c r="D868" s="36" t="str">
        <f ca="1">IFERROR(__xludf.DUMMYFUNCTION("""COMPUTED_VALUE"""),"")</f>
        <v/>
      </c>
      <c r="E868" s="36" t="str">
        <f ca="1">IFERROR(__xludf.DUMMYFUNCTION("""COMPUTED_VALUE"""),"")</f>
        <v/>
      </c>
      <c r="F868" s="36" t="str">
        <f ca="1">IFERROR(__xludf.DUMMYFUNCTION("""COMPUTED_VALUE"""),"")</f>
        <v/>
      </c>
      <c r="G868" s="36" t="str">
        <f ca="1">IFERROR(__xludf.DUMMYFUNCTION("""COMPUTED_VALUE"""),"")</f>
        <v/>
      </c>
      <c r="H868" s="36" t="str">
        <f ca="1">IFERROR(__xludf.DUMMYFUNCTION("""COMPUTED_VALUE"""),"")</f>
        <v/>
      </c>
      <c r="I868" s="36" t="str">
        <f ca="1">IFERROR(__xludf.DUMMYFUNCTION("""COMPUTED_VALUE"""),"")</f>
        <v/>
      </c>
      <c r="J868" s="36" t="str">
        <f ca="1">IFERROR(__xludf.DUMMYFUNCTION("""COMPUTED_VALUE"""),"")</f>
        <v/>
      </c>
      <c r="K868" s="36" t="str">
        <f ca="1">IFERROR(__xludf.DUMMYFUNCTION("""COMPUTED_VALUE"""),"")</f>
        <v/>
      </c>
      <c r="L868" s="36" t="str">
        <f ca="1">IFERROR(__xludf.DUMMYFUNCTION("""COMPUTED_VALUE"""),"")</f>
        <v/>
      </c>
      <c r="M868" s="36" t="str">
        <f ca="1">IFERROR(__xludf.DUMMYFUNCTION("""COMPUTED_VALUE"""),"")</f>
        <v/>
      </c>
      <c r="N868" s="36" t="str">
        <f ca="1">IFERROR(__xludf.DUMMYFUNCTION("""COMPUTED_VALUE"""),"")</f>
        <v/>
      </c>
      <c r="O868" s="36" t="str">
        <f ca="1">IFERROR(__xludf.DUMMYFUNCTION("""COMPUTED_VALUE"""),"")</f>
        <v/>
      </c>
      <c r="P868" s="36" t="str">
        <f ca="1">IFERROR(__xludf.DUMMYFUNCTION("""COMPUTED_VALUE"""),"")</f>
        <v/>
      </c>
      <c r="Q868" s="36" t="str">
        <f ca="1">IFERROR(__xludf.DUMMYFUNCTION("""COMPUTED_VALUE"""),"")</f>
        <v/>
      </c>
      <c r="R868" s="36" t="str">
        <f ca="1">IFERROR(__xludf.DUMMYFUNCTION("""COMPUTED_VALUE"""),"")</f>
        <v/>
      </c>
      <c r="S868" s="36" t="str">
        <f ca="1">IFERROR(__xludf.DUMMYFUNCTION("""COMPUTED_VALUE"""),"")</f>
        <v/>
      </c>
      <c r="T868" s="36" t="str">
        <f ca="1">IFERROR(__xludf.DUMMYFUNCTION("""COMPUTED_VALUE"""),"")</f>
        <v/>
      </c>
      <c r="U868" s="36" t="str">
        <f ca="1">IFERROR(__xludf.DUMMYFUNCTION("""COMPUTED_VALUE"""),"")</f>
        <v/>
      </c>
      <c r="V868" s="36" t="str">
        <f ca="1">IFERROR(__xludf.DUMMYFUNCTION("""COMPUTED_VALUE"""),"")</f>
        <v/>
      </c>
      <c r="W868" s="36" t="str">
        <f ca="1">IFERROR(__xludf.DUMMYFUNCTION("""COMPUTED_VALUE"""),"")</f>
        <v/>
      </c>
      <c r="X868" s="36"/>
      <c r="Y868" s="36"/>
      <c r="Z868" s="36"/>
    </row>
    <row r="869" spans="1:26" ht="12.75" hidden="1">
      <c r="A869" s="36" t="str">
        <f ca="1">IFERROR(__xludf.DUMMYFUNCTION("""COMPUTED_VALUE"""),"")</f>
        <v/>
      </c>
      <c r="B869" s="36" t="str">
        <f ca="1">IFERROR(__xludf.DUMMYFUNCTION("""COMPUTED_VALUE"""),"")</f>
        <v/>
      </c>
      <c r="C869" s="36" t="str">
        <f ca="1">IFERROR(__xludf.DUMMYFUNCTION("""COMPUTED_VALUE"""),"")</f>
        <v/>
      </c>
      <c r="D869" s="36" t="str">
        <f ca="1">IFERROR(__xludf.DUMMYFUNCTION("""COMPUTED_VALUE"""),"")</f>
        <v/>
      </c>
      <c r="E869" s="36" t="str">
        <f ca="1">IFERROR(__xludf.DUMMYFUNCTION("""COMPUTED_VALUE"""),"")</f>
        <v/>
      </c>
      <c r="F869" s="36" t="str">
        <f ca="1">IFERROR(__xludf.DUMMYFUNCTION("""COMPUTED_VALUE"""),"")</f>
        <v/>
      </c>
      <c r="G869" s="36" t="str">
        <f ca="1">IFERROR(__xludf.DUMMYFUNCTION("""COMPUTED_VALUE"""),"")</f>
        <v/>
      </c>
      <c r="H869" s="36" t="str">
        <f ca="1">IFERROR(__xludf.DUMMYFUNCTION("""COMPUTED_VALUE"""),"")</f>
        <v/>
      </c>
      <c r="I869" s="36" t="str">
        <f ca="1">IFERROR(__xludf.DUMMYFUNCTION("""COMPUTED_VALUE"""),"")</f>
        <v/>
      </c>
      <c r="J869" s="36" t="str">
        <f ca="1">IFERROR(__xludf.DUMMYFUNCTION("""COMPUTED_VALUE"""),"")</f>
        <v/>
      </c>
      <c r="K869" s="36" t="str">
        <f ca="1">IFERROR(__xludf.DUMMYFUNCTION("""COMPUTED_VALUE"""),"")</f>
        <v/>
      </c>
      <c r="L869" s="36" t="str">
        <f ca="1">IFERROR(__xludf.DUMMYFUNCTION("""COMPUTED_VALUE"""),"")</f>
        <v/>
      </c>
      <c r="M869" s="36" t="str">
        <f ca="1">IFERROR(__xludf.DUMMYFUNCTION("""COMPUTED_VALUE"""),"")</f>
        <v/>
      </c>
      <c r="N869" s="36" t="str">
        <f ca="1">IFERROR(__xludf.DUMMYFUNCTION("""COMPUTED_VALUE"""),"")</f>
        <v/>
      </c>
      <c r="O869" s="36" t="str">
        <f ca="1">IFERROR(__xludf.DUMMYFUNCTION("""COMPUTED_VALUE"""),"")</f>
        <v/>
      </c>
      <c r="P869" s="36" t="str">
        <f ca="1">IFERROR(__xludf.DUMMYFUNCTION("""COMPUTED_VALUE"""),"")</f>
        <v/>
      </c>
      <c r="Q869" s="36" t="str">
        <f ca="1">IFERROR(__xludf.DUMMYFUNCTION("""COMPUTED_VALUE"""),"")</f>
        <v/>
      </c>
      <c r="R869" s="36" t="str">
        <f ca="1">IFERROR(__xludf.DUMMYFUNCTION("""COMPUTED_VALUE"""),"")</f>
        <v/>
      </c>
      <c r="S869" s="36" t="str">
        <f ca="1">IFERROR(__xludf.DUMMYFUNCTION("""COMPUTED_VALUE"""),"")</f>
        <v/>
      </c>
      <c r="T869" s="36" t="str">
        <f ca="1">IFERROR(__xludf.DUMMYFUNCTION("""COMPUTED_VALUE"""),"")</f>
        <v/>
      </c>
      <c r="U869" s="36" t="str">
        <f ca="1">IFERROR(__xludf.DUMMYFUNCTION("""COMPUTED_VALUE"""),"")</f>
        <v/>
      </c>
      <c r="V869" s="36" t="str">
        <f ca="1">IFERROR(__xludf.DUMMYFUNCTION("""COMPUTED_VALUE"""),"")</f>
        <v/>
      </c>
      <c r="W869" s="36" t="str">
        <f ca="1">IFERROR(__xludf.DUMMYFUNCTION("""COMPUTED_VALUE"""),"")</f>
        <v/>
      </c>
      <c r="X869" s="36"/>
      <c r="Y869" s="36"/>
      <c r="Z869" s="36"/>
    </row>
    <row r="870" spans="1:26" ht="12.75" hidden="1">
      <c r="A870" s="36" t="str">
        <f ca="1">IFERROR(__xludf.DUMMYFUNCTION("""COMPUTED_VALUE"""),"")</f>
        <v/>
      </c>
      <c r="B870" s="36" t="str">
        <f ca="1">IFERROR(__xludf.DUMMYFUNCTION("""COMPUTED_VALUE"""),"")</f>
        <v/>
      </c>
      <c r="C870" s="36" t="str">
        <f ca="1">IFERROR(__xludf.DUMMYFUNCTION("""COMPUTED_VALUE"""),"")</f>
        <v/>
      </c>
      <c r="D870" s="36" t="str">
        <f ca="1">IFERROR(__xludf.DUMMYFUNCTION("""COMPUTED_VALUE"""),"")</f>
        <v/>
      </c>
      <c r="E870" s="36" t="str">
        <f ca="1">IFERROR(__xludf.DUMMYFUNCTION("""COMPUTED_VALUE"""),"")</f>
        <v/>
      </c>
      <c r="F870" s="36" t="str">
        <f ca="1">IFERROR(__xludf.DUMMYFUNCTION("""COMPUTED_VALUE"""),"")</f>
        <v/>
      </c>
      <c r="G870" s="36" t="str">
        <f ca="1">IFERROR(__xludf.DUMMYFUNCTION("""COMPUTED_VALUE"""),"")</f>
        <v/>
      </c>
      <c r="H870" s="36" t="str">
        <f ca="1">IFERROR(__xludf.DUMMYFUNCTION("""COMPUTED_VALUE"""),"")</f>
        <v/>
      </c>
      <c r="I870" s="36" t="str">
        <f ca="1">IFERROR(__xludf.DUMMYFUNCTION("""COMPUTED_VALUE"""),"")</f>
        <v/>
      </c>
      <c r="J870" s="36" t="str">
        <f ca="1">IFERROR(__xludf.DUMMYFUNCTION("""COMPUTED_VALUE"""),"")</f>
        <v/>
      </c>
      <c r="K870" s="36" t="str">
        <f ca="1">IFERROR(__xludf.DUMMYFUNCTION("""COMPUTED_VALUE"""),"")</f>
        <v/>
      </c>
      <c r="L870" s="36" t="str">
        <f ca="1">IFERROR(__xludf.DUMMYFUNCTION("""COMPUTED_VALUE"""),"")</f>
        <v/>
      </c>
      <c r="M870" s="36" t="str">
        <f ca="1">IFERROR(__xludf.DUMMYFUNCTION("""COMPUTED_VALUE"""),"")</f>
        <v/>
      </c>
      <c r="N870" s="36" t="str">
        <f ca="1">IFERROR(__xludf.DUMMYFUNCTION("""COMPUTED_VALUE"""),"")</f>
        <v/>
      </c>
      <c r="O870" s="36" t="str">
        <f ca="1">IFERROR(__xludf.DUMMYFUNCTION("""COMPUTED_VALUE"""),"")</f>
        <v/>
      </c>
      <c r="P870" s="36" t="str">
        <f ca="1">IFERROR(__xludf.DUMMYFUNCTION("""COMPUTED_VALUE"""),"")</f>
        <v/>
      </c>
      <c r="Q870" s="36" t="str">
        <f ca="1">IFERROR(__xludf.DUMMYFUNCTION("""COMPUTED_VALUE"""),"")</f>
        <v/>
      </c>
      <c r="R870" s="36" t="str">
        <f ca="1">IFERROR(__xludf.DUMMYFUNCTION("""COMPUTED_VALUE"""),"")</f>
        <v/>
      </c>
      <c r="S870" s="36" t="str">
        <f ca="1">IFERROR(__xludf.DUMMYFUNCTION("""COMPUTED_VALUE"""),"")</f>
        <v/>
      </c>
      <c r="T870" s="36" t="str">
        <f ca="1">IFERROR(__xludf.DUMMYFUNCTION("""COMPUTED_VALUE"""),"")</f>
        <v/>
      </c>
      <c r="U870" s="36" t="str">
        <f ca="1">IFERROR(__xludf.DUMMYFUNCTION("""COMPUTED_VALUE"""),"")</f>
        <v/>
      </c>
      <c r="V870" s="36" t="str">
        <f ca="1">IFERROR(__xludf.DUMMYFUNCTION("""COMPUTED_VALUE"""),"")</f>
        <v/>
      </c>
      <c r="W870" s="36" t="str">
        <f ca="1">IFERROR(__xludf.DUMMYFUNCTION("""COMPUTED_VALUE"""),"")</f>
        <v/>
      </c>
      <c r="X870" s="36"/>
      <c r="Y870" s="36"/>
      <c r="Z870" s="36"/>
    </row>
    <row r="871" spans="1:26" ht="12.75" hidden="1">
      <c r="A871" s="36" t="str">
        <f ca="1">IFERROR(__xludf.DUMMYFUNCTION("""COMPUTED_VALUE"""),"")</f>
        <v/>
      </c>
      <c r="B871" s="36" t="str">
        <f ca="1">IFERROR(__xludf.DUMMYFUNCTION("""COMPUTED_VALUE"""),"")</f>
        <v/>
      </c>
      <c r="C871" s="36" t="str">
        <f ca="1">IFERROR(__xludf.DUMMYFUNCTION("""COMPUTED_VALUE"""),"")</f>
        <v/>
      </c>
      <c r="D871" s="36" t="str">
        <f ca="1">IFERROR(__xludf.DUMMYFUNCTION("""COMPUTED_VALUE"""),"")</f>
        <v/>
      </c>
      <c r="E871" s="36" t="str">
        <f ca="1">IFERROR(__xludf.DUMMYFUNCTION("""COMPUTED_VALUE"""),"")</f>
        <v/>
      </c>
      <c r="F871" s="36" t="str">
        <f ca="1">IFERROR(__xludf.DUMMYFUNCTION("""COMPUTED_VALUE"""),"")</f>
        <v/>
      </c>
      <c r="G871" s="36" t="str">
        <f ca="1">IFERROR(__xludf.DUMMYFUNCTION("""COMPUTED_VALUE"""),"")</f>
        <v/>
      </c>
      <c r="H871" s="36" t="str">
        <f ca="1">IFERROR(__xludf.DUMMYFUNCTION("""COMPUTED_VALUE"""),"")</f>
        <v/>
      </c>
      <c r="I871" s="36" t="str">
        <f ca="1">IFERROR(__xludf.DUMMYFUNCTION("""COMPUTED_VALUE"""),"")</f>
        <v/>
      </c>
      <c r="J871" s="36" t="str">
        <f ca="1">IFERROR(__xludf.DUMMYFUNCTION("""COMPUTED_VALUE"""),"")</f>
        <v/>
      </c>
      <c r="K871" s="36" t="str">
        <f ca="1">IFERROR(__xludf.DUMMYFUNCTION("""COMPUTED_VALUE"""),"")</f>
        <v/>
      </c>
      <c r="L871" s="36" t="str">
        <f ca="1">IFERROR(__xludf.DUMMYFUNCTION("""COMPUTED_VALUE"""),"")</f>
        <v/>
      </c>
      <c r="M871" s="36" t="str">
        <f ca="1">IFERROR(__xludf.DUMMYFUNCTION("""COMPUTED_VALUE"""),"")</f>
        <v/>
      </c>
      <c r="N871" s="36" t="str">
        <f ca="1">IFERROR(__xludf.DUMMYFUNCTION("""COMPUTED_VALUE"""),"")</f>
        <v/>
      </c>
      <c r="O871" s="36" t="str">
        <f ca="1">IFERROR(__xludf.DUMMYFUNCTION("""COMPUTED_VALUE"""),"")</f>
        <v/>
      </c>
      <c r="P871" s="36" t="str">
        <f ca="1">IFERROR(__xludf.DUMMYFUNCTION("""COMPUTED_VALUE"""),"")</f>
        <v/>
      </c>
      <c r="Q871" s="36" t="str">
        <f ca="1">IFERROR(__xludf.DUMMYFUNCTION("""COMPUTED_VALUE"""),"")</f>
        <v/>
      </c>
      <c r="R871" s="36" t="str">
        <f ca="1">IFERROR(__xludf.DUMMYFUNCTION("""COMPUTED_VALUE"""),"")</f>
        <v/>
      </c>
      <c r="S871" s="36" t="str">
        <f ca="1">IFERROR(__xludf.DUMMYFUNCTION("""COMPUTED_VALUE"""),"")</f>
        <v/>
      </c>
      <c r="T871" s="36" t="str">
        <f ca="1">IFERROR(__xludf.DUMMYFUNCTION("""COMPUTED_VALUE"""),"")</f>
        <v/>
      </c>
      <c r="U871" s="36" t="str">
        <f ca="1">IFERROR(__xludf.DUMMYFUNCTION("""COMPUTED_VALUE"""),"")</f>
        <v/>
      </c>
      <c r="V871" s="36" t="str">
        <f ca="1">IFERROR(__xludf.DUMMYFUNCTION("""COMPUTED_VALUE"""),"")</f>
        <v/>
      </c>
      <c r="W871" s="36" t="str">
        <f ca="1">IFERROR(__xludf.DUMMYFUNCTION("""COMPUTED_VALUE"""),"")</f>
        <v/>
      </c>
      <c r="X871" s="36"/>
      <c r="Y871" s="36"/>
      <c r="Z871" s="36"/>
    </row>
    <row r="872" spans="1:26" ht="12.75" hidden="1">
      <c r="A872" s="36" t="str">
        <f ca="1">IFERROR(__xludf.DUMMYFUNCTION("""COMPUTED_VALUE"""),"")</f>
        <v/>
      </c>
      <c r="B872" s="36" t="str">
        <f ca="1">IFERROR(__xludf.DUMMYFUNCTION("""COMPUTED_VALUE"""),"")</f>
        <v/>
      </c>
      <c r="C872" s="36" t="str">
        <f ca="1">IFERROR(__xludf.DUMMYFUNCTION("""COMPUTED_VALUE"""),"")</f>
        <v/>
      </c>
      <c r="D872" s="36" t="str">
        <f ca="1">IFERROR(__xludf.DUMMYFUNCTION("""COMPUTED_VALUE"""),"")</f>
        <v/>
      </c>
      <c r="E872" s="36" t="str">
        <f ca="1">IFERROR(__xludf.DUMMYFUNCTION("""COMPUTED_VALUE"""),"")</f>
        <v/>
      </c>
      <c r="F872" s="36" t="str">
        <f ca="1">IFERROR(__xludf.DUMMYFUNCTION("""COMPUTED_VALUE"""),"")</f>
        <v/>
      </c>
      <c r="G872" s="36" t="str">
        <f ca="1">IFERROR(__xludf.DUMMYFUNCTION("""COMPUTED_VALUE"""),"")</f>
        <v/>
      </c>
      <c r="H872" s="36" t="str">
        <f ca="1">IFERROR(__xludf.DUMMYFUNCTION("""COMPUTED_VALUE"""),"")</f>
        <v/>
      </c>
      <c r="I872" s="36" t="str">
        <f ca="1">IFERROR(__xludf.DUMMYFUNCTION("""COMPUTED_VALUE"""),"")</f>
        <v/>
      </c>
      <c r="J872" s="36" t="str">
        <f ca="1">IFERROR(__xludf.DUMMYFUNCTION("""COMPUTED_VALUE"""),"")</f>
        <v/>
      </c>
      <c r="K872" s="36" t="str">
        <f ca="1">IFERROR(__xludf.DUMMYFUNCTION("""COMPUTED_VALUE"""),"")</f>
        <v/>
      </c>
      <c r="L872" s="36" t="str">
        <f ca="1">IFERROR(__xludf.DUMMYFUNCTION("""COMPUTED_VALUE"""),"")</f>
        <v/>
      </c>
      <c r="M872" s="36" t="str">
        <f ca="1">IFERROR(__xludf.DUMMYFUNCTION("""COMPUTED_VALUE"""),"")</f>
        <v/>
      </c>
      <c r="N872" s="36" t="str">
        <f ca="1">IFERROR(__xludf.DUMMYFUNCTION("""COMPUTED_VALUE"""),"")</f>
        <v/>
      </c>
      <c r="O872" s="36" t="str">
        <f ca="1">IFERROR(__xludf.DUMMYFUNCTION("""COMPUTED_VALUE"""),"")</f>
        <v/>
      </c>
      <c r="P872" s="36" t="str">
        <f ca="1">IFERROR(__xludf.DUMMYFUNCTION("""COMPUTED_VALUE"""),"")</f>
        <v/>
      </c>
      <c r="Q872" s="36" t="str">
        <f ca="1">IFERROR(__xludf.DUMMYFUNCTION("""COMPUTED_VALUE"""),"")</f>
        <v/>
      </c>
      <c r="R872" s="36" t="str">
        <f ca="1">IFERROR(__xludf.DUMMYFUNCTION("""COMPUTED_VALUE"""),"")</f>
        <v/>
      </c>
      <c r="S872" s="36" t="str">
        <f ca="1">IFERROR(__xludf.DUMMYFUNCTION("""COMPUTED_VALUE"""),"")</f>
        <v/>
      </c>
      <c r="T872" s="36" t="str">
        <f ca="1">IFERROR(__xludf.DUMMYFUNCTION("""COMPUTED_VALUE"""),"")</f>
        <v/>
      </c>
      <c r="U872" s="36" t="str">
        <f ca="1">IFERROR(__xludf.DUMMYFUNCTION("""COMPUTED_VALUE"""),"")</f>
        <v/>
      </c>
      <c r="V872" s="36" t="str">
        <f ca="1">IFERROR(__xludf.DUMMYFUNCTION("""COMPUTED_VALUE"""),"")</f>
        <v/>
      </c>
      <c r="W872" s="36" t="str">
        <f ca="1">IFERROR(__xludf.DUMMYFUNCTION("""COMPUTED_VALUE"""),"")</f>
        <v/>
      </c>
      <c r="X872" s="36"/>
      <c r="Y872" s="36"/>
      <c r="Z872" s="36"/>
    </row>
    <row r="873" spans="1:26" ht="12.75" hidden="1">
      <c r="A873" s="36" t="str">
        <f ca="1">IFERROR(__xludf.DUMMYFUNCTION("""COMPUTED_VALUE"""),"")</f>
        <v/>
      </c>
      <c r="B873" s="36" t="str">
        <f ca="1">IFERROR(__xludf.DUMMYFUNCTION("""COMPUTED_VALUE"""),"")</f>
        <v/>
      </c>
      <c r="C873" s="36" t="str">
        <f ca="1">IFERROR(__xludf.DUMMYFUNCTION("""COMPUTED_VALUE"""),"")</f>
        <v/>
      </c>
      <c r="D873" s="36" t="str">
        <f ca="1">IFERROR(__xludf.DUMMYFUNCTION("""COMPUTED_VALUE"""),"")</f>
        <v/>
      </c>
      <c r="E873" s="36" t="str">
        <f ca="1">IFERROR(__xludf.DUMMYFUNCTION("""COMPUTED_VALUE"""),"")</f>
        <v/>
      </c>
      <c r="F873" s="36" t="str">
        <f ca="1">IFERROR(__xludf.DUMMYFUNCTION("""COMPUTED_VALUE"""),"")</f>
        <v/>
      </c>
      <c r="G873" s="36" t="str">
        <f ca="1">IFERROR(__xludf.DUMMYFUNCTION("""COMPUTED_VALUE"""),"")</f>
        <v/>
      </c>
      <c r="H873" s="36" t="str">
        <f ca="1">IFERROR(__xludf.DUMMYFUNCTION("""COMPUTED_VALUE"""),"")</f>
        <v/>
      </c>
      <c r="I873" s="36" t="str">
        <f ca="1">IFERROR(__xludf.DUMMYFUNCTION("""COMPUTED_VALUE"""),"")</f>
        <v/>
      </c>
      <c r="J873" s="36" t="str">
        <f ca="1">IFERROR(__xludf.DUMMYFUNCTION("""COMPUTED_VALUE"""),"")</f>
        <v/>
      </c>
      <c r="K873" s="36" t="str">
        <f ca="1">IFERROR(__xludf.DUMMYFUNCTION("""COMPUTED_VALUE"""),"")</f>
        <v/>
      </c>
      <c r="L873" s="36" t="str">
        <f ca="1">IFERROR(__xludf.DUMMYFUNCTION("""COMPUTED_VALUE"""),"")</f>
        <v/>
      </c>
      <c r="M873" s="36" t="str">
        <f ca="1">IFERROR(__xludf.DUMMYFUNCTION("""COMPUTED_VALUE"""),"")</f>
        <v/>
      </c>
      <c r="N873" s="36" t="str">
        <f ca="1">IFERROR(__xludf.DUMMYFUNCTION("""COMPUTED_VALUE"""),"")</f>
        <v/>
      </c>
      <c r="O873" s="36" t="str">
        <f ca="1">IFERROR(__xludf.DUMMYFUNCTION("""COMPUTED_VALUE"""),"")</f>
        <v/>
      </c>
      <c r="P873" s="36" t="str">
        <f ca="1">IFERROR(__xludf.DUMMYFUNCTION("""COMPUTED_VALUE"""),"")</f>
        <v/>
      </c>
      <c r="Q873" s="36" t="str">
        <f ca="1">IFERROR(__xludf.DUMMYFUNCTION("""COMPUTED_VALUE"""),"")</f>
        <v/>
      </c>
      <c r="R873" s="36" t="str">
        <f ca="1">IFERROR(__xludf.DUMMYFUNCTION("""COMPUTED_VALUE"""),"")</f>
        <v/>
      </c>
      <c r="S873" s="36" t="str">
        <f ca="1">IFERROR(__xludf.DUMMYFUNCTION("""COMPUTED_VALUE"""),"")</f>
        <v/>
      </c>
      <c r="T873" s="36" t="str">
        <f ca="1">IFERROR(__xludf.DUMMYFUNCTION("""COMPUTED_VALUE"""),"")</f>
        <v/>
      </c>
      <c r="U873" s="36" t="str">
        <f ca="1">IFERROR(__xludf.DUMMYFUNCTION("""COMPUTED_VALUE"""),"")</f>
        <v/>
      </c>
      <c r="V873" s="36" t="str">
        <f ca="1">IFERROR(__xludf.DUMMYFUNCTION("""COMPUTED_VALUE"""),"")</f>
        <v/>
      </c>
      <c r="W873" s="36" t="str">
        <f ca="1">IFERROR(__xludf.DUMMYFUNCTION("""COMPUTED_VALUE"""),"")</f>
        <v/>
      </c>
      <c r="X873" s="36"/>
      <c r="Y873" s="36"/>
      <c r="Z873" s="36"/>
    </row>
    <row r="874" spans="1:26" ht="12.75" hidden="1">
      <c r="A874" s="36" t="str">
        <f ca="1">IFERROR(__xludf.DUMMYFUNCTION("""COMPUTED_VALUE"""),"")</f>
        <v/>
      </c>
      <c r="B874" s="36" t="str">
        <f ca="1">IFERROR(__xludf.DUMMYFUNCTION("""COMPUTED_VALUE"""),"")</f>
        <v/>
      </c>
      <c r="C874" s="36" t="str">
        <f ca="1">IFERROR(__xludf.DUMMYFUNCTION("""COMPUTED_VALUE"""),"")</f>
        <v/>
      </c>
      <c r="D874" s="36" t="str">
        <f ca="1">IFERROR(__xludf.DUMMYFUNCTION("""COMPUTED_VALUE"""),"")</f>
        <v/>
      </c>
      <c r="E874" s="36" t="str">
        <f ca="1">IFERROR(__xludf.DUMMYFUNCTION("""COMPUTED_VALUE"""),"")</f>
        <v/>
      </c>
      <c r="F874" s="36" t="str">
        <f ca="1">IFERROR(__xludf.DUMMYFUNCTION("""COMPUTED_VALUE"""),"")</f>
        <v/>
      </c>
      <c r="G874" s="36" t="str">
        <f ca="1">IFERROR(__xludf.DUMMYFUNCTION("""COMPUTED_VALUE"""),"")</f>
        <v/>
      </c>
      <c r="H874" s="36" t="str">
        <f ca="1">IFERROR(__xludf.DUMMYFUNCTION("""COMPUTED_VALUE"""),"")</f>
        <v/>
      </c>
      <c r="I874" s="36" t="str">
        <f ca="1">IFERROR(__xludf.DUMMYFUNCTION("""COMPUTED_VALUE"""),"")</f>
        <v/>
      </c>
      <c r="J874" s="36" t="str">
        <f ca="1">IFERROR(__xludf.DUMMYFUNCTION("""COMPUTED_VALUE"""),"")</f>
        <v/>
      </c>
      <c r="K874" s="36" t="str">
        <f ca="1">IFERROR(__xludf.DUMMYFUNCTION("""COMPUTED_VALUE"""),"")</f>
        <v/>
      </c>
      <c r="L874" s="36" t="str">
        <f ca="1">IFERROR(__xludf.DUMMYFUNCTION("""COMPUTED_VALUE"""),"")</f>
        <v/>
      </c>
      <c r="M874" s="36" t="str">
        <f ca="1">IFERROR(__xludf.DUMMYFUNCTION("""COMPUTED_VALUE"""),"")</f>
        <v/>
      </c>
      <c r="N874" s="36" t="str">
        <f ca="1">IFERROR(__xludf.DUMMYFUNCTION("""COMPUTED_VALUE"""),"")</f>
        <v/>
      </c>
      <c r="O874" s="36" t="str">
        <f ca="1">IFERROR(__xludf.DUMMYFUNCTION("""COMPUTED_VALUE"""),"")</f>
        <v/>
      </c>
      <c r="P874" s="36" t="str">
        <f ca="1">IFERROR(__xludf.DUMMYFUNCTION("""COMPUTED_VALUE"""),"")</f>
        <v/>
      </c>
      <c r="Q874" s="36" t="str">
        <f ca="1">IFERROR(__xludf.DUMMYFUNCTION("""COMPUTED_VALUE"""),"")</f>
        <v/>
      </c>
      <c r="R874" s="36" t="str">
        <f ca="1">IFERROR(__xludf.DUMMYFUNCTION("""COMPUTED_VALUE"""),"")</f>
        <v/>
      </c>
      <c r="S874" s="36" t="str">
        <f ca="1">IFERROR(__xludf.DUMMYFUNCTION("""COMPUTED_VALUE"""),"")</f>
        <v/>
      </c>
      <c r="T874" s="36" t="str">
        <f ca="1">IFERROR(__xludf.DUMMYFUNCTION("""COMPUTED_VALUE"""),"")</f>
        <v/>
      </c>
      <c r="U874" s="36" t="str">
        <f ca="1">IFERROR(__xludf.DUMMYFUNCTION("""COMPUTED_VALUE"""),"")</f>
        <v/>
      </c>
      <c r="V874" s="36" t="str">
        <f ca="1">IFERROR(__xludf.DUMMYFUNCTION("""COMPUTED_VALUE"""),"")</f>
        <v/>
      </c>
      <c r="W874" s="36" t="str">
        <f ca="1">IFERROR(__xludf.DUMMYFUNCTION("""COMPUTED_VALUE"""),"")</f>
        <v/>
      </c>
      <c r="X874" s="36"/>
      <c r="Y874" s="36"/>
      <c r="Z874" s="36"/>
    </row>
    <row r="875" spans="1:26" ht="12.75" hidden="1">
      <c r="A875" s="36" t="str">
        <f ca="1">IFERROR(__xludf.DUMMYFUNCTION("""COMPUTED_VALUE"""),"")</f>
        <v/>
      </c>
      <c r="B875" s="36" t="str">
        <f ca="1">IFERROR(__xludf.DUMMYFUNCTION("""COMPUTED_VALUE"""),"")</f>
        <v/>
      </c>
      <c r="C875" s="36" t="str">
        <f ca="1">IFERROR(__xludf.DUMMYFUNCTION("""COMPUTED_VALUE"""),"")</f>
        <v/>
      </c>
      <c r="D875" s="36" t="str">
        <f ca="1">IFERROR(__xludf.DUMMYFUNCTION("""COMPUTED_VALUE"""),"")</f>
        <v/>
      </c>
      <c r="E875" s="36" t="str">
        <f ca="1">IFERROR(__xludf.DUMMYFUNCTION("""COMPUTED_VALUE"""),"")</f>
        <v/>
      </c>
      <c r="F875" s="36" t="str">
        <f ca="1">IFERROR(__xludf.DUMMYFUNCTION("""COMPUTED_VALUE"""),"")</f>
        <v/>
      </c>
      <c r="G875" s="36" t="str">
        <f ca="1">IFERROR(__xludf.DUMMYFUNCTION("""COMPUTED_VALUE"""),"")</f>
        <v/>
      </c>
      <c r="H875" s="36" t="str">
        <f ca="1">IFERROR(__xludf.DUMMYFUNCTION("""COMPUTED_VALUE"""),"")</f>
        <v/>
      </c>
      <c r="I875" s="36" t="str">
        <f ca="1">IFERROR(__xludf.DUMMYFUNCTION("""COMPUTED_VALUE"""),"")</f>
        <v/>
      </c>
      <c r="J875" s="36" t="str">
        <f ca="1">IFERROR(__xludf.DUMMYFUNCTION("""COMPUTED_VALUE"""),"")</f>
        <v/>
      </c>
      <c r="K875" s="36" t="str">
        <f ca="1">IFERROR(__xludf.DUMMYFUNCTION("""COMPUTED_VALUE"""),"")</f>
        <v/>
      </c>
      <c r="L875" s="36" t="str">
        <f ca="1">IFERROR(__xludf.DUMMYFUNCTION("""COMPUTED_VALUE"""),"")</f>
        <v/>
      </c>
      <c r="M875" s="36" t="str">
        <f ca="1">IFERROR(__xludf.DUMMYFUNCTION("""COMPUTED_VALUE"""),"")</f>
        <v/>
      </c>
      <c r="N875" s="36" t="str">
        <f ca="1">IFERROR(__xludf.DUMMYFUNCTION("""COMPUTED_VALUE"""),"")</f>
        <v/>
      </c>
      <c r="O875" s="36" t="str">
        <f ca="1">IFERROR(__xludf.DUMMYFUNCTION("""COMPUTED_VALUE"""),"")</f>
        <v/>
      </c>
      <c r="P875" s="36" t="str">
        <f ca="1">IFERROR(__xludf.DUMMYFUNCTION("""COMPUTED_VALUE"""),"")</f>
        <v/>
      </c>
      <c r="Q875" s="36" t="str">
        <f ca="1">IFERROR(__xludf.DUMMYFUNCTION("""COMPUTED_VALUE"""),"")</f>
        <v/>
      </c>
      <c r="R875" s="36" t="str">
        <f ca="1">IFERROR(__xludf.DUMMYFUNCTION("""COMPUTED_VALUE"""),"")</f>
        <v/>
      </c>
      <c r="S875" s="36" t="str">
        <f ca="1">IFERROR(__xludf.DUMMYFUNCTION("""COMPUTED_VALUE"""),"")</f>
        <v/>
      </c>
      <c r="T875" s="36" t="str">
        <f ca="1">IFERROR(__xludf.DUMMYFUNCTION("""COMPUTED_VALUE"""),"")</f>
        <v/>
      </c>
      <c r="U875" s="36" t="str">
        <f ca="1">IFERROR(__xludf.DUMMYFUNCTION("""COMPUTED_VALUE"""),"")</f>
        <v/>
      </c>
      <c r="V875" s="36" t="str">
        <f ca="1">IFERROR(__xludf.DUMMYFUNCTION("""COMPUTED_VALUE"""),"")</f>
        <v/>
      </c>
      <c r="W875" s="36" t="str">
        <f ca="1">IFERROR(__xludf.DUMMYFUNCTION("""COMPUTED_VALUE"""),"")</f>
        <v/>
      </c>
      <c r="X875" s="36"/>
      <c r="Y875" s="36"/>
      <c r="Z875" s="36"/>
    </row>
    <row r="876" spans="1:26" ht="12.75" hidden="1">
      <c r="A876" s="36" t="str">
        <f ca="1">IFERROR(__xludf.DUMMYFUNCTION("""COMPUTED_VALUE"""),"")</f>
        <v/>
      </c>
      <c r="B876" s="36" t="str">
        <f ca="1">IFERROR(__xludf.DUMMYFUNCTION("""COMPUTED_VALUE"""),"")</f>
        <v/>
      </c>
      <c r="C876" s="36" t="str">
        <f ca="1">IFERROR(__xludf.DUMMYFUNCTION("""COMPUTED_VALUE"""),"")</f>
        <v/>
      </c>
      <c r="D876" s="36" t="str">
        <f ca="1">IFERROR(__xludf.DUMMYFUNCTION("""COMPUTED_VALUE"""),"")</f>
        <v/>
      </c>
      <c r="E876" s="36" t="str">
        <f ca="1">IFERROR(__xludf.DUMMYFUNCTION("""COMPUTED_VALUE"""),"")</f>
        <v/>
      </c>
      <c r="F876" s="36" t="str">
        <f ca="1">IFERROR(__xludf.DUMMYFUNCTION("""COMPUTED_VALUE"""),"")</f>
        <v/>
      </c>
      <c r="G876" s="36" t="str">
        <f ca="1">IFERROR(__xludf.DUMMYFUNCTION("""COMPUTED_VALUE"""),"")</f>
        <v/>
      </c>
      <c r="H876" s="36" t="str">
        <f ca="1">IFERROR(__xludf.DUMMYFUNCTION("""COMPUTED_VALUE"""),"")</f>
        <v/>
      </c>
      <c r="I876" s="36" t="str">
        <f ca="1">IFERROR(__xludf.DUMMYFUNCTION("""COMPUTED_VALUE"""),"")</f>
        <v/>
      </c>
      <c r="J876" s="36" t="str">
        <f ca="1">IFERROR(__xludf.DUMMYFUNCTION("""COMPUTED_VALUE"""),"")</f>
        <v/>
      </c>
      <c r="K876" s="36" t="str">
        <f ca="1">IFERROR(__xludf.DUMMYFUNCTION("""COMPUTED_VALUE"""),"")</f>
        <v/>
      </c>
      <c r="L876" s="36" t="str">
        <f ca="1">IFERROR(__xludf.DUMMYFUNCTION("""COMPUTED_VALUE"""),"")</f>
        <v/>
      </c>
      <c r="M876" s="36" t="str">
        <f ca="1">IFERROR(__xludf.DUMMYFUNCTION("""COMPUTED_VALUE"""),"")</f>
        <v/>
      </c>
      <c r="N876" s="36" t="str">
        <f ca="1">IFERROR(__xludf.DUMMYFUNCTION("""COMPUTED_VALUE"""),"")</f>
        <v/>
      </c>
      <c r="O876" s="36" t="str">
        <f ca="1">IFERROR(__xludf.DUMMYFUNCTION("""COMPUTED_VALUE"""),"")</f>
        <v/>
      </c>
      <c r="P876" s="36" t="str">
        <f ca="1">IFERROR(__xludf.DUMMYFUNCTION("""COMPUTED_VALUE"""),"")</f>
        <v/>
      </c>
      <c r="Q876" s="36" t="str">
        <f ca="1">IFERROR(__xludf.DUMMYFUNCTION("""COMPUTED_VALUE"""),"")</f>
        <v/>
      </c>
      <c r="R876" s="36" t="str">
        <f ca="1">IFERROR(__xludf.DUMMYFUNCTION("""COMPUTED_VALUE"""),"")</f>
        <v/>
      </c>
      <c r="S876" s="36" t="str">
        <f ca="1">IFERROR(__xludf.DUMMYFUNCTION("""COMPUTED_VALUE"""),"")</f>
        <v/>
      </c>
      <c r="T876" s="36" t="str">
        <f ca="1">IFERROR(__xludf.DUMMYFUNCTION("""COMPUTED_VALUE"""),"")</f>
        <v/>
      </c>
      <c r="U876" s="36" t="str">
        <f ca="1">IFERROR(__xludf.DUMMYFUNCTION("""COMPUTED_VALUE"""),"")</f>
        <v/>
      </c>
      <c r="V876" s="36" t="str">
        <f ca="1">IFERROR(__xludf.DUMMYFUNCTION("""COMPUTED_VALUE"""),"")</f>
        <v/>
      </c>
      <c r="W876" s="36" t="str">
        <f ca="1">IFERROR(__xludf.DUMMYFUNCTION("""COMPUTED_VALUE"""),"")</f>
        <v/>
      </c>
      <c r="X876" s="36"/>
      <c r="Y876" s="36"/>
      <c r="Z876" s="36"/>
    </row>
    <row r="877" spans="1:26" ht="12.75" hidden="1">
      <c r="A877" s="36" t="str">
        <f ca="1">IFERROR(__xludf.DUMMYFUNCTION("""COMPUTED_VALUE"""),"")</f>
        <v/>
      </c>
      <c r="B877" s="36" t="str">
        <f ca="1">IFERROR(__xludf.DUMMYFUNCTION("""COMPUTED_VALUE"""),"")</f>
        <v/>
      </c>
      <c r="C877" s="36" t="str">
        <f ca="1">IFERROR(__xludf.DUMMYFUNCTION("""COMPUTED_VALUE"""),"")</f>
        <v/>
      </c>
      <c r="D877" s="36" t="str">
        <f ca="1">IFERROR(__xludf.DUMMYFUNCTION("""COMPUTED_VALUE"""),"")</f>
        <v/>
      </c>
      <c r="E877" s="36" t="str">
        <f ca="1">IFERROR(__xludf.DUMMYFUNCTION("""COMPUTED_VALUE"""),"")</f>
        <v/>
      </c>
      <c r="F877" s="36" t="str">
        <f ca="1">IFERROR(__xludf.DUMMYFUNCTION("""COMPUTED_VALUE"""),"")</f>
        <v/>
      </c>
      <c r="G877" s="36" t="str">
        <f ca="1">IFERROR(__xludf.DUMMYFUNCTION("""COMPUTED_VALUE"""),"")</f>
        <v/>
      </c>
      <c r="H877" s="36" t="str">
        <f ca="1">IFERROR(__xludf.DUMMYFUNCTION("""COMPUTED_VALUE"""),"")</f>
        <v/>
      </c>
      <c r="I877" s="36" t="str">
        <f ca="1">IFERROR(__xludf.DUMMYFUNCTION("""COMPUTED_VALUE"""),"")</f>
        <v/>
      </c>
      <c r="J877" s="36" t="str">
        <f ca="1">IFERROR(__xludf.DUMMYFUNCTION("""COMPUTED_VALUE"""),"")</f>
        <v/>
      </c>
      <c r="K877" s="36" t="str">
        <f ca="1">IFERROR(__xludf.DUMMYFUNCTION("""COMPUTED_VALUE"""),"")</f>
        <v/>
      </c>
      <c r="L877" s="36" t="str">
        <f ca="1">IFERROR(__xludf.DUMMYFUNCTION("""COMPUTED_VALUE"""),"")</f>
        <v/>
      </c>
      <c r="M877" s="36" t="str">
        <f ca="1">IFERROR(__xludf.DUMMYFUNCTION("""COMPUTED_VALUE"""),"")</f>
        <v/>
      </c>
      <c r="N877" s="36" t="str">
        <f ca="1">IFERROR(__xludf.DUMMYFUNCTION("""COMPUTED_VALUE"""),"")</f>
        <v/>
      </c>
      <c r="O877" s="36" t="str">
        <f ca="1">IFERROR(__xludf.DUMMYFUNCTION("""COMPUTED_VALUE"""),"")</f>
        <v/>
      </c>
      <c r="P877" s="36" t="str">
        <f ca="1">IFERROR(__xludf.DUMMYFUNCTION("""COMPUTED_VALUE"""),"")</f>
        <v/>
      </c>
      <c r="Q877" s="36" t="str">
        <f ca="1">IFERROR(__xludf.DUMMYFUNCTION("""COMPUTED_VALUE"""),"")</f>
        <v/>
      </c>
      <c r="R877" s="36" t="str">
        <f ca="1">IFERROR(__xludf.DUMMYFUNCTION("""COMPUTED_VALUE"""),"")</f>
        <v/>
      </c>
      <c r="S877" s="36" t="str">
        <f ca="1">IFERROR(__xludf.DUMMYFUNCTION("""COMPUTED_VALUE"""),"")</f>
        <v/>
      </c>
      <c r="T877" s="36" t="str">
        <f ca="1">IFERROR(__xludf.DUMMYFUNCTION("""COMPUTED_VALUE"""),"")</f>
        <v/>
      </c>
      <c r="U877" s="36" t="str">
        <f ca="1">IFERROR(__xludf.DUMMYFUNCTION("""COMPUTED_VALUE"""),"")</f>
        <v/>
      </c>
      <c r="V877" s="36" t="str">
        <f ca="1">IFERROR(__xludf.DUMMYFUNCTION("""COMPUTED_VALUE"""),"")</f>
        <v/>
      </c>
      <c r="W877" s="36" t="str">
        <f ca="1">IFERROR(__xludf.DUMMYFUNCTION("""COMPUTED_VALUE"""),"")</f>
        <v/>
      </c>
      <c r="X877" s="36"/>
      <c r="Y877" s="36"/>
      <c r="Z877" s="36"/>
    </row>
    <row r="878" spans="1:26" ht="12.75" hidden="1">
      <c r="A878" s="36" t="str">
        <f ca="1">IFERROR(__xludf.DUMMYFUNCTION("""COMPUTED_VALUE"""),"")</f>
        <v/>
      </c>
      <c r="B878" s="36" t="str">
        <f ca="1">IFERROR(__xludf.DUMMYFUNCTION("""COMPUTED_VALUE"""),"")</f>
        <v/>
      </c>
      <c r="C878" s="36" t="str">
        <f ca="1">IFERROR(__xludf.DUMMYFUNCTION("""COMPUTED_VALUE"""),"")</f>
        <v/>
      </c>
      <c r="D878" s="36" t="str">
        <f ca="1">IFERROR(__xludf.DUMMYFUNCTION("""COMPUTED_VALUE"""),"")</f>
        <v/>
      </c>
      <c r="E878" s="36" t="str">
        <f ca="1">IFERROR(__xludf.DUMMYFUNCTION("""COMPUTED_VALUE"""),"")</f>
        <v/>
      </c>
      <c r="F878" s="36" t="str">
        <f ca="1">IFERROR(__xludf.DUMMYFUNCTION("""COMPUTED_VALUE"""),"")</f>
        <v/>
      </c>
      <c r="G878" s="36" t="str">
        <f ca="1">IFERROR(__xludf.DUMMYFUNCTION("""COMPUTED_VALUE"""),"")</f>
        <v/>
      </c>
      <c r="H878" s="36" t="str">
        <f ca="1">IFERROR(__xludf.DUMMYFUNCTION("""COMPUTED_VALUE"""),"")</f>
        <v/>
      </c>
      <c r="I878" s="36" t="str">
        <f ca="1">IFERROR(__xludf.DUMMYFUNCTION("""COMPUTED_VALUE"""),"")</f>
        <v/>
      </c>
      <c r="J878" s="36" t="str">
        <f ca="1">IFERROR(__xludf.DUMMYFUNCTION("""COMPUTED_VALUE"""),"")</f>
        <v/>
      </c>
      <c r="K878" s="36" t="str">
        <f ca="1">IFERROR(__xludf.DUMMYFUNCTION("""COMPUTED_VALUE"""),"")</f>
        <v/>
      </c>
      <c r="L878" s="36" t="str">
        <f ca="1">IFERROR(__xludf.DUMMYFUNCTION("""COMPUTED_VALUE"""),"")</f>
        <v/>
      </c>
      <c r="M878" s="36" t="str">
        <f ca="1">IFERROR(__xludf.DUMMYFUNCTION("""COMPUTED_VALUE"""),"")</f>
        <v/>
      </c>
      <c r="N878" s="36" t="str">
        <f ca="1">IFERROR(__xludf.DUMMYFUNCTION("""COMPUTED_VALUE"""),"")</f>
        <v/>
      </c>
      <c r="O878" s="36" t="str">
        <f ca="1">IFERROR(__xludf.DUMMYFUNCTION("""COMPUTED_VALUE"""),"")</f>
        <v/>
      </c>
      <c r="P878" s="36" t="str">
        <f ca="1">IFERROR(__xludf.DUMMYFUNCTION("""COMPUTED_VALUE"""),"")</f>
        <v/>
      </c>
      <c r="Q878" s="36" t="str">
        <f ca="1">IFERROR(__xludf.DUMMYFUNCTION("""COMPUTED_VALUE"""),"")</f>
        <v/>
      </c>
      <c r="R878" s="36" t="str">
        <f ca="1">IFERROR(__xludf.DUMMYFUNCTION("""COMPUTED_VALUE"""),"")</f>
        <v/>
      </c>
      <c r="S878" s="36" t="str">
        <f ca="1">IFERROR(__xludf.DUMMYFUNCTION("""COMPUTED_VALUE"""),"")</f>
        <v/>
      </c>
      <c r="T878" s="36" t="str">
        <f ca="1">IFERROR(__xludf.DUMMYFUNCTION("""COMPUTED_VALUE"""),"")</f>
        <v/>
      </c>
      <c r="U878" s="36" t="str">
        <f ca="1">IFERROR(__xludf.DUMMYFUNCTION("""COMPUTED_VALUE"""),"")</f>
        <v/>
      </c>
      <c r="V878" s="36" t="str">
        <f ca="1">IFERROR(__xludf.DUMMYFUNCTION("""COMPUTED_VALUE"""),"")</f>
        <v/>
      </c>
      <c r="W878" s="36" t="str">
        <f ca="1">IFERROR(__xludf.DUMMYFUNCTION("""COMPUTED_VALUE"""),"")</f>
        <v/>
      </c>
      <c r="X878" s="36"/>
      <c r="Y878" s="36"/>
      <c r="Z878" s="36"/>
    </row>
    <row r="879" spans="1:26" ht="12.75" hidden="1">
      <c r="A879" s="36" t="str">
        <f ca="1">IFERROR(__xludf.DUMMYFUNCTION("""COMPUTED_VALUE"""),"")</f>
        <v/>
      </c>
      <c r="B879" s="36" t="str">
        <f ca="1">IFERROR(__xludf.DUMMYFUNCTION("""COMPUTED_VALUE"""),"")</f>
        <v/>
      </c>
      <c r="C879" s="36" t="str">
        <f ca="1">IFERROR(__xludf.DUMMYFUNCTION("""COMPUTED_VALUE"""),"")</f>
        <v/>
      </c>
      <c r="D879" s="36" t="str">
        <f ca="1">IFERROR(__xludf.DUMMYFUNCTION("""COMPUTED_VALUE"""),"")</f>
        <v/>
      </c>
      <c r="E879" s="36" t="str">
        <f ca="1">IFERROR(__xludf.DUMMYFUNCTION("""COMPUTED_VALUE"""),"")</f>
        <v/>
      </c>
      <c r="F879" s="36" t="str">
        <f ca="1">IFERROR(__xludf.DUMMYFUNCTION("""COMPUTED_VALUE"""),"")</f>
        <v/>
      </c>
      <c r="G879" s="36" t="str">
        <f ca="1">IFERROR(__xludf.DUMMYFUNCTION("""COMPUTED_VALUE"""),"")</f>
        <v/>
      </c>
      <c r="H879" s="36" t="str">
        <f ca="1">IFERROR(__xludf.DUMMYFUNCTION("""COMPUTED_VALUE"""),"")</f>
        <v/>
      </c>
      <c r="I879" s="36" t="str">
        <f ca="1">IFERROR(__xludf.DUMMYFUNCTION("""COMPUTED_VALUE"""),"")</f>
        <v/>
      </c>
      <c r="J879" s="36" t="str">
        <f ca="1">IFERROR(__xludf.DUMMYFUNCTION("""COMPUTED_VALUE"""),"")</f>
        <v/>
      </c>
      <c r="K879" s="36" t="str">
        <f ca="1">IFERROR(__xludf.DUMMYFUNCTION("""COMPUTED_VALUE"""),"")</f>
        <v/>
      </c>
      <c r="L879" s="36" t="str">
        <f ca="1">IFERROR(__xludf.DUMMYFUNCTION("""COMPUTED_VALUE"""),"")</f>
        <v/>
      </c>
      <c r="M879" s="36" t="str">
        <f ca="1">IFERROR(__xludf.DUMMYFUNCTION("""COMPUTED_VALUE"""),"")</f>
        <v/>
      </c>
      <c r="N879" s="36" t="str">
        <f ca="1">IFERROR(__xludf.DUMMYFUNCTION("""COMPUTED_VALUE"""),"")</f>
        <v/>
      </c>
      <c r="O879" s="36" t="str">
        <f ca="1">IFERROR(__xludf.DUMMYFUNCTION("""COMPUTED_VALUE"""),"")</f>
        <v/>
      </c>
      <c r="P879" s="36" t="str">
        <f ca="1">IFERROR(__xludf.DUMMYFUNCTION("""COMPUTED_VALUE"""),"")</f>
        <v/>
      </c>
      <c r="Q879" s="36" t="str">
        <f ca="1">IFERROR(__xludf.DUMMYFUNCTION("""COMPUTED_VALUE"""),"")</f>
        <v/>
      </c>
      <c r="R879" s="36" t="str">
        <f ca="1">IFERROR(__xludf.DUMMYFUNCTION("""COMPUTED_VALUE"""),"")</f>
        <v/>
      </c>
      <c r="S879" s="36" t="str">
        <f ca="1">IFERROR(__xludf.DUMMYFUNCTION("""COMPUTED_VALUE"""),"")</f>
        <v/>
      </c>
      <c r="T879" s="36" t="str">
        <f ca="1">IFERROR(__xludf.DUMMYFUNCTION("""COMPUTED_VALUE"""),"")</f>
        <v/>
      </c>
      <c r="U879" s="36" t="str">
        <f ca="1">IFERROR(__xludf.DUMMYFUNCTION("""COMPUTED_VALUE"""),"")</f>
        <v/>
      </c>
      <c r="V879" s="36" t="str">
        <f ca="1">IFERROR(__xludf.DUMMYFUNCTION("""COMPUTED_VALUE"""),"")</f>
        <v/>
      </c>
      <c r="W879" s="36" t="str">
        <f ca="1">IFERROR(__xludf.DUMMYFUNCTION("""COMPUTED_VALUE"""),"")</f>
        <v/>
      </c>
      <c r="X879" s="36"/>
      <c r="Y879" s="36"/>
      <c r="Z879" s="36"/>
    </row>
    <row r="880" spans="1:26" ht="12.75" hidden="1">
      <c r="A880" s="36" t="str">
        <f ca="1">IFERROR(__xludf.DUMMYFUNCTION("""COMPUTED_VALUE"""),"")</f>
        <v/>
      </c>
      <c r="B880" s="36" t="str">
        <f ca="1">IFERROR(__xludf.DUMMYFUNCTION("""COMPUTED_VALUE"""),"")</f>
        <v/>
      </c>
      <c r="C880" s="36" t="str">
        <f ca="1">IFERROR(__xludf.DUMMYFUNCTION("""COMPUTED_VALUE"""),"")</f>
        <v/>
      </c>
      <c r="D880" s="36" t="str">
        <f ca="1">IFERROR(__xludf.DUMMYFUNCTION("""COMPUTED_VALUE"""),"")</f>
        <v/>
      </c>
      <c r="E880" s="36" t="str">
        <f ca="1">IFERROR(__xludf.DUMMYFUNCTION("""COMPUTED_VALUE"""),"")</f>
        <v/>
      </c>
      <c r="F880" s="36" t="str">
        <f ca="1">IFERROR(__xludf.DUMMYFUNCTION("""COMPUTED_VALUE"""),"")</f>
        <v/>
      </c>
      <c r="G880" s="36" t="str">
        <f ca="1">IFERROR(__xludf.DUMMYFUNCTION("""COMPUTED_VALUE"""),"")</f>
        <v/>
      </c>
      <c r="H880" s="36" t="str">
        <f ca="1">IFERROR(__xludf.DUMMYFUNCTION("""COMPUTED_VALUE"""),"")</f>
        <v/>
      </c>
      <c r="I880" s="36" t="str">
        <f ca="1">IFERROR(__xludf.DUMMYFUNCTION("""COMPUTED_VALUE"""),"")</f>
        <v/>
      </c>
      <c r="J880" s="36" t="str">
        <f ca="1">IFERROR(__xludf.DUMMYFUNCTION("""COMPUTED_VALUE"""),"")</f>
        <v/>
      </c>
      <c r="K880" s="36" t="str">
        <f ca="1">IFERROR(__xludf.DUMMYFUNCTION("""COMPUTED_VALUE"""),"")</f>
        <v/>
      </c>
      <c r="L880" s="36" t="str">
        <f ca="1">IFERROR(__xludf.DUMMYFUNCTION("""COMPUTED_VALUE"""),"")</f>
        <v/>
      </c>
      <c r="M880" s="36" t="str">
        <f ca="1">IFERROR(__xludf.DUMMYFUNCTION("""COMPUTED_VALUE"""),"")</f>
        <v/>
      </c>
      <c r="N880" s="36" t="str">
        <f ca="1">IFERROR(__xludf.DUMMYFUNCTION("""COMPUTED_VALUE"""),"")</f>
        <v/>
      </c>
      <c r="O880" s="36" t="str">
        <f ca="1">IFERROR(__xludf.DUMMYFUNCTION("""COMPUTED_VALUE"""),"")</f>
        <v/>
      </c>
      <c r="P880" s="36" t="str">
        <f ca="1">IFERROR(__xludf.DUMMYFUNCTION("""COMPUTED_VALUE"""),"")</f>
        <v/>
      </c>
      <c r="Q880" s="36" t="str">
        <f ca="1">IFERROR(__xludf.DUMMYFUNCTION("""COMPUTED_VALUE"""),"")</f>
        <v/>
      </c>
      <c r="R880" s="36" t="str">
        <f ca="1">IFERROR(__xludf.DUMMYFUNCTION("""COMPUTED_VALUE"""),"")</f>
        <v/>
      </c>
      <c r="S880" s="36" t="str">
        <f ca="1">IFERROR(__xludf.DUMMYFUNCTION("""COMPUTED_VALUE"""),"")</f>
        <v/>
      </c>
      <c r="T880" s="36" t="str">
        <f ca="1">IFERROR(__xludf.DUMMYFUNCTION("""COMPUTED_VALUE"""),"")</f>
        <v/>
      </c>
      <c r="U880" s="36" t="str">
        <f ca="1">IFERROR(__xludf.DUMMYFUNCTION("""COMPUTED_VALUE"""),"")</f>
        <v/>
      </c>
      <c r="V880" s="36" t="str">
        <f ca="1">IFERROR(__xludf.DUMMYFUNCTION("""COMPUTED_VALUE"""),"")</f>
        <v/>
      </c>
      <c r="W880" s="36" t="str">
        <f ca="1">IFERROR(__xludf.DUMMYFUNCTION("""COMPUTED_VALUE"""),"")</f>
        <v/>
      </c>
      <c r="X880" s="36"/>
      <c r="Y880" s="36"/>
      <c r="Z880" s="36"/>
    </row>
    <row r="881" spans="1:26" ht="12.75" hidden="1">
      <c r="A881" s="36" t="str">
        <f ca="1">IFERROR(__xludf.DUMMYFUNCTION("""COMPUTED_VALUE"""),"")</f>
        <v/>
      </c>
      <c r="B881" s="36" t="str">
        <f ca="1">IFERROR(__xludf.DUMMYFUNCTION("""COMPUTED_VALUE"""),"")</f>
        <v/>
      </c>
      <c r="C881" s="36" t="str">
        <f ca="1">IFERROR(__xludf.DUMMYFUNCTION("""COMPUTED_VALUE"""),"")</f>
        <v/>
      </c>
      <c r="D881" s="36" t="str">
        <f ca="1">IFERROR(__xludf.DUMMYFUNCTION("""COMPUTED_VALUE"""),"")</f>
        <v/>
      </c>
      <c r="E881" s="36" t="str">
        <f ca="1">IFERROR(__xludf.DUMMYFUNCTION("""COMPUTED_VALUE"""),"")</f>
        <v/>
      </c>
      <c r="F881" s="36" t="str">
        <f ca="1">IFERROR(__xludf.DUMMYFUNCTION("""COMPUTED_VALUE"""),"")</f>
        <v/>
      </c>
      <c r="G881" s="36" t="str">
        <f ca="1">IFERROR(__xludf.DUMMYFUNCTION("""COMPUTED_VALUE"""),"")</f>
        <v/>
      </c>
      <c r="H881" s="36" t="str">
        <f ca="1">IFERROR(__xludf.DUMMYFUNCTION("""COMPUTED_VALUE"""),"")</f>
        <v/>
      </c>
      <c r="I881" s="36" t="str">
        <f ca="1">IFERROR(__xludf.DUMMYFUNCTION("""COMPUTED_VALUE"""),"")</f>
        <v/>
      </c>
      <c r="J881" s="36" t="str">
        <f ca="1">IFERROR(__xludf.DUMMYFUNCTION("""COMPUTED_VALUE"""),"")</f>
        <v/>
      </c>
      <c r="K881" s="36" t="str">
        <f ca="1">IFERROR(__xludf.DUMMYFUNCTION("""COMPUTED_VALUE"""),"")</f>
        <v/>
      </c>
      <c r="L881" s="36" t="str">
        <f ca="1">IFERROR(__xludf.DUMMYFUNCTION("""COMPUTED_VALUE"""),"")</f>
        <v/>
      </c>
      <c r="M881" s="36" t="str">
        <f ca="1">IFERROR(__xludf.DUMMYFUNCTION("""COMPUTED_VALUE"""),"")</f>
        <v/>
      </c>
      <c r="N881" s="36" t="str">
        <f ca="1">IFERROR(__xludf.DUMMYFUNCTION("""COMPUTED_VALUE"""),"")</f>
        <v/>
      </c>
      <c r="O881" s="36" t="str">
        <f ca="1">IFERROR(__xludf.DUMMYFUNCTION("""COMPUTED_VALUE"""),"")</f>
        <v/>
      </c>
      <c r="P881" s="36" t="str">
        <f ca="1">IFERROR(__xludf.DUMMYFUNCTION("""COMPUTED_VALUE"""),"")</f>
        <v/>
      </c>
      <c r="Q881" s="36" t="str">
        <f ca="1">IFERROR(__xludf.DUMMYFUNCTION("""COMPUTED_VALUE"""),"")</f>
        <v/>
      </c>
      <c r="R881" s="36" t="str">
        <f ca="1">IFERROR(__xludf.DUMMYFUNCTION("""COMPUTED_VALUE"""),"")</f>
        <v/>
      </c>
      <c r="S881" s="36" t="str">
        <f ca="1">IFERROR(__xludf.DUMMYFUNCTION("""COMPUTED_VALUE"""),"")</f>
        <v/>
      </c>
      <c r="T881" s="36" t="str">
        <f ca="1">IFERROR(__xludf.DUMMYFUNCTION("""COMPUTED_VALUE"""),"")</f>
        <v/>
      </c>
      <c r="U881" s="36" t="str">
        <f ca="1">IFERROR(__xludf.DUMMYFUNCTION("""COMPUTED_VALUE"""),"")</f>
        <v/>
      </c>
      <c r="V881" s="36" t="str">
        <f ca="1">IFERROR(__xludf.DUMMYFUNCTION("""COMPUTED_VALUE"""),"")</f>
        <v/>
      </c>
      <c r="W881" s="36" t="str">
        <f ca="1">IFERROR(__xludf.DUMMYFUNCTION("""COMPUTED_VALUE"""),"")</f>
        <v/>
      </c>
      <c r="X881" s="36"/>
      <c r="Y881" s="36"/>
      <c r="Z881" s="36"/>
    </row>
    <row r="882" spans="1:26" ht="12.75" hidden="1">
      <c r="A882" s="36" t="str">
        <f ca="1">IFERROR(__xludf.DUMMYFUNCTION("""COMPUTED_VALUE"""),"")</f>
        <v/>
      </c>
      <c r="B882" s="36" t="str">
        <f ca="1">IFERROR(__xludf.DUMMYFUNCTION("""COMPUTED_VALUE"""),"")</f>
        <v/>
      </c>
      <c r="C882" s="36" t="str">
        <f ca="1">IFERROR(__xludf.DUMMYFUNCTION("""COMPUTED_VALUE"""),"")</f>
        <v/>
      </c>
      <c r="D882" s="36" t="str">
        <f ca="1">IFERROR(__xludf.DUMMYFUNCTION("""COMPUTED_VALUE"""),"")</f>
        <v/>
      </c>
      <c r="E882" s="36" t="str">
        <f ca="1">IFERROR(__xludf.DUMMYFUNCTION("""COMPUTED_VALUE"""),"")</f>
        <v/>
      </c>
      <c r="F882" s="36" t="str">
        <f ca="1">IFERROR(__xludf.DUMMYFUNCTION("""COMPUTED_VALUE"""),"")</f>
        <v/>
      </c>
      <c r="G882" s="36" t="str">
        <f ca="1">IFERROR(__xludf.DUMMYFUNCTION("""COMPUTED_VALUE"""),"")</f>
        <v/>
      </c>
      <c r="H882" s="36" t="str">
        <f ca="1">IFERROR(__xludf.DUMMYFUNCTION("""COMPUTED_VALUE"""),"")</f>
        <v/>
      </c>
      <c r="I882" s="36" t="str">
        <f ca="1">IFERROR(__xludf.DUMMYFUNCTION("""COMPUTED_VALUE"""),"")</f>
        <v/>
      </c>
      <c r="J882" s="36" t="str">
        <f ca="1">IFERROR(__xludf.DUMMYFUNCTION("""COMPUTED_VALUE"""),"")</f>
        <v/>
      </c>
      <c r="K882" s="36" t="str">
        <f ca="1">IFERROR(__xludf.DUMMYFUNCTION("""COMPUTED_VALUE"""),"")</f>
        <v/>
      </c>
      <c r="L882" s="36" t="str">
        <f ca="1">IFERROR(__xludf.DUMMYFUNCTION("""COMPUTED_VALUE"""),"")</f>
        <v/>
      </c>
      <c r="M882" s="36" t="str">
        <f ca="1">IFERROR(__xludf.DUMMYFUNCTION("""COMPUTED_VALUE"""),"")</f>
        <v/>
      </c>
      <c r="N882" s="36" t="str">
        <f ca="1">IFERROR(__xludf.DUMMYFUNCTION("""COMPUTED_VALUE"""),"")</f>
        <v/>
      </c>
      <c r="O882" s="36" t="str">
        <f ca="1">IFERROR(__xludf.DUMMYFUNCTION("""COMPUTED_VALUE"""),"")</f>
        <v/>
      </c>
      <c r="P882" s="36" t="str">
        <f ca="1">IFERROR(__xludf.DUMMYFUNCTION("""COMPUTED_VALUE"""),"")</f>
        <v/>
      </c>
      <c r="Q882" s="36" t="str">
        <f ca="1">IFERROR(__xludf.DUMMYFUNCTION("""COMPUTED_VALUE"""),"")</f>
        <v/>
      </c>
      <c r="R882" s="36" t="str">
        <f ca="1">IFERROR(__xludf.DUMMYFUNCTION("""COMPUTED_VALUE"""),"")</f>
        <v/>
      </c>
      <c r="S882" s="36" t="str">
        <f ca="1">IFERROR(__xludf.DUMMYFUNCTION("""COMPUTED_VALUE"""),"")</f>
        <v/>
      </c>
      <c r="T882" s="36" t="str">
        <f ca="1">IFERROR(__xludf.DUMMYFUNCTION("""COMPUTED_VALUE"""),"")</f>
        <v/>
      </c>
      <c r="U882" s="36" t="str">
        <f ca="1">IFERROR(__xludf.DUMMYFUNCTION("""COMPUTED_VALUE"""),"")</f>
        <v/>
      </c>
      <c r="V882" s="36" t="str">
        <f ca="1">IFERROR(__xludf.DUMMYFUNCTION("""COMPUTED_VALUE"""),"")</f>
        <v/>
      </c>
      <c r="W882" s="36" t="str">
        <f ca="1">IFERROR(__xludf.DUMMYFUNCTION("""COMPUTED_VALUE"""),"")</f>
        <v/>
      </c>
      <c r="X882" s="36"/>
      <c r="Y882" s="36"/>
      <c r="Z882" s="36"/>
    </row>
    <row r="883" spans="1:26" ht="12.75" hidden="1">
      <c r="A883" s="36" t="str">
        <f ca="1">IFERROR(__xludf.DUMMYFUNCTION("""COMPUTED_VALUE"""),"")</f>
        <v/>
      </c>
      <c r="B883" s="36" t="str">
        <f ca="1">IFERROR(__xludf.DUMMYFUNCTION("""COMPUTED_VALUE"""),"")</f>
        <v/>
      </c>
      <c r="C883" s="36" t="str">
        <f ca="1">IFERROR(__xludf.DUMMYFUNCTION("""COMPUTED_VALUE"""),"")</f>
        <v/>
      </c>
      <c r="D883" s="36" t="str">
        <f ca="1">IFERROR(__xludf.DUMMYFUNCTION("""COMPUTED_VALUE"""),"")</f>
        <v/>
      </c>
      <c r="E883" s="36" t="str">
        <f ca="1">IFERROR(__xludf.DUMMYFUNCTION("""COMPUTED_VALUE"""),"")</f>
        <v/>
      </c>
      <c r="F883" s="36" t="str">
        <f ca="1">IFERROR(__xludf.DUMMYFUNCTION("""COMPUTED_VALUE"""),"")</f>
        <v/>
      </c>
      <c r="G883" s="36" t="str">
        <f ca="1">IFERROR(__xludf.DUMMYFUNCTION("""COMPUTED_VALUE"""),"")</f>
        <v/>
      </c>
      <c r="H883" s="36" t="str">
        <f ca="1">IFERROR(__xludf.DUMMYFUNCTION("""COMPUTED_VALUE"""),"")</f>
        <v/>
      </c>
      <c r="I883" s="36" t="str">
        <f ca="1">IFERROR(__xludf.DUMMYFUNCTION("""COMPUTED_VALUE"""),"")</f>
        <v/>
      </c>
      <c r="J883" s="36" t="str">
        <f ca="1">IFERROR(__xludf.DUMMYFUNCTION("""COMPUTED_VALUE"""),"")</f>
        <v/>
      </c>
      <c r="K883" s="36" t="str">
        <f ca="1">IFERROR(__xludf.DUMMYFUNCTION("""COMPUTED_VALUE"""),"")</f>
        <v/>
      </c>
      <c r="L883" s="36" t="str">
        <f ca="1">IFERROR(__xludf.DUMMYFUNCTION("""COMPUTED_VALUE"""),"")</f>
        <v/>
      </c>
      <c r="M883" s="36" t="str">
        <f ca="1">IFERROR(__xludf.DUMMYFUNCTION("""COMPUTED_VALUE"""),"")</f>
        <v/>
      </c>
      <c r="N883" s="36" t="str">
        <f ca="1">IFERROR(__xludf.DUMMYFUNCTION("""COMPUTED_VALUE"""),"")</f>
        <v/>
      </c>
      <c r="O883" s="36" t="str">
        <f ca="1">IFERROR(__xludf.DUMMYFUNCTION("""COMPUTED_VALUE"""),"")</f>
        <v/>
      </c>
      <c r="P883" s="36" t="str">
        <f ca="1">IFERROR(__xludf.DUMMYFUNCTION("""COMPUTED_VALUE"""),"")</f>
        <v/>
      </c>
      <c r="Q883" s="36" t="str">
        <f ca="1">IFERROR(__xludf.DUMMYFUNCTION("""COMPUTED_VALUE"""),"")</f>
        <v/>
      </c>
      <c r="R883" s="36" t="str">
        <f ca="1">IFERROR(__xludf.DUMMYFUNCTION("""COMPUTED_VALUE"""),"")</f>
        <v/>
      </c>
      <c r="S883" s="36" t="str">
        <f ca="1">IFERROR(__xludf.DUMMYFUNCTION("""COMPUTED_VALUE"""),"")</f>
        <v/>
      </c>
      <c r="T883" s="36" t="str">
        <f ca="1">IFERROR(__xludf.DUMMYFUNCTION("""COMPUTED_VALUE"""),"")</f>
        <v/>
      </c>
      <c r="U883" s="36" t="str">
        <f ca="1">IFERROR(__xludf.DUMMYFUNCTION("""COMPUTED_VALUE"""),"")</f>
        <v/>
      </c>
      <c r="V883" s="36" t="str">
        <f ca="1">IFERROR(__xludf.DUMMYFUNCTION("""COMPUTED_VALUE"""),"")</f>
        <v/>
      </c>
      <c r="W883" s="36" t="str">
        <f ca="1">IFERROR(__xludf.DUMMYFUNCTION("""COMPUTED_VALUE"""),"")</f>
        <v/>
      </c>
      <c r="X883" s="36"/>
      <c r="Y883" s="36"/>
      <c r="Z883" s="36"/>
    </row>
    <row r="884" spans="1:26" ht="12.75" hidden="1">
      <c r="A884" s="36" t="str">
        <f ca="1">IFERROR(__xludf.DUMMYFUNCTION("""COMPUTED_VALUE"""),"")</f>
        <v/>
      </c>
      <c r="B884" s="36" t="str">
        <f ca="1">IFERROR(__xludf.DUMMYFUNCTION("""COMPUTED_VALUE"""),"")</f>
        <v/>
      </c>
      <c r="C884" s="36" t="str">
        <f ca="1">IFERROR(__xludf.DUMMYFUNCTION("""COMPUTED_VALUE"""),"")</f>
        <v/>
      </c>
      <c r="D884" s="36" t="str">
        <f ca="1">IFERROR(__xludf.DUMMYFUNCTION("""COMPUTED_VALUE"""),"")</f>
        <v/>
      </c>
      <c r="E884" s="36" t="str">
        <f ca="1">IFERROR(__xludf.DUMMYFUNCTION("""COMPUTED_VALUE"""),"")</f>
        <v/>
      </c>
      <c r="F884" s="36" t="str">
        <f ca="1">IFERROR(__xludf.DUMMYFUNCTION("""COMPUTED_VALUE"""),"")</f>
        <v/>
      </c>
      <c r="G884" s="36" t="str">
        <f ca="1">IFERROR(__xludf.DUMMYFUNCTION("""COMPUTED_VALUE"""),"")</f>
        <v/>
      </c>
      <c r="H884" s="36" t="str">
        <f ca="1">IFERROR(__xludf.DUMMYFUNCTION("""COMPUTED_VALUE"""),"")</f>
        <v/>
      </c>
      <c r="I884" s="36" t="str">
        <f ca="1">IFERROR(__xludf.DUMMYFUNCTION("""COMPUTED_VALUE"""),"")</f>
        <v/>
      </c>
      <c r="J884" s="36" t="str">
        <f ca="1">IFERROR(__xludf.DUMMYFUNCTION("""COMPUTED_VALUE"""),"")</f>
        <v/>
      </c>
      <c r="K884" s="36" t="str">
        <f ca="1">IFERROR(__xludf.DUMMYFUNCTION("""COMPUTED_VALUE"""),"")</f>
        <v/>
      </c>
      <c r="L884" s="36" t="str">
        <f ca="1">IFERROR(__xludf.DUMMYFUNCTION("""COMPUTED_VALUE"""),"")</f>
        <v/>
      </c>
      <c r="M884" s="36" t="str">
        <f ca="1">IFERROR(__xludf.DUMMYFUNCTION("""COMPUTED_VALUE"""),"")</f>
        <v/>
      </c>
      <c r="N884" s="36" t="str">
        <f ca="1">IFERROR(__xludf.DUMMYFUNCTION("""COMPUTED_VALUE"""),"")</f>
        <v/>
      </c>
      <c r="O884" s="36" t="str">
        <f ca="1">IFERROR(__xludf.DUMMYFUNCTION("""COMPUTED_VALUE"""),"")</f>
        <v/>
      </c>
      <c r="P884" s="36" t="str">
        <f ca="1">IFERROR(__xludf.DUMMYFUNCTION("""COMPUTED_VALUE"""),"")</f>
        <v/>
      </c>
      <c r="Q884" s="36" t="str">
        <f ca="1">IFERROR(__xludf.DUMMYFUNCTION("""COMPUTED_VALUE"""),"")</f>
        <v/>
      </c>
      <c r="R884" s="36" t="str">
        <f ca="1">IFERROR(__xludf.DUMMYFUNCTION("""COMPUTED_VALUE"""),"")</f>
        <v/>
      </c>
      <c r="S884" s="36" t="str">
        <f ca="1">IFERROR(__xludf.DUMMYFUNCTION("""COMPUTED_VALUE"""),"")</f>
        <v/>
      </c>
      <c r="T884" s="36" t="str">
        <f ca="1">IFERROR(__xludf.DUMMYFUNCTION("""COMPUTED_VALUE"""),"")</f>
        <v/>
      </c>
      <c r="U884" s="36" t="str">
        <f ca="1">IFERROR(__xludf.DUMMYFUNCTION("""COMPUTED_VALUE"""),"")</f>
        <v/>
      </c>
      <c r="V884" s="36" t="str">
        <f ca="1">IFERROR(__xludf.DUMMYFUNCTION("""COMPUTED_VALUE"""),"")</f>
        <v/>
      </c>
      <c r="W884" s="36" t="str">
        <f ca="1">IFERROR(__xludf.DUMMYFUNCTION("""COMPUTED_VALUE"""),"")</f>
        <v/>
      </c>
      <c r="X884" s="36"/>
      <c r="Y884" s="36"/>
      <c r="Z884" s="36"/>
    </row>
    <row r="885" spans="1:26" ht="12.75" hidden="1">
      <c r="A885" s="36" t="str">
        <f ca="1">IFERROR(__xludf.DUMMYFUNCTION("""COMPUTED_VALUE"""),"")</f>
        <v/>
      </c>
      <c r="B885" s="36" t="str">
        <f ca="1">IFERROR(__xludf.DUMMYFUNCTION("""COMPUTED_VALUE"""),"")</f>
        <v/>
      </c>
      <c r="C885" s="36" t="str">
        <f ca="1">IFERROR(__xludf.DUMMYFUNCTION("""COMPUTED_VALUE"""),"")</f>
        <v/>
      </c>
      <c r="D885" s="36" t="str">
        <f ca="1">IFERROR(__xludf.DUMMYFUNCTION("""COMPUTED_VALUE"""),"")</f>
        <v/>
      </c>
      <c r="E885" s="36" t="str">
        <f ca="1">IFERROR(__xludf.DUMMYFUNCTION("""COMPUTED_VALUE"""),"")</f>
        <v/>
      </c>
      <c r="F885" s="36" t="str">
        <f ca="1">IFERROR(__xludf.DUMMYFUNCTION("""COMPUTED_VALUE"""),"")</f>
        <v/>
      </c>
      <c r="G885" s="36" t="str">
        <f ca="1">IFERROR(__xludf.DUMMYFUNCTION("""COMPUTED_VALUE"""),"")</f>
        <v/>
      </c>
      <c r="H885" s="36" t="str">
        <f ca="1">IFERROR(__xludf.DUMMYFUNCTION("""COMPUTED_VALUE"""),"")</f>
        <v/>
      </c>
      <c r="I885" s="36" t="str">
        <f ca="1">IFERROR(__xludf.DUMMYFUNCTION("""COMPUTED_VALUE"""),"")</f>
        <v/>
      </c>
      <c r="J885" s="36" t="str">
        <f ca="1">IFERROR(__xludf.DUMMYFUNCTION("""COMPUTED_VALUE"""),"")</f>
        <v/>
      </c>
      <c r="K885" s="36" t="str">
        <f ca="1">IFERROR(__xludf.DUMMYFUNCTION("""COMPUTED_VALUE"""),"")</f>
        <v/>
      </c>
      <c r="L885" s="36" t="str">
        <f ca="1">IFERROR(__xludf.DUMMYFUNCTION("""COMPUTED_VALUE"""),"")</f>
        <v/>
      </c>
      <c r="M885" s="36" t="str">
        <f ca="1">IFERROR(__xludf.DUMMYFUNCTION("""COMPUTED_VALUE"""),"")</f>
        <v/>
      </c>
      <c r="N885" s="36" t="str">
        <f ca="1">IFERROR(__xludf.DUMMYFUNCTION("""COMPUTED_VALUE"""),"")</f>
        <v/>
      </c>
      <c r="O885" s="36" t="str">
        <f ca="1">IFERROR(__xludf.DUMMYFUNCTION("""COMPUTED_VALUE"""),"")</f>
        <v/>
      </c>
      <c r="P885" s="36" t="str">
        <f ca="1">IFERROR(__xludf.DUMMYFUNCTION("""COMPUTED_VALUE"""),"")</f>
        <v/>
      </c>
      <c r="Q885" s="36" t="str">
        <f ca="1">IFERROR(__xludf.DUMMYFUNCTION("""COMPUTED_VALUE"""),"")</f>
        <v/>
      </c>
      <c r="R885" s="36" t="str">
        <f ca="1">IFERROR(__xludf.DUMMYFUNCTION("""COMPUTED_VALUE"""),"")</f>
        <v/>
      </c>
      <c r="S885" s="36" t="str">
        <f ca="1">IFERROR(__xludf.DUMMYFUNCTION("""COMPUTED_VALUE"""),"")</f>
        <v/>
      </c>
      <c r="T885" s="36" t="str">
        <f ca="1">IFERROR(__xludf.DUMMYFUNCTION("""COMPUTED_VALUE"""),"")</f>
        <v/>
      </c>
      <c r="U885" s="36" t="str">
        <f ca="1">IFERROR(__xludf.DUMMYFUNCTION("""COMPUTED_VALUE"""),"")</f>
        <v/>
      </c>
      <c r="V885" s="36" t="str">
        <f ca="1">IFERROR(__xludf.DUMMYFUNCTION("""COMPUTED_VALUE"""),"")</f>
        <v/>
      </c>
      <c r="W885" s="36" t="str">
        <f ca="1">IFERROR(__xludf.DUMMYFUNCTION("""COMPUTED_VALUE"""),"")</f>
        <v/>
      </c>
      <c r="X885" s="36"/>
      <c r="Y885" s="36"/>
      <c r="Z885" s="36"/>
    </row>
    <row r="886" spans="1:26" ht="12.75" hidden="1">
      <c r="A886" s="36" t="str">
        <f ca="1">IFERROR(__xludf.DUMMYFUNCTION("""COMPUTED_VALUE"""),"")</f>
        <v/>
      </c>
      <c r="B886" s="36" t="str">
        <f ca="1">IFERROR(__xludf.DUMMYFUNCTION("""COMPUTED_VALUE"""),"")</f>
        <v/>
      </c>
      <c r="C886" s="36" t="str">
        <f ca="1">IFERROR(__xludf.DUMMYFUNCTION("""COMPUTED_VALUE"""),"")</f>
        <v/>
      </c>
      <c r="D886" s="36" t="str">
        <f ca="1">IFERROR(__xludf.DUMMYFUNCTION("""COMPUTED_VALUE"""),"")</f>
        <v/>
      </c>
      <c r="E886" s="36" t="str">
        <f ca="1">IFERROR(__xludf.DUMMYFUNCTION("""COMPUTED_VALUE"""),"")</f>
        <v/>
      </c>
      <c r="F886" s="36" t="str">
        <f ca="1">IFERROR(__xludf.DUMMYFUNCTION("""COMPUTED_VALUE"""),"")</f>
        <v/>
      </c>
      <c r="G886" s="36" t="str">
        <f ca="1">IFERROR(__xludf.DUMMYFUNCTION("""COMPUTED_VALUE"""),"")</f>
        <v/>
      </c>
      <c r="H886" s="36" t="str">
        <f ca="1">IFERROR(__xludf.DUMMYFUNCTION("""COMPUTED_VALUE"""),"")</f>
        <v/>
      </c>
      <c r="I886" s="36" t="str">
        <f ca="1">IFERROR(__xludf.DUMMYFUNCTION("""COMPUTED_VALUE"""),"")</f>
        <v/>
      </c>
      <c r="J886" s="36" t="str">
        <f ca="1">IFERROR(__xludf.DUMMYFUNCTION("""COMPUTED_VALUE"""),"")</f>
        <v/>
      </c>
      <c r="K886" s="36" t="str">
        <f ca="1">IFERROR(__xludf.DUMMYFUNCTION("""COMPUTED_VALUE"""),"")</f>
        <v/>
      </c>
      <c r="L886" s="36" t="str">
        <f ca="1">IFERROR(__xludf.DUMMYFUNCTION("""COMPUTED_VALUE"""),"")</f>
        <v/>
      </c>
      <c r="M886" s="36" t="str">
        <f ca="1">IFERROR(__xludf.DUMMYFUNCTION("""COMPUTED_VALUE"""),"")</f>
        <v/>
      </c>
      <c r="N886" s="36" t="str">
        <f ca="1">IFERROR(__xludf.DUMMYFUNCTION("""COMPUTED_VALUE"""),"")</f>
        <v/>
      </c>
      <c r="O886" s="36" t="str">
        <f ca="1">IFERROR(__xludf.DUMMYFUNCTION("""COMPUTED_VALUE"""),"")</f>
        <v/>
      </c>
      <c r="P886" s="36" t="str">
        <f ca="1">IFERROR(__xludf.DUMMYFUNCTION("""COMPUTED_VALUE"""),"")</f>
        <v/>
      </c>
      <c r="Q886" s="36" t="str">
        <f ca="1">IFERROR(__xludf.DUMMYFUNCTION("""COMPUTED_VALUE"""),"")</f>
        <v/>
      </c>
      <c r="R886" s="36" t="str">
        <f ca="1">IFERROR(__xludf.DUMMYFUNCTION("""COMPUTED_VALUE"""),"")</f>
        <v/>
      </c>
      <c r="S886" s="36" t="str">
        <f ca="1">IFERROR(__xludf.DUMMYFUNCTION("""COMPUTED_VALUE"""),"")</f>
        <v/>
      </c>
      <c r="T886" s="36" t="str">
        <f ca="1">IFERROR(__xludf.DUMMYFUNCTION("""COMPUTED_VALUE"""),"")</f>
        <v/>
      </c>
      <c r="U886" s="36" t="str">
        <f ca="1">IFERROR(__xludf.DUMMYFUNCTION("""COMPUTED_VALUE"""),"")</f>
        <v/>
      </c>
      <c r="V886" s="36" t="str">
        <f ca="1">IFERROR(__xludf.DUMMYFUNCTION("""COMPUTED_VALUE"""),"")</f>
        <v/>
      </c>
      <c r="W886" s="36" t="str">
        <f ca="1">IFERROR(__xludf.DUMMYFUNCTION("""COMPUTED_VALUE"""),"")</f>
        <v/>
      </c>
      <c r="X886" s="36"/>
      <c r="Y886" s="36"/>
      <c r="Z886" s="36"/>
    </row>
    <row r="887" spans="1:26" ht="12.75" hidden="1">
      <c r="A887" s="36" t="str">
        <f ca="1">IFERROR(__xludf.DUMMYFUNCTION("""COMPUTED_VALUE"""),"")</f>
        <v/>
      </c>
      <c r="B887" s="36" t="str">
        <f ca="1">IFERROR(__xludf.DUMMYFUNCTION("""COMPUTED_VALUE"""),"")</f>
        <v/>
      </c>
      <c r="C887" s="36" t="str">
        <f ca="1">IFERROR(__xludf.DUMMYFUNCTION("""COMPUTED_VALUE"""),"")</f>
        <v/>
      </c>
      <c r="D887" s="36" t="str">
        <f ca="1">IFERROR(__xludf.DUMMYFUNCTION("""COMPUTED_VALUE"""),"")</f>
        <v/>
      </c>
      <c r="E887" s="36" t="str">
        <f ca="1">IFERROR(__xludf.DUMMYFUNCTION("""COMPUTED_VALUE"""),"")</f>
        <v/>
      </c>
      <c r="F887" s="36" t="str">
        <f ca="1">IFERROR(__xludf.DUMMYFUNCTION("""COMPUTED_VALUE"""),"")</f>
        <v/>
      </c>
      <c r="G887" s="36" t="str">
        <f ca="1">IFERROR(__xludf.DUMMYFUNCTION("""COMPUTED_VALUE"""),"")</f>
        <v/>
      </c>
      <c r="H887" s="36" t="str">
        <f ca="1">IFERROR(__xludf.DUMMYFUNCTION("""COMPUTED_VALUE"""),"")</f>
        <v/>
      </c>
      <c r="I887" s="36" t="str">
        <f ca="1">IFERROR(__xludf.DUMMYFUNCTION("""COMPUTED_VALUE"""),"")</f>
        <v/>
      </c>
      <c r="J887" s="36" t="str">
        <f ca="1">IFERROR(__xludf.DUMMYFUNCTION("""COMPUTED_VALUE"""),"")</f>
        <v/>
      </c>
      <c r="K887" s="36" t="str">
        <f ca="1">IFERROR(__xludf.DUMMYFUNCTION("""COMPUTED_VALUE"""),"")</f>
        <v/>
      </c>
      <c r="L887" s="36" t="str">
        <f ca="1">IFERROR(__xludf.DUMMYFUNCTION("""COMPUTED_VALUE"""),"")</f>
        <v/>
      </c>
      <c r="M887" s="36" t="str">
        <f ca="1">IFERROR(__xludf.DUMMYFUNCTION("""COMPUTED_VALUE"""),"")</f>
        <v/>
      </c>
      <c r="N887" s="36" t="str">
        <f ca="1">IFERROR(__xludf.DUMMYFUNCTION("""COMPUTED_VALUE"""),"")</f>
        <v/>
      </c>
      <c r="O887" s="36" t="str">
        <f ca="1">IFERROR(__xludf.DUMMYFUNCTION("""COMPUTED_VALUE"""),"")</f>
        <v/>
      </c>
      <c r="P887" s="36" t="str">
        <f ca="1">IFERROR(__xludf.DUMMYFUNCTION("""COMPUTED_VALUE"""),"")</f>
        <v/>
      </c>
      <c r="Q887" s="36" t="str">
        <f ca="1">IFERROR(__xludf.DUMMYFUNCTION("""COMPUTED_VALUE"""),"")</f>
        <v/>
      </c>
      <c r="R887" s="36" t="str">
        <f ca="1">IFERROR(__xludf.DUMMYFUNCTION("""COMPUTED_VALUE"""),"")</f>
        <v/>
      </c>
      <c r="S887" s="36" t="str">
        <f ca="1">IFERROR(__xludf.DUMMYFUNCTION("""COMPUTED_VALUE"""),"")</f>
        <v/>
      </c>
      <c r="T887" s="36" t="str">
        <f ca="1">IFERROR(__xludf.DUMMYFUNCTION("""COMPUTED_VALUE"""),"")</f>
        <v/>
      </c>
      <c r="U887" s="36" t="str">
        <f ca="1">IFERROR(__xludf.DUMMYFUNCTION("""COMPUTED_VALUE"""),"")</f>
        <v/>
      </c>
      <c r="V887" s="36" t="str">
        <f ca="1">IFERROR(__xludf.DUMMYFUNCTION("""COMPUTED_VALUE"""),"")</f>
        <v/>
      </c>
      <c r="W887" s="36" t="str">
        <f ca="1">IFERROR(__xludf.DUMMYFUNCTION("""COMPUTED_VALUE"""),"")</f>
        <v/>
      </c>
      <c r="X887" s="36"/>
      <c r="Y887" s="36"/>
      <c r="Z887" s="36"/>
    </row>
    <row r="888" spans="1:26" ht="12.75" hidden="1">
      <c r="A888" s="36" t="str">
        <f ca="1">IFERROR(__xludf.DUMMYFUNCTION("""COMPUTED_VALUE"""),"")</f>
        <v/>
      </c>
      <c r="B888" s="36" t="str">
        <f ca="1">IFERROR(__xludf.DUMMYFUNCTION("""COMPUTED_VALUE"""),"")</f>
        <v/>
      </c>
      <c r="C888" s="36" t="str">
        <f ca="1">IFERROR(__xludf.DUMMYFUNCTION("""COMPUTED_VALUE"""),"")</f>
        <v/>
      </c>
      <c r="D888" s="36" t="str">
        <f ca="1">IFERROR(__xludf.DUMMYFUNCTION("""COMPUTED_VALUE"""),"")</f>
        <v/>
      </c>
      <c r="E888" s="36" t="str">
        <f ca="1">IFERROR(__xludf.DUMMYFUNCTION("""COMPUTED_VALUE"""),"")</f>
        <v/>
      </c>
      <c r="F888" s="36" t="str">
        <f ca="1">IFERROR(__xludf.DUMMYFUNCTION("""COMPUTED_VALUE"""),"")</f>
        <v/>
      </c>
      <c r="G888" s="36" t="str">
        <f ca="1">IFERROR(__xludf.DUMMYFUNCTION("""COMPUTED_VALUE"""),"")</f>
        <v/>
      </c>
      <c r="H888" s="36" t="str">
        <f ca="1">IFERROR(__xludf.DUMMYFUNCTION("""COMPUTED_VALUE"""),"")</f>
        <v/>
      </c>
      <c r="I888" s="36" t="str">
        <f ca="1">IFERROR(__xludf.DUMMYFUNCTION("""COMPUTED_VALUE"""),"")</f>
        <v/>
      </c>
      <c r="J888" s="36" t="str">
        <f ca="1">IFERROR(__xludf.DUMMYFUNCTION("""COMPUTED_VALUE"""),"")</f>
        <v/>
      </c>
      <c r="K888" s="36" t="str">
        <f ca="1">IFERROR(__xludf.DUMMYFUNCTION("""COMPUTED_VALUE"""),"")</f>
        <v/>
      </c>
      <c r="L888" s="36" t="str">
        <f ca="1">IFERROR(__xludf.DUMMYFUNCTION("""COMPUTED_VALUE"""),"")</f>
        <v/>
      </c>
      <c r="M888" s="36" t="str">
        <f ca="1">IFERROR(__xludf.DUMMYFUNCTION("""COMPUTED_VALUE"""),"")</f>
        <v/>
      </c>
      <c r="N888" s="36" t="str">
        <f ca="1">IFERROR(__xludf.DUMMYFUNCTION("""COMPUTED_VALUE"""),"")</f>
        <v/>
      </c>
      <c r="O888" s="36" t="str">
        <f ca="1">IFERROR(__xludf.DUMMYFUNCTION("""COMPUTED_VALUE"""),"")</f>
        <v/>
      </c>
      <c r="P888" s="36" t="str">
        <f ca="1">IFERROR(__xludf.DUMMYFUNCTION("""COMPUTED_VALUE"""),"")</f>
        <v/>
      </c>
      <c r="Q888" s="36" t="str">
        <f ca="1">IFERROR(__xludf.DUMMYFUNCTION("""COMPUTED_VALUE"""),"")</f>
        <v/>
      </c>
      <c r="R888" s="36" t="str">
        <f ca="1">IFERROR(__xludf.DUMMYFUNCTION("""COMPUTED_VALUE"""),"")</f>
        <v/>
      </c>
      <c r="S888" s="36" t="str">
        <f ca="1">IFERROR(__xludf.DUMMYFUNCTION("""COMPUTED_VALUE"""),"")</f>
        <v/>
      </c>
      <c r="T888" s="36" t="str">
        <f ca="1">IFERROR(__xludf.DUMMYFUNCTION("""COMPUTED_VALUE"""),"")</f>
        <v/>
      </c>
      <c r="U888" s="36" t="str">
        <f ca="1">IFERROR(__xludf.DUMMYFUNCTION("""COMPUTED_VALUE"""),"")</f>
        <v/>
      </c>
      <c r="V888" s="36" t="str">
        <f ca="1">IFERROR(__xludf.DUMMYFUNCTION("""COMPUTED_VALUE"""),"")</f>
        <v/>
      </c>
      <c r="W888" s="36" t="str">
        <f ca="1">IFERROR(__xludf.DUMMYFUNCTION("""COMPUTED_VALUE"""),"")</f>
        <v/>
      </c>
      <c r="X888" s="36"/>
      <c r="Y888" s="36"/>
      <c r="Z888" s="36"/>
    </row>
    <row r="889" spans="1:26" ht="12.75" hidden="1">
      <c r="A889" s="36" t="str">
        <f ca="1">IFERROR(__xludf.DUMMYFUNCTION("""COMPUTED_VALUE"""),"")</f>
        <v/>
      </c>
      <c r="B889" s="36" t="str">
        <f ca="1">IFERROR(__xludf.DUMMYFUNCTION("""COMPUTED_VALUE"""),"")</f>
        <v/>
      </c>
      <c r="C889" s="36" t="str">
        <f ca="1">IFERROR(__xludf.DUMMYFUNCTION("""COMPUTED_VALUE"""),"")</f>
        <v/>
      </c>
      <c r="D889" s="36" t="str">
        <f ca="1">IFERROR(__xludf.DUMMYFUNCTION("""COMPUTED_VALUE"""),"")</f>
        <v/>
      </c>
      <c r="E889" s="36" t="str">
        <f ca="1">IFERROR(__xludf.DUMMYFUNCTION("""COMPUTED_VALUE"""),"")</f>
        <v/>
      </c>
      <c r="F889" s="36" t="str">
        <f ca="1">IFERROR(__xludf.DUMMYFUNCTION("""COMPUTED_VALUE"""),"")</f>
        <v/>
      </c>
      <c r="G889" s="36" t="str">
        <f ca="1">IFERROR(__xludf.DUMMYFUNCTION("""COMPUTED_VALUE"""),"")</f>
        <v/>
      </c>
      <c r="H889" s="36" t="str">
        <f ca="1">IFERROR(__xludf.DUMMYFUNCTION("""COMPUTED_VALUE"""),"")</f>
        <v/>
      </c>
      <c r="I889" s="36" t="str">
        <f ca="1">IFERROR(__xludf.DUMMYFUNCTION("""COMPUTED_VALUE"""),"")</f>
        <v/>
      </c>
      <c r="J889" s="36" t="str">
        <f ca="1">IFERROR(__xludf.DUMMYFUNCTION("""COMPUTED_VALUE"""),"")</f>
        <v/>
      </c>
      <c r="K889" s="36" t="str">
        <f ca="1">IFERROR(__xludf.DUMMYFUNCTION("""COMPUTED_VALUE"""),"")</f>
        <v/>
      </c>
      <c r="L889" s="36" t="str">
        <f ca="1">IFERROR(__xludf.DUMMYFUNCTION("""COMPUTED_VALUE"""),"")</f>
        <v/>
      </c>
      <c r="M889" s="36" t="str">
        <f ca="1">IFERROR(__xludf.DUMMYFUNCTION("""COMPUTED_VALUE"""),"")</f>
        <v/>
      </c>
      <c r="N889" s="36" t="str">
        <f ca="1">IFERROR(__xludf.DUMMYFUNCTION("""COMPUTED_VALUE"""),"")</f>
        <v/>
      </c>
      <c r="O889" s="36" t="str">
        <f ca="1">IFERROR(__xludf.DUMMYFUNCTION("""COMPUTED_VALUE"""),"")</f>
        <v/>
      </c>
      <c r="P889" s="36" t="str">
        <f ca="1">IFERROR(__xludf.DUMMYFUNCTION("""COMPUTED_VALUE"""),"")</f>
        <v/>
      </c>
      <c r="Q889" s="36" t="str">
        <f ca="1">IFERROR(__xludf.DUMMYFUNCTION("""COMPUTED_VALUE"""),"")</f>
        <v/>
      </c>
      <c r="R889" s="36" t="str">
        <f ca="1">IFERROR(__xludf.DUMMYFUNCTION("""COMPUTED_VALUE"""),"")</f>
        <v/>
      </c>
      <c r="S889" s="36" t="str">
        <f ca="1">IFERROR(__xludf.DUMMYFUNCTION("""COMPUTED_VALUE"""),"")</f>
        <v/>
      </c>
      <c r="T889" s="36" t="str">
        <f ca="1">IFERROR(__xludf.DUMMYFUNCTION("""COMPUTED_VALUE"""),"")</f>
        <v/>
      </c>
      <c r="U889" s="36" t="str">
        <f ca="1">IFERROR(__xludf.DUMMYFUNCTION("""COMPUTED_VALUE"""),"")</f>
        <v/>
      </c>
      <c r="V889" s="36" t="str">
        <f ca="1">IFERROR(__xludf.DUMMYFUNCTION("""COMPUTED_VALUE"""),"")</f>
        <v/>
      </c>
      <c r="W889" s="36" t="str">
        <f ca="1">IFERROR(__xludf.DUMMYFUNCTION("""COMPUTED_VALUE"""),"")</f>
        <v/>
      </c>
      <c r="X889" s="36"/>
      <c r="Y889" s="36"/>
      <c r="Z889" s="36"/>
    </row>
    <row r="890" spans="1:26" ht="12.75" hidden="1">
      <c r="A890" s="36" t="str">
        <f ca="1">IFERROR(__xludf.DUMMYFUNCTION("""COMPUTED_VALUE"""),"")</f>
        <v/>
      </c>
      <c r="B890" s="36" t="str">
        <f ca="1">IFERROR(__xludf.DUMMYFUNCTION("""COMPUTED_VALUE"""),"")</f>
        <v/>
      </c>
      <c r="C890" s="36" t="str">
        <f ca="1">IFERROR(__xludf.DUMMYFUNCTION("""COMPUTED_VALUE"""),"")</f>
        <v/>
      </c>
      <c r="D890" s="36" t="str">
        <f ca="1">IFERROR(__xludf.DUMMYFUNCTION("""COMPUTED_VALUE"""),"")</f>
        <v/>
      </c>
      <c r="E890" s="36" t="str">
        <f ca="1">IFERROR(__xludf.DUMMYFUNCTION("""COMPUTED_VALUE"""),"")</f>
        <v/>
      </c>
      <c r="F890" s="36" t="str">
        <f ca="1">IFERROR(__xludf.DUMMYFUNCTION("""COMPUTED_VALUE"""),"")</f>
        <v/>
      </c>
      <c r="G890" s="36" t="str">
        <f ca="1">IFERROR(__xludf.DUMMYFUNCTION("""COMPUTED_VALUE"""),"")</f>
        <v/>
      </c>
      <c r="H890" s="36" t="str">
        <f ca="1">IFERROR(__xludf.DUMMYFUNCTION("""COMPUTED_VALUE"""),"")</f>
        <v/>
      </c>
      <c r="I890" s="36" t="str">
        <f ca="1">IFERROR(__xludf.DUMMYFUNCTION("""COMPUTED_VALUE"""),"")</f>
        <v/>
      </c>
      <c r="J890" s="36" t="str">
        <f ca="1">IFERROR(__xludf.DUMMYFUNCTION("""COMPUTED_VALUE"""),"")</f>
        <v/>
      </c>
      <c r="K890" s="36" t="str">
        <f ca="1">IFERROR(__xludf.DUMMYFUNCTION("""COMPUTED_VALUE"""),"")</f>
        <v/>
      </c>
      <c r="L890" s="36" t="str">
        <f ca="1">IFERROR(__xludf.DUMMYFUNCTION("""COMPUTED_VALUE"""),"")</f>
        <v/>
      </c>
      <c r="M890" s="36" t="str">
        <f ca="1">IFERROR(__xludf.DUMMYFUNCTION("""COMPUTED_VALUE"""),"")</f>
        <v/>
      </c>
      <c r="N890" s="36" t="str">
        <f ca="1">IFERROR(__xludf.DUMMYFUNCTION("""COMPUTED_VALUE"""),"")</f>
        <v/>
      </c>
      <c r="O890" s="36" t="str">
        <f ca="1">IFERROR(__xludf.DUMMYFUNCTION("""COMPUTED_VALUE"""),"")</f>
        <v/>
      </c>
      <c r="P890" s="36" t="str">
        <f ca="1">IFERROR(__xludf.DUMMYFUNCTION("""COMPUTED_VALUE"""),"")</f>
        <v/>
      </c>
      <c r="Q890" s="36" t="str">
        <f ca="1">IFERROR(__xludf.DUMMYFUNCTION("""COMPUTED_VALUE"""),"")</f>
        <v/>
      </c>
      <c r="R890" s="36" t="str">
        <f ca="1">IFERROR(__xludf.DUMMYFUNCTION("""COMPUTED_VALUE"""),"")</f>
        <v/>
      </c>
      <c r="S890" s="36" t="str">
        <f ca="1">IFERROR(__xludf.DUMMYFUNCTION("""COMPUTED_VALUE"""),"")</f>
        <v/>
      </c>
      <c r="T890" s="36" t="str">
        <f ca="1">IFERROR(__xludf.DUMMYFUNCTION("""COMPUTED_VALUE"""),"")</f>
        <v/>
      </c>
      <c r="U890" s="36" t="str">
        <f ca="1">IFERROR(__xludf.DUMMYFUNCTION("""COMPUTED_VALUE"""),"")</f>
        <v/>
      </c>
      <c r="V890" s="36" t="str">
        <f ca="1">IFERROR(__xludf.DUMMYFUNCTION("""COMPUTED_VALUE"""),"")</f>
        <v/>
      </c>
      <c r="W890" s="36" t="str">
        <f ca="1">IFERROR(__xludf.DUMMYFUNCTION("""COMPUTED_VALUE"""),"")</f>
        <v/>
      </c>
      <c r="X890" s="36"/>
      <c r="Y890" s="36"/>
      <c r="Z890" s="36"/>
    </row>
    <row r="891" spans="1:26" ht="12.75" hidden="1">
      <c r="A891" s="36" t="str">
        <f ca="1">IFERROR(__xludf.DUMMYFUNCTION("""COMPUTED_VALUE"""),"")</f>
        <v/>
      </c>
      <c r="B891" s="36" t="str">
        <f ca="1">IFERROR(__xludf.DUMMYFUNCTION("""COMPUTED_VALUE"""),"")</f>
        <v/>
      </c>
      <c r="C891" s="36" t="str">
        <f ca="1">IFERROR(__xludf.DUMMYFUNCTION("""COMPUTED_VALUE"""),"")</f>
        <v/>
      </c>
      <c r="D891" s="36" t="str">
        <f ca="1">IFERROR(__xludf.DUMMYFUNCTION("""COMPUTED_VALUE"""),"")</f>
        <v/>
      </c>
      <c r="E891" s="36" t="str">
        <f ca="1">IFERROR(__xludf.DUMMYFUNCTION("""COMPUTED_VALUE"""),"")</f>
        <v/>
      </c>
      <c r="F891" s="36" t="str">
        <f ca="1">IFERROR(__xludf.DUMMYFUNCTION("""COMPUTED_VALUE"""),"")</f>
        <v/>
      </c>
      <c r="G891" s="36" t="str">
        <f ca="1">IFERROR(__xludf.DUMMYFUNCTION("""COMPUTED_VALUE"""),"")</f>
        <v/>
      </c>
      <c r="H891" s="36" t="str">
        <f ca="1">IFERROR(__xludf.DUMMYFUNCTION("""COMPUTED_VALUE"""),"")</f>
        <v/>
      </c>
      <c r="I891" s="36" t="str">
        <f ca="1">IFERROR(__xludf.DUMMYFUNCTION("""COMPUTED_VALUE"""),"")</f>
        <v/>
      </c>
      <c r="J891" s="36" t="str">
        <f ca="1">IFERROR(__xludf.DUMMYFUNCTION("""COMPUTED_VALUE"""),"")</f>
        <v/>
      </c>
      <c r="K891" s="36" t="str">
        <f ca="1">IFERROR(__xludf.DUMMYFUNCTION("""COMPUTED_VALUE"""),"")</f>
        <v/>
      </c>
      <c r="L891" s="36" t="str">
        <f ca="1">IFERROR(__xludf.DUMMYFUNCTION("""COMPUTED_VALUE"""),"")</f>
        <v/>
      </c>
      <c r="M891" s="36" t="str">
        <f ca="1">IFERROR(__xludf.DUMMYFUNCTION("""COMPUTED_VALUE"""),"")</f>
        <v/>
      </c>
      <c r="N891" s="36" t="str">
        <f ca="1">IFERROR(__xludf.DUMMYFUNCTION("""COMPUTED_VALUE"""),"")</f>
        <v/>
      </c>
      <c r="O891" s="36" t="str">
        <f ca="1">IFERROR(__xludf.DUMMYFUNCTION("""COMPUTED_VALUE"""),"")</f>
        <v/>
      </c>
      <c r="P891" s="36" t="str">
        <f ca="1">IFERROR(__xludf.DUMMYFUNCTION("""COMPUTED_VALUE"""),"")</f>
        <v/>
      </c>
      <c r="Q891" s="36" t="str">
        <f ca="1">IFERROR(__xludf.DUMMYFUNCTION("""COMPUTED_VALUE"""),"")</f>
        <v/>
      </c>
      <c r="R891" s="36" t="str">
        <f ca="1">IFERROR(__xludf.DUMMYFUNCTION("""COMPUTED_VALUE"""),"")</f>
        <v/>
      </c>
      <c r="S891" s="36" t="str">
        <f ca="1">IFERROR(__xludf.DUMMYFUNCTION("""COMPUTED_VALUE"""),"")</f>
        <v/>
      </c>
      <c r="T891" s="36" t="str">
        <f ca="1">IFERROR(__xludf.DUMMYFUNCTION("""COMPUTED_VALUE"""),"")</f>
        <v/>
      </c>
      <c r="U891" s="36" t="str">
        <f ca="1">IFERROR(__xludf.DUMMYFUNCTION("""COMPUTED_VALUE"""),"")</f>
        <v/>
      </c>
      <c r="V891" s="36" t="str">
        <f ca="1">IFERROR(__xludf.DUMMYFUNCTION("""COMPUTED_VALUE"""),"")</f>
        <v/>
      </c>
      <c r="W891" s="36" t="str">
        <f ca="1">IFERROR(__xludf.DUMMYFUNCTION("""COMPUTED_VALUE"""),"")</f>
        <v/>
      </c>
      <c r="X891" s="36"/>
      <c r="Y891" s="36"/>
      <c r="Z891" s="36"/>
    </row>
    <row r="892" spans="1:26" ht="12.75" hidden="1">
      <c r="A892" s="36" t="str">
        <f ca="1">IFERROR(__xludf.DUMMYFUNCTION("""COMPUTED_VALUE"""),"")</f>
        <v/>
      </c>
      <c r="B892" s="36" t="str">
        <f ca="1">IFERROR(__xludf.DUMMYFUNCTION("""COMPUTED_VALUE"""),"")</f>
        <v/>
      </c>
      <c r="C892" s="36" t="str">
        <f ca="1">IFERROR(__xludf.DUMMYFUNCTION("""COMPUTED_VALUE"""),"")</f>
        <v/>
      </c>
      <c r="D892" s="36" t="str">
        <f ca="1">IFERROR(__xludf.DUMMYFUNCTION("""COMPUTED_VALUE"""),"")</f>
        <v/>
      </c>
      <c r="E892" s="36" t="str">
        <f ca="1">IFERROR(__xludf.DUMMYFUNCTION("""COMPUTED_VALUE"""),"")</f>
        <v/>
      </c>
      <c r="F892" s="36" t="str">
        <f ca="1">IFERROR(__xludf.DUMMYFUNCTION("""COMPUTED_VALUE"""),"")</f>
        <v/>
      </c>
      <c r="G892" s="36" t="str">
        <f ca="1">IFERROR(__xludf.DUMMYFUNCTION("""COMPUTED_VALUE"""),"")</f>
        <v/>
      </c>
      <c r="H892" s="36" t="str">
        <f ca="1">IFERROR(__xludf.DUMMYFUNCTION("""COMPUTED_VALUE"""),"")</f>
        <v/>
      </c>
      <c r="I892" s="36" t="str">
        <f ca="1">IFERROR(__xludf.DUMMYFUNCTION("""COMPUTED_VALUE"""),"")</f>
        <v/>
      </c>
      <c r="J892" s="36" t="str">
        <f ca="1">IFERROR(__xludf.DUMMYFUNCTION("""COMPUTED_VALUE"""),"")</f>
        <v/>
      </c>
      <c r="K892" s="36" t="str">
        <f ca="1">IFERROR(__xludf.DUMMYFUNCTION("""COMPUTED_VALUE"""),"")</f>
        <v/>
      </c>
      <c r="L892" s="36" t="str">
        <f ca="1">IFERROR(__xludf.DUMMYFUNCTION("""COMPUTED_VALUE"""),"")</f>
        <v/>
      </c>
      <c r="M892" s="36" t="str">
        <f ca="1">IFERROR(__xludf.DUMMYFUNCTION("""COMPUTED_VALUE"""),"")</f>
        <v/>
      </c>
      <c r="N892" s="36" t="str">
        <f ca="1">IFERROR(__xludf.DUMMYFUNCTION("""COMPUTED_VALUE"""),"")</f>
        <v/>
      </c>
      <c r="O892" s="36" t="str">
        <f ca="1">IFERROR(__xludf.DUMMYFUNCTION("""COMPUTED_VALUE"""),"")</f>
        <v/>
      </c>
      <c r="P892" s="36" t="str">
        <f ca="1">IFERROR(__xludf.DUMMYFUNCTION("""COMPUTED_VALUE"""),"")</f>
        <v/>
      </c>
      <c r="Q892" s="36" t="str">
        <f ca="1">IFERROR(__xludf.DUMMYFUNCTION("""COMPUTED_VALUE"""),"")</f>
        <v/>
      </c>
      <c r="R892" s="36" t="str">
        <f ca="1">IFERROR(__xludf.DUMMYFUNCTION("""COMPUTED_VALUE"""),"")</f>
        <v/>
      </c>
      <c r="S892" s="36" t="str">
        <f ca="1">IFERROR(__xludf.DUMMYFUNCTION("""COMPUTED_VALUE"""),"")</f>
        <v/>
      </c>
      <c r="T892" s="36" t="str">
        <f ca="1">IFERROR(__xludf.DUMMYFUNCTION("""COMPUTED_VALUE"""),"")</f>
        <v/>
      </c>
      <c r="U892" s="36" t="str">
        <f ca="1">IFERROR(__xludf.DUMMYFUNCTION("""COMPUTED_VALUE"""),"")</f>
        <v/>
      </c>
      <c r="V892" s="36" t="str">
        <f ca="1">IFERROR(__xludf.DUMMYFUNCTION("""COMPUTED_VALUE"""),"")</f>
        <v/>
      </c>
      <c r="W892" s="36" t="str">
        <f ca="1">IFERROR(__xludf.DUMMYFUNCTION("""COMPUTED_VALUE"""),"")</f>
        <v/>
      </c>
      <c r="X892" s="36"/>
      <c r="Y892" s="36"/>
      <c r="Z892" s="36"/>
    </row>
    <row r="893" spans="1:26" ht="12.75" hidden="1">
      <c r="A893" s="36" t="str">
        <f ca="1">IFERROR(__xludf.DUMMYFUNCTION("""COMPUTED_VALUE"""),"")</f>
        <v/>
      </c>
      <c r="B893" s="36" t="str">
        <f ca="1">IFERROR(__xludf.DUMMYFUNCTION("""COMPUTED_VALUE"""),"")</f>
        <v/>
      </c>
      <c r="C893" s="36" t="str">
        <f ca="1">IFERROR(__xludf.DUMMYFUNCTION("""COMPUTED_VALUE"""),"")</f>
        <v/>
      </c>
      <c r="D893" s="36" t="str">
        <f ca="1">IFERROR(__xludf.DUMMYFUNCTION("""COMPUTED_VALUE"""),"")</f>
        <v/>
      </c>
      <c r="E893" s="36" t="str">
        <f ca="1">IFERROR(__xludf.DUMMYFUNCTION("""COMPUTED_VALUE"""),"")</f>
        <v/>
      </c>
      <c r="F893" s="36" t="str">
        <f ca="1">IFERROR(__xludf.DUMMYFUNCTION("""COMPUTED_VALUE"""),"")</f>
        <v/>
      </c>
      <c r="G893" s="36" t="str">
        <f ca="1">IFERROR(__xludf.DUMMYFUNCTION("""COMPUTED_VALUE"""),"")</f>
        <v/>
      </c>
      <c r="H893" s="36" t="str">
        <f ca="1">IFERROR(__xludf.DUMMYFUNCTION("""COMPUTED_VALUE"""),"")</f>
        <v/>
      </c>
      <c r="I893" s="36" t="str">
        <f ca="1">IFERROR(__xludf.DUMMYFUNCTION("""COMPUTED_VALUE"""),"")</f>
        <v/>
      </c>
      <c r="J893" s="36" t="str">
        <f ca="1">IFERROR(__xludf.DUMMYFUNCTION("""COMPUTED_VALUE"""),"")</f>
        <v/>
      </c>
      <c r="K893" s="36" t="str">
        <f ca="1">IFERROR(__xludf.DUMMYFUNCTION("""COMPUTED_VALUE"""),"")</f>
        <v/>
      </c>
      <c r="L893" s="36" t="str">
        <f ca="1">IFERROR(__xludf.DUMMYFUNCTION("""COMPUTED_VALUE"""),"")</f>
        <v/>
      </c>
      <c r="M893" s="36" t="str">
        <f ca="1">IFERROR(__xludf.DUMMYFUNCTION("""COMPUTED_VALUE"""),"")</f>
        <v/>
      </c>
      <c r="N893" s="36" t="str">
        <f ca="1">IFERROR(__xludf.DUMMYFUNCTION("""COMPUTED_VALUE"""),"")</f>
        <v/>
      </c>
      <c r="O893" s="36" t="str">
        <f ca="1">IFERROR(__xludf.DUMMYFUNCTION("""COMPUTED_VALUE"""),"")</f>
        <v/>
      </c>
      <c r="P893" s="36" t="str">
        <f ca="1">IFERROR(__xludf.DUMMYFUNCTION("""COMPUTED_VALUE"""),"")</f>
        <v/>
      </c>
      <c r="Q893" s="36" t="str">
        <f ca="1">IFERROR(__xludf.DUMMYFUNCTION("""COMPUTED_VALUE"""),"")</f>
        <v/>
      </c>
      <c r="R893" s="36" t="str">
        <f ca="1">IFERROR(__xludf.DUMMYFUNCTION("""COMPUTED_VALUE"""),"")</f>
        <v/>
      </c>
      <c r="S893" s="36" t="str">
        <f ca="1">IFERROR(__xludf.DUMMYFUNCTION("""COMPUTED_VALUE"""),"")</f>
        <v/>
      </c>
      <c r="T893" s="36" t="str">
        <f ca="1">IFERROR(__xludf.DUMMYFUNCTION("""COMPUTED_VALUE"""),"")</f>
        <v/>
      </c>
      <c r="U893" s="36" t="str">
        <f ca="1">IFERROR(__xludf.DUMMYFUNCTION("""COMPUTED_VALUE"""),"")</f>
        <v/>
      </c>
      <c r="V893" s="36" t="str">
        <f ca="1">IFERROR(__xludf.DUMMYFUNCTION("""COMPUTED_VALUE"""),"")</f>
        <v/>
      </c>
      <c r="W893" s="36" t="str">
        <f ca="1">IFERROR(__xludf.DUMMYFUNCTION("""COMPUTED_VALUE"""),"")</f>
        <v/>
      </c>
      <c r="X893" s="36"/>
      <c r="Y893" s="36"/>
      <c r="Z893" s="36"/>
    </row>
    <row r="894" spans="1:26" ht="12.75" hidden="1">
      <c r="A894" s="36" t="str">
        <f ca="1">IFERROR(__xludf.DUMMYFUNCTION("""COMPUTED_VALUE"""),"")</f>
        <v/>
      </c>
      <c r="B894" s="36" t="str">
        <f ca="1">IFERROR(__xludf.DUMMYFUNCTION("""COMPUTED_VALUE"""),"")</f>
        <v/>
      </c>
      <c r="C894" s="36" t="str">
        <f ca="1">IFERROR(__xludf.DUMMYFUNCTION("""COMPUTED_VALUE"""),"")</f>
        <v/>
      </c>
      <c r="D894" s="36" t="str">
        <f ca="1">IFERROR(__xludf.DUMMYFUNCTION("""COMPUTED_VALUE"""),"")</f>
        <v/>
      </c>
      <c r="E894" s="36" t="str">
        <f ca="1">IFERROR(__xludf.DUMMYFUNCTION("""COMPUTED_VALUE"""),"")</f>
        <v/>
      </c>
      <c r="F894" s="36" t="str">
        <f ca="1">IFERROR(__xludf.DUMMYFUNCTION("""COMPUTED_VALUE"""),"")</f>
        <v/>
      </c>
      <c r="G894" s="36" t="str">
        <f ca="1">IFERROR(__xludf.DUMMYFUNCTION("""COMPUTED_VALUE"""),"")</f>
        <v/>
      </c>
      <c r="H894" s="36" t="str">
        <f ca="1">IFERROR(__xludf.DUMMYFUNCTION("""COMPUTED_VALUE"""),"")</f>
        <v/>
      </c>
      <c r="I894" s="36" t="str">
        <f ca="1">IFERROR(__xludf.DUMMYFUNCTION("""COMPUTED_VALUE"""),"")</f>
        <v/>
      </c>
      <c r="J894" s="36" t="str">
        <f ca="1">IFERROR(__xludf.DUMMYFUNCTION("""COMPUTED_VALUE"""),"")</f>
        <v/>
      </c>
      <c r="K894" s="36" t="str">
        <f ca="1">IFERROR(__xludf.DUMMYFUNCTION("""COMPUTED_VALUE"""),"")</f>
        <v/>
      </c>
      <c r="L894" s="36" t="str">
        <f ca="1">IFERROR(__xludf.DUMMYFUNCTION("""COMPUTED_VALUE"""),"")</f>
        <v/>
      </c>
      <c r="M894" s="36" t="str">
        <f ca="1">IFERROR(__xludf.DUMMYFUNCTION("""COMPUTED_VALUE"""),"")</f>
        <v/>
      </c>
      <c r="N894" s="36" t="str">
        <f ca="1">IFERROR(__xludf.DUMMYFUNCTION("""COMPUTED_VALUE"""),"")</f>
        <v/>
      </c>
      <c r="O894" s="36" t="str">
        <f ca="1">IFERROR(__xludf.DUMMYFUNCTION("""COMPUTED_VALUE"""),"")</f>
        <v/>
      </c>
      <c r="P894" s="36" t="str">
        <f ca="1">IFERROR(__xludf.DUMMYFUNCTION("""COMPUTED_VALUE"""),"")</f>
        <v/>
      </c>
      <c r="Q894" s="36" t="str">
        <f ca="1">IFERROR(__xludf.DUMMYFUNCTION("""COMPUTED_VALUE"""),"")</f>
        <v/>
      </c>
      <c r="R894" s="36" t="str">
        <f ca="1">IFERROR(__xludf.DUMMYFUNCTION("""COMPUTED_VALUE"""),"")</f>
        <v/>
      </c>
      <c r="S894" s="36" t="str">
        <f ca="1">IFERROR(__xludf.DUMMYFUNCTION("""COMPUTED_VALUE"""),"")</f>
        <v/>
      </c>
      <c r="T894" s="36" t="str">
        <f ca="1">IFERROR(__xludf.DUMMYFUNCTION("""COMPUTED_VALUE"""),"")</f>
        <v/>
      </c>
      <c r="U894" s="36" t="str">
        <f ca="1">IFERROR(__xludf.DUMMYFUNCTION("""COMPUTED_VALUE"""),"")</f>
        <v/>
      </c>
      <c r="V894" s="36" t="str">
        <f ca="1">IFERROR(__xludf.DUMMYFUNCTION("""COMPUTED_VALUE"""),"")</f>
        <v/>
      </c>
      <c r="W894" s="36" t="str">
        <f ca="1">IFERROR(__xludf.DUMMYFUNCTION("""COMPUTED_VALUE"""),"")</f>
        <v/>
      </c>
      <c r="X894" s="36"/>
      <c r="Y894" s="36"/>
      <c r="Z894" s="36"/>
    </row>
    <row r="895" spans="1:26" ht="12.75" hidden="1">
      <c r="A895" s="36" t="str">
        <f ca="1">IFERROR(__xludf.DUMMYFUNCTION("""COMPUTED_VALUE"""),"")</f>
        <v/>
      </c>
      <c r="B895" s="36" t="str">
        <f ca="1">IFERROR(__xludf.DUMMYFUNCTION("""COMPUTED_VALUE"""),"")</f>
        <v/>
      </c>
      <c r="C895" s="36" t="str">
        <f ca="1">IFERROR(__xludf.DUMMYFUNCTION("""COMPUTED_VALUE"""),"")</f>
        <v/>
      </c>
      <c r="D895" s="36" t="str">
        <f ca="1">IFERROR(__xludf.DUMMYFUNCTION("""COMPUTED_VALUE"""),"")</f>
        <v/>
      </c>
      <c r="E895" s="36" t="str">
        <f ca="1">IFERROR(__xludf.DUMMYFUNCTION("""COMPUTED_VALUE"""),"")</f>
        <v/>
      </c>
      <c r="F895" s="36" t="str">
        <f ca="1">IFERROR(__xludf.DUMMYFUNCTION("""COMPUTED_VALUE"""),"")</f>
        <v/>
      </c>
      <c r="G895" s="36" t="str">
        <f ca="1">IFERROR(__xludf.DUMMYFUNCTION("""COMPUTED_VALUE"""),"")</f>
        <v/>
      </c>
      <c r="H895" s="36" t="str">
        <f ca="1">IFERROR(__xludf.DUMMYFUNCTION("""COMPUTED_VALUE"""),"")</f>
        <v/>
      </c>
      <c r="I895" s="36" t="str">
        <f ca="1">IFERROR(__xludf.DUMMYFUNCTION("""COMPUTED_VALUE"""),"")</f>
        <v/>
      </c>
      <c r="J895" s="36" t="str">
        <f ca="1">IFERROR(__xludf.DUMMYFUNCTION("""COMPUTED_VALUE"""),"")</f>
        <v/>
      </c>
      <c r="K895" s="36" t="str">
        <f ca="1">IFERROR(__xludf.DUMMYFUNCTION("""COMPUTED_VALUE"""),"")</f>
        <v/>
      </c>
      <c r="L895" s="36" t="str">
        <f ca="1">IFERROR(__xludf.DUMMYFUNCTION("""COMPUTED_VALUE"""),"")</f>
        <v/>
      </c>
      <c r="M895" s="36" t="str">
        <f ca="1">IFERROR(__xludf.DUMMYFUNCTION("""COMPUTED_VALUE"""),"")</f>
        <v/>
      </c>
      <c r="N895" s="36" t="str">
        <f ca="1">IFERROR(__xludf.DUMMYFUNCTION("""COMPUTED_VALUE"""),"")</f>
        <v/>
      </c>
      <c r="O895" s="36" t="str">
        <f ca="1">IFERROR(__xludf.DUMMYFUNCTION("""COMPUTED_VALUE"""),"")</f>
        <v/>
      </c>
      <c r="P895" s="36" t="str">
        <f ca="1">IFERROR(__xludf.DUMMYFUNCTION("""COMPUTED_VALUE"""),"")</f>
        <v/>
      </c>
      <c r="Q895" s="36" t="str">
        <f ca="1">IFERROR(__xludf.DUMMYFUNCTION("""COMPUTED_VALUE"""),"")</f>
        <v/>
      </c>
      <c r="R895" s="36" t="str">
        <f ca="1">IFERROR(__xludf.DUMMYFUNCTION("""COMPUTED_VALUE"""),"")</f>
        <v/>
      </c>
      <c r="S895" s="36" t="str">
        <f ca="1">IFERROR(__xludf.DUMMYFUNCTION("""COMPUTED_VALUE"""),"")</f>
        <v/>
      </c>
      <c r="T895" s="36" t="str">
        <f ca="1">IFERROR(__xludf.DUMMYFUNCTION("""COMPUTED_VALUE"""),"")</f>
        <v/>
      </c>
      <c r="U895" s="36" t="str">
        <f ca="1">IFERROR(__xludf.DUMMYFUNCTION("""COMPUTED_VALUE"""),"")</f>
        <v/>
      </c>
      <c r="V895" s="36" t="str">
        <f ca="1">IFERROR(__xludf.DUMMYFUNCTION("""COMPUTED_VALUE"""),"")</f>
        <v/>
      </c>
      <c r="W895" s="36" t="str">
        <f ca="1">IFERROR(__xludf.DUMMYFUNCTION("""COMPUTED_VALUE"""),"")</f>
        <v/>
      </c>
      <c r="X895" s="36"/>
      <c r="Y895" s="36"/>
      <c r="Z895" s="36"/>
    </row>
    <row r="896" spans="1:26" ht="12.75" hidden="1">
      <c r="A896" s="36" t="str">
        <f ca="1">IFERROR(__xludf.DUMMYFUNCTION("""COMPUTED_VALUE"""),"")</f>
        <v/>
      </c>
      <c r="B896" s="36" t="str">
        <f ca="1">IFERROR(__xludf.DUMMYFUNCTION("""COMPUTED_VALUE"""),"")</f>
        <v/>
      </c>
      <c r="C896" s="36" t="str">
        <f ca="1">IFERROR(__xludf.DUMMYFUNCTION("""COMPUTED_VALUE"""),"")</f>
        <v/>
      </c>
      <c r="D896" s="36" t="str">
        <f ca="1">IFERROR(__xludf.DUMMYFUNCTION("""COMPUTED_VALUE"""),"")</f>
        <v/>
      </c>
      <c r="E896" s="36" t="str">
        <f ca="1">IFERROR(__xludf.DUMMYFUNCTION("""COMPUTED_VALUE"""),"")</f>
        <v/>
      </c>
      <c r="F896" s="36" t="str">
        <f ca="1">IFERROR(__xludf.DUMMYFUNCTION("""COMPUTED_VALUE"""),"")</f>
        <v/>
      </c>
      <c r="G896" s="36" t="str">
        <f ca="1">IFERROR(__xludf.DUMMYFUNCTION("""COMPUTED_VALUE"""),"")</f>
        <v/>
      </c>
      <c r="H896" s="36" t="str">
        <f ca="1">IFERROR(__xludf.DUMMYFUNCTION("""COMPUTED_VALUE"""),"")</f>
        <v/>
      </c>
      <c r="I896" s="36" t="str">
        <f ca="1">IFERROR(__xludf.DUMMYFUNCTION("""COMPUTED_VALUE"""),"")</f>
        <v/>
      </c>
      <c r="J896" s="36" t="str">
        <f ca="1">IFERROR(__xludf.DUMMYFUNCTION("""COMPUTED_VALUE"""),"")</f>
        <v/>
      </c>
      <c r="K896" s="36" t="str">
        <f ca="1">IFERROR(__xludf.DUMMYFUNCTION("""COMPUTED_VALUE"""),"")</f>
        <v/>
      </c>
      <c r="L896" s="36" t="str">
        <f ca="1">IFERROR(__xludf.DUMMYFUNCTION("""COMPUTED_VALUE"""),"")</f>
        <v/>
      </c>
      <c r="M896" s="36" t="str">
        <f ca="1">IFERROR(__xludf.DUMMYFUNCTION("""COMPUTED_VALUE"""),"")</f>
        <v/>
      </c>
      <c r="N896" s="36" t="str">
        <f ca="1">IFERROR(__xludf.DUMMYFUNCTION("""COMPUTED_VALUE"""),"")</f>
        <v/>
      </c>
      <c r="O896" s="36" t="str">
        <f ca="1">IFERROR(__xludf.DUMMYFUNCTION("""COMPUTED_VALUE"""),"")</f>
        <v/>
      </c>
      <c r="P896" s="36" t="str">
        <f ca="1">IFERROR(__xludf.DUMMYFUNCTION("""COMPUTED_VALUE"""),"")</f>
        <v/>
      </c>
      <c r="Q896" s="36" t="str">
        <f ca="1">IFERROR(__xludf.DUMMYFUNCTION("""COMPUTED_VALUE"""),"")</f>
        <v/>
      </c>
      <c r="R896" s="36" t="str">
        <f ca="1">IFERROR(__xludf.DUMMYFUNCTION("""COMPUTED_VALUE"""),"")</f>
        <v/>
      </c>
      <c r="S896" s="36" t="str">
        <f ca="1">IFERROR(__xludf.DUMMYFUNCTION("""COMPUTED_VALUE"""),"")</f>
        <v/>
      </c>
      <c r="T896" s="36" t="str">
        <f ca="1">IFERROR(__xludf.DUMMYFUNCTION("""COMPUTED_VALUE"""),"")</f>
        <v/>
      </c>
      <c r="U896" s="36" t="str">
        <f ca="1">IFERROR(__xludf.DUMMYFUNCTION("""COMPUTED_VALUE"""),"")</f>
        <v/>
      </c>
      <c r="V896" s="36" t="str">
        <f ca="1">IFERROR(__xludf.DUMMYFUNCTION("""COMPUTED_VALUE"""),"")</f>
        <v/>
      </c>
      <c r="W896" s="36" t="str">
        <f ca="1">IFERROR(__xludf.DUMMYFUNCTION("""COMPUTED_VALUE"""),"")</f>
        <v/>
      </c>
      <c r="X896" s="36"/>
      <c r="Y896" s="36"/>
      <c r="Z896" s="36"/>
    </row>
    <row r="897" spans="1:26" ht="12.75" hidden="1">
      <c r="A897" s="36" t="str">
        <f ca="1">IFERROR(__xludf.DUMMYFUNCTION("""COMPUTED_VALUE"""),"")</f>
        <v/>
      </c>
      <c r="B897" s="36" t="str">
        <f ca="1">IFERROR(__xludf.DUMMYFUNCTION("""COMPUTED_VALUE"""),"")</f>
        <v/>
      </c>
      <c r="C897" s="36" t="str">
        <f ca="1">IFERROR(__xludf.DUMMYFUNCTION("""COMPUTED_VALUE"""),"")</f>
        <v/>
      </c>
      <c r="D897" s="36" t="str">
        <f ca="1">IFERROR(__xludf.DUMMYFUNCTION("""COMPUTED_VALUE"""),"")</f>
        <v/>
      </c>
      <c r="E897" s="36" t="str">
        <f ca="1">IFERROR(__xludf.DUMMYFUNCTION("""COMPUTED_VALUE"""),"")</f>
        <v/>
      </c>
      <c r="F897" s="36" t="str">
        <f ca="1">IFERROR(__xludf.DUMMYFUNCTION("""COMPUTED_VALUE"""),"")</f>
        <v/>
      </c>
      <c r="G897" s="36" t="str">
        <f ca="1">IFERROR(__xludf.DUMMYFUNCTION("""COMPUTED_VALUE"""),"")</f>
        <v/>
      </c>
      <c r="H897" s="36" t="str">
        <f ca="1">IFERROR(__xludf.DUMMYFUNCTION("""COMPUTED_VALUE"""),"")</f>
        <v/>
      </c>
      <c r="I897" s="36" t="str">
        <f ca="1">IFERROR(__xludf.DUMMYFUNCTION("""COMPUTED_VALUE"""),"")</f>
        <v/>
      </c>
      <c r="J897" s="36" t="str">
        <f ca="1">IFERROR(__xludf.DUMMYFUNCTION("""COMPUTED_VALUE"""),"")</f>
        <v/>
      </c>
      <c r="K897" s="36" t="str">
        <f ca="1">IFERROR(__xludf.DUMMYFUNCTION("""COMPUTED_VALUE"""),"")</f>
        <v/>
      </c>
      <c r="L897" s="36" t="str">
        <f ca="1">IFERROR(__xludf.DUMMYFUNCTION("""COMPUTED_VALUE"""),"")</f>
        <v/>
      </c>
      <c r="M897" s="36" t="str">
        <f ca="1">IFERROR(__xludf.DUMMYFUNCTION("""COMPUTED_VALUE"""),"")</f>
        <v/>
      </c>
      <c r="N897" s="36" t="str">
        <f ca="1">IFERROR(__xludf.DUMMYFUNCTION("""COMPUTED_VALUE"""),"")</f>
        <v/>
      </c>
      <c r="O897" s="36" t="str">
        <f ca="1">IFERROR(__xludf.DUMMYFUNCTION("""COMPUTED_VALUE"""),"")</f>
        <v/>
      </c>
      <c r="P897" s="36" t="str">
        <f ca="1">IFERROR(__xludf.DUMMYFUNCTION("""COMPUTED_VALUE"""),"")</f>
        <v/>
      </c>
      <c r="Q897" s="36" t="str">
        <f ca="1">IFERROR(__xludf.DUMMYFUNCTION("""COMPUTED_VALUE"""),"")</f>
        <v/>
      </c>
      <c r="R897" s="36" t="str">
        <f ca="1">IFERROR(__xludf.DUMMYFUNCTION("""COMPUTED_VALUE"""),"")</f>
        <v/>
      </c>
      <c r="S897" s="36" t="str">
        <f ca="1">IFERROR(__xludf.DUMMYFUNCTION("""COMPUTED_VALUE"""),"")</f>
        <v/>
      </c>
      <c r="T897" s="36" t="str">
        <f ca="1">IFERROR(__xludf.DUMMYFUNCTION("""COMPUTED_VALUE"""),"")</f>
        <v/>
      </c>
      <c r="U897" s="36" t="str">
        <f ca="1">IFERROR(__xludf.DUMMYFUNCTION("""COMPUTED_VALUE"""),"")</f>
        <v/>
      </c>
      <c r="V897" s="36" t="str">
        <f ca="1">IFERROR(__xludf.DUMMYFUNCTION("""COMPUTED_VALUE"""),"")</f>
        <v/>
      </c>
      <c r="W897" s="36" t="str">
        <f ca="1">IFERROR(__xludf.DUMMYFUNCTION("""COMPUTED_VALUE"""),"")</f>
        <v/>
      </c>
      <c r="X897" s="36"/>
      <c r="Y897" s="36"/>
      <c r="Z897" s="36"/>
    </row>
    <row r="898" spans="1:26" ht="12.75" hidden="1">
      <c r="A898" s="36" t="str">
        <f ca="1">IFERROR(__xludf.DUMMYFUNCTION("""COMPUTED_VALUE"""),"")</f>
        <v/>
      </c>
      <c r="B898" s="36" t="str">
        <f ca="1">IFERROR(__xludf.DUMMYFUNCTION("""COMPUTED_VALUE"""),"")</f>
        <v/>
      </c>
      <c r="C898" s="36" t="str">
        <f ca="1">IFERROR(__xludf.DUMMYFUNCTION("""COMPUTED_VALUE"""),"")</f>
        <v/>
      </c>
      <c r="D898" s="36" t="str">
        <f ca="1">IFERROR(__xludf.DUMMYFUNCTION("""COMPUTED_VALUE"""),"")</f>
        <v/>
      </c>
      <c r="E898" s="36" t="str">
        <f ca="1">IFERROR(__xludf.DUMMYFUNCTION("""COMPUTED_VALUE"""),"")</f>
        <v/>
      </c>
      <c r="F898" s="36" t="str">
        <f ca="1">IFERROR(__xludf.DUMMYFUNCTION("""COMPUTED_VALUE"""),"")</f>
        <v/>
      </c>
      <c r="G898" s="36" t="str">
        <f ca="1">IFERROR(__xludf.DUMMYFUNCTION("""COMPUTED_VALUE"""),"")</f>
        <v/>
      </c>
      <c r="H898" s="36" t="str">
        <f ca="1">IFERROR(__xludf.DUMMYFUNCTION("""COMPUTED_VALUE"""),"")</f>
        <v/>
      </c>
      <c r="I898" s="36" t="str">
        <f ca="1">IFERROR(__xludf.DUMMYFUNCTION("""COMPUTED_VALUE"""),"")</f>
        <v/>
      </c>
      <c r="J898" s="36" t="str">
        <f ca="1">IFERROR(__xludf.DUMMYFUNCTION("""COMPUTED_VALUE"""),"")</f>
        <v/>
      </c>
      <c r="K898" s="36" t="str">
        <f ca="1">IFERROR(__xludf.DUMMYFUNCTION("""COMPUTED_VALUE"""),"")</f>
        <v/>
      </c>
      <c r="L898" s="36" t="str">
        <f ca="1">IFERROR(__xludf.DUMMYFUNCTION("""COMPUTED_VALUE"""),"")</f>
        <v/>
      </c>
      <c r="M898" s="36" t="str">
        <f ca="1">IFERROR(__xludf.DUMMYFUNCTION("""COMPUTED_VALUE"""),"")</f>
        <v/>
      </c>
      <c r="N898" s="36" t="str">
        <f ca="1">IFERROR(__xludf.DUMMYFUNCTION("""COMPUTED_VALUE"""),"")</f>
        <v/>
      </c>
      <c r="O898" s="36" t="str">
        <f ca="1">IFERROR(__xludf.DUMMYFUNCTION("""COMPUTED_VALUE"""),"")</f>
        <v/>
      </c>
      <c r="P898" s="36" t="str">
        <f ca="1">IFERROR(__xludf.DUMMYFUNCTION("""COMPUTED_VALUE"""),"")</f>
        <v/>
      </c>
      <c r="Q898" s="36" t="str">
        <f ca="1">IFERROR(__xludf.DUMMYFUNCTION("""COMPUTED_VALUE"""),"")</f>
        <v/>
      </c>
      <c r="R898" s="36" t="str">
        <f ca="1">IFERROR(__xludf.DUMMYFUNCTION("""COMPUTED_VALUE"""),"")</f>
        <v/>
      </c>
      <c r="S898" s="36" t="str">
        <f ca="1">IFERROR(__xludf.DUMMYFUNCTION("""COMPUTED_VALUE"""),"")</f>
        <v/>
      </c>
      <c r="T898" s="36" t="str">
        <f ca="1">IFERROR(__xludf.DUMMYFUNCTION("""COMPUTED_VALUE"""),"")</f>
        <v/>
      </c>
      <c r="U898" s="36" t="str">
        <f ca="1">IFERROR(__xludf.DUMMYFUNCTION("""COMPUTED_VALUE"""),"")</f>
        <v/>
      </c>
      <c r="V898" s="36" t="str">
        <f ca="1">IFERROR(__xludf.DUMMYFUNCTION("""COMPUTED_VALUE"""),"")</f>
        <v/>
      </c>
      <c r="W898" s="36" t="str">
        <f ca="1">IFERROR(__xludf.DUMMYFUNCTION("""COMPUTED_VALUE"""),"")</f>
        <v/>
      </c>
      <c r="X898" s="36"/>
      <c r="Y898" s="36"/>
      <c r="Z898" s="36"/>
    </row>
    <row r="899" spans="1:26" ht="12.75" hidden="1">
      <c r="A899" s="36" t="str">
        <f ca="1">IFERROR(__xludf.DUMMYFUNCTION("""COMPUTED_VALUE"""),"")</f>
        <v/>
      </c>
      <c r="B899" s="36" t="str">
        <f ca="1">IFERROR(__xludf.DUMMYFUNCTION("""COMPUTED_VALUE"""),"")</f>
        <v/>
      </c>
      <c r="C899" s="36" t="str">
        <f ca="1">IFERROR(__xludf.DUMMYFUNCTION("""COMPUTED_VALUE"""),"")</f>
        <v/>
      </c>
      <c r="D899" s="36" t="str">
        <f ca="1">IFERROR(__xludf.DUMMYFUNCTION("""COMPUTED_VALUE"""),"")</f>
        <v/>
      </c>
      <c r="E899" s="36" t="str">
        <f ca="1">IFERROR(__xludf.DUMMYFUNCTION("""COMPUTED_VALUE"""),"")</f>
        <v/>
      </c>
      <c r="F899" s="36" t="str">
        <f ca="1">IFERROR(__xludf.DUMMYFUNCTION("""COMPUTED_VALUE"""),"")</f>
        <v/>
      </c>
      <c r="G899" s="36" t="str">
        <f ca="1">IFERROR(__xludf.DUMMYFUNCTION("""COMPUTED_VALUE"""),"")</f>
        <v/>
      </c>
      <c r="H899" s="36" t="str">
        <f ca="1">IFERROR(__xludf.DUMMYFUNCTION("""COMPUTED_VALUE"""),"")</f>
        <v/>
      </c>
      <c r="I899" s="36" t="str">
        <f ca="1">IFERROR(__xludf.DUMMYFUNCTION("""COMPUTED_VALUE"""),"")</f>
        <v/>
      </c>
      <c r="J899" s="36" t="str">
        <f ca="1">IFERROR(__xludf.DUMMYFUNCTION("""COMPUTED_VALUE"""),"")</f>
        <v/>
      </c>
      <c r="K899" s="36" t="str">
        <f ca="1">IFERROR(__xludf.DUMMYFUNCTION("""COMPUTED_VALUE"""),"")</f>
        <v/>
      </c>
      <c r="L899" s="36" t="str">
        <f ca="1">IFERROR(__xludf.DUMMYFUNCTION("""COMPUTED_VALUE"""),"")</f>
        <v/>
      </c>
      <c r="M899" s="36" t="str">
        <f ca="1">IFERROR(__xludf.DUMMYFUNCTION("""COMPUTED_VALUE"""),"")</f>
        <v/>
      </c>
      <c r="N899" s="36" t="str">
        <f ca="1">IFERROR(__xludf.DUMMYFUNCTION("""COMPUTED_VALUE"""),"")</f>
        <v/>
      </c>
      <c r="O899" s="36" t="str">
        <f ca="1">IFERROR(__xludf.DUMMYFUNCTION("""COMPUTED_VALUE"""),"")</f>
        <v/>
      </c>
      <c r="P899" s="36" t="str">
        <f ca="1">IFERROR(__xludf.DUMMYFUNCTION("""COMPUTED_VALUE"""),"")</f>
        <v/>
      </c>
      <c r="Q899" s="36" t="str">
        <f ca="1">IFERROR(__xludf.DUMMYFUNCTION("""COMPUTED_VALUE"""),"")</f>
        <v/>
      </c>
      <c r="R899" s="36" t="str">
        <f ca="1">IFERROR(__xludf.DUMMYFUNCTION("""COMPUTED_VALUE"""),"")</f>
        <v/>
      </c>
      <c r="S899" s="36" t="str">
        <f ca="1">IFERROR(__xludf.DUMMYFUNCTION("""COMPUTED_VALUE"""),"")</f>
        <v/>
      </c>
      <c r="T899" s="36" t="str">
        <f ca="1">IFERROR(__xludf.DUMMYFUNCTION("""COMPUTED_VALUE"""),"")</f>
        <v/>
      </c>
      <c r="U899" s="36" t="str">
        <f ca="1">IFERROR(__xludf.DUMMYFUNCTION("""COMPUTED_VALUE"""),"")</f>
        <v/>
      </c>
      <c r="V899" s="36" t="str">
        <f ca="1">IFERROR(__xludf.DUMMYFUNCTION("""COMPUTED_VALUE"""),"")</f>
        <v/>
      </c>
      <c r="W899" s="36" t="str">
        <f ca="1">IFERROR(__xludf.DUMMYFUNCTION("""COMPUTED_VALUE"""),"")</f>
        <v/>
      </c>
      <c r="X899" s="36"/>
      <c r="Y899" s="36"/>
      <c r="Z899" s="36"/>
    </row>
    <row r="900" spans="1:26" ht="12.75" hidden="1">
      <c r="A900" s="36" t="str">
        <f ca="1">IFERROR(__xludf.DUMMYFUNCTION("""COMPUTED_VALUE"""),"")</f>
        <v/>
      </c>
      <c r="B900" s="36" t="str">
        <f ca="1">IFERROR(__xludf.DUMMYFUNCTION("""COMPUTED_VALUE"""),"")</f>
        <v/>
      </c>
      <c r="C900" s="36" t="str">
        <f ca="1">IFERROR(__xludf.DUMMYFUNCTION("""COMPUTED_VALUE"""),"")</f>
        <v/>
      </c>
      <c r="D900" s="36" t="str">
        <f ca="1">IFERROR(__xludf.DUMMYFUNCTION("""COMPUTED_VALUE"""),"")</f>
        <v/>
      </c>
      <c r="E900" s="36" t="str">
        <f ca="1">IFERROR(__xludf.DUMMYFUNCTION("""COMPUTED_VALUE"""),"")</f>
        <v/>
      </c>
      <c r="F900" s="36" t="str">
        <f ca="1">IFERROR(__xludf.DUMMYFUNCTION("""COMPUTED_VALUE"""),"")</f>
        <v/>
      </c>
      <c r="G900" s="36" t="str">
        <f ca="1">IFERROR(__xludf.DUMMYFUNCTION("""COMPUTED_VALUE"""),"")</f>
        <v/>
      </c>
      <c r="H900" s="36" t="str">
        <f ca="1">IFERROR(__xludf.DUMMYFUNCTION("""COMPUTED_VALUE"""),"")</f>
        <v/>
      </c>
      <c r="I900" s="36" t="str">
        <f ca="1">IFERROR(__xludf.DUMMYFUNCTION("""COMPUTED_VALUE"""),"")</f>
        <v/>
      </c>
      <c r="J900" s="36" t="str">
        <f ca="1">IFERROR(__xludf.DUMMYFUNCTION("""COMPUTED_VALUE"""),"")</f>
        <v/>
      </c>
      <c r="K900" s="36" t="str">
        <f ca="1">IFERROR(__xludf.DUMMYFUNCTION("""COMPUTED_VALUE"""),"")</f>
        <v/>
      </c>
      <c r="L900" s="36" t="str">
        <f ca="1">IFERROR(__xludf.DUMMYFUNCTION("""COMPUTED_VALUE"""),"")</f>
        <v/>
      </c>
      <c r="M900" s="36" t="str">
        <f ca="1">IFERROR(__xludf.DUMMYFUNCTION("""COMPUTED_VALUE"""),"")</f>
        <v/>
      </c>
      <c r="N900" s="36" t="str">
        <f ca="1">IFERROR(__xludf.DUMMYFUNCTION("""COMPUTED_VALUE"""),"")</f>
        <v/>
      </c>
      <c r="O900" s="36" t="str">
        <f ca="1">IFERROR(__xludf.DUMMYFUNCTION("""COMPUTED_VALUE"""),"")</f>
        <v/>
      </c>
      <c r="P900" s="36" t="str">
        <f ca="1">IFERROR(__xludf.DUMMYFUNCTION("""COMPUTED_VALUE"""),"")</f>
        <v/>
      </c>
      <c r="Q900" s="36" t="str">
        <f ca="1">IFERROR(__xludf.DUMMYFUNCTION("""COMPUTED_VALUE"""),"")</f>
        <v/>
      </c>
      <c r="R900" s="36" t="str">
        <f ca="1">IFERROR(__xludf.DUMMYFUNCTION("""COMPUTED_VALUE"""),"")</f>
        <v/>
      </c>
      <c r="S900" s="36" t="str">
        <f ca="1">IFERROR(__xludf.DUMMYFUNCTION("""COMPUTED_VALUE"""),"")</f>
        <v/>
      </c>
      <c r="T900" s="36" t="str">
        <f ca="1">IFERROR(__xludf.DUMMYFUNCTION("""COMPUTED_VALUE"""),"")</f>
        <v/>
      </c>
      <c r="U900" s="36" t="str">
        <f ca="1">IFERROR(__xludf.DUMMYFUNCTION("""COMPUTED_VALUE"""),"")</f>
        <v/>
      </c>
      <c r="V900" s="36" t="str">
        <f ca="1">IFERROR(__xludf.DUMMYFUNCTION("""COMPUTED_VALUE"""),"")</f>
        <v/>
      </c>
      <c r="W900" s="36" t="str">
        <f ca="1">IFERROR(__xludf.DUMMYFUNCTION("""COMPUTED_VALUE"""),"")</f>
        <v/>
      </c>
      <c r="X900" s="36"/>
      <c r="Y900" s="36"/>
      <c r="Z900" s="36"/>
    </row>
    <row r="901" spans="1:26" ht="12.75" hidden="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2.75" hidden="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2.75" hidden="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2.75" hidden="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2.75" hidden="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2.75" hidden="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2.75" hidden="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2.75" hidden="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2.75" hidden="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2.75" hidden="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2.75" hidden="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2.75" hidden="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2.75" hidden="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2.75" hidden="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2.75" hidden="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2.75" hidden="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2.75" hidden="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2.75" hidden="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2.75" hidden="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2.75" hidden="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2.75" hidden="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2.75" hidden="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2.75" hidden="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2.75" hidden="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2.75" hidden="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2.75" hidden="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2.75" hidden="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2.75" hidden="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2.75" hidden="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2.75" hidden="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2.75" hidden="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2.75" hidden="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2.75" hidden="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2.75" hidden="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2.75" hidden="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2.75" hidden="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2.75" hidden="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2.75" hidden="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2.75" hidden="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2.75" hidden="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2.75" hidden="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2.75" hidden="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2.75" hidden="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2.75" hidden="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2.75" hidden="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2.75" hidden="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2.75" hidden="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2.75" hidden="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2.75" hidden="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2.75" hidden="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2.75" hidden="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2.75" hidden="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2.75" hidden="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2.75" hidden="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2.75" hidden="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2.75" hidden="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2.75" hidden="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2.75" hidden="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2.75" hidden="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2.75" hidden="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2.75" hidden="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2.75" hidden="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2.75" hidden="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2.75" hidden="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2.75" hidden="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2.75" hidden="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2.75" hidden="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2.75" hidden="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2.75" hidden="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2.75" hidden="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2.75" hidden="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2.75" hidden="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2.75" hidden="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2.75" hidden="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2.75" hidden="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2.75" hidden="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2.75" hidden="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2.75" hidden="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2.75" hidden="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2.75" hidden="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2.75" hidden="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2.75" hidden="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2.75" hidden="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2.75" hidden="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2.75" hidden="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2.75" hidden="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2.75" hidden="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2.75" hidden="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2.75" hidden="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2.75" hidden="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2.75" hidden="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2.75" hidden="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2.75" hidden="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2.75" hidden="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2.75" hidden="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2.75" hidden="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2.75" hidden="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2.75" hidden="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2.75" hidden="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2.75" hidden="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autoFilter ref="A1:Z1000" xr:uid="{00000000-0009-0000-0000-000007000000}">
    <filterColumn colId="0">
      <filters>
        <filter val="Aragón"/>
        <filter val="Castilla y León"/>
      </filters>
    </filterColumn>
  </autoFilter>
  <hyperlinks>
    <hyperlink ref="K10" r:id="rId1" display="https://maps.google.es/maps?oe=utf-8&amp;client=firefox-a&amp;q=villanova&amp;ie=UTF-8&amp;hq=&amp;hnear=0x12a7d800ff9b261b:0x4018c6508cea590,Villanova&amp;gl=es&amp;ei=Bo3HT9ecDdKLhQfVxcCTCw&amp;oi=geocode_result&amp;ved=0CBoQ8gEwAQ" xr:uid="{00000000-0004-0000-0700-000000000000}"/>
    <hyperlink ref="K18" r:id="rId2" display="https://maps.google.com/maps?q=Proaza&amp;hl=en&amp;ll=43.240951,-6.01759&amp;spn=0.080533,0.181103&amp;hnear=Proaza,+Asturias,+Spain&amp;t=m&amp;z=13" xr:uid="{00000000-0004-0000-0700-000001000000}"/>
    <hyperlink ref="K37" r:id="rId3" display="http://goo.gl/maps/qMKa" xr:uid="{00000000-0004-0000-0700-000002000000}"/>
    <hyperlink ref="K43" r:id="rId4" display="https://maps.google.es/maps?q=Los+Llazos,+La+Pern%C3%ADa&amp;hl=es&amp;ie=UTF8&amp;ll=42.979841,-4.487325&amp;spn=0.006899,0.016512&amp;sll=40.396764,-3.713379&amp;sspn=14.695835,33.815918&amp;oq=los+llazos&amp;hnear=Los+Llazos,+La+Pern%C3%ADa,+Palencia,+Castilla+y+Le%C3%B3n&amp;t=h&amp;z=17" xr:uid="{00000000-0004-0000-0700-000003000000}"/>
    <hyperlink ref="K52" r:id="rId5" display="https://maps.google.es/maps/ms?msid=203418343783550310345.0004c1466ed55533d522c&amp;msa=0&amp;ll=41.834462,-2.743492&amp;spn=0.02785,0.066047" xr:uid="{00000000-0004-0000-0700-000004000000}"/>
    <hyperlink ref="K63" r:id="rId6" display="https://maps.google.es/maps?hl=es" xr:uid="{00000000-0004-0000-0700-000005000000}"/>
    <hyperlink ref="K84" r:id="rId7" display="http://goo.gl/maps/I4zW" xr:uid="{00000000-0004-0000-0700-000006000000}"/>
    <hyperlink ref="K108" r:id="rId8" display="https://maps.google.es/maps?q=pradera+de+los+orcos+casavieja&amp;ie=UTF-8&amp;hl=es" xr:uid="{00000000-0004-0000-0700-000007000000}"/>
    <hyperlink ref="K109" r:id="rId9" display="http://goo.gl/maps/mxab" xr:uid="{00000000-0004-0000-0700-000008000000}"/>
    <hyperlink ref="K118" r:id="rId10" display="https://maps.google.es/maps?hl=es&amp;authuser=0" xr:uid="{00000000-0004-0000-0700-000009000000}"/>
    <hyperlink ref="N139" r:id="rId11" display="http://ayuntamientocheca42gmail.com/" xr:uid="{00000000-0004-0000-0700-00000A000000}"/>
    <hyperlink ref="K144" r:id="rId12" display="https://www.google.com/maps/place/Campamento+Pe%C3%B1a+Negra+Piornal+Valle+del+Jerte/@40.1198892,-5.8320074,274m/data=!3m1!1e3!4m13!1m7!3m6!1s0xd3e36f986235c13:0xed87a1ddaa04f7cb!2s10615+Piornal,+C%C3%A1ceres!3b1!8m2!3d40.1164877!4d-5.8471434!3m4!1s0xd3e37317e7923b9:0x56703321a10940d0!8m2!3d40.1199673!4d-5.8311908" xr:uid="{00000000-0004-0000-0700-00000B000000}"/>
    <hyperlink ref="K146" r:id="rId13" display="https://maps.google.es/maps?q=Fontecha,+Lantar%C3%B3n&amp;hl=es&amp;ie=UTF8&amp;ll=42.738975,-3.038508&amp;spn=0.002372,0.004823&amp;sll=42.909999,-2.698387&amp;sspn=1.211015,2.469177&amp;oq=Fontecha&amp;t=h&amp;hnear=Fontecha,+Lantar%C3%B3n,+%C3%81lava,+Pa%C3%ADs+Vasco&amp;z=18" xr:uid="{00000000-0004-0000-0700-00000C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outlinePr summaryBelow="0" summaryRight="0"/>
  </sheetPr>
  <dimension ref="A1:Z1000"/>
  <sheetViews>
    <sheetView workbookViewId="0"/>
  </sheetViews>
  <sheetFormatPr baseColWidth="10" defaultColWidth="14.42578125" defaultRowHeight="15.75" customHeight="1"/>
  <cols>
    <col min="1" max="1" width="24.42578125" customWidth="1"/>
    <col min="2" max="2" width="12.85546875" customWidth="1"/>
    <col min="3" max="3" width="19.5703125" customWidth="1"/>
    <col min="4" max="4" width="19.85546875" customWidth="1"/>
    <col min="5" max="5" width="57.5703125" customWidth="1"/>
    <col min="6" max="6" width="18" customWidth="1"/>
    <col min="7" max="7" width="22.7109375" customWidth="1"/>
    <col min="8" max="8" width="17.28515625" customWidth="1"/>
    <col min="9" max="9" width="33.5703125" customWidth="1"/>
    <col min="10" max="10" width="34.7109375" customWidth="1"/>
    <col min="11" max="11" width="189.85546875" customWidth="1"/>
    <col min="12" max="12" width="50.85546875" customWidth="1"/>
    <col min="13" max="13" width="53.42578125" customWidth="1"/>
    <col min="14" max="14" width="47.140625" customWidth="1"/>
    <col min="15" max="15" width="87.85546875" customWidth="1"/>
    <col min="16" max="16" width="59.140625" customWidth="1"/>
    <col min="17" max="17" width="56" customWidth="1"/>
    <col min="18" max="18" width="26.7109375" customWidth="1"/>
    <col min="19" max="19" width="50.42578125" customWidth="1"/>
    <col min="20" max="20" width="83" customWidth="1"/>
    <col min="21" max="21" width="52.5703125" customWidth="1"/>
    <col min="22" max="22" width="44.28515625" customWidth="1"/>
    <col min="23" max="23" width="240.28515625" customWidth="1"/>
    <col min="24" max="24" width="20.140625" customWidth="1"/>
  </cols>
  <sheetData>
    <row r="1" spans="1:26" ht="12.75">
      <c r="A1" s="47" t="str">
        <f ca="1">IFERROR(__xludf.DUMMYFUNCTION("IMPORTRANGE(""https://docs.google.com/spreadsheets/d/1xoKYXsGMIFqtX4yvqrNnOSPgQdi-OQS6QffgGgSWXNo/edit#gid=2044445820&amp;fvid=1799469265"",""TODOS!B1:X900"")"),"Comunidad Autónoma ")</f>
        <v xml:space="preserve">Comunidad Autónoma </v>
      </c>
      <c r="B1" s="47" t="str">
        <f ca="1">IFERROR(__xludf.DUMMYFUNCTION("""COMPUTED_VALUE"""),"Provincia ")</f>
        <v xml:space="preserve">Provincia </v>
      </c>
      <c r="C1" s="47" t="str">
        <f ca="1">IFERROR(__xludf.DUMMYFUNCTION("""COMPUTED_VALUE"""),"Año campamento")</f>
        <v>Año campamento</v>
      </c>
      <c r="D1" s="47" t="str">
        <f ca="1">IFERROR(__xludf.DUMMYFUNCTION("""COMPUTED_VALUE"""),"Grupo")</f>
        <v>Grupo</v>
      </c>
      <c r="E1" s="47" t="str">
        <f ca="1">IFERROR(__xludf.DUMMYFUNCTION("""COMPUTED_VALUE"""),"Contacto")</f>
        <v>Contacto</v>
      </c>
      <c r="F1" s="47" t="str">
        <f ca="1">IFERROR(__xludf.DUMMYFUNCTION("""COMPUTED_VALUE"""),"Fecha de inicio ")</f>
        <v xml:space="preserve">Fecha de inicio </v>
      </c>
      <c r="G1" s="47" t="str">
        <f ca="1">IFERROR(__xludf.DUMMYFUNCTION("""COMPUTED_VALUE"""),"Fecha de finalización")</f>
        <v>Fecha de finalización</v>
      </c>
      <c r="H1" s="47" t="str">
        <f ca="1">IFERROR(__xludf.DUMMYFUNCTION("""COMPUTED_VALUE"""),"Población ")</f>
        <v xml:space="preserve">Población </v>
      </c>
      <c r="I1" s="47" t="str">
        <f ca="1">IFERROR(__xludf.DUMMYFUNCTION("""COMPUTED_VALUE"""),"Nombre de la finca/zona/albergue")</f>
        <v>Nombre de la finca/zona/albergue</v>
      </c>
      <c r="J1" s="47" t="str">
        <f ca="1">IFERROR(__xludf.DUMMYFUNCTION("""COMPUTED_VALUE"""),"Número de Catastro")</f>
        <v>Número de Catastro</v>
      </c>
      <c r="K1" s="47" t="str">
        <f ca="1">IFERROR(__xludf.DUMMYFUNCTION("""COMPUTED_VALUE"""),"Coordenadas")</f>
        <v>Coordenadas</v>
      </c>
      <c r="L1" s="47" t="str">
        <f ca="1">IFERROR(__xludf.DUMMYFUNCTION("""COMPUTED_VALUE"""),"Nombre y apellidos de la persona/entidad propietaria")</f>
        <v>Nombre y apellidos de la persona/entidad propietaria</v>
      </c>
      <c r="M1" s="47" t="str">
        <f ca="1">IFERROR(__xludf.DUMMYFUNCTION("""COMPUTED_VALUE"""),"Teléfono de contacto con la persona/entidad propietaria")</f>
        <v>Teléfono de contacto con la persona/entidad propietaria</v>
      </c>
      <c r="N1" s="47" t="str">
        <f ca="1">IFERROR(__xludf.DUMMYFUNCTION("""COMPUTED_VALUE"""),"E-mail de la persona/entidad propietaria")</f>
        <v>E-mail de la persona/entidad propietaria</v>
      </c>
      <c r="O1" s="47" t="str">
        <f ca="1">IFERROR(__xludf.DUMMYFUNCTION("""COMPUTED_VALUE"""),"Canon de utilización (Precio por persona, por quincena...)")</f>
        <v>Canon de utilización (Precio por persona, por quincena...)</v>
      </c>
      <c r="P1" s="47" t="str">
        <f ca="1">IFERROR(__xludf.DUMMYFUNCTION("""COMPUTED_VALUE"""),"Tamaño de la finca en hectáreas (ha) o metros cuadrados (m2)")</f>
        <v>Tamaño de la finca en hectáreas (ha) o metros cuadrados (m2)</v>
      </c>
      <c r="Q1" s="47" t="str">
        <f ca="1">IFERROR(__xludf.DUMMYFUNCTION("""COMPUTED_VALUE"""),"Calidad del acceso a la finca")</f>
        <v>Calidad del acceso a la finca</v>
      </c>
      <c r="R1" s="47" t="str">
        <f ca="1">IFERROR(__xludf.DUMMYFUNCTION("""COMPUTED_VALUE"""),"¿Tiene zonas de sombra?")</f>
        <v>¿Tiene zonas de sombra?</v>
      </c>
      <c r="S1" s="47" t="str">
        <f ca="1">IFERROR(__xludf.DUMMYFUNCTION("""COMPUTED_VALUE"""),"¿Distancia aproximada zona de baño ?")</f>
        <v>¿Distancia aproximada zona de baño ?</v>
      </c>
      <c r="T1" s="47" t="str">
        <f ca="1">IFERROR(__xludf.DUMMYFUNCTION("""COMPUTED_VALUE"""),"Breve descripción/valoración zona de baño")</f>
        <v>Breve descripción/valoración zona de baño</v>
      </c>
      <c r="U1" s="47" t="str">
        <f ca="1">IFERROR(__xludf.DUMMYFUNCTION("""COMPUTED_VALUE"""),"Cuenta con instalaciones ¿Cuáles?")</f>
        <v>Cuenta con instalaciones ¿Cuáles?</v>
      </c>
      <c r="V1" s="47" t="str">
        <f ca="1">IFERROR(__xludf.DUMMYFUNCTION("""COMPUTED_VALUE"""),"¿Se puede conseguir/comprar madera cerca?")</f>
        <v>¿Se puede conseguir/comprar madera cerca?</v>
      </c>
      <c r="W1" s="47" t="str">
        <f ca="1">IFERROR(__xludf.DUMMYFUNCTION("""COMPUTED_VALUE"""),"Breve valoración y otras observaciones de la campa en general")</f>
        <v>Breve valoración y otras observaciones de la campa en general</v>
      </c>
      <c r="X1" s="47"/>
      <c r="Y1" s="47"/>
      <c r="Z1" s="47"/>
    </row>
    <row r="2" spans="1:26" ht="12.75" hidden="1">
      <c r="A2" s="36" t="str">
        <f ca="1">IFERROR(__xludf.DUMMYFUNCTION("""COMPUTED_VALUE"""),"Andalucía")</f>
        <v>Andalucía</v>
      </c>
      <c r="B2" s="36" t="str">
        <f ca="1">IFERROR(__xludf.DUMMYFUNCTION("""COMPUTED_VALUE"""),"Jaen")</f>
        <v>Jaen</v>
      </c>
      <c r="C2" s="36">
        <f ca="1">IFERROR(__xludf.DUMMYFUNCTION("""COMPUTED_VALUE"""),2017)</f>
        <v>2017</v>
      </c>
      <c r="D2" s="36" t="str">
        <f ca="1">IFERROR(__xludf.DUMMYFUNCTION("""COMPUTED_VALUE"""),"Chamberí")</f>
        <v>Chamberí</v>
      </c>
      <c r="E2" s="36" t="str">
        <f ca="1">IFERROR(__xludf.DUMMYFUNCTION("""COMPUTED_VALUE"""),"gs.chamberi@scoutsdemadrid.org ")</f>
        <v xml:space="preserve">gs.chamberi@scoutsdemadrid.org </v>
      </c>
      <c r="F2" s="48">
        <f ca="1">IFERROR(__xludf.DUMMYFUNCTION("""COMPUTED_VALUE"""),42917)</f>
        <v>42917</v>
      </c>
      <c r="G2" s="48">
        <f ca="1">IFERROR(__xludf.DUMMYFUNCTION("""COMPUTED_VALUE"""),42931)</f>
        <v>42931</v>
      </c>
      <c r="H2" s="36" t="str">
        <f ca="1">IFERROR(__xludf.DUMMYFUNCTION("""COMPUTED_VALUE"""),"Santiago-Potones")</f>
        <v>Santiago-Potones</v>
      </c>
      <c r="I2" s="36" t="str">
        <f ca="1">IFERROR(__xludf.DUMMYFUNCTION("""COMPUTED_VALUE"""),"Zona acampada controlada Huerta Vieja")</f>
        <v>Zona acampada controlada Huerta Vieja</v>
      </c>
      <c r="J2" s="36" t="str">
        <f ca="1">IFERROR(__xludf.DUMMYFUNCTION("""COMPUTED_VALUE"""),"")</f>
        <v/>
      </c>
      <c r="K2" s="36" t="str">
        <f ca="1">IFERROR(__xludf.DUMMYFUNCTION("""COMPUTED_VALUE"""),"(en grados decimales) Latitud 38.1178324  Longitud -2.8065421000000015")</f>
        <v>(en grados decimales) Latitud 38.1178324  Longitud -2.8065421000000015</v>
      </c>
      <c r="L2" s="36" t="str">
        <f ca="1">IFERROR(__xludf.DUMMYFUNCTION("""COMPUTED_VALUE"""),"Junta de Anadalucía")</f>
        <v>Junta de Anadalucía</v>
      </c>
      <c r="M2" s="36" t="str">
        <f ca="1">IFERROR(__xludf.DUMMYFUNCTION("""COMPUTED_VALUE"""),"")</f>
        <v/>
      </c>
      <c r="N2" s="36" t="str">
        <f ca="1">IFERROR(__xludf.DUMMYFUNCTION("""COMPUTED_VALUE"""),"")</f>
        <v/>
      </c>
      <c r="O2" s="36" t="str">
        <f ca="1">IFERROR(__xludf.DUMMYFUNCTION("""COMPUTED_VALUE"""),"50€ de trámites")</f>
        <v>50€ de trámites</v>
      </c>
      <c r="P2" s="36" t="str">
        <f ca="1">IFERROR(__xludf.DUMMYFUNCTION("""COMPUTED_VALUE"""),"")</f>
        <v/>
      </c>
      <c r="Q2" s="36" t="str">
        <f ca="1">IFERROR(__xludf.DUMMYFUNCTION("""COMPUTED_VALUE"""),"BUENO (Se puede acceder con cualquier coche)")</f>
        <v>BUENO (Se puede acceder con cualquier coche)</v>
      </c>
      <c r="R2" s="36" t="str">
        <f ca="1">IFERROR(__xludf.DUMMYFUNCTION("""COMPUTED_VALUE"""),"Sí")</f>
        <v>Sí</v>
      </c>
      <c r="S2" s="36" t="str">
        <f ca="1">IFERROR(__xludf.DUMMYFUNCTION("""COMPUTED_VALUE"""),"El pantano está a 5 minutos, pero la zona de baños habilitada está a 10 km")</f>
        <v>El pantano está a 5 minutos, pero la zona de baños habilitada está a 10 km</v>
      </c>
      <c r="T2" s="36" t="str">
        <f ca="1">IFERROR(__xludf.DUMMYFUNCTION("""COMPUTED_VALUE"""),"")</f>
        <v/>
      </c>
      <c r="U2" s="36" t="str">
        <f ca="1">IFERROR(__xludf.DUMMYFUNCTION("""COMPUTED_VALUE"""),"Chiringuito y aseos ( cuando fuimos a ver esta cerrado, en verano nos dijeron que no)")</f>
        <v>Chiringuito y aseos ( cuando fuimos a ver esta cerrado, en verano nos dijeron que no)</v>
      </c>
      <c r="V2" s="36" t="str">
        <f ca="1">IFERROR(__xludf.DUMMYFUNCTION("""COMPUTED_VALUE"""),"")</f>
        <v/>
      </c>
      <c r="W2" s="36" t="str">
        <f ca="1">IFERROR(__xludf.DUMMYFUNCTION("""COMPUTED_VALUE"""),"Andalucía está dando muchas facilidades en los trámites. Además reacondicionando zonas de acampada con baños fijos y comedores con sombra. Hay una gran cantidad de gr, pr, sendas...pero a veces las rutas pueden estar lejos de la zona de campa.
http://www"&amp;".juntadeandalucia.es/medioambiente/servtc5/ventana/mostrarFicha.do?idEquipamiento=19647")</f>
        <v>Andalucía está dando muchas facilidades en los trámites. Además reacondicionando zonas de acampada con baños fijos y comedores con sombra. Hay una gran cantidad de gr, pr, sendas...pero a veces las rutas pueden estar lejos de la zona de campa.
http://www.juntadeandalucia.es/medioambiente/servtc5/ventana/mostrarFicha.do?idEquipamiento=19647</v>
      </c>
      <c r="X2" s="36"/>
      <c r="Y2" s="36"/>
      <c r="Z2" s="36"/>
    </row>
    <row r="3" spans="1:26" ht="12.75" hidden="1">
      <c r="A3" s="36" t="str">
        <f ca="1">IFERROR(__xludf.DUMMYFUNCTION("""COMPUTED_VALUE"""),"Andalucía")</f>
        <v>Andalucía</v>
      </c>
      <c r="B3" s="36" t="str">
        <f ca="1">IFERROR(__xludf.DUMMYFUNCTION("""COMPUTED_VALUE"""),"Granada")</f>
        <v>Granada</v>
      </c>
      <c r="C3" s="36">
        <f ca="1">IFERROR(__xludf.DUMMYFUNCTION("""COMPUTED_VALUE"""),2017)</f>
        <v>2017</v>
      </c>
      <c r="D3" s="36" t="str">
        <f ca="1">IFERROR(__xludf.DUMMYFUNCTION("""COMPUTED_VALUE"""),"Fátima")</f>
        <v>Fátima</v>
      </c>
      <c r="E3" s="36" t="str">
        <f ca="1">IFERROR(__xludf.DUMMYFUNCTION("""COMPUTED_VALUE"""),"gs.fatima@scoutsdemadrid.org ")</f>
        <v xml:space="preserve">gs.fatima@scoutsdemadrid.org </v>
      </c>
      <c r="F3" s="48">
        <f ca="1">IFERROR(__xludf.DUMMYFUNCTION("""COMPUTED_VALUE"""),42931)</f>
        <v>42931</v>
      </c>
      <c r="G3" s="48">
        <f ca="1">IFERROR(__xludf.DUMMYFUNCTION("""COMPUTED_VALUE"""),42946)</f>
        <v>42946</v>
      </c>
      <c r="H3" s="36" t="str">
        <f ca="1">IFERROR(__xludf.DUMMYFUNCTION("""COMPUTED_VALUE"""),"Bermejales")</f>
        <v>Bermejales</v>
      </c>
      <c r="I3" s="36" t="str">
        <f ca="1">IFERROR(__xludf.DUMMYFUNCTION("""COMPUTED_VALUE"""),"CENTRO SCOUT BERMEJALES")</f>
        <v>CENTRO SCOUT BERMEJALES</v>
      </c>
      <c r="J3" s="36" t="str">
        <f ca="1">IFERROR(__xludf.DUMMYFUNCTION("""COMPUTED_VALUE"""),"")</f>
        <v/>
      </c>
      <c r="K3" s="36" t="str">
        <f ca="1">IFERROR(__xludf.DUMMYFUNCTION("""COMPUTED_VALUE"""),"36.998480, -3.890095")</f>
        <v>36.998480, -3.890095</v>
      </c>
      <c r="L3" s="36" t="str">
        <f ca="1">IFERROR(__xludf.DUMMYFUNCTION("""COMPUTED_VALUE"""),"JUAN JOSÉ TALLADA ESPIGARES")</f>
        <v>JUAN JOSÉ TALLADA ESPIGARES</v>
      </c>
      <c r="M3" s="36" t="str">
        <f ca="1">IFERROR(__xludf.DUMMYFUNCTION("""COMPUTED_VALUE"""),"616 422 940")</f>
        <v>616 422 940</v>
      </c>
      <c r="N3" s="36" t="str">
        <f ca="1">IFERROR(__xludf.DUMMYFUNCTION("""COMPUTED_VALUE"""),"direccion@bermejales.scoutsdeandalucia.org")</f>
        <v>direccion@bermejales.scoutsdeandalucia.org</v>
      </c>
      <c r="O3" s="36" t="str">
        <f ca="1">IFERROR(__xludf.DUMMYFUNCTION("""COMPUTED_VALUE"""),"3€/PERSONA/DÍA")</f>
        <v>3€/PERSONA/DÍA</v>
      </c>
      <c r="P3" s="36" t="str">
        <f ca="1">IFERROR(__xludf.DUMMYFUNCTION("""COMPUTED_VALUE"""),"")</f>
        <v/>
      </c>
      <c r="Q3" s="36" t="str">
        <f ca="1">IFERROR(__xludf.DUMMYFUNCTION("""COMPUTED_VALUE"""),"BUENO (Se puede acceder con cualquier coche)")</f>
        <v>BUENO (Se puede acceder con cualquier coche)</v>
      </c>
      <c r="R3" s="36" t="str">
        <f ca="1">IFERROR(__xludf.DUMMYFUNCTION("""COMPUTED_VALUE"""),"Sí")</f>
        <v>Sí</v>
      </c>
      <c r="S3" s="36" t="str">
        <f ca="1">IFERROR(__xludf.DUMMYFUNCTION("""COMPUTED_VALUE"""),"PEQUEÑA PISCINA DENTRO DE LA ZONA DE ACAMPADA/PANTANO DE LOS BERMEJALES")</f>
        <v>PEQUEÑA PISCINA DENTRO DE LA ZONA DE ACAMPADA/PANTANO DE LOS BERMEJALES</v>
      </c>
      <c r="T3" s="36" t="str">
        <f ca="1">IFERROR(__xludf.DUMMYFUNCTION("""COMPUTED_VALUE"""),"LA PISCINA DEL CAMPAMENTO ES PEQUEÑITA POR LO QUE SÓLO LA PODRÁ UTILIZAR UNA UNIDAD A LA VEZ. A 10 MINUTOS ANDANDO ENCONTRAMOS EL PANTANO DE LOS BERMEJALES EL CUAL TIENE UNA PEQUEÑA PLAYITA HABILITADA PARA EL BAÑO")</f>
        <v>LA PISCINA DEL CAMPAMENTO ES PEQUEÑITA POR LO QUE SÓLO LA PODRÁ UTILIZAR UNA UNIDAD A LA VEZ. A 10 MINUTOS ANDANDO ENCONTRAMOS EL PANTANO DE LOS BERMEJALES EL CUAL TIENE UNA PEQUEÑA PLAYITA HABILITADA PARA EL BAÑO</v>
      </c>
      <c r="U3" s="36" t="str">
        <f ca="1">IFERROR(__xludf.DUMMYFUNCTION("""COMPUTED_VALUE"""),"COMEDOR, COCINA, SALAS DE MATERIAL Y ACIVIDADES, DUCHAS Y BAÑOS")</f>
        <v>COMEDOR, COCINA, SALAS DE MATERIAL Y ACIVIDADES, DUCHAS Y BAÑOS</v>
      </c>
      <c r="V3" s="36" t="str">
        <f ca="1">IFERROR(__xludf.DUMMYFUNCTION("""COMPUTED_VALUE"""),"SÍ, EN EL MISMO CAMPAMENTO")</f>
        <v>SÍ, EN EL MISMO CAMPAMENTO</v>
      </c>
      <c r="W3" s="36" t="str">
        <f ca="1">IFERROR(__xludf.DUMMYFUNCTION("""COMPUTED_VALUE"""),"CENTRO CONSTRUIDO POR Y PARA GRUPOS SCOUT. COMPARTIMOS LA FINCA CON OTRO CAMPAMENTO Y A NUESTRO GRUPO SE AGREGA LA UNIDAD DE PIONEROS DE UN GRUPO FRANCÉS PARA IR JUNTO CON NUESTROS PIONEROS A LA JAM SCOUT.")</f>
        <v>CENTRO CONSTRUIDO POR Y PARA GRUPOS SCOUT. COMPARTIMOS LA FINCA CON OTRO CAMPAMENTO Y A NUESTRO GRUPO SE AGREGA LA UNIDAD DE PIONEROS DE UN GRUPO FRANCÉS PARA IR JUNTO CON NUESTROS PIONEROS A LA JAM SCOUT.</v>
      </c>
      <c r="X3" s="36"/>
      <c r="Y3" s="36"/>
      <c r="Z3" s="36"/>
    </row>
    <row r="4" spans="1:26" ht="12.75" hidden="1">
      <c r="A4" s="36" t="str">
        <f ca="1">IFERROR(__xludf.DUMMYFUNCTION("""COMPUTED_VALUE"""),"Aragón")</f>
        <v>Aragón</v>
      </c>
      <c r="B4" s="36" t="str">
        <f ca="1">IFERROR(__xludf.DUMMYFUNCTION("""COMPUTED_VALUE"""),"Huesca")</f>
        <v>Huesca</v>
      </c>
      <c r="C4" s="36">
        <f ca="1">IFERROR(__xludf.DUMMYFUNCTION("""COMPUTED_VALUE"""),2016)</f>
        <v>2016</v>
      </c>
      <c r="D4" s="36" t="str">
        <f ca="1">IFERROR(__xludf.DUMMYFUNCTION("""COMPUTED_VALUE"""),"Buen Pastor")</f>
        <v>Buen Pastor</v>
      </c>
      <c r="E4" s="36" t="str">
        <f ca="1">IFERROR(__xludf.DUMMYFUNCTION("""COMPUTED_VALUE"""),"gs.buenpastor@scoutsdemadrid.org ")</f>
        <v xml:space="preserve">gs.buenpastor@scoutsdemadrid.org </v>
      </c>
      <c r="F4" s="48">
        <f ca="1">IFERROR(__xludf.DUMMYFUNCTION("""COMPUTED_VALUE"""),42563)</f>
        <v>42563</v>
      </c>
      <c r="G4" s="48">
        <f ca="1">IFERROR(__xludf.DUMMYFUNCTION("""COMPUTED_VALUE"""),42581)</f>
        <v>42581</v>
      </c>
      <c r="H4" s="36" t="str">
        <f ca="1">IFERROR(__xludf.DUMMYFUNCTION("""COMPUTED_VALUE"""),"La Marguera - Aísa")</f>
        <v>La Marguera - Aísa</v>
      </c>
      <c r="I4" s="36" t="str">
        <f ca="1">IFERROR(__xludf.DUMMYFUNCTION("""COMPUTED_VALUE"""),"Polígono 1 Parcela 263")</f>
        <v>Polígono 1 Parcela 263</v>
      </c>
      <c r="J4" s="36" t="str">
        <f ca="1">IFERROR(__xludf.DUMMYFUNCTION("""COMPUTED_VALUE"""),"22010A001002630000OF")</f>
        <v>22010A001002630000OF</v>
      </c>
      <c r="K4" s="36" t="str">
        <f ca="1">IFERROR(__xludf.DUMMYFUNCTION("""COMPUTED_VALUE"""),"42°42'30.0""N  0°36'27.1""W")</f>
        <v>42°42'30.0"N  0°36'27.1"W</v>
      </c>
      <c r="L4" s="36" t="str">
        <f ca="1">IFERROR(__xludf.DUMMYFUNCTION("""COMPUTED_VALUE"""),"Ramón Osanz Pueyo")</f>
        <v>Ramón Osanz Pueyo</v>
      </c>
      <c r="M4" s="36" t="str">
        <f ca="1">IFERROR(__xludf.DUMMYFUNCTION("""COMPUTED_VALUE"""),"+34 639 73 63 38")</f>
        <v>+34 639 73 63 38</v>
      </c>
      <c r="N4" s="36" t="str">
        <f ca="1">IFERROR(__xludf.DUMMYFUNCTION("""COMPUTED_VALUE"""),"gemaaisa@gmail.com")</f>
        <v>gemaaisa@gmail.com</v>
      </c>
      <c r="O4" s="36" t="str">
        <f ca="1">IFERROR(__xludf.DUMMYFUNCTION("""COMPUTED_VALUE"""),"900€ / quincena")</f>
        <v>900€ / quincena</v>
      </c>
      <c r="P4" s="36" t="str">
        <f ca="1">IFERROR(__xludf.DUMMYFUNCTION("""COMPUTED_VALUE"""),"14.844 m2")</f>
        <v>14.844 m2</v>
      </c>
      <c r="Q4" s="36" t="str">
        <f ca="1">IFERROR(__xludf.DUMMYFUNCTION("""COMPUTED_VALUE"""),"REGULAR (Se puede acceder con un coche normal con dificultad)")</f>
        <v>REGULAR (Se puede acceder con un coche normal con dificultad)</v>
      </c>
      <c r="R4" s="36" t="str">
        <f ca="1">IFERROR(__xludf.DUMMYFUNCTION("""COMPUTED_VALUE"""),"Sí")</f>
        <v>Sí</v>
      </c>
      <c r="S4" s="36" t="str">
        <f ca="1">IFERROR(__xludf.DUMMYFUNCTION("""COMPUTED_VALUE"""),"50 m")</f>
        <v>50 m</v>
      </c>
      <c r="T4" s="36" t="str">
        <f ca="1">IFERROR(__xludf.DUMMYFUNCTION("""COMPUTED_VALUE"""),"Río ")</f>
        <v xml:space="preserve">Río </v>
      </c>
      <c r="U4" s="36" t="str">
        <f ca="1">IFERROR(__xludf.DUMMYFUNCTION("""COMPUTED_VALUE"""),"No")</f>
        <v>No</v>
      </c>
      <c r="V4" s="36" t="str">
        <f ca="1">IFERROR(__xludf.DUMMYFUNCTION("""COMPUTED_VALUE"""),"Sí, de manera gratuita por alrededores")</f>
        <v>Sí, de manera gratuita por alrededores</v>
      </c>
      <c r="W4" s="36" t="str">
        <f ca="1">IFERROR(__xludf.DUMMYFUNCTION("""COMPUTED_VALUE"""),"Lo mejor de la campa es su gran dimensión, espacio natural y río cercano, con zonas de sombra. Su acceso hasta la misma se realiza sin problemas con coche alto; con coche normal es posible pero más complicado, puede dejarse aparcado a menos de 10' andando"&amp;" para evitar problemas.")</f>
        <v>Lo mejor de la campa es su gran dimensión, espacio natural y río cercano, con zonas de sombra. Su acceso hasta la misma se realiza sin problemas con coche alto; con coche normal es posible pero más complicado, puede dejarse aparcado a menos de 10' andando para evitar problemas.</v>
      </c>
      <c r="X4" s="36"/>
      <c r="Y4" s="36"/>
      <c r="Z4" s="36"/>
    </row>
    <row r="5" spans="1:26" ht="12.75" hidden="1">
      <c r="A5" s="36" t="str">
        <f ca="1">IFERROR(__xludf.DUMMYFUNCTION("""COMPUTED_VALUE"""),"Aragón")</f>
        <v>Aragón</v>
      </c>
      <c r="B5" s="36" t="str">
        <f ca="1">IFERROR(__xludf.DUMMYFUNCTION("""COMPUTED_VALUE"""),"Teruel")</f>
        <v>Teruel</v>
      </c>
      <c r="C5" s="36">
        <f ca="1">IFERROR(__xludf.DUMMYFUNCTION("""COMPUTED_VALUE"""),2016)</f>
        <v>2016</v>
      </c>
      <c r="D5" s="36" t="str">
        <f ca="1">IFERROR(__xludf.DUMMYFUNCTION("""COMPUTED_VALUE"""),"Libertas")</f>
        <v>Libertas</v>
      </c>
      <c r="E5" s="36" t="str">
        <f ca="1">IFERROR(__xludf.DUMMYFUNCTION("""COMPUTED_VALUE"""),"gs.libertas@scoutsdemadrid.org ")</f>
        <v xml:space="preserve">gs.libertas@scoutsdemadrid.org </v>
      </c>
      <c r="F5" s="48">
        <f ca="1">IFERROR(__xludf.DUMMYFUNCTION("""COMPUTED_VALUE"""),42556)</f>
        <v>42556</v>
      </c>
      <c r="G5" s="48">
        <f ca="1">IFERROR(__xludf.DUMMYFUNCTION("""COMPUTED_VALUE"""),42566)</f>
        <v>42566</v>
      </c>
      <c r="H5" s="36" t="str">
        <f ca="1">IFERROR(__xludf.DUMMYFUNCTION("""COMPUTED_VALUE"""),"Montalbán")</f>
        <v>Montalbán</v>
      </c>
      <c r="I5" s="36" t="str">
        <f ca="1">IFERROR(__xludf.DUMMYFUNCTION("""COMPUTED_VALUE"""),"Campamento Acra Leuce")</f>
        <v>Campamento Acra Leuce</v>
      </c>
      <c r="J5" s="36" t="str">
        <f ca="1">IFERROR(__xludf.DUMMYFUNCTION("""COMPUTED_VALUE"""),"44163A002000020000XW")</f>
        <v>44163A002000020000XW</v>
      </c>
      <c r="K5" s="36" t="str">
        <f ca="1">IFERROR(__xludf.DUMMYFUNCTION("""COMPUTED_VALUE"""),"N 40º 49' 49,705""     O 0º 48' 47,878"" ")</f>
        <v xml:space="preserve">N 40º 49' 49,705"     O 0º 48' 47,878" </v>
      </c>
      <c r="L5" s="36" t="str">
        <f ca="1">IFERROR(__xludf.DUMMYFUNCTION("""COMPUTED_VALUE"""),"Sara Falo Insa")</f>
        <v>Sara Falo Insa</v>
      </c>
      <c r="M5" s="36">
        <f ca="1">IFERROR(__xludf.DUMMYFUNCTION("""COMPUTED_VALUE"""),696288600)</f>
        <v>696288600</v>
      </c>
      <c r="N5" s="36" t="str">
        <f ca="1">IFERROR(__xludf.DUMMYFUNCTION("""COMPUTED_VALUE"""),"acraleuce@gmail.com")</f>
        <v>acraleuce@gmail.com</v>
      </c>
      <c r="O5" s="36" t="str">
        <f ca="1">IFERROR(__xludf.DUMMYFUNCTION("""COMPUTED_VALUE"""),"18 € persona / día en albergue para grupos de más de 30. 16.50 en tienda. Ambas con pensión completa")</f>
        <v>18 € persona / día en albergue para grupos de más de 30. 16.50 en tienda. Ambas con pensión completa</v>
      </c>
      <c r="P5" s="36" t="str">
        <f ca="1">IFERROR(__xludf.DUMMYFUNCTION("""COMPUTED_VALUE"""),"7246 m2")</f>
        <v>7246 m2</v>
      </c>
      <c r="Q5" s="36" t="str">
        <f ca="1">IFERROR(__xludf.DUMMYFUNCTION("""COMPUTED_VALUE"""),"REGULAR (Se puede acceder con un coche normal con dificultad)")</f>
        <v>REGULAR (Se puede acceder con un coche normal con dificultad)</v>
      </c>
      <c r="R5" s="36" t="str">
        <f ca="1">IFERROR(__xludf.DUMMYFUNCTION("""COMPUTED_VALUE"""),"Sí")</f>
        <v>Sí</v>
      </c>
      <c r="S5" s="36" t="str">
        <f ca="1">IFERROR(__xludf.DUMMYFUNCTION("""COMPUTED_VALUE"""),"Rachuelo a unos 200 m del campamento. Piscina municipal")</f>
        <v>Rachuelo a unos 200 m del campamento. Piscina municipal</v>
      </c>
      <c r="T5" s="36" t="str">
        <f ca="1">IFERROR(__xludf.DUMMYFUNCTION("""COMPUTED_VALUE"""),"Riachuelo de poca profundidad, no recomendable. Piscina de calidad, hasta 40 personas por grupo")</f>
        <v>Riachuelo de poca profundidad, no recomendable. Piscina de calidad, hasta 40 personas por grupo</v>
      </c>
      <c r="U5" s="36" t="str">
        <f ca="1">IFERROR(__xludf.DUMMYFUNCTION("""COMPUTED_VALUE"""),"Si. Albergue, comedor cubierto, duchas, baños, zona de fuego")</f>
        <v>Si. Albergue, comedor cubierto, duchas, baños, zona de fuego</v>
      </c>
      <c r="V5" s="36" t="str">
        <f ca="1">IFERROR(__xludf.DUMMYFUNCTION("""COMPUTED_VALUE"""),"si")</f>
        <v>si</v>
      </c>
      <c r="W5" s="36" t="str">
        <f ca="1">IFERROR(__xludf.DUMMYFUNCTION("""COMPUTED_VALUE"""),"Campamento para grupos pequeños con muchas posibilidades, seguro y cerca de la localidad. Cuenta con campos de deporte, zona de acampada,")</f>
        <v>Campamento para grupos pequeños con muchas posibilidades, seguro y cerca de la localidad. Cuenta con campos de deporte, zona de acampada,</v>
      </c>
      <c r="X5" s="36"/>
      <c r="Y5" s="36"/>
      <c r="Z5" s="36"/>
    </row>
    <row r="6" spans="1:26" ht="12.75" hidden="1">
      <c r="A6" s="36" t="str">
        <f ca="1">IFERROR(__xludf.DUMMYFUNCTION("""COMPUTED_VALUE"""),"Aragón")</f>
        <v>Aragón</v>
      </c>
      <c r="B6" s="36" t="str">
        <f ca="1">IFERROR(__xludf.DUMMYFUNCTION("""COMPUTED_VALUE"""),"Huesca")</f>
        <v>Huesca</v>
      </c>
      <c r="C6" s="36">
        <f ca="1">IFERROR(__xludf.DUMMYFUNCTION("""COMPUTED_VALUE"""),2016)</f>
        <v>2016</v>
      </c>
      <c r="D6" s="36" t="str">
        <f ca="1">IFERROR(__xludf.DUMMYFUNCTION("""COMPUTED_VALUE"""),"Pilar")</f>
        <v>Pilar</v>
      </c>
      <c r="E6" s="36" t="str">
        <f ca="1">IFERROR(__xludf.DUMMYFUNCTION("""COMPUTED_VALUE"""),"gs.pilar@scoutsdemadrid.org ")</f>
        <v xml:space="preserve">gs.pilar@scoutsdemadrid.org </v>
      </c>
      <c r="F6" s="48">
        <f ca="1">IFERROR(__xludf.DUMMYFUNCTION("""COMPUTED_VALUE"""),42566)</f>
        <v>42566</v>
      </c>
      <c r="G6" s="48">
        <f ca="1">IFERROR(__xludf.DUMMYFUNCTION("""COMPUTED_VALUE"""),42577)</f>
        <v>42577</v>
      </c>
      <c r="H6" s="36" t="str">
        <f ca="1">IFERROR(__xludf.DUMMYFUNCTION("""COMPUTED_VALUE"""),"Gistain")</f>
        <v>Gistain</v>
      </c>
      <c r="I6" s="36" t="str">
        <f ca="1">IFERROR(__xludf.DUMMYFUNCTION("""COMPUTED_VALUE"""),"Gistain")</f>
        <v>Gistain</v>
      </c>
      <c r="J6" s="36" t="str">
        <f ca="1">IFERROR(__xludf.DUMMYFUNCTION("""COMPUTED_VALUE"""),"")</f>
        <v/>
      </c>
      <c r="K6" s="36" t="str">
        <f ca="1">IFERROR(__xludf.DUMMYFUNCTION("""COMPUTED_VALUE"""),"")</f>
        <v/>
      </c>
      <c r="L6" s="36" t="str">
        <f ca="1">IFERROR(__xludf.DUMMYFUNCTION("""COMPUTED_VALUE"""),"Santiago Pueyo")</f>
        <v>Santiago Pueyo</v>
      </c>
      <c r="M6" s="36" t="str">
        <f ca="1">IFERROR(__xludf.DUMMYFUNCTION("""COMPUTED_VALUE"""),"")</f>
        <v/>
      </c>
      <c r="N6" s="36" t="str">
        <f ca="1">IFERROR(__xludf.DUMMYFUNCTION("""COMPUTED_VALUE"""),"")</f>
        <v/>
      </c>
      <c r="O6" s="36" t="str">
        <f ca="1">IFERROR(__xludf.DUMMYFUNCTION("""COMPUTED_VALUE"""),"")</f>
        <v/>
      </c>
      <c r="P6" s="36" t="str">
        <f ca="1">IFERROR(__xludf.DUMMYFUNCTION("""COMPUTED_VALUE"""),"2 ha")</f>
        <v>2 ha</v>
      </c>
      <c r="Q6" s="36" t="str">
        <f ca="1">IFERROR(__xludf.DUMMYFUNCTION("""COMPUTED_VALUE"""),"BUENO (Se puede acceder con cualquier coche)")</f>
        <v>BUENO (Se puede acceder con cualquier coche)</v>
      </c>
      <c r="R6" s="36" t="str">
        <f ca="1">IFERROR(__xludf.DUMMYFUNCTION("""COMPUTED_VALUE"""),"Sí")</f>
        <v>Sí</v>
      </c>
      <c r="S6" s="36" t="str">
        <f ca="1">IFERROR(__xludf.DUMMYFUNCTION("""COMPUTED_VALUE"""),"150m")</f>
        <v>150m</v>
      </c>
      <c r="T6" s="36" t="str">
        <f ca="1">IFERROR(__xludf.DUMMYFUNCTION("""COMPUTED_VALUE"""),"Buenísimas pozas")</f>
        <v>Buenísimas pozas</v>
      </c>
      <c r="U6" s="36" t="str">
        <f ca="1">IFERROR(__xludf.DUMMYFUNCTION("""COMPUTED_VALUE"""),"Almacén")</f>
        <v>Almacén</v>
      </c>
      <c r="V6" s="36" t="str">
        <f ca="1">IFERROR(__xludf.DUMMYFUNCTION("""COMPUTED_VALUE"""),"Si pero caro")</f>
        <v>Si pero caro</v>
      </c>
      <c r="W6" s="36" t="str">
        <f ca="1">IFERROR(__xludf.DUMMYFUNCTION("""COMPUTED_VALUE"""),"Preciosa campa")</f>
        <v>Preciosa campa</v>
      </c>
      <c r="X6" s="36"/>
      <c r="Y6" s="36"/>
      <c r="Z6" s="36"/>
    </row>
    <row r="7" spans="1:26" ht="12.75" hidden="1">
      <c r="A7" s="36" t="str">
        <f ca="1">IFERROR(__xludf.DUMMYFUNCTION("""COMPUTED_VALUE"""),"Aragón")</f>
        <v>Aragón</v>
      </c>
      <c r="B7" s="36" t="str">
        <f ca="1">IFERROR(__xludf.DUMMYFUNCTION("""COMPUTED_VALUE"""),"Huesca")</f>
        <v>Huesca</v>
      </c>
      <c r="C7" s="36">
        <f ca="1">IFERROR(__xludf.DUMMYFUNCTION("""COMPUTED_VALUE"""),2015)</f>
        <v>2015</v>
      </c>
      <c r="D7" s="36" t="str">
        <f ca="1">IFERROR(__xludf.DUMMYFUNCTION("""COMPUTED_VALUE"""),"San Pablo")</f>
        <v>San Pablo</v>
      </c>
      <c r="E7" s="36" t="str">
        <f ca="1">IFERROR(__xludf.DUMMYFUNCTION("""COMPUTED_VALUE"""),"gs.sanpablo@scoutsdemadrid.org ")</f>
        <v xml:space="preserve">gs.sanpablo@scoutsdemadrid.org </v>
      </c>
      <c r="F7" s="48">
        <f ca="1">IFERROR(__xludf.DUMMYFUNCTION("""COMPUTED_VALUE"""),42200)</f>
        <v>42200</v>
      </c>
      <c r="G7" s="48">
        <f ca="1">IFERROR(__xludf.DUMMYFUNCTION("""COMPUTED_VALUE"""),42215)</f>
        <v>42215</v>
      </c>
      <c r="H7" s="36" t="str">
        <f ca="1">IFERROR(__xludf.DUMMYFUNCTION("""COMPUTED_VALUE"""),"Broto")</f>
        <v>Broto</v>
      </c>
      <c r="I7" s="36" t="str">
        <f ca="1">IFERROR(__xludf.DUMMYFUNCTION("""COMPUTED_VALUE"""),"Broto")</f>
        <v>Broto</v>
      </c>
      <c r="J7" s="36" t="str">
        <f ca="1">IFERROR(__xludf.DUMMYFUNCTION("""COMPUTED_VALUE"""),"")</f>
        <v/>
      </c>
      <c r="K7" s="36" t="str">
        <f ca="1">IFERROR(__xludf.DUMMYFUNCTION("""COMPUTED_VALUE"""),"")</f>
        <v/>
      </c>
      <c r="L7" s="36" t="str">
        <f ca="1">IFERROR(__xludf.DUMMYFUNCTION("""COMPUTED_VALUE"""),"")</f>
        <v/>
      </c>
      <c r="M7" s="36" t="str">
        <f ca="1">IFERROR(__xludf.DUMMYFUNCTION("""COMPUTED_VALUE"""),"")</f>
        <v/>
      </c>
      <c r="N7" s="36" t="str">
        <f ca="1">IFERROR(__xludf.DUMMYFUNCTION("""COMPUTED_VALUE"""),"")</f>
        <v/>
      </c>
      <c r="O7" s="36" t="str">
        <f ca="1">IFERROR(__xludf.DUMMYFUNCTION("""COMPUTED_VALUE"""),"")</f>
        <v/>
      </c>
      <c r="P7" s="36" t="str">
        <f ca="1">IFERROR(__xludf.DUMMYFUNCTION("""COMPUTED_VALUE"""),"")</f>
        <v/>
      </c>
      <c r="Q7" s="36" t="str">
        <f ca="1">IFERROR(__xludf.DUMMYFUNCTION("""COMPUTED_VALUE"""),"")</f>
        <v/>
      </c>
      <c r="R7" s="36" t="str">
        <f ca="1">IFERROR(__xludf.DUMMYFUNCTION("""COMPUTED_VALUE"""),"")</f>
        <v/>
      </c>
      <c r="S7" s="36" t="str">
        <f ca="1">IFERROR(__xludf.DUMMYFUNCTION("""COMPUTED_VALUE"""),"")</f>
        <v/>
      </c>
      <c r="T7" s="36" t="str">
        <f ca="1">IFERROR(__xludf.DUMMYFUNCTION("""COMPUTED_VALUE"""),"")</f>
        <v/>
      </c>
      <c r="U7" s="36" t="str">
        <f ca="1">IFERROR(__xludf.DUMMYFUNCTION("""COMPUTED_VALUE"""),"")</f>
        <v/>
      </c>
      <c r="V7" s="36" t="str">
        <f ca="1">IFERROR(__xludf.DUMMYFUNCTION("""COMPUTED_VALUE"""),"")</f>
        <v/>
      </c>
      <c r="W7" s="36" t="str">
        <f ca="1">IFERROR(__xludf.DUMMYFUNCTION("""COMPUTED_VALUE"""),"")</f>
        <v/>
      </c>
      <c r="X7" s="36"/>
      <c r="Y7" s="36"/>
      <c r="Z7" s="36"/>
    </row>
    <row r="8" spans="1:26" ht="12.75" hidden="1">
      <c r="A8" s="36" t="str">
        <f ca="1">IFERROR(__xludf.DUMMYFUNCTION("""COMPUTED_VALUE"""),"Aragón")</f>
        <v>Aragón</v>
      </c>
      <c r="B8" s="36" t="str">
        <f ca="1">IFERROR(__xludf.DUMMYFUNCTION("""COMPUTED_VALUE"""),"Huesca")</f>
        <v>Huesca</v>
      </c>
      <c r="C8" s="36">
        <f ca="1">IFERROR(__xludf.DUMMYFUNCTION("""COMPUTED_VALUE"""),2015)</f>
        <v>2015</v>
      </c>
      <c r="D8" s="36" t="str">
        <f ca="1">IFERROR(__xludf.DUMMYFUNCTION("""COMPUTED_VALUE"""),"San Jorge Y San José")</f>
        <v>San Jorge Y San José</v>
      </c>
      <c r="E8" s="36" t="str">
        <f ca="1">IFERROR(__xludf.DUMMYFUNCTION("""COMPUTED_VALUE"""),"gs.sanjorge@scoutsdemadrid.org  gs.sanjosé@scoutsdemadrid.org ")</f>
        <v xml:space="preserve">gs.sanjorge@scoutsdemadrid.org  gs.sanjosé@scoutsdemadrid.org </v>
      </c>
      <c r="F8" s="48">
        <f ca="1">IFERROR(__xludf.DUMMYFUNCTION("""COMPUTED_VALUE"""),42201)</f>
        <v>42201</v>
      </c>
      <c r="G8" s="48">
        <f ca="1">IFERROR(__xludf.DUMMYFUNCTION("""COMPUTED_VALUE"""),42216)</f>
        <v>42216</v>
      </c>
      <c r="H8" s="36" t="str">
        <f ca="1">IFERROR(__xludf.DUMMYFUNCTION("""COMPUTED_VALUE"""),"Biescas")</f>
        <v>Biescas</v>
      </c>
      <c r="I8" s="36" t="str">
        <f ca="1">IFERROR(__xludf.DUMMYFUNCTION("""COMPUTED_VALUE"""),"Aso de Sobremonte")</f>
        <v>Aso de Sobremonte</v>
      </c>
      <c r="J8" s="36" t="str">
        <f ca="1">IFERROR(__xludf.DUMMYFUNCTION("""COMPUTED_VALUE"""),"")</f>
        <v/>
      </c>
      <c r="K8" s="36" t="str">
        <f ca="1">IFERROR(__xludf.DUMMYFUNCTION("""COMPUTED_VALUE"""),"LATITUD: 48º 38' 5.53'' N / LONGITUD: 0º 22' 12.75'' W")</f>
        <v>LATITUD: 48º 38' 5.53'' N / LONGITUD: 0º 22' 12.75'' W</v>
      </c>
      <c r="L8" s="36" t="str">
        <f ca="1">IFERROR(__xludf.DUMMYFUNCTION("""COMPUTED_VALUE"""),"")</f>
        <v/>
      </c>
      <c r="M8" s="36" t="str">
        <f ca="1">IFERROR(__xludf.DUMMYFUNCTION("""COMPUTED_VALUE"""),"")</f>
        <v/>
      </c>
      <c r="N8" s="36" t="str">
        <f ca="1">IFERROR(__xludf.DUMMYFUNCTION("""COMPUTED_VALUE"""),"")</f>
        <v/>
      </c>
      <c r="O8" s="36" t="str">
        <f ca="1">IFERROR(__xludf.DUMMYFUNCTION("""COMPUTED_VALUE"""),"")</f>
        <v/>
      </c>
      <c r="P8" s="36" t="str">
        <f ca="1">IFERROR(__xludf.DUMMYFUNCTION("""COMPUTED_VALUE"""),"")</f>
        <v/>
      </c>
      <c r="Q8" s="36" t="str">
        <f ca="1">IFERROR(__xludf.DUMMYFUNCTION("""COMPUTED_VALUE"""),"")</f>
        <v/>
      </c>
      <c r="R8" s="36" t="str">
        <f ca="1">IFERROR(__xludf.DUMMYFUNCTION("""COMPUTED_VALUE"""),"")</f>
        <v/>
      </c>
      <c r="S8" s="36" t="str">
        <f ca="1">IFERROR(__xludf.DUMMYFUNCTION("""COMPUTED_VALUE"""),"")</f>
        <v/>
      </c>
      <c r="T8" s="36" t="str">
        <f ca="1">IFERROR(__xludf.DUMMYFUNCTION("""COMPUTED_VALUE"""),"")</f>
        <v/>
      </c>
      <c r="U8" s="36" t="str">
        <f ca="1">IFERROR(__xludf.DUMMYFUNCTION("""COMPUTED_VALUE"""),"")</f>
        <v/>
      </c>
      <c r="V8" s="36" t="str">
        <f ca="1">IFERROR(__xludf.DUMMYFUNCTION("""COMPUTED_VALUE"""),"")</f>
        <v/>
      </c>
      <c r="W8" s="36" t="str">
        <f ca="1">IFERROR(__xludf.DUMMYFUNCTION("""COMPUTED_VALUE"""),"")</f>
        <v/>
      </c>
      <c r="X8" s="36"/>
      <c r="Y8" s="36"/>
      <c r="Z8" s="36"/>
    </row>
    <row r="9" spans="1:26" ht="12.75" hidden="1">
      <c r="A9" s="36" t="str">
        <f ca="1">IFERROR(__xludf.DUMMYFUNCTION("""COMPUTED_VALUE"""),"Aragón")</f>
        <v>Aragón</v>
      </c>
      <c r="B9" s="36" t="str">
        <f ca="1">IFERROR(__xludf.DUMMYFUNCTION("""COMPUTED_VALUE"""),"Huesca")</f>
        <v>Huesca</v>
      </c>
      <c r="C9" s="36">
        <f ca="1">IFERROR(__xludf.DUMMYFUNCTION("""COMPUTED_VALUE"""),2017)</f>
        <v>2017</v>
      </c>
      <c r="D9" s="36" t="str">
        <f ca="1">IFERROR(__xludf.DUMMYFUNCTION("""COMPUTED_VALUE"""),"Vedruna")</f>
        <v>Vedruna</v>
      </c>
      <c r="E9" s="36" t="str">
        <f ca="1">IFERROR(__xludf.DUMMYFUNCTION("""COMPUTED_VALUE"""),"gs.vedruna @scoutsdemadrid.org ")</f>
        <v xml:space="preserve">gs.vedruna @scoutsdemadrid.org </v>
      </c>
      <c r="F9" s="48">
        <f ca="1">IFERROR(__xludf.DUMMYFUNCTION("""COMPUTED_VALUE"""),42915)</f>
        <v>42915</v>
      </c>
      <c r="G9" s="48">
        <f ca="1">IFERROR(__xludf.DUMMYFUNCTION("""COMPUTED_VALUE"""),42921)</f>
        <v>42921</v>
      </c>
      <c r="H9" s="36" t="str">
        <f ca="1">IFERROR(__xludf.DUMMYFUNCTION("""COMPUTED_VALUE"""),"Aínsa")</f>
        <v>Aínsa</v>
      </c>
      <c r="I9" s="36" t="str">
        <f ca="1">IFERROR(__xludf.DUMMYFUNCTION("""COMPUTED_VALUE"""),"Centro Scout Griébal")</f>
        <v>Centro Scout Griébal</v>
      </c>
      <c r="J9" s="36" t="str">
        <f ca="1">IFERROR(__xludf.DUMMYFUNCTION("""COMPUTED_VALUE"""),"")</f>
        <v/>
      </c>
      <c r="K9" s="36" t="str">
        <f ca="1">IFERROR(__xludf.DUMMYFUNCTION("""COMPUTED_VALUE""")," 42º 23' 4,53"" N - 0º 12' 11,6"" E")</f>
        <v xml:space="preserve"> 42º 23' 4,53" N - 0º 12' 11,6" E</v>
      </c>
      <c r="L9" s="36" t="str">
        <f ca="1">IFERROR(__xludf.DUMMYFUNCTION("""COMPUTED_VALUE"""),"FUNDACIÓN SCOUT GRIÉBAL")</f>
        <v>FUNDACIÓN SCOUT GRIÉBAL</v>
      </c>
      <c r="M9" s="36" t="str">
        <f ca="1">IFERROR(__xludf.DUMMYFUNCTION("""COMPUTED_VALUE"""),"")</f>
        <v/>
      </c>
      <c r="N9" s="36" t="str">
        <f ca="1">IFERROR(__xludf.DUMMYFUNCTION("""COMPUTED_VALUE"""),"")</f>
        <v/>
      </c>
      <c r="O9" s="36" t="str">
        <f ca="1">IFERROR(__xludf.DUMMYFUNCTION("""COMPUTED_VALUE"""),"")</f>
        <v/>
      </c>
      <c r="P9" s="36" t="str">
        <f ca="1">IFERROR(__xludf.DUMMYFUNCTION("""COMPUTED_VALUE"""),"")</f>
        <v/>
      </c>
      <c r="Q9" s="36" t="str">
        <f ca="1">IFERROR(__xludf.DUMMYFUNCTION("""COMPUTED_VALUE"""),"REGULAR (Se puede acceder con un coche normal con dificultad)")</f>
        <v>REGULAR (Se puede acceder con un coche normal con dificultad)</v>
      </c>
      <c r="R9" s="36" t="str">
        <f ca="1">IFERROR(__xludf.DUMMYFUNCTION("""COMPUTED_VALUE"""),"Sí")</f>
        <v>Sí</v>
      </c>
      <c r="S9" s="36" t="str">
        <f ca="1">IFERROR(__xludf.DUMMYFUNCTION("""COMPUTED_VALUE"""),"")</f>
        <v/>
      </c>
      <c r="T9" s="36" t="str">
        <f ca="1">IFERROR(__xludf.DUMMYFUNCTION("""COMPUTED_VALUE"""),"Embalse navegable a 2 km")</f>
        <v>Embalse navegable a 2 km</v>
      </c>
      <c r="U9" s="36" t="str">
        <f ca="1">IFERROR(__xludf.DUMMYFUNCTION("""COMPUTED_VALUE"""),"Baños, duchas comedores, cocina..")</f>
        <v>Baños, duchas comedores, cocina..</v>
      </c>
      <c r="V9" s="36" t="str">
        <f ca="1">IFERROR(__xludf.DUMMYFUNCTION("""COMPUTED_VALUE"""),"si")</f>
        <v>si</v>
      </c>
      <c r="W9" s="36" t="str">
        <f ca="1">IFERROR(__xludf.DUMMYFUNCTION("""COMPUTED_VALUE"""),"")</f>
        <v/>
      </c>
      <c r="X9" s="36"/>
      <c r="Y9" s="36"/>
      <c r="Z9" s="36"/>
    </row>
    <row r="10" spans="1:26" ht="12.75" hidden="1">
      <c r="A10" s="36" t="str">
        <f ca="1">IFERROR(__xludf.DUMMYFUNCTION("""COMPUTED_VALUE"""),"Aragón ")</f>
        <v xml:space="preserve">Aragón </v>
      </c>
      <c r="B10" s="36" t="str">
        <f ca="1">IFERROR(__xludf.DUMMYFUNCTION("""COMPUTED_VALUE"""),"Huesca")</f>
        <v>Huesca</v>
      </c>
      <c r="C10" s="36">
        <f ca="1">IFERROR(__xludf.DUMMYFUNCTION("""COMPUTED_VALUE"""),2012)</f>
        <v>2012</v>
      </c>
      <c r="D10" s="36" t="str">
        <f ca="1">IFERROR(__xludf.DUMMYFUNCTION("""COMPUTED_VALUE"""),"Samasabe-Calasancio")</f>
        <v>Samasabe-Calasancio</v>
      </c>
      <c r="E10" s="36" t="str">
        <f ca="1">IFERROR(__xludf.DUMMYFUNCTION("""COMPUTED_VALUE"""),"gs.samasabe@scoutsdemadrid.org ")</f>
        <v xml:space="preserve">gs.samasabe@scoutsdemadrid.org </v>
      </c>
      <c r="F10" s="48">
        <f ca="1">IFERROR(__xludf.DUMMYFUNCTION("""COMPUTED_VALUE"""),41107)</f>
        <v>41107</v>
      </c>
      <c r="G10" s="48">
        <f ca="1">IFERROR(__xludf.DUMMYFUNCTION("""COMPUTED_VALUE"""),41121)</f>
        <v>41121</v>
      </c>
      <c r="H10" s="36" t="str">
        <f ca="1">IFERROR(__xludf.DUMMYFUNCTION("""COMPUTED_VALUE"""),"Villanova")</f>
        <v>Villanova</v>
      </c>
      <c r="I10" s="36" t="str">
        <f ca="1">IFERROR(__xludf.DUMMYFUNCTION("""COMPUTED_VALUE"""),"Villanova")</f>
        <v>Villanova</v>
      </c>
      <c r="J10" s="36" t="str">
        <f ca="1">IFERROR(__xludf.DUMMYFUNCTION("""COMPUTED_VALUE"""),"")</f>
        <v/>
      </c>
      <c r="K10" s="49" t="str">
        <f ca="1">IFERROR(__xludf.DUMMYFUNCTION("""COMPUTED_VALUE"""),"https://maps.google.es/maps?oe=utf-8&amp;client=firefox-a&amp;q=villanova&amp;ie=UTF-8&amp;hq=&amp;hnear=0x12a7d800ff9b261b:0x4018c6508cea590,Villanova&amp;gl=es&amp;ei=Bo3HT9ecDdKLhQfVxcCTCw&amp;oi=geocode_result&amp;ved=0CBoQ8gEwAQ")</f>
        <v>https://maps.google.es/maps?oe=utf-8&amp;client=firefox-a&amp;q=villanova&amp;ie=UTF-8&amp;hq=&amp;hnear=0x12a7d800ff9b261b:0x4018c6508cea590,Villanova&amp;gl=es&amp;ei=Bo3HT9ecDdKLhQfVxcCTCw&amp;oi=geocode_result&amp;ved=0CBoQ8gEwAQ</v>
      </c>
      <c r="L10" s="36" t="str">
        <f ca="1">IFERROR(__xludf.DUMMYFUNCTION("""COMPUTED_VALUE"""),"")</f>
        <v/>
      </c>
      <c r="M10" s="36" t="str">
        <f ca="1">IFERROR(__xludf.DUMMYFUNCTION("""COMPUTED_VALUE"""),"")</f>
        <v/>
      </c>
      <c r="N10" s="36" t="str">
        <f ca="1">IFERROR(__xludf.DUMMYFUNCTION("""COMPUTED_VALUE"""),"")</f>
        <v/>
      </c>
      <c r="O10" s="36" t="str">
        <f ca="1">IFERROR(__xludf.DUMMYFUNCTION("""COMPUTED_VALUE"""),"")</f>
        <v/>
      </c>
      <c r="P10" s="36" t="str">
        <f ca="1">IFERROR(__xludf.DUMMYFUNCTION("""COMPUTED_VALUE"""),"")</f>
        <v/>
      </c>
      <c r="Q10" s="36" t="str">
        <f ca="1">IFERROR(__xludf.DUMMYFUNCTION("""COMPUTED_VALUE"""),"")</f>
        <v/>
      </c>
      <c r="R10" s="36" t="str">
        <f ca="1">IFERROR(__xludf.DUMMYFUNCTION("""COMPUTED_VALUE"""),"")</f>
        <v/>
      </c>
      <c r="S10" s="36" t="str">
        <f ca="1">IFERROR(__xludf.DUMMYFUNCTION("""COMPUTED_VALUE"""),"")</f>
        <v/>
      </c>
      <c r="T10" s="36" t="str">
        <f ca="1">IFERROR(__xludf.DUMMYFUNCTION("""COMPUTED_VALUE"""),"")</f>
        <v/>
      </c>
      <c r="U10" s="36" t="str">
        <f ca="1">IFERROR(__xludf.DUMMYFUNCTION("""COMPUTED_VALUE"""),"")</f>
        <v/>
      </c>
      <c r="V10" s="36" t="str">
        <f ca="1">IFERROR(__xludf.DUMMYFUNCTION("""COMPUTED_VALUE"""),"")</f>
        <v/>
      </c>
      <c r="W10" s="36" t="str">
        <f ca="1">IFERROR(__xludf.DUMMYFUNCTION("""COMPUTED_VALUE"""),"")</f>
        <v/>
      </c>
      <c r="X10" s="36"/>
      <c r="Y10" s="36"/>
      <c r="Z10" s="36"/>
    </row>
    <row r="11" spans="1:26" ht="12.75" hidden="1">
      <c r="A11" s="36" t="str">
        <f ca="1">IFERROR(__xludf.DUMMYFUNCTION("""COMPUTED_VALUE"""),"Aragón")</f>
        <v>Aragón</v>
      </c>
      <c r="B11" s="36" t="str">
        <f ca="1">IFERROR(__xludf.DUMMYFUNCTION("""COMPUTED_VALUE"""),"Huesca")</f>
        <v>Huesca</v>
      </c>
      <c r="C11" s="36">
        <f ca="1">IFERROR(__xludf.DUMMYFUNCTION("""COMPUTED_VALUE"""),2018)</f>
        <v>2018</v>
      </c>
      <c r="D11" s="36" t="str">
        <f ca="1">IFERROR(__xludf.DUMMYFUNCTION("""COMPUTED_VALUE"""),"San Pablo")</f>
        <v>San Pablo</v>
      </c>
      <c r="E11" s="36" t="str">
        <f ca="1">IFERROR(__xludf.DUMMYFUNCTION("""COMPUTED_VALUE"""),"gs.sanpablo@scoutsdemadrid.org ")</f>
        <v xml:space="preserve">gs.sanpablo@scoutsdemadrid.org </v>
      </c>
      <c r="F11" s="48">
        <f ca="1">IFERROR(__xludf.DUMMYFUNCTION("""COMPUTED_VALUE"""),43327)</f>
        <v>43327</v>
      </c>
      <c r="G11" s="48">
        <f ca="1">IFERROR(__xludf.DUMMYFUNCTION("""COMPUTED_VALUE"""),43281)</f>
        <v>43281</v>
      </c>
      <c r="H11" s="36" t="str">
        <f ca="1">IFERROR(__xludf.DUMMYFUNCTION("""COMPUTED_VALUE"""),"Aragués Del Puerto")</f>
        <v>Aragués Del Puerto</v>
      </c>
      <c r="I11" s="36" t="str">
        <f ca="1">IFERROR(__xludf.DUMMYFUNCTION("""COMPUTED_VALUE"""),"Polígono 5 parcelas 384 y 385")</f>
        <v>Polígono 5 parcelas 384 y 385</v>
      </c>
      <c r="J11" s="36">
        <f ca="1">IFERROR(__xludf.DUMMYFUNCTION("""COMPUTED_VALUE"""),22390005384)</f>
        <v>22390005384</v>
      </c>
      <c r="K11" s="36" t="str">
        <f ca="1">IFERROR(__xludf.DUMMYFUNCTION("""COMPUTED_VALUE"""),"42°44'50.4""N 0°38'06.4""W")</f>
        <v>42°44'50.4"N 0°38'06.4"W</v>
      </c>
      <c r="L11" s="36" t="str">
        <f ca="1">IFERROR(__xludf.DUMMYFUNCTION("""COMPUTED_VALUE"""),"Jaime Maynar Aguilar")</f>
        <v>Jaime Maynar Aguilar</v>
      </c>
      <c r="M11" s="36">
        <f ca="1">IFERROR(__xludf.DUMMYFUNCTION("""COMPUTED_VALUE"""),618644650)</f>
        <v>618644650</v>
      </c>
      <c r="N11" s="36" t="str">
        <f ca="1">IFERROR(__xludf.DUMMYFUNCTION("""COMPUTED_VALUE"""),"No lo tenemos, contactar con sanpablomsc@gmail.com")</f>
        <v>No lo tenemos, contactar con sanpablomsc@gmail.com</v>
      </c>
      <c r="O11" s="36" t="str">
        <f ca="1">IFERROR(__xludf.DUMMYFUNCTION("""COMPUTED_VALUE"""),"1000€ los 15 días")</f>
        <v>1000€ los 15 días</v>
      </c>
      <c r="P11" s="36" t="str">
        <f ca="1">IFERROR(__xludf.DUMMYFUNCTION("""COMPUTED_VALUE"""),"No lo sabemos")</f>
        <v>No lo sabemos</v>
      </c>
      <c r="Q11" s="36" t="str">
        <f ca="1">IFERROR(__xludf.DUMMYFUNCTION("""COMPUTED_VALUE"""),"BUENO (Se puede acceder con cualquier coche)")</f>
        <v>BUENO (Se puede acceder con cualquier coche)</v>
      </c>
      <c r="R11" s="36" t="str">
        <f ca="1">IFERROR(__xludf.DUMMYFUNCTION("""COMPUTED_VALUE"""),"Sí")</f>
        <v>Sí</v>
      </c>
      <c r="S11" s="36" t="str">
        <f ca="1">IFERROR(__xludf.DUMMYFUNCTION("""COMPUTED_VALUE"""),"100m")</f>
        <v>100m</v>
      </c>
      <c r="T11" s="36" t="str">
        <f ca="1">IFERROR(__xludf.DUMMYFUNCTION("""COMPUTED_VALUE"""),"Río más bien pequeño pero suficiente para bañarse")</f>
        <v>Río más bien pequeño pero suficiente para bañarse</v>
      </c>
      <c r="U11" s="36" t="str">
        <f ca="1">IFERROR(__xludf.DUMMYFUNCTION("""COMPUTED_VALUE"""),"Ninguna")</f>
        <v>Ninguna</v>
      </c>
      <c r="V11" s="36" t="str">
        <f ca="1">IFERROR(__xludf.DUMMYFUNCTION("""COMPUTED_VALUE"""),"No lo sabemos")</f>
        <v>No lo sabemos</v>
      </c>
      <c r="W11" s="36" t="str">
        <f ca="1">IFERROR(__xludf.DUMMYFUNCTION("""COMPUTED_VALUE"""),"Al pie del refugio de Lizarra. No hay cobertura. Prado grande y bien situado")</f>
        <v>Al pie del refugio de Lizarra. No hay cobertura. Prado grande y bien situado</v>
      </c>
      <c r="X11" s="36"/>
      <c r="Y11" s="36"/>
      <c r="Z11" s="36"/>
    </row>
    <row r="12" spans="1:26" ht="12.75" hidden="1">
      <c r="A12" s="36" t="str">
        <f ca="1">IFERROR(__xludf.DUMMYFUNCTION("""COMPUTED_VALUE"""),"Aragón")</f>
        <v>Aragón</v>
      </c>
      <c r="B12" s="36" t="str">
        <f ca="1">IFERROR(__xludf.DUMMYFUNCTION("""COMPUTED_VALUE"""),"Huesca")</f>
        <v>Huesca</v>
      </c>
      <c r="C12" s="36">
        <f ca="1">IFERROR(__xludf.DUMMYFUNCTION("""COMPUTED_VALUE"""),2018)</f>
        <v>2018</v>
      </c>
      <c r="D12" s="36" t="str">
        <f ca="1">IFERROR(__xludf.DUMMYFUNCTION("""COMPUTED_VALUE"""),"Santo Domingo")</f>
        <v>Santo Domingo</v>
      </c>
      <c r="E12" s="36" t="str">
        <f ca="1">IFERROR(__xludf.DUMMYFUNCTION("""COMPUTED_VALUE"""),"gs.santodomingo@scoutsdemadrid.org ")</f>
        <v xml:space="preserve">gs.santodomingo@scoutsdemadrid.org </v>
      </c>
      <c r="F12" s="48">
        <f ca="1">IFERROR(__xludf.DUMMYFUNCTION("""COMPUTED_VALUE"""),43295)</f>
        <v>43295</v>
      </c>
      <c r="G12" s="48">
        <f ca="1">IFERROR(__xludf.DUMMYFUNCTION("""COMPUTED_VALUE"""),43311)</f>
        <v>43311</v>
      </c>
      <c r="H12" s="36" t="str">
        <f ca="1">IFERROR(__xludf.DUMMYFUNCTION("""COMPUTED_VALUE"""),"Broto - Oto")</f>
        <v>Broto - Oto</v>
      </c>
      <c r="I12" s="36" t="str">
        <f ca="1">IFERROR(__xludf.DUMMYFUNCTION("""COMPUTED_VALUE"""),"Fincas Las Cotilangas y Don Ferrer")</f>
        <v>Fincas Las Cotilangas y Don Ferrer</v>
      </c>
      <c r="J12" s="36" t="str">
        <f ca="1">IFERROR(__xludf.DUMMYFUNCTION("""COMPUTED_VALUE"""),"Parcelas 95, 97, 101 y 102 Polígono 108")</f>
        <v>Parcelas 95, 97, 101 y 102 Polígono 108</v>
      </c>
      <c r="K12" s="36" t="str">
        <f ca="1">IFERROR(__xludf.DUMMYFUNCTION("""COMPUTED_VALUE"""),"42ª34¨36, 86´´N. 00º,07´, 31, 88´´W")</f>
        <v>42ª34¨36, 86´´N. 00º,07´, 31, 88´´W</v>
      </c>
      <c r="L12" s="36" t="str">
        <f ca="1">IFERROR(__xludf.DUMMYFUNCTION("""COMPUTED_VALUE"""),"Jorge Castiella Monclús")</f>
        <v>Jorge Castiella Monclús</v>
      </c>
      <c r="M12" s="36">
        <f ca="1">IFERROR(__xludf.DUMMYFUNCTION("""COMPUTED_VALUE"""),699261137)</f>
        <v>699261137</v>
      </c>
      <c r="N12" s="36" t="str">
        <f ca="1">IFERROR(__xludf.DUMMYFUNCTION("""COMPUTED_VALUE"""),"casavillamana@gmail.com")</f>
        <v>casavillamana@gmail.com</v>
      </c>
      <c r="O12" s="50">
        <f ca="1">IFERROR(__xludf.DUMMYFUNCTION("""COMPUTED_VALUE"""),150)</f>
        <v>150</v>
      </c>
      <c r="P12" s="36" t="str">
        <f ca="1">IFERROR(__xludf.DUMMYFUNCTION("""COMPUTED_VALUE"""),"2-3 Has")</f>
        <v>2-3 Has</v>
      </c>
      <c r="Q12" s="36" t="str">
        <f ca="1">IFERROR(__xludf.DUMMYFUNCTION("""COMPUTED_VALUE"""),"BUENO (Se puede acceder con cualquier coche)")</f>
        <v>BUENO (Se puede acceder con cualquier coche)</v>
      </c>
      <c r="R12" s="36" t="str">
        <f ca="1">IFERROR(__xludf.DUMMYFUNCTION("""COMPUTED_VALUE"""),"Sí")</f>
        <v>Sí</v>
      </c>
      <c r="S12" s="36" t="str">
        <f ca="1">IFERROR(__xludf.DUMMYFUNCTION("""COMPUTED_VALUE"""),"Piscina Municipal")</f>
        <v>Piscina Municipal</v>
      </c>
      <c r="T12" s="36" t="str">
        <f ca="1">IFERROR(__xludf.DUMMYFUNCTION("""COMPUTED_VALUE"""),"CUMPLE NORMATIVA")</f>
        <v>CUMPLE NORMATIVA</v>
      </c>
      <c r="U12" s="36" t="str">
        <f ca="1">IFERROR(__xludf.DUMMYFUNCTION("""COMPUTED_VALUE"""),"PUNTO DE ABASTECIMIENTO DE AGUA MUNICIPAL")</f>
        <v>PUNTO DE ABASTECIMIENTO DE AGUA MUNICIPAL</v>
      </c>
      <c r="V12" s="36" t="str">
        <f ca="1">IFERROR(__xludf.DUMMYFUNCTION("""COMPUTED_VALUE"""),"SI")</f>
        <v>SI</v>
      </c>
      <c r="W12" s="36" t="str">
        <f ca="1">IFERROR(__xludf.DUMMYFUNCTION("""COMPUTED_VALUE"""),"SE HAN CELEBRADO MUCHOS CAMPAMENTOS JUVENILES SCOUTS EN AÑOS ANTERIORES")</f>
        <v>SE HAN CELEBRADO MUCHOS CAMPAMENTOS JUVENILES SCOUTS EN AÑOS ANTERIORES</v>
      </c>
      <c r="X12" s="36"/>
      <c r="Y12" s="36"/>
      <c r="Z12" s="36"/>
    </row>
    <row r="13" spans="1:26" ht="12.75">
      <c r="A13" s="36" t="str">
        <f ca="1">IFERROR(__xludf.DUMMYFUNCTION("""COMPUTED_VALUE"""),"Asturias, Principado De")</f>
        <v>Asturias, Principado De</v>
      </c>
      <c r="B13" s="36" t="str">
        <f ca="1">IFERROR(__xludf.DUMMYFUNCTION("""COMPUTED_VALUE"""),"Asturias")</f>
        <v>Asturias</v>
      </c>
      <c r="C13" s="36">
        <f ca="1">IFERROR(__xludf.DUMMYFUNCTION("""COMPUTED_VALUE"""),2016)</f>
        <v>2016</v>
      </c>
      <c r="D13" s="36" t="str">
        <f ca="1">IFERROR(__xludf.DUMMYFUNCTION("""COMPUTED_VALUE"""),"Amorós")</f>
        <v>Amorós</v>
      </c>
      <c r="E13" s="36" t="str">
        <f ca="1">IFERROR(__xludf.DUMMYFUNCTION("""COMPUTED_VALUE"""),"gs.amoros@scoutsdemadrid.org ")</f>
        <v xml:space="preserve">gs.amoros@scoutsdemadrid.org </v>
      </c>
      <c r="F13" s="48">
        <f ca="1">IFERROR(__xludf.DUMMYFUNCTION("""COMPUTED_VALUE"""),42560)</f>
        <v>42560</v>
      </c>
      <c r="G13" s="48">
        <f ca="1">IFERROR(__xludf.DUMMYFUNCTION("""COMPUTED_VALUE"""),42581)</f>
        <v>42581</v>
      </c>
      <c r="H13" s="36" t="str">
        <f ca="1">IFERROR(__xludf.DUMMYFUNCTION("""COMPUTED_VALUE"""),"Ponga")</f>
        <v>Ponga</v>
      </c>
      <c r="I13" s="36" t="str">
        <f ca="1">IFERROR(__xludf.DUMMYFUNCTION("""COMPUTED_VALUE"""),"Sellaño")</f>
        <v>Sellaño</v>
      </c>
      <c r="J13" s="36" t="str">
        <f ca="1">IFERROR(__xludf.DUMMYFUNCTION("""COMPUTED_VALUE"""),"33050A073002440000AK")</f>
        <v>33050A073002440000AK</v>
      </c>
      <c r="K13" s="36" t="str">
        <f ca="1">IFERROR(__xludf.DUMMYFUNCTION("""COMPUTED_VALUE"""),"4º 15' 13.86'' N")</f>
        <v>4º 15' 13.86'' N</v>
      </c>
      <c r="L13" s="36" t="str">
        <f ca="1">IFERROR(__xludf.DUMMYFUNCTION("""COMPUTED_VALUE"""),"Joaquín Martínez Arobes")</f>
        <v>Joaquín Martínez Arobes</v>
      </c>
      <c r="M13" s="36">
        <f ca="1">IFERROR(__xludf.DUMMYFUNCTION("""COMPUTED_VALUE"""),650785463)</f>
        <v>650785463</v>
      </c>
      <c r="N13" s="36" t="str">
        <f ca="1">IFERROR(__xludf.DUMMYFUNCTION("""COMPUTED_VALUE"""),"")</f>
        <v/>
      </c>
      <c r="O13" s="50">
        <f ca="1">IFERROR(__xludf.DUMMYFUNCTION("""COMPUTED_VALUE"""),530)</f>
        <v>530</v>
      </c>
      <c r="P13" s="36" t="str">
        <f ca="1">IFERROR(__xludf.DUMMYFUNCTION("""COMPUTED_VALUE"""),"")</f>
        <v/>
      </c>
      <c r="Q13" s="36" t="str">
        <f ca="1">IFERROR(__xludf.DUMMYFUNCTION("""COMPUTED_VALUE"""),"BUENO (Se puede acceder con cualquier coche)")</f>
        <v>BUENO (Se puede acceder con cualquier coche)</v>
      </c>
      <c r="R13" s="36" t="str">
        <f ca="1">IFERROR(__xludf.DUMMYFUNCTION("""COMPUTED_VALUE"""),"Sí")</f>
        <v>Sí</v>
      </c>
      <c r="S13" s="36" t="str">
        <f ca="1">IFERROR(__xludf.DUMMYFUNCTION("""COMPUTED_VALUE"""),"33m")</f>
        <v>33m</v>
      </c>
      <c r="T13" s="36" t="str">
        <f ca="1">IFERROR(__xludf.DUMMYFUNCTION("""COMPUTED_VALUE"""),"Río con poco cauce y profundidad")</f>
        <v>Río con poco cauce y profundidad</v>
      </c>
      <c r="U13" s="36" t="str">
        <f ca="1">IFERROR(__xludf.DUMMYFUNCTION("""COMPUTED_VALUE"""),"No")</f>
        <v>No</v>
      </c>
      <c r="V13" s="36" t="str">
        <f ca="1">IFERROR(__xludf.DUMMYFUNCTION("""COMPUTED_VALUE"""),"Sí")</f>
        <v>Sí</v>
      </c>
      <c r="W13" s="36" t="str">
        <f ca="1">IFERROR(__xludf.DUMMYFUNCTION("""COMPUTED_VALUE"""),"")</f>
        <v/>
      </c>
      <c r="X13" s="36"/>
      <c r="Y13" s="36"/>
      <c r="Z13" s="36"/>
    </row>
    <row r="14" spans="1:26" ht="12.75">
      <c r="A14" s="36" t="str">
        <f ca="1">IFERROR(__xludf.DUMMYFUNCTION("""COMPUTED_VALUE"""),"Asturias, Principado De")</f>
        <v>Asturias, Principado De</v>
      </c>
      <c r="B14" s="36" t="str">
        <f ca="1">IFERROR(__xludf.DUMMYFUNCTION("""COMPUTED_VALUE"""),"Asturias")</f>
        <v>Asturias</v>
      </c>
      <c r="C14" s="36">
        <f ca="1">IFERROR(__xludf.DUMMYFUNCTION("""COMPUTED_VALUE"""),2016)</f>
        <v>2016</v>
      </c>
      <c r="D14" s="36" t="str">
        <f ca="1">IFERROR(__xludf.DUMMYFUNCTION("""COMPUTED_VALUE"""),"Amorós")</f>
        <v>Amorós</v>
      </c>
      <c r="E14" s="36" t="str">
        <f ca="1">IFERROR(__xludf.DUMMYFUNCTION("""COMPUTED_VALUE"""),"gs.amoros@scoutsdemadrid.org ")</f>
        <v xml:space="preserve">gs.amoros@scoutsdemadrid.org </v>
      </c>
      <c r="F14" s="48">
        <f ca="1">IFERROR(__xludf.DUMMYFUNCTION("""COMPUTED_VALUE"""),42566)</f>
        <v>42566</v>
      </c>
      <c r="G14" s="48">
        <f ca="1">IFERROR(__xludf.DUMMYFUNCTION("""COMPUTED_VALUE"""),42578)</f>
        <v>42578</v>
      </c>
      <c r="H14" s="36" t="str">
        <f ca="1">IFERROR(__xludf.DUMMYFUNCTION("""COMPUTED_VALUE"""),"Sellaño")</f>
        <v>Sellaño</v>
      </c>
      <c r="I14" s="36" t="str">
        <f ca="1">IFERROR(__xludf.DUMMYFUNCTION("""COMPUTED_VALUE"""),"Sellaño")</f>
        <v>Sellaño</v>
      </c>
      <c r="J14" s="36" t="str">
        <f ca="1">IFERROR(__xludf.DUMMYFUNCTION("""COMPUTED_VALUE"""),"")</f>
        <v/>
      </c>
      <c r="K14" s="36" t="str">
        <f ca="1">IFERROR(__xludf.DUMMYFUNCTION("""COMPUTED_VALUE"""),"")</f>
        <v/>
      </c>
      <c r="L14" s="36" t="str">
        <f ca="1">IFERROR(__xludf.DUMMYFUNCTION("""COMPUTED_VALUE"""),"")</f>
        <v/>
      </c>
      <c r="M14" s="36" t="str">
        <f ca="1">IFERROR(__xludf.DUMMYFUNCTION("""COMPUTED_VALUE"""),"")</f>
        <v/>
      </c>
      <c r="N14" s="36" t="str">
        <f ca="1">IFERROR(__xludf.DUMMYFUNCTION("""COMPUTED_VALUE"""),"")</f>
        <v/>
      </c>
      <c r="O14" s="36" t="str">
        <f ca="1">IFERROR(__xludf.DUMMYFUNCTION("""COMPUTED_VALUE"""),"")</f>
        <v/>
      </c>
      <c r="P14" s="36" t="str">
        <f ca="1">IFERROR(__xludf.DUMMYFUNCTION("""COMPUTED_VALUE"""),"")</f>
        <v/>
      </c>
      <c r="Q14" s="36" t="str">
        <f ca="1">IFERROR(__xludf.DUMMYFUNCTION("""COMPUTED_VALUE"""),"")</f>
        <v/>
      </c>
      <c r="R14" s="36" t="str">
        <f ca="1">IFERROR(__xludf.DUMMYFUNCTION("""COMPUTED_VALUE"""),"")</f>
        <v/>
      </c>
      <c r="S14" s="36" t="str">
        <f ca="1">IFERROR(__xludf.DUMMYFUNCTION("""COMPUTED_VALUE"""),"")</f>
        <v/>
      </c>
      <c r="T14" s="36" t="str">
        <f ca="1">IFERROR(__xludf.DUMMYFUNCTION("""COMPUTED_VALUE"""),"")</f>
        <v/>
      </c>
      <c r="U14" s="36" t="str">
        <f ca="1">IFERROR(__xludf.DUMMYFUNCTION("""COMPUTED_VALUE"""),"")</f>
        <v/>
      </c>
      <c r="V14" s="36" t="str">
        <f ca="1">IFERROR(__xludf.DUMMYFUNCTION("""COMPUTED_VALUE"""),"")</f>
        <v/>
      </c>
      <c r="W14" s="36" t="str">
        <f ca="1">IFERROR(__xludf.DUMMYFUNCTION("""COMPUTED_VALUE"""),"")</f>
        <v/>
      </c>
      <c r="X14" s="36"/>
      <c r="Y14" s="36"/>
      <c r="Z14" s="36"/>
    </row>
    <row r="15" spans="1:26" ht="12.75">
      <c r="A15" s="36" t="str">
        <f ca="1">IFERROR(__xludf.DUMMYFUNCTION("""COMPUTED_VALUE"""),"Asturias, Principado De")</f>
        <v>Asturias, Principado De</v>
      </c>
      <c r="B15" s="36" t="str">
        <f ca="1">IFERROR(__xludf.DUMMYFUNCTION("""COMPUTED_VALUE"""),"Oviedo")</f>
        <v>Oviedo</v>
      </c>
      <c r="C15" s="36">
        <f ca="1">IFERROR(__xludf.DUMMYFUNCTION("""COMPUTED_VALUE"""),2016)</f>
        <v>2016</v>
      </c>
      <c r="D15" s="36" t="str">
        <f ca="1">IFERROR(__xludf.DUMMYFUNCTION("""COMPUTED_VALUE"""),"Queztal")</f>
        <v>Queztal</v>
      </c>
      <c r="E15" s="36" t="str">
        <f ca="1">IFERROR(__xludf.DUMMYFUNCTION("""COMPUTED_VALUE"""),"gs.queztal@scoutsdemadrid.org ")</f>
        <v xml:space="preserve">gs.queztal@scoutsdemadrid.org </v>
      </c>
      <c r="F15" s="48">
        <f ca="1">IFERROR(__xludf.DUMMYFUNCTION("""COMPUTED_VALUE"""),42580)</f>
        <v>42580</v>
      </c>
      <c r="G15" s="48">
        <f ca="1">IFERROR(__xludf.DUMMYFUNCTION("""COMPUTED_VALUE"""),42589)</f>
        <v>42589</v>
      </c>
      <c r="H15" s="36" t="str">
        <f ca="1">IFERROR(__xludf.DUMMYFUNCTION("""COMPUTED_VALUE"""),"Pimiango")</f>
        <v>Pimiango</v>
      </c>
      <c r="I15" s="36" t="str">
        <f ca="1">IFERROR(__xludf.DUMMYFUNCTION("""COMPUTED_VALUE"""),"La Garita")</f>
        <v>La Garita</v>
      </c>
      <c r="J15" s="36" t="str">
        <f ca="1">IFERROR(__xludf.DUMMYFUNCTION("""COMPUTED_VALUE"""),"33055A008000010000IF")</f>
        <v>33055A008000010000IF</v>
      </c>
      <c r="K15" s="36" t="str">
        <f ca="1">IFERROR(__xludf.DUMMYFUNCTION("""COMPUTED_VALUE"""),"43°23'20.3""N 4°31'29.9""W")</f>
        <v>43°23'20.3"N 4°31'29.9"W</v>
      </c>
      <c r="L15" s="36" t="str">
        <f ca="1">IFERROR(__xludf.DUMMYFUNCTION("""COMPUTED_VALUE"""),"Manuel Nosti del Valle")</f>
        <v>Manuel Nosti del Valle</v>
      </c>
      <c r="M15" s="36">
        <f ca="1">IFERROR(__xludf.DUMMYFUNCTION("""COMPUTED_VALUE"""),605966487)</f>
        <v>605966487</v>
      </c>
      <c r="N15" s="36" t="str">
        <f ca="1">IFERROR(__xludf.DUMMYFUNCTION("""COMPUTED_VALUE"""),"manuel_nosti@hotmail.com")</f>
        <v>manuel_nosti@hotmail.com</v>
      </c>
      <c r="O15" s="36" t="str">
        <f ca="1">IFERROR(__xludf.DUMMYFUNCTION("""COMPUTED_VALUE"""),"Gratuito")</f>
        <v>Gratuito</v>
      </c>
      <c r="P15" s="36" t="str">
        <f ca="1">IFERROR(__xludf.DUMMYFUNCTION("""COMPUTED_VALUE"""),"5,92 ha")</f>
        <v>5,92 ha</v>
      </c>
      <c r="Q15" s="36" t="str">
        <f ca="1">IFERROR(__xludf.DUMMYFUNCTION("""COMPUTED_VALUE"""),"BUENO (Se puede acceder con cualquier coche)")</f>
        <v>BUENO (Se puede acceder con cualquier coche)</v>
      </c>
      <c r="R15" s="36" t="str">
        <f ca="1">IFERROR(__xludf.DUMMYFUNCTION("""COMPUTED_VALUE"""),"Sí")</f>
        <v>Sí</v>
      </c>
      <c r="S15" s="36" t="str">
        <f ca="1">IFERROR(__xludf.DUMMYFUNCTION("""COMPUTED_VALUE"""),"5,3 Km")</f>
        <v>5,3 Km</v>
      </c>
      <c r="T15" s="36" t="str">
        <f ca="1">IFERROR(__xludf.DUMMYFUNCTION("""COMPUTED_VALUE"""),"Playa de la Franca")</f>
        <v>Playa de la Franca</v>
      </c>
      <c r="U15" s="36" t="str">
        <f ca="1">IFERROR(__xludf.DUMMYFUNCTION("""COMPUTED_VALUE"""),"No")</f>
        <v>No</v>
      </c>
      <c r="V15" s="36" t="str">
        <f ca="1">IFERROR(__xludf.DUMMYFUNCTION("""COMPUTED_VALUE"""),"ergio Vega González, Carretera General, 0 S/N, 33579 Mazo (El)")</f>
        <v>ergio Vega González, Carretera General, 0 S/N, 33579 Mazo (El)</v>
      </c>
      <c r="W15" s="36" t="str">
        <f ca="1">IFERROR(__xludf.DUMMYFUNCTION("""COMPUTED_VALUE"""),"Finca con amplias zonas para jugar, cerca de Colombres (3,7 km), donde están todos los servicios (supermercados, médicos, farmacias, etc).
La zona de sombras y árboles se sitúan en un extremo de la finca, donde van a aprovecharse los árboles para acampar "&amp;"y tener sobra.")</f>
        <v>Finca con amplias zonas para jugar, cerca de Colombres (3,7 km), donde están todos los servicios (supermercados, médicos, farmacias, etc).
La zona de sombras y árboles se sitúan en un extremo de la finca, donde van a aprovecharse los árboles para acampar y tener sobra.</v>
      </c>
      <c r="X15" s="36"/>
      <c r="Y15" s="36"/>
      <c r="Z15" s="36"/>
    </row>
    <row r="16" spans="1:26" ht="12.75">
      <c r="A16" s="36" t="str">
        <f ca="1">IFERROR(__xludf.DUMMYFUNCTION("""COMPUTED_VALUE"""),"Asturias, Principado De")</f>
        <v>Asturias, Principado De</v>
      </c>
      <c r="B16" s="36" t="str">
        <f ca="1">IFERROR(__xludf.DUMMYFUNCTION("""COMPUTED_VALUE"""),"Asturias")</f>
        <v>Asturias</v>
      </c>
      <c r="C16" s="36">
        <f ca="1">IFERROR(__xludf.DUMMYFUNCTION("""COMPUTED_VALUE"""),2015)</f>
        <v>2015</v>
      </c>
      <c r="D16" s="36" t="str">
        <f ca="1">IFERROR(__xludf.DUMMYFUNCTION("""COMPUTED_VALUE"""),"Claret")</f>
        <v>Claret</v>
      </c>
      <c r="E16" s="36" t="str">
        <f ca="1">IFERROR(__xludf.DUMMYFUNCTION("""COMPUTED_VALUE"""),"gs.claret@scoutsdemadrid.org ")</f>
        <v xml:space="preserve">gs.claret@scoutsdemadrid.org </v>
      </c>
      <c r="F16" s="48">
        <f ca="1">IFERROR(__xludf.DUMMYFUNCTION("""COMPUTED_VALUE"""),42200)</f>
        <v>42200</v>
      </c>
      <c r="G16" s="48">
        <f ca="1">IFERROR(__xludf.DUMMYFUNCTION("""COMPUTED_VALUE"""),42215)</f>
        <v>42215</v>
      </c>
      <c r="H16" s="36" t="str">
        <f ca="1">IFERROR(__xludf.DUMMYFUNCTION("""COMPUTED_VALUE"""),"Ribadedeva")</f>
        <v>Ribadedeva</v>
      </c>
      <c r="I16" s="36" t="str">
        <f ca="1">IFERROR(__xludf.DUMMYFUNCTION("""COMPUTED_VALUE"""),"Bojes")</f>
        <v>Bojes</v>
      </c>
      <c r="J16" s="36" t="str">
        <f ca="1">IFERROR(__xludf.DUMMYFUNCTION("""COMPUTED_VALUE"""),"")</f>
        <v/>
      </c>
      <c r="K16" s="36" t="str">
        <f ca="1">IFERROR(__xludf.DUMMYFUNCTION("""COMPUTED_VALUE"""),"")</f>
        <v/>
      </c>
      <c r="L16" s="36" t="str">
        <f ca="1">IFERROR(__xludf.DUMMYFUNCTION("""COMPUTED_VALUE"""),"")</f>
        <v/>
      </c>
      <c r="M16" s="36" t="str">
        <f ca="1">IFERROR(__xludf.DUMMYFUNCTION("""COMPUTED_VALUE"""),"")</f>
        <v/>
      </c>
      <c r="N16" s="36" t="str">
        <f ca="1">IFERROR(__xludf.DUMMYFUNCTION("""COMPUTED_VALUE"""),"")</f>
        <v/>
      </c>
      <c r="O16" s="36" t="str">
        <f ca="1">IFERROR(__xludf.DUMMYFUNCTION("""COMPUTED_VALUE"""),"")</f>
        <v/>
      </c>
      <c r="P16" s="36" t="str">
        <f ca="1">IFERROR(__xludf.DUMMYFUNCTION("""COMPUTED_VALUE"""),"")</f>
        <v/>
      </c>
      <c r="Q16" s="36" t="str">
        <f ca="1">IFERROR(__xludf.DUMMYFUNCTION("""COMPUTED_VALUE"""),"")</f>
        <v/>
      </c>
      <c r="R16" s="36" t="str">
        <f ca="1">IFERROR(__xludf.DUMMYFUNCTION("""COMPUTED_VALUE"""),"")</f>
        <v/>
      </c>
      <c r="S16" s="36" t="str">
        <f ca="1">IFERROR(__xludf.DUMMYFUNCTION("""COMPUTED_VALUE"""),"")</f>
        <v/>
      </c>
      <c r="T16" s="36" t="str">
        <f ca="1">IFERROR(__xludf.DUMMYFUNCTION("""COMPUTED_VALUE"""),"")</f>
        <v/>
      </c>
      <c r="U16" s="36" t="str">
        <f ca="1">IFERROR(__xludf.DUMMYFUNCTION("""COMPUTED_VALUE"""),"")</f>
        <v/>
      </c>
      <c r="V16" s="36" t="str">
        <f ca="1">IFERROR(__xludf.DUMMYFUNCTION("""COMPUTED_VALUE"""),"")</f>
        <v/>
      </c>
      <c r="W16" s="36" t="str">
        <f ca="1">IFERROR(__xludf.DUMMYFUNCTION("""COMPUTED_VALUE"""),"")</f>
        <v/>
      </c>
      <c r="X16" s="36"/>
      <c r="Y16" s="36"/>
      <c r="Z16" s="36"/>
    </row>
    <row r="17" spans="1:26" ht="12.75">
      <c r="A17" s="36" t="str">
        <f ca="1">IFERROR(__xludf.DUMMYFUNCTION("""COMPUTED_VALUE"""),"Asturias")</f>
        <v>Asturias</v>
      </c>
      <c r="B17" s="36" t="str">
        <f ca="1">IFERROR(__xludf.DUMMYFUNCTION("""COMPUTED_VALUE"""),"Asturias")</f>
        <v>Asturias</v>
      </c>
      <c r="C17" s="36">
        <f ca="1">IFERROR(__xludf.DUMMYFUNCTION("""COMPUTED_VALUE"""),2012)</f>
        <v>2012</v>
      </c>
      <c r="D17" s="36" t="str">
        <f ca="1">IFERROR(__xludf.DUMMYFUNCTION("""COMPUTED_VALUE"""),"Amorós")</f>
        <v>Amorós</v>
      </c>
      <c r="E17" s="36" t="str">
        <f ca="1">IFERROR(__xludf.DUMMYFUNCTION("""COMPUTED_VALUE"""),"gs.amoros@scoutsdemadrid.org ")</f>
        <v xml:space="preserve">gs.amoros@scoutsdemadrid.org </v>
      </c>
      <c r="F17" s="48">
        <f ca="1">IFERROR(__xludf.DUMMYFUNCTION("""COMPUTED_VALUE"""),41106)</f>
        <v>41106</v>
      </c>
      <c r="G17" s="48">
        <f ca="1">IFERROR(__xludf.DUMMYFUNCTION("""COMPUTED_VALUE"""),41120)</f>
        <v>41120</v>
      </c>
      <c r="H17" s="36" t="str">
        <f ca="1">IFERROR(__xludf.DUMMYFUNCTION("""COMPUTED_VALUE"""),"Proaza, Covadonga, Ribadesella")</f>
        <v>Proaza, Covadonga, Ribadesella</v>
      </c>
      <c r="I17" s="36" t="str">
        <f ca="1">IFERROR(__xludf.DUMMYFUNCTION("""COMPUTED_VALUE"""),"Ruta del Oso, Covadonga, Ribadesella")</f>
        <v>Ruta del Oso, Covadonga, Ribadesella</v>
      </c>
      <c r="J17" s="36" t="str">
        <f ca="1">IFERROR(__xludf.DUMMYFUNCTION("""COMPUTED_VALUE"""),"")</f>
        <v/>
      </c>
      <c r="K17" s="36" t="str">
        <f ca="1">IFERROR(__xludf.DUMMYFUNCTION("""COMPUTED_VALUE"""),"")</f>
        <v/>
      </c>
      <c r="L17" s="36" t="str">
        <f ca="1">IFERROR(__xludf.DUMMYFUNCTION("""COMPUTED_VALUE"""),"")</f>
        <v/>
      </c>
      <c r="M17" s="36" t="str">
        <f ca="1">IFERROR(__xludf.DUMMYFUNCTION("""COMPUTED_VALUE"""),"")</f>
        <v/>
      </c>
      <c r="N17" s="36" t="str">
        <f ca="1">IFERROR(__xludf.DUMMYFUNCTION("""COMPUTED_VALUE"""),"")</f>
        <v/>
      </c>
      <c r="O17" s="36" t="str">
        <f ca="1">IFERROR(__xludf.DUMMYFUNCTION("""COMPUTED_VALUE"""),"")</f>
        <v/>
      </c>
      <c r="P17" s="36" t="str">
        <f ca="1">IFERROR(__xludf.DUMMYFUNCTION("""COMPUTED_VALUE"""),"")</f>
        <v/>
      </c>
      <c r="Q17" s="36" t="str">
        <f ca="1">IFERROR(__xludf.DUMMYFUNCTION("""COMPUTED_VALUE"""),"")</f>
        <v/>
      </c>
      <c r="R17" s="36" t="str">
        <f ca="1">IFERROR(__xludf.DUMMYFUNCTION("""COMPUTED_VALUE"""),"")</f>
        <v/>
      </c>
      <c r="S17" s="36" t="str">
        <f ca="1">IFERROR(__xludf.DUMMYFUNCTION("""COMPUTED_VALUE"""),"")</f>
        <v/>
      </c>
      <c r="T17" s="36" t="str">
        <f ca="1">IFERROR(__xludf.DUMMYFUNCTION("""COMPUTED_VALUE"""),"")</f>
        <v/>
      </c>
      <c r="U17" s="36" t="str">
        <f ca="1">IFERROR(__xludf.DUMMYFUNCTION("""COMPUTED_VALUE"""),"")</f>
        <v/>
      </c>
      <c r="V17" s="36" t="str">
        <f ca="1">IFERROR(__xludf.DUMMYFUNCTION("""COMPUTED_VALUE"""),"")</f>
        <v/>
      </c>
      <c r="W17" s="36" t="str">
        <f ca="1">IFERROR(__xludf.DUMMYFUNCTION("""COMPUTED_VALUE"""),"")</f>
        <v/>
      </c>
      <c r="X17" s="36"/>
      <c r="Y17" s="36"/>
      <c r="Z17" s="36"/>
    </row>
    <row r="18" spans="1:26" ht="12.75">
      <c r="A18" s="36" t="str">
        <f ca="1">IFERROR(__xludf.DUMMYFUNCTION("""COMPUTED_VALUE"""),"Asturias")</f>
        <v>Asturias</v>
      </c>
      <c r="B18" s="36" t="str">
        <f ca="1">IFERROR(__xludf.DUMMYFUNCTION("""COMPUTED_VALUE"""),"Asturias")</f>
        <v>Asturias</v>
      </c>
      <c r="C18" s="36">
        <f ca="1">IFERROR(__xludf.DUMMYFUNCTION("""COMPUTED_VALUE"""),2012)</f>
        <v>2012</v>
      </c>
      <c r="D18" s="36" t="str">
        <f ca="1">IFERROR(__xludf.DUMMYFUNCTION("""COMPUTED_VALUE"""),"Amorós")</f>
        <v>Amorós</v>
      </c>
      <c r="E18" s="36" t="str">
        <f ca="1">IFERROR(__xludf.DUMMYFUNCTION("""COMPUTED_VALUE"""),"gs.amoros@scoutsdemadrid.org ")</f>
        <v xml:space="preserve">gs.amoros@scoutsdemadrid.org </v>
      </c>
      <c r="F18" s="48">
        <f ca="1">IFERROR(__xludf.DUMMYFUNCTION("""COMPUTED_VALUE"""),41103)</f>
        <v>41103</v>
      </c>
      <c r="G18" s="48">
        <f ca="1">IFERROR(__xludf.DUMMYFUNCTION("""COMPUTED_VALUE"""),41120)</f>
        <v>41120</v>
      </c>
      <c r="H18" s="36" t="str">
        <f ca="1">IFERROR(__xludf.DUMMYFUNCTION("""COMPUTED_VALUE"""),"Asturias")</f>
        <v>Asturias</v>
      </c>
      <c r="I18" s="36" t="str">
        <f ca="1">IFERROR(__xludf.DUMMYFUNCTION("""COMPUTED_VALUE"""),"Proaza")</f>
        <v>Proaza</v>
      </c>
      <c r="J18" s="36" t="str">
        <f ca="1">IFERROR(__xludf.DUMMYFUNCTION("""COMPUTED_VALUE"""),"")</f>
        <v/>
      </c>
      <c r="K18" s="49" t="str">
        <f ca="1">IFERROR(__xludf.DUMMYFUNCTION("""COMPUTED_VALUE"""),"https://maps.google.com/maps?q=Proaza&amp;hl=en&amp;ll=43.240951,-6.01759&amp;spn=0.080533,0.181103&amp;hnear=Proaza,+Asturias,+Spain&amp;t=m&amp;z=13")</f>
        <v>https://maps.google.com/maps?q=Proaza&amp;hl=en&amp;ll=43.240951,-6.01759&amp;spn=0.080533,0.181103&amp;hnear=Proaza,+Asturias,+Spain&amp;t=m&amp;z=13</v>
      </c>
      <c r="L18" s="36" t="str">
        <f ca="1">IFERROR(__xludf.DUMMYFUNCTION("""COMPUTED_VALUE"""),"")</f>
        <v/>
      </c>
      <c r="M18" s="36" t="str">
        <f ca="1">IFERROR(__xludf.DUMMYFUNCTION("""COMPUTED_VALUE"""),"")</f>
        <v/>
      </c>
      <c r="N18" s="36" t="str">
        <f ca="1">IFERROR(__xludf.DUMMYFUNCTION("""COMPUTED_VALUE"""),"")</f>
        <v/>
      </c>
      <c r="O18" s="36" t="str">
        <f ca="1">IFERROR(__xludf.DUMMYFUNCTION("""COMPUTED_VALUE"""),"")</f>
        <v/>
      </c>
      <c r="P18" s="36" t="str">
        <f ca="1">IFERROR(__xludf.DUMMYFUNCTION("""COMPUTED_VALUE"""),"")</f>
        <v/>
      </c>
      <c r="Q18" s="36" t="str">
        <f ca="1">IFERROR(__xludf.DUMMYFUNCTION("""COMPUTED_VALUE"""),"")</f>
        <v/>
      </c>
      <c r="R18" s="36" t="str">
        <f ca="1">IFERROR(__xludf.DUMMYFUNCTION("""COMPUTED_VALUE"""),"")</f>
        <v/>
      </c>
      <c r="S18" s="36" t="str">
        <f ca="1">IFERROR(__xludf.DUMMYFUNCTION("""COMPUTED_VALUE"""),"")</f>
        <v/>
      </c>
      <c r="T18" s="36" t="str">
        <f ca="1">IFERROR(__xludf.DUMMYFUNCTION("""COMPUTED_VALUE"""),"")</f>
        <v/>
      </c>
      <c r="U18" s="36" t="str">
        <f ca="1">IFERROR(__xludf.DUMMYFUNCTION("""COMPUTED_VALUE"""),"")</f>
        <v/>
      </c>
      <c r="V18" s="36" t="str">
        <f ca="1">IFERROR(__xludf.DUMMYFUNCTION("""COMPUTED_VALUE"""),"")</f>
        <v/>
      </c>
      <c r="W18" s="36" t="str">
        <f ca="1">IFERROR(__xludf.DUMMYFUNCTION("""COMPUTED_VALUE"""),"")</f>
        <v/>
      </c>
      <c r="X18" s="36"/>
      <c r="Y18" s="36"/>
      <c r="Z18" s="36"/>
    </row>
    <row r="19" spans="1:26" ht="12.75">
      <c r="A19" s="36" t="str">
        <f ca="1">IFERROR(__xludf.DUMMYFUNCTION("""COMPUTED_VALUE"""),"Asturias, Principado De")</f>
        <v>Asturias, Principado De</v>
      </c>
      <c r="B19" s="36" t="str">
        <f ca="1">IFERROR(__xludf.DUMMYFUNCTION("""COMPUTED_VALUE"""),"Asturias")</f>
        <v>Asturias</v>
      </c>
      <c r="C19" s="36">
        <f ca="1">IFERROR(__xludf.DUMMYFUNCTION("""COMPUTED_VALUE"""),2019)</f>
        <v>2019</v>
      </c>
      <c r="D19" s="36" t="str">
        <f ca="1">IFERROR(__xludf.DUMMYFUNCTION("""COMPUTED_VALUE"""),"Pilar")</f>
        <v>Pilar</v>
      </c>
      <c r="E19" s="36" t="str">
        <f ca="1">IFERROR(__xludf.DUMMYFUNCTION("""COMPUTED_VALUE"""),"gs.pilar@scoutsdemadrid.org")</f>
        <v>gs.pilar@scoutsdemadrid.org</v>
      </c>
      <c r="F19" s="48">
        <f ca="1">IFERROR(__xludf.DUMMYFUNCTION("""COMPUTED_VALUE"""),43663)</f>
        <v>43663</v>
      </c>
      <c r="G19" s="48">
        <f ca="1">IFERROR(__xludf.DUMMYFUNCTION("""COMPUTED_VALUE"""),43674)</f>
        <v>43674</v>
      </c>
      <c r="H19" s="36" t="str">
        <f ca="1">IFERROR(__xludf.DUMMYFUNCTION("""COMPUTED_VALUE"""),"Sellaño")</f>
        <v>Sellaño</v>
      </c>
      <c r="I19" s="36" t="str">
        <f ca="1">IFERROR(__xludf.DUMMYFUNCTION("""COMPUTED_VALUE"""),"Sellaño")</f>
        <v>Sellaño</v>
      </c>
      <c r="J19" s="36" t="str">
        <f ca="1">IFERROR(__xludf.DUMMYFUNCTION("""COMPUTED_VALUE"""),"33050A073002440000AK")</f>
        <v>33050A073002440000AK</v>
      </c>
      <c r="K19" s="36" t="str">
        <f ca="1">IFERROR(__xludf.DUMMYFUNCTION("""COMPUTED_VALUE"""),"X 320679,94 ; Y 4791928,7")</f>
        <v>X 320679,94 ; Y 4791928,7</v>
      </c>
      <c r="L19" s="36" t="str">
        <f ca="1">IFERROR(__xludf.DUMMYFUNCTION("""COMPUTED_VALUE"""),"Juan José Martínez Arobes")</f>
        <v>Juan José Martínez Arobes</v>
      </c>
      <c r="M19" s="36">
        <f ca="1">IFERROR(__xludf.DUMMYFUNCTION("""COMPUTED_VALUE"""),650785463)</f>
        <v>650785463</v>
      </c>
      <c r="N19" s="36" t="str">
        <f ca="1">IFERROR(__xludf.DUMMYFUNCTION("""COMPUTED_VALUE"""),"juanjoma@hotmail.es")</f>
        <v>juanjoma@hotmail.es</v>
      </c>
      <c r="O19" s="36" t="str">
        <f ca="1">IFERROR(__xludf.DUMMYFUNCTION("""COMPUTED_VALUE"""),"1400€ en total")</f>
        <v>1400€ en total</v>
      </c>
      <c r="P19" s="36" t="str">
        <f ca="1">IFERROR(__xludf.DUMMYFUNCTION("""COMPUTED_VALUE"""),"1 ha")</f>
        <v>1 ha</v>
      </c>
      <c r="Q19" s="36" t="str">
        <f ca="1">IFERROR(__xludf.DUMMYFUNCTION("""COMPUTED_VALUE"""),"REGULAR (Se puede acceder con un coche normal con dificultad)")</f>
        <v>REGULAR (Se puede acceder con un coche normal con dificultad)</v>
      </c>
      <c r="R19" s="36" t="str">
        <f ca="1">IFERROR(__xludf.DUMMYFUNCTION("""COMPUTED_VALUE"""),"Sí")</f>
        <v>Sí</v>
      </c>
      <c r="S19" s="36" t="str">
        <f ca="1">IFERROR(__xludf.DUMMYFUNCTION("""COMPUTED_VALUE"""),"50 m")</f>
        <v>50 m</v>
      </c>
      <c r="T19" s="36" t="str">
        <f ca="1">IFERROR(__xludf.DUMMYFUNCTION("""COMPUTED_VALUE"""),"El río se encuentra dentro de la finca. Hay acceso fácil al río. Es una zona más o menos llana con varias zonas de baño")</f>
        <v>El río se encuentra dentro de la finca. Hay acceso fácil al río. Es una zona más o menos llana con varias zonas de baño</v>
      </c>
      <c r="U19" s="36" t="str">
        <f ca="1">IFERROR(__xludf.DUMMYFUNCTION("""COMPUTED_VALUE"""),"Sólo una caseta de aperos pequeña")</f>
        <v>Sólo una caseta de aperos pequeña</v>
      </c>
      <c r="V19" s="36" t="str">
        <f ca="1">IFERROR(__xludf.DUMMYFUNCTION("""COMPUTED_VALUE"""),"sí")</f>
        <v>sí</v>
      </c>
      <c r="W19" s="36" t="str">
        <f ca="1">IFERROR(__xludf.DUMMYFUNCTION("""COMPUTED_VALUE"""),"Campa amplia y plana al lado del río, en un paraje natural precioso en pleno valle del Ponga")</f>
        <v>Campa amplia y plana al lado del río, en un paraje natural precioso en pleno valle del Ponga</v>
      </c>
      <c r="X19" s="36"/>
      <c r="Y19" s="36"/>
      <c r="Z19" s="36"/>
    </row>
    <row r="20" spans="1:26" ht="12.75" hidden="1">
      <c r="A20" s="36" t="str">
        <f ca="1">IFERROR(__xludf.DUMMYFUNCTION("""COMPUTED_VALUE"""),"Cantabria")</f>
        <v>Cantabria</v>
      </c>
      <c r="B20" s="36" t="str">
        <f ca="1">IFERROR(__xludf.DUMMYFUNCTION("""COMPUTED_VALUE"""),"Cantabria")</f>
        <v>Cantabria</v>
      </c>
      <c r="C20" s="36">
        <f ca="1">IFERROR(__xludf.DUMMYFUNCTION("""COMPUTED_VALUE"""),2015)</f>
        <v>2015</v>
      </c>
      <c r="D20" s="36" t="str">
        <f ca="1">IFERROR(__xludf.DUMMYFUNCTION("""COMPUTED_VALUE"""),"Monte Nebo")</f>
        <v>Monte Nebo</v>
      </c>
      <c r="E20" s="36" t="str">
        <f ca="1">IFERROR(__xludf.DUMMYFUNCTION("""COMPUTED_VALUE"""),"gs.montenebo@scoutsdemadrid.org ")</f>
        <v xml:space="preserve">gs.montenebo@scoutsdemadrid.org </v>
      </c>
      <c r="F20" s="48">
        <f ca="1">IFERROR(__xludf.DUMMYFUNCTION("""COMPUTED_VALUE"""),42187)</f>
        <v>42187</v>
      </c>
      <c r="G20" s="48">
        <f ca="1">IFERROR(__xludf.DUMMYFUNCTION("""COMPUTED_VALUE"""),42197)</f>
        <v>42197</v>
      </c>
      <c r="H20" s="36" t="str">
        <f ca="1">IFERROR(__xludf.DUMMYFUNCTION("""COMPUTED_VALUE"""),"Solórzano")</f>
        <v>Solórzano</v>
      </c>
      <c r="I20" s="36" t="str">
        <f ca="1">IFERROR(__xludf.DUMMYFUNCTION("""COMPUTED_VALUE"""),"A.J. Gerardo Diego")</f>
        <v>A.J. Gerardo Diego</v>
      </c>
      <c r="J20" s="36" t="str">
        <f ca="1">IFERROR(__xludf.DUMMYFUNCTION("""COMPUTED_VALUE"""),"")</f>
        <v/>
      </c>
      <c r="K20" s="36" t="str">
        <f ca="1">IFERROR(__xludf.DUMMYFUNCTION("""COMPUTED_VALUE"""),"")</f>
        <v/>
      </c>
      <c r="L20" s="36" t="str">
        <f ca="1">IFERROR(__xludf.DUMMYFUNCTION("""COMPUTED_VALUE"""),"")</f>
        <v/>
      </c>
      <c r="M20" s="36" t="str">
        <f ca="1">IFERROR(__xludf.DUMMYFUNCTION("""COMPUTED_VALUE"""),"")</f>
        <v/>
      </c>
      <c r="N20" s="36" t="str">
        <f ca="1">IFERROR(__xludf.DUMMYFUNCTION("""COMPUTED_VALUE"""),"")</f>
        <v/>
      </c>
      <c r="O20" s="36" t="str">
        <f ca="1">IFERROR(__xludf.DUMMYFUNCTION("""COMPUTED_VALUE"""),"")</f>
        <v/>
      </c>
      <c r="P20" s="36" t="str">
        <f ca="1">IFERROR(__xludf.DUMMYFUNCTION("""COMPUTED_VALUE"""),"")</f>
        <v/>
      </c>
      <c r="Q20" s="36" t="str">
        <f ca="1">IFERROR(__xludf.DUMMYFUNCTION("""COMPUTED_VALUE"""),"")</f>
        <v/>
      </c>
      <c r="R20" s="36" t="str">
        <f ca="1">IFERROR(__xludf.DUMMYFUNCTION("""COMPUTED_VALUE"""),"")</f>
        <v/>
      </c>
      <c r="S20" s="36" t="str">
        <f ca="1">IFERROR(__xludf.DUMMYFUNCTION("""COMPUTED_VALUE"""),"")</f>
        <v/>
      </c>
      <c r="T20" s="36" t="str">
        <f ca="1">IFERROR(__xludf.DUMMYFUNCTION("""COMPUTED_VALUE"""),"")</f>
        <v/>
      </c>
      <c r="U20" s="36" t="str">
        <f ca="1">IFERROR(__xludf.DUMMYFUNCTION("""COMPUTED_VALUE"""),"")</f>
        <v/>
      </c>
      <c r="V20" s="36" t="str">
        <f ca="1">IFERROR(__xludf.DUMMYFUNCTION("""COMPUTED_VALUE"""),"")</f>
        <v/>
      </c>
      <c r="W20" s="36" t="str">
        <f ca="1">IFERROR(__xludf.DUMMYFUNCTION("""COMPUTED_VALUE"""),"")</f>
        <v/>
      </c>
      <c r="X20" s="36"/>
      <c r="Y20" s="36"/>
      <c r="Z20" s="36"/>
    </row>
    <row r="21" spans="1:26" ht="12.75" hidden="1">
      <c r="A21" s="36" t="str">
        <f ca="1">IFERROR(__xludf.DUMMYFUNCTION("""COMPUTED_VALUE"""),"Cantabria")</f>
        <v>Cantabria</v>
      </c>
      <c r="B21" s="36" t="str">
        <f ca="1">IFERROR(__xludf.DUMMYFUNCTION("""COMPUTED_VALUE"""),"Cantabria")</f>
        <v>Cantabria</v>
      </c>
      <c r="C21" s="36">
        <f ca="1">IFERROR(__xludf.DUMMYFUNCTION("""COMPUTED_VALUE"""),2015)</f>
        <v>2015</v>
      </c>
      <c r="D21" s="36" t="str">
        <f ca="1">IFERROR(__xludf.DUMMYFUNCTION("""COMPUTED_VALUE"""),"Valverde")</f>
        <v>Valverde</v>
      </c>
      <c r="E21" s="36" t="str">
        <f ca="1">IFERROR(__xludf.DUMMYFUNCTION("""COMPUTED_VALUE"""),"gs.valverde@scoutsdemadrid.org ")</f>
        <v xml:space="preserve">gs.valverde@scoutsdemadrid.org </v>
      </c>
      <c r="F21" s="48">
        <f ca="1">IFERROR(__xludf.DUMMYFUNCTION("""COMPUTED_VALUE"""),42199)</f>
        <v>42199</v>
      </c>
      <c r="G21" s="48">
        <f ca="1">IFERROR(__xludf.DUMMYFUNCTION("""COMPUTED_VALUE"""),42215)</f>
        <v>42215</v>
      </c>
      <c r="H21" s="36" t="str">
        <f ca="1">IFERROR(__xludf.DUMMYFUNCTION("""COMPUTED_VALUE"""),"Suesa")</f>
        <v>Suesa</v>
      </c>
      <c r="I21" s="36" t="str">
        <f ca="1">IFERROR(__xludf.DUMMYFUNCTION("""COMPUTED_VALUE"""),"Suesa")</f>
        <v>Suesa</v>
      </c>
      <c r="J21" s="36" t="str">
        <f ca="1">IFERROR(__xludf.DUMMYFUNCTION("""COMPUTED_VALUE"""),"")</f>
        <v/>
      </c>
      <c r="K21" s="36" t="str">
        <f ca="1">IFERROR(__xludf.DUMMYFUNCTION("""COMPUTED_VALUE"""),"43.444868, -3.730115")</f>
        <v>43.444868, -3.730115</v>
      </c>
      <c r="L21" s="36" t="str">
        <f ca="1">IFERROR(__xludf.DUMMYFUNCTION("""COMPUTED_VALUE"""),"")</f>
        <v/>
      </c>
      <c r="M21" s="36" t="str">
        <f ca="1">IFERROR(__xludf.DUMMYFUNCTION("""COMPUTED_VALUE"""),"")</f>
        <v/>
      </c>
      <c r="N21" s="36" t="str">
        <f ca="1">IFERROR(__xludf.DUMMYFUNCTION("""COMPUTED_VALUE"""),"")</f>
        <v/>
      </c>
      <c r="O21" s="36" t="str">
        <f ca="1">IFERROR(__xludf.DUMMYFUNCTION("""COMPUTED_VALUE"""),"")</f>
        <v/>
      </c>
      <c r="P21" s="36" t="str">
        <f ca="1">IFERROR(__xludf.DUMMYFUNCTION("""COMPUTED_VALUE"""),"")</f>
        <v/>
      </c>
      <c r="Q21" s="36" t="str">
        <f ca="1">IFERROR(__xludf.DUMMYFUNCTION("""COMPUTED_VALUE"""),"")</f>
        <v/>
      </c>
      <c r="R21" s="36" t="str">
        <f ca="1">IFERROR(__xludf.DUMMYFUNCTION("""COMPUTED_VALUE"""),"")</f>
        <v/>
      </c>
      <c r="S21" s="36" t="str">
        <f ca="1">IFERROR(__xludf.DUMMYFUNCTION("""COMPUTED_VALUE"""),"")</f>
        <v/>
      </c>
      <c r="T21" s="36" t="str">
        <f ca="1">IFERROR(__xludf.DUMMYFUNCTION("""COMPUTED_VALUE"""),"")</f>
        <v/>
      </c>
      <c r="U21" s="36" t="str">
        <f ca="1">IFERROR(__xludf.DUMMYFUNCTION("""COMPUTED_VALUE"""),"")</f>
        <v/>
      </c>
      <c r="V21" s="36" t="str">
        <f ca="1">IFERROR(__xludf.DUMMYFUNCTION("""COMPUTED_VALUE"""),"")</f>
        <v/>
      </c>
      <c r="W21" s="36" t="str">
        <f ca="1">IFERROR(__xludf.DUMMYFUNCTION("""COMPUTED_VALUE"""),"")</f>
        <v/>
      </c>
      <c r="X21" s="36"/>
      <c r="Y21" s="36"/>
      <c r="Z21" s="36"/>
    </row>
    <row r="22" spans="1:26" ht="12.75" hidden="1">
      <c r="A22" s="36" t="str">
        <f ca="1">IFERROR(__xludf.DUMMYFUNCTION("""COMPUTED_VALUE"""),"Cantabria")</f>
        <v>Cantabria</v>
      </c>
      <c r="B22" s="36" t="str">
        <f ca="1">IFERROR(__xludf.DUMMYFUNCTION("""COMPUTED_VALUE"""),"Cantabria")</f>
        <v>Cantabria</v>
      </c>
      <c r="C22" s="36">
        <f ca="1">IFERROR(__xludf.DUMMYFUNCTION("""COMPUTED_VALUE"""),2016)</f>
        <v>2016</v>
      </c>
      <c r="D22" s="36" t="str">
        <f ca="1">IFERROR(__xludf.DUMMYFUNCTION("""COMPUTED_VALUE"""),"San Agustin")</f>
        <v>San Agustin</v>
      </c>
      <c r="E22" s="36" t="str">
        <f ca="1">IFERROR(__xludf.DUMMYFUNCTION("""COMPUTED_VALUE"""),"gs.sanagustin@scoutsdemadrid.org ")</f>
        <v xml:space="preserve">gs.sanagustin@scoutsdemadrid.org </v>
      </c>
      <c r="F22" s="48">
        <f ca="1">IFERROR(__xludf.DUMMYFUNCTION("""COMPUTED_VALUE"""),42181)</f>
        <v>42181</v>
      </c>
      <c r="G22" s="48">
        <f ca="1">IFERROR(__xludf.DUMMYFUNCTION("""COMPUTED_VALUE"""),42185)</f>
        <v>42185</v>
      </c>
      <c r="H22" s="36" t="str">
        <f ca="1">IFERROR(__xludf.DUMMYFUNCTION("""COMPUTED_VALUE"""),"Bielva")</f>
        <v>Bielva</v>
      </c>
      <c r="I22" s="36" t="str">
        <f ca="1">IFERROR(__xludf.DUMMYFUNCTION("""COMPUTED_VALUE"""),"Puente del Arrudo")</f>
        <v>Puente del Arrudo</v>
      </c>
      <c r="J22" s="36" t="str">
        <f ca="1">IFERROR(__xludf.DUMMYFUNCTION("""COMPUTED_VALUE"""),"")</f>
        <v/>
      </c>
      <c r="K22" s="36" t="str">
        <f ca="1">IFERROR(__xludf.DUMMYFUNCTION("""COMPUTED_VALUE"""),"")</f>
        <v/>
      </c>
      <c r="L22" s="36" t="str">
        <f ca="1">IFERROR(__xludf.DUMMYFUNCTION("""COMPUTED_VALUE"""),"")</f>
        <v/>
      </c>
      <c r="M22" s="36" t="str">
        <f ca="1">IFERROR(__xludf.DUMMYFUNCTION("""COMPUTED_VALUE"""),"")</f>
        <v/>
      </c>
      <c r="N22" s="36" t="str">
        <f ca="1">IFERROR(__xludf.DUMMYFUNCTION("""COMPUTED_VALUE"""),"")</f>
        <v/>
      </c>
      <c r="O22" s="36" t="str">
        <f ca="1">IFERROR(__xludf.DUMMYFUNCTION("""COMPUTED_VALUE"""),"")</f>
        <v/>
      </c>
      <c r="P22" s="36" t="str">
        <f ca="1">IFERROR(__xludf.DUMMYFUNCTION("""COMPUTED_VALUE"""),"")</f>
        <v/>
      </c>
      <c r="Q22" s="36" t="str">
        <f ca="1">IFERROR(__xludf.DUMMYFUNCTION("""COMPUTED_VALUE"""),"")</f>
        <v/>
      </c>
      <c r="R22" s="36" t="str">
        <f ca="1">IFERROR(__xludf.DUMMYFUNCTION("""COMPUTED_VALUE"""),"")</f>
        <v/>
      </c>
      <c r="S22" s="36" t="str">
        <f ca="1">IFERROR(__xludf.DUMMYFUNCTION("""COMPUTED_VALUE"""),"")</f>
        <v/>
      </c>
      <c r="T22" s="36" t="str">
        <f ca="1">IFERROR(__xludf.DUMMYFUNCTION("""COMPUTED_VALUE"""),"")</f>
        <v/>
      </c>
      <c r="U22" s="36" t="str">
        <f ca="1">IFERROR(__xludf.DUMMYFUNCTION("""COMPUTED_VALUE"""),"")</f>
        <v/>
      </c>
      <c r="V22" s="36" t="str">
        <f ca="1">IFERROR(__xludf.DUMMYFUNCTION("""COMPUTED_VALUE"""),"")</f>
        <v/>
      </c>
      <c r="W22" s="36" t="str">
        <f ca="1">IFERROR(__xludf.DUMMYFUNCTION("""COMPUTED_VALUE"""),"")</f>
        <v/>
      </c>
      <c r="X22" s="36"/>
      <c r="Y22" s="36"/>
      <c r="Z22" s="36"/>
    </row>
    <row r="23" spans="1:26" ht="12.75" hidden="1">
      <c r="A23" s="36" t="str">
        <f ca="1">IFERROR(__xludf.DUMMYFUNCTION("""COMPUTED_VALUE"""),"Cantabria")</f>
        <v>Cantabria</v>
      </c>
      <c r="B23" s="36" t="str">
        <f ca="1">IFERROR(__xludf.DUMMYFUNCTION("""COMPUTED_VALUE"""),"Cantabria")</f>
        <v>Cantabria</v>
      </c>
      <c r="C23" s="36">
        <f ca="1">IFERROR(__xludf.DUMMYFUNCTION("""COMPUTED_VALUE"""),2016)</f>
        <v>2016</v>
      </c>
      <c r="D23" s="36" t="str">
        <f ca="1">IFERROR(__xludf.DUMMYFUNCTION("""COMPUTED_VALUE"""),"Monte Nebo")</f>
        <v>Monte Nebo</v>
      </c>
      <c r="E23" s="36" t="str">
        <f ca="1">IFERROR(__xludf.DUMMYFUNCTION("""COMPUTED_VALUE"""),"gs.montenebo@scoutsdemadrid.org ")</f>
        <v xml:space="preserve">gs.montenebo@scoutsdemadrid.org </v>
      </c>
      <c r="F23" s="48">
        <f ca="1">IFERROR(__xludf.DUMMYFUNCTION("""COMPUTED_VALUE"""),42555)</f>
        <v>42555</v>
      </c>
      <c r="G23" s="48">
        <f ca="1">IFERROR(__xludf.DUMMYFUNCTION("""COMPUTED_VALUE"""),42562)</f>
        <v>42562</v>
      </c>
      <c r="H23" s="36" t="str">
        <f ca="1">IFERROR(__xludf.DUMMYFUNCTION("""COMPUTED_VALUE"""),"Alto Campoó, Brañavieja")</f>
        <v>Alto Campoó, Brañavieja</v>
      </c>
      <c r="I23" s="36" t="str">
        <f ca="1">IFERROR(__xludf.DUMMYFUNCTION("""COMPUTED_VALUE"""),"Albergue Juvenil Brañavieja")</f>
        <v>Albergue Juvenil Brañavieja</v>
      </c>
      <c r="J23" s="36" t="str">
        <f ca="1">IFERROR(__xludf.DUMMYFUNCTION("""COMPUTED_VALUE"""),"")</f>
        <v/>
      </c>
      <c r="K23" s="36" t="str">
        <f ca="1">IFERROR(__xludf.DUMMYFUNCTION("""COMPUTED_VALUE"""),"")</f>
        <v/>
      </c>
      <c r="L23" s="36" t="str">
        <f ca="1">IFERROR(__xludf.DUMMYFUNCTION("""COMPUTED_VALUE"""),"Gobierno de Cantabria ")</f>
        <v xml:space="preserve">Gobierno de Cantabria </v>
      </c>
      <c r="M23" s="36" t="str">
        <f ca="1">IFERROR(__xludf.DUMMYFUNCTION("""COMPUTED_VALUE""")," 942 207407")</f>
        <v xml:space="preserve"> 942 207407</v>
      </c>
      <c r="N23" s="36" t="str">
        <f ca="1">IFERROR(__xludf.DUMMYFUNCTION("""COMPUTED_VALUE"""),"jovenmania.albergues@cantabria.es")</f>
        <v>jovenmania.albergues@cantabria.es</v>
      </c>
      <c r="O23" s="36" t="str">
        <f ca="1">IFERROR(__xludf.DUMMYFUNCTION("""COMPUTED_VALUE"""),"13,67 por día con pensión completa y alojamiento. ")</f>
        <v xml:space="preserve">13,67 por día con pensión completa y alojamiento. </v>
      </c>
      <c r="P23" s="36" t="str">
        <f ca="1">IFERROR(__xludf.DUMMYFUNCTION("""COMPUTED_VALUE"""),"X ")</f>
        <v xml:space="preserve">X </v>
      </c>
      <c r="Q23" s="36" t="str">
        <f ca="1">IFERROR(__xludf.DUMMYFUNCTION("""COMPUTED_VALUE"""),"BUENO (Se puede acceder con cualquier coche)")</f>
        <v>BUENO (Se puede acceder con cualquier coche)</v>
      </c>
      <c r="R23" s="36" t="str">
        <f ca="1">IFERROR(__xludf.DUMMYFUNCTION("""COMPUTED_VALUE"""),"Sí")</f>
        <v>Sí</v>
      </c>
      <c r="S23" s="36" t="str">
        <f ca="1">IFERROR(__xludf.DUMMYFUNCTION("""COMPUTED_VALUE"""),"0 metros (dormimos en habitaciones) ")</f>
        <v xml:space="preserve">0 metros (dormimos en habitaciones) </v>
      </c>
      <c r="T23" s="36" t="str">
        <f ca="1">IFERROR(__xludf.DUMMYFUNCTION("""COMPUTED_VALUE"""),"Buena zona acondicionada con vateres y duchas. ")</f>
        <v xml:space="preserve">Buena zona acondicionada con vateres y duchas. </v>
      </c>
      <c r="U23" s="36" t="str">
        <f ca="1">IFERROR(__xludf.DUMMYFUNCTION("""COMPUTED_VALUE"""),"habitaciones, cocina, salas multiusos, rocódromo... ")</f>
        <v xml:space="preserve">habitaciones, cocina, salas multiusos, rocódromo... </v>
      </c>
      <c r="V23" s="36" t="str">
        <f ca="1">IFERROR(__xludf.DUMMYFUNCTION("""COMPUTED_VALUE"""),"sí. ")</f>
        <v xml:space="preserve">sí. </v>
      </c>
      <c r="W23" s="36" t="str">
        <f ca="1">IFERROR(__xludf.DUMMYFUNCTION("""COMPUTED_VALUE"""),"tiene buenas rutas para hacer, ademas de pozas cerca del albergue. ")</f>
        <v xml:space="preserve">tiene buenas rutas para hacer, ademas de pozas cerca del albergue. </v>
      </c>
      <c r="X23" s="36"/>
      <c r="Y23" s="36"/>
      <c r="Z23" s="36"/>
    </row>
    <row r="24" spans="1:26" ht="12.75" hidden="1">
      <c r="A24" s="36" t="str">
        <f ca="1">IFERROR(__xludf.DUMMYFUNCTION("""COMPUTED_VALUE"""),"Cantabria")</f>
        <v>Cantabria</v>
      </c>
      <c r="B24" s="36" t="str">
        <f ca="1">IFERROR(__xludf.DUMMYFUNCTION("""COMPUTED_VALUE"""),"Santander")</f>
        <v>Santander</v>
      </c>
      <c r="C24" s="36">
        <f ca="1">IFERROR(__xludf.DUMMYFUNCTION("""COMPUTED_VALUE"""),2016)</f>
        <v>2016</v>
      </c>
      <c r="D24" s="36" t="str">
        <f ca="1">IFERROR(__xludf.DUMMYFUNCTION("""COMPUTED_VALUE"""),"Tallac")</f>
        <v>Tallac</v>
      </c>
      <c r="E24" s="36" t="str">
        <f ca="1">IFERROR(__xludf.DUMMYFUNCTION("""COMPUTED_VALUE"""),"gs.tallac@scoutsdemadrid.org ")</f>
        <v xml:space="preserve">gs.tallac@scoutsdemadrid.org </v>
      </c>
      <c r="F24" s="48">
        <f ca="1">IFERROR(__xludf.DUMMYFUNCTION("""COMPUTED_VALUE"""),42552)</f>
        <v>42552</v>
      </c>
      <c r="G24" s="48">
        <f ca="1">IFERROR(__xludf.DUMMYFUNCTION("""COMPUTED_VALUE"""),42566)</f>
        <v>42566</v>
      </c>
      <c r="H24" s="36" t="str">
        <f ca="1">IFERROR(__xludf.DUMMYFUNCTION("""COMPUTED_VALUE"""),"Cabezón De Liébana")</f>
        <v>Cabezón De Liébana</v>
      </c>
      <c r="I24" s="36" t="str">
        <f ca="1">IFERROR(__xludf.DUMMYFUNCTION("""COMPUTED_VALUE"""),"El Esgobio ")</f>
        <v xml:space="preserve">El Esgobio </v>
      </c>
      <c r="J24" s="36" t="str">
        <f ca="1">IFERROR(__xludf.DUMMYFUNCTION("""COMPUTED_VALUE"""),"")</f>
        <v/>
      </c>
      <c r="K24" s="36" t="str">
        <f ca="1">IFERROR(__xludf.DUMMYFUNCTION("""COMPUTED_VALUE"""),"")</f>
        <v/>
      </c>
      <c r="L24" s="36" t="str">
        <f ca="1">IFERROR(__xludf.DUMMYFUNCTION("""COMPUTED_VALUE"""),"Tomás Martínez")</f>
        <v>Tomás Martínez</v>
      </c>
      <c r="M24" s="36" t="str">
        <f ca="1">IFERROR(__xludf.DUMMYFUNCTION("""COMPUTED_VALUE"""),"")</f>
        <v/>
      </c>
      <c r="N24" s="36" t="str">
        <f ca="1">IFERROR(__xludf.DUMMYFUNCTION("""COMPUTED_VALUE"""),"")</f>
        <v/>
      </c>
      <c r="O24" s="36" t="str">
        <f ca="1">IFERROR(__xludf.DUMMYFUNCTION("""COMPUTED_VALUE"""),"")</f>
        <v/>
      </c>
      <c r="P24" s="36" t="str">
        <f ca="1">IFERROR(__xludf.DUMMYFUNCTION("""COMPUTED_VALUE"""),"")</f>
        <v/>
      </c>
      <c r="Q24" s="36" t="str">
        <f ca="1">IFERROR(__xludf.DUMMYFUNCTION("""COMPUTED_VALUE"""),"")</f>
        <v/>
      </c>
      <c r="R24" s="36" t="str">
        <f ca="1">IFERROR(__xludf.DUMMYFUNCTION("""COMPUTED_VALUE"""),"")</f>
        <v/>
      </c>
      <c r="S24" s="36" t="str">
        <f ca="1">IFERROR(__xludf.DUMMYFUNCTION("""COMPUTED_VALUE"""),"")</f>
        <v/>
      </c>
      <c r="T24" s="36" t="str">
        <f ca="1">IFERROR(__xludf.DUMMYFUNCTION("""COMPUTED_VALUE"""),"")</f>
        <v/>
      </c>
      <c r="U24" s="36" t="str">
        <f ca="1">IFERROR(__xludf.DUMMYFUNCTION("""COMPUTED_VALUE"""),"")</f>
        <v/>
      </c>
      <c r="V24" s="36" t="str">
        <f ca="1">IFERROR(__xludf.DUMMYFUNCTION("""COMPUTED_VALUE"""),"")</f>
        <v/>
      </c>
      <c r="W24" s="36" t="str">
        <f ca="1">IFERROR(__xludf.DUMMYFUNCTION("""COMPUTED_VALUE"""),"")</f>
        <v/>
      </c>
      <c r="X24" s="36"/>
      <c r="Y24" s="36"/>
      <c r="Z24" s="36"/>
    </row>
    <row r="25" spans="1:26" ht="12.75" hidden="1">
      <c r="A25" s="36" t="str">
        <f ca="1">IFERROR(__xludf.DUMMYFUNCTION("""COMPUTED_VALUE"""),"Cantabria")</f>
        <v>Cantabria</v>
      </c>
      <c r="B25" s="36" t="str">
        <f ca="1">IFERROR(__xludf.DUMMYFUNCTION("""COMPUTED_VALUE"""),"Cantabria")</f>
        <v>Cantabria</v>
      </c>
      <c r="C25" s="36">
        <f ca="1">IFERROR(__xludf.DUMMYFUNCTION("""COMPUTED_VALUE"""),2016)</f>
        <v>2016</v>
      </c>
      <c r="D25" s="36" t="str">
        <f ca="1">IFERROR(__xludf.DUMMYFUNCTION("""COMPUTED_VALUE"""),"San Pablo")</f>
        <v>San Pablo</v>
      </c>
      <c r="E25" s="36" t="str">
        <f ca="1">IFERROR(__xludf.DUMMYFUNCTION("""COMPUTED_VALUE"""),"gs.sanpablo@scoutsdemadrid.org ")</f>
        <v xml:space="preserve">gs.sanpablo@scoutsdemadrid.org </v>
      </c>
      <c r="F25" s="48">
        <f ca="1">IFERROR(__xludf.DUMMYFUNCTION("""COMPUTED_VALUE"""),42566)</f>
        <v>42566</v>
      </c>
      <c r="G25" s="48">
        <f ca="1">IFERROR(__xludf.DUMMYFUNCTION("""COMPUTED_VALUE"""),42581)</f>
        <v>42581</v>
      </c>
      <c r="H25" s="36" t="str">
        <f ca="1">IFERROR(__xludf.DUMMYFUNCTION("""COMPUTED_VALUE"""),"Camaleño")</f>
        <v>Camaleño</v>
      </c>
      <c r="I25" s="36" t="str">
        <f ca="1">IFERROR(__xludf.DUMMYFUNCTION("""COMPUTED_VALUE"""),"Vallinero")</f>
        <v>Vallinero</v>
      </c>
      <c r="J25" s="36" t="str">
        <f ca="1">IFERROR(__xludf.DUMMYFUNCTION("""COMPUTED_VALUE"""),"2493103UN6729S0001AW")</f>
        <v>2493103UN6729S0001AW</v>
      </c>
      <c r="K25" s="36" t="str">
        <f ca="1">IFERROR(__xludf.DUMMYFUNCTION("""COMPUTED_VALUE"""),"X: 362.250 Y:4.779.100")</f>
        <v>X: 362.250 Y:4.779.100</v>
      </c>
      <c r="L25" s="36" t="str">
        <f ca="1">IFERROR(__xludf.DUMMYFUNCTION("""COMPUTED_VALUE"""),"Emeterio Puente Rodriguez")</f>
        <v>Emeterio Puente Rodriguez</v>
      </c>
      <c r="M25" s="36" t="str">
        <f ca="1">IFERROR(__xludf.DUMMYFUNCTION("""COMPUTED_VALUE"""),"")</f>
        <v/>
      </c>
      <c r="N25" s="36" t="str">
        <f ca="1">IFERROR(__xludf.DUMMYFUNCTION("""COMPUTED_VALUE"""),"")</f>
        <v/>
      </c>
      <c r="O25" s="36" t="str">
        <f ca="1">IFERROR(__xludf.DUMMYFUNCTION("""COMPUTED_VALUE"""),"")</f>
        <v/>
      </c>
      <c r="P25" s="36" t="str">
        <f ca="1">IFERROR(__xludf.DUMMYFUNCTION("""COMPUTED_VALUE"""),"")</f>
        <v/>
      </c>
      <c r="Q25" s="36" t="str">
        <f ca="1">IFERROR(__xludf.DUMMYFUNCTION("""COMPUTED_VALUE"""),"BUENO (Se puede acceder con cualquier coche)")</f>
        <v>BUENO (Se puede acceder con cualquier coche)</v>
      </c>
      <c r="R25" s="36" t="str">
        <f ca="1">IFERROR(__xludf.DUMMYFUNCTION("""COMPUTED_VALUE"""),"Sí")</f>
        <v>Sí</v>
      </c>
      <c r="S25" s="36" t="str">
        <f ca="1">IFERROR(__xludf.DUMMYFUNCTION("""COMPUTED_VALUE"""),"Tenemos rio")</f>
        <v>Tenemos rio</v>
      </c>
      <c r="T25" s="36" t="str">
        <f ca="1">IFERROR(__xludf.DUMMYFUNCTION("""COMPUTED_VALUE"""),"Un rio que discurre por un lateral de su campamento")</f>
        <v>Un rio que discurre por un lateral de su campamento</v>
      </c>
      <c r="U25" s="36" t="str">
        <f ca="1">IFERROR(__xludf.DUMMYFUNCTION("""COMPUTED_VALUE"""),"No")</f>
        <v>No</v>
      </c>
      <c r="V25" s="36" t="str">
        <f ca="1">IFERROR(__xludf.DUMMYFUNCTION("""COMPUTED_VALUE"""),"No")</f>
        <v>No</v>
      </c>
      <c r="W25" s="36" t="str">
        <f ca="1">IFERROR(__xludf.DUMMYFUNCTION("""COMPUTED_VALUE"""),"Un prado grande, esta dividido en dos y un riachuelo discurre por la mitad. Se encuentra delante de la queseria de camaleño")</f>
        <v>Un prado grande, esta dividido en dos y un riachuelo discurre por la mitad. Se encuentra delante de la queseria de camaleño</v>
      </c>
      <c r="X25" s="36"/>
      <c r="Y25" s="36"/>
      <c r="Z25" s="36"/>
    </row>
    <row r="26" spans="1:26" ht="12.75" hidden="1">
      <c r="A26" s="36" t="str">
        <f ca="1">IFERROR(__xludf.DUMMYFUNCTION("""COMPUTED_VALUE"""),"Cantabria")</f>
        <v>Cantabria</v>
      </c>
      <c r="B26" s="36" t="str">
        <f ca="1">IFERROR(__xludf.DUMMYFUNCTION("""COMPUTED_VALUE"""),"Cantabria")</f>
        <v>Cantabria</v>
      </c>
      <c r="C26" s="36">
        <f ca="1">IFERROR(__xludf.DUMMYFUNCTION("""COMPUTED_VALUE"""),2017)</f>
        <v>2017</v>
      </c>
      <c r="D26" s="36" t="str">
        <f ca="1">IFERROR(__xludf.DUMMYFUNCTION("""COMPUTED_VALUE"""),"Valverde")</f>
        <v>Valverde</v>
      </c>
      <c r="E26" s="36" t="str">
        <f ca="1">IFERROR(__xludf.DUMMYFUNCTION("""COMPUTED_VALUE"""),"gs.valverde@scoutsdemadrid.org ")</f>
        <v xml:space="preserve">gs.valverde@scoutsdemadrid.org </v>
      </c>
      <c r="F26" s="48">
        <f ca="1">IFERROR(__xludf.DUMMYFUNCTION("""COMPUTED_VALUE"""),42931)</f>
        <v>42931</v>
      </c>
      <c r="G26" s="48">
        <f ca="1">IFERROR(__xludf.DUMMYFUNCTION("""COMPUTED_VALUE"""),42944)</f>
        <v>42944</v>
      </c>
      <c r="H26" s="36" t="str">
        <f ca="1">IFERROR(__xludf.DUMMYFUNCTION("""COMPUTED_VALUE"""),"Camaleño")</f>
        <v>Camaleño</v>
      </c>
      <c r="I26" s="36" t="str">
        <f ca="1">IFERROR(__xludf.DUMMYFUNCTION("""COMPUTED_VALUE"""),"Llamolín")</f>
        <v>Llamolín</v>
      </c>
      <c r="J26" s="36" t="str">
        <f ca="1">IFERROR(__xludf.DUMMYFUNCTION("""COMPUTED_VALUE"""),"Poligono 4 parcela 32")</f>
        <v>Poligono 4 parcela 32</v>
      </c>
      <c r="K26" s="36" t="str">
        <f ca="1">IFERROR(__xludf.DUMMYFUNCTION("""COMPUTED_VALUE"""),"ETRS89 HUSO 30. X 361.961, Y 4.778.480")</f>
        <v>ETRS89 HUSO 30. X 361.961, Y 4.778.480</v>
      </c>
      <c r="L26" s="36" t="str">
        <f ca="1">IFERROR(__xludf.DUMMYFUNCTION("""COMPUTED_VALUE"""),"Jesús Angel Prado González")</f>
        <v>Jesús Angel Prado González</v>
      </c>
      <c r="M26" s="36" t="str">
        <f ca="1">IFERROR(__xludf.DUMMYFUNCTION("""COMPUTED_VALUE"""),"")</f>
        <v/>
      </c>
      <c r="N26" s="36" t="str">
        <f ca="1">IFERROR(__xludf.DUMMYFUNCTION("""COMPUTED_VALUE"""),"")</f>
        <v/>
      </c>
      <c r="O26" s="36" t="str">
        <f ca="1">IFERROR(__xludf.DUMMYFUNCTION("""COMPUTED_VALUE"""),"")</f>
        <v/>
      </c>
      <c r="P26" s="36" t="str">
        <f ca="1">IFERROR(__xludf.DUMMYFUNCTION("""COMPUTED_VALUE"""),"")</f>
        <v/>
      </c>
      <c r="Q26" s="36" t="str">
        <f ca="1">IFERROR(__xludf.DUMMYFUNCTION("""COMPUTED_VALUE"""),"")</f>
        <v/>
      </c>
      <c r="R26" s="36" t="str">
        <f ca="1">IFERROR(__xludf.DUMMYFUNCTION("""COMPUTED_VALUE"""),"Sí")</f>
        <v>Sí</v>
      </c>
      <c r="S26" s="36" t="str">
        <f ca="1">IFERROR(__xludf.DUMMYFUNCTION("""COMPUTED_VALUE"""),"")</f>
        <v/>
      </c>
      <c r="T26" s="36" t="str">
        <f ca="1">IFERROR(__xludf.DUMMYFUNCTION("""COMPUTED_VALUE"""),"")</f>
        <v/>
      </c>
      <c r="U26" s="36" t="str">
        <f ca="1">IFERROR(__xludf.DUMMYFUNCTION("""COMPUTED_VALUE"""),"Luz y agua")</f>
        <v>Luz y agua</v>
      </c>
      <c r="V26" s="36" t="str">
        <f ca="1">IFERROR(__xludf.DUMMYFUNCTION("""COMPUTED_VALUE"""),"")</f>
        <v/>
      </c>
      <c r="W26" s="36" t="str">
        <f ca="1">IFERROR(__xludf.DUMMYFUNCTION("""COMPUTED_VALUE"""),"")</f>
        <v/>
      </c>
      <c r="X26" s="36"/>
      <c r="Y26" s="36"/>
      <c r="Z26" s="36"/>
    </row>
    <row r="27" spans="1:26" ht="12.75" hidden="1">
      <c r="A27" s="36" t="str">
        <f ca="1">IFERROR(__xludf.DUMMYFUNCTION("""COMPUTED_VALUE"""),"Cantabria")</f>
        <v>Cantabria</v>
      </c>
      <c r="B27" s="36" t="str">
        <f ca="1">IFERROR(__xludf.DUMMYFUNCTION("""COMPUTED_VALUE"""),"Cantabria")</f>
        <v>Cantabria</v>
      </c>
      <c r="C27" s="36">
        <f ca="1">IFERROR(__xludf.DUMMYFUNCTION("""COMPUTED_VALUE"""),2017)</f>
        <v>2017</v>
      </c>
      <c r="D27" s="36" t="str">
        <f ca="1">IFERROR(__xludf.DUMMYFUNCTION("""COMPUTED_VALUE"""),"Santa Ana San Rafael")</f>
        <v>Santa Ana San Rafael</v>
      </c>
      <c r="E27" s="36" t="str">
        <f ca="1">IFERROR(__xludf.DUMMYFUNCTION("""COMPUTED_VALUE"""),"gs.sasr@scoutsdemadrid.org ")</f>
        <v xml:space="preserve">gs.sasr@scoutsdemadrid.org </v>
      </c>
      <c r="F27" s="48">
        <f ca="1">IFERROR(__xludf.DUMMYFUNCTION("""COMPUTED_VALUE"""),42929)</f>
        <v>42929</v>
      </c>
      <c r="G27" s="48">
        <f ca="1">IFERROR(__xludf.DUMMYFUNCTION("""COMPUTED_VALUE"""),42946)</f>
        <v>42946</v>
      </c>
      <c r="H27" s="36" t="str">
        <f ca="1">IFERROR(__xludf.DUMMYFUNCTION("""COMPUTED_VALUE"""),"Cosio (Rionansa)")</f>
        <v>Cosio (Rionansa)</v>
      </c>
      <c r="I27" s="36" t="str">
        <f ca="1">IFERROR(__xludf.DUMMYFUNCTION("""COMPUTED_VALUE"""),"La Vega Ciega")</f>
        <v>La Vega Ciega</v>
      </c>
      <c r="J27" s="36" t="str">
        <f ca="1">IFERROR(__xludf.DUMMYFUNCTION("""COMPUTED_VALUE"""),"39063A0 0700246 000ET")</f>
        <v>39063A0 0700246 000ET</v>
      </c>
      <c r="K27" s="36" t="str">
        <f ca="1">IFERROR(__xludf.DUMMYFUNCTION("""COMPUTED_VALUE"""),"4º 24' 10,670'' W 43º 13' 40,907'' N")</f>
        <v>4º 24' 10,670'' W 43º 13' 40,907'' N</v>
      </c>
      <c r="L27" s="36" t="str">
        <f ca="1">IFERROR(__xludf.DUMMYFUNCTION("""COMPUTED_VALUE"""),"María Dolores Gutiérrez González ")</f>
        <v xml:space="preserve">María Dolores Gutiérrez González </v>
      </c>
      <c r="M27" s="36">
        <f ca="1">IFERROR(__xludf.DUMMYFUNCTION("""COMPUTED_VALUE"""),610259490)</f>
        <v>610259490</v>
      </c>
      <c r="N27" s="36" t="str">
        <f ca="1">IFERROR(__xludf.DUMMYFUNCTION("""COMPUTED_VALUE"""),"nacho7070@hotmail.es")</f>
        <v>nacho7070@hotmail.es</v>
      </c>
      <c r="O27" s="36" t="str">
        <f ca="1">IFERROR(__xludf.DUMMYFUNCTION("""COMPUTED_VALUE"""),"800 euros")</f>
        <v>800 euros</v>
      </c>
      <c r="P27" s="36" t="str">
        <f ca="1">IFERROR(__xludf.DUMMYFUNCTION("""COMPUTED_VALUE"""),"1,5021 ha")</f>
        <v>1,5021 ha</v>
      </c>
      <c r="Q27" s="36" t="str">
        <f ca="1">IFERROR(__xludf.DUMMYFUNCTION("""COMPUTED_VALUE"""),"BUENO (Se puede acceder con cualquier coche)")</f>
        <v>BUENO (Se puede acceder con cualquier coche)</v>
      </c>
      <c r="R27" s="36" t="str">
        <f ca="1">IFERROR(__xludf.DUMMYFUNCTION("""COMPUTED_VALUE"""),"Sí")</f>
        <v>Sí</v>
      </c>
      <c r="S27" s="36" t="str">
        <f ca="1">IFERROR(__xludf.DUMMYFUNCTION("""COMPUTED_VALUE"""),"Colindante con un arroyo")</f>
        <v>Colindante con un arroyo</v>
      </c>
      <c r="T27" s="36" t="str">
        <f ca="1">IFERROR(__xludf.DUMMYFUNCTION("""COMPUTED_VALUE"""),"Arroyo con buen acceso")</f>
        <v>Arroyo con buen acceso</v>
      </c>
      <c r="U27" s="36" t="str">
        <f ca="1">IFERROR(__xludf.DUMMYFUNCTION("""COMPUTED_VALUE"""),"No")</f>
        <v>No</v>
      </c>
      <c r="V27" s="36" t="str">
        <f ca="1">IFERROR(__xludf.DUMMYFUNCTION("""COMPUTED_VALUE"""),"Si")</f>
        <v>Si</v>
      </c>
      <c r="W27" s="36" t="str">
        <f ca="1">IFERROR(__xludf.DUMMYFUNCTION("""COMPUTED_VALUE"""),"Finca con sombra, buen acceso y poco desnivel.")</f>
        <v>Finca con sombra, buen acceso y poco desnivel.</v>
      </c>
      <c r="X27" s="36"/>
      <c r="Y27" s="36"/>
      <c r="Z27" s="36"/>
    </row>
    <row r="28" spans="1:26" ht="12.75" hidden="1">
      <c r="A28" s="36" t="str">
        <f ca="1">IFERROR(__xludf.DUMMYFUNCTION("""COMPUTED_VALUE"""),"Cantabria")</f>
        <v>Cantabria</v>
      </c>
      <c r="B28" s="36" t="str">
        <f ca="1">IFERROR(__xludf.DUMMYFUNCTION("""COMPUTED_VALUE"""),"Cantabria")</f>
        <v>Cantabria</v>
      </c>
      <c r="C28" s="36">
        <f ca="1">IFERROR(__xludf.DUMMYFUNCTION("""COMPUTED_VALUE"""),2018)</f>
        <v>2018</v>
      </c>
      <c r="D28" s="36" t="str">
        <f ca="1">IFERROR(__xludf.DUMMYFUNCTION("""COMPUTED_VALUE"""),"Pilar")</f>
        <v>Pilar</v>
      </c>
      <c r="E28" s="36" t="str">
        <f ca="1">IFERROR(__xludf.DUMMYFUNCTION("""COMPUTED_VALUE"""),"gs.pilar@scoutsdemadrid.org ")</f>
        <v xml:space="preserve">gs.pilar@scoutsdemadrid.org </v>
      </c>
      <c r="F28" s="48">
        <f ca="1">IFERROR(__xludf.DUMMYFUNCTION("""COMPUTED_VALUE"""),43299)</f>
        <v>43299</v>
      </c>
      <c r="G28" s="48">
        <f ca="1">IFERROR(__xludf.DUMMYFUNCTION("""COMPUTED_VALUE"""),43310)</f>
        <v>43310</v>
      </c>
      <c r="H28" s="36" t="str">
        <f ca="1">IFERROR(__xludf.DUMMYFUNCTION("""COMPUTED_VALUE"""),"Rioseco (Puentenansa)")</f>
        <v>Rioseco (Puentenansa)</v>
      </c>
      <c r="I28" s="36" t="str">
        <f ca="1">IFERROR(__xludf.DUMMYFUNCTION("""COMPUTED_VALUE"""),"Barcenique")</f>
        <v>Barcenique</v>
      </c>
      <c r="J28" s="36" t="str">
        <f ca="1">IFERROR(__xludf.DUMMYFUNCTION("""COMPUTED_VALUE"""),"39063A016003120000ES  Pol: 16 Parcela: 312")</f>
        <v>39063A016003120000ES  Pol: 16 Parcela: 312</v>
      </c>
      <c r="K28" s="36" t="str">
        <f ca="1">IFERROR(__xludf.DUMMYFUNCTION("""COMPUTED_VALUE"""),"Lat:43º14' 53.58'' N    Long:4º 24' 41.48'' W")</f>
        <v>Lat:43º14' 53.58'' N    Long:4º 24' 41.48'' W</v>
      </c>
      <c r="L28" s="36" t="str">
        <f ca="1">IFERROR(__xludf.DUMMYFUNCTION("""COMPUTED_VALUE"""),"Carmen Fernández Ruiz")</f>
        <v>Carmen Fernández Ruiz</v>
      </c>
      <c r="M28" s="36" t="str">
        <f ca="1">IFERROR(__xludf.DUMMYFUNCTION("""COMPUTED_VALUE"""),"no tiene")</f>
        <v>no tiene</v>
      </c>
      <c r="N28" s="36" t="str">
        <f ca="1">IFERROR(__xludf.DUMMYFUNCTION("""COMPUTED_VALUE"""),"cosiorgema@gmail.com  (es la hija de la dueña)")</f>
        <v>cosiorgema@gmail.com  (es la hija de la dueña)</v>
      </c>
      <c r="O28" s="36" t="str">
        <f ca="1">IFERROR(__xludf.DUMMYFUNCTION("""COMPUTED_VALUE"""),"1000€ por 12 días de alquiler")</f>
        <v>1000€ por 12 días de alquiler</v>
      </c>
      <c r="P28" s="36" t="str">
        <f ca="1">IFERROR(__xludf.DUMMYFUNCTION("""COMPUTED_VALUE"""),"4,9502 ha")</f>
        <v>4,9502 ha</v>
      </c>
      <c r="Q28" s="36" t="str">
        <f ca="1">IFERROR(__xludf.DUMMYFUNCTION("""COMPUTED_VALUE"""),"BUENO (Se puede acceder con cualquier coche)")</f>
        <v>BUENO (Se puede acceder con cualquier coche)</v>
      </c>
      <c r="R28" s="36" t="str">
        <f ca="1">IFERROR(__xludf.DUMMYFUNCTION("""COMPUTED_VALUE"""),"Sí")</f>
        <v>Sí</v>
      </c>
      <c r="S28" s="36" t="str">
        <f ca="1">IFERROR(__xludf.DUMMYFUNCTION("""COMPUTED_VALUE"""),"100 metros")</f>
        <v>100 metros</v>
      </c>
      <c r="T28" s="36" t="str">
        <f ca="1">IFERROR(__xludf.DUMMYFUNCTION("""COMPUTED_VALUE"""),"Existe un río de caudal medio que delimita la finca por uno de sus extremos. Con pozas a muy poca distancia de la campa.")</f>
        <v>Existe un río de caudal medio que delimita la finca por uno de sus extremos. Con pozas a muy poca distancia de la campa.</v>
      </c>
      <c r="U28" s="36" t="str">
        <f ca="1">IFERROR(__xludf.DUMMYFUNCTION("""COMPUTED_VALUE"""),"Si, existe una casa desde la que se nos proporciona agua potable y electricidad pero esta inmediatamente fuera de la finca.")</f>
        <v>Si, existe una casa desde la que se nos proporciona agua potable y electricidad pero esta inmediatamente fuera de la finca.</v>
      </c>
      <c r="V28" s="36" t="str">
        <f ca="1">IFERROR(__xludf.DUMMYFUNCTION("""COMPUTED_VALUE"""),"Si")</f>
        <v>Si</v>
      </c>
      <c r="W28" s="36" t="str">
        <f ca="1">IFERROR(__xludf.DUMMYFUNCTION("""COMPUTED_VALUE"""),"La campa es muy espaciosa para las 100 personas que seremos. Está delimitada por un río y un bosque que proporciona la sombra. Es muy plana con elevaciones solo en sus extremos y pendiente en la zona más próxima al río. Por experiencias previas de grupos "&amp;"que han hecho campamentos en la misma no tiene apenas inconvenientes.")</f>
        <v>La campa es muy espaciosa para las 100 personas que seremos. Está delimitada por un río y un bosque que proporciona la sombra. Es muy plana con elevaciones solo en sus extremos y pendiente en la zona más próxima al río. Por experiencias previas de grupos que han hecho campamentos en la misma no tiene apenas inconvenientes.</v>
      </c>
      <c r="X28" s="36"/>
      <c r="Y28" s="36"/>
      <c r="Z28" s="36"/>
    </row>
    <row r="29" spans="1:26" ht="12.75" hidden="1">
      <c r="A29" s="36" t="str">
        <f ca="1">IFERROR(__xludf.DUMMYFUNCTION("""COMPUTED_VALUE"""),"Cantabria
Asturias")</f>
        <v>Cantabria
Asturias</v>
      </c>
      <c r="B29" s="36" t="str">
        <f ca="1">IFERROR(__xludf.DUMMYFUNCTION("""COMPUTED_VALUE"""),"Cantabria
Asturias")</f>
        <v>Cantabria
Asturias</v>
      </c>
      <c r="C29" s="36">
        <f ca="1">IFERROR(__xludf.DUMMYFUNCTION("""COMPUTED_VALUE"""),2016)</f>
        <v>2016</v>
      </c>
      <c r="D29" s="36" t="str">
        <f ca="1">IFERROR(__xludf.DUMMYFUNCTION("""COMPUTED_VALUE"""),"Amorós")</f>
        <v>Amorós</v>
      </c>
      <c r="E29" s="36" t="str">
        <f ca="1">IFERROR(__xludf.DUMMYFUNCTION("""COMPUTED_VALUE"""),"gs.amoros@scoutsdemadrid.org ")</f>
        <v xml:space="preserve">gs.amoros@scoutsdemadrid.org </v>
      </c>
      <c r="F29" s="48">
        <f ca="1">IFERROR(__xludf.DUMMYFUNCTION("""COMPUTED_VALUE"""),42567)</f>
        <v>42567</v>
      </c>
      <c r="G29" s="48">
        <f ca="1">IFERROR(__xludf.DUMMYFUNCTION("""COMPUTED_VALUE"""),42577)</f>
        <v>42577</v>
      </c>
      <c r="H29" s="36" t="str">
        <f ca="1">IFERROR(__xludf.DUMMYFUNCTION("""COMPUTED_VALUE"""),"Fuente De A Oseja De Sajambre")</f>
        <v>Fuente De A Oseja De Sajambre</v>
      </c>
      <c r="I29" s="36" t="str">
        <f ca="1">IFERROR(__xludf.DUMMYFUNCTION("""COMPUTED_VALUE"""),"Campamento Volante y Campo de trabajo en Oseja de Sajambre en Asturias")</f>
        <v>Campamento Volante y Campo de trabajo en Oseja de Sajambre en Asturias</v>
      </c>
      <c r="J29" s="36" t="str">
        <f ca="1">IFERROR(__xludf.DUMMYFUNCTION("""COMPUTED_VALUE"""),"")</f>
        <v/>
      </c>
      <c r="K29" s="36" t="str">
        <f ca="1">IFERROR(__xludf.DUMMYFUNCTION("""COMPUTED_VALUE"""),"")</f>
        <v/>
      </c>
      <c r="L29" s="36" t="str">
        <f ca="1">IFERROR(__xludf.DUMMYFUNCTION("""COMPUTED_VALUE"""),"")</f>
        <v/>
      </c>
      <c r="M29" s="36" t="str">
        <f ca="1">IFERROR(__xludf.DUMMYFUNCTION("""COMPUTED_VALUE"""),"")</f>
        <v/>
      </c>
      <c r="N29" s="36" t="str">
        <f ca="1">IFERROR(__xludf.DUMMYFUNCTION("""COMPUTED_VALUE"""),"")</f>
        <v/>
      </c>
      <c r="O29" s="36" t="str">
        <f ca="1">IFERROR(__xludf.DUMMYFUNCTION("""COMPUTED_VALUE"""),"")</f>
        <v/>
      </c>
      <c r="P29" s="36" t="str">
        <f ca="1">IFERROR(__xludf.DUMMYFUNCTION("""COMPUTED_VALUE"""),"")</f>
        <v/>
      </c>
      <c r="Q29" s="36" t="str">
        <f ca="1">IFERROR(__xludf.DUMMYFUNCTION("""COMPUTED_VALUE"""),"")</f>
        <v/>
      </c>
      <c r="R29" s="36" t="str">
        <f ca="1">IFERROR(__xludf.DUMMYFUNCTION("""COMPUTED_VALUE"""),"")</f>
        <v/>
      </c>
      <c r="S29" s="36" t="str">
        <f ca="1">IFERROR(__xludf.DUMMYFUNCTION("""COMPUTED_VALUE"""),"")</f>
        <v/>
      </c>
      <c r="T29" s="36" t="str">
        <f ca="1">IFERROR(__xludf.DUMMYFUNCTION("""COMPUTED_VALUE"""),"")</f>
        <v/>
      </c>
      <c r="U29" s="36" t="str">
        <f ca="1">IFERROR(__xludf.DUMMYFUNCTION("""COMPUTED_VALUE"""),"")</f>
        <v/>
      </c>
      <c r="V29" s="36" t="str">
        <f ca="1">IFERROR(__xludf.DUMMYFUNCTION("""COMPUTED_VALUE"""),"")</f>
        <v/>
      </c>
      <c r="W29" s="36" t="str">
        <f ca="1">IFERROR(__xludf.DUMMYFUNCTION("""COMPUTED_VALUE"""),"")</f>
        <v/>
      </c>
      <c r="X29" s="36"/>
      <c r="Y29" s="36"/>
      <c r="Z29" s="36"/>
    </row>
    <row r="30" spans="1:26" ht="12.75" hidden="1">
      <c r="A30" s="36" t="str">
        <f ca="1">IFERROR(__xludf.DUMMYFUNCTION("""COMPUTED_VALUE"""),"Cantabria")</f>
        <v>Cantabria</v>
      </c>
      <c r="B30" s="36" t="str">
        <f ca="1">IFERROR(__xludf.DUMMYFUNCTION("""COMPUTED_VALUE"""),"Cantabria")</f>
        <v>Cantabria</v>
      </c>
      <c r="C30" s="36">
        <f ca="1">IFERROR(__xludf.DUMMYFUNCTION("""COMPUTED_VALUE"""),2012)</f>
        <v>2012</v>
      </c>
      <c r="D30" s="36" t="str">
        <f ca="1">IFERROR(__xludf.DUMMYFUNCTION("""COMPUTED_VALUE"""),"Valverde")</f>
        <v>Valverde</v>
      </c>
      <c r="E30" s="36" t="str">
        <f ca="1">IFERROR(__xludf.DUMMYFUNCTION("""COMPUTED_VALUE"""),"gs.valverde@scoutsdemadrid.org ")</f>
        <v xml:space="preserve">gs.valverde@scoutsdemadrid.org </v>
      </c>
      <c r="F30" s="48">
        <f ca="1">IFERROR(__xludf.DUMMYFUNCTION("""COMPUTED_VALUE"""),41106)</f>
        <v>41106</v>
      </c>
      <c r="G30" s="48">
        <f ca="1">IFERROR(__xludf.DUMMYFUNCTION("""COMPUTED_VALUE"""),41119)</f>
        <v>41119</v>
      </c>
      <c r="H30" s="36" t="str">
        <f ca="1">IFERROR(__xludf.DUMMYFUNCTION("""COMPUTED_VALUE"""),"Suesa")</f>
        <v>Suesa</v>
      </c>
      <c r="I30" s="36" t="str">
        <f ca="1">IFERROR(__xludf.DUMMYFUNCTION("""COMPUTED_VALUE"""),"Monasterio de Suesa")</f>
        <v>Monasterio de Suesa</v>
      </c>
      <c r="J30" s="36" t="str">
        <f ca="1">IFERROR(__xludf.DUMMYFUNCTION("""COMPUTED_VALUE"""),"")</f>
        <v/>
      </c>
      <c r="K30" s="36" t="str">
        <f ca="1">IFERROR(__xludf.DUMMYFUNCTION("""COMPUTED_VALUE"""),"")</f>
        <v/>
      </c>
      <c r="L30" s="36" t="str">
        <f ca="1">IFERROR(__xludf.DUMMYFUNCTION("""COMPUTED_VALUE"""),"")</f>
        <v/>
      </c>
      <c r="M30" s="36" t="str">
        <f ca="1">IFERROR(__xludf.DUMMYFUNCTION("""COMPUTED_VALUE"""),"")</f>
        <v/>
      </c>
      <c r="N30" s="36" t="str">
        <f ca="1">IFERROR(__xludf.DUMMYFUNCTION("""COMPUTED_VALUE"""),"")</f>
        <v/>
      </c>
      <c r="O30" s="36" t="str">
        <f ca="1">IFERROR(__xludf.DUMMYFUNCTION("""COMPUTED_VALUE"""),"")</f>
        <v/>
      </c>
      <c r="P30" s="36" t="str">
        <f ca="1">IFERROR(__xludf.DUMMYFUNCTION("""COMPUTED_VALUE"""),"")</f>
        <v/>
      </c>
      <c r="Q30" s="36" t="str">
        <f ca="1">IFERROR(__xludf.DUMMYFUNCTION("""COMPUTED_VALUE"""),"")</f>
        <v/>
      </c>
      <c r="R30" s="36" t="str">
        <f ca="1">IFERROR(__xludf.DUMMYFUNCTION("""COMPUTED_VALUE"""),"")</f>
        <v/>
      </c>
      <c r="S30" s="36" t="str">
        <f ca="1">IFERROR(__xludf.DUMMYFUNCTION("""COMPUTED_VALUE"""),"")</f>
        <v/>
      </c>
      <c r="T30" s="36" t="str">
        <f ca="1">IFERROR(__xludf.DUMMYFUNCTION("""COMPUTED_VALUE"""),"")</f>
        <v/>
      </c>
      <c r="U30" s="36" t="str">
        <f ca="1">IFERROR(__xludf.DUMMYFUNCTION("""COMPUTED_VALUE"""),"")</f>
        <v/>
      </c>
      <c r="V30" s="36" t="str">
        <f ca="1">IFERROR(__xludf.DUMMYFUNCTION("""COMPUTED_VALUE"""),"")</f>
        <v/>
      </c>
      <c r="W30" s="36" t="str">
        <f ca="1">IFERROR(__xludf.DUMMYFUNCTION("""COMPUTED_VALUE"""),"")</f>
        <v/>
      </c>
      <c r="X30" s="36"/>
      <c r="Y30" s="36"/>
      <c r="Z30" s="36"/>
    </row>
    <row r="31" spans="1:26" ht="12.75" hidden="1">
      <c r="A31" s="36" t="str">
        <f ca="1">IFERROR(__xludf.DUMMYFUNCTION("""COMPUTED_VALUE"""),"Cantabria")</f>
        <v>Cantabria</v>
      </c>
      <c r="B31" s="36" t="str">
        <f ca="1">IFERROR(__xludf.DUMMYFUNCTION("""COMPUTED_VALUE"""),"Cantabria")</f>
        <v>Cantabria</v>
      </c>
      <c r="C31" s="36">
        <f ca="1">IFERROR(__xludf.DUMMYFUNCTION("""COMPUTED_VALUE"""),2019)</f>
        <v>2019</v>
      </c>
      <c r="D31" s="36" t="str">
        <f ca="1">IFERROR(__xludf.DUMMYFUNCTION("""COMPUTED_VALUE"""),"Buen Pastor")</f>
        <v>Buen Pastor</v>
      </c>
      <c r="E31" s="36" t="str">
        <f ca="1">IFERROR(__xludf.DUMMYFUNCTION("""COMPUTED_VALUE"""),"gs.buenpastor@scoutsdemadrid.org")</f>
        <v>gs.buenpastor@scoutsdemadrid.org</v>
      </c>
      <c r="F31" s="48">
        <f ca="1">IFERROR(__xludf.DUMMYFUNCTION("""COMPUTED_VALUE"""),43659)</f>
        <v>43659</v>
      </c>
      <c r="G31" s="48">
        <f ca="1">IFERROR(__xludf.DUMMYFUNCTION("""COMPUTED_VALUE"""),43676)</f>
        <v>43676</v>
      </c>
      <c r="H31" s="36" t="str">
        <f ca="1">IFERROR(__xludf.DUMMYFUNCTION("""COMPUTED_VALUE"""),"Valderredible")</f>
        <v>Valderredible</v>
      </c>
      <c r="I31" s="36" t="str">
        <f ca="1">IFERROR(__xludf.DUMMYFUNCTION("""COMPUTED_VALUE"""),"Alechares del Molino")</f>
        <v>Alechares del Molino</v>
      </c>
      <c r="J31" s="36" t="str">
        <f ca="1">IFERROR(__xludf.DUMMYFUNCTION("""COMPUTED_VALUE"""),"39094A161000010000IP/39094A161050010000IS")</f>
        <v>39094A161000010000IP/39094A161050010000IS</v>
      </c>
      <c r="K31" s="36" t="str">
        <f ca="1">IFERROR(__xludf.DUMMYFUNCTION("""COMPUTED_VALUE"""),"x: 426050,09 ; y: 4741588,6")</f>
        <v>x: 426050,09 ; y: 4741588,6</v>
      </c>
      <c r="L31" s="36" t="str">
        <f ca="1">IFERROR(__xludf.DUMMYFUNCTION("""COMPUTED_VALUE"""),"Yavé Santiago Alonso Arnaiz")</f>
        <v>Yavé Santiago Alonso Arnaiz</v>
      </c>
      <c r="M31" s="36" t="str">
        <f ca="1">IFERROR(__xludf.DUMMYFUNCTION("""COMPUTED_VALUE"""),"677884204/942776346")</f>
        <v>677884204/942776346</v>
      </c>
      <c r="N31" s="36" t="str">
        <f ca="1">IFERROR(__xludf.DUMMYFUNCTION("""COMPUTED_VALUE"""),"losnogalesvillota@hotmail.com")</f>
        <v>losnogalesvillota@hotmail.com</v>
      </c>
      <c r="O31" s="36" t="str">
        <f ca="1">IFERROR(__xludf.DUMMYFUNCTION("""COMPUTED_VALUE"""),"300+100 fianza todo el campa")</f>
        <v>300+100 fianza todo el campa</v>
      </c>
      <c r="P31" s="36" t="str">
        <f ca="1">IFERROR(__xludf.DUMMYFUNCTION("""COMPUTED_VALUE"""),"2.463 m2 + 9.496 m2")</f>
        <v>2.463 m2 + 9.496 m2</v>
      </c>
      <c r="Q31" s="36" t="str">
        <f ca="1">IFERROR(__xludf.DUMMYFUNCTION("""COMPUTED_VALUE"""),"BUENO (Se puede acceder con cualquier coche)")</f>
        <v>BUENO (Se puede acceder con cualquier coche)</v>
      </c>
      <c r="R31" s="36" t="str">
        <f ca="1">IFERROR(__xludf.DUMMYFUNCTION("""COMPUTED_VALUE"""),"Sí")</f>
        <v>Sí</v>
      </c>
      <c r="S31" s="36" t="str">
        <f ca="1">IFERROR(__xludf.DUMMYFUNCTION("""COMPUTED_VALUE"""),"una de las parcelas colinda con el río Ebro")</f>
        <v>una de las parcelas colinda con el río Ebro</v>
      </c>
      <c r="T31" s="36" t="str">
        <f ca="1">IFERROR(__xludf.DUMMYFUNCTION("""COMPUTED_VALUE"""),"Buena aunque cubre poquito")</f>
        <v>Buena aunque cubre poquito</v>
      </c>
      <c r="U31" s="36" t="str">
        <f ca="1">IFERROR(__xludf.DUMMYFUNCTION("""COMPUTED_VALUE"""),"ninguna")</f>
        <v>ninguna</v>
      </c>
      <c r="V31" s="36" t="str">
        <f ca="1">IFERROR(__xludf.DUMMYFUNCTION("""COMPUTED_VALUE"""),"ni idea ")</f>
        <v xml:space="preserve">ni idea </v>
      </c>
      <c r="W31" s="36" t="str">
        <f ca="1">IFERROR(__xludf.DUMMYFUNCTION("""COMPUTED_VALUE"""),"en la finca cercana al río no se pueden poner las tiendas por proximidad al río, y la campa en la que se ponen las tiendas da a la carretera es muy abierta, es algo fea.")</f>
        <v>en la finca cercana al río no se pueden poner las tiendas por proximidad al río, y la campa en la que se ponen las tiendas da a la carretera es muy abierta, es algo fea.</v>
      </c>
      <c r="X31" s="36"/>
      <c r="Y31" s="36"/>
      <c r="Z31" s="36"/>
    </row>
    <row r="32" spans="1:26" ht="12.75" hidden="1">
      <c r="A32" s="36" t="str">
        <f ca="1">IFERROR(__xludf.DUMMYFUNCTION("""COMPUTED_VALUE"""),"Cantabria")</f>
        <v>Cantabria</v>
      </c>
      <c r="B32" s="36" t="str">
        <f ca="1">IFERROR(__xludf.DUMMYFUNCTION("""COMPUTED_VALUE"""),"Cantabria")</f>
        <v>Cantabria</v>
      </c>
      <c r="C32" s="36">
        <f ca="1">IFERROR(__xludf.DUMMYFUNCTION("""COMPUTED_VALUE"""),2019)</f>
        <v>2019</v>
      </c>
      <c r="D32" s="36" t="str">
        <f ca="1">IFERROR(__xludf.DUMMYFUNCTION("""COMPUTED_VALUE"""),"Santa Ana San Rafael")</f>
        <v>Santa Ana San Rafael</v>
      </c>
      <c r="E32" s="36" t="str">
        <f ca="1">IFERROR(__xludf.DUMMYFUNCTION("""COMPUTED_VALUE"""),"gs.sasr@scoutsdemadrid.org ")</f>
        <v xml:space="preserve">gs.sasr@scoutsdemadrid.org </v>
      </c>
      <c r="F32" s="48">
        <f ca="1">IFERROR(__xludf.DUMMYFUNCTION("""COMPUTED_VALUE"""),43659)</f>
        <v>43659</v>
      </c>
      <c r="G32" s="48">
        <f ca="1">IFERROR(__xludf.DUMMYFUNCTION("""COMPUTED_VALUE"""),43676)</f>
        <v>43676</v>
      </c>
      <c r="H32" s="36" t="str">
        <f ca="1">IFERROR(__xludf.DUMMYFUNCTION("""COMPUTED_VALUE"""),"Pesaguero")</f>
        <v>Pesaguero</v>
      </c>
      <c r="I32" s="36" t="str">
        <f ca="1">IFERROR(__xludf.DUMMYFUNCTION("""COMPUTED_VALUE"""),"Finca La Vega")</f>
        <v>Finca La Vega</v>
      </c>
      <c r="J32" s="36" t="str">
        <f ca="1">IFERROR(__xludf.DUMMYFUNCTION("""COMPUTED_VALUE"""),"39050A003004610000OA / 39050A003004620000OB/ 39050A00300471000")</f>
        <v>39050A003004610000OA / 39050A003004620000OB/ 39050A00300471000</v>
      </c>
      <c r="K32" s="36" t="str">
        <f ca="1">IFERROR(__xludf.DUMMYFUNCTION("""COMPUTED_VALUE"""),"X: 374993,71 Y: 4770283,62")</f>
        <v>X: 374993,71 Y: 4770283,62</v>
      </c>
      <c r="L32" s="36" t="str">
        <f ca="1">IFERROR(__xludf.DUMMYFUNCTION("""COMPUTED_VALUE"""),"Juan Luis Salceda Sánchez")</f>
        <v>Juan Luis Salceda Sánchez</v>
      </c>
      <c r="M32" s="36">
        <f ca="1">IFERROR(__xludf.DUMMYFUNCTION("""COMPUTED_VALUE"""),616302131)</f>
        <v>616302131</v>
      </c>
      <c r="N32" s="36" t="str">
        <f ca="1">IFERROR(__xludf.DUMMYFUNCTION("""COMPUTED_VALUE"""),"chushornillos@yahoo.es")</f>
        <v>chushornillos@yahoo.es</v>
      </c>
      <c r="O32" s="36" t="str">
        <f ca="1">IFERROR(__xludf.DUMMYFUNCTION("""COMPUTED_VALUE"""),"700 quince + 200 tasas del ayuntamiento")</f>
        <v>700 quince + 200 tasas del ayuntamiento</v>
      </c>
      <c r="P32" s="36" t="str">
        <f ca="1">IFERROR(__xludf.DUMMYFUNCTION("""COMPUTED_VALUE"""),"1300 m2")</f>
        <v>1300 m2</v>
      </c>
      <c r="Q32" s="36" t="str">
        <f ca="1">IFERROR(__xludf.DUMMYFUNCTION("""COMPUTED_VALUE"""),"BUENO (Se puede acceder con cualquier coche)")</f>
        <v>BUENO (Se puede acceder con cualquier coche)</v>
      </c>
      <c r="R32" s="36" t="str">
        <f ca="1">IFERROR(__xludf.DUMMYFUNCTION("""COMPUTED_VALUE"""),"No")</f>
        <v>No</v>
      </c>
      <c r="S32" s="36" t="str">
        <f ca="1">IFERROR(__xludf.DUMMYFUNCTION("""COMPUTED_VALUE"""),"Hay un río en la finca")</f>
        <v>Hay un río en la finca</v>
      </c>
      <c r="T32" s="36" t="str">
        <f ca="1">IFERROR(__xludf.DUMMYFUNCTION("""COMPUTED_VALUE"""),"El río es poco caudaloso")</f>
        <v>El río es poco caudaloso</v>
      </c>
      <c r="U32" s="36" t="str">
        <f ca="1">IFERROR(__xludf.DUMMYFUNCTION("""COMPUTED_VALUE"""),"No")</f>
        <v>No</v>
      </c>
      <c r="V32" s="36" t="str">
        <f ca="1">IFERROR(__xludf.DUMMYFUNCTION("""COMPUTED_VALUE"""),"Si, en Potes (a 7 km) hay aserradero")</f>
        <v>Si, en Potes (a 7 km) hay aserradero</v>
      </c>
      <c r="W32" s="36" t="str">
        <f ca="1">IFERROR(__xludf.DUMMYFUNCTION("""COMPUTED_VALUE"""),"Hay varias zonas de juego y la zona es bonita y con muchas marchas cerca.Tiene poca sombra y bastante desnivel.")</f>
        <v>Hay varias zonas de juego y la zona es bonita y con muchas marchas cerca.Tiene poca sombra y bastante desnivel.</v>
      </c>
      <c r="X32" s="36"/>
      <c r="Y32" s="36"/>
      <c r="Z32" s="36"/>
    </row>
    <row r="33" spans="1:26" ht="12.75" hidden="1">
      <c r="A33" s="36" t="str">
        <f ca="1">IFERROR(__xludf.DUMMYFUNCTION("""COMPUTED_VALUE"""),"Cantabria")</f>
        <v>Cantabria</v>
      </c>
      <c r="B33" s="36" t="str">
        <f ca="1">IFERROR(__xludf.DUMMYFUNCTION("""COMPUTED_VALUE"""),"Cantabria")</f>
        <v>Cantabria</v>
      </c>
      <c r="C33" s="36">
        <f ca="1">IFERROR(__xludf.DUMMYFUNCTION("""COMPUTED_VALUE"""),2019)</f>
        <v>2019</v>
      </c>
      <c r="D33" s="36" t="str">
        <f ca="1">IFERROR(__xludf.DUMMYFUNCTION("""COMPUTED_VALUE"""),"Claret")</f>
        <v>Claret</v>
      </c>
      <c r="E33" s="36" t="str">
        <f ca="1">IFERROR(__xludf.DUMMYFUNCTION("""COMPUTED_VALUE"""),"gs.claret@scoutsdemadrid.org")</f>
        <v>gs.claret@scoutsdemadrid.org</v>
      </c>
      <c r="F33" s="48">
        <f ca="1">IFERROR(__xludf.DUMMYFUNCTION("""COMPUTED_VALUE"""),43661)</f>
        <v>43661</v>
      </c>
      <c r="G33" s="48">
        <f ca="1">IFERROR(__xludf.DUMMYFUNCTION("""COMPUTED_VALUE"""),43676)</f>
        <v>43676</v>
      </c>
      <c r="H33" s="36" t="str">
        <f ca="1">IFERROR(__xludf.DUMMYFUNCTION("""COMPUTED_VALUE"""),"Puentenansa")</f>
        <v>Puentenansa</v>
      </c>
      <c r="I33" s="36" t="str">
        <f ca="1">IFERROR(__xludf.DUMMYFUNCTION("""COMPUTED_VALUE"""),"Finca Gostobeso")</f>
        <v>Finca Gostobeso</v>
      </c>
      <c r="J33" s="36" t="str">
        <f ca="1">IFERROR(__xludf.DUMMYFUNCTION("""COMPUTED_VALUE"""),"Polígono 4 parcela 235")</f>
        <v>Polígono 4 parcela 235</v>
      </c>
      <c r="K33" s="36" t="str">
        <f ca="1">IFERROR(__xludf.DUMMYFUNCTION("""COMPUTED_VALUE"""),"43º16’9.00"" N 4º24’56.18""W")</f>
        <v>43º16’9.00" N 4º24’56.18"W</v>
      </c>
      <c r="L33" s="36" t="str">
        <f ca="1">IFERROR(__xludf.DUMMYFUNCTION("""COMPUTED_VALUE"""),"Aurora Rubín García")</f>
        <v>Aurora Rubín García</v>
      </c>
      <c r="M33" s="36">
        <f ca="1">IFERROR(__xludf.DUMMYFUNCTION("""COMPUTED_VALUE"""),942727550)</f>
        <v>942727550</v>
      </c>
      <c r="N33" s="36" t="str">
        <f ca="1">IFERROR(__xludf.DUMMYFUNCTION("""COMPUTED_VALUE"""),"No tiene que sepamos")</f>
        <v>No tiene que sepamos</v>
      </c>
      <c r="O33" s="36" t="str">
        <f ca="1">IFERROR(__xludf.DUMMYFUNCTION("""COMPUTED_VALUE"""),"900€ (quincena)")</f>
        <v>900€ (quincena)</v>
      </c>
      <c r="P33" s="36" t="str">
        <f ca="1">IFERROR(__xludf.DUMMYFUNCTION("""COMPUTED_VALUE"""),"2 ha")</f>
        <v>2 ha</v>
      </c>
      <c r="Q33" s="36" t="str">
        <f ca="1">IFERROR(__xludf.DUMMYFUNCTION("""COMPUTED_VALUE"""),"BUENO (Se puede acceder con cualquier coche)")</f>
        <v>BUENO (Se puede acceder con cualquier coche)</v>
      </c>
      <c r="R33" s="36" t="str">
        <f ca="1">IFERROR(__xludf.DUMMYFUNCTION("""COMPUTED_VALUE"""),"Sí")</f>
        <v>Sí</v>
      </c>
      <c r="S33" s="36" t="str">
        <f ca="1">IFERROR(__xludf.DUMMYFUNCTION("""COMPUTED_VALUE"""),"1 km")</f>
        <v>1 km</v>
      </c>
      <c r="T33" s="36" t="str">
        <f ca="1">IFERROR(__xludf.DUMMYFUNCTION("""COMPUTED_VALUE"""),"Río bastante amplio")</f>
        <v>Río bastante amplio</v>
      </c>
      <c r="U33" s="36" t="str">
        <f ca="1">IFERROR(__xludf.DUMMYFUNCTION("""COMPUTED_VALUE"""),"No")</f>
        <v>No</v>
      </c>
      <c r="V33" s="36" t="str">
        <f ca="1">IFERROR(__xludf.DUMMYFUNCTION("""COMPUTED_VALUE"""),"Sí")</f>
        <v>Sí</v>
      </c>
      <c r="W33" s="36" t="str">
        <f ca="1">IFERROR(__xludf.DUMMYFUNCTION("""COMPUTED_VALUE"""),"Bastante llano, buen acceso, toma de agua...")</f>
        <v>Bastante llano, buen acceso, toma de agua...</v>
      </c>
      <c r="X33" s="36"/>
      <c r="Y33" s="36"/>
      <c r="Z33" s="36"/>
    </row>
    <row r="34" spans="1:26" ht="12.75" hidden="1">
      <c r="A34" s="36" t="str">
        <f ca="1">IFERROR(__xludf.DUMMYFUNCTION("""COMPUTED_VALUE"""),"Cantabria")</f>
        <v>Cantabria</v>
      </c>
      <c r="B34" s="36" t="str">
        <f ca="1">IFERROR(__xludf.DUMMYFUNCTION("""COMPUTED_VALUE"""),"Cantabria")</f>
        <v>Cantabria</v>
      </c>
      <c r="C34" s="36">
        <f ca="1">IFERROR(__xludf.DUMMYFUNCTION("""COMPUTED_VALUE"""),2019)</f>
        <v>2019</v>
      </c>
      <c r="D34" s="36" t="str">
        <f ca="1">IFERROR(__xludf.DUMMYFUNCTION("""COMPUTED_VALUE"""),"Amorós")</f>
        <v>Amorós</v>
      </c>
      <c r="E34" s="36" t="str">
        <f ca="1">IFERROR(__xludf.DUMMYFUNCTION("""COMPUTED_VALUE"""),"gs.amoros@scoutsdemadrid.org")</f>
        <v>gs.amoros@scoutsdemadrid.org</v>
      </c>
      <c r="F34" s="48">
        <f ca="1">IFERROR(__xludf.DUMMYFUNCTION("""COMPUTED_VALUE"""),43662)</f>
        <v>43662</v>
      </c>
      <c r="G34" s="48">
        <f ca="1">IFERROR(__xludf.DUMMYFUNCTION("""COMPUTED_VALUE"""),43676)</f>
        <v>43676</v>
      </c>
      <c r="H34" s="36" t="str">
        <f ca="1">IFERROR(__xludf.DUMMYFUNCTION("""COMPUTED_VALUE"""),"Rionansa")</f>
        <v>Rionansa</v>
      </c>
      <c r="I34" s="36" t="str">
        <f ca="1">IFERROR(__xludf.DUMMYFUNCTION("""COMPUTED_VALUE"""),"Las Barcenas")</f>
        <v>Las Barcenas</v>
      </c>
      <c r="J34" s="36" t="str">
        <f ca="1">IFERROR(__xludf.DUMMYFUNCTION("""COMPUTED_VALUE"""),"39063A021001740000EH Y 39063A021001750000EW")</f>
        <v>39063A021001740000EH Y 39063A021001750000EW</v>
      </c>
      <c r="K34" s="36" t="str">
        <f ca="1">IFERROR(__xludf.DUMMYFUNCTION("""COMPUTED_VALUE"""),"384.247,84 Y 4789813,97")</f>
        <v>384.247,84 Y 4789813,97</v>
      </c>
      <c r="L34" s="36" t="str">
        <f ca="1">IFERROR(__xludf.DUMMYFUNCTION("""COMPUTED_VALUE"""),"MARÍA ÁNGELES SÁNCHEZ SÁNCHEZ")</f>
        <v>MARÍA ÁNGELES SÁNCHEZ SÁNCHEZ</v>
      </c>
      <c r="M34" s="36">
        <f ca="1">IFERROR(__xludf.DUMMYFUNCTION("""COMPUTED_VALUE"""),656800040)</f>
        <v>656800040</v>
      </c>
      <c r="N34" s="36" t="str">
        <f ca="1">IFERROR(__xludf.DUMMYFUNCTION("""COMPUTED_VALUE"""),"no dispone")</f>
        <v>no dispone</v>
      </c>
      <c r="O34" s="36" t="str">
        <f ca="1">IFERROR(__xludf.DUMMYFUNCTION("""COMPUTED_VALUE"""),"700€ quincena")</f>
        <v>700€ quincena</v>
      </c>
      <c r="P34" s="36" t="str">
        <f ca="1">IFERROR(__xludf.DUMMYFUNCTION("""COMPUTED_VALUE"""),"9700M2")</f>
        <v>9700M2</v>
      </c>
      <c r="Q34" s="36" t="str">
        <f ca="1">IFERROR(__xludf.DUMMYFUNCTION("""COMPUTED_VALUE"""),"REGULAR (Se puede acceder con un coche normal con dificultad)")</f>
        <v>REGULAR (Se puede acceder con un coche normal con dificultad)</v>
      </c>
      <c r="R34" s="36" t="str">
        <f ca="1">IFERROR(__xludf.DUMMYFUNCTION("""COMPUTED_VALUE"""),"Sí")</f>
        <v>Sí</v>
      </c>
      <c r="S34" s="36" t="str">
        <f ca="1">IFERROR(__xludf.DUMMYFUNCTION("""COMPUTED_VALUE"""),"Contigua")</f>
        <v>Contigua</v>
      </c>
      <c r="T34" s="36" t="str">
        <f ca="1">IFERROR(__xludf.DUMMYFUNCTION("""COMPUTED_VALUE"""),"Depende de caudal, pendiente comprobar en verano")</f>
        <v>Depende de caudal, pendiente comprobar en verano</v>
      </c>
      <c r="U34" s="36" t="str">
        <f ca="1">IFERROR(__xludf.DUMMYFUNCTION("""COMPUTED_VALUE"""),"No")</f>
        <v>No</v>
      </c>
      <c r="V34" s="36" t="str">
        <f ca="1">IFERROR(__xludf.DUMMYFUNCTION("""COMPUTED_VALUE"""),"Cabezón de la sal")</f>
        <v>Cabezón de la sal</v>
      </c>
      <c r="W34" s="36" t="str">
        <f ca="1">IFERROR(__xludf.DUMMYFUNCTION("""COMPUTED_VALUE"""),"Una pista forestal lo divide a la mitad")</f>
        <v>Una pista forestal lo divide a la mitad</v>
      </c>
      <c r="X34" s="36"/>
      <c r="Y34" s="36"/>
      <c r="Z34" s="36"/>
    </row>
    <row r="35" spans="1:26" ht="12.75" hidden="1">
      <c r="A35" s="36" t="str">
        <f ca="1">IFERROR(__xludf.DUMMYFUNCTION("""COMPUTED_VALUE"""),"Castilla y León")</f>
        <v>Castilla y León</v>
      </c>
      <c r="B35" s="36" t="str">
        <f ca="1">IFERROR(__xludf.DUMMYFUNCTION("""COMPUTED_VALUE"""),"Zamora")</f>
        <v>Zamora</v>
      </c>
      <c r="C35" s="36">
        <f ca="1">IFERROR(__xludf.DUMMYFUNCTION("""COMPUTED_VALUE"""),2015)</f>
        <v>2015</v>
      </c>
      <c r="D35" s="36" t="str">
        <f ca="1">IFERROR(__xludf.DUMMYFUNCTION("""COMPUTED_VALUE"""),"Adhara")</f>
        <v>Adhara</v>
      </c>
      <c r="E35" s="36" t="str">
        <f ca="1">IFERROR(__xludf.DUMMYFUNCTION("""COMPUTED_VALUE"""),"gs.adhara@scoutsdemadrid.org")</f>
        <v>gs.adhara@scoutsdemadrid.org</v>
      </c>
      <c r="F35" s="48">
        <f ca="1">IFERROR(__xludf.DUMMYFUNCTION("""COMPUTED_VALUE"""),42201)</f>
        <v>42201</v>
      </c>
      <c r="G35" s="48">
        <f ca="1">IFERROR(__xludf.DUMMYFUNCTION("""COMPUTED_VALUE"""),42215)</f>
        <v>42215</v>
      </c>
      <c r="H35" s="36" t="str">
        <f ca="1">IFERROR(__xludf.DUMMYFUNCTION("""COMPUTED_VALUE"""),"Calzada De Tera")</f>
        <v>Calzada De Tera</v>
      </c>
      <c r="I35" s="36" t="str">
        <f ca="1">IFERROR(__xludf.DUMMYFUNCTION("""COMPUTED_VALUE"""),"Calzada de tera")</f>
        <v>Calzada de tera</v>
      </c>
      <c r="J35" s="36" t="str">
        <f ca="1">IFERROR(__xludf.DUMMYFUNCTION("""COMPUTED_VALUE"""),"")</f>
        <v/>
      </c>
      <c r="K35" s="36" t="str">
        <f ca="1">IFERROR(__xludf.DUMMYFUNCTION("""COMPUTED_VALUE"""),"41°59′09″N -6°04′34″O")</f>
        <v>41°59′09″N -6°04′34″O</v>
      </c>
      <c r="L35" s="36" t="str">
        <f ca="1">IFERROR(__xludf.DUMMYFUNCTION("""COMPUTED_VALUE"""),"")</f>
        <v/>
      </c>
      <c r="M35" s="36" t="str">
        <f ca="1">IFERROR(__xludf.DUMMYFUNCTION("""COMPUTED_VALUE"""),"")</f>
        <v/>
      </c>
      <c r="N35" s="36" t="str">
        <f ca="1">IFERROR(__xludf.DUMMYFUNCTION("""COMPUTED_VALUE"""),"")</f>
        <v/>
      </c>
      <c r="O35" s="36" t="str">
        <f ca="1">IFERROR(__xludf.DUMMYFUNCTION("""COMPUTED_VALUE"""),"")</f>
        <v/>
      </c>
      <c r="P35" s="36" t="str">
        <f ca="1">IFERROR(__xludf.DUMMYFUNCTION("""COMPUTED_VALUE"""),"")</f>
        <v/>
      </c>
      <c r="Q35" s="36" t="str">
        <f ca="1">IFERROR(__xludf.DUMMYFUNCTION("""COMPUTED_VALUE"""),"")</f>
        <v/>
      </c>
      <c r="R35" s="36" t="str">
        <f ca="1">IFERROR(__xludf.DUMMYFUNCTION("""COMPUTED_VALUE"""),"")</f>
        <v/>
      </c>
      <c r="S35" s="36" t="str">
        <f ca="1">IFERROR(__xludf.DUMMYFUNCTION("""COMPUTED_VALUE"""),"")</f>
        <v/>
      </c>
      <c r="T35" s="36" t="str">
        <f ca="1">IFERROR(__xludf.DUMMYFUNCTION("""COMPUTED_VALUE"""),"")</f>
        <v/>
      </c>
      <c r="U35" s="36" t="str">
        <f ca="1">IFERROR(__xludf.DUMMYFUNCTION("""COMPUTED_VALUE"""),"")</f>
        <v/>
      </c>
      <c r="V35" s="36" t="str">
        <f ca="1">IFERROR(__xludf.DUMMYFUNCTION("""COMPUTED_VALUE"""),"")</f>
        <v/>
      </c>
      <c r="W35" s="36" t="str">
        <f ca="1">IFERROR(__xludf.DUMMYFUNCTION("""COMPUTED_VALUE"""),"")</f>
        <v/>
      </c>
      <c r="X35" s="36"/>
      <c r="Y35" s="36"/>
      <c r="Z35" s="36"/>
    </row>
    <row r="36" spans="1:26" ht="12.75" hidden="1">
      <c r="A36" s="36" t="str">
        <f ca="1">IFERROR(__xludf.DUMMYFUNCTION("""COMPUTED_VALUE"""),"Castilla y León")</f>
        <v>Castilla y León</v>
      </c>
      <c r="B36" s="36" t="str">
        <f ca="1">IFERROR(__xludf.DUMMYFUNCTION("""COMPUTED_VALUE"""),"Ávila")</f>
        <v>Ávila</v>
      </c>
      <c r="C36" s="36">
        <f ca="1">IFERROR(__xludf.DUMMYFUNCTION("""COMPUTED_VALUE"""),2017)</f>
        <v>2017</v>
      </c>
      <c r="D36" s="36" t="str">
        <f ca="1">IFERROR(__xludf.DUMMYFUNCTION("""COMPUTED_VALUE"""),"Adhara")</f>
        <v>Adhara</v>
      </c>
      <c r="E36" s="36" t="str">
        <f ca="1">IFERROR(__xludf.DUMMYFUNCTION("""COMPUTED_VALUE"""),"gs.adhara@scoutsdemadrid.org")</f>
        <v>gs.adhara@scoutsdemadrid.org</v>
      </c>
      <c r="F36" s="48">
        <f ca="1">IFERROR(__xludf.DUMMYFUNCTION("""COMPUTED_VALUE"""),42932)</f>
        <v>42932</v>
      </c>
      <c r="G36" s="48">
        <f ca="1">IFERROR(__xludf.DUMMYFUNCTION("""COMPUTED_VALUE"""),42946)</f>
        <v>42946</v>
      </c>
      <c r="H36" s="36" t="str">
        <f ca="1">IFERROR(__xludf.DUMMYFUNCTION("""COMPUTED_VALUE"""),"Hoyos Del Espino")</f>
        <v>Hoyos Del Espino</v>
      </c>
      <c r="I36" s="36" t="str">
        <f ca="1">IFERROR(__xludf.DUMMYFUNCTION("""COMPUTED_VALUE"""),"Campamento Prado Molino")</f>
        <v>Campamento Prado Molino</v>
      </c>
      <c r="J36" s="36" t="str">
        <f ca="1">IFERROR(__xludf.DUMMYFUNCTION("""COMPUTED_VALUE"""),"")</f>
        <v/>
      </c>
      <c r="K36" s="36" t="str">
        <f ca="1">IFERROR(__xludf.DUMMYFUNCTION("""COMPUTED_VALUE"""),"")</f>
        <v/>
      </c>
      <c r="L36" s="36" t="str">
        <f ca="1">IFERROR(__xludf.DUMMYFUNCTION("""COMPUTED_VALUE"""),"Ángal Gónzalez")</f>
        <v>Ángal Gónzalez</v>
      </c>
      <c r="M36" s="36" t="str">
        <f ca="1">IFERROR(__xludf.DUMMYFUNCTION("""COMPUTED_VALUE"""),"")</f>
        <v/>
      </c>
      <c r="N36" s="36" t="str">
        <f ca="1">IFERROR(__xludf.DUMMYFUNCTION("""COMPUTED_VALUE"""),"")</f>
        <v/>
      </c>
      <c r="O36" s="36" t="str">
        <f ca="1">IFERROR(__xludf.DUMMYFUNCTION("""COMPUTED_VALUE"""),"")</f>
        <v/>
      </c>
      <c r="P36" s="36" t="str">
        <f ca="1">IFERROR(__xludf.DUMMYFUNCTION("""COMPUTED_VALUE"""),"")</f>
        <v/>
      </c>
      <c r="Q36" s="36" t="str">
        <f ca="1">IFERROR(__xludf.DUMMYFUNCTION("""COMPUTED_VALUE"""),"BUENO (Se puede acceder con cualquier coche)")</f>
        <v>BUENO (Se puede acceder con cualquier coche)</v>
      </c>
      <c r="R36" s="36" t="str">
        <f ca="1">IFERROR(__xludf.DUMMYFUNCTION("""COMPUTED_VALUE"""),"Sí")</f>
        <v>Sí</v>
      </c>
      <c r="S36" s="36" t="str">
        <f ca="1">IFERROR(__xludf.DUMMYFUNCTION("""COMPUTED_VALUE"""),"")</f>
        <v/>
      </c>
      <c r="T36" s="36" t="str">
        <f ca="1">IFERROR(__xludf.DUMMYFUNCTION("""COMPUTED_VALUE"""),"Piscinas naturales")</f>
        <v>Piscinas naturales</v>
      </c>
      <c r="U36" s="36" t="str">
        <f ca="1">IFERROR(__xludf.DUMMYFUNCTION("""COMPUTED_VALUE"""),"Cocina, comedor, baños")</f>
        <v>Cocina, comedor, baños</v>
      </c>
      <c r="V36" s="36" t="str">
        <f ca="1">IFERROR(__xludf.DUMMYFUNCTION("""COMPUTED_VALUE"""),"No")</f>
        <v>No</v>
      </c>
      <c r="W36" s="36" t="str">
        <f ca="1">IFERROR(__xludf.DUMMYFUNCTION("""COMPUTED_VALUE"""),"")</f>
        <v/>
      </c>
      <c r="X36" s="36"/>
      <c r="Y36" s="36"/>
      <c r="Z36" s="36"/>
    </row>
    <row r="37" spans="1:26" ht="12.75" hidden="1">
      <c r="A37" s="36" t="str">
        <f ca="1">IFERROR(__xludf.DUMMYFUNCTION("""COMPUTED_VALUE"""),"Castilla y León")</f>
        <v>Castilla y León</v>
      </c>
      <c r="B37" s="36" t="str">
        <f ca="1">IFERROR(__xludf.DUMMYFUNCTION("""COMPUTED_VALUE"""),"Ávila")</f>
        <v>Ávila</v>
      </c>
      <c r="C37" s="36">
        <f ca="1">IFERROR(__xludf.DUMMYFUNCTION("""COMPUTED_VALUE"""),2012)</f>
        <v>2012</v>
      </c>
      <c r="D37" s="36" t="str">
        <f ca="1">IFERROR(__xludf.DUMMYFUNCTION("""COMPUTED_VALUE"""),"Águila")</f>
        <v>Águila</v>
      </c>
      <c r="E37" s="36" t="str">
        <f ca="1">IFERROR(__xludf.DUMMYFUNCTION("""COMPUTED_VALUE"""),"gs.aguila@scoutsdemadrid.org ")</f>
        <v xml:space="preserve">gs.aguila@scoutsdemadrid.org </v>
      </c>
      <c r="F37" s="48">
        <f ca="1">IFERROR(__xludf.DUMMYFUNCTION("""COMPUTED_VALUE"""),41104)</f>
        <v>41104</v>
      </c>
      <c r="G37" s="48">
        <f ca="1">IFERROR(__xludf.DUMMYFUNCTION("""COMPUTED_VALUE"""),41119)</f>
        <v>41119</v>
      </c>
      <c r="H37" s="36" t="str">
        <f ca="1">IFERROR(__xludf.DUMMYFUNCTION("""COMPUTED_VALUE"""),"Becedas")</f>
        <v>Becedas</v>
      </c>
      <c r="I37" s="36" t="str">
        <f ca="1">IFERROR(__xludf.DUMMYFUNCTION("""COMPUTED_VALUE"""),"La Cerradilla")</f>
        <v>La Cerradilla</v>
      </c>
      <c r="J37" s="36" t="str">
        <f ca="1">IFERROR(__xludf.DUMMYFUNCTION("""COMPUTED_VALUE"""),"")</f>
        <v/>
      </c>
      <c r="K37" s="49" t="str">
        <f ca="1">IFERROR(__xludf.DUMMYFUNCTION("""COMPUTED_VALUE"""),"http://goo.gl/maps/qMKa")</f>
        <v>http://goo.gl/maps/qMKa</v>
      </c>
      <c r="L37" s="36" t="str">
        <f ca="1">IFERROR(__xludf.DUMMYFUNCTION("""COMPUTED_VALUE"""),"")</f>
        <v/>
      </c>
      <c r="M37" s="36" t="str">
        <f ca="1">IFERROR(__xludf.DUMMYFUNCTION("""COMPUTED_VALUE"""),"")</f>
        <v/>
      </c>
      <c r="N37" s="36" t="str">
        <f ca="1">IFERROR(__xludf.DUMMYFUNCTION("""COMPUTED_VALUE"""),"")</f>
        <v/>
      </c>
      <c r="O37" s="36" t="str">
        <f ca="1">IFERROR(__xludf.DUMMYFUNCTION("""COMPUTED_VALUE"""),"")</f>
        <v/>
      </c>
      <c r="P37" s="36" t="str">
        <f ca="1">IFERROR(__xludf.DUMMYFUNCTION("""COMPUTED_VALUE"""),"")</f>
        <v/>
      </c>
      <c r="Q37" s="36" t="str">
        <f ca="1">IFERROR(__xludf.DUMMYFUNCTION("""COMPUTED_VALUE"""),"")</f>
        <v/>
      </c>
      <c r="R37" s="36" t="str">
        <f ca="1">IFERROR(__xludf.DUMMYFUNCTION("""COMPUTED_VALUE"""),"")</f>
        <v/>
      </c>
      <c r="S37" s="36" t="str">
        <f ca="1">IFERROR(__xludf.DUMMYFUNCTION("""COMPUTED_VALUE"""),"")</f>
        <v/>
      </c>
      <c r="T37" s="36" t="str">
        <f ca="1">IFERROR(__xludf.DUMMYFUNCTION("""COMPUTED_VALUE"""),"")</f>
        <v/>
      </c>
      <c r="U37" s="36" t="str">
        <f ca="1">IFERROR(__xludf.DUMMYFUNCTION("""COMPUTED_VALUE"""),"")</f>
        <v/>
      </c>
      <c r="V37" s="36" t="str">
        <f ca="1">IFERROR(__xludf.DUMMYFUNCTION("""COMPUTED_VALUE"""),"")</f>
        <v/>
      </c>
      <c r="W37" s="36" t="str">
        <f ca="1">IFERROR(__xludf.DUMMYFUNCTION("""COMPUTED_VALUE"""),"")</f>
        <v/>
      </c>
      <c r="X37" s="36"/>
      <c r="Y37" s="36"/>
      <c r="Z37" s="36"/>
    </row>
    <row r="38" spans="1:26" ht="12.75" hidden="1">
      <c r="A38" s="36" t="str">
        <f ca="1">IFERROR(__xludf.DUMMYFUNCTION("""COMPUTED_VALUE"""),"Castilla y León")</f>
        <v>Castilla y León</v>
      </c>
      <c r="B38" s="36" t="str">
        <f ca="1">IFERROR(__xludf.DUMMYFUNCTION("""COMPUTED_VALUE"""),"Ávila")</f>
        <v>Ávila</v>
      </c>
      <c r="C38" s="36">
        <f ca="1">IFERROR(__xludf.DUMMYFUNCTION("""COMPUTED_VALUE"""),2015)</f>
        <v>2015</v>
      </c>
      <c r="D38" s="36" t="str">
        <f ca="1">IFERROR(__xludf.DUMMYFUNCTION("""COMPUTED_VALUE"""),"Águila")</f>
        <v>Águila</v>
      </c>
      <c r="E38" s="36" t="str">
        <f ca="1">IFERROR(__xludf.DUMMYFUNCTION("""COMPUTED_VALUE"""),"gs.aguila@scoutsdemadrid.org ")</f>
        <v xml:space="preserve">gs.aguila@scoutsdemadrid.org </v>
      </c>
      <c r="F38" s="48">
        <f ca="1">IFERROR(__xludf.DUMMYFUNCTION("""COMPUTED_VALUE"""),42200)</f>
        <v>42200</v>
      </c>
      <c r="G38" s="48">
        <f ca="1">IFERROR(__xludf.DUMMYFUNCTION("""COMPUTED_VALUE"""),42215)</f>
        <v>42215</v>
      </c>
      <c r="H38" s="36" t="str">
        <f ca="1">IFERROR(__xludf.DUMMYFUNCTION("""COMPUTED_VALUE"""),"Navalmoral De La Sierra")</f>
        <v>Navalmoral De La Sierra</v>
      </c>
      <c r="I38" s="36" t="str">
        <f ca="1">IFERROR(__xludf.DUMMYFUNCTION("""COMPUTED_VALUE"""),"La Chaparrera")</f>
        <v>La Chaparrera</v>
      </c>
      <c r="J38" s="36" t="str">
        <f ca="1">IFERROR(__xludf.DUMMYFUNCTION("""COMPUTED_VALUE"""),"")</f>
        <v/>
      </c>
      <c r="K38" s="36" t="str">
        <f ca="1">IFERROR(__xludf.DUMMYFUNCTION("""COMPUTED_VALUE"""),"")</f>
        <v/>
      </c>
      <c r="L38" s="36" t="str">
        <f ca="1">IFERROR(__xludf.DUMMYFUNCTION("""COMPUTED_VALUE"""),"")</f>
        <v/>
      </c>
      <c r="M38" s="36" t="str">
        <f ca="1">IFERROR(__xludf.DUMMYFUNCTION("""COMPUTED_VALUE"""),"")</f>
        <v/>
      </c>
      <c r="N38" s="36" t="str">
        <f ca="1">IFERROR(__xludf.DUMMYFUNCTION("""COMPUTED_VALUE"""),"")</f>
        <v/>
      </c>
      <c r="O38" s="36" t="str">
        <f ca="1">IFERROR(__xludf.DUMMYFUNCTION("""COMPUTED_VALUE"""),"")</f>
        <v/>
      </c>
      <c r="P38" s="36" t="str">
        <f ca="1">IFERROR(__xludf.DUMMYFUNCTION("""COMPUTED_VALUE"""),"")</f>
        <v/>
      </c>
      <c r="Q38" s="36" t="str">
        <f ca="1">IFERROR(__xludf.DUMMYFUNCTION("""COMPUTED_VALUE"""),"")</f>
        <v/>
      </c>
      <c r="R38" s="36" t="str">
        <f ca="1">IFERROR(__xludf.DUMMYFUNCTION("""COMPUTED_VALUE"""),"")</f>
        <v/>
      </c>
      <c r="S38" s="36" t="str">
        <f ca="1">IFERROR(__xludf.DUMMYFUNCTION("""COMPUTED_VALUE"""),"")</f>
        <v/>
      </c>
      <c r="T38" s="36" t="str">
        <f ca="1">IFERROR(__xludf.DUMMYFUNCTION("""COMPUTED_VALUE"""),"")</f>
        <v/>
      </c>
      <c r="U38" s="36" t="str">
        <f ca="1">IFERROR(__xludf.DUMMYFUNCTION("""COMPUTED_VALUE"""),"")</f>
        <v/>
      </c>
      <c r="V38" s="36" t="str">
        <f ca="1">IFERROR(__xludf.DUMMYFUNCTION("""COMPUTED_VALUE"""),"")</f>
        <v/>
      </c>
      <c r="W38" s="36" t="str">
        <f ca="1">IFERROR(__xludf.DUMMYFUNCTION("""COMPUTED_VALUE"""),"")</f>
        <v/>
      </c>
      <c r="X38" s="36"/>
      <c r="Y38" s="36"/>
      <c r="Z38" s="36"/>
    </row>
    <row r="39" spans="1:26" ht="12.75" hidden="1">
      <c r="A39" s="36" t="str">
        <f ca="1">IFERROR(__xludf.DUMMYFUNCTION("""COMPUTED_VALUE"""),"Castilla y León")</f>
        <v>Castilla y León</v>
      </c>
      <c r="B39" s="36" t="str">
        <f ca="1">IFERROR(__xludf.DUMMYFUNCTION("""COMPUTED_VALUE"""),"Ávila")</f>
        <v>Ávila</v>
      </c>
      <c r="C39" s="36">
        <f ca="1">IFERROR(__xludf.DUMMYFUNCTION("""COMPUTED_VALUE"""),2015)</f>
        <v>2015</v>
      </c>
      <c r="D39" s="36" t="str">
        <f ca="1">IFERROR(__xludf.DUMMYFUNCTION("""COMPUTED_VALUE"""),"Alud")</f>
        <v>Alud</v>
      </c>
      <c r="E39" s="36" t="str">
        <f ca="1">IFERROR(__xludf.DUMMYFUNCTION("""COMPUTED_VALUE"""),"gs.alud@scoutsdemadrid.org ")</f>
        <v xml:space="preserve">gs.alud@scoutsdemadrid.org </v>
      </c>
      <c r="F39" s="48">
        <f ca="1">IFERROR(__xludf.DUMMYFUNCTION("""COMPUTED_VALUE"""),42201)</f>
        <v>42201</v>
      </c>
      <c r="G39" s="48">
        <f ca="1">IFERROR(__xludf.DUMMYFUNCTION("""COMPUTED_VALUE"""),42215)</f>
        <v>42215</v>
      </c>
      <c r="H39" s="36" t="str">
        <f ca="1">IFERROR(__xludf.DUMMYFUNCTION("""COMPUTED_VALUE"""),"Gavilanes")</f>
        <v>Gavilanes</v>
      </c>
      <c r="I39" s="36" t="str">
        <f ca="1">IFERROR(__xludf.DUMMYFUNCTION("""COMPUTED_VALUE"""),"El Escurialejo")</f>
        <v>El Escurialejo</v>
      </c>
      <c r="J39" s="36" t="str">
        <f ca="1">IFERROR(__xludf.DUMMYFUNCTION("""COMPUTED_VALUE"""),"")</f>
        <v/>
      </c>
      <c r="K39" s="36" t="str">
        <f ca="1">IFERROR(__xludf.DUMMYFUNCTION("""COMPUTED_VALUE"""),"34.19, -4.45")</f>
        <v>34.19, -4.45</v>
      </c>
      <c r="L39" s="36" t="str">
        <f ca="1">IFERROR(__xludf.DUMMYFUNCTION("""COMPUTED_VALUE"""),"")</f>
        <v/>
      </c>
      <c r="M39" s="36" t="str">
        <f ca="1">IFERROR(__xludf.DUMMYFUNCTION("""COMPUTED_VALUE"""),"")</f>
        <v/>
      </c>
      <c r="N39" s="36" t="str">
        <f ca="1">IFERROR(__xludf.DUMMYFUNCTION("""COMPUTED_VALUE"""),"")</f>
        <v/>
      </c>
      <c r="O39" s="36" t="str">
        <f ca="1">IFERROR(__xludf.DUMMYFUNCTION("""COMPUTED_VALUE"""),"")</f>
        <v/>
      </c>
      <c r="P39" s="36" t="str">
        <f ca="1">IFERROR(__xludf.DUMMYFUNCTION("""COMPUTED_VALUE"""),"")</f>
        <v/>
      </c>
      <c r="Q39" s="36" t="str">
        <f ca="1">IFERROR(__xludf.DUMMYFUNCTION("""COMPUTED_VALUE"""),"")</f>
        <v/>
      </c>
      <c r="R39" s="36" t="str">
        <f ca="1">IFERROR(__xludf.DUMMYFUNCTION("""COMPUTED_VALUE"""),"")</f>
        <v/>
      </c>
      <c r="S39" s="36" t="str">
        <f ca="1">IFERROR(__xludf.DUMMYFUNCTION("""COMPUTED_VALUE"""),"")</f>
        <v/>
      </c>
      <c r="T39" s="36" t="str">
        <f ca="1">IFERROR(__xludf.DUMMYFUNCTION("""COMPUTED_VALUE"""),"")</f>
        <v/>
      </c>
      <c r="U39" s="36" t="str">
        <f ca="1">IFERROR(__xludf.DUMMYFUNCTION("""COMPUTED_VALUE"""),"")</f>
        <v/>
      </c>
      <c r="V39" s="36" t="str">
        <f ca="1">IFERROR(__xludf.DUMMYFUNCTION("""COMPUTED_VALUE"""),"")</f>
        <v/>
      </c>
      <c r="W39" s="36" t="str">
        <f ca="1">IFERROR(__xludf.DUMMYFUNCTION("""COMPUTED_VALUE"""),"")</f>
        <v/>
      </c>
      <c r="X39" s="36"/>
      <c r="Y39" s="36"/>
      <c r="Z39" s="36"/>
    </row>
    <row r="40" spans="1:26" ht="12.75" hidden="1">
      <c r="A40" s="36" t="str">
        <f ca="1">IFERROR(__xludf.DUMMYFUNCTION("""COMPUTED_VALUE"""),"Castilla y León")</f>
        <v>Castilla y León</v>
      </c>
      <c r="B40" s="36" t="str">
        <f ca="1">IFERROR(__xludf.DUMMYFUNCTION("""COMPUTED_VALUE"""),"Soria")</f>
        <v>Soria</v>
      </c>
      <c r="C40" s="36">
        <f ca="1">IFERROR(__xludf.DUMMYFUNCTION("""COMPUTED_VALUE"""),2017)</f>
        <v>2017</v>
      </c>
      <c r="D40" s="36" t="str">
        <f ca="1">IFERROR(__xludf.DUMMYFUNCTION("""COMPUTED_VALUE"""),"Alud")</f>
        <v>Alud</v>
      </c>
      <c r="E40" s="36" t="str">
        <f ca="1">IFERROR(__xludf.DUMMYFUNCTION("""COMPUTED_VALUE"""),"gs.alud@scoutsdemadrid.org ")</f>
        <v xml:space="preserve">gs.alud@scoutsdemadrid.org </v>
      </c>
      <c r="F40" s="48">
        <f ca="1">IFERROR(__xludf.DUMMYFUNCTION("""COMPUTED_VALUE"""),42938)</f>
        <v>42938</v>
      </c>
      <c r="G40" s="48">
        <f ca="1">IFERROR(__xludf.DUMMYFUNCTION("""COMPUTED_VALUE"""),42946)</f>
        <v>42946</v>
      </c>
      <c r="H40" s="36" t="str">
        <f ca="1">IFERROR(__xludf.DUMMYFUNCTION("""COMPUTED_VALUE"""),"Covaleda")</f>
        <v>Covaleda</v>
      </c>
      <c r="I40" s="36" t="str">
        <f ca="1">IFERROR(__xludf.DUMMYFUNCTION("""COMPUTED_VALUE"""),"Covaleda")</f>
        <v>Covaleda</v>
      </c>
      <c r="J40" s="36" t="str">
        <f ca="1">IFERROR(__xludf.DUMMYFUNCTION("""COMPUTED_VALUE"""),"")</f>
        <v/>
      </c>
      <c r="K40" s="36" t="str">
        <f ca="1">IFERROR(__xludf.DUMMYFUNCTION("""COMPUTED_VALUE"""),"")</f>
        <v/>
      </c>
      <c r="L40" s="36" t="str">
        <f ca="1">IFERROR(__xludf.DUMMYFUNCTION("""COMPUTED_VALUE"""),"NS/NC (Jamscout)")</f>
        <v>NS/NC (Jamscout)</v>
      </c>
      <c r="M40" s="36" t="str">
        <f ca="1">IFERROR(__xludf.DUMMYFUNCTION("""COMPUTED_VALUE"""),"")</f>
        <v/>
      </c>
      <c r="N40" s="36" t="str">
        <f ca="1">IFERROR(__xludf.DUMMYFUNCTION("""COMPUTED_VALUE"""),"")</f>
        <v/>
      </c>
      <c r="O40" s="36" t="str">
        <f ca="1">IFERROR(__xludf.DUMMYFUNCTION("""COMPUTED_VALUE"""),"")</f>
        <v/>
      </c>
      <c r="P40" s="36" t="str">
        <f ca="1">IFERROR(__xludf.DUMMYFUNCTION("""COMPUTED_VALUE"""),"")</f>
        <v/>
      </c>
      <c r="Q40" s="36" t="str">
        <f ca="1">IFERROR(__xludf.DUMMYFUNCTION("""COMPUTED_VALUE"""),"")</f>
        <v/>
      </c>
      <c r="R40" s="36" t="str">
        <f ca="1">IFERROR(__xludf.DUMMYFUNCTION("""COMPUTED_VALUE"""),"")</f>
        <v/>
      </c>
      <c r="S40" s="36" t="str">
        <f ca="1">IFERROR(__xludf.DUMMYFUNCTION("""COMPUTED_VALUE"""),"")</f>
        <v/>
      </c>
      <c r="T40" s="36" t="str">
        <f ca="1">IFERROR(__xludf.DUMMYFUNCTION("""COMPUTED_VALUE"""),"")</f>
        <v/>
      </c>
      <c r="U40" s="36" t="str">
        <f ca="1">IFERROR(__xludf.DUMMYFUNCTION("""COMPUTED_VALUE"""),"")</f>
        <v/>
      </c>
      <c r="V40" s="36" t="str">
        <f ca="1">IFERROR(__xludf.DUMMYFUNCTION("""COMPUTED_VALUE"""),"")</f>
        <v/>
      </c>
      <c r="W40" s="36" t="str">
        <f ca="1">IFERROR(__xludf.DUMMYFUNCTION("""COMPUTED_VALUE"""),"")</f>
        <v/>
      </c>
      <c r="X40" s="36"/>
      <c r="Y40" s="36"/>
      <c r="Z40" s="36"/>
    </row>
    <row r="41" spans="1:26" ht="12.75" hidden="1">
      <c r="A41" s="36" t="str">
        <f ca="1">IFERROR(__xludf.DUMMYFUNCTION("""COMPUTED_VALUE"""),"Castilla y León")</f>
        <v>Castilla y León</v>
      </c>
      <c r="B41" s="36" t="str">
        <f ca="1">IFERROR(__xludf.DUMMYFUNCTION("""COMPUTED_VALUE"""),"Ávila")</f>
        <v>Ávila</v>
      </c>
      <c r="C41" s="36">
        <f ca="1">IFERROR(__xludf.DUMMYFUNCTION("""COMPUTED_VALUE"""),2018)</f>
        <v>2018</v>
      </c>
      <c r="D41" s="36" t="str">
        <f ca="1">IFERROR(__xludf.DUMMYFUNCTION("""COMPUTED_VALUE"""),"Alud")</f>
        <v>Alud</v>
      </c>
      <c r="E41" s="36" t="str">
        <f ca="1">IFERROR(__xludf.DUMMYFUNCTION("""COMPUTED_VALUE"""),"gs.alud@scoutsdemadrid.org ")</f>
        <v xml:space="preserve">gs.alud@scoutsdemadrid.org </v>
      </c>
      <c r="F41" s="48">
        <f ca="1">IFERROR(__xludf.DUMMYFUNCTION("""COMPUTED_VALUE"""),43297)</f>
        <v>43297</v>
      </c>
      <c r="G41" s="48">
        <f ca="1">IFERROR(__xludf.DUMMYFUNCTION("""COMPUTED_VALUE"""),43311)</f>
        <v>43311</v>
      </c>
      <c r="H41" s="36" t="str">
        <f ca="1">IFERROR(__xludf.DUMMYFUNCTION("""COMPUTED_VALUE"""),"Navaluenga ")</f>
        <v xml:space="preserve">Navaluenga </v>
      </c>
      <c r="I41" s="36" t="str">
        <f ca="1">IFERROR(__xludf.DUMMYFUNCTION("""COMPUTED_VALUE"""),"Albergue Sierra de Gredos")</f>
        <v>Albergue Sierra de Gredos</v>
      </c>
      <c r="J41" s="36" t="str">
        <f ca="1">IFERROR(__xludf.DUMMYFUNCTION("""COMPUTED_VALUE"""),"A la espera de que nos lo faciliten")</f>
        <v>A la espera de que nos lo faciliten</v>
      </c>
      <c r="K41" s="36" t="str">
        <f ca="1">IFERROR(__xludf.DUMMYFUNCTION("""COMPUTED_VALUE"""),"Latitud Norte 40º 24” 55,6. Longitud oeste W 4º 39” 48,0")</f>
        <v>Latitud Norte 40º 24” 55,6. Longitud oeste W 4º 39” 48,0</v>
      </c>
      <c r="L41" s="36" t="str">
        <f ca="1">IFERROR(__xludf.DUMMYFUNCTION("""COMPUTED_VALUE"""),"Montserrat Simón Martín")</f>
        <v>Montserrat Simón Martín</v>
      </c>
      <c r="M41" s="36" t="str">
        <f ca="1">IFERROR(__xludf.DUMMYFUNCTION("""COMPUTED_VALUE"""),"920286393 / 619242999")</f>
        <v>920286393 / 619242999</v>
      </c>
      <c r="N41" s="36" t="str">
        <f ca="1">IFERROR(__xludf.DUMMYFUNCTION("""COMPUTED_VALUE"""),"alberguesierradegredos@yahoo.es")</f>
        <v>alberguesierradegredos@yahoo.es</v>
      </c>
      <c r="O41" s="50">
        <f ca="1">IFERROR(__xludf.DUMMYFUNCTION("""COMPUTED_VALUE"""),364)</f>
        <v>364</v>
      </c>
      <c r="P41" s="36" t="str">
        <f ca="1">IFERROR(__xludf.DUMMYFUNCTION("""COMPUTED_VALUE"""),"A la espera de que nos lo faciliten")</f>
        <v>A la espera de que nos lo faciliten</v>
      </c>
      <c r="Q41" s="36" t="str">
        <f ca="1">IFERROR(__xludf.DUMMYFUNCTION("""COMPUTED_VALUE"""),"BUENO (Se puede acceder con cualquier coche)")</f>
        <v>BUENO (Se puede acceder con cualquier coche)</v>
      </c>
      <c r="R41" s="36" t="str">
        <f ca="1">IFERROR(__xludf.DUMMYFUNCTION("""COMPUTED_VALUE"""),"Sí")</f>
        <v>Sí</v>
      </c>
      <c r="S41" s="36" t="str">
        <f ca="1">IFERROR(__xludf.DUMMYFUNCTION("""COMPUTED_VALUE"""),"50m")</f>
        <v>50m</v>
      </c>
      <c r="T41" s="36" t="str">
        <f ca="1">IFERROR(__xludf.DUMMYFUNCTION("""COMPUTED_VALUE"""),"Fácil acceso ")</f>
        <v xml:space="preserve">Fácil acceso </v>
      </c>
      <c r="U41" s="36" t="str">
        <f ca="1">IFERROR(__xludf.DUMMYFUNCTION("""COMPUTED_VALUE"""),"Baño, cocina, habitaciones, comedor, jardines y aulas")</f>
        <v>Baño, cocina, habitaciones, comedor, jardines y aulas</v>
      </c>
      <c r="V41" s="36" t="str">
        <f ca="1">IFERROR(__xludf.DUMMYFUNCTION("""COMPUTED_VALUE"""),"No necesitamos")</f>
        <v>No necesitamos</v>
      </c>
      <c r="W41" s="36" t="str">
        <f ca="1">IFERROR(__xludf.DUMMYFUNCTION("""COMPUTED_VALUE"""),"Buen aspecto, bien comunicado, proximidad a diferentes zonas de baño y cercanía a Madrid")</f>
        <v>Buen aspecto, bien comunicado, proximidad a diferentes zonas de baño y cercanía a Madrid</v>
      </c>
      <c r="X41" s="36"/>
      <c r="Y41" s="36"/>
      <c r="Z41" s="36"/>
    </row>
    <row r="42" spans="1:26" ht="12.75" hidden="1">
      <c r="A42" s="36" t="str">
        <f ca="1">IFERROR(__xludf.DUMMYFUNCTION("""COMPUTED_VALUE"""),"Castilla y León")</f>
        <v>Castilla y León</v>
      </c>
      <c r="B42" s="36" t="str">
        <f ca="1">IFERROR(__xludf.DUMMYFUNCTION("""COMPUTED_VALUE"""),"Ávila")</f>
        <v>Ávila</v>
      </c>
      <c r="C42" s="36">
        <f ca="1">IFERROR(__xludf.DUMMYFUNCTION("""COMPUTED_VALUE"""),2018)</f>
        <v>2018</v>
      </c>
      <c r="D42" s="36" t="str">
        <f ca="1">IFERROR(__xludf.DUMMYFUNCTION("""COMPUTED_VALUE"""),"Alud")</f>
        <v>Alud</v>
      </c>
      <c r="E42" s="36" t="str">
        <f ca="1">IFERROR(__xludf.DUMMYFUNCTION("""COMPUTED_VALUE"""),"gs.alud@scoutsdemadrid.org ")</f>
        <v xml:space="preserve">gs.alud@scoutsdemadrid.org </v>
      </c>
      <c r="F42" s="48">
        <f ca="1">IFERROR(__xludf.DUMMYFUNCTION("""COMPUTED_VALUE"""),43297)</f>
        <v>43297</v>
      </c>
      <c r="G42" s="48">
        <f ca="1">IFERROR(__xludf.DUMMYFUNCTION("""COMPUTED_VALUE"""),43311)</f>
        <v>43311</v>
      </c>
      <c r="H42" s="36" t="str">
        <f ca="1">IFERROR(__xludf.DUMMYFUNCTION("""COMPUTED_VALUE"""),"Navaluenga ")</f>
        <v xml:space="preserve">Navaluenga </v>
      </c>
      <c r="I42" s="36" t="str">
        <f ca="1">IFERROR(__xludf.DUMMYFUNCTION("""COMPUTED_VALUE"""),"Albergue Sierra de Gredos")</f>
        <v>Albergue Sierra de Gredos</v>
      </c>
      <c r="J42" s="36" t="str">
        <f ca="1">IFERROR(__xludf.DUMMYFUNCTION("""COMPUTED_VALUE"""),"A la espera de que nos lo faciliten")</f>
        <v>A la espera de que nos lo faciliten</v>
      </c>
      <c r="K42" s="36" t="str">
        <f ca="1">IFERROR(__xludf.DUMMYFUNCTION("""COMPUTED_VALUE"""),"Latitud Norte 40º 24” 55,6. Longitud oeste W 4º 39” 48,0")</f>
        <v>Latitud Norte 40º 24” 55,6. Longitud oeste W 4º 39” 48,0</v>
      </c>
      <c r="L42" s="36" t="str">
        <f ca="1">IFERROR(__xludf.DUMMYFUNCTION("""COMPUTED_VALUE"""),"Montserrat Simón Martín")</f>
        <v>Montserrat Simón Martín</v>
      </c>
      <c r="M42" s="36" t="str">
        <f ca="1">IFERROR(__xludf.DUMMYFUNCTION("""COMPUTED_VALUE"""),"920286393 / 619242999")</f>
        <v>920286393 / 619242999</v>
      </c>
      <c r="N42" s="36" t="str">
        <f ca="1">IFERROR(__xludf.DUMMYFUNCTION("""COMPUTED_VALUE"""),"alberguesierradegredos@yahoo.es")</f>
        <v>alberguesierradegredos@yahoo.es</v>
      </c>
      <c r="O42" s="50">
        <f ca="1">IFERROR(__xludf.DUMMYFUNCTION("""COMPUTED_VALUE"""),364)</f>
        <v>364</v>
      </c>
      <c r="P42" s="36" t="str">
        <f ca="1">IFERROR(__xludf.DUMMYFUNCTION("""COMPUTED_VALUE"""),"A la espera de que nos lo faciliten")</f>
        <v>A la espera de que nos lo faciliten</v>
      </c>
      <c r="Q42" s="36" t="str">
        <f ca="1">IFERROR(__xludf.DUMMYFUNCTION("""COMPUTED_VALUE"""),"BUENO (Se puede acceder con cualquier coche)")</f>
        <v>BUENO (Se puede acceder con cualquier coche)</v>
      </c>
      <c r="R42" s="36" t="str">
        <f ca="1">IFERROR(__xludf.DUMMYFUNCTION("""COMPUTED_VALUE"""),"Sí")</f>
        <v>Sí</v>
      </c>
      <c r="S42" s="36" t="str">
        <f ca="1">IFERROR(__xludf.DUMMYFUNCTION("""COMPUTED_VALUE"""),"50m")</f>
        <v>50m</v>
      </c>
      <c r="T42" s="36" t="str">
        <f ca="1">IFERROR(__xludf.DUMMYFUNCTION("""COMPUTED_VALUE"""),"Fácil acceso ")</f>
        <v xml:space="preserve">Fácil acceso </v>
      </c>
      <c r="U42" s="36" t="str">
        <f ca="1">IFERROR(__xludf.DUMMYFUNCTION("""COMPUTED_VALUE"""),"Baño, cocina, habitaciones, comedor, jardines y aulas")</f>
        <v>Baño, cocina, habitaciones, comedor, jardines y aulas</v>
      </c>
      <c r="V42" s="36" t="str">
        <f ca="1">IFERROR(__xludf.DUMMYFUNCTION("""COMPUTED_VALUE"""),"No necesitamos")</f>
        <v>No necesitamos</v>
      </c>
      <c r="W42" s="36" t="str">
        <f ca="1">IFERROR(__xludf.DUMMYFUNCTION("""COMPUTED_VALUE"""),"Buen aspecto, bien comunicado, proximidad a diferentes zonas de baño y cercanía a Madrid")</f>
        <v>Buen aspecto, bien comunicado, proximidad a diferentes zonas de baño y cercanía a Madrid</v>
      </c>
      <c r="X42" s="36"/>
      <c r="Y42" s="36"/>
      <c r="Z42" s="36"/>
    </row>
    <row r="43" spans="1:26" ht="12.75" hidden="1">
      <c r="A43" s="36" t="str">
        <f ca="1">IFERROR(__xludf.DUMMYFUNCTION("""COMPUTED_VALUE"""),"Castilla y León")</f>
        <v>Castilla y León</v>
      </c>
      <c r="B43" s="36" t="str">
        <f ca="1">IFERROR(__xludf.DUMMYFUNCTION("""COMPUTED_VALUE"""),"Palencia")</f>
        <v>Palencia</v>
      </c>
      <c r="C43" s="36">
        <f ca="1">IFERROR(__xludf.DUMMYFUNCTION("""COMPUTED_VALUE"""),2012)</f>
        <v>2012</v>
      </c>
      <c r="D43" s="36" t="str">
        <f ca="1">IFERROR(__xludf.DUMMYFUNCTION("""COMPUTED_VALUE"""),"Amorós")</f>
        <v>Amorós</v>
      </c>
      <c r="E43" s="36" t="str">
        <f ca="1">IFERROR(__xludf.DUMMYFUNCTION("""COMPUTED_VALUE"""),"gs.amoros@scoutsdemadrid.org ")</f>
        <v xml:space="preserve">gs.amoros@scoutsdemadrid.org </v>
      </c>
      <c r="F43" s="48">
        <f ca="1">IFERROR(__xludf.DUMMYFUNCTION("""COMPUTED_VALUE"""),41106)</f>
        <v>41106</v>
      </c>
      <c r="G43" s="48">
        <f ca="1">IFERROR(__xludf.DUMMYFUNCTION("""COMPUTED_VALUE"""),41120)</f>
        <v>41120</v>
      </c>
      <c r="H43" s="36" t="str">
        <f ca="1">IFERROR(__xludf.DUMMYFUNCTION("""COMPUTED_VALUE"""),"La Pernía")</f>
        <v>La Pernía</v>
      </c>
      <c r="I43" s="36" t="str">
        <f ca="1">IFERROR(__xludf.DUMMYFUNCTION("""COMPUTED_VALUE"""),"Los Llazos")</f>
        <v>Los Llazos</v>
      </c>
      <c r="J43" s="36" t="str">
        <f ca="1">IFERROR(__xludf.DUMMYFUNCTION("""COMPUTED_VALUE"""),"")</f>
        <v/>
      </c>
      <c r="K43" s="49" t="str">
        <f ca="1">IFERROR(__xludf.DUMMYFUNCTION("""COMPUTED_VALUE"""),"https://maps.google.es/maps?q=Los+Llazos,+La+Pern%C3%ADa&amp;hl=es&amp;ie=UTF8&amp;ll=42.979841,-4.487325&amp;spn=0.006899,0.016512&amp;sll=40.396764,-3.713379&amp;sspn=14.695835,33.815918&amp;oq=los+llazos&amp;hnear=Los+Llazos,+La+Pern%C3%ADa,+Palencia,+Castilla+y+Le%C3%B3n&amp;t=h&amp;z=17")</f>
        <v>https://maps.google.es/maps?q=Los+Llazos,+La+Pern%C3%ADa&amp;hl=es&amp;ie=UTF8&amp;ll=42.979841,-4.487325&amp;spn=0.006899,0.016512&amp;sll=40.396764,-3.713379&amp;sspn=14.695835,33.815918&amp;oq=los+llazos&amp;hnear=Los+Llazos,+La+Pern%C3%ADa,+Palencia,+Castilla+y+Le%C3%B3n&amp;t=h&amp;z=17</v>
      </c>
      <c r="L43" s="36" t="str">
        <f ca="1">IFERROR(__xludf.DUMMYFUNCTION("""COMPUTED_VALUE"""),"")</f>
        <v/>
      </c>
      <c r="M43" s="36" t="str">
        <f ca="1">IFERROR(__xludf.DUMMYFUNCTION("""COMPUTED_VALUE"""),"")</f>
        <v/>
      </c>
      <c r="N43" s="36" t="str">
        <f ca="1">IFERROR(__xludf.DUMMYFUNCTION("""COMPUTED_VALUE"""),"")</f>
        <v/>
      </c>
      <c r="O43" s="36" t="str">
        <f ca="1">IFERROR(__xludf.DUMMYFUNCTION("""COMPUTED_VALUE"""),"")</f>
        <v/>
      </c>
      <c r="P43" s="36" t="str">
        <f ca="1">IFERROR(__xludf.DUMMYFUNCTION("""COMPUTED_VALUE"""),"")</f>
        <v/>
      </c>
      <c r="Q43" s="36" t="str">
        <f ca="1">IFERROR(__xludf.DUMMYFUNCTION("""COMPUTED_VALUE"""),"")</f>
        <v/>
      </c>
      <c r="R43" s="36" t="str">
        <f ca="1">IFERROR(__xludf.DUMMYFUNCTION("""COMPUTED_VALUE"""),"")</f>
        <v/>
      </c>
      <c r="S43" s="36" t="str">
        <f ca="1">IFERROR(__xludf.DUMMYFUNCTION("""COMPUTED_VALUE"""),"")</f>
        <v/>
      </c>
      <c r="T43" s="36" t="str">
        <f ca="1">IFERROR(__xludf.DUMMYFUNCTION("""COMPUTED_VALUE"""),"")</f>
        <v/>
      </c>
      <c r="U43" s="36" t="str">
        <f ca="1">IFERROR(__xludf.DUMMYFUNCTION("""COMPUTED_VALUE"""),"")</f>
        <v/>
      </c>
      <c r="V43" s="36" t="str">
        <f ca="1">IFERROR(__xludf.DUMMYFUNCTION("""COMPUTED_VALUE"""),"")</f>
        <v/>
      </c>
      <c r="W43" s="36" t="str">
        <f ca="1">IFERROR(__xludf.DUMMYFUNCTION("""COMPUTED_VALUE"""),"")</f>
        <v/>
      </c>
      <c r="X43" s="36"/>
      <c r="Y43" s="36"/>
      <c r="Z43" s="36"/>
    </row>
    <row r="44" spans="1:26" ht="12.75" hidden="1">
      <c r="A44" s="36" t="str">
        <f ca="1">IFERROR(__xludf.DUMMYFUNCTION("""COMPUTED_VALUE"""),"Castilla y León")</f>
        <v>Castilla y León</v>
      </c>
      <c r="B44" s="36" t="str">
        <f ca="1">IFERROR(__xludf.DUMMYFUNCTION("""COMPUTED_VALUE"""),"Burgos")</f>
        <v>Burgos</v>
      </c>
      <c r="C44" s="36">
        <f ca="1">IFERROR(__xludf.DUMMYFUNCTION("""COMPUTED_VALUE"""),2015)</f>
        <v>2015</v>
      </c>
      <c r="D44" s="36" t="str">
        <f ca="1">IFERROR(__xludf.DUMMYFUNCTION("""COMPUTED_VALUE"""),"Amorós")</f>
        <v>Amorós</v>
      </c>
      <c r="E44" s="36" t="str">
        <f ca="1">IFERROR(__xludf.DUMMYFUNCTION("""COMPUTED_VALUE"""),"gs.amoros@scoutsdemadrid.org ")</f>
        <v xml:space="preserve">gs.amoros@scoutsdemadrid.org </v>
      </c>
      <c r="F44" s="48">
        <f ca="1">IFERROR(__xludf.DUMMYFUNCTION("""COMPUTED_VALUE"""),42198)</f>
        <v>42198</v>
      </c>
      <c r="G44" s="48">
        <f ca="1">IFERROR(__xludf.DUMMYFUNCTION("""COMPUTED_VALUE"""),42215)</f>
        <v>42215</v>
      </c>
      <c r="H44" s="36" t="str">
        <f ca="1">IFERROR(__xludf.DUMMYFUNCTION("""COMPUTED_VALUE"""),"Barbadillo Del Pez")</f>
        <v>Barbadillo Del Pez</v>
      </c>
      <c r="I44" s="36" t="str">
        <f ca="1">IFERROR(__xludf.DUMMYFUNCTION("""COMPUTED_VALUE"""),"Prado de Urria")</f>
        <v>Prado de Urria</v>
      </c>
      <c r="J44" s="36" t="str">
        <f ca="1">IFERROR(__xludf.DUMMYFUNCTION("""COMPUTED_VALUE"""),"")</f>
        <v/>
      </c>
      <c r="K44" s="36" t="str">
        <f ca="1">IFERROR(__xludf.DUMMYFUNCTION("""COMPUTED_VALUE"""),"")</f>
        <v/>
      </c>
      <c r="L44" s="36" t="str">
        <f ca="1">IFERROR(__xludf.DUMMYFUNCTION("""COMPUTED_VALUE"""),"")</f>
        <v/>
      </c>
      <c r="M44" s="36" t="str">
        <f ca="1">IFERROR(__xludf.DUMMYFUNCTION("""COMPUTED_VALUE"""),"")</f>
        <v/>
      </c>
      <c r="N44" s="36" t="str">
        <f ca="1">IFERROR(__xludf.DUMMYFUNCTION("""COMPUTED_VALUE"""),"")</f>
        <v/>
      </c>
      <c r="O44" s="36" t="str">
        <f ca="1">IFERROR(__xludf.DUMMYFUNCTION("""COMPUTED_VALUE"""),"")</f>
        <v/>
      </c>
      <c r="P44" s="36" t="str">
        <f ca="1">IFERROR(__xludf.DUMMYFUNCTION("""COMPUTED_VALUE"""),"")</f>
        <v/>
      </c>
      <c r="Q44" s="36" t="str">
        <f ca="1">IFERROR(__xludf.DUMMYFUNCTION("""COMPUTED_VALUE"""),"")</f>
        <v/>
      </c>
      <c r="R44" s="36" t="str">
        <f ca="1">IFERROR(__xludf.DUMMYFUNCTION("""COMPUTED_VALUE"""),"")</f>
        <v/>
      </c>
      <c r="S44" s="36" t="str">
        <f ca="1">IFERROR(__xludf.DUMMYFUNCTION("""COMPUTED_VALUE"""),"")</f>
        <v/>
      </c>
      <c r="T44" s="36" t="str">
        <f ca="1">IFERROR(__xludf.DUMMYFUNCTION("""COMPUTED_VALUE"""),"")</f>
        <v/>
      </c>
      <c r="U44" s="36" t="str">
        <f ca="1">IFERROR(__xludf.DUMMYFUNCTION("""COMPUTED_VALUE"""),"")</f>
        <v/>
      </c>
      <c r="V44" s="36" t="str">
        <f ca="1">IFERROR(__xludf.DUMMYFUNCTION("""COMPUTED_VALUE"""),"")</f>
        <v/>
      </c>
      <c r="W44" s="36" t="str">
        <f ca="1">IFERROR(__xludf.DUMMYFUNCTION("""COMPUTED_VALUE"""),"")</f>
        <v/>
      </c>
      <c r="X44" s="36"/>
      <c r="Y44" s="36"/>
      <c r="Z44" s="36"/>
    </row>
    <row r="45" spans="1:26" ht="12.75" hidden="1">
      <c r="A45" s="36" t="str">
        <f ca="1">IFERROR(__xludf.DUMMYFUNCTION("""COMPUTED_VALUE"""),"Castilla y León")</f>
        <v>Castilla y León</v>
      </c>
      <c r="B45" s="36" t="str">
        <f ca="1">IFERROR(__xludf.DUMMYFUNCTION("""COMPUTED_VALUE"""),"Ávila")</f>
        <v>Ávila</v>
      </c>
      <c r="C45" s="36">
        <f ca="1">IFERROR(__xludf.DUMMYFUNCTION("""COMPUTED_VALUE"""),2017)</f>
        <v>2017</v>
      </c>
      <c r="D45" s="36" t="str">
        <f ca="1">IFERROR(__xludf.DUMMYFUNCTION("""COMPUTED_VALUE"""),"Amorós")</f>
        <v>Amorós</v>
      </c>
      <c r="E45" s="36" t="str">
        <f ca="1">IFERROR(__xludf.DUMMYFUNCTION("""COMPUTED_VALUE"""),"gs.amoros@scoutsdemadrid.org ")</f>
        <v xml:space="preserve">gs.amoros@scoutsdemadrid.org </v>
      </c>
      <c r="F45" s="48">
        <f ca="1">IFERROR(__xludf.DUMMYFUNCTION("""COMPUTED_VALUE"""),42930)</f>
        <v>42930</v>
      </c>
      <c r="G45" s="48">
        <f ca="1">IFERROR(__xludf.DUMMYFUNCTION("""COMPUTED_VALUE"""),42946)</f>
        <v>42946</v>
      </c>
      <c r="H45" s="36" t="str">
        <f ca="1">IFERROR(__xludf.DUMMYFUNCTION("""COMPUTED_VALUE"""),"Zapardiel De La Ribera")</f>
        <v>Zapardiel De La Ribera</v>
      </c>
      <c r="I45" s="36" t="str">
        <f ca="1">IFERROR(__xludf.DUMMYFUNCTION("""COMPUTED_VALUE"""),"Zapardiel De La Ribera")</f>
        <v>Zapardiel De La Ribera</v>
      </c>
      <c r="J45" s="36" t="str">
        <f ca="1">IFERROR(__xludf.DUMMYFUNCTION("""COMPUTED_VALUE"""),"")</f>
        <v/>
      </c>
      <c r="K45" s="36" t="str">
        <f ca="1">IFERROR(__xludf.DUMMYFUNCTION("""COMPUTED_VALUE"""),"")</f>
        <v/>
      </c>
      <c r="L45" s="36" t="str">
        <f ca="1">IFERROR(__xludf.DUMMYFUNCTION("""COMPUTED_VALUE"""),"Ignacio Romero Trillo")</f>
        <v>Ignacio Romero Trillo</v>
      </c>
      <c r="M45" s="36" t="str">
        <f ca="1">IFERROR(__xludf.DUMMYFUNCTION("""COMPUTED_VALUE"""),"")</f>
        <v/>
      </c>
      <c r="N45" s="36" t="str">
        <f ca="1">IFERROR(__xludf.DUMMYFUNCTION("""COMPUTED_VALUE"""),"")</f>
        <v/>
      </c>
      <c r="O45" s="36" t="str">
        <f ca="1">IFERROR(__xludf.DUMMYFUNCTION("""COMPUTED_VALUE"""),"")</f>
        <v/>
      </c>
      <c r="P45" s="36" t="str">
        <f ca="1">IFERROR(__xludf.DUMMYFUNCTION("""COMPUTED_VALUE"""),"")</f>
        <v/>
      </c>
      <c r="Q45" s="36" t="str">
        <f ca="1">IFERROR(__xludf.DUMMYFUNCTION("""COMPUTED_VALUE"""),"")</f>
        <v/>
      </c>
      <c r="R45" s="36" t="str">
        <f ca="1">IFERROR(__xludf.DUMMYFUNCTION("""COMPUTED_VALUE"""),"")</f>
        <v/>
      </c>
      <c r="S45" s="36" t="str">
        <f ca="1">IFERROR(__xludf.DUMMYFUNCTION("""COMPUTED_VALUE"""),"")</f>
        <v/>
      </c>
      <c r="T45" s="36" t="str">
        <f ca="1">IFERROR(__xludf.DUMMYFUNCTION("""COMPUTED_VALUE"""),"")</f>
        <v/>
      </c>
      <c r="U45" s="36" t="str">
        <f ca="1">IFERROR(__xludf.DUMMYFUNCTION("""COMPUTED_VALUE"""),"")</f>
        <v/>
      </c>
      <c r="V45" s="36" t="str">
        <f ca="1">IFERROR(__xludf.DUMMYFUNCTION("""COMPUTED_VALUE"""),"")</f>
        <v/>
      </c>
      <c r="W45" s="36" t="str">
        <f ca="1">IFERROR(__xludf.DUMMYFUNCTION("""COMPUTED_VALUE"""),"")</f>
        <v/>
      </c>
      <c r="X45" s="36"/>
      <c r="Y45" s="36"/>
      <c r="Z45" s="36"/>
    </row>
    <row r="46" spans="1:26" ht="12.75" hidden="1">
      <c r="A46" s="36" t="str">
        <f ca="1">IFERROR(__xludf.DUMMYFUNCTION("""COMPUTED_VALUE"""),"Castilla y León")</f>
        <v>Castilla y León</v>
      </c>
      <c r="B46" s="36" t="str">
        <f ca="1">IFERROR(__xludf.DUMMYFUNCTION("""COMPUTED_VALUE"""),"Soria")</f>
        <v>Soria</v>
      </c>
      <c r="C46" s="36">
        <f ca="1">IFERROR(__xludf.DUMMYFUNCTION("""COMPUTED_VALUE"""),2017)</f>
        <v>2017</v>
      </c>
      <c r="D46" s="36" t="str">
        <f ca="1">IFERROR(__xludf.DUMMYFUNCTION("""COMPUTED_VALUE"""),"Amorós")</f>
        <v>Amorós</v>
      </c>
      <c r="E46" s="36" t="str">
        <f ca="1">IFERROR(__xludf.DUMMYFUNCTION("""COMPUTED_VALUE"""),"gs.amoros@scoutsdemadrid.org ")</f>
        <v xml:space="preserve">gs.amoros@scoutsdemadrid.org </v>
      </c>
      <c r="F46" s="48">
        <f ca="1">IFERROR(__xludf.DUMMYFUNCTION("""COMPUTED_VALUE"""),42932)</f>
        <v>42932</v>
      </c>
      <c r="G46" s="48">
        <f ca="1">IFERROR(__xludf.DUMMYFUNCTION("""COMPUTED_VALUE"""),42946)</f>
        <v>42946</v>
      </c>
      <c r="H46" s="36" t="str">
        <f ca="1">IFERROR(__xludf.DUMMYFUNCTION("""COMPUTED_VALUE"""),"Covaleda")</f>
        <v>Covaleda</v>
      </c>
      <c r="I46" s="36" t="str">
        <f ca="1">IFERROR(__xludf.DUMMYFUNCTION("""COMPUTED_VALUE"""),"Raso de la Nava")</f>
        <v>Raso de la Nava</v>
      </c>
      <c r="J46" s="36" t="str">
        <f ca="1">IFERROR(__xludf.DUMMYFUNCTION("""COMPUTED_VALUE"""),"")</f>
        <v/>
      </c>
      <c r="K46" s="36" t="str">
        <f ca="1">IFERROR(__xludf.DUMMYFUNCTION("""COMPUTED_VALUE"""),"")</f>
        <v/>
      </c>
      <c r="L46" s="36" t="str">
        <f ca="1">IFERROR(__xludf.DUMMYFUNCTION("""COMPUTED_VALUE"""),"MSC")</f>
        <v>MSC</v>
      </c>
      <c r="M46" s="36" t="str">
        <f ca="1">IFERROR(__xludf.DUMMYFUNCTION("""COMPUTED_VALUE"""),"")</f>
        <v/>
      </c>
      <c r="N46" s="36" t="str">
        <f ca="1">IFERROR(__xludf.DUMMYFUNCTION("""COMPUTED_VALUE"""),"")</f>
        <v/>
      </c>
      <c r="O46" s="36" t="str">
        <f ca="1">IFERROR(__xludf.DUMMYFUNCTION("""COMPUTED_VALUE"""),"")</f>
        <v/>
      </c>
      <c r="P46" s="36" t="str">
        <f ca="1">IFERROR(__xludf.DUMMYFUNCTION("""COMPUTED_VALUE"""),"")</f>
        <v/>
      </c>
      <c r="Q46" s="36" t="str">
        <f ca="1">IFERROR(__xludf.DUMMYFUNCTION("""COMPUTED_VALUE"""),"")</f>
        <v/>
      </c>
      <c r="R46" s="36" t="str">
        <f ca="1">IFERROR(__xludf.DUMMYFUNCTION("""COMPUTED_VALUE"""),"")</f>
        <v/>
      </c>
      <c r="S46" s="36" t="str">
        <f ca="1">IFERROR(__xludf.DUMMYFUNCTION("""COMPUTED_VALUE"""),"")</f>
        <v/>
      </c>
      <c r="T46" s="36" t="str">
        <f ca="1">IFERROR(__xludf.DUMMYFUNCTION("""COMPUTED_VALUE"""),"")</f>
        <v/>
      </c>
      <c r="U46" s="36" t="str">
        <f ca="1">IFERROR(__xludf.DUMMYFUNCTION("""COMPUTED_VALUE"""),"")</f>
        <v/>
      </c>
      <c r="V46" s="36" t="str">
        <f ca="1">IFERROR(__xludf.DUMMYFUNCTION("""COMPUTED_VALUE"""),"")</f>
        <v/>
      </c>
      <c r="W46" s="36" t="str">
        <f ca="1">IFERROR(__xludf.DUMMYFUNCTION("""COMPUTED_VALUE"""),"Asistencia al JamScout de MSC con la unidad de Exploradores. Volante por el entorno de Covaleda y el pico Urbión los días previos.")</f>
        <v>Asistencia al JamScout de MSC con la unidad de Exploradores. Volante por el entorno de Covaleda y el pico Urbión los días previos.</v>
      </c>
      <c r="X46" s="36"/>
      <c r="Y46" s="36"/>
      <c r="Z46" s="36"/>
    </row>
    <row r="47" spans="1:26" ht="12.75" hidden="1">
      <c r="A47" s="36" t="str">
        <f ca="1">IFERROR(__xludf.DUMMYFUNCTION("""COMPUTED_VALUE"""),"Castilla y León")</f>
        <v>Castilla y León</v>
      </c>
      <c r="B47" s="36" t="str">
        <f ca="1">IFERROR(__xludf.DUMMYFUNCTION("""COMPUTED_VALUE"""),"Soria")</f>
        <v>Soria</v>
      </c>
      <c r="C47" s="36">
        <f ca="1">IFERROR(__xludf.DUMMYFUNCTION("""COMPUTED_VALUE"""),2018)</f>
        <v>2018</v>
      </c>
      <c r="D47" s="36" t="str">
        <f ca="1">IFERROR(__xludf.DUMMYFUNCTION("""COMPUTED_VALUE"""),"Amorós")</f>
        <v>Amorós</v>
      </c>
      <c r="E47" s="36" t="str">
        <f ca="1">IFERROR(__xludf.DUMMYFUNCTION("""COMPUTED_VALUE"""),"gs.amoros@scoutsdemadrid.org ")</f>
        <v xml:space="preserve">gs.amoros@scoutsdemadrid.org </v>
      </c>
      <c r="F47" s="48">
        <f ca="1">IFERROR(__xludf.DUMMYFUNCTION("""COMPUTED_VALUE"""),43294)</f>
        <v>43294</v>
      </c>
      <c r="G47" s="48">
        <f ca="1">IFERROR(__xludf.DUMMYFUNCTION("""COMPUTED_VALUE"""),43342)</f>
        <v>43342</v>
      </c>
      <c r="H47" s="36" t="str">
        <f ca="1">IFERROR(__xludf.DUMMYFUNCTION("""COMPUTED_VALUE"""),"Soria ")</f>
        <v xml:space="preserve">Soria </v>
      </c>
      <c r="I47" s="36" t="str">
        <f ca="1">IFERROR(__xludf.DUMMYFUNCTION("""COMPUTED_VALUE"""),"LA FUENTE UCERO - Monte nº 132")</f>
        <v>LA FUENTE UCERO - Monte nº 132</v>
      </c>
      <c r="J47" s="36" t="str">
        <f ca="1">IFERROR(__xludf.DUMMYFUNCTION("""COMPUTED_VALUE"""),"tenemos que llamar al ayuntamiento para poder conseguirlo otra vez")</f>
        <v>tenemos que llamar al ayuntamiento para poder conseguirlo otra vez</v>
      </c>
      <c r="K47" s="36" t="str">
        <f ca="1">IFERROR(__xludf.DUMMYFUNCTION("""COMPUTED_VALUE"""),"Datum: ETRS89 Latitud: 41º  58´ 1.34´´ N Longitud: 2º  56´ 28.71´´  Huso UTM: 30 Coord. X: 504.863,32 Coord. Y: 4.646.116,37 Nivel: 16")</f>
        <v>Datum: ETRS89 Latitud: 41º  58´ 1.34´´ N Longitud: 2º  56´ 28.71´´  Huso UTM: 30 Coord. X: 504.863,32 Coord. Y: 4.646.116,37 Nivel: 16</v>
      </c>
      <c r="L47" s="36" t="str">
        <f ca="1">IFERROR(__xludf.DUMMYFUNCTION("""COMPUTED_VALUE"""),"Ayuntamiento")</f>
        <v>Ayuntamiento</v>
      </c>
      <c r="M47" s="36">
        <f ca="1">IFERROR(__xludf.DUMMYFUNCTION("""COMPUTED_VALUE"""),975371250)</f>
        <v>975371250</v>
      </c>
      <c r="N47" s="36" t="str">
        <f ca="1">IFERROR(__xludf.DUMMYFUNCTION("""COMPUTED_VALUE"""),"duruelo@duruelodelasierra.es")</f>
        <v>duruelo@duruelodelasierra.es</v>
      </c>
      <c r="O47" s="51">
        <f ca="1">IFERROR(__xludf.DUMMYFUNCTION("""COMPUTED_VALUE"""),7.8)</f>
        <v>7.8</v>
      </c>
      <c r="P47" s="36" t="str">
        <f ca="1">IFERROR(__xludf.DUMMYFUNCTION("""COMPUTED_VALUE"""),"83.950 m2")</f>
        <v>83.950 m2</v>
      </c>
      <c r="Q47" s="36" t="str">
        <f ca="1">IFERROR(__xludf.DUMMYFUNCTION("""COMPUTED_VALUE"""),"BUENO (Se puede acceder con cualquier coche)")</f>
        <v>BUENO (Se puede acceder con cualquier coche)</v>
      </c>
      <c r="R47" s="36" t="str">
        <f ca="1">IFERROR(__xludf.DUMMYFUNCTION("""COMPUTED_VALUE"""),"Sí")</f>
        <v>Sí</v>
      </c>
      <c r="S47" s="36" t="str">
        <f ca="1">IFERROR(__xludf.DUMMYFUNCTION("""COMPUTED_VALUE"""),"100m")</f>
        <v>100m</v>
      </c>
      <c r="T47" s="36" t="str">
        <f ca="1">IFERROR(__xludf.DUMMYFUNCTION("""COMPUTED_VALUE"""),"tiene un rio con pequeñas pozas ")</f>
        <v xml:space="preserve">tiene un rio con pequeñas pozas </v>
      </c>
      <c r="U47" s="36" t="str">
        <f ca="1">IFERROR(__xludf.DUMMYFUNCTION("""COMPUTED_VALUE"""),"No ")</f>
        <v xml:space="preserve">No </v>
      </c>
      <c r="V47" s="36" t="str">
        <f ca="1">IFERROR(__xludf.DUMMYFUNCTION("""COMPUTED_VALUE"""),"Si ")</f>
        <v xml:space="preserve">Si </v>
      </c>
      <c r="W47" s="36" t="str">
        <f ca="1">IFERROR(__xludf.DUMMYFUNCTION("""COMPUTED_VALUE"""),"Es un pinar tiene mucha zona de sombra y es un terreno muy grande aunque no lo utilizaremos por completo. ")</f>
        <v xml:space="preserve">Es un pinar tiene mucha zona de sombra y es un terreno muy grande aunque no lo utilizaremos por completo. </v>
      </c>
      <c r="X47" s="36"/>
      <c r="Y47" s="36"/>
      <c r="Z47" s="36"/>
    </row>
    <row r="48" spans="1:26" ht="12.75" hidden="1">
      <c r="A48" s="36" t="str">
        <f ca="1">IFERROR(__xludf.DUMMYFUNCTION("""COMPUTED_VALUE"""),"Castilla y León")</f>
        <v>Castilla y León</v>
      </c>
      <c r="B48" s="36" t="str">
        <f ca="1">IFERROR(__xludf.DUMMYFUNCTION("""COMPUTED_VALUE"""),"León")</f>
        <v>León</v>
      </c>
      <c r="C48" s="36">
        <f ca="1">IFERROR(__xludf.DUMMYFUNCTION("""COMPUTED_VALUE"""),2015)</f>
        <v>2015</v>
      </c>
      <c r="D48" s="36" t="str">
        <f ca="1">IFERROR(__xludf.DUMMYFUNCTION("""COMPUTED_VALUE"""),"Buen Pastor")</f>
        <v>Buen Pastor</v>
      </c>
      <c r="E48" s="36" t="str">
        <f ca="1">IFERROR(__xludf.DUMMYFUNCTION("""COMPUTED_VALUE"""),"gs.buenpastor@scoutsdemadrid.org ")</f>
        <v xml:space="preserve">gs.buenpastor@scoutsdemadrid.org </v>
      </c>
      <c r="F48" s="48">
        <f ca="1">IFERROR(__xludf.DUMMYFUNCTION("""COMPUTED_VALUE"""),42186)</f>
        <v>42186</v>
      </c>
      <c r="G48" s="48">
        <f ca="1">IFERROR(__xludf.DUMMYFUNCTION("""COMPUTED_VALUE"""),42169)</f>
        <v>42169</v>
      </c>
      <c r="H48" s="36" t="str">
        <f ca="1">IFERROR(__xludf.DUMMYFUNCTION("""COMPUTED_VALUE"""),"Acebedo")</f>
        <v>Acebedo</v>
      </c>
      <c r="I48" s="36" t="str">
        <f ca="1">IFERROR(__xludf.DUMMYFUNCTION("""COMPUTED_VALUE"""),"Acebedo")</f>
        <v>Acebedo</v>
      </c>
      <c r="J48" s="36" t="str">
        <f ca="1">IFERROR(__xludf.DUMMYFUNCTION("""COMPUTED_VALUE"""),"")</f>
        <v/>
      </c>
      <c r="K48" s="36" t="str">
        <f ca="1">IFERROR(__xludf.DUMMYFUNCTION("""COMPUTED_VALUE"""),"")</f>
        <v/>
      </c>
      <c r="L48" s="36" t="str">
        <f ca="1">IFERROR(__xludf.DUMMYFUNCTION("""COMPUTED_VALUE"""),"")</f>
        <v/>
      </c>
      <c r="M48" s="36" t="str">
        <f ca="1">IFERROR(__xludf.DUMMYFUNCTION("""COMPUTED_VALUE"""),"")</f>
        <v/>
      </c>
      <c r="N48" s="36" t="str">
        <f ca="1">IFERROR(__xludf.DUMMYFUNCTION("""COMPUTED_VALUE"""),"")</f>
        <v/>
      </c>
      <c r="O48" s="36" t="str">
        <f ca="1">IFERROR(__xludf.DUMMYFUNCTION("""COMPUTED_VALUE"""),"")</f>
        <v/>
      </c>
      <c r="P48" s="36" t="str">
        <f ca="1">IFERROR(__xludf.DUMMYFUNCTION("""COMPUTED_VALUE"""),"")</f>
        <v/>
      </c>
      <c r="Q48" s="36" t="str">
        <f ca="1">IFERROR(__xludf.DUMMYFUNCTION("""COMPUTED_VALUE"""),"")</f>
        <v/>
      </c>
      <c r="R48" s="36" t="str">
        <f ca="1">IFERROR(__xludf.DUMMYFUNCTION("""COMPUTED_VALUE"""),"")</f>
        <v/>
      </c>
      <c r="S48" s="36" t="str">
        <f ca="1">IFERROR(__xludf.DUMMYFUNCTION("""COMPUTED_VALUE"""),"")</f>
        <v/>
      </c>
      <c r="T48" s="36" t="str">
        <f ca="1">IFERROR(__xludf.DUMMYFUNCTION("""COMPUTED_VALUE"""),"")</f>
        <v/>
      </c>
      <c r="U48" s="36" t="str">
        <f ca="1">IFERROR(__xludf.DUMMYFUNCTION("""COMPUTED_VALUE"""),"")</f>
        <v/>
      </c>
      <c r="V48" s="36" t="str">
        <f ca="1">IFERROR(__xludf.DUMMYFUNCTION("""COMPUTED_VALUE"""),"")</f>
        <v/>
      </c>
      <c r="W48" s="36" t="str">
        <f ca="1">IFERROR(__xludf.DUMMYFUNCTION("""COMPUTED_VALUE"""),"")</f>
        <v/>
      </c>
      <c r="X48" s="36"/>
      <c r="Y48" s="36"/>
      <c r="Z48" s="36"/>
    </row>
    <row r="49" spans="1:26" ht="12.75" hidden="1">
      <c r="A49" s="36" t="str">
        <f ca="1">IFERROR(__xludf.DUMMYFUNCTION("""COMPUTED_VALUE"""),"Castilla y León")</f>
        <v>Castilla y León</v>
      </c>
      <c r="B49" s="36" t="str">
        <f ca="1">IFERROR(__xludf.DUMMYFUNCTION("""COMPUTED_VALUE"""),"León")</f>
        <v>León</v>
      </c>
      <c r="C49" s="36">
        <f ca="1">IFERROR(__xludf.DUMMYFUNCTION("""COMPUTED_VALUE"""),2018)</f>
        <v>2018</v>
      </c>
      <c r="D49" s="36" t="str">
        <f ca="1">IFERROR(__xludf.DUMMYFUNCTION("""COMPUTED_VALUE"""),"Buen Pastor")</f>
        <v>Buen Pastor</v>
      </c>
      <c r="E49" s="36" t="str">
        <f ca="1">IFERROR(__xludf.DUMMYFUNCTION("""COMPUTED_VALUE"""),"gs.buenpastor@scoutsdemadrid.org ")</f>
        <v xml:space="preserve">gs.buenpastor@scoutsdemadrid.org </v>
      </c>
      <c r="F49" s="48">
        <f ca="1">IFERROR(__xludf.DUMMYFUNCTION("""COMPUTED_VALUE"""),43294)</f>
        <v>43294</v>
      </c>
      <c r="G49" s="48">
        <f ca="1">IFERROR(__xludf.DUMMYFUNCTION("""COMPUTED_VALUE"""),43311)</f>
        <v>43311</v>
      </c>
      <c r="H49" s="36" t="str">
        <f ca="1">IFERROR(__xludf.DUMMYFUNCTION("""COMPUTED_VALUE"""),"Cofiñal")</f>
        <v>Cofiñal</v>
      </c>
      <c r="I49" s="36" t="str">
        <f ca="1">IFERROR(__xludf.DUMMYFUNCTION("""COMPUTED_VALUE"""),"Las Lamas")</f>
        <v>Las Lamas</v>
      </c>
      <c r="J49" s="36" t="str">
        <f ca="1">IFERROR(__xludf.DUMMYFUNCTION("""COMPUTED_VALUE"""),"24124A00200228")</f>
        <v>24124A00200228</v>
      </c>
      <c r="K49" s="36" t="str">
        <f ca="1">IFERROR(__xludf.DUMMYFUNCTION("""COMPUTED_VALUE"""),"N:43º02`59,5'' O:5º16'43,5""")</f>
        <v>N:43º02`59,5'' O:5º16'43,5"</v>
      </c>
      <c r="L49" s="36" t="str">
        <f ca="1">IFERROR(__xludf.DUMMYFUNCTION("""COMPUTED_VALUE"""),"CELESTINO DIEZ ALONSO")</f>
        <v>CELESTINO DIEZ ALONSO</v>
      </c>
      <c r="M49" s="36">
        <f ca="1">IFERROR(__xludf.DUMMYFUNCTION("""COMPUTED_VALUE"""),605670665)</f>
        <v>605670665</v>
      </c>
      <c r="N49" s="36" t="str">
        <f ca="1">IFERROR(__xludf.DUMMYFUNCTION("""COMPUTED_VALUE"""),"-----")</f>
        <v>-----</v>
      </c>
      <c r="O49" s="36" t="str">
        <f ca="1">IFERROR(__xludf.DUMMYFUNCTION("""COMPUTED_VALUE"""),"450€ la quincena")</f>
        <v>450€ la quincena</v>
      </c>
      <c r="P49" s="36" t="str">
        <f ca="1">IFERROR(__xludf.DUMMYFUNCTION("""COMPUTED_VALUE"""),"22.815m2")</f>
        <v>22.815m2</v>
      </c>
      <c r="Q49" s="36" t="str">
        <f ca="1">IFERROR(__xludf.DUMMYFUNCTION("""COMPUTED_VALUE"""),"BUENO (Se puede acceder con cualquier coche)")</f>
        <v>BUENO (Se puede acceder con cualquier coche)</v>
      </c>
      <c r="R49" s="36" t="str">
        <f ca="1">IFERROR(__xludf.DUMMYFUNCTION("""COMPUTED_VALUE"""),"Sí")</f>
        <v>Sí</v>
      </c>
      <c r="S49" s="36" t="str">
        <f ca="1">IFERROR(__xludf.DUMMYFUNCTION("""COMPUTED_VALUE"""),"EL rio pasa por un lateral de la finca")</f>
        <v>EL rio pasa por un lateral de la finca</v>
      </c>
      <c r="T49" s="36" t="str">
        <f ca="1">IFERROR(__xludf.DUMMYFUNCTION("""COMPUTED_VALUE"""),"Desde la propia finca solo se puede acceder para bombear agua. Si se anda unos metros hay pozas moderadamente acondicionadas.")</f>
        <v>Desde la propia finca solo se puede acceder para bombear agua. Si se anda unos metros hay pozas moderadamente acondicionadas.</v>
      </c>
      <c r="U49" s="36" t="str">
        <f ca="1">IFERROR(__xludf.DUMMYFUNCTION("""COMPUTED_VALUE"""),"No. Existe al lado de la finca un antiguo Invernadero que esta cerrado y no es posible su acceso.")</f>
        <v>No. Existe al lado de la finca un antiguo Invernadero que esta cerrado y no es posible su acceso.</v>
      </c>
      <c r="V49" s="36" t="str">
        <f ca="1">IFERROR(__xludf.DUMMYFUNCTION("""COMPUTED_VALUE"""),"Si")</f>
        <v>Si</v>
      </c>
      <c r="W49" s="36" t="str">
        <f ca="1">IFERROR(__xludf.DUMMYFUNCTION("""COMPUTED_VALUE"""),"Es una campa bastante grande, con distintas alturas. Es sencillo conseguir el agua para las instalaciones. Dispone de espacio suficiente para realizar las actividades. El acceso es bueno y el pueblo esta a 2km de la finca.")</f>
        <v>Es una campa bastante grande, con distintas alturas. Es sencillo conseguir el agua para las instalaciones. Dispone de espacio suficiente para realizar las actividades. El acceso es bueno y el pueblo esta a 2km de la finca.</v>
      </c>
      <c r="X49" s="36"/>
      <c r="Y49" s="36"/>
      <c r="Z49" s="36"/>
    </row>
    <row r="50" spans="1:26" ht="12.75" hidden="1">
      <c r="A50" s="36" t="str">
        <f ca="1">IFERROR(__xludf.DUMMYFUNCTION("""COMPUTED_VALUE"""),"Castilla y León")</f>
        <v>Castilla y León</v>
      </c>
      <c r="B50" s="36" t="str">
        <f ca="1">IFERROR(__xludf.DUMMYFUNCTION("""COMPUTED_VALUE"""),"León")</f>
        <v>León</v>
      </c>
      <c r="C50" s="36">
        <f ca="1">IFERROR(__xludf.DUMMYFUNCTION("""COMPUTED_VALUE"""),2019)</f>
        <v>2019</v>
      </c>
      <c r="D50" s="36" t="str">
        <f ca="1">IFERROR(__xludf.DUMMYFUNCTION("""COMPUTED_VALUE"""),"Calasanz Val")</f>
        <v>Calasanz Val</v>
      </c>
      <c r="E50" s="36" t="str">
        <f ca="1">IFERROR(__xludf.DUMMYFUNCTION("""COMPUTED_VALUE"""),"gs.calasanz@scoutsdemadrid.org ")</f>
        <v xml:space="preserve">gs.calasanz@scoutsdemadrid.org </v>
      </c>
      <c r="F50" s="36">
        <f ca="1">IFERROR(__xludf.DUMMYFUNCTION("""COMPUTED_VALUE"""),43647)</f>
        <v>43647</v>
      </c>
      <c r="G50" s="36">
        <f ca="1">IFERROR(__xludf.DUMMYFUNCTION("""COMPUTED_VALUE"""),43661)</f>
        <v>43661</v>
      </c>
      <c r="H50" s="36" t="str">
        <f ca="1">IFERROR(__xludf.DUMMYFUNCTION("""COMPUTED_VALUE"""),"Noceda Del Bierzo")</f>
        <v>Noceda Del Bierzo</v>
      </c>
      <c r="I50" s="36" t="str">
        <f ca="1">IFERROR(__xludf.DUMMYFUNCTION("""COMPUTED_VALUE"""),"Camping Los Chanos")</f>
        <v>Camping Los Chanos</v>
      </c>
      <c r="J50" s="36" t="str">
        <f ca="1">IFERROR(__xludf.DUMMYFUNCTION("""COMPUTED_VALUE""")," 24104A03190307")</f>
        <v xml:space="preserve"> 24104A03190307</v>
      </c>
      <c r="K50" s="36" t="str">
        <f ca="1">IFERROR(__xludf.DUMMYFUNCTION("""COMPUTED_VALUE"""),"42.716139, -6.398513")</f>
        <v>42.716139, -6.398513</v>
      </c>
      <c r="L50" s="36" t="str">
        <f ca="1">IFERROR(__xludf.DUMMYFUNCTION("""COMPUTED_VALUE"""),"Pablo García Moreno - Sportanoe")</f>
        <v>Pablo García Moreno - Sportanoe</v>
      </c>
      <c r="M50" s="36" t="str">
        <f ca="1">IFERROR(__xludf.DUMMYFUNCTION("""COMPUTED_VALUE""")," 687 49 29 23")</f>
        <v xml:space="preserve"> 687 49 29 23</v>
      </c>
      <c r="N50" s="36" t="str">
        <f ca="1">IFERROR(__xludf.DUMMYFUNCTION("""COMPUTED_VALUE"""),"pablogmoreno@sportanoe.com")</f>
        <v>pablogmoreno@sportanoe.com</v>
      </c>
      <c r="O50" s="36" t="str">
        <f ca="1">IFERROR(__xludf.DUMMYFUNCTION("""COMPUTED_VALUE"""),"16 euros/persona")</f>
        <v>16 euros/persona</v>
      </c>
      <c r="P50" s="36" t="str">
        <f ca="1">IFERROR(__xludf.DUMMYFUNCTION("""COMPUTED_VALUE"""),"NS")</f>
        <v>NS</v>
      </c>
      <c r="Q50" s="36" t="str">
        <f ca="1">IFERROR(__xludf.DUMMYFUNCTION("""COMPUTED_VALUE"""),"BUENO (Se puede acceder con cualquier coche)")</f>
        <v>BUENO (Se puede acceder con cualquier coche)</v>
      </c>
      <c r="R50" s="36" t="str">
        <f ca="1">IFERROR(__xludf.DUMMYFUNCTION("""COMPUTED_VALUE"""),"No")</f>
        <v>No</v>
      </c>
      <c r="S50" s="36" t="str">
        <f ca="1">IFERROR(__xludf.DUMMYFUNCTION("""COMPUTED_VALUE"""),"20minutos")</f>
        <v>20minutos</v>
      </c>
      <c r="T50" s="36" t="str">
        <f ca="1">IFERROR(__xludf.DUMMYFUNCTION("""COMPUTED_VALUE"""),"Piscina municipal")</f>
        <v>Piscina municipal</v>
      </c>
      <c r="U50" s="36" t="str">
        <f ca="1">IFERROR(__xludf.DUMMYFUNCTION("""COMPUTED_VALUE"""),"Cocina, baños")</f>
        <v>Cocina, baños</v>
      </c>
      <c r="V50" s="36" t="str">
        <f ca="1">IFERROR(__xludf.DUMMYFUNCTION("""COMPUTED_VALUE"""),"NS")</f>
        <v>NS</v>
      </c>
      <c r="W50" s="36" t="str">
        <f ca="1">IFERROR(__xludf.DUMMYFUNCTION("""COMPUTED_VALUE"""),"Buen trato, te hacen la comida")</f>
        <v>Buen trato, te hacen la comida</v>
      </c>
      <c r="X50" s="36"/>
      <c r="Y50" s="36"/>
      <c r="Z50" s="36"/>
    </row>
    <row r="51" spans="1:26" ht="12.75" hidden="1">
      <c r="A51" s="36" t="str">
        <f ca="1">IFERROR(__xludf.DUMMYFUNCTION("""COMPUTED_VALUE"""),"Castilla y León")</f>
        <v>Castilla y León</v>
      </c>
      <c r="B51" s="36" t="str">
        <f ca="1">IFERROR(__xludf.DUMMYFUNCTION("""COMPUTED_VALUE"""),"Ávila")</f>
        <v>Ávila</v>
      </c>
      <c r="C51" s="36">
        <f ca="1">IFERROR(__xludf.DUMMYFUNCTION("""COMPUTED_VALUE"""),2012)</f>
        <v>2012</v>
      </c>
      <c r="D51" s="36" t="str">
        <f ca="1">IFERROR(__xludf.DUMMYFUNCTION("""COMPUTED_VALUE"""),"Calasanz-Val")</f>
        <v>Calasanz-Val</v>
      </c>
      <c r="E51" s="36" t="str">
        <f ca="1">IFERROR(__xludf.DUMMYFUNCTION("""COMPUTED_VALUE"""),"gs.calasanz@scoutsdemadrid.org ")</f>
        <v xml:space="preserve">gs.calasanz@scoutsdemadrid.org </v>
      </c>
      <c r="F51" s="48">
        <f ca="1">IFERROR(__xludf.DUMMYFUNCTION("""COMPUTED_VALUE"""),41091)</f>
        <v>41091</v>
      </c>
      <c r="G51" s="48">
        <f ca="1">IFERROR(__xludf.DUMMYFUNCTION("""COMPUTED_VALUE"""),41115)</f>
        <v>41115</v>
      </c>
      <c r="H51" s="36" t="str">
        <f ca="1">IFERROR(__xludf.DUMMYFUNCTION("""COMPUTED_VALUE"""),"Llanos De Tormes")</f>
        <v>Llanos De Tormes</v>
      </c>
      <c r="I51" s="36" t="str">
        <f ca="1">IFERROR(__xludf.DUMMYFUNCTION("""COMPUTED_VALUE"""),"Llanos de Tormes")</f>
        <v>Llanos de Tormes</v>
      </c>
      <c r="J51" s="36" t="str">
        <f ca="1">IFERROR(__xludf.DUMMYFUNCTION("""COMPUTED_VALUE"""),"")</f>
        <v/>
      </c>
      <c r="K51" s="36" t="str">
        <f ca="1">IFERROR(__xludf.DUMMYFUNCTION("""COMPUTED_VALUE"""),"")</f>
        <v/>
      </c>
      <c r="L51" s="36" t="str">
        <f ca="1">IFERROR(__xludf.DUMMYFUNCTION("""COMPUTED_VALUE"""),"")</f>
        <v/>
      </c>
      <c r="M51" s="36" t="str">
        <f ca="1">IFERROR(__xludf.DUMMYFUNCTION("""COMPUTED_VALUE"""),"")</f>
        <v/>
      </c>
      <c r="N51" s="36" t="str">
        <f ca="1">IFERROR(__xludf.DUMMYFUNCTION("""COMPUTED_VALUE"""),"")</f>
        <v/>
      </c>
      <c r="O51" s="36" t="str">
        <f ca="1">IFERROR(__xludf.DUMMYFUNCTION("""COMPUTED_VALUE"""),"")</f>
        <v/>
      </c>
      <c r="P51" s="36" t="str">
        <f ca="1">IFERROR(__xludf.DUMMYFUNCTION("""COMPUTED_VALUE"""),"")</f>
        <v/>
      </c>
      <c r="Q51" s="36" t="str">
        <f ca="1">IFERROR(__xludf.DUMMYFUNCTION("""COMPUTED_VALUE"""),"")</f>
        <v/>
      </c>
      <c r="R51" s="36" t="str">
        <f ca="1">IFERROR(__xludf.DUMMYFUNCTION("""COMPUTED_VALUE"""),"")</f>
        <v/>
      </c>
      <c r="S51" s="36" t="str">
        <f ca="1">IFERROR(__xludf.DUMMYFUNCTION("""COMPUTED_VALUE"""),"")</f>
        <v/>
      </c>
      <c r="T51" s="36" t="str">
        <f ca="1">IFERROR(__xludf.DUMMYFUNCTION("""COMPUTED_VALUE"""),"")</f>
        <v/>
      </c>
      <c r="U51" s="36" t="str">
        <f ca="1">IFERROR(__xludf.DUMMYFUNCTION("""COMPUTED_VALUE"""),"")</f>
        <v/>
      </c>
      <c r="V51" s="36" t="str">
        <f ca="1">IFERROR(__xludf.DUMMYFUNCTION("""COMPUTED_VALUE"""),"")</f>
        <v/>
      </c>
      <c r="W51" s="36" t="str">
        <f ca="1">IFERROR(__xludf.DUMMYFUNCTION("""COMPUTED_VALUE"""),"")</f>
        <v/>
      </c>
      <c r="X51" s="36"/>
      <c r="Y51" s="36"/>
      <c r="Z51" s="36"/>
    </row>
    <row r="52" spans="1:26" ht="12.75" hidden="1">
      <c r="A52" s="36" t="str">
        <f ca="1">IFERROR(__xludf.DUMMYFUNCTION("""COMPUTED_VALUE"""),"Castilla y León")</f>
        <v>Castilla y León</v>
      </c>
      <c r="B52" s="36" t="str">
        <f ca="1">IFERROR(__xludf.DUMMYFUNCTION("""COMPUTED_VALUE"""),"Soria")</f>
        <v>Soria</v>
      </c>
      <c r="C52" s="36">
        <f ca="1">IFERROR(__xludf.DUMMYFUNCTION("""COMPUTED_VALUE"""),2016)</f>
        <v>2016</v>
      </c>
      <c r="D52" s="36" t="str">
        <f ca="1">IFERROR(__xludf.DUMMYFUNCTION("""COMPUTED_VALUE"""),"Claret")</f>
        <v>Claret</v>
      </c>
      <c r="E52" s="36" t="str">
        <f ca="1">IFERROR(__xludf.DUMMYFUNCTION("""COMPUTED_VALUE"""),"gs.claret@scoutsdemadrid.org ")</f>
        <v xml:space="preserve">gs.claret@scoutsdemadrid.org </v>
      </c>
      <c r="F52" s="48">
        <f ca="1">IFERROR(__xludf.DUMMYFUNCTION("""COMPUTED_VALUE"""),41101)</f>
        <v>41101</v>
      </c>
      <c r="G52" s="48">
        <f ca="1">IFERROR(__xludf.DUMMYFUNCTION("""COMPUTED_VALUE"""),41120)</f>
        <v>41120</v>
      </c>
      <c r="H52" s="36" t="str">
        <f ca="1">IFERROR(__xludf.DUMMYFUNCTION("""COMPUTED_VALUE"""),"Herreros")</f>
        <v>Herreros</v>
      </c>
      <c r="I52" s="36" t="str">
        <f ca="1">IFERROR(__xludf.DUMMYFUNCTION("""COMPUTED_VALUE"""),"El Ejido")</f>
        <v>El Ejido</v>
      </c>
      <c r="J52" s="36" t="str">
        <f ca="1">IFERROR(__xludf.DUMMYFUNCTION("""COMPUTED_VALUE"""),"")</f>
        <v/>
      </c>
      <c r="K52" s="49" t="str">
        <f ca="1">IFERROR(__xludf.DUMMYFUNCTION("""COMPUTED_VALUE"""),"https://maps.google.es/maps/ms?msid=203418343783550310345.0004c1466ed55533d522c&amp;msa=0&amp;ll=41.834462,-2.743492&amp;spn=0.02785,0.066047")</f>
        <v>https://maps.google.es/maps/ms?msid=203418343783550310345.0004c1466ed55533d522c&amp;msa=0&amp;ll=41.834462,-2.743492&amp;spn=0.02785,0.066047</v>
      </c>
      <c r="L52" s="36" t="str">
        <f ca="1">IFERROR(__xludf.DUMMYFUNCTION("""COMPUTED_VALUE"""),"")</f>
        <v/>
      </c>
      <c r="M52" s="36" t="str">
        <f ca="1">IFERROR(__xludf.DUMMYFUNCTION("""COMPUTED_VALUE"""),"")</f>
        <v/>
      </c>
      <c r="N52" s="36" t="str">
        <f ca="1">IFERROR(__xludf.DUMMYFUNCTION("""COMPUTED_VALUE"""),"")</f>
        <v/>
      </c>
      <c r="O52" s="36" t="str">
        <f ca="1">IFERROR(__xludf.DUMMYFUNCTION("""COMPUTED_VALUE"""),"")</f>
        <v/>
      </c>
      <c r="P52" s="36" t="str">
        <f ca="1">IFERROR(__xludf.DUMMYFUNCTION("""COMPUTED_VALUE"""),"")</f>
        <v/>
      </c>
      <c r="Q52" s="36" t="str">
        <f ca="1">IFERROR(__xludf.DUMMYFUNCTION("""COMPUTED_VALUE"""),"")</f>
        <v/>
      </c>
      <c r="R52" s="36" t="str">
        <f ca="1">IFERROR(__xludf.DUMMYFUNCTION("""COMPUTED_VALUE"""),"")</f>
        <v/>
      </c>
      <c r="S52" s="36" t="str">
        <f ca="1">IFERROR(__xludf.DUMMYFUNCTION("""COMPUTED_VALUE"""),"")</f>
        <v/>
      </c>
      <c r="T52" s="36" t="str">
        <f ca="1">IFERROR(__xludf.DUMMYFUNCTION("""COMPUTED_VALUE"""),"")</f>
        <v/>
      </c>
      <c r="U52" s="36" t="str">
        <f ca="1">IFERROR(__xludf.DUMMYFUNCTION("""COMPUTED_VALUE"""),"")</f>
        <v/>
      </c>
      <c r="V52" s="36" t="str">
        <f ca="1">IFERROR(__xludf.DUMMYFUNCTION("""COMPUTED_VALUE"""),"")</f>
        <v/>
      </c>
      <c r="W52" s="36" t="str">
        <f ca="1">IFERROR(__xludf.DUMMYFUNCTION("""COMPUTED_VALUE"""),"")</f>
        <v/>
      </c>
      <c r="X52" s="36"/>
      <c r="Y52" s="36"/>
      <c r="Z52" s="36"/>
    </row>
    <row r="53" spans="1:26" ht="12.75" hidden="1">
      <c r="A53" s="36" t="str">
        <f ca="1">IFERROR(__xludf.DUMMYFUNCTION("""COMPUTED_VALUE"""),"Castilla y León")</f>
        <v>Castilla y León</v>
      </c>
      <c r="B53" s="36" t="str">
        <f ca="1">IFERROR(__xludf.DUMMYFUNCTION("""COMPUTED_VALUE"""),"León")</f>
        <v>León</v>
      </c>
      <c r="C53" s="36">
        <f ca="1">IFERROR(__xludf.DUMMYFUNCTION("""COMPUTED_VALUE"""),2016)</f>
        <v>2016</v>
      </c>
      <c r="D53" s="36" t="str">
        <f ca="1">IFERROR(__xludf.DUMMYFUNCTION("""COMPUTED_VALUE"""),"Claret")</f>
        <v>Claret</v>
      </c>
      <c r="E53" s="36" t="str">
        <f ca="1">IFERROR(__xludf.DUMMYFUNCTION("""COMPUTED_VALUE"""),"gs.claret@scoutsdemadrid.org ")</f>
        <v xml:space="preserve">gs.claret@scoutsdemadrid.org </v>
      </c>
      <c r="F53" s="48">
        <f ca="1">IFERROR(__xludf.DUMMYFUNCTION("""COMPUTED_VALUE"""),42566)</f>
        <v>42566</v>
      </c>
      <c r="G53" s="48">
        <f ca="1">IFERROR(__xludf.DUMMYFUNCTION("""COMPUTED_VALUE"""),42581)</f>
        <v>42581</v>
      </c>
      <c r="H53" s="36" t="str">
        <f ca="1">IFERROR(__xludf.DUMMYFUNCTION("""COMPUTED_VALUE"""),"Cofiñal (Puebla De Lillo)")</f>
        <v>Cofiñal (Puebla De Lillo)</v>
      </c>
      <c r="I53" s="36" t="str">
        <f ca="1">IFERROR(__xludf.DUMMYFUNCTION("""COMPUTED_VALUE"""),"PRADO DE LAS LERAS")</f>
        <v>PRADO DE LAS LERAS</v>
      </c>
      <c r="J53" s="36" t="str">
        <f ca="1">IFERROR(__xludf.DUMMYFUNCTION("""COMPUTED_VALUE"""),"")</f>
        <v/>
      </c>
      <c r="K53" s="36" t="str">
        <f ca="1">IFERROR(__xludf.DUMMYFUNCTION("""COMPUTED_VALUE"""),"43°2'25.22""N, 5°16'32.00""W")</f>
        <v>43°2'25.22"N, 5°16'32.00"W</v>
      </c>
      <c r="L53" s="36" t="str">
        <f ca="1">IFERROR(__xludf.DUMMYFUNCTION("""COMPUTED_VALUE"""),"CELESTINO DIEZ ALONSO")</f>
        <v>CELESTINO DIEZ ALONSO</v>
      </c>
      <c r="M53" s="36">
        <f ca="1">IFERROR(__xludf.DUMMYFUNCTION("""COMPUTED_VALUE"""),605670665)</f>
        <v>605670665</v>
      </c>
      <c r="N53" s="36" t="str">
        <f ca="1">IFERROR(__xludf.DUMMYFUNCTION("""COMPUTED_VALUE"""),"")</f>
        <v/>
      </c>
      <c r="O53" s="36" t="str">
        <f ca="1">IFERROR(__xludf.DUMMYFUNCTION("""COMPUTED_VALUE"""),"500€ EN TOTAL")</f>
        <v>500€ EN TOTAL</v>
      </c>
      <c r="P53" s="36" t="str">
        <f ca="1">IFERROR(__xludf.DUMMYFUNCTION("""COMPUTED_VALUE"""),"2 ha")</f>
        <v>2 ha</v>
      </c>
      <c r="Q53" s="36" t="str">
        <f ca="1">IFERROR(__xludf.DUMMYFUNCTION("""COMPUTED_VALUE"""),"BUENO (Se puede acceder con cualquier coche)")</f>
        <v>BUENO (Se puede acceder con cualquier coche)</v>
      </c>
      <c r="R53" s="36" t="str">
        <f ca="1">IFERROR(__xludf.DUMMYFUNCTION("""COMPUTED_VALUE"""),"Sí")</f>
        <v>Sí</v>
      </c>
      <c r="S53" s="36" t="str">
        <f ca="1">IFERROR(__xludf.DUMMYFUNCTION("""COMPUTED_VALUE"""),"Atraviesa la finca el río Porma")</f>
        <v>Atraviesa la finca el río Porma</v>
      </c>
      <c r="T53" s="36" t="str">
        <f ca="1">IFERROR(__xludf.DUMMYFUNCTION("""COMPUTED_VALUE"""),"El río cubre por las rodillas")</f>
        <v>El río cubre por las rodillas</v>
      </c>
      <c r="U53" s="36" t="str">
        <f ca="1">IFERROR(__xludf.DUMMYFUNCTION("""COMPUTED_VALUE"""),"NO")</f>
        <v>NO</v>
      </c>
      <c r="V53" s="36" t="str">
        <f ca="1">IFERROR(__xludf.DUMMYFUNCTION("""COMPUTED_VALUE"""),"SI")</f>
        <v>SI</v>
      </c>
      <c r="W53" s="36" t="str">
        <f ca="1">IFERROR(__xludf.DUMMYFUNCTION("""COMPUTED_VALUE"""),"Buen acceso, con sombras, a 1 km de Cofiñal. Terreno llano y agradable.")</f>
        <v>Buen acceso, con sombras, a 1 km de Cofiñal. Terreno llano y agradable.</v>
      </c>
      <c r="X53" s="36"/>
      <c r="Y53" s="36"/>
      <c r="Z53" s="36"/>
    </row>
    <row r="54" spans="1:26" ht="12.75" hidden="1">
      <c r="A54" s="36" t="str">
        <f ca="1">IFERROR(__xludf.DUMMYFUNCTION("""COMPUTED_VALUE"""),"Castilla y León")</f>
        <v>Castilla y León</v>
      </c>
      <c r="B54" s="36" t="str">
        <f ca="1">IFERROR(__xludf.DUMMYFUNCTION("""COMPUTED_VALUE"""),"León")</f>
        <v>León</v>
      </c>
      <c r="C54" s="36">
        <f ca="1">IFERROR(__xludf.DUMMYFUNCTION("""COMPUTED_VALUE"""),2016)</f>
        <v>2016</v>
      </c>
      <c r="D54" s="36" t="str">
        <f ca="1">IFERROR(__xludf.DUMMYFUNCTION("""COMPUTED_VALUE"""),"Claret")</f>
        <v>Claret</v>
      </c>
      <c r="E54" s="36" t="str">
        <f ca="1">IFERROR(__xludf.DUMMYFUNCTION("""COMPUTED_VALUE"""),"gs.claret@scoutsdemadrid.org ")</f>
        <v xml:space="preserve">gs.claret@scoutsdemadrid.org </v>
      </c>
      <c r="F54" s="48">
        <f ca="1">IFERROR(__xludf.DUMMYFUNCTION("""COMPUTED_VALUE"""),42566)</f>
        <v>42566</v>
      </c>
      <c r="G54" s="48">
        <f ca="1">IFERROR(__xludf.DUMMYFUNCTION("""COMPUTED_VALUE"""),42581)</f>
        <v>42581</v>
      </c>
      <c r="H54" s="36" t="str">
        <f ca="1">IFERROR(__xludf.DUMMYFUNCTION("""COMPUTED_VALUE"""),"Cofiñal (Puebla De Lillo)")</f>
        <v>Cofiñal (Puebla De Lillo)</v>
      </c>
      <c r="I54" s="36" t="str">
        <f ca="1">IFERROR(__xludf.DUMMYFUNCTION("""COMPUTED_VALUE"""),"PRADO DE LAS LERAS")</f>
        <v>PRADO DE LAS LERAS</v>
      </c>
      <c r="J54" s="36" t="str">
        <f ca="1">IFERROR(__xludf.DUMMYFUNCTION("""COMPUTED_VALUE"""),"")</f>
        <v/>
      </c>
      <c r="K54" s="36" t="str">
        <f ca="1">IFERROR(__xludf.DUMMYFUNCTION("""COMPUTED_VALUE"""),"43°2'25.22""N, 5°16'32.00""W")</f>
        <v>43°2'25.22"N, 5°16'32.00"W</v>
      </c>
      <c r="L54" s="36" t="str">
        <f ca="1">IFERROR(__xludf.DUMMYFUNCTION("""COMPUTED_VALUE"""),"CELESTINO DIEZ ALONSO")</f>
        <v>CELESTINO DIEZ ALONSO</v>
      </c>
      <c r="M54" s="36">
        <f ca="1">IFERROR(__xludf.DUMMYFUNCTION("""COMPUTED_VALUE"""),605670665)</f>
        <v>605670665</v>
      </c>
      <c r="N54" s="36" t="str">
        <f ca="1">IFERROR(__xludf.DUMMYFUNCTION("""COMPUTED_VALUE"""),"")</f>
        <v/>
      </c>
      <c r="O54" s="36" t="str">
        <f ca="1">IFERROR(__xludf.DUMMYFUNCTION("""COMPUTED_VALUE"""),"500€ EN TOTAL")</f>
        <v>500€ EN TOTAL</v>
      </c>
      <c r="P54" s="36" t="str">
        <f ca="1">IFERROR(__xludf.DUMMYFUNCTION("""COMPUTED_VALUE"""),"2 ha")</f>
        <v>2 ha</v>
      </c>
      <c r="Q54" s="36" t="str">
        <f ca="1">IFERROR(__xludf.DUMMYFUNCTION("""COMPUTED_VALUE"""),"BUENO (Se puede acceder con cualquier coche)")</f>
        <v>BUENO (Se puede acceder con cualquier coche)</v>
      </c>
      <c r="R54" s="36" t="str">
        <f ca="1">IFERROR(__xludf.DUMMYFUNCTION("""COMPUTED_VALUE"""),"Sí")</f>
        <v>Sí</v>
      </c>
      <c r="S54" s="36" t="str">
        <f ca="1">IFERROR(__xludf.DUMMYFUNCTION("""COMPUTED_VALUE"""),"Atraviesa la finca el río Porma")</f>
        <v>Atraviesa la finca el río Porma</v>
      </c>
      <c r="T54" s="36" t="str">
        <f ca="1">IFERROR(__xludf.DUMMYFUNCTION("""COMPUTED_VALUE"""),"El río cubre por las rodillas")</f>
        <v>El río cubre por las rodillas</v>
      </c>
      <c r="U54" s="36" t="str">
        <f ca="1">IFERROR(__xludf.DUMMYFUNCTION("""COMPUTED_VALUE"""),"NO")</f>
        <v>NO</v>
      </c>
      <c r="V54" s="36" t="str">
        <f ca="1">IFERROR(__xludf.DUMMYFUNCTION("""COMPUTED_VALUE"""),"SI")</f>
        <v>SI</v>
      </c>
      <c r="W54" s="36" t="str">
        <f ca="1">IFERROR(__xludf.DUMMYFUNCTION("""COMPUTED_VALUE"""),"Buen acceso, con sombras, a 1 km de Cofiñal. Terreno llano y agradable.")</f>
        <v>Buen acceso, con sombras, a 1 km de Cofiñal. Terreno llano y agradable.</v>
      </c>
      <c r="X54" s="36"/>
      <c r="Y54" s="36"/>
      <c r="Z54" s="36"/>
    </row>
    <row r="55" spans="1:26" ht="12.75" hidden="1">
      <c r="A55" s="36" t="str">
        <f ca="1">IFERROR(__xludf.DUMMYFUNCTION("""COMPUTED_VALUE"""),"Castilla y León")</f>
        <v>Castilla y León</v>
      </c>
      <c r="B55" s="36" t="str">
        <f ca="1">IFERROR(__xludf.DUMMYFUNCTION("""COMPUTED_VALUE"""),"Ávila")</f>
        <v>Ávila</v>
      </c>
      <c r="C55" s="36">
        <f ca="1">IFERROR(__xludf.DUMMYFUNCTION("""COMPUTED_VALUE"""),2017)</f>
        <v>2017</v>
      </c>
      <c r="D55" s="36" t="str">
        <f ca="1">IFERROR(__xludf.DUMMYFUNCTION("""COMPUTED_VALUE"""),"Claret")</f>
        <v>Claret</v>
      </c>
      <c r="E55" s="36" t="str">
        <f ca="1">IFERROR(__xludf.DUMMYFUNCTION("""COMPUTED_VALUE"""),"gs.claret@scoutsdemadrid.org ")</f>
        <v xml:space="preserve">gs.claret@scoutsdemadrid.org </v>
      </c>
      <c r="F55" s="48">
        <f ca="1">IFERROR(__xludf.DUMMYFUNCTION("""COMPUTED_VALUE"""),42931)</f>
        <v>42931</v>
      </c>
      <c r="G55" s="48">
        <f ca="1">IFERROR(__xludf.DUMMYFUNCTION("""COMPUTED_VALUE"""),42916)</f>
        <v>42916</v>
      </c>
      <c r="H55" s="36" t="str">
        <f ca="1">IFERROR(__xludf.DUMMYFUNCTION("""COMPUTED_VALUE"""),"Mijares")</f>
        <v>Mijares</v>
      </c>
      <c r="I55" s="36" t="str">
        <f ca="1">IFERROR(__xludf.DUMMYFUNCTION("""COMPUTED_VALUE"""),"La Ribera")</f>
        <v>La Ribera</v>
      </c>
      <c r="J55" s="36" t="str">
        <f ca="1">IFERROR(__xludf.DUMMYFUNCTION("""COMPUTED_VALUE"""),"Parcela catastral: 30 . Polígono catastral:13")</f>
        <v>Parcela catastral: 30 . Polígono catastral:13</v>
      </c>
      <c r="K55" s="36" t="str">
        <f ca="1">IFERROR(__xludf.DUMMYFUNCTION("""COMPUTED_VALUE"""),"Latitud: 40º 14´  21.99""  Longitud: -4º 50` 31.92""")</f>
        <v>Latitud: 40º 14´  21.99"  Longitud: -4º 50` 31.92"</v>
      </c>
      <c r="L55" s="36" t="str">
        <f ca="1">IFERROR(__xludf.DUMMYFUNCTION("""COMPUTED_VALUE"""),"Jesús Fernández Castro ")</f>
        <v xml:space="preserve">Jesús Fernández Castro </v>
      </c>
      <c r="M55" s="36">
        <f ca="1">IFERROR(__xludf.DUMMYFUNCTION("""COMPUTED_VALUE"""),647711306)</f>
        <v>647711306</v>
      </c>
      <c r="N55" s="36" t="str">
        <f ca="1">IFERROR(__xludf.DUMMYFUNCTION("""COMPUTED_VALUE"""),"")</f>
        <v/>
      </c>
      <c r="O55" s="36" t="str">
        <f ca="1">IFERROR(__xludf.DUMMYFUNCTION("""COMPUTED_VALUE"""),"800 + IVA")</f>
        <v>800 + IVA</v>
      </c>
      <c r="P55" s="36" t="str">
        <f ca="1">IFERROR(__xludf.DUMMYFUNCTION("""COMPUTED_VALUE"""),"1,7 ha")</f>
        <v>1,7 ha</v>
      </c>
      <c r="Q55" s="36" t="str">
        <f ca="1">IFERROR(__xludf.DUMMYFUNCTION("""COMPUTED_VALUE"""),"BUENO (Se puede acceder con cualquier coche)")</f>
        <v>BUENO (Se puede acceder con cualquier coche)</v>
      </c>
      <c r="R55" s="36" t="str">
        <f ca="1">IFERROR(__xludf.DUMMYFUNCTION("""COMPUTED_VALUE"""),"Sí")</f>
        <v>Sí</v>
      </c>
      <c r="S55" s="36" t="str">
        <f ca="1">IFERROR(__xludf.DUMMYFUNCTION("""COMPUTED_VALUE"""),"Se encuentra dentro de la finca")</f>
        <v>Se encuentra dentro de la finca</v>
      </c>
      <c r="T55" s="36" t="str">
        <f ca="1">IFERROR(__xludf.DUMMYFUNCTION("""COMPUTED_VALUE"""),"Es un río pequeño, no muy caudaloso situado en un lateral de la finca")</f>
        <v>Es un río pequeño, no muy caudaloso situado en un lateral de la finca</v>
      </c>
      <c r="U55" s="36" t="str">
        <f ca="1">IFERROR(__xludf.DUMMYFUNCTION("""COMPUTED_VALUE"""),"No")</f>
        <v>No</v>
      </c>
      <c r="V55" s="36" t="str">
        <f ca="1">IFERROR(__xludf.DUMMYFUNCTION("""COMPUTED_VALUE"""),"Sí")</f>
        <v>Sí</v>
      </c>
      <c r="W55" s="36" t="str">
        <f ca="1">IFERROR(__xludf.DUMMYFUNCTION("""COMPUTED_VALUE"""),"Terreno muy llano")</f>
        <v>Terreno muy llano</v>
      </c>
      <c r="X55" s="36"/>
      <c r="Y55" s="36"/>
      <c r="Z55" s="36"/>
    </row>
    <row r="56" spans="1:26" ht="12.75" hidden="1">
      <c r="A56" s="36" t="str">
        <f ca="1">IFERROR(__xludf.DUMMYFUNCTION("""COMPUTED_VALUE"""),"Castilla y León")</f>
        <v>Castilla y León</v>
      </c>
      <c r="B56" s="36" t="str">
        <f ca="1">IFERROR(__xludf.DUMMYFUNCTION("""COMPUTED_VALUE"""),"León")</f>
        <v>León</v>
      </c>
      <c r="C56" s="36">
        <f ca="1">IFERROR(__xludf.DUMMYFUNCTION("""COMPUTED_VALUE"""),2018)</f>
        <v>2018</v>
      </c>
      <c r="D56" s="36" t="str">
        <f ca="1">IFERROR(__xludf.DUMMYFUNCTION("""COMPUTED_VALUE"""),"Claret")</f>
        <v>Claret</v>
      </c>
      <c r="E56" s="36" t="str">
        <f ca="1">IFERROR(__xludf.DUMMYFUNCTION("""COMPUTED_VALUE"""),"gs.claret@scoutsdemadrid.org ")</f>
        <v xml:space="preserve">gs.claret@scoutsdemadrid.org </v>
      </c>
      <c r="F56" s="48">
        <f ca="1">IFERROR(__xludf.DUMMYFUNCTION("""COMPUTED_VALUE"""),43296)</f>
        <v>43296</v>
      </c>
      <c r="G56" s="48">
        <f ca="1">IFERROR(__xludf.DUMMYFUNCTION("""COMPUTED_VALUE"""),43311)</f>
        <v>43311</v>
      </c>
      <c r="H56" s="36" t="str">
        <f ca="1">IFERROR(__xludf.DUMMYFUNCTION("""COMPUTED_VALUE"""),"Valdepielago")</f>
        <v>Valdepielago</v>
      </c>
      <c r="I56" s="36" t="str">
        <f ca="1">IFERROR(__xludf.DUMMYFUNCTION("""COMPUTED_VALUE"""),"Valdoreo")</f>
        <v>Valdoreo</v>
      </c>
      <c r="J56" s="36" t="str">
        <f ca="1">IFERROR(__xludf.DUMMYFUNCTION("""COMPUTED_VALUE"""),"Poligono catastral: 4 Parcela catastral: 8")</f>
        <v>Poligono catastral: 4 Parcela catastral: 8</v>
      </c>
      <c r="K56" s="36" t="str">
        <f ca="1">IFERROR(__xludf.DUMMYFUNCTION("""COMPUTED_VALUE"""),"42° 52' 32.992''")</f>
        <v>42° 52' 32.992''</v>
      </c>
      <c r="L56" s="36" t="str">
        <f ca="1">IFERROR(__xludf.DUMMYFUNCTION("""COMPUTED_VALUE"""),"Felisa Juana Álvarez Suaréz")</f>
        <v>Felisa Juana Álvarez Suaréz</v>
      </c>
      <c r="M56" s="36">
        <f ca="1">IFERROR(__xludf.DUMMYFUNCTION("""COMPUTED_VALUE"""),987741310)</f>
        <v>987741310</v>
      </c>
      <c r="N56" s="36" t="str">
        <f ca="1">IFERROR(__xludf.DUMMYFUNCTION("""COMPUTED_VALUE"""),"No tiene")</f>
        <v>No tiene</v>
      </c>
      <c r="O56" s="36" t="str">
        <f ca="1">IFERROR(__xludf.DUMMYFUNCTION("""COMPUTED_VALUE"""),"Precio fijo de la finca= 400€")</f>
        <v>Precio fijo de la finca= 400€</v>
      </c>
      <c r="P56" s="36">
        <f ca="1">IFERROR(__xludf.DUMMYFUNCTION("""COMPUTED_VALUE"""),1)</f>
        <v>1</v>
      </c>
      <c r="Q56" s="36" t="str">
        <f ca="1">IFERROR(__xludf.DUMMYFUNCTION("""COMPUTED_VALUE"""),"BUENO (Se puede acceder con cualquier coche)")</f>
        <v>BUENO (Se puede acceder con cualquier coche)</v>
      </c>
      <c r="R56" s="36" t="str">
        <f ca="1">IFERROR(__xludf.DUMMYFUNCTION("""COMPUTED_VALUE"""),"Sí")</f>
        <v>Sí</v>
      </c>
      <c r="S56" s="36" t="str">
        <f ca="1">IFERROR(__xludf.DUMMYFUNCTION("""COMPUTED_VALUE"""),"En un extremo de la finca")</f>
        <v>En un extremo de la finca</v>
      </c>
      <c r="T56" s="36" t="str">
        <f ca="1">IFERROR(__xludf.DUMMYFUNCTION("""COMPUTED_VALUE"""),"Rio con facil acceso en una zona")</f>
        <v>Rio con facil acceso en una zona</v>
      </c>
      <c r="U56" s="36" t="str">
        <f ca="1">IFERROR(__xludf.DUMMYFUNCTION("""COMPUTED_VALUE"""),"No")</f>
        <v>No</v>
      </c>
      <c r="V56" s="36" t="str">
        <f ca="1">IFERROR(__xludf.DUMMYFUNCTION("""COMPUTED_VALUE"""),"Si")</f>
        <v>Si</v>
      </c>
      <c r="W56" s="36" t="str">
        <f ca="1">IFERROR(__xludf.DUMMYFUNCTION("""COMPUTED_VALUE"""),"Zona amplia, con sombras y río. Buena finca aunque no dispone de instalaciones.")</f>
        <v>Zona amplia, con sombras y río. Buena finca aunque no dispone de instalaciones.</v>
      </c>
      <c r="X56" s="36"/>
      <c r="Y56" s="36"/>
      <c r="Z56" s="36"/>
    </row>
    <row r="57" spans="1:26" ht="12.75" hidden="1">
      <c r="A57" s="36" t="str">
        <f ca="1">IFERROR(__xludf.DUMMYFUNCTION("""COMPUTED_VALUE"""),"Castilla y León")</f>
        <v>Castilla y León</v>
      </c>
      <c r="B57" s="36" t="str">
        <f ca="1">IFERROR(__xludf.DUMMYFUNCTION("""COMPUTED_VALUE"""),"Soria")</f>
        <v>Soria</v>
      </c>
      <c r="C57" s="36">
        <f ca="1">IFERROR(__xludf.DUMMYFUNCTION("""COMPUTED_VALUE"""),2016)</f>
        <v>2016</v>
      </c>
      <c r="D57" s="36" t="str">
        <f ca="1">IFERROR(__xludf.DUMMYFUNCTION("""COMPUTED_VALUE"""),"El Remolino")</f>
        <v>El Remolino</v>
      </c>
      <c r="E57" s="36" t="str">
        <f ca="1">IFERROR(__xludf.DUMMYFUNCTION("""COMPUTED_VALUE"""),"gs.elremolino@scoutsdemadrid.org ")</f>
        <v xml:space="preserve">gs.elremolino@scoutsdemadrid.org </v>
      </c>
      <c r="F57" s="48">
        <f ca="1">IFERROR(__xludf.DUMMYFUNCTION("""COMPUTED_VALUE"""),42573)</f>
        <v>42573</v>
      </c>
      <c r="G57" s="48">
        <f ca="1">IFERROR(__xludf.DUMMYFUNCTION("""COMPUTED_VALUE"""),42577)</f>
        <v>42577</v>
      </c>
      <c r="H57" s="36" t="str">
        <f ca="1">IFERROR(__xludf.DUMMYFUNCTION("""COMPUTED_VALUE"""),"Covaleda")</f>
        <v>Covaleda</v>
      </c>
      <c r="I57" s="36" t="str">
        <f ca="1">IFERROR(__xludf.DUMMYFUNCTION("""COMPUTED_VALUE"""),"Raso de la Nava")</f>
        <v>Raso de la Nava</v>
      </c>
      <c r="J57" s="36" t="str">
        <f ca="1">IFERROR(__xludf.DUMMYFUNCTION("""COMPUTED_VALUE"""),"")</f>
        <v/>
      </c>
      <c r="K57" s="36" t="str">
        <f ca="1">IFERROR(__xludf.DUMMYFUNCTION("""COMPUTED_VALUE"""),"")</f>
        <v/>
      </c>
      <c r="L57" s="36" t="str">
        <f ca="1">IFERROR(__xludf.DUMMYFUNCTION("""COMPUTED_VALUE"""),"Ayuntamiento de Covaleda")</f>
        <v>Ayuntamiento de Covaleda</v>
      </c>
      <c r="M57" s="36" t="str">
        <f ca="1">IFERROR(__xludf.DUMMYFUNCTION("""COMPUTED_VALUE"""),"")</f>
        <v/>
      </c>
      <c r="N57" s="36" t="str">
        <f ca="1">IFERROR(__xludf.DUMMYFUNCTION("""COMPUTED_VALUE"""),"")</f>
        <v/>
      </c>
      <c r="O57" s="36" t="str">
        <f ca="1">IFERROR(__xludf.DUMMYFUNCTION("""COMPUTED_VALUE"""),"")</f>
        <v/>
      </c>
      <c r="P57" s="36" t="str">
        <f ca="1">IFERROR(__xludf.DUMMYFUNCTION("""COMPUTED_VALUE"""),"")</f>
        <v/>
      </c>
      <c r="Q57" s="36" t="str">
        <f ca="1">IFERROR(__xludf.DUMMYFUNCTION("""COMPUTED_VALUE"""),"BUENO (Se puede acceder con cualquier coche)")</f>
        <v>BUENO (Se puede acceder con cualquier coche)</v>
      </c>
      <c r="R57" s="36" t="str">
        <f ca="1">IFERROR(__xludf.DUMMYFUNCTION("""COMPUTED_VALUE"""),"Sí")</f>
        <v>Sí</v>
      </c>
      <c r="S57" s="36" t="str">
        <f ca="1">IFERROR(__xludf.DUMMYFUNCTION("""COMPUTED_VALUE"""),"")</f>
        <v/>
      </c>
      <c r="T57" s="36" t="str">
        <f ca="1">IFERROR(__xludf.DUMMYFUNCTION("""COMPUTED_VALUE"""),"")</f>
        <v/>
      </c>
      <c r="U57" s="36" t="str">
        <f ca="1">IFERROR(__xludf.DUMMYFUNCTION("""COMPUTED_VALUE"""),"")</f>
        <v/>
      </c>
      <c r="V57" s="36" t="str">
        <f ca="1">IFERROR(__xludf.DUMMYFUNCTION("""COMPUTED_VALUE"""),"")</f>
        <v/>
      </c>
      <c r="W57" s="36" t="str">
        <f ca="1">IFERROR(__xludf.DUMMYFUNCTION("""COMPUTED_VALUE"""),"")</f>
        <v/>
      </c>
      <c r="X57" s="36"/>
      <c r="Y57" s="36"/>
      <c r="Z57" s="36"/>
    </row>
    <row r="58" spans="1:26" ht="12.75" hidden="1">
      <c r="A58" s="36" t="str">
        <f ca="1">IFERROR(__xludf.DUMMYFUNCTION("""COMPUTED_VALUE"""),"Castilla y León")</f>
        <v>Castilla y León</v>
      </c>
      <c r="B58" s="36" t="str">
        <f ca="1">IFERROR(__xludf.DUMMYFUNCTION("""COMPUTED_VALUE"""),"Soria")</f>
        <v>Soria</v>
      </c>
      <c r="C58" s="36">
        <f ca="1">IFERROR(__xludf.DUMMYFUNCTION("""COMPUTED_VALUE"""),2016)</f>
        <v>2016</v>
      </c>
      <c r="D58" s="36" t="str">
        <f ca="1">IFERROR(__xludf.DUMMYFUNCTION("""COMPUTED_VALUE"""),"El Remolino")</f>
        <v>El Remolino</v>
      </c>
      <c r="E58" s="36" t="str">
        <f ca="1">IFERROR(__xludf.DUMMYFUNCTION("""COMPUTED_VALUE"""),"gs.elremolino@scoutsdemadrid.org ")</f>
        <v xml:space="preserve">gs.elremolino@scoutsdemadrid.org </v>
      </c>
      <c r="F58" s="48">
        <f ca="1">IFERROR(__xludf.DUMMYFUNCTION("""COMPUTED_VALUE"""),42573)</f>
        <v>42573</v>
      </c>
      <c r="G58" s="48">
        <f ca="1">IFERROR(__xludf.DUMMYFUNCTION("""COMPUTED_VALUE"""),42577)</f>
        <v>42577</v>
      </c>
      <c r="H58" s="36" t="str">
        <f ca="1">IFERROR(__xludf.DUMMYFUNCTION("""COMPUTED_VALUE"""),"Covaleda")</f>
        <v>Covaleda</v>
      </c>
      <c r="I58" s="36" t="str">
        <f ca="1">IFERROR(__xludf.DUMMYFUNCTION("""COMPUTED_VALUE"""),"Raso de la Nava")</f>
        <v>Raso de la Nava</v>
      </c>
      <c r="J58" s="36" t="str">
        <f ca="1">IFERROR(__xludf.DUMMYFUNCTION("""COMPUTED_VALUE"""),"")</f>
        <v/>
      </c>
      <c r="K58" s="36" t="str">
        <f ca="1">IFERROR(__xludf.DUMMYFUNCTION("""COMPUTED_VALUE"""),"")</f>
        <v/>
      </c>
      <c r="L58" s="36" t="str">
        <f ca="1">IFERROR(__xludf.DUMMYFUNCTION("""COMPUTED_VALUE"""),"Ayuntamiento de Covaleda")</f>
        <v>Ayuntamiento de Covaleda</v>
      </c>
      <c r="M58" s="36" t="str">
        <f ca="1">IFERROR(__xludf.DUMMYFUNCTION("""COMPUTED_VALUE"""),"")</f>
        <v/>
      </c>
      <c r="N58" s="36" t="str">
        <f ca="1">IFERROR(__xludf.DUMMYFUNCTION("""COMPUTED_VALUE"""),"")</f>
        <v/>
      </c>
      <c r="O58" s="36" t="str">
        <f ca="1">IFERROR(__xludf.DUMMYFUNCTION("""COMPUTED_VALUE"""),"")</f>
        <v/>
      </c>
      <c r="P58" s="36" t="str">
        <f ca="1">IFERROR(__xludf.DUMMYFUNCTION("""COMPUTED_VALUE"""),"")</f>
        <v/>
      </c>
      <c r="Q58" s="36" t="str">
        <f ca="1">IFERROR(__xludf.DUMMYFUNCTION("""COMPUTED_VALUE"""),"BUENO (Se puede acceder con cualquier coche)")</f>
        <v>BUENO (Se puede acceder con cualquier coche)</v>
      </c>
      <c r="R58" s="36" t="str">
        <f ca="1">IFERROR(__xludf.DUMMYFUNCTION("""COMPUTED_VALUE"""),"Sí")</f>
        <v>Sí</v>
      </c>
      <c r="S58" s="36" t="str">
        <f ca="1">IFERROR(__xludf.DUMMYFUNCTION("""COMPUTED_VALUE"""),"")</f>
        <v/>
      </c>
      <c r="T58" s="36" t="str">
        <f ca="1">IFERROR(__xludf.DUMMYFUNCTION("""COMPUTED_VALUE"""),"")</f>
        <v/>
      </c>
      <c r="U58" s="36" t="str">
        <f ca="1">IFERROR(__xludf.DUMMYFUNCTION("""COMPUTED_VALUE"""),"")</f>
        <v/>
      </c>
      <c r="V58" s="36" t="str">
        <f ca="1">IFERROR(__xludf.DUMMYFUNCTION("""COMPUTED_VALUE"""),"")</f>
        <v/>
      </c>
      <c r="W58" s="36" t="str">
        <f ca="1">IFERROR(__xludf.DUMMYFUNCTION("""COMPUTED_VALUE"""),"")</f>
        <v/>
      </c>
      <c r="X58" s="36"/>
      <c r="Y58" s="36"/>
      <c r="Z58" s="36"/>
    </row>
    <row r="59" spans="1:26" ht="12.75" hidden="1">
      <c r="A59" s="36" t="str">
        <f ca="1">IFERROR(__xludf.DUMMYFUNCTION("""COMPUTED_VALUE"""),"Castilla y León")</f>
        <v>Castilla y León</v>
      </c>
      <c r="B59" s="36" t="str">
        <f ca="1">IFERROR(__xludf.DUMMYFUNCTION("""COMPUTED_VALUE"""),"Ávila")</f>
        <v>Ávila</v>
      </c>
      <c r="C59" s="36">
        <f ca="1">IFERROR(__xludf.DUMMYFUNCTION("""COMPUTED_VALUE"""),2012)</f>
        <v>2012</v>
      </c>
      <c r="D59" s="36" t="str">
        <f ca="1">IFERROR(__xludf.DUMMYFUNCTION("""COMPUTED_VALUE"""),"Encuentro")</f>
        <v>Encuentro</v>
      </c>
      <c r="E59" s="36" t="str">
        <f ca="1">IFERROR(__xludf.DUMMYFUNCTION("""COMPUTED_VALUE"""),"gs.encuentro@scoutsdemadrid.org ")</f>
        <v xml:space="preserve">gs.encuentro@scoutsdemadrid.org </v>
      </c>
      <c r="F59" s="48">
        <f ca="1">IFERROR(__xludf.DUMMYFUNCTION("""COMPUTED_VALUE"""),41121)</f>
        <v>41121</v>
      </c>
      <c r="G59" s="48">
        <f ca="1">IFERROR(__xludf.DUMMYFUNCTION("""COMPUTED_VALUE"""),41133)</f>
        <v>41133</v>
      </c>
      <c r="H59" s="36" t="str">
        <f ca="1">IFERROR(__xludf.DUMMYFUNCTION("""COMPUTED_VALUE"""),"Barco De Ávila")</f>
        <v>Barco De Ávila</v>
      </c>
      <c r="I59" s="36" t="str">
        <f ca="1">IFERROR(__xludf.DUMMYFUNCTION("""COMPUTED_VALUE"""),"Barco de Ávila")</f>
        <v>Barco de Ávila</v>
      </c>
      <c r="J59" s="36" t="str">
        <f ca="1">IFERROR(__xludf.DUMMYFUNCTION("""COMPUTED_VALUE"""),"")</f>
        <v/>
      </c>
      <c r="K59" s="36" t="str">
        <f ca="1">IFERROR(__xludf.DUMMYFUNCTION("""COMPUTED_VALUE"""),"")</f>
        <v/>
      </c>
      <c r="L59" s="36" t="str">
        <f ca="1">IFERROR(__xludf.DUMMYFUNCTION("""COMPUTED_VALUE"""),"")</f>
        <v/>
      </c>
      <c r="M59" s="36" t="str">
        <f ca="1">IFERROR(__xludf.DUMMYFUNCTION("""COMPUTED_VALUE"""),"")</f>
        <v/>
      </c>
      <c r="N59" s="36" t="str">
        <f ca="1">IFERROR(__xludf.DUMMYFUNCTION("""COMPUTED_VALUE"""),"")</f>
        <v/>
      </c>
      <c r="O59" s="36" t="str">
        <f ca="1">IFERROR(__xludf.DUMMYFUNCTION("""COMPUTED_VALUE"""),"")</f>
        <v/>
      </c>
      <c r="P59" s="36" t="str">
        <f ca="1">IFERROR(__xludf.DUMMYFUNCTION("""COMPUTED_VALUE"""),"")</f>
        <v/>
      </c>
      <c r="Q59" s="36" t="str">
        <f ca="1">IFERROR(__xludf.DUMMYFUNCTION("""COMPUTED_VALUE"""),"")</f>
        <v/>
      </c>
      <c r="R59" s="36" t="str">
        <f ca="1">IFERROR(__xludf.DUMMYFUNCTION("""COMPUTED_VALUE"""),"")</f>
        <v/>
      </c>
      <c r="S59" s="36" t="str">
        <f ca="1">IFERROR(__xludf.DUMMYFUNCTION("""COMPUTED_VALUE"""),"")</f>
        <v/>
      </c>
      <c r="T59" s="36" t="str">
        <f ca="1">IFERROR(__xludf.DUMMYFUNCTION("""COMPUTED_VALUE"""),"")</f>
        <v/>
      </c>
      <c r="U59" s="36" t="str">
        <f ca="1">IFERROR(__xludf.DUMMYFUNCTION("""COMPUTED_VALUE"""),"")</f>
        <v/>
      </c>
      <c r="V59" s="36" t="str">
        <f ca="1">IFERROR(__xludf.DUMMYFUNCTION("""COMPUTED_VALUE"""),"")</f>
        <v/>
      </c>
      <c r="W59" s="36" t="str">
        <f ca="1">IFERROR(__xludf.DUMMYFUNCTION("""COMPUTED_VALUE"""),"")</f>
        <v/>
      </c>
      <c r="X59" s="36"/>
      <c r="Y59" s="36"/>
      <c r="Z59" s="36"/>
    </row>
    <row r="60" spans="1:26" ht="12.75" hidden="1">
      <c r="A60" s="36" t="str">
        <f ca="1">IFERROR(__xludf.DUMMYFUNCTION("""COMPUTED_VALUE"""),"Castilla y León")</f>
        <v>Castilla y León</v>
      </c>
      <c r="B60" s="36" t="str">
        <f ca="1">IFERROR(__xludf.DUMMYFUNCTION("""COMPUTED_VALUE"""),"Burgos")</f>
        <v>Burgos</v>
      </c>
      <c r="C60" s="36">
        <f ca="1">IFERROR(__xludf.DUMMYFUNCTION("""COMPUTED_VALUE"""),2015)</f>
        <v>2015</v>
      </c>
      <c r="D60" s="36" t="str">
        <f ca="1">IFERROR(__xludf.DUMMYFUNCTION("""COMPUTED_VALUE"""),"Encuentro")</f>
        <v>Encuentro</v>
      </c>
      <c r="E60" s="36" t="str">
        <f ca="1">IFERROR(__xludf.DUMMYFUNCTION("""COMPUTED_VALUE"""),"gs.encuentro@scoutsdemadrid.org ")</f>
        <v xml:space="preserve">gs.encuentro@scoutsdemadrid.org </v>
      </c>
      <c r="F60" s="48">
        <f ca="1">IFERROR(__xludf.DUMMYFUNCTION("""COMPUTED_VALUE"""),42219)</f>
        <v>42219</v>
      </c>
      <c r="G60" s="48">
        <f ca="1">IFERROR(__xludf.DUMMYFUNCTION("""COMPUTED_VALUE"""),42232)</f>
        <v>42232</v>
      </c>
      <c r="H60" s="36" t="str">
        <f ca="1">IFERROR(__xludf.DUMMYFUNCTION("""COMPUTED_VALUE"""),"Regumiel De La Sierra")</f>
        <v>Regumiel De La Sierra</v>
      </c>
      <c r="I60" s="36" t="str">
        <f ca="1">IFERROR(__xludf.DUMMYFUNCTION("""COMPUTED_VALUE"""),"Comunero de Revenga")</f>
        <v>Comunero de Revenga</v>
      </c>
      <c r="J60" s="36" t="str">
        <f ca="1">IFERROR(__xludf.DUMMYFUNCTION("""COMPUTED_VALUE"""),"")</f>
        <v/>
      </c>
      <c r="K60" s="36" t="str">
        <f ca="1">IFERROR(__xludf.DUMMYFUNCTION("""COMPUTED_VALUE"""),"41.9573280,-3.0136980")</f>
        <v>41.9573280,-3.0136980</v>
      </c>
      <c r="L60" s="36" t="str">
        <f ca="1">IFERROR(__xludf.DUMMYFUNCTION("""COMPUTED_VALUE"""),"")</f>
        <v/>
      </c>
      <c r="M60" s="36" t="str">
        <f ca="1">IFERROR(__xludf.DUMMYFUNCTION("""COMPUTED_VALUE"""),"")</f>
        <v/>
      </c>
      <c r="N60" s="36" t="str">
        <f ca="1">IFERROR(__xludf.DUMMYFUNCTION("""COMPUTED_VALUE"""),"")</f>
        <v/>
      </c>
      <c r="O60" s="36" t="str">
        <f ca="1">IFERROR(__xludf.DUMMYFUNCTION("""COMPUTED_VALUE"""),"")</f>
        <v/>
      </c>
      <c r="P60" s="36" t="str">
        <f ca="1">IFERROR(__xludf.DUMMYFUNCTION("""COMPUTED_VALUE"""),"")</f>
        <v/>
      </c>
      <c r="Q60" s="36" t="str">
        <f ca="1">IFERROR(__xludf.DUMMYFUNCTION("""COMPUTED_VALUE"""),"")</f>
        <v/>
      </c>
      <c r="R60" s="36" t="str">
        <f ca="1">IFERROR(__xludf.DUMMYFUNCTION("""COMPUTED_VALUE"""),"")</f>
        <v/>
      </c>
      <c r="S60" s="36" t="str">
        <f ca="1">IFERROR(__xludf.DUMMYFUNCTION("""COMPUTED_VALUE"""),"")</f>
        <v/>
      </c>
      <c r="T60" s="36" t="str">
        <f ca="1">IFERROR(__xludf.DUMMYFUNCTION("""COMPUTED_VALUE"""),"")</f>
        <v/>
      </c>
      <c r="U60" s="36" t="str">
        <f ca="1">IFERROR(__xludf.DUMMYFUNCTION("""COMPUTED_VALUE"""),"")</f>
        <v/>
      </c>
      <c r="V60" s="36" t="str">
        <f ca="1">IFERROR(__xludf.DUMMYFUNCTION("""COMPUTED_VALUE"""),"")</f>
        <v/>
      </c>
      <c r="W60" s="36" t="str">
        <f ca="1">IFERROR(__xludf.DUMMYFUNCTION("""COMPUTED_VALUE"""),"")</f>
        <v/>
      </c>
      <c r="X60" s="36"/>
      <c r="Y60" s="36"/>
      <c r="Z60" s="36"/>
    </row>
    <row r="61" spans="1:26" ht="12.75" hidden="1">
      <c r="A61" s="36" t="str">
        <f ca="1">IFERROR(__xludf.DUMMYFUNCTION("""COMPUTED_VALUE"""),"Castilla y León")</f>
        <v>Castilla y León</v>
      </c>
      <c r="B61" s="36" t="str">
        <f ca="1">IFERROR(__xludf.DUMMYFUNCTION("""COMPUTED_VALUE"""),"Ávila")</f>
        <v>Ávila</v>
      </c>
      <c r="C61" s="36">
        <f ca="1">IFERROR(__xludf.DUMMYFUNCTION("""COMPUTED_VALUE"""),2019)</f>
        <v>2019</v>
      </c>
      <c r="D61" s="36" t="str">
        <f ca="1">IFERROR(__xludf.DUMMYFUNCTION("""COMPUTED_VALUE"""),"Encuentro")</f>
        <v>Encuentro</v>
      </c>
      <c r="E61" s="36" t="str">
        <f ca="1">IFERROR(__xludf.DUMMYFUNCTION("""COMPUTED_VALUE"""),"gs.encuentro@scoutsdemadrid.org ")</f>
        <v xml:space="preserve">gs.encuentro@scoutsdemadrid.org </v>
      </c>
      <c r="F61" s="36">
        <f ca="1">IFERROR(__xludf.DUMMYFUNCTION("""COMPUTED_VALUE"""),43679)</f>
        <v>43679</v>
      </c>
      <c r="G61" s="36">
        <f ca="1">IFERROR(__xludf.DUMMYFUNCTION("""COMPUTED_VALUE"""),43688)</f>
        <v>43688</v>
      </c>
      <c r="H61" s="36" t="str">
        <f ca="1">IFERROR(__xludf.DUMMYFUNCTION("""COMPUTED_VALUE"""),"Guisando")</f>
        <v>Guisando</v>
      </c>
      <c r="I61" s="36" t="str">
        <f ca="1">IFERROR(__xludf.DUMMYFUNCTION("""COMPUTED_VALUE"""),"Campamento Luis Manuel López Martínez")</f>
        <v>Campamento Luis Manuel López Martínez</v>
      </c>
      <c r="J61" s="36" t="str">
        <f ca="1">IFERROR(__xludf.DUMMYFUNCTION("""COMPUTED_VALUE"""),"-")</f>
        <v>-</v>
      </c>
      <c r="K61" s="36" t="str">
        <f ca="1">IFERROR(__xludf.DUMMYFUNCTION("""COMPUTED_VALUE"""),"40º13'50,002""N 5º9'33,998""W")</f>
        <v>40º13'50,002"N 5º9'33,998"W</v>
      </c>
      <c r="L61" s="36" t="str">
        <f ca="1">IFERROR(__xludf.DUMMYFUNCTION("""COMPUTED_VALUE"""),"Ayto. de Guisando")</f>
        <v>Ayto. de Guisando</v>
      </c>
      <c r="M61" s="36" t="str">
        <f ca="1">IFERROR(__xludf.DUMMYFUNCTION("""COMPUTED_VALUE"""),"920 37 40 01")</f>
        <v>920 37 40 01</v>
      </c>
      <c r="N61" s="36" t="str">
        <f ca="1">IFERROR(__xludf.DUMMYFUNCTION("""COMPUTED_VALUE"""),"-")</f>
        <v>-</v>
      </c>
      <c r="O61" s="36" t="str">
        <f ca="1">IFERROR(__xludf.DUMMYFUNCTION("""COMPUTED_VALUE"""),"Precio por tiempo estancia")</f>
        <v>Precio por tiempo estancia</v>
      </c>
      <c r="P61" s="36" t="str">
        <f ca="1">IFERROR(__xludf.DUMMYFUNCTION("""COMPUTED_VALUE"""),"Pendiente (suficiente para 80 personas)")</f>
        <v>Pendiente (suficiente para 80 personas)</v>
      </c>
      <c r="Q61" s="36" t="str">
        <f ca="1">IFERROR(__xludf.DUMMYFUNCTION("""COMPUTED_VALUE"""),"BUENO (Se puede acceder con cualquier coche)")</f>
        <v>BUENO (Se puede acceder con cualquier coche)</v>
      </c>
      <c r="R61" s="36" t="str">
        <f ca="1">IFERROR(__xludf.DUMMYFUNCTION("""COMPUTED_VALUE"""),"Sí")</f>
        <v>Sí</v>
      </c>
      <c r="S61" s="36" t="str">
        <f ca="1">IFERROR(__xludf.DUMMYFUNCTION("""COMPUTED_VALUE"""),"1 metro (es salir una valla)")</f>
        <v>1 metro (es salir una valla)</v>
      </c>
      <c r="T61" s="36" t="str">
        <f ca="1">IFERROR(__xludf.DUMMYFUNCTION("""COMPUTED_VALUE"""),"Río/charca integrado en la zona de campa con instalación de tablones para hacer un pequeña poza")</f>
        <v>Río/charca integrado en la zona de campa con instalación de tablones para hacer un pequeña poza</v>
      </c>
      <c r="U61" s="36" t="str">
        <f ca="1">IFERROR(__xludf.DUMMYFUNCTION("""COMPUTED_VALUE"""),"Cocia, comedor,  baños y duchas, almacén")</f>
        <v>Cocia, comedor,  baños y duchas, almacén</v>
      </c>
      <c r="V61" s="36" t="str">
        <f ca="1">IFERROR(__xludf.DUMMYFUNCTION("""COMPUTED_VALUE"""),"No")</f>
        <v>No</v>
      </c>
      <c r="W61" s="36" t="str">
        <f ca="1">IFERROR(__xludf.DUMMYFUNCTION("""COMPUTED_VALUE"""),"Es un sitio muy bien ubicado para subir a la sierra de Gredos. Tiene 6 cabañas grandes tipo tipi de madera para unas 10-15 personas.")</f>
        <v>Es un sitio muy bien ubicado para subir a la sierra de Gredos. Tiene 6 cabañas grandes tipo tipi de madera para unas 10-15 personas.</v>
      </c>
      <c r="X61" s="36"/>
      <c r="Y61" s="36"/>
      <c r="Z61" s="36"/>
    </row>
    <row r="62" spans="1:26" ht="12.75" hidden="1">
      <c r="A62" s="36" t="str">
        <f ca="1">IFERROR(__xludf.DUMMYFUNCTION("""COMPUTED_VALUE"""),"Castilla y León")</f>
        <v>Castilla y León</v>
      </c>
      <c r="B62" s="36" t="str">
        <f ca="1">IFERROR(__xludf.DUMMYFUNCTION("""COMPUTED_VALUE"""),"Ávila")</f>
        <v>Ávila</v>
      </c>
      <c r="C62" s="36">
        <f ca="1">IFERROR(__xludf.DUMMYFUNCTION("""COMPUTED_VALUE"""),2012)</f>
        <v>2012</v>
      </c>
      <c r="D62" s="36" t="str">
        <f ca="1">IFERROR(__xludf.DUMMYFUNCTION("""COMPUTED_VALUE"""),"Fátima")</f>
        <v>Fátima</v>
      </c>
      <c r="E62" s="36" t="str">
        <f ca="1">IFERROR(__xludf.DUMMYFUNCTION("""COMPUTED_VALUE"""),"gs.fatima@scoutsdemadrid.org ")</f>
        <v xml:space="preserve">gs.fatima@scoutsdemadrid.org </v>
      </c>
      <c r="F62" s="36" t="str">
        <f ca="1">IFERROR(__xludf.DUMMYFUNCTION("""COMPUTED_VALUE"""),"")</f>
        <v/>
      </c>
      <c r="G62" s="36" t="str">
        <f ca="1">IFERROR(__xludf.DUMMYFUNCTION("""COMPUTED_VALUE"""),"")</f>
        <v/>
      </c>
      <c r="H62" s="36" t="str">
        <f ca="1">IFERROR(__xludf.DUMMYFUNCTION("""COMPUTED_VALUE"""),"Gavilanes")</f>
        <v>Gavilanes</v>
      </c>
      <c r="I62" s="36" t="str">
        <f ca="1">IFERROR(__xludf.DUMMYFUNCTION("""COMPUTED_VALUE"""),"Gavilanes")</f>
        <v>Gavilanes</v>
      </c>
      <c r="J62" s="36" t="str">
        <f ca="1">IFERROR(__xludf.DUMMYFUNCTION("""COMPUTED_VALUE"""),"")</f>
        <v/>
      </c>
      <c r="K62" s="36" t="str">
        <f ca="1">IFERROR(__xludf.DUMMYFUNCTION("""COMPUTED_VALUE"""),"")</f>
        <v/>
      </c>
      <c r="L62" s="36" t="str">
        <f ca="1">IFERROR(__xludf.DUMMYFUNCTION("""COMPUTED_VALUE"""),"")</f>
        <v/>
      </c>
      <c r="M62" s="36" t="str">
        <f ca="1">IFERROR(__xludf.DUMMYFUNCTION("""COMPUTED_VALUE"""),"")</f>
        <v/>
      </c>
      <c r="N62" s="36" t="str">
        <f ca="1">IFERROR(__xludf.DUMMYFUNCTION("""COMPUTED_VALUE"""),"")</f>
        <v/>
      </c>
      <c r="O62" s="36" t="str">
        <f ca="1">IFERROR(__xludf.DUMMYFUNCTION("""COMPUTED_VALUE"""),"")</f>
        <v/>
      </c>
      <c r="P62" s="36" t="str">
        <f ca="1">IFERROR(__xludf.DUMMYFUNCTION("""COMPUTED_VALUE"""),"")</f>
        <v/>
      </c>
      <c r="Q62" s="36" t="str">
        <f ca="1">IFERROR(__xludf.DUMMYFUNCTION("""COMPUTED_VALUE"""),"")</f>
        <v/>
      </c>
      <c r="R62" s="36" t="str">
        <f ca="1">IFERROR(__xludf.DUMMYFUNCTION("""COMPUTED_VALUE"""),"")</f>
        <v/>
      </c>
      <c r="S62" s="36" t="str">
        <f ca="1">IFERROR(__xludf.DUMMYFUNCTION("""COMPUTED_VALUE"""),"")</f>
        <v/>
      </c>
      <c r="T62" s="36" t="str">
        <f ca="1">IFERROR(__xludf.DUMMYFUNCTION("""COMPUTED_VALUE"""),"")</f>
        <v/>
      </c>
      <c r="U62" s="36" t="str">
        <f ca="1">IFERROR(__xludf.DUMMYFUNCTION("""COMPUTED_VALUE"""),"")</f>
        <v/>
      </c>
      <c r="V62" s="36" t="str">
        <f ca="1">IFERROR(__xludf.DUMMYFUNCTION("""COMPUTED_VALUE"""),"")</f>
        <v/>
      </c>
      <c r="W62" s="36" t="str">
        <f ca="1">IFERROR(__xludf.DUMMYFUNCTION("""COMPUTED_VALUE"""),"")</f>
        <v/>
      </c>
      <c r="X62" s="36"/>
      <c r="Y62" s="36"/>
      <c r="Z62" s="36"/>
    </row>
    <row r="63" spans="1:26" ht="12.75" hidden="1">
      <c r="A63" s="36" t="str">
        <f ca="1">IFERROR(__xludf.DUMMYFUNCTION("""COMPUTED_VALUE"""),"Castilla y León")</f>
        <v>Castilla y León</v>
      </c>
      <c r="B63" s="36" t="str">
        <f ca="1">IFERROR(__xludf.DUMMYFUNCTION("""COMPUTED_VALUE"""),"Ávila")</f>
        <v>Ávila</v>
      </c>
      <c r="C63" s="36">
        <f ca="1">IFERROR(__xludf.DUMMYFUNCTION("""COMPUTED_VALUE"""),2016)</f>
        <v>2016</v>
      </c>
      <c r="D63" s="36" t="str">
        <f ca="1">IFERROR(__xludf.DUMMYFUNCTION("""COMPUTED_VALUE"""),"Fátima")</f>
        <v>Fátima</v>
      </c>
      <c r="E63" s="36" t="str">
        <f ca="1">IFERROR(__xludf.DUMMYFUNCTION("""COMPUTED_VALUE"""),"gs.fatima@scoutsdemadrid.org ")</f>
        <v xml:space="preserve">gs.fatima@scoutsdemadrid.org </v>
      </c>
      <c r="F63" s="48">
        <f ca="1">IFERROR(__xludf.DUMMYFUNCTION("""COMPUTED_VALUE"""),41109)</f>
        <v>41109</v>
      </c>
      <c r="G63" s="48">
        <f ca="1">IFERROR(__xludf.DUMMYFUNCTION("""COMPUTED_VALUE"""),41121)</f>
        <v>41121</v>
      </c>
      <c r="H63" s="36" t="str">
        <f ca="1">IFERROR(__xludf.DUMMYFUNCTION("""COMPUTED_VALUE"""),"Gavilanes")</f>
        <v>Gavilanes</v>
      </c>
      <c r="I63" s="36" t="str">
        <f ca="1">IFERROR(__xludf.DUMMYFUNCTION("""COMPUTED_VALUE"""),"EL REGAJAL")</f>
        <v>EL REGAJAL</v>
      </c>
      <c r="J63" s="36" t="str">
        <f ca="1">IFERROR(__xludf.DUMMYFUNCTION("""COMPUTED_VALUE"""),"")</f>
        <v/>
      </c>
      <c r="K63" s="49" t="str">
        <f ca="1">IFERROR(__xludf.DUMMYFUNCTION("""COMPUTED_VALUE"""),"https://maps.google.es/maps?hl=es")</f>
        <v>https://maps.google.es/maps?hl=es</v>
      </c>
      <c r="L63" s="36" t="str">
        <f ca="1">IFERROR(__xludf.DUMMYFUNCTION("""COMPUTED_VALUE"""),"")</f>
        <v/>
      </c>
      <c r="M63" s="36" t="str">
        <f ca="1">IFERROR(__xludf.DUMMYFUNCTION("""COMPUTED_VALUE"""),"")</f>
        <v/>
      </c>
      <c r="N63" s="36" t="str">
        <f ca="1">IFERROR(__xludf.DUMMYFUNCTION("""COMPUTED_VALUE"""),"")</f>
        <v/>
      </c>
      <c r="O63" s="36" t="str">
        <f ca="1">IFERROR(__xludf.DUMMYFUNCTION("""COMPUTED_VALUE"""),"")</f>
        <v/>
      </c>
      <c r="P63" s="36" t="str">
        <f ca="1">IFERROR(__xludf.DUMMYFUNCTION("""COMPUTED_VALUE"""),"")</f>
        <v/>
      </c>
      <c r="Q63" s="36" t="str">
        <f ca="1">IFERROR(__xludf.DUMMYFUNCTION("""COMPUTED_VALUE"""),"")</f>
        <v/>
      </c>
      <c r="R63" s="36" t="str">
        <f ca="1">IFERROR(__xludf.DUMMYFUNCTION("""COMPUTED_VALUE"""),"")</f>
        <v/>
      </c>
      <c r="S63" s="36" t="str">
        <f ca="1">IFERROR(__xludf.DUMMYFUNCTION("""COMPUTED_VALUE"""),"")</f>
        <v/>
      </c>
      <c r="T63" s="36" t="str">
        <f ca="1">IFERROR(__xludf.DUMMYFUNCTION("""COMPUTED_VALUE"""),"")</f>
        <v/>
      </c>
      <c r="U63" s="36" t="str">
        <f ca="1">IFERROR(__xludf.DUMMYFUNCTION("""COMPUTED_VALUE"""),"")</f>
        <v/>
      </c>
      <c r="V63" s="36" t="str">
        <f ca="1">IFERROR(__xludf.DUMMYFUNCTION("""COMPUTED_VALUE"""),"")</f>
        <v/>
      </c>
      <c r="W63" s="36" t="str">
        <f ca="1">IFERROR(__xludf.DUMMYFUNCTION("""COMPUTED_VALUE"""),"")</f>
        <v/>
      </c>
      <c r="X63" s="36"/>
      <c r="Y63" s="36"/>
      <c r="Z63" s="36"/>
    </row>
    <row r="64" spans="1:26" ht="12.75" hidden="1">
      <c r="A64" s="36" t="str">
        <f ca="1">IFERROR(__xludf.DUMMYFUNCTION("""COMPUTED_VALUE"""),"Castilla y León")</f>
        <v>Castilla y León</v>
      </c>
      <c r="B64" s="36" t="str">
        <f ca="1">IFERROR(__xludf.DUMMYFUNCTION("""COMPUTED_VALUE"""),"Ávila")</f>
        <v>Ávila</v>
      </c>
      <c r="C64" s="36">
        <f ca="1">IFERROR(__xludf.DUMMYFUNCTION("""COMPUTED_VALUE"""),2016)</f>
        <v>2016</v>
      </c>
      <c r="D64" s="36" t="str">
        <f ca="1">IFERROR(__xludf.DUMMYFUNCTION("""COMPUTED_VALUE"""),"Fátima")</f>
        <v>Fátima</v>
      </c>
      <c r="E64" s="36" t="str">
        <f ca="1">IFERROR(__xludf.DUMMYFUNCTION("""COMPUTED_VALUE"""),"gs.fatima@scoutsdemadrid.org ")</f>
        <v xml:space="preserve">gs.fatima@scoutsdemadrid.org </v>
      </c>
      <c r="F64" s="48">
        <f ca="1">IFERROR(__xludf.DUMMYFUNCTION("""COMPUTED_VALUE"""),42554)</f>
        <v>42554</v>
      </c>
      <c r="G64" s="48">
        <f ca="1">IFERROR(__xludf.DUMMYFUNCTION("""COMPUTED_VALUE"""),42566)</f>
        <v>42566</v>
      </c>
      <c r="H64" s="36" t="str">
        <f ca="1">IFERROR(__xludf.DUMMYFUNCTION("""COMPUTED_VALUE"""),"Navalmoral De La Sierra")</f>
        <v>Navalmoral De La Sierra</v>
      </c>
      <c r="I64" s="36" t="str">
        <f ca="1">IFERROR(__xludf.DUMMYFUNCTION("""COMPUTED_VALUE"""),"La chaparrera")</f>
        <v>La chaparrera</v>
      </c>
      <c r="J64" s="36" t="str">
        <f ca="1">IFERROR(__xludf.DUMMYFUNCTION("""COMPUTED_VALUE"""),"polígono 10 parcela 43")</f>
        <v>polígono 10 parcela 43</v>
      </c>
      <c r="K64" s="36" t="str">
        <f ca="1">IFERROR(__xludf.DUMMYFUNCTION("""COMPUTED_VALUE"""),"40º26'41.17'' N - 4º44'45,82'' W")</f>
        <v>40º26'41.17'' N - 4º44'45,82'' W</v>
      </c>
      <c r="L64" s="36" t="str">
        <f ca="1">IFERROR(__xludf.DUMMYFUNCTION("""COMPUTED_VALUE"""),"Manuela García García")</f>
        <v>Manuela García García</v>
      </c>
      <c r="M64" s="36">
        <f ca="1">IFERROR(__xludf.DUMMYFUNCTION("""COMPUTED_VALUE"""),638233456)</f>
        <v>638233456</v>
      </c>
      <c r="N64" s="36" t="str">
        <f ca="1">IFERROR(__xludf.DUMMYFUNCTION("""COMPUTED_VALUE"""),"carlos_g.r@hotmail.com")</f>
        <v>carlos_g.r@hotmail.com</v>
      </c>
      <c r="O64" s="36" t="str">
        <f ca="1">IFERROR(__xludf.DUMMYFUNCTION("""COMPUTED_VALUE"""),"700 quincena")</f>
        <v>700 quincena</v>
      </c>
      <c r="P64" s="36" t="str">
        <f ca="1">IFERROR(__xludf.DUMMYFUNCTION("""COMPUTED_VALUE"""),"3ha")</f>
        <v>3ha</v>
      </c>
      <c r="Q64" s="36" t="str">
        <f ca="1">IFERROR(__xludf.DUMMYFUNCTION("""COMPUTED_VALUE"""),"BUENO (Se puede acceder con cualquier coche)")</f>
        <v>BUENO (Se puede acceder con cualquier coche)</v>
      </c>
      <c r="R64" s="36" t="str">
        <f ca="1">IFERROR(__xludf.DUMMYFUNCTION("""COMPUTED_VALUE"""),"Sí")</f>
        <v>Sí</v>
      </c>
      <c r="S64" s="36" t="str">
        <f ca="1">IFERROR(__xludf.DUMMYFUNCTION("""COMPUTED_VALUE"""),"2km")</f>
        <v>2km</v>
      </c>
      <c r="T64" s="36" t="str">
        <f ca="1">IFERROR(__xludf.DUMMYFUNCTION("""COMPUTED_VALUE"""),"piscina municipal de Navalmoral")</f>
        <v>piscina municipal de Navalmoral</v>
      </c>
      <c r="U64" s="36" t="str">
        <f ca="1">IFERROR(__xludf.DUMMYFUNCTION("""COMPUTED_VALUE"""),"no. de fortuna")</f>
        <v>no. de fortuna</v>
      </c>
      <c r="V64" s="36" t="str">
        <f ca="1">IFERROR(__xludf.DUMMYFUNCTION("""COMPUTED_VALUE"""),"sí, una empresa nos la acerca a la campa")</f>
        <v>sí, una empresa nos la acerca a la campa</v>
      </c>
      <c r="W64" s="36" t="str">
        <f ca="1">IFERROR(__xludf.DUMMYFUNCTION("""COMPUTED_VALUE"""),"Es una campa bastante grande limitada por muro de piedra, utilizada normalmente por grupos scout, con toma de agua (no potable)")</f>
        <v>Es una campa bastante grande limitada por muro de piedra, utilizada normalmente por grupos scout, con toma de agua (no potable)</v>
      </c>
      <c r="X64" s="36"/>
      <c r="Y64" s="36"/>
      <c r="Z64" s="36"/>
    </row>
    <row r="65" spans="1:26" ht="12.75" hidden="1">
      <c r="A65" s="36" t="str">
        <f ca="1">IFERROR(__xludf.DUMMYFUNCTION("""COMPUTED_VALUE"""),"Castilla y León")</f>
        <v>Castilla y León</v>
      </c>
      <c r="B65" s="36" t="str">
        <f ca="1">IFERROR(__xludf.DUMMYFUNCTION("""COMPUTED_VALUE"""),"Ávila")</f>
        <v>Ávila</v>
      </c>
      <c r="C65" s="36">
        <f ca="1">IFERROR(__xludf.DUMMYFUNCTION("""COMPUTED_VALUE"""),2016)</f>
        <v>2016</v>
      </c>
      <c r="D65" s="36" t="str">
        <f ca="1">IFERROR(__xludf.DUMMYFUNCTION("""COMPUTED_VALUE"""),"Fátima")</f>
        <v>Fátima</v>
      </c>
      <c r="E65" s="36" t="str">
        <f ca="1">IFERROR(__xludf.DUMMYFUNCTION("""COMPUTED_VALUE"""),"gs.fatima@scoutsdemadrid.org ")</f>
        <v xml:space="preserve">gs.fatima@scoutsdemadrid.org </v>
      </c>
      <c r="F65" s="48">
        <f ca="1">IFERROR(__xludf.DUMMYFUNCTION("""COMPUTED_VALUE"""),42554)</f>
        <v>42554</v>
      </c>
      <c r="G65" s="48">
        <f ca="1">IFERROR(__xludf.DUMMYFUNCTION("""COMPUTED_VALUE"""),42566)</f>
        <v>42566</v>
      </c>
      <c r="H65" s="36" t="str">
        <f ca="1">IFERROR(__xludf.DUMMYFUNCTION("""COMPUTED_VALUE"""),"Navalmoral De La Sierra")</f>
        <v>Navalmoral De La Sierra</v>
      </c>
      <c r="I65" s="36" t="str">
        <f ca="1">IFERROR(__xludf.DUMMYFUNCTION("""COMPUTED_VALUE"""),"La chaparrera")</f>
        <v>La chaparrera</v>
      </c>
      <c r="J65" s="36" t="str">
        <f ca="1">IFERROR(__xludf.DUMMYFUNCTION("""COMPUTED_VALUE"""),"polígono 10 parcela 43")</f>
        <v>polígono 10 parcela 43</v>
      </c>
      <c r="K65" s="36" t="str">
        <f ca="1">IFERROR(__xludf.DUMMYFUNCTION("""COMPUTED_VALUE"""),"40º26'41.17'' N - 4º44'45,82'' W")</f>
        <v>40º26'41.17'' N - 4º44'45,82'' W</v>
      </c>
      <c r="L65" s="36" t="str">
        <f ca="1">IFERROR(__xludf.DUMMYFUNCTION("""COMPUTED_VALUE"""),"Manuela García García")</f>
        <v>Manuela García García</v>
      </c>
      <c r="M65" s="36">
        <f ca="1">IFERROR(__xludf.DUMMYFUNCTION("""COMPUTED_VALUE"""),638233456)</f>
        <v>638233456</v>
      </c>
      <c r="N65" s="36" t="str">
        <f ca="1">IFERROR(__xludf.DUMMYFUNCTION("""COMPUTED_VALUE"""),"carlos_g.r@hotmail.com")</f>
        <v>carlos_g.r@hotmail.com</v>
      </c>
      <c r="O65" s="36" t="str">
        <f ca="1">IFERROR(__xludf.DUMMYFUNCTION("""COMPUTED_VALUE"""),"700 quincena")</f>
        <v>700 quincena</v>
      </c>
      <c r="P65" s="36" t="str">
        <f ca="1">IFERROR(__xludf.DUMMYFUNCTION("""COMPUTED_VALUE"""),"3ha")</f>
        <v>3ha</v>
      </c>
      <c r="Q65" s="36" t="str">
        <f ca="1">IFERROR(__xludf.DUMMYFUNCTION("""COMPUTED_VALUE"""),"BUENO (Se puede acceder con cualquier coche)")</f>
        <v>BUENO (Se puede acceder con cualquier coche)</v>
      </c>
      <c r="R65" s="36" t="str">
        <f ca="1">IFERROR(__xludf.DUMMYFUNCTION("""COMPUTED_VALUE"""),"Sí")</f>
        <v>Sí</v>
      </c>
      <c r="S65" s="36" t="str">
        <f ca="1">IFERROR(__xludf.DUMMYFUNCTION("""COMPUTED_VALUE"""),"2km")</f>
        <v>2km</v>
      </c>
      <c r="T65" s="36" t="str">
        <f ca="1">IFERROR(__xludf.DUMMYFUNCTION("""COMPUTED_VALUE"""),"piscina municipal de Navalmoral")</f>
        <v>piscina municipal de Navalmoral</v>
      </c>
      <c r="U65" s="36" t="str">
        <f ca="1">IFERROR(__xludf.DUMMYFUNCTION("""COMPUTED_VALUE"""),"no. de fortuna")</f>
        <v>no. de fortuna</v>
      </c>
      <c r="V65" s="36" t="str">
        <f ca="1">IFERROR(__xludf.DUMMYFUNCTION("""COMPUTED_VALUE"""),"sí, una empresa nos la acerca a la campa")</f>
        <v>sí, una empresa nos la acerca a la campa</v>
      </c>
      <c r="W65" s="36" t="str">
        <f ca="1">IFERROR(__xludf.DUMMYFUNCTION("""COMPUTED_VALUE"""),"Es una campa bastante grande limitada por muro de piedra, utilizada normalmente por grupos scout, con toma de agua (no potable)")</f>
        <v>Es una campa bastante grande limitada por muro de piedra, utilizada normalmente por grupos scout, con toma de agua (no potable)</v>
      </c>
      <c r="X65" s="36"/>
      <c r="Y65" s="36"/>
      <c r="Z65" s="36"/>
    </row>
    <row r="66" spans="1:26" ht="12.75" hidden="1">
      <c r="A66" s="36" t="str">
        <f ca="1">IFERROR(__xludf.DUMMYFUNCTION("""COMPUTED_VALUE"""),"Castilla y León")</f>
        <v>Castilla y León</v>
      </c>
      <c r="B66" s="36" t="str">
        <f ca="1">IFERROR(__xludf.DUMMYFUNCTION("""COMPUTED_VALUE"""),"Ávila")</f>
        <v>Ávila</v>
      </c>
      <c r="C66" s="36">
        <f ca="1">IFERROR(__xludf.DUMMYFUNCTION("""COMPUTED_VALUE"""),2018)</f>
        <v>2018</v>
      </c>
      <c r="D66" s="36" t="str">
        <f ca="1">IFERROR(__xludf.DUMMYFUNCTION("""COMPUTED_VALUE"""),"Fátima")</f>
        <v>Fátima</v>
      </c>
      <c r="E66" s="36" t="str">
        <f ca="1">IFERROR(__xludf.DUMMYFUNCTION("""COMPUTED_VALUE"""),"gs.fatima@scoutsdemadrid.org ")</f>
        <v xml:space="preserve">gs.fatima@scoutsdemadrid.org </v>
      </c>
      <c r="F66" s="48">
        <f ca="1">IFERROR(__xludf.DUMMYFUNCTION("""COMPUTED_VALUE"""),43297)</f>
        <v>43297</v>
      </c>
      <c r="G66" s="48">
        <f ca="1">IFERROR(__xludf.DUMMYFUNCTION("""COMPUTED_VALUE"""),43307)</f>
        <v>43307</v>
      </c>
      <c r="H66" s="36" t="str">
        <f ca="1">IFERROR(__xludf.DUMMYFUNCTION("""COMPUTED_VALUE"""),"Gavilanes")</f>
        <v>Gavilanes</v>
      </c>
      <c r="I66" s="36" t="str">
        <f ca="1">IFERROR(__xludf.DUMMYFUNCTION("""COMPUTED_VALUE"""),"Albergue Garganta de  la Chorrera")</f>
        <v>Albergue Garganta de  la Chorrera</v>
      </c>
      <c r="J66" s="36" t="str">
        <f ca="1">IFERROR(__xludf.DUMMYFUNCTION("""COMPUTED_VALUE"""),"no disponible")</f>
        <v>no disponible</v>
      </c>
      <c r="K66" s="36" t="str">
        <f ca="1">IFERROR(__xludf.DUMMYFUNCTION("""COMPUTED_VALUE"""),"40º16'17,1''N  ,4º 51' 41,1'' W")</f>
        <v>40º16'17,1''N  ,4º 51' 41,1'' W</v>
      </c>
      <c r="L66" s="36" t="str">
        <f ca="1">IFERROR(__xludf.DUMMYFUNCTION("""COMPUTED_VALUE"""),"Manuel José Suarez Montequín")</f>
        <v>Manuel José Suarez Montequín</v>
      </c>
      <c r="M66" s="36">
        <f ca="1">IFERROR(__xludf.DUMMYFUNCTION("""COMPUTED_VALUE"""),609212260)</f>
        <v>609212260</v>
      </c>
      <c r="N66" s="36" t="str">
        <f ca="1">IFERROR(__xludf.DUMMYFUNCTION("""COMPUTED_VALUE"""),"info@ceesocio.es")</f>
        <v>info@ceesocio.es</v>
      </c>
      <c r="O66" s="36" t="str">
        <f ca="1">IFERROR(__xludf.DUMMYFUNCTION("""COMPUTED_VALUE"""),"Precio por persona")</f>
        <v>Precio por persona</v>
      </c>
      <c r="P66" s="36" t="str">
        <f ca="1">IFERROR(__xludf.DUMMYFUNCTION("""COMPUTED_VALUE"""),"5ha")</f>
        <v>5ha</v>
      </c>
      <c r="Q66" s="36" t="str">
        <f ca="1">IFERROR(__xludf.DUMMYFUNCTION("""COMPUTED_VALUE"""),"REGULAR (Se puede acceder con un coche normal con dificultad)")</f>
        <v>REGULAR (Se puede acceder con un coche normal con dificultad)</v>
      </c>
      <c r="R66" s="36" t="str">
        <f ca="1">IFERROR(__xludf.DUMMYFUNCTION("""COMPUTED_VALUE"""),"Sí")</f>
        <v>Sí</v>
      </c>
      <c r="S66" s="36" t="str">
        <f ca="1">IFERROR(__xludf.DUMMYFUNCTION("""COMPUTED_VALUE"""),"200 m")</f>
        <v>200 m</v>
      </c>
      <c r="T66" s="36" t="str">
        <f ca="1">IFERROR(__xludf.DUMMYFUNCTION("""COMPUTED_VALUE"""),"Piscina natural")</f>
        <v>Piscina natural</v>
      </c>
      <c r="U66" s="36" t="str">
        <f ca="1">IFERROR(__xludf.DUMMYFUNCTION("""COMPUTED_VALUE"""),"Albergue")</f>
        <v>Albergue</v>
      </c>
      <c r="V66" s="36" t="str">
        <f ca="1">IFERROR(__xludf.DUMMYFUNCTION("""COMPUTED_VALUE"""),"Si")</f>
        <v>Si</v>
      </c>
      <c r="W66" s="36" t="str">
        <f ca="1">IFERROR(__xludf.DUMMYFUNCTION("""COMPUTED_VALUE"""),"Inst. buenas, dueño poco accesible, cambia las condiciones pagada la señal")</f>
        <v>Inst. buenas, dueño poco accesible, cambia las condiciones pagada la señal</v>
      </c>
      <c r="X66" s="36"/>
      <c r="Y66" s="36"/>
      <c r="Z66" s="36"/>
    </row>
    <row r="67" spans="1:26" ht="12.75" hidden="1">
      <c r="A67" s="36" t="str">
        <f ca="1">IFERROR(__xludf.DUMMYFUNCTION("""COMPUTED_VALUE"""),"Castilla y León")</f>
        <v>Castilla y León</v>
      </c>
      <c r="B67" s="36" t="str">
        <f ca="1">IFERROR(__xludf.DUMMYFUNCTION("""COMPUTED_VALUE"""),"León")</f>
        <v>León</v>
      </c>
      <c r="C67" s="36">
        <f ca="1">IFERROR(__xludf.DUMMYFUNCTION("""COMPUTED_VALUE"""),2015)</f>
        <v>2015</v>
      </c>
      <c r="D67" s="36" t="str">
        <f ca="1">IFERROR(__xludf.DUMMYFUNCTION("""COMPUTED_VALUE"""),"G.S. Samasabe-Calasancio")</f>
        <v>G.S. Samasabe-Calasancio</v>
      </c>
      <c r="E67" s="36" t="str">
        <f ca="1">IFERROR(__xludf.DUMMYFUNCTION("""COMPUTED_VALUE"""),"gs.samasabe@scoutsdemadrid.org ")</f>
        <v xml:space="preserve">gs.samasabe@scoutsdemadrid.org </v>
      </c>
      <c r="F67" s="48">
        <f ca="1">IFERROR(__xludf.DUMMYFUNCTION("""COMPUTED_VALUE"""),42201)</f>
        <v>42201</v>
      </c>
      <c r="G67" s="48">
        <f ca="1">IFERROR(__xludf.DUMMYFUNCTION("""COMPUTED_VALUE"""),42216)</f>
        <v>42216</v>
      </c>
      <c r="H67" s="36" t="str">
        <f ca="1">IFERROR(__xludf.DUMMYFUNCTION("""COMPUTED_VALUE"""),"Acebedo")</f>
        <v>Acebedo</v>
      </c>
      <c r="I67" s="36" t="str">
        <f ca="1">IFERROR(__xludf.DUMMYFUNCTION("""COMPUTED_VALUE"""),"Acebedo")</f>
        <v>Acebedo</v>
      </c>
      <c r="J67" s="36" t="str">
        <f ca="1">IFERROR(__xludf.DUMMYFUNCTION("""COMPUTED_VALUE"""),"")</f>
        <v/>
      </c>
      <c r="K67" s="36" t="str">
        <f ca="1">IFERROR(__xludf.DUMMYFUNCTION("""COMPUTED_VALUE"""),"43º 2' 13.58'' N 5º 7' 39.56'' O")</f>
        <v>43º 2' 13.58'' N 5º 7' 39.56'' O</v>
      </c>
      <c r="L67" s="36" t="str">
        <f ca="1">IFERROR(__xludf.DUMMYFUNCTION("""COMPUTED_VALUE"""),"")</f>
        <v/>
      </c>
      <c r="M67" s="36" t="str">
        <f ca="1">IFERROR(__xludf.DUMMYFUNCTION("""COMPUTED_VALUE"""),"")</f>
        <v/>
      </c>
      <c r="N67" s="36" t="str">
        <f ca="1">IFERROR(__xludf.DUMMYFUNCTION("""COMPUTED_VALUE"""),"")</f>
        <v/>
      </c>
      <c r="O67" s="36" t="str">
        <f ca="1">IFERROR(__xludf.DUMMYFUNCTION("""COMPUTED_VALUE"""),"")</f>
        <v/>
      </c>
      <c r="P67" s="36" t="str">
        <f ca="1">IFERROR(__xludf.DUMMYFUNCTION("""COMPUTED_VALUE"""),"")</f>
        <v/>
      </c>
      <c r="Q67" s="36" t="str">
        <f ca="1">IFERROR(__xludf.DUMMYFUNCTION("""COMPUTED_VALUE"""),"")</f>
        <v/>
      </c>
      <c r="R67" s="36" t="str">
        <f ca="1">IFERROR(__xludf.DUMMYFUNCTION("""COMPUTED_VALUE"""),"")</f>
        <v/>
      </c>
      <c r="S67" s="36" t="str">
        <f ca="1">IFERROR(__xludf.DUMMYFUNCTION("""COMPUTED_VALUE"""),"")</f>
        <v/>
      </c>
      <c r="T67" s="36" t="str">
        <f ca="1">IFERROR(__xludf.DUMMYFUNCTION("""COMPUTED_VALUE"""),"")</f>
        <v/>
      </c>
      <c r="U67" s="36" t="str">
        <f ca="1">IFERROR(__xludf.DUMMYFUNCTION("""COMPUTED_VALUE"""),"")</f>
        <v/>
      </c>
      <c r="V67" s="36" t="str">
        <f ca="1">IFERROR(__xludf.DUMMYFUNCTION("""COMPUTED_VALUE"""),"")</f>
        <v/>
      </c>
      <c r="W67" s="36" t="str">
        <f ca="1">IFERROR(__xludf.DUMMYFUNCTION("""COMPUTED_VALUE"""),"")</f>
        <v/>
      </c>
      <c r="X67" s="36"/>
      <c r="Y67" s="36"/>
      <c r="Z67" s="36"/>
    </row>
    <row r="68" spans="1:26" ht="12.75" hidden="1">
      <c r="A68" s="36" t="str">
        <f ca="1">IFERROR(__xludf.DUMMYFUNCTION("""COMPUTED_VALUE"""),"Castilla y León")</f>
        <v>Castilla y León</v>
      </c>
      <c r="B68" s="36" t="str">
        <f ca="1">IFERROR(__xludf.DUMMYFUNCTION("""COMPUTED_VALUE"""),"Burgos")</f>
        <v>Burgos</v>
      </c>
      <c r="C68" s="36">
        <f ca="1">IFERROR(__xludf.DUMMYFUNCTION("""COMPUTED_VALUE"""),2015)</f>
        <v>2015</v>
      </c>
      <c r="D68" s="36" t="str">
        <f ca="1">IFERROR(__xludf.DUMMYFUNCTION("""COMPUTED_VALUE"""),"Goa")</f>
        <v>Goa</v>
      </c>
      <c r="E68" s="36" t="str">
        <f ca="1">IFERROR(__xludf.DUMMYFUNCTION("""COMPUTED_VALUE"""),"gs.goa@scoutsdemadrid.org ")</f>
        <v xml:space="preserve">gs.goa@scoutsdemadrid.org </v>
      </c>
      <c r="F68" s="48">
        <f ca="1">IFERROR(__xludf.DUMMYFUNCTION("""COMPUTED_VALUE"""),42200)</f>
        <v>42200</v>
      </c>
      <c r="G68" s="48">
        <f ca="1">IFERROR(__xludf.DUMMYFUNCTION("""COMPUTED_VALUE"""),42215)</f>
        <v>42215</v>
      </c>
      <c r="H68" s="36" t="str">
        <f ca="1">IFERROR(__xludf.DUMMYFUNCTION("""COMPUTED_VALUE"""),"Quintanilla Del Agua")</f>
        <v>Quintanilla Del Agua</v>
      </c>
      <c r="I68" s="36" t="str">
        <f ca="1">IFERROR(__xludf.DUMMYFUNCTION("""COMPUTED_VALUE"""),"Quintanilla del Agua")</f>
        <v>Quintanilla del Agua</v>
      </c>
      <c r="J68" s="36" t="str">
        <f ca="1">IFERROR(__xludf.DUMMYFUNCTION("""COMPUTED_VALUE"""),"")</f>
        <v/>
      </c>
      <c r="K68" s="36" t="str">
        <f ca="1">IFERROR(__xludf.DUMMYFUNCTION("""COMPUTED_VALUE"""),"N: 42º 1' 22.8'' O: -3º 37' 48''")</f>
        <v>N: 42º 1' 22.8'' O: -3º 37' 48''</v>
      </c>
      <c r="L68" s="36" t="str">
        <f ca="1">IFERROR(__xludf.DUMMYFUNCTION("""COMPUTED_VALUE"""),"")</f>
        <v/>
      </c>
      <c r="M68" s="36" t="str">
        <f ca="1">IFERROR(__xludf.DUMMYFUNCTION("""COMPUTED_VALUE"""),"")</f>
        <v/>
      </c>
      <c r="N68" s="36" t="str">
        <f ca="1">IFERROR(__xludf.DUMMYFUNCTION("""COMPUTED_VALUE"""),"")</f>
        <v/>
      </c>
      <c r="O68" s="36" t="str">
        <f ca="1">IFERROR(__xludf.DUMMYFUNCTION("""COMPUTED_VALUE"""),"")</f>
        <v/>
      </c>
      <c r="P68" s="36" t="str">
        <f ca="1">IFERROR(__xludf.DUMMYFUNCTION("""COMPUTED_VALUE"""),"")</f>
        <v/>
      </c>
      <c r="Q68" s="36" t="str">
        <f ca="1">IFERROR(__xludf.DUMMYFUNCTION("""COMPUTED_VALUE"""),"")</f>
        <v/>
      </c>
      <c r="R68" s="36" t="str">
        <f ca="1">IFERROR(__xludf.DUMMYFUNCTION("""COMPUTED_VALUE"""),"")</f>
        <v/>
      </c>
      <c r="S68" s="36" t="str">
        <f ca="1">IFERROR(__xludf.DUMMYFUNCTION("""COMPUTED_VALUE"""),"")</f>
        <v/>
      </c>
      <c r="T68" s="36" t="str">
        <f ca="1">IFERROR(__xludf.DUMMYFUNCTION("""COMPUTED_VALUE"""),"")</f>
        <v/>
      </c>
      <c r="U68" s="36" t="str">
        <f ca="1">IFERROR(__xludf.DUMMYFUNCTION("""COMPUTED_VALUE"""),"")</f>
        <v/>
      </c>
      <c r="V68" s="36" t="str">
        <f ca="1">IFERROR(__xludf.DUMMYFUNCTION("""COMPUTED_VALUE"""),"")</f>
        <v/>
      </c>
      <c r="W68" s="36" t="str">
        <f ca="1">IFERROR(__xludf.DUMMYFUNCTION("""COMPUTED_VALUE"""),"")</f>
        <v/>
      </c>
      <c r="X68" s="36"/>
      <c r="Y68" s="36"/>
      <c r="Z68" s="36"/>
    </row>
    <row r="69" spans="1:26" ht="12.75" hidden="1">
      <c r="A69" s="36" t="str">
        <f ca="1">IFERROR(__xludf.DUMMYFUNCTION("""COMPUTED_VALUE"""),"Castilla y León")</f>
        <v>Castilla y León</v>
      </c>
      <c r="B69" s="36" t="str">
        <f ca="1">IFERROR(__xludf.DUMMYFUNCTION("""COMPUTED_VALUE"""),"Burgos")</f>
        <v>Burgos</v>
      </c>
      <c r="C69" s="36">
        <f ca="1">IFERROR(__xludf.DUMMYFUNCTION("""COMPUTED_VALUE"""),2015)</f>
        <v>2015</v>
      </c>
      <c r="D69" s="36" t="str">
        <f ca="1">IFERROR(__xludf.DUMMYFUNCTION("""COMPUTED_VALUE"""),"Goa")</f>
        <v>Goa</v>
      </c>
      <c r="E69" s="36" t="str">
        <f ca="1">IFERROR(__xludf.DUMMYFUNCTION("""COMPUTED_VALUE"""),"gs.goa@scoutsdemadrid.org ")</f>
        <v xml:space="preserve">gs.goa@scoutsdemadrid.org </v>
      </c>
      <c r="F69" s="48">
        <f ca="1">IFERROR(__xludf.DUMMYFUNCTION("""COMPUTED_VALUE"""),42201)</f>
        <v>42201</v>
      </c>
      <c r="G69" s="48">
        <f ca="1">IFERROR(__xludf.DUMMYFUNCTION("""COMPUTED_VALUE"""),42215)</f>
        <v>42215</v>
      </c>
      <c r="H69" s="36" t="str">
        <f ca="1">IFERROR(__xludf.DUMMYFUNCTION("""COMPUTED_VALUE"""),"Quintanilla Del Agua ")</f>
        <v xml:space="preserve">Quintanilla Del Agua </v>
      </c>
      <c r="I69" s="36" t="str">
        <f ca="1">IFERROR(__xludf.DUMMYFUNCTION("""COMPUTED_VALUE"""),"Cañal Tabla Angosto")</f>
        <v>Cañal Tabla Angosto</v>
      </c>
      <c r="J69" s="36" t="str">
        <f ca="1">IFERROR(__xludf.DUMMYFUNCTION("""COMPUTED_VALUE"""),"")</f>
        <v/>
      </c>
      <c r="K69" s="36" t="str">
        <f ca="1">IFERROR(__xludf.DUMMYFUNCTION("""COMPUTED_VALUE"""),"")</f>
        <v/>
      </c>
      <c r="L69" s="36" t="str">
        <f ca="1">IFERROR(__xludf.DUMMYFUNCTION("""COMPUTED_VALUE"""),"")</f>
        <v/>
      </c>
      <c r="M69" s="36" t="str">
        <f ca="1">IFERROR(__xludf.DUMMYFUNCTION("""COMPUTED_VALUE"""),"")</f>
        <v/>
      </c>
      <c r="N69" s="36" t="str">
        <f ca="1">IFERROR(__xludf.DUMMYFUNCTION("""COMPUTED_VALUE"""),"")</f>
        <v/>
      </c>
      <c r="O69" s="36" t="str">
        <f ca="1">IFERROR(__xludf.DUMMYFUNCTION("""COMPUTED_VALUE"""),"")</f>
        <v/>
      </c>
      <c r="P69" s="36" t="str">
        <f ca="1">IFERROR(__xludf.DUMMYFUNCTION("""COMPUTED_VALUE"""),"")</f>
        <v/>
      </c>
      <c r="Q69" s="36" t="str">
        <f ca="1">IFERROR(__xludf.DUMMYFUNCTION("""COMPUTED_VALUE"""),"")</f>
        <v/>
      </c>
      <c r="R69" s="36" t="str">
        <f ca="1">IFERROR(__xludf.DUMMYFUNCTION("""COMPUTED_VALUE"""),"")</f>
        <v/>
      </c>
      <c r="S69" s="36" t="str">
        <f ca="1">IFERROR(__xludf.DUMMYFUNCTION("""COMPUTED_VALUE"""),"")</f>
        <v/>
      </c>
      <c r="T69" s="36" t="str">
        <f ca="1">IFERROR(__xludf.DUMMYFUNCTION("""COMPUTED_VALUE"""),"")</f>
        <v/>
      </c>
      <c r="U69" s="36" t="str">
        <f ca="1">IFERROR(__xludf.DUMMYFUNCTION("""COMPUTED_VALUE"""),"")</f>
        <v/>
      </c>
      <c r="V69" s="36" t="str">
        <f ca="1">IFERROR(__xludf.DUMMYFUNCTION("""COMPUTED_VALUE"""),"")</f>
        <v/>
      </c>
      <c r="W69" s="36" t="str">
        <f ca="1">IFERROR(__xludf.DUMMYFUNCTION("""COMPUTED_VALUE"""),"")</f>
        <v/>
      </c>
      <c r="X69" s="36"/>
      <c r="Y69" s="36"/>
      <c r="Z69" s="36"/>
    </row>
    <row r="70" spans="1:26" ht="12.75" hidden="1">
      <c r="A70" s="36" t="str">
        <f ca="1">IFERROR(__xludf.DUMMYFUNCTION("""COMPUTED_VALUE"""),"Castilla y León")</f>
        <v>Castilla y León</v>
      </c>
      <c r="B70" s="36" t="str">
        <f ca="1">IFERROR(__xludf.DUMMYFUNCTION("""COMPUTED_VALUE"""),"León")</f>
        <v>León</v>
      </c>
      <c r="C70" s="36">
        <f ca="1">IFERROR(__xludf.DUMMYFUNCTION("""COMPUTED_VALUE"""),2016)</f>
        <v>2016</v>
      </c>
      <c r="D70" s="36" t="str">
        <f ca="1">IFERROR(__xludf.DUMMYFUNCTION("""COMPUTED_VALUE"""),"Goa")</f>
        <v>Goa</v>
      </c>
      <c r="E70" s="36" t="str">
        <f ca="1">IFERROR(__xludf.DUMMYFUNCTION("""COMPUTED_VALUE"""),"gs.goa@scoutsdemadrid.org ")</f>
        <v xml:space="preserve">gs.goa@scoutsdemadrid.org </v>
      </c>
      <c r="F70" s="48">
        <f ca="1">IFERROR(__xludf.DUMMYFUNCTION("""COMPUTED_VALUE"""),42567)</f>
        <v>42567</v>
      </c>
      <c r="G70" s="48">
        <f ca="1">IFERROR(__xludf.DUMMYFUNCTION("""COMPUTED_VALUE"""),42581)</f>
        <v>42581</v>
      </c>
      <c r="H70" s="36" t="str">
        <f ca="1">IFERROR(__xludf.DUMMYFUNCTION("""COMPUTED_VALUE"""),"Boca De Huérgano")</f>
        <v>Boca De Huérgano</v>
      </c>
      <c r="I70" s="36" t="str">
        <f ca="1">IFERROR(__xludf.DUMMYFUNCTION("""COMPUTED_VALUE"""),"Paraje Sotobanal")</f>
        <v>Paraje Sotobanal</v>
      </c>
      <c r="J70" s="36" t="str">
        <f ca="1">IFERROR(__xludf.DUMMYFUNCTION("""COMPUTED_VALUE"""),"Polígono 32 parcela 519")</f>
        <v>Polígono 32 parcela 519</v>
      </c>
      <c r="K70" s="36" t="str">
        <f ca="1">IFERROR(__xludf.DUMMYFUNCTION("""COMPUTED_VALUE"""),"X: 342.686,55 Y.4.759.230.30")</f>
        <v>X: 342.686,55 Y.4.759.230.30</v>
      </c>
      <c r="L70" s="36" t="str">
        <f ca="1">IFERROR(__xludf.DUMMYFUNCTION("""COMPUTED_VALUE"""),"Ayuntamiento de Boca de Huérgano")</f>
        <v>Ayuntamiento de Boca de Huérgano</v>
      </c>
      <c r="M70" s="36" t="str">
        <f ca="1">IFERROR(__xludf.DUMMYFUNCTION("""COMPUTED_VALUE"""),"")</f>
        <v/>
      </c>
      <c r="N70" s="36" t="str">
        <f ca="1">IFERROR(__xludf.DUMMYFUNCTION("""COMPUTED_VALUE"""),"")</f>
        <v/>
      </c>
      <c r="O70" s="36" t="str">
        <f ca="1">IFERROR(__xludf.DUMMYFUNCTION("""COMPUTED_VALUE"""),"80 € por tasa de basura")</f>
        <v>80 € por tasa de basura</v>
      </c>
      <c r="P70" s="36" t="str">
        <f ca="1">IFERROR(__xludf.DUMMYFUNCTION("""COMPUTED_VALUE"""),"Más de una hectárea")</f>
        <v>Más de una hectárea</v>
      </c>
      <c r="Q70" s="36" t="str">
        <f ca="1">IFERROR(__xludf.DUMMYFUNCTION("""COMPUTED_VALUE"""),"REGULAR (Se puede acceder con un coche normal con dificultad)")</f>
        <v>REGULAR (Se puede acceder con un coche normal con dificultad)</v>
      </c>
      <c r="R70" s="36" t="str">
        <f ca="1">IFERROR(__xludf.DUMMYFUNCTION("""COMPUTED_VALUE"""),"No")</f>
        <v>No</v>
      </c>
      <c r="S70" s="36" t="str">
        <f ca="1">IFERROR(__xludf.DUMMYFUNCTION("""COMPUTED_VALUE"""),"500 metros dentro del prado")</f>
        <v>500 metros dentro del prado</v>
      </c>
      <c r="T70" s="36" t="str">
        <f ca="1">IFERROR(__xludf.DUMMYFUNCTION("""COMPUTED_VALUE"""),"Río de poco profundidad. regular. ")</f>
        <v xml:space="preserve">Río de poco profundidad. regular. </v>
      </c>
      <c r="U70" s="36" t="str">
        <f ca="1">IFERROR(__xludf.DUMMYFUNCTION("""COMPUTED_VALUE"""),"NO")</f>
        <v>NO</v>
      </c>
      <c r="V70" s="36" t="str">
        <f ca="1">IFERROR(__xludf.DUMMYFUNCTION("""COMPUTED_VALUE"""),"Sí")</f>
        <v>Sí</v>
      </c>
      <c r="W70" s="36" t="str">
        <f ca="1">IFERROR(__xludf.DUMMYFUNCTION("""COMPUTED_VALUE"""),"Poca sombra, gran espacio, acceso al río para coger agua regular, entorno maravilloso. Buena acogida en el pueblo.")</f>
        <v>Poca sombra, gran espacio, acceso al río para coger agua regular, entorno maravilloso. Buena acogida en el pueblo.</v>
      </c>
      <c r="X70" s="36"/>
      <c r="Y70" s="36"/>
      <c r="Z70" s="36"/>
    </row>
    <row r="71" spans="1:26" ht="12.75" hidden="1">
      <c r="A71" s="36" t="str">
        <f ca="1">IFERROR(__xludf.DUMMYFUNCTION("""COMPUTED_VALUE"""),"Castilla y León")</f>
        <v>Castilla y León</v>
      </c>
      <c r="B71" s="36" t="str">
        <f ca="1">IFERROR(__xludf.DUMMYFUNCTION("""COMPUTED_VALUE"""),"Ávila")</f>
        <v>Ávila</v>
      </c>
      <c r="C71" s="36">
        <f ca="1">IFERROR(__xludf.DUMMYFUNCTION("""COMPUTED_VALUE"""),2017)</f>
        <v>2017</v>
      </c>
      <c r="D71" s="36" t="str">
        <f ca="1">IFERROR(__xludf.DUMMYFUNCTION("""COMPUTED_VALUE"""),"Goa")</f>
        <v>Goa</v>
      </c>
      <c r="E71" s="36" t="str">
        <f ca="1">IFERROR(__xludf.DUMMYFUNCTION("""COMPUTED_VALUE"""),"gs.goa@scoutsdemadrid.org ")</f>
        <v xml:space="preserve">gs.goa@scoutsdemadrid.org </v>
      </c>
      <c r="F71" s="48">
        <f ca="1">IFERROR(__xludf.DUMMYFUNCTION("""COMPUTED_VALUE"""),42932)</f>
        <v>42932</v>
      </c>
      <c r="G71" s="48">
        <f ca="1">IFERROR(__xludf.DUMMYFUNCTION("""COMPUTED_VALUE"""),42938)</f>
        <v>42938</v>
      </c>
      <c r="H71" s="36" t="str">
        <f ca="1">IFERROR(__xludf.DUMMYFUNCTION("""COMPUTED_VALUE"""),"Bohoyo")</f>
        <v>Bohoyo</v>
      </c>
      <c r="I71" s="36" t="str">
        <f ca="1">IFERROR(__xludf.DUMMYFUNCTION("""COMPUTED_VALUE"""),"Los Chozos de Gredos.")</f>
        <v>Los Chozos de Gredos.</v>
      </c>
      <c r="J71" s="36" t="str">
        <f ca="1">IFERROR(__xludf.DUMMYFUNCTION("""COMPUTED_VALUE"""),"NA")</f>
        <v>NA</v>
      </c>
      <c r="K71" s="36" t="str">
        <f ca="1">IFERROR(__xludf.DUMMYFUNCTION("""COMPUTED_VALUE"""),"")</f>
        <v/>
      </c>
      <c r="L71" s="36" t="str">
        <f ca="1">IFERROR(__xludf.DUMMYFUNCTION("""COMPUTED_VALUE"""),"Cly Más Biomasa")</f>
        <v>Cly Más Biomasa</v>
      </c>
      <c r="M71" s="36">
        <f ca="1">IFERROR(__xludf.DUMMYFUNCTION("""COMPUTED_VALUE"""),630881829)</f>
        <v>630881829</v>
      </c>
      <c r="N71" s="36" t="str">
        <f ca="1">IFERROR(__xludf.DUMMYFUNCTION("""COMPUTED_VALUE"""),"cylmas.biomasa@gmail.com")</f>
        <v>cylmas.biomasa@gmail.com</v>
      </c>
      <c r="O71" s="36" t="str">
        <f ca="1">IFERROR(__xludf.DUMMYFUNCTION("""COMPUTED_VALUE"""),"4 €/persona día (SIN IVA)")</f>
        <v>4 €/persona día (SIN IVA)</v>
      </c>
      <c r="P71" s="36" t="str">
        <f ca="1">IFERROR(__xludf.DUMMYFUNCTION("""COMPUTED_VALUE"""),"1ha ")</f>
        <v xml:space="preserve">1ha </v>
      </c>
      <c r="Q71" s="36" t="str">
        <f ca="1">IFERROR(__xludf.DUMMYFUNCTION("""COMPUTED_VALUE"""),"BUENO (Se puede acceder con cualquier coche)")</f>
        <v>BUENO (Se puede acceder con cualquier coche)</v>
      </c>
      <c r="R71" s="36" t="str">
        <f ca="1">IFERROR(__xludf.DUMMYFUNCTION("""COMPUTED_VALUE"""),"Sí")</f>
        <v>Sí</v>
      </c>
      <c r="S71" s="36" t="str">
        <f ca="1">IFERROR(__xludf.DUMMYFUNCTION("""COMPUTED_VALUE"""),"50 - 100 metros")</f>
        <v>50 - 100 metros</v>
      </c>
      <c r="T71" s="36" t="str">
        <f ca="1">IFERROR(__xludf.DUMMYFUNCTION("""COMPUTED_VALUE"""),"Os lo contamos a la vuelta ")</f>
        <v xml:space="preserve">Os lo contamos a la vuelta </v>
      </c>
      <c r="U71" s="36" t="str">
        <f ca="1">IFERROR(__xludf.DUMMYFUNCTION("""COMPUTED_VALUE"""),"Cocina /Aseos y duchas/ Comedor/ Chozas para dormir y una casita")</f>
        <v>Cocina /Aseos y duchas/ Comedor/ Chozas para dormir y una casita</v>
      </c>
      <c r="V71" s="36" t="str">
        <f ca="1">IFERROR(__xludf.DUMMYFUNCTION("""COMPUTED_VALUE"""),"No lo sabemos, pero seguramente sí. ")</f>
        <v xml:space="preserve">No lo sabemos, pero seguramente sí. </v>
      </c>
      <c r="W71" s="36" t="str">
        <f ca="1">IFERROR(__xludf.DUMMYFUNCTION("""COMPUTED_VALUE"""),"Vamos a unas instalaciones porque este año es especial por el JAM, pero seguro que nos va a encantar. La acogida de los gestores es inmejorable. ")</f>
        <v xml:space="preserve">Vamos a unas instalaciones porque este año es especial por el JAM, pero seguro que nos va a encantar. La acogida de los gestores es inmejorable. </v>
      </c>
      <c r="X71" s="36"/>
      <c r="Y71" s="36"/>
      <c r="Z71" s="36"/>
    </row>
    <row r="72" spans="1:26" ht="12.75" hidden="1">
      <c r="A72" s="36" t="str">
        <f ca="1">IFERROR(__xludf.DUMMYFUNCTION("""COMPUTED_VALUE"""),"Castilla y León")</f>
        <v>Castilla y León</v>
      </c>
      <c r="B72" s="36" t="str">
        <f ca="1">IFERROR(__xludf.DUMMYFUNCTION("""COMPUTED_VALUE"""),"León")</f>
        <v>León</v>
      </c>
      <c r="C72" s="36">
        <f ca="1">IFERROR(__xludf.DUMMYFUNCTION("""COMPUTED_VALUE"""),2018)</f>
        <v>2018</v>
      </c>
      <c r="D72" s="36" t="str">
        <f ca="1">IFERROR(__xludf.DUMMYFUNCTION("""COMPUTED_VALUE"""),"Goa")</f>
        <v>Goa</v>
      </c>
      <c r="E72" s="36" t="str">
        <f ca="1">IFERROR(__xludf.DUMMYFUNCTION("""COMPUTED_VALUE"""),"gs.goa@scoutsdemadrid.org ")</f>
        <v xml:space="preserve">gs.goa@scoutsdemadrid.org </v>
      </c>
      <c r="F72" s="48">
        <f ca="1">IFERROR(__xludf.DUMMYFUNCTION("""COMPUTED_VALUE"""),43297)</f>
        <v>43297</v>
      </c>
      <c r="G72" s="48">
        <f ca="1">IFERROR(__xludf.DUMMYFUNCTION("""COMPUTED_VALUE"""),43311)</f>
        <v>43311</v>
      </c>
      <c r="H72" s="36" t="str">
        <f ca="1">IFERROR(__xludf.DUMMYFUNCTION("""COMPUTED_VALUE"""),"Castrocontrigo")</f>
        <v>Castrocontrigo</v>
      </c>
      <c r="I72" s="36" t="str">
        <f ca="1">IFERROR(__xludf.DUMMYFUNCTION("""COMPUTED_VALUE"""),"Soto de arriba")</f>
        <v>Soto de arriba</v>
      </c>
      <c r="J72" s="36" t="str">
        <f ca="1">IFERROR(__xludf.DUMMYFUNCTION("""COMPUTED_VALUE"""),"Pol 105 Parcela 5050")</f>
        <v>Pol 105 Parcela 5050</v>
      </c>
      <c r="K72" s="36" t="str">
        <f ca="1">IFERROR(__xludf.DUMMYFUNCTION("""COMPUTED_VALUE"""),"X 729.918, 65 ; Y 4.675.028,29")</f>
        <v>X 729.918, 65 ; Y 4.675.028,29</v>
      </c>
      <c r="L72" s="36" t="str">
        <f ca="1">IFERROR(__xludf.DUMMYFUNCTION("""COMPUTED_VALUE"""),"Junta vecinal de Castrocontrigo")</f>
        <v>Junta vecinal de Castrocontrigo</v>
      </c>
      <c r="M72" s="36">
        <f ca="1">IFERROR(__xludf.DUMMYFUNCTION("""COMPUTED_VALUE"""),626749450)</f>
        <v>626749450</v>
      </c>
      <c r="N72" s="36" t="str">
        <f ca="1">IFERROR(__xludf.DUMMYFUNCTION("""COMPUTED_VALUE"""),"info@jvcastrocontrigo.es")</f>
        <v>info@jvcastrocontrigo.es</v>
      </c>
      <c r="O72" s="36" t="str">
        <f ca="1">IFERROR(__xludf.DUMMYFUNCTION("""COMPUTED_VALUE"""),"Gratuito")</f>
        <v>Gratuito</v>
      </c>
      <c r="P72" s="36" t="str">
        <f ca="1">IFERROR(__xludf.DUMMYFUNCTION("""COMPUTED_VALUE"""),"73 ha")</f>
        <v>73 ha</v>
      </c>
      <c r="Q72" s="36" t="str">
        <f ca="1">IFERROR(__xludf.DUMMYFUNCTION("""COMPUTED_VALUE"""),"BUENO (Se puede acceder con cualquier coche)")</f>
        <v>BUENO (Se puede acceder con cualquier coche)</v>
      </c>
      <c r="R72" s="36" t="str">
        <f ca="1">IFERROR(__xludf.DUMMYFUNCTION("""COMPUTED_VALUE"""),"Sí")</f>
        <v>Sí</v>
      </c>
      <c r="S72" s="36" t="str">
        <f ca="1">IFERROR(__xludf.DUMMYFUNCTION("""COMPUTED_VALUE"""),"150 metros")</f>
        <v>150 metros</v>
      </c>
      <c r="T72" s="36" t="str">
        <f ca="1">IFERROR(__xludf.DUMMYFUNCTION("""COMPUTED_VALUE"""),"No fácil acceso a orillas. Profundidad media")</f>
        <v>No fácil acceso a orillas. Profundidad media</v>
      </c>
      <c r="U72" s="36" t="str">
        <f ca="1">IFERROR(__xludf.DUMMYFUNCTION("""COMPUTED_VALUE"""),"No")</f>
        <v>No</v>
      </c>
      <c r="V72" s="36" t="str">
        <f ca="1">IFERROR(__xludf.DUMMYFUNCTION("""COMPUTED_VALUE"""),"Estamos en ello ")</f>
        <v xml:space="preserve">Estamos en ello </v>
      </c>
      <c r="W72" s="36" t="str">
        <f ca="1">IFERROR(__xludf.DUMMYFUNCTION("""COMPUTED_VALUE"""),"Zonas de sol y sombra. Requiere desbroce previo")</f>
        <v>Zonas de sol y sombra. Requiere desbroce previo</v>
      </c>
      <c r="X72" s="36"/>
      <c r="Y72" s="36"/>
      <c r="Z72" s="36"/>
    </row>
    <row r="73" spans="1:26" ht="12.75" hidden="1">
      <c r="A73" s="36" t="str">
        <f ca="1">IFERROR(__xludf.DUMMYFUNCTION("""COMPUTED_VALUE"""),"Castilla y León")</f>
        <v>Castilla y León</v>
      </c>
      <c r="B73" s="36" t="str">
        <f ca="1">IFERROR(__xludf.DUMMYFUNCTION("""COMPUTED_VALUE"""),"León")</f>
        <v>León</v>
      </c>
      <c r="C73" s="36">
        <f ca="1">IFERROR(__xludf.DUMMYFUNCTION("""COMPUTED_VALUE"""),2019)</f>
        <v>2019</v>
      </c>
      <c r="D73" s="36" t="str">
        <f ca="1">IFERROR(__xludf.DUMMYFUNCTION("""COMPUTED_VALUE"""),"Goa")</f>
        <v>Goa</v>
      </c>
      <c r="E73" s="36" t="str">
        <f ca="1">IFERROR(__xludf.DUMMYFUNCTION("""COMPUTED_VALUE"""),"gs.goa@scoutsdemadrid.org ")</f>
        <v xml:space="preserve">gs.goa@scoutsdemadrid.org </v>
      </c>
      <c r="F73" s="36">
        <f ca="1">IFERROR(__xludf.DUMMYFUNCTION("""COMPUTED_VALUE"""),43662)</f>
        <v>43662</v>
      </c>
      <c r="G73" s="36">
        <f ca="1">IFERROR(__xludf.DUMMYFUNCTION("""COMPUTED_VALUE"""),43676)</f>
        <v>43676</v>
      </c>
      <c r="H73" s="36" t="str">
        <f ca="1">IFERROR(__xludf.DUMMYFUNCTION("""COMPUTED_VALUE"""),"Priaranza De La Valduerna")</f>
        <v>Priaranza De La Valduerna</v>
      </c>
      <c r="I73" s="36" t="str">
        <f ca="1">IFERROR(__xludf.DUMMYFUNCTION("""COMPUTED_VALUE"""),"Prado Priaranza de la Valduerna")</f>
        <v>Prado Priaranza de la Valduerna</v>
      </c>
      <c r="J73" s="36" t="str">
        <f ca="1">IFERROR(__xludf.DUMMYFUNCTION("""COMPUTED_VALUE"""),"No consta")</f>
        <v>No consta</v>
      </c>
      <c r="K73" s="36" t="str">
        <f ca="1">IFERROR(__xludf.DUMMYFUNCTION("""COMPUTED_VALUE"""),"42°20'18.9""N 6°11'52.9""W")</f>
        <v>42°20'18.9"N 6°11'52.9"W</v>
      </c>
      <c r="L73" s="36" t="str">
        <f ca="1">IFERROR(__xludf.DUMMYFUNCTION("""COMPUTED_VALUE"""),"Ángel Abajo Lera")</f>
        <v>Ángel Abajo Lera</v>
      </c>
      <c r="M73" s="36">
        <f ca="1">IFERROR(__xludf.DUMMYFUNCTION("""COMPUTED_VALUE"""),645924866)</f>
        <v>645924866</v>
      </c>
      <c r="N73" s="36" t="str">
        <f ca="1">IFERROR(__xludf.DUMMYFUNCTION("""COMPUTED_VALUE"""),"No consta")</f>
        <v>No consta</v>
      </c>
      <c r="O73" s="36" t="str">
        <f ca="1">IFERROR(__xludf.DUMMYFUNCTION("""COMPUTED_VALUE"""),"Gratuito (donación)")</f>
        <v>Gratuito (donación)</v>
      </c>
      <c r="P73" s="36" t="str">
        <f ca="1">IFERROR(__xludf.DUMMYFUNCTION("""COMPUTED_VALUE"""),"11.000 m2")</f>
        <v>11.000 m2</v>
      </c>
      <c r="Q73" s="36" t="str">
        <f ca="1">IFERROR(__xludf.DUMMYFUNCTION("""COMPUTED_VALUE"""),"BUENO (Se puede acceder con cualquier coche)")</f>
        <v>BUENO (Se puede acceder con cualquier coche)</v>
      </c>
      <c r="R73" s="36" t="str">
        <f ca="1">IFERROR(__xludf.DUMMYFUNCTION("""COMPUTED_VALUE"""),"Sí")</f>
        <v>Sí</v>
      </c>
      <c r="S73" s="36" t="str">
        <f ca="1">IFERROR(__xludf.DUMMYFUNCTION("""COMPUTED_VALUE"""),"75 m")</f>
        <v>75 m</v>
      </c>
      <c r="T73" s="36" t="str">
        <f ca="1">IFERROR(__xludf.DUMMYFUNCTION("""COMPUTED_VALUE"""),"Espaciosa y adaptada")</f>
        <v>Espaciosa y adaptada</v>
      </c>
      <c r="U73" s="36" t="str">
        <f ca="1">IFERROR(__xludf.DUMMYFUNCTION("""COMPUTED_VALUE"""),"No")</f>
        <v>No</v>
      </c>
      <c r="V73" s="36" t="str">
        <f ca="1">IFERROR(__xludf.DUMMYFUNCTION("""COMPUTED_VALUE"""),"Sí")</f>
        <v>Sí</v>
      </c>
      <c r="W73" s="36" t="str">
        <f ca="1">IFERROR(__xludf.DUMMYFUNCTION("""COMPUTED_VALUE"""),"Con mucho espacio para distintas zonas. Bien comunicada. Sombreada. M")</f>
        <v>Con mucho espacio para distintas zonas. Bien comunicada. Sombreada. M</v>
      </c>
      <c r="X73" s="36"/>
      <c r="Y73" s="36"/>
      <c r="Z73" s="36"/>
    </row>
    <row r="74" spans="1:26" ht="12.75" hidden="1">
      <c r="A74" s="36" t="str">
        <f ca="1">IFERROR(__xludf.DUMMYFUNCTION("""COMPUTED_VALUE"""),"Castilla y León")</f>
        <v>Castilla y León</v>
      </c>
      <c r="B74" s="36" t="str">
        <f ca="1">IFERROR(__xludf.DUMMYFUNCTION("""COMPUTED_VALUE"""),"Soria")</f>
        <v>Soria</v>
      </c>
      <c r="C74" s="36">
        <f ca="1">IFERROR(__xludf.DUMMYFUNCTION("""COMPUTED_VALUE"""),2016)</f>
        <v>2016</v>
      </c>
      <c r="D74" s="36" t="str">
        <f ca="1">IFERROR(__xludf.DUMMYFUNCTION("""COMPUTED_VALUE"""),"Jamborette Marianista")</f>
        <v>Jamborette Marianista</v>
      </c>
      <c r="E74" s="36" t="str">
        <f ca="1">IFERROR(__xludf.DUMMYFUNCTION("""COMPUTED_VALUE"""),"gs.jamborette@scoutsdemadrid.org ")</f>
        <v xml:space="preserve">gs.jamborette@scoutsdemadrid.org </v>
      </c>
      <c r="F74" s="48">
        <f ca="1">IFERROR(__xludf.DUMMYFUNCTION("""COMPUTED_VALUE"""),42560)</f>
        <v>42560</v>
      </c>
      <c r="G74" s="48">
        <f ca="1">IFERROR(__xludf.DUMMYFUNCTION("""COMPUTED_VALUE"""),42566)</f>
        <v>42566</v>
      </c>
      <c r="H74" s="36" t="str">
        <f ca="1">IFERROR(__xludf.DUMMYFUNCTION("""COMPUTED_VALUE"""),"Covaleda")</f>
        <v>Covaleda</v>
      </c>
      <c r="I74" s="36" t="str">
        <f ca="1">IFERROR(__xludf.DUMMYFUNCTION("""COMPUTED_VALUE"""),"Raso de la Nava")</f>
        <v>Raso de la Nava</v>
      </c>
      <c r="J74" s="36" t="str">
        <f ca="1">IFERROR(__xludf.DUMMYFUNCTION("""COMPUTED_VALUE"""),"")</f>
        <v/>
      </c>
      <c r="K74" s="36" t="str">
        <f ca="1">IFERROR(__xludf.DUMMYFUNCTION("""COMPUTED_VALUE"""),"41.937685, -2.909870")</f>
        <v>41.937685, -2.909870</v>
      </c>
      <c r="L74" s="36" t="str">
        <f ca="1">IFERROR(__xludf.DUMMYFUNCTION("""COMPUTED_VALUE"""),"Ayuntamiento de Covaleda")</f>
        <v>Ayuntamiento de Covaleda</v>
      </c>
      <c r="M74" s="36">
        <f ca="1">IFERROR(__xludf.DUMMYFUNCTION("""COMPUTED_VALUE"""),975370000)</f>
        <v>975370000</v>
      </c>
      <c r="N74" s="36" t="str">
        <f ca="1">IFERROR(__xludf.DUMMYFUNCTION("""COMPUTED_VALUE"""),"")</f>
        <v/>
      </c>
      <c r="O74" s="36" t="str">
        <f ca="1">IFERROR(__xludf.DUMMYFUNCTION("""COMPUTED_VALUE"""),"0,60€por persona")</f>
        <v>0,60€por persona</v>
      </c>
      <c r="P74" s="36" t="str">
        <f ca="1">IFERROR(__xludf.DUMMYFUNCTION("""COMPUTED_VALUE"""),"")</f>
        <v/>
      </c>
      <c r="Q74" s="36" t="str">
        <f ca="1">IFERROR(__xludf.DUMMYFUNCTION("""COMPUTED_VALUE"""),"BUENO (Se puede acceder con cualquier coche)")</f>
        <v>BUENO (Se puede acceder con cualquier coche)</v>
      </c>
      <c r="R74" s="36" t="str">
        <f ca="1">IFERROR(__xludf.DUMMYFUNCTION("""COMPUTED_VALUE"""),"Sí")</f>
        <v>Sí</v>
      </c>
      <c r="S74" s="36" t="str">
        <f ca="1">IFERROR(__xludf.DUMMYFUNCTION("""COMPUTED_VALUE"""),"500 metro")</f>
        <v>500 metro</v>
      </c>
      <c r="T74" s="36" t="str">
        <f ca="1">IFERROR(__xludf.DUMMYFUNCTION("""COMPUTED_VALUE"""),"río con poza")</f>
        <v>río con poza</v>
      </c>
      <c r="U74" s="36" t="str">
        <f ca="1">IFERROR(__xludf.DUMMYFUNCTION("""COMPUTED_VALUE"""),"Si, cocina, almacén, botiquin, salas vacias...")</f>
        <v>Si, cocina, almacén, botiquin, salas vacias...</v>
      </c>
      <c r="V74" s="36" t="str">
        <f ca="1">IFERROR(__xludf.DUMMYFUNCTION("""COMPUTED_VALUE"""),"si")</f>
        <v>si</v>
      </c>
      <c r="W74" s="36" t="str">
        <f ca="1">IFERROR(__xludf.DUMMYFUNCTION("""COMPUTED_VALUE"""),"Muy bueno")</f>
        <v>Muy bueno</v>
      </c>
      <c r="X74" s="36"/>
      <c r="Y74" s="36"/>
      <c r="Z74" s="36"/>
    </row>
    <row r="75" spans="1:26" ht="12.75" hidden="1">
      <c r="A75" s="36" t="str">
        <f ca="1">IFERROR(__xludf.DUMMYFUNCTION("""COMPUTED_VALUE"""),"Castilla y León")</f>
        <v>Castilla y León</v>
      </c>
      <c r="B75" s="36" t="str">
        <f ca="1">IFERROR(__xludf.DUMMYFUNCTION("""COMPUTED_VALUE"""),"Burgos")</f>
        <v>Burgos</v>
      </c>
      <c r="C75" s="36">
        <f ca="1">IFERROR(__xludf.DUMMYFUNCTION("""COMPUTED_VALUE"""),2015)</f>
        <v>2015</v>
      </c>
      <c r="D75" s="36" t="str">
        <f ca="1">IFERROR(__xludf.DUMMYFUNCTION("""COMPUTED_VALUE"""),"La Merced")</f>
        <v>La Merced</v>
      </c>
      <c r="E75" s="36" t="str">
        <f ca="1">IFERROR(__xludf.DUMMYFUNCTION("""COMPUTED_VALUE"""),"gs.lamerced@scoutsdemadrid.org ")</f>
        <v xml:space="preserve">gs.lamerced@scoutsdemadrid.org </v>
      </c>
      <c r="F75" s="48">
        <f ca="1">IFERROR(__xludf.DUMMYFUNCTION("""COMPUTED_VALUE"""),42189)</f>
        <v>42189</v>
      </c>
      <c r="G75" s="48">
        <f ca="1">IFERROR(__xludf.DUMMYFUNCTION("""COMPUTED_VALUE"""),42197)</f>
        <v>42197</v>
      </c>
      <c r="H75" s="36" t="str">
        <f ca="1">IFERROR(__xludf.DUMMYFUNCTION("""COMPUTED_VALUE"""),"Espinosa De Los Monteros")</f>
        <v>Espinosa De Los Monteros</v>
      </c>
      <c r="I75" s="36" t="str">
        <f ca="1">IFERROR(__xludf.DUMMYFUNCTION("""COMPUTED_VALUE"""),"la edilla. campamento juvenil espinosa de los monteros")</f>
        <v>la edilla. campamento juvenil espinosa de los monteros</v>
      </c>
      <c r="J75" s="36" t="str">
        <f ca="1">IFERROR(__xludf.DUMMYFUNCTION("""COMPUTED_VALUE"""),"")</f>
        <v/>
      </c>
      <c r="K75" s="36" t="str">
        <f ca="1">IFERROR(__xludf.DUMMYFUNCTION("""COMPUTED_VALUE"""),"")</f>
        <v/>
      </c>
      <c r="L75" s="36" t="str">
        <f ca="1">IFERROR(__xludf.DUMMYFUNCTION("""COMPUTED_VALUE"""),"")</f>
        <v/>
      </c>
      <c r="M75" s="36" t="str">
        <f ca="1">IFERROR(__xludf.DUMMYFUNCTION("""COMPUTED_VALUE"""),"")</f>
        <v/>
      </c>
      <c r="N75" s="36" t="str">
        <f ca="1">IFERROR(__xludf.DUMMYFUNCTION("""COMPUTED_VALUE"""),"")</f>
        <v/>
      </c>
      <c r="O75" s="36" t="str">
        <f ca="1">IFERROR(__xludf.DUMMYFUNCTION("""COMPUTED_VALUE"""),"")</f>
        <v/>
      </c>
      <c r="P75" s="36" t="str">
        <f ca="1">IFERROR(__xludf.DUMMYFUNCTION("""COMPUTED_VALUE"""),"")</f>
        <v/>
      </c>
      <c r="Q75" s="36" t="str">
        <f ca="1">IFERROR(__xludf.DUMMYFUNCTION("""COMPUTED_VALUE"""),"")</f>
        <v/>
      </c>
      <c r="R75" s="36" t="str">
        <f ca="1">IFERROR(__xludf.DUMMYFUNCTION("""COMPUTED_VALUE"""),"")</f>
        <v/>
      </c>
      <c r="S75" s="36" t="str">
        <f ca="1">IFERROR(__xludf.DUMMYFUNCTION("""COMPUTED_VALUE"""),"")</f>
        <v/>
      </c>
      <c r="T75" s="36" t="str">
        <f ca="1">IFERROR(__xludf.DUMMYFUNCTION("""COMPUTED_VALUE"""),"")</f>
        <v/>
      </c>
      <c r="U75" s="36" t="str">
        <f ca="1">IFERROR(__xludf.DUMMYFUNCTION("""COMPUTED_VALUE"""),"")</f>
        <v/>
      </c>
      <c r="V75" s="36" t="str">
        <f ca="1">IFERROR(__xludf.DUMMYFUNCTION("""COMPUTED_VALUE"""),"")</f>
        <v/>
      </c>
      <c r="W75" s="36" t="str">
        <f ca="1">IFERROR(__xludf.DUMMYFUNCTION("""COMPUTED_VALUE"""),"")</f>
        <v/>
      </c>
      <c r="X75" s="36"/>
      <c r="Y75" s="36"/>
      <c r="Z75" s="36"/>
    </row>
    <row r="76" spans="1:26" ht="12.75" hidden="1">
      <c r="A76" s="36" t="str">
        <f ca="1">IFERROR(__xludf.DUMMYFUNCTION("""COMPUTED_VALUE"""),"Castilla y León")</f>
        <v>Castilla y León</v>
      </c>
      <c r="B76" s="36" t="str">
        <f ca="1">IFERROR(__xludf.DUMMYFUNCTION("""COMPUTED_VALUE"""),"Ávila")</f>
        <v>Ávila</v>
      </c>
      <c r="C76" s="36">
        <f ca="1">IFERROR(__xludf.DUMMYFUNCTION("""COMPUTED_VALUE"""),2018)</f>
        <v>2018</v>
      </c>
      <c r="D76" s="36" t="str">
        <f ca="1">IFERROR(__xludf.DUMMYFUNCTION("""COMPUTED_VALUE"""),"La Merced")</f>
        <v>La Merced</v>
      </c>
      <c r="E76" s="36" t="str">
        <f ca="1">IFERROR(__xludf.DUMMYFUNCTION("""COMPUTED_VALUE"""),"gs.lamerced@scoutsdemadrid.org ")</f>
        <v xml:space="preserve">gs.lamerced@scoutsdemadrid.org </v>
      </c>
      <c r="F76" s="48">
        <f ca="1">IFERROR(__xludf.DUMMYFUNCTION("""COMPUTED_VALUE"""),43281)</f>
        <v>43281</v>
      </c>
      <c r="G76" s="48">
        <f ca="1">IFERROR(__xludf.DUMMYFUNCTION("""COMPUTED_VALUE"""),43289)</f>
        <v>43289</v>
      </c>
      <c r="H76" s="36" t="str">
        <f ca="1">IFERROR(__xludf.DUMMYFUNCTION("""COMPUTED_VALUE"""),"Bohoyo")</f>
        <v>Bohoyo</v>
      </c>
      <c r="I76" s="36" t="str">
        <f ca="1">IFERROR(__xludf.DUMMYFUNCTION("""COMPUTED_VALUE"""),"Los Chozos de Gredos")</f>
        <v>Los Chozos de Gredos</v>
      </c>
      <c r="J76" s="36" t="str">
        <f ca="1">IFERROR(__xludf.DUMMYFUNCTION("""COMPUTED_VALUE"""),"05226A006004950000ST")</f>
        <v>05226A006004950000ST</v>
      </c>
      <c r="K76" s="36" t="str">
        <f ca="1">IFERROR(__xludf.DUMMYFUNCTION("""COMPUTED_VALUE"""),"40.3099;-5,4256")</f>
        <v>40.3099;-5,4256</v>
      </c>
      <c r="L76" s="36" t="str">
        <f ca="1">IFERROR(__xludf.DUMMYFUNCTION("""COMPUTED_VALUE"""),"cylmas BiomasaSL")</f>
        <v>cylmas BiomasaSL</v>
      </c>
      <c r="M76" s="36">
        <f ca="1">IFERROR(__xludf.DUMMYFUNCTION("""COMPUTED_VALUE"""),630881829)</f>
        <v>630881829</v>
      </c>
      <c r="N76" s="36" t="str">
        <f ca="1">IFERROR(__xludf.DUMMYFUNCTION("""COMPUTED_VALUE"""),"cylmas.biomasa@gmail.com ")</f>
        <v xml:space="preserve">cylmas.biomasa@gmail.com </v>
      </c>
      <c r="O76" s="36" t="str">
        <f ca="1">IFERROR(__xludf.DUMMYFUNCTION("""COMPUTED_VALUE"""),"16 € persona /día con pensión completa.")</f>
        <v>16 € persona /día con pensión completa.</v>
      </c>
      <c r="P76" s="36" t="str">
        <f ca="1">IFERROR(__xludf.DUMMYFUNCTION("""COMPUTED_VALUE"""),"10000 metros")</f>
        <v>10000 metros</v>
      </c>
      <c r="Q76" s="36" t="str">
        <f ca="1">IFERROR(__xludf.DUMMYFUNCTION("""COMPUTED_VALUE"""),"BUENO (Se puede acceder con cualquier coche)")</f>
        <v>BUENO (Se puede acceder con cualquier coche)</v>
      </c>
      <c r="R76" s="36" t="str">
        <f ca="1">IFERROR(__xludf.DUMMYFUNCTION("""COMPUTED_VALUE"""),"Sí")</f>
        <v>Sí</v>
      </c>
      <c r="S76" s="36" t="str">
        <f ca="1">IFERROR(__xludf.DUMMYFUNCTION("""COMPUTED_VALUE"""),"500 metros")</f>
        <v>500 metros</v>
      </c>
      <c r="T76" s="36" t="str">
        <f ca="1">IFERROR(__xludf.DUMMYFUNCTION("""COMPUTED_VALUE"""),"Accesible y tranquila")</f>
        <v>Accesible y tranquila</v>
      </c>
      <c r="U76" s="36" t="str">
        <f ca="1">IFERROR(__xludf.DUMMYFUNCTION("""COMPUTED_VALUE"""),"Comedor, cocina, duchas y aseos completos y chozos.")</f>
        <v>Comedor, cocina, duchas y aseos completos y chozos.</v>
      </c>
      <c r="V76" s="36" t="str">
        <f ca="1">IFERROR(__xludf.DUMMYFUNCTION("""COMPUTED_VALUE"""),"Sí")</f>
        <v>Sí</v>
      </c>
      <c r="W76" s="36" t="str">
        <f ca="1">IFERROR(__xludf.DUMMYFUNCTION("""COMPUTED_VALUE"""),"Cuidada y bien mantenida. Recinto cerrado.")</f>
        <v>Cuidada y bien mantenida. Recinto cerrado.</v>
      </c>
      <c r="X76" s="36"/>
      <c r="Y76" s="36"/>
      <c r="Z76" s="36"/>
    </row>
    <row r="77" spans="1:26" ht="12.75" hidden="1">
      <c r="A77" s="36" t="str">
        <f ca="1">IFERROR(__xludf.DUMMYFUNCTION("""COMPUTED_VALUE"""),"Castilla y León")</f>
        <v>Castilla y León</v>
      </c>
      <c r="B77" s="36" t="str">
        <f ca="1">IFERROR(__xludf.DUMMYFUNCTION("""COMPUTED_VALUE"""),"Ávila")</f>
        <v>Ávila</v>
      </c>
      <c r="C77" s="36">
        <f ca="1">IFERROR(__xludf.DUMMYFUNCTION("""COMPUTED_VALUE"""),2019)</f>
        <v>2019</v>
      </c>
      <c r="D77" s="36" t="str">
        <f ca="1">IFERROR(__xludf.DUMMYFUNCTION("""COMPUTED_VALUE"""),"La Merced")</f>
        <v>La Merced</v>
      </c>
      <c r="E77" s="36" t="str">
        <f ca="1">IFERROR(__xludf.DUMMYFUNCTION("""COMPUTED_VALUE"""),"gs.lamerced@scoutsdemadrid.org ")</f>
        <v xml:space="preserve">gs.lamerced@scoutsdemadrid.org </v>
      </c>
      <c r="F77" s="36">
        <f ca="1">IFERROR(__xludf.DUMMYFUNCTION("""COMPUTED_VALUE"""),43652)</f>
        <v>43652</v>
      </c>
      <c r="G77" s="36">
        <f ca="1">IFERROR(__xludf.DUMMYFUNCTION("""COMPUTED_VALUE"""),43660)</f>
        <v>43660</v>
      </c>
      <c r="H77" s="36" t="str">
        <f ca="1">IFERROR(__xludf.DUMMYFUNCTION("""COMPUTED_VALUE"""),"Bohoyo")</f>
        <v>Bohoyo</v>
      </c>
      <c r="I77" s="36" t="str">
        <f ca="1">IFERROR(__xludf.DUMMYFUNCTION("""COMPUTED_VALUE"""),"Los Chozos de Gredos")</f>
        <v>Los Chozos de Gredos</v>
      </c>
      <c r="J77" s="36" t="str">
        <f ca="1">IFERROR(__xludf.DUMMYFUNCTION("""COMPUTED_VALUE"""),"Ni idea")</f>
        <v>Ni idea</v>
      </c>
      <c r="K77" s="36" t="str">
        <f ca="1">IFERROR(__xludf.DUMMYFUNCTION("""COMPUTED_VALUE"""),"N: 40o 18' 40.529''   O: 5o 25' 44.825''")</f>
        <v>N: 40o 18' 40.529''   O: 5o 25' 44.825''</v>
      </c>
      <c r="L77" s="36" t="str">
        <f ca="1">IFERROR(__xludf.DUMMYFUNCTION("""COMPUTED_VALUE""")," CYL MAS BIOMASA SL-Jóse Ignacio Romero Trillo")</f>
        <v xml:space="preserve"> CYL MAS BIOMASA SL-Jóse Ignacio Romero Trillo</v>
      </c>
      <c r="M77" s="36">
        <f ca="1">IFERROR(__xludf.DUMMYFUNCTION("""COMPUTED_VALUE"""),630881829)</f>
        <v>630881829</v>
      </c>
      <c r="N77" s="36" t="str">
        <f ca="1">IFERROR(__xludf.DUMMYFUNCTION("""COMPUTED_VALUE"""),"cyl mas &lt;cylmas.biomasa@gmail.com&gt;")</f>
        <v>cyl mas &lt;cylmas.biomasa@gmail.com&gt;</v>
      </c>
      <c r="O77" s="36" t="str">
        <f ca="1">IFERROR(__xludf.DUMMYFUNCTION("""COMPUTED_VALUE"""),"17 € persona/ día")</f>
        <v>17 € persona/ día</v>
      </c>
      <c r="P77" s="36" t="str">
        <f ca="1">IFERROR(__xludf.DUMMYFUNCTION("""COMPUTED_VALUE"""),"Aproximadamente una hectárea.")</f>
        <v>Aproximadamente una hectárea.</v>
      </c>
      <c r="Q77" s="36" t="str">
        <f ca="1">IFERROR(__xludf.DUMMYFUNCTION("""COMPUTED_VALUE"""),"REGULAR (Se puede acceder con un coche normal con dificultad)")</f>
        <v>REGULAR (Se puede acceder con un coche normal con dificultad)</v>
      </c>
      <c r="R77" s="36" t="str">
        <f ca="1">IFERROR(__xludf.DUMMYFUNCTION("""COMPUTED_VALUE"""),"Sí")</f>
        <v>Sí</v>
      </c>
      <c r="S77" s="36" t="str">
        <f ca="1">IFERROR(__xludf.DUMMYFUNCTION("""COMPUTED_VALUE"""),"1 km")</f>
        <v>1 km</v>
      </c>
      <c r="T77" s="36" t="str">
        <f ca="1">IFERROR(__xludf.DUMMYFUNCTION("""COMPUTED_VALUE"""),"Acceso bueno por carretera. Se puede atajar por el campo pero se pueden resbalar con la arenilla. El verano pasado tuvimos un esquincepor esta causa.")</f>
        <v>Acceso bueno por carretera. Se puede atajar por el campo pero se pueden resbalar con la arenilla. El verano pasado tuvimos un esquincepor esta causa.</v>
      </c>
      <c r="U77" s="36" t="str">
        <f ca="1">IFERROR(__xludf.DUMMYFUNCTION("""COMPUTED_VALUE"""),"Sí. Comedor, cocina y baños completos.")</f>
        <v>Sí. Comedor, cocina y baños completos.</v>
      </c>
      <c r="V77" s="36" t="str">
        <f ca="1">IFERROR(__xludf.DUMMYFUNCTION("""COMPUTED_VALUE"""),"A través del propietario.")</f>
        <v>A través del propietario.</v>
      </c>
      <c r="W77" s="36" t="str">
        <f ca="1">IFERROR(__xludf.DUMMYFUNCTION("""COMPUTED_VALUE"""),"Hay 6 chozos para poder guardar el material o dormir. Sitio para instalar tiendas de campaña. Recinto cerrado. Bien cuidado. Trato amable.")</f>
        <v>Hay 6 chozos para poder guardar el material o dormir. Sitio para instalar tiendas de campaña. Recinto cerrado. Bien cuidado. Trato amable.</v>
      </c>
      <c r="X77" s="36"/>
      <c r="Y77" s="36"/>
      <c r="Z77" s="36"/>
    </row>
    <row r="78" spans="1:26" ht="12.75" hidden="1">
      <c r="A78" s="36" t="str">
        <f ca="1">IFERROR(__xludf.DUMMYFUNCTION("""COMPUTED_VALUE"""),"Castilla y León")</f>
        <v>Castilla y León</v>
      </c>
      <c r="B78" s="36" t="str">
        <f ca="1">IFERROR(__xludf.DUMMYFUNCTION("""COMPUTED_VALUE"""),"Zamora")</f>
        <v>Zamora</v>
      </c>
      <c r="C78" s="36">
        <f ca="1">IFERROR(__xludf.DUMMYFUNCTION("""COMPUTED_VALUE"""),2017)</f>
        <v>2017</v>
      </c>
      <c r="D78" s="36" t="str">
        <f ca="1">IFERROR(__xludf.DUMMYFUNCTION("""COMPUTED_VALUE"""),"Libertas")</f>
        <v>Libertas</v>
      </c>
      <c r="E78" s="36" t="str">
        <f ca="1">IFERROR(__xludf.DUMMYFUNCTION("""COMPUTED_VALUE"""),"gs.libertas@scoutsdemadrid.org")</f>
        <v>gs.libertas@scoutsdemadrid.org</v>
      </c>
      <c r="F78" s="48">
        <f ca="1">IFERROR(__xludf.DUMMYFUNCTION("""COMPUTED_VALUE"""),42932)</f>
        <v>42932</v>
      </c>
      <c r="G78" s="48">
        <f ca="1">IFERROR(__xludf.DUMMYFUNCTION("""COMPUTED_VALUE"""),42946)</f>
        <v>42946</v>
      </c>
      <c r="H78" s="36" t="str">
        <f ca="1">IFERROR(__xludf.DUMMYFUNCTION("""COMPUTED_VALUE"""),"Fariza")</f>
        <v>Fariza</v>
      </c>
      <c r="I78" s="36" t="str">
        <f ca="1">IFERROR(__xludf.DUMMYFUNCTION("""COMPUTED_VALUE"""),"Albergue La Rueca")</f>
        <v>Albergue La Rueca</v>
      </c>
      <c r="J78" s="36" t="str">
        <f ca="1">IFERROR(__xludf.DUMMYFUNCTION("""COMPUTED_VALUE"""),"")</f>
        <v/>
      </c>
      <c r="K78" s="36" t="str">
        <f ca="1">IFERROR(__xludf.DUMMYFUNCTION("""COMPUTED_VALUE"""),"")</f>
        <v/>
      </c>
      <c r="L78" s="36" t="str">
        <f ca="1">IFERROR(__xludf.DUMMYFUNCTION("""COMPUTED_VALUE"""),"Ayuntamiento de Fariza \ Ekoactivo Experiencia")</f>
        <v>Ayuntamiento de Fariza \ Ekoactivo Experiencia</v>
      </c>
      <c r="M78" s="36" t="str">
        <f ca="1">IFERROR(__xludf.DUMMYFUNCTION("""COMPUTED_VALUE"""),"")</f>
        <v/>
      </c>
      <c r="N78" s="36" t="str">
        <f ca="1">IFERROR(__xludf.DUMMYFUNCTION("""COMPUTED_VALUE"""),"")</f>
        <v/>
      </c>
      <c r="O78" s="36" t="str">
        <f ca="1">IFERROR(__xludf.DUMMYFUNCTION("""COMPUTED_VALUE"""),"Precio por persona \ dia")</f>
        <v>Precio por persona \ dia</v>
      </c>
      <c r="P78" s="36" t="str">
        <f ca="1">IFERROR(__xludf.DUMMYFUNCTION("""COMPUTED_VALUE"""),"")</f>
        <v/>
      </c>
      <c r="Q78" s="36" t="str">
        <f ca="1">IFERROR(__xludf.DUMMYFUNCTION("""COMPUTED_VALUE"""),"BUENO (Se puede acceder con cualquier coche)")</f>
        <v>BUENO (Se puede acceder con cualquier coche)</v>
      </c>
      <c r="R78" s="36" t="str">
        <f ca="1">IFERROR(__xludf.DUMMYFUNCTION("""COMPUTED_VALUE"""),"No")</f>
        <v>No</v>
      </c>
      <c r="S78" s="36" t="str">
        <f ca="1">IFERROR(__xludf.DUMMYFUNCTION("""COMPUTED_VALUE"""),"Muy lejana. Mas de 10 km")</f>
        <v>Muy lejana. Mas de 10 km</v>
      </c>
      <c r="T78" s="36" t="str">
        <f ca="1">IFERROR(__xludf.DUMMYFUNCTION("""COMPUTED_VALUE"""),"")</f>
        <v/>
      </c>
      <c r="U78" s="36" t="str">
        <f ca="1">IFERROR(__xludf.DUMMYFUNCTION("""COMPUTED_VALUE"""),"Albergue completo nuevo y en buen estado. Cocina, baños, comedor, habitacioens")</f>
        <v>Albergue completo nuevo y en buen estado. Cocina, baños, comedor, habitacioens</v>
      </c>
      <c r="V78" s="36" t="str">
        <f ca="1">IFERROR(__xludf.DUMMYFUNCTION("""COMPUTED_VALUE"""),"Ns nc")</f>
        <v>Ns nc</v>
      </c>
      <c r="W78" s="36" t="str">
        <f ca="1">IFERROR(__xludf.DUMMYFUNCTION("""COMPUTED_VALUE"""),"Buena ubicación, en la reserva natural de los Arribes del Duero.
La empresa gestora es llevada por scouts.
Apoyo grande del ayuntamiento para la utilización de espacios...")</f>
        <v>Buena ubicación, en la reserva natural de los Arribes del Duero.
La empresa gestora es llevada por scouts.
Apoyo grande del ayuntamiento para la utilización de espacios...</v>
      </c>
      <c r="X78" s="36"/>
      <c r="Y78" s="36"/>
      <c r="Z78" s="36"/>
    </row>
    <row r="79" spans="1:26" ht="12.75" hidden="1">
      <c r="A79" s="36" t="str">
        <f ca="1">IFERROR(__xludf.DUMMYFUNCTION("""COMPUTED_VALUE"""),"Castilla y León")</f>
        <v>Castilla y León</v>
      </c>
      <c r="B79" s="36" t="str">
        <f ca="1">IFERROR(__xludf.DUMMYFUNCTION("""COMPUTED_VALUE"""),"León")</f>
        <v>León</v>
      </c>
      <c r="C79" s="36">
        <f ca="1">IFERROR(__xludf.DUMMYFUNCTION("""COMPUTED_VALUE"""),2018)</f>
        <v>2018</v>
      </c>
      <c r="D79" s="36" t="str">
        <f ca="1">IFERROR(__xludf.DUMMYFUNCTION("""COMPUTED_VALUE"""),"Libertas")</f>
        <v>Libertas</v>
      </c>
      <c r="E79" s="36" t="str">
        <f ca="1">IFERROR(__xludf.DUMMYFUNCTION("""COMPUTED_VALUE"""),"gs.libertas@scoutsdemadrid.org")</f>
        <v>gs.libertas@scoutsdemadrid.org</v>
      </c>
      <c r="F79" s="48">
        <f ca="1">IFERROR(__xludf.DUMMYFUNCTION("""COMPUTED_VALUE"""),43297)</f>
        <v>43297</v>
      </c>
      <c r="G79" s="48">
        <f ca="1">IFERROR(__xludf.DUMMYFUNCTION("""COMPUTED_VALUE"""),43311)</f>
        <v>43311</v>
      </c>
      <c r="H79" s="36" t="str">
        <f ca="1">IFERROR(__xludf.DUMMYFUNCTION("""COMPUTED_VALUE"""),"La Vecilla De Curueño")</f>
        <v>La Vecilla De Curueño</v>
      </c>
      <c r="I79" s="36" t="str">
        <f ca="1">IFERROR(__xludf.DUMMYFUNCTION("""COMPUTED_VALUE"""),"El Molino")</f>
        <v>El Molino</v>
      </c>
      <c r="J79" s="36" t="str">
        <f ca="1">IFERROR(__xludf.DUMMYFUNCTION("""COMPUTED_VALUE"""),"24182A011000880000WY")</f>
        <v>24182A011000880000WY</v>
      </c>
      <c r="K79" s="36" t="str">
        <f ca="1">IFERROR(__xludf.DUMMYFUNCTION("""COMPUTED_VALUE"""),"Latitud: 42º51'24.862'' Longitud: -5º24'10.282''")</f>
        <v>Latitud: 42º51'24.862'' Longitud: -5º24'10.282''</v>
      </c>
      <c r="L79" s="36" t="str">
        <f ca="1">IFERROR(__xludf.DUMMYFUNCTION("""COMPUTED_VALUE"""),"Asociación La Quintana - Escuela de A.J. y T.L. Caracuel")</f>
        <v>Asociación La Quintana - Escuela de A.J. y T.L. Caracuel</v>
      </c>
      <c r="M79" s="36" t="str">
        <f ca="1">IFERROR(__xludf.DUMMYFUNCTION("""COMPUTED_VALUE"""),"84.10.60.90 - 985.46.43.61")</f>
        <v>84.10.60.90 - 985.46.43.61</v>
      </c>
      <c r="N79" s="36" t="str">
        <f ca="1">IFERROR(__xludf.DUMMYFUNCTION("""COMPUTED_VALUE"""),"info@campamentoscaracuel.com")</f>
        <v>info@campamentoscaracuel.com</v>
      </c>
      <c r="O79" s="36" t="str">
        <f ca="1">IFERROR(__xludf.DUMMYFUNCTION("""COMPUTED_VALUE"""),"15 €/día")</f>
        <v>15 €/día</v>
      </c>
      <c r="P79" s="36" t="str">
        <f ca="1">IFERROR(__xludf.DUMMYFUNCTION("""COMPUTED_VALUE"""),"434 m2")</f>
        <v>434 m2</v>
      </c>
      <c r="Q79" s="36" t="str">
        <f ca="1">IFERROR(__xludf.DUMMYFUNCTION("""COMPUTED_VALUE"""),"REGULAR (Se puede acceder con un coche normal con dificultad)")</f>
        <v>REGULAR (Se puede acceder con un coche normal con dificultad)</v>
      </c>
      <c r="R79" s="36" t="str">
        <f ca="1">IFERROR(__xludf.DUMMYFUNCTION("""COMPUTED_VALUE"""),"Sí")</f>
        <v>Sí</v>
      </c>
      <c r="S79" s="36" t="str">
        <f ca="1">IFERROR(__xludf.DUMMYFUNCTION("""COMPUTED_VALUE"""),"800 m")</f>
        <v>800 m</v>
      </c>
      <c r="T79" s="36" t="str">
        <f ca="1">IFERROR(__xludf.DUMMYFUNCTION("""COMPUTED_VALUE"""),"Río con zona arbolada, con sombras. Muy concurrido en fines de semana")</f>
        <v>Río con zona arbolada, con sombras. Muy concurrido en fines de semana</v>
      </c>
      <c r="U79" s="36" t="str">
        <f ca="1">IFERROR(__xludf.DUMMYFUNCTION("""COMPUTED_VALUE"""),"Baños, cocina, salón y barracones con literas")</f>
        <v>Baños, cocina, salón y barracones con literas</v>
      </c>
      <c r="V79" s="36" t="str">
        <f ca="1">IFERROR(__xludf.DUMMYFUNCTION("""COMPUTED_VALUE"""),"Si")</f>
        <v>Si</v>
      </c>
      <c r="W79" s="36" t="str">
        <f ca="1">IFERROR(__xludf.DUMMYFUNCTION("""COMPUTED_VALUE"""),"Campamento para 80 personas. Tiene posibilidad de montar tiendas de campaña y hacer construcciones.")</f>
        <v>Campamento para 80 personas. Tiene posibilidad de montar tiendas de campaña y hacer construcciones.</v>
      </c>
      <c r="X79" s="36"/>
      <c r="Y79" s="36"/>
      <c r="Z79" s="36"/>
    </row>
    <row r="80" spans="1:26" ht="12.75" hidden="1">
      <c r="A80" s="36" t="str">
        <f ca="1">IFERROR(__xludf.DUMMYFUNCTION("""COMPUTED_VALUE"""),"Castilla y León")</f>
        <v>Castilla y León</v>
      </c>
      <c r="B80" s="36" t="str">
        <f ca="1">IFERROR(__xludf.DUMMYFUNCTION("""COMPUTED_VALUE"""),"León")</f>
        <v>León</v>
      </c>
      <c r="C80" s="36">
        <f ca="1">IFERROR(__xludf.DUMMYFUNCTION("""COMPUTED_VALUE"""),2015)</f>
        <v>2015</v>
      </c>
      <c r="D80" s="36" t="str">
        <f ca="1">IFERROR(__xludf.DUMMYFUNCTION("""COMPUTED_VALUE"""),"Lince San Gregorio")</f>
        <v>Lince San Gregorio</v>
      </c>
      <c r="E80" s="36" t="str">
        <f ca="1">IFERROR(__xludf.DUMMYFUNCTION("""COMPUTED_VALUE"""),"gs.lincesangregorio@scoutsdemadrid.org ")</f>
        <v xml:space="preserve">gs.lincesangregorio@scoutsdemadrid.org </v>
      </c>
      <c r="F80" s="48">
        <f ca="1">IFERROR(__xludf.DUMMYFUNCTION("""COMPUTED_VALUE"""),42201)</f>
        <v>42201</v>
      </c>
      <c r="G80" s="48">
        <f ca="1">IFERROR(__xludf.DUMMYFUNCTION("""COMPUTED_VALUE"""),42215)</f>
        <v>42215</v>
      </c>
      <c r="H80" s="36" t="str">
        <f ca="1">IFERROR(__xludf.DUMMYFUNCTION("""COMPUTED_VALUE"""),"Puebla De Lillo")</f>
        <v>Puebla De Lillo</v>
      </c>
      <c r="I80" s="36" t="str">
        <f ca="1">IFERROR(__xludf.DUMMYFUNCTION("""COMPUTED_VALUE"""),"Cofiñal")</f>
        <v>Cofiñal</v>
      </c>
      <c r="J80" s="36" t="str">
        <f ca="1">IFERROR(__xludf.DUMMYFUNCTION("""COMPUTED_VALUE"""),"")</f>
        <v/>
      </c>
      <c r="K80" s="36" t="str">
        <f ca="1">IFERROR(__xludf.DUMMYFUNCTION("""COMPUTED_VALUE"""),"")</f>
        <v/>
      </c>
      <c r="L80" s="36" t="str">
        <f ca="1">IFERROR(__xludf.DUMMYFUNCTION("""COMPUTED_VALUE"""),"")</f>
        <v/>
      </c>
      <c r="M80" s="36" t="str">
        <f ca="1">IFERROR(__xludf.DUMMYFUNCTION("""COMPUTED_VALUE"""),"")</f>
        <v/>
      </c>
      <c r="N80" s="36" t="str">
        <f ca="1">IFERROR(__xludf.DUMMYFUNCTION("""COMPUTED_VALUE"""),"")</f>
        <v/>
      </c>
      <c r="O80" s="36" t="str">
        <f ca="1">IFERROR(__xludf.DUMMYFUNCTION("""COMPUTED_VALUE"""),"")</f>
        <v/>
      </c>
      <c r="P80" s="36" t="str">
        <f ca="1">IFERROR(__xludf.DUMMYFUNCTION("""COMPUTED_VALUE"""),"")</f>
        <v/>
      </c>
      <c r="Q80" s="36" t="str">
        <f ca="1">IFERROR(__xludf.DUMMYFUNCTION("""COMPUTED_VALUE"""),"")</f>
        <v/>
      </c>
      <c r="R80" s="36" t="str">
        <f ca="1">IFERROR(__xludf.DUMMYFUNCTION("""COMPUTED_VALUE"""),"")</f>
        <v/>
      </c>
      <c r="S80" s="36" t="str">
        <f ca="1">IFERROR(__xludf.DUMMYFUNCTION("""COMPUTED_VALUE"""),"")</f>
        <v/>
      </c>
      <c r="T80" s="36" t="str">
        <f ca="1">IFERROR(__xludf.DUMMYFUNCTION("""COMPUTED_VALUE"""),"")</f>
        <v/>
      </c>
      <c r="U80" s="36" t="str">
        <f ca="1">IFERROR(__xludf.DUMMYFUNCTION("""COMPUTED_VALUE"""),"")</f>
        <v/>
      </c>
      <c r="V80" s="36" t="str">
        <f ca="1">IFERROR(__xludf.DUMMYFUNCTION("""COMPUTED_VALUE"""),"")</f>
        <v/>
      </c>
      <c r="W80" s="36" t="str">
        <f ca="1">IFERROR(__xludf.DUMMYFUNCTION("""COMPUTED_VALUE"""),"")</f>
        <v/>
      </c>
      <c r="X80" s="36"/>
      <c r="Y80" s="36"/>
      <c r="Z80" s="36"/>
    </row>
    <row r="81" spans="1:26" ht="12.75" hidden="1">
      <c r="A81" s="36" t="str">
        <f ca="1">IFERROR(__xludf.DUMMYFUNCTION("""COMPUTED_VALUE"""),"Castilla y León")</f>
        <v>Castilla y León</v>
      </c>
      <c r="B81" s="36" t="str">
        <f ca="1">IFERROR(__xludf.DUMMYFUNCTION("""COMPUTED_VALUE"""),"Soria")</f>
        <v>Soria</v>
      </c>
      <c r="C81" s="36">
        <f ca="1">IFERROR(__xludf.DUMMYFUNCTION("""COMPUTED_VALUE"""),2016)</f>
        <v>2016</v>
      </c>
      <c r="D81" s="36" t="str">
        <f ca="1">IFERROR(__xludf.DUMMYFUNCTION("""COMPUTED_VALUE"""),"Lince San Gregorio")</f>
        <v>Lince San Gregorio</v>
      </c>
      <c r="E81" s="36" t="str">
        <f ca="1">IFERROR(__xludf.DUMMYFUNCTION("""COMPUTED_VALUE"""),"gs.lincesangregorio@scoutsdemadrid.org ")</f>
        <v xml:space="preserve">gs.lincesangregorio@scoutsdemadrid.org </v>
      </c>
      <c r="F81" s="48">
        <f ca="1">IFERROR(__xludf.DUMMYFUNCTION("""COMPUTED_VALUE"""),42567)</f>
        <v>42567</v>
      </c>
      <c r="G81" s="48">
        <f ca="1">IFERROR(__xludf.DUMMYFUNCTION("""COMPUTED_VALUE"""),42581)</f>
        <v>42581</v>
      </c>
      <c r="H81" s="36" t="str">
        <f ca="1">IFERROR(__xludf.DUMMYFUNCTION("""COMPUTED_VALUE"""),"Covaleda")</f>
        <v>Covaleda</v>
      </c>
      <c r="I81" s="36" t="str">
        <f ca="1">IFERROR(__xludf.DUMMYFUNCTION("""COMPUTED_VALUE"""),"Raso de la Nava")</f>
        <v>Raso de la Nava</v>
      </c>
      <c r="J81" s="36" t="str">
        <f ca="1">IFERROR(__xludf.DUMMYFUNCTION("""COMPUTED_VALUE"""),"")</f>
        <v/>
      </c>
      <c r="K81" s="36" t="str">
        <f ca="1">IFERROR(__xludf.DUMMYFUNCTION("""COMPUTED_VALUE"""),"")</f>
        <v/>
      </c>
      <c r="L81" s="36" t="str">
        <f ca="1">IFERROR(__xludf.DUMMYFUNCTION("""COMPUTED_VALUE"""),"Ayuntamiento de Covaleda")</f>
        <v>Ayuntamiento de Covaleda</v>
      </c>
      <c r="M81" s="36" t="str">
        <f ca="1">IFERROR(__xludf.DUMMYFUNCTION("""COMPUTED_VALUE"""),"")</f>
        <v/>
      </c>
      <c r="N81" s="36" t="str">
        <f ca="1">IFERROR(__xludf.DUMMYFUNCTION("""COMPUTED_VALUE"""),"")</f>
        <v/>
      </c>
      <c r="O81" s="36" t="str">
        <f ca="1">IFERROR(__xludf.DUMMYFUNCTION("""COMPUTED_VALUE"""),"")</f>
        <v/>
      </c>
      <c r="P81" s="36" t="str">
        <f ca="1">IFERROR(__xludf.DUMMYFUNCTION("""COMPUTED_VALUE"""),"")</f>
        <v/>
      </c>
      <c r="Q81" s="36" t="str">
        <f ca="1">IFERROR(__xludf.DUMMYFUNCTION("""COMPUTED_VALUE"""),"BUENO (Se puede acceder con cualquier coche)")</f>
        <v>BUENO (Se puede acceder con cualquier coche)</v>
      </c>
      <c r="R81" s="36" t="str">
        <f ca="1">IFERROR(__xludf.DUMMYFUNCTION("""COMPUTED_VALUE"""),"Sí")</f>
        <v>Sí</v>
      </c>
      <c r="S81" s="36" t="str">
        <f ca="1">IFERROR(__xludf.DUMMYFUNCTION("""COMPUTED_VALUE"""),"")</f>
        <v/>
      </c>
      <c r="T81" s="36" t="str">
        <f ca="1">IFERROR(__xludf.DUMMYFUNCTION("""COMPUTED_VALUE"""),"")</f>
        <v/>
      </c>
      <c r="U81" s="36" t="str">
        <f ca="1">IFERROR(__xludf.DUMMYFUNCTION("""COMPUTED_VALUE"""),"")</f>
        <v/>
      </c>
      <c r="V81" s="36" t="str">
        <f ca="1">IFERROR(__xludf.DUMMYFUNCTION("""COMPUTED_VALUE"""),"")</f>
        <v/>
      </c>
      <c r="W81" s="36" t="str">
        <f ca="1">IFERROR(__xludf.DUMMYFUNCTION("""COMPUTED_VALUE"""),"")</f>
        <v/>
      </c>
      <c r="X81" s="36"/>
      <c r="Y81" s="36"/>
      <c r="Z81" s="36"/>
    </row>
    <row r="82" spans="1:26" ht="12.75" hidden="1">
      <c r="A82" s="36" t="str">
        <f ca="1">IFERROR(__xludf.DUMMYFUNCTION("""COMPUTED_VALUE"""),"Castilla y León")</f>
        <v>Castilla y León</v>
      </c>
      <c r="B82" s="36" t="str">
        <f ca="1">IFERROR(__xludf.DUMMYFUNCTION("""COMPUTED_VALUE"""),"Ávila")</f>
        <v>Ávila</v>
      </c>
      <c r="C82" s="36">
        <f ca="1">IFERROR(__xludf.DUMMYFUNCTION("""COMPUTED_VALUE"""),2019)</f>
        <v>2019</v>
      </c>
      <c r="D82" s="36" t="str">
        <f ca="1">IFERROR(__xludf.DUMMYFUNCTION("""COMPUTED_VALUE"""),"Lince San Gregorio")</f>
        <v>Lince San Gregorio</v>
      </c>
      <c r="E82" s="36" t="str">
        <f ca="1">IFERROR(__xludf.DUMMYFUNCTION("""COMPUTED_VALUE"""),"gs.lincesangregorio@scoutsdemadrid.org ")</f>
        <v xml:space="preserve">gs.lincesangregorio@scoutsdemadrid.org </v>
      </c>
      <c r="F82" s="36">
        <f ca="1">IFERROR(__xludf.DUMMYFUNCTION("""COMPUTED_VALUE"""),43658)</f>
        <v>43658</v>
      </c>
      <c r="G82" s="36">
        <f ca="1">IFERROR(__xludf.DUMMYFUNCTION("""COMPUTED_VALUE"""),43676)</f>
        <v>43676</v>
      </c>
      <c r="H82" s="36" t="str">
        <f ca="1">IFERROR(__xludf.DUMMYFUNCTION("""COMPUTED_VALUE"""),"Barco De Ávila")</f>
        <v>Barco De Ávila</v>
      </c>
      <c r="I82" s="36" t="str">
        <f ca="1">IFERROR(__xludf.DUMMYFUNCTION("""COMPUTED_VALUE"""),"Navalamediana/ Prado vega")</f>
        <v>Navalamediana/ Prado vega</v>
      </c>
      <c r="J82" s="36" t="str">
        <f ca="1">IFERROR(__xludf.DUMMYFUNCTION("""COMPUTED_VALUE"""),"05113A012000070000YF")</f>
        <v>05113A012000070000YF</v>
      </c>
      <c r="K82" s="36" t="str">
        <f ca="1">IFERROR(__xludf.DUMMYFUNCTION("""COMPUTED_VALUE"""),"X293542,17 Y446699,53")</f>
        <v>X293542,17 Y446699,53</v>
      </c>
      <c r="L82" s="36" t="str">
        <f ca="1">IFERROR(__xludf.DUMMYFUNCTION("""COMPUTED_VALUE"""),"Daniel  Martín Bermejo")</f>
        <v>Daniel  Martín Bermejo</v>
      </c>
      <c r="M82" s="36">
        <f ca="1">IFERROR(__xludf.DUMMYFUNCTION("""COMPUTED_VALUE"""),920207441)</f>
        <v>920207441</v>
      </c>
      <c r="N82" s="36" t="str">
        <f ca="1">IFERROR(__xludf.DUMMYFUNCTION("""COMPUTED_VALUE"""),"evadematias@clinicagredos.es")</f>
        <v>evadematias@clinicagredos.es</v>
      </c>
      <c r="O82" s="36" t="str">
        <f ca="1">IFERROR(__xludf.DUMMYFUNCTION("""COMPUTED_VALUE"""),"1.200€ quincena")</f>
        <v>1.200€ quincena</v>
      </c>
      <c r="P82" s="36">
        <f ca="1">IFERROR(__xludf.DUMMYFUNCTION("""COMPUTED_VALUE"""),14)</f>
        <v>14</v>
      </c>
      <c r="Q82" s="36" t="str">
        <f ca="1">IFERROR(__xludf.DUMMYFUNCTION("""COMPUTED_VALUE"""),"BUENO (Se puede acceder con cualquier coche)")</f>
        <v>BUENO (Se puede acceder con cualquier coche)</v>
      </c>
      <c r="R82" s="36" t="str">
        <f ca="1">IFERROR(__xludf.DUMMYFUNCTION("""COMPUTED_VALUE"""),"Sí")</f>
        <v>Sí</v>
      </c>
      <c r="S82" s="36" t="str">
        <f ca="1">IFERROR(__xludf.DUMMYFUNCTION("""COMPUTED_VALUE"""),"100 m")</f>
        <v>100 m</v>
      </c>
      <c r="T82" s="36" t="str">
        <f ca="1">IFERROR(__xludf.DUMMYFUNCTION("""COMPUTED_VALUE"""),"Excelente")</f>
        <v>Excelente</v>
      </c>
      <c r="U82" s="36" t="str">
        <f ca="1">IFERROR(__xludf.DUMMYFUNCTION("""COMPUTED_VALUE"""),"No")</f>
        <v>No</v>
      </c>
      <c r="V82" s="36" t="str">
        <f ca="1">IFERROR(__xludf.DUMMYFUNCTION("""COMPUTED_VALUE"""),"Sí, nos la cede el propietario")</f>
        <v>Sí, nos la cede el propietario</v>
      </c>
      <c r="W82" s="36" t="str">
        <f ca="1">IFERROR(__xludf.DUMMYFUNCTION("""COMPUTED_VALUE"""),"Es una fincs espectacular")</f>
        <v>Es una fincs espectacular</v>
      </c>
      <c r="X82" s="36"/>
      <c r="Y82" s="36"/>
      <c r="Z82" s="36"/>
    </row>
    <row r="83" spans="1:26" ht="12.75" hidden="1">
      <c r="A83" s="36" t="str">
        <f ca="1">IFERROR(__xludf.DUMMYFUNCTION("""COMPUTED_VALUE"""),"Castilla y León")</f>
        <v>Castilla y León</v>
      </c>
      <c r="B83" s="36" t="str">
        <f ca="1">IFERROR(__xludf.DUMMYFUNCTION("""COMPUTED_VALUE"""),"Ávila")</f>
        <v>Ávila</v>
      </c>
      <c r="C83" s="36">
        <f ca="1">IFERROR(__xludf.DUMMYFUNCTION("""COMPUTED_VALUE"""),2019)</f>
        <v>2019</v>
      </c>
      <c r="D83" s="36" t="str">
        <f ca="1">IFERROR(__xludf.DUMMYFUNCTION("""COMPUTED_VALUE"""),"Madre Del Rosario")</f>
        <v>Madre Del Rosario</v>
      </c>
      <c r="E83" s="36" t="str">
        <f ca="1">IFERROR(__xludf.DUMMYFUNCTION("""COMPUTED_VALUE"""),"gs.madredelrosario@scoutsdemadrid.org ")</f>
        <v xml:space="preserve">gs.madredelrosario@scoutsdemadrid.org </v>
      </c>
      <c r="F83" s="36">
        <f ca="1">IFERROR(__xludf.DUMMYFUNCTION("""COMPUTED_VALUE"""),43639)</f>
        <v>43639</v>
      </c>
      <c r="G83" s="36">
        <f ca="1">IFERROR(__xludf.DUMMYFUNCTION("""COMPUTED_VALUE"""),43645)</f>
        <v>43645</v>
      </c>
      <c r="H83" s="36" t="str">
        <f ca="1">IFERROR(__xludf.DUMMYFUNCTION("""COMPUTED_VALUE"""),"Santa María De La Alameda")</f>
        <v>Santa María De La Alameda</v>
      </c>
      <c r="I83" s="36" t="str">
        <f ca="1">IFERROR(__xludf.DUMMYFUNCTION("""COMPUTED_VALUE"""),"Camping Valle Enmedio SL")</f>
        <v>Camping Valle Enmedio SL</v>
      </c>
      <c r="J83" s="36" t="str">
        <f ca="1">IFERROR(__xludf.DUMMYFUNCTION("""COMPUTED_VALUE"""),"8214601UL9081S001HX")</f>
        <v>8214601UL9081S001HX</v>
      </c>
      <c r="K83" s="36" t="str">
        <f ca="1">IFERROR(__xludf.DUMMYFUNCTION("""COMPUTED_VALUE"""),"(40.6569275, -4.2025870)")</f>
        <v>(40.6569275, -4.2025870)</v>
      </c>
      <c r="L83" s="36" t="str">
        <f ca="1">IFERROR(__xludf.DUMMYFUNCTION("""COMPUTED_VALUE"""),"Ayuntamiento de Santa María de la Alameda")</f>
        <v>Ayuntamiento de Santa María de la Alameda</v>
      </c>
      <c r="M83" s="36">
        <f ca="1">IFERROR(__xludf.DUMMYFUNCTION("""COMPUTED_VALUE"""),918983176)</f>
        <v>918983176</v>
      </c>
      <c r="N83" s="36" t="str">
        <f ca="1">IFERROR(__xludf.DUMMYFUNCTION("""COMPUTED_VALUE"""),"reservas@vallenmedio.com")</f>
        <v>reservas@vallenmedio.com</v>
      </c>
      <c r="O83" s="36" t="str">
        <f ca="1">IFERROR(__xludf.DUMMYFUNCTION("""COMPUTED_VALUE"""),"Precio por persona")</f>
        <v>Precio por persona</v>
      </c>
      <c r="P83" s="36">
        <f ca="1">IFERROR(__xludf.DUMMYFUNCTION("""COMPUTED_VALUE"""),9)</f>
        <v>9</v>
      </c>
      <c r="Q83" s="36" t="str">
        <f ca="1">IFERROR(__xludf.DUMMYFUNCTION("""COMPUTED_VALUE"""),"BUENO (Se puede acceder con cualquier coche)")</f>
        <v>BUENO (Se puede acceder con cualquier coche)</v>
      </c>
      <c r="R83" s="36" t="str">
        <f ca="1">IFERROR(__xludf.DUMMYFUNCTION("""COMPUTED_VALUE"""),"Sí")</f>
        <v>Sí</v>
      </c>
      <c r="S83" s="36" t="str">
        <f ca="1">IFERROR(__xludf.DUMMYFUNCTION("""COMPUTED_VALUE"""),"100 m")</f>
        <v>100 m</v>
      </c>
      <c r="T83" s="36" t="str">
        <f ca="1">IFERROR(__xludf.DUMMYFUNCTION("""COMPUTED_VALUE"""),"WC + Lavabos")</f>
        <v>WC + Lavabos</v>
      </c>
      <c r="U83" s="36" t="str">
        <f ca="1">IFERROR(__xludf.DUMMYFUNCTION("""COMPUTED_VALUE"""),"Tienda, recepción, restaurante, lavaderos, wc")</f>
        <v>Tienda, recepción, restaurante, lavaderos, wc</v>
      </c>
      <c r="V83" s="36" t="str">
        <f ca="1">IFERROR(__xludf.DUMMYFUNCTION("""COMPUTED_VALUE"""),"Si, Materiales Barsega (Las Navas del Marqués)")</f>
        <v>Si, Materiales Barsega (Las Navas del Marqués)</v>
      </c>
      <c r="W83" s="36" t="str">
        <f ca="1">IFERROR(__xludf.DUMMYFUNCTION("""COMPUTED_VALUE"""),"Muy buena zona de acampada con instalaciones")</f>
        <v>Muy buena zona de acampada con instalaciones</v>
      </c>
      <c r="X83" s="36"/>
      <c r="Y83" s="36"/>
      <c r="Z83" s="36"/>
    </row>
    <row r="84" spans="1:26" ht="12.75" hidden="1">
      <c r="A84" s="36" t="str">
        <f ca="1">IFERROR(__xludf.DUMMYFUNCTION("""COMPUTED_VALUE"""),"Castilla y León")</f>
        <v>Castilla y León</v>
      </c>
      <c r="B84" s="36" t="str">
        <f ca="1">IFERROR(__xludf.DUMMYFUNCTION("""COMPUTED_VALUE"""),"Ávila")</f>
        <v>Ávila</v>
      </c>
      <c r="C84" s="36">
        <f ca="1">IFERROR(__xludf.DUMMYFUNCTION("""COMPUTED_VALUE"""),2012)</f>
        <v>2012</v>
      </c>
      <c r="D84" s="36" t="str">
        <f ca="1">IFERROR(__xludf.DUMMYFUNCTION("""COMPUTED_VALUE"""),"Orion")</f>
        <v>Orion</v>
      </c>
      <c r="E84" s="36" t="str">
        <f ca="1">IFERROR(__xludf.DUMMYFUNCTION("""COMPUTED_VALUE"""),"gs.orion@scoutsdemadrid.org ")</f>
        <v xml:space="preserve">gs.orion@scoutsdemadrid.org </v>
      </c>
      <c r="F84" s="48">
        <f ca="1">IFERROR(__xludf.DUMMYFUNCTION("""COMPUTED_VALUE"""),41106)</f>
        <v>41106</v>
      </c>
      <c r="G84" s="48">
        <f ca="1">IFERROR(__xludf.DUMMYFUNCTION("""COMPUTED_VALUE"""),41117)</f>
        <v>41117</v>
      </c>
      <c r="H84" s="36" t="str">
        <f ca="1">IFERROR(__xludf.DUMMYFUNCTION("""COMPUTED_VALUE"""),"Burgohondo")</f>
        <v>Burgohondo</v>
      </c>
      <c r="I84" s="36" t="str">
        <f ca="1">IFERROR(__xludf.DUMMYFUNCTION("""COMPUTED_VALUE"""),"LA MATA - EL PINAR")</f>
        <v>LA MATA - EL PINAR</v>
      </c>
      <c r="J84" s="36" t="str">
        <f ca="1">IFERROR(__xludf.DUMMYFUNCTION("""COMPUTED_VALUE"""),"")</f>
        <v/>
      </c>
      <c r="K84" s="49" t="str">
        <f ca="1">IFERROR(__xludf.DUMMYFUNCTION("""COMPUTED_VALUE"""),"http://goo.gl/maps/I4zW")</f>
        <v>http://goo.gl/maps/I4zW</v>
      </c>
      <c r="L84" s="36" t="str">
        <f ca="1">IFERROR(__xludf.DUMMYFUNCTION("""COMPUTED_VALUE"""),"")</f>
        <v/>
      </c>
      <c r="M84" s="36" t="str">
        <f ca="1">IFERROR(__xludf.DUMMYFUNCTION("""COMPUTED_VALUE"""),"")</f>
        <v/>
      </c>
      <c r="N84" s="36" t="str">
        <f ca="1">IFERROR(__xludf.DUMMYFUNCTION("""COMPUTED_VALUE"""),"")</f>
        <v/>
      </c>
      <c r="O84" s="36" t="str">
        <f ca="1">IFERROR(__xludf.DUMMYFUNCTION("""COMPUTED_VALUE"""),"")</f>
        <v/>
      </c>
      <c r="P84" s="36" t="str">
        <f ca="1">IFERROR(__xludf.DUMMYFUNCTION("""COMPUTED_VALUE"""),"")</f>
        <v/>
      </c>
      <c r="Q84" s="36" t="str">
        <f ca="1">IFERROR(__xludf.DUMMYFUNCTION("""COMPUTED_VALUE"""),"")</f>
        <v/>
      </c>
      <c r="R84" s="36" t="str">
        <f ca="1">IFERROR(__xludf.DUMMYFUNCTION("""COMPUTED_VALUE"""),"")</f>
        <v/>
      </c>
      <c r="S84" s="36" t="str">
        <f ca="1">IFERROR(__xludf.DUMMYFUNCTION("""COMPUTED_VALUE"""),"")</f>
        <v/>
      </c>
      <c r="T84" s="36" t="str">
        <f ca="1">IFERROR(__xludf.DUMMYFUNCTION("""COMPUTED_VALUE"""),"")</f>
        <v/>
      </c>
      <c r="U84" s="36" t="str">
        <f ca="1">IFERROR(__xludf.DUMMYFUNCTION("""COMPUTED_VALUE"""),"")</f>
        <v/>
      </c>
      <c r="V84" s="36" t="str">
        <f ca="1">IFERROR(__xludf.DUMMYFUNCTION("""COMPUTED_VALUE"""),"")</f>
        <v/>
      </c>
      <c r="W84" s="36" t="str">
        <f ca="1">IFERROR(__xludf.DUMMYFUNCTION("""COMPUTED_VALUE"""),"")</f>
        <v/>
      </c>
      <c r="X84" s="36"/>
      <c r="Y84" s="36"/>
      <c r="Z84" s="36"/>
    </row>
    <row r="85" spans="1:26" ht="12.75" hidden="1">
      <c r="A85" s="36" t="str">
        <f ca="1">IFERROR(__xludf.DUMMYFUNCTION("""COMPUTED_VALUE"""),"Castilla y León")</f>
        <v>Castilla y León</v>
      </c>
      <c r="B85" s="36" t="str">
        <f ca="1">IFERROR(__xludf.DUMMYFUNCTION("""COMPUTED_VALUE"""),"Ávila")</f>
        <v>Ávila</v>
      </c>
      <c r="C85" s="36">
        <f ca="1">IFERROR(__xludf.DUMMYFUNCTION("""COMPUTED_VALUE"""),2017)</f>
        <v>2017</v>
      </c>
      <c r="D85" s="36" t="str">
        <f ca="1">IFERROR(__xludf.DUMMYFUNCTION("""COMPUTED_VALUE"""),"Orión")</f>
        <v>Orión</v>
      </c>
      <c r="E85" s="36" t="str">
        <f ca="1">IFERROR(__xludf.DUMMYFUNCTION("""COMPUTED_VALUE"""),"gs.orion@scoutsdemadrid.org ")</f>
        <v xml:space="preserve">gs.orion@scoutsdemadrid.org </v>
      </c>
      <c r="F85" s="48">
        <f ca="1">IFERROR(__xludf.DUMMYFUNCTION("""COMPUTED_VALUE"""),42933)</f>
        <v>42933</v>
      </c>
      <c r="G85" s="48">
        <f ca="1">IFERROR(__xludf.DUMMYFUNCTION("""COMPUTED_VALUE"""),42946)</f>
        <v>42946</v>
      </c>
      <c r="H85" s="36" t="str">
        <f ca="1">IFERROR(__xludf.DUMMYFUNCTION("""COMPUTED_VALUE"""),"Mombeltrán")</f>
        <v>Mombeltrán</v>
      </c>
      <c r="I85" s="36" t="str">
        <f ca="1">IFERROR(__xludf.DUMMYFUNCTION("""COMPUTED_VALUE"""),"Prados Abiertos")</f>
        <v>Prados Abiertos</v>
      </c>
      <c r="J85" s="36" t="str">
        <f ca="1">IFERROR(__xludf.DUMMYFUNCTION("""COMPUTED_VALUE"""),"")</f>
        <v/>
      </c>
      <c r="K85" s="36" t="str">
        <f ca="1">IFERROR(__xludf.DUMMYFUNCTION("""COMPUTED_VALUE"""),"N 40º 13´ 54´´ - W 5º 2´ 1´´ ")</f>
        <v xml:space="preserve">N 40º 13´ 54´´ - W 5º 2´ 1´´ </v>
      </c>
      <c r="L85" s="36" t="str">
        <f ca="1">IFERROR(__xludf.DUMMYFUNCTION("""COMPUTED_VALUE"""),"Camping Prados Abiertos")</f>
        <v>Camping Prados Abiertos</v>
      </c>
      <c r="M85" s="36">
        <f ca="1">IFERROR(__xludf.DUMMYFUNCTION("""COMPUTED_VALUE"""),920386061)</f>
        <v>920386061</v>
      </c>
      <c r="N85" s="36" t="str">
        <f ca="1">IFERROR(__xludf.DUMMYFUNCTION("""COMPUTED_VALUE"""),"info@pradosabiertos.com")</f>
        <v>info@pradosabiertos.com</v>
      </c>
      <c r="O85" s="36" t="str">
        <f ca="1">IFERROR(__xludf.DUMMYFUNCTION("""COMPUTED_VALUE"""),"60 € / quincena y persona")</f>
        <v>60 € / quincena y persona</v>
      </c>
      <c r="P85" s="36" t="str">
        <f ca="1">IFERROR(__xludf.DUMMYFUNCTION("""COMPUTED_VALUE"""),"")</f>
        <v/>
      </c>
      <c r="Q85" s="36" t="str">
        <f ca="1">IFERROR(__xludf.DUMMYFUNCTION("""COMPUTED_VALUE"""),"BUENO (Se puede acceder con cualquier coche)")</f>
        <v>BUENO (Se puede acceder con cualquier coche)</v>
      </c>
      <c r="R85" s="36" t="str">
        <f ca="1">IFERROR(__xludf.DUMMYFUNCTION("""COMPUTED_VALUE"""),"Sí")</f>
        <v>Sí</v>
      </c>
      <c r="S85" s="36" t="str">
        <f ca="1">IFERROR(__xludf.DUMMYFUNCTION("""COMPUTED_VALUE"""),"50 metros")</f>
        <v>50 metros</v>
      </c>
      <c r="T85" s="36" t="str">
        <f ca="1">IFERROR(__xludf.DUMMYFUNCTION("""COMPUTED_VALUE"""),"Piscina")</f>
        <v>Piscina</v>
      </c>
      <c r="U85" s="36" t="str">
        <f ca="1">IFERROR(__xludf.DUMMYFUNCTION("""COMPUTED_VALUE"""),"Comedor, cocina, wc, duchas, piscina")</f>
        <v>Comedor, cocina, wc, duchas, piscina</v>
      </c>
      <c r="V85" s="36" t="str">
        <f ca="1">IFERROR(__xludf.DUMMYFUNCTION("""COMPUTED_VALUE"""),"Sí")</f>
        <v>Sí</v>
      </c>
      <c r="W85" s="36" t="str">
        <f ca="1">IFERROR(__xludf.DUMMYFUNCTION("""COMPUTED_VALUE"""),"Zona de campamento independiente, con muchas sombras, explanadas, piscina, instalaciones")</f>
        <v>Zona de campamento independiente, con muchas sombras, explanadas, piscina, instalaciones</v>
      </c>
      <c r="X85" s="36"/>
      <c r="Y85" s="36"/>
      <c r="Z85" s="36"/>
    </row>
    <row r="86" spans="1:26" ht="12.75" hidden="1">
      <c r="A86" s="36" t="str">
        <f ca="1">IFERROR(__xludf.DUMMYFUNCTION("""COMPUTED_VALUE"""),"Castilla y León")</f>
        <v>Castilla y León</v>
      </c>
      <c r="B86" s="36" t="str">
        <f ca="1">IFERROR(__xludf.DUMMYFUNCTION("""COMPUTED_VALUE"""),"Zamora")</f>
        <v>Zamora</v>
      </c>
      <c r="C86" s="36">
        <f ca="1">IFERROR(__xludf.DUMMYFUNCTION("""COMPUTED_VALUE"""),2015)</f>
        <v>2015</v>
      </c>
      <c r="D86" s="36" t="str">
        <f ca="1">IFERROR(__xludf.DUMMYFUNCTION("""COMPUTED_VALUE"""),"Paz")</f>
        <v>Paz</v>
      </c>
      <c r="E86" s="36" t="str">
        <f ca="1">IFERROR(__xludf.DUMMYFUNCTION("""COMPUTED_VALUE"""),"")</f>
        <v/>
      </c>
      <c r="F86" s="48">
        <f ca="1">IFERROR(__xludf.DUMMYFUNCTION("""COMPUTED_VALUE"""),42201)</f>
        <v>42201</v>
      </c>
      <c r="G86" s="48">
        <f ca="1">IFERROR(__xludf.DUMMYFUNCTION("""COMPUTED_VALUE"""),42215)</f>
        <v>42215</v>
      </c>
      <c r="H86" s="36" t="str">
        <f ca="1">IFERROR(__xludf.DUMMYFUNCTION("""COMPUTED_VALUE"""),"Galende")</f>
        <v>Galende</v>
      </c>
      <c r="I86" s="36" t="str">
        <f ca="1">IFERROR(__xludf.DUMMYFUNCTION("""COMPUTED_VALUE"""),"Peña Gullón")</f>
        <v>Peña Gullón</v>
      </c>
      <c r="J86" s="36" t="str">
        <f ca="1">IFERROR(__xludf.DUMMYFUNCTION("""COMPUTED_VALUE"""),"")</f>
        <v/>
      </c>
      <c r="K86" s="36" t="str">
        <f ca="1">IFERROR(__xludf.DUMMYFUNCTION("""COMPUTED_VALUE"""),"N 42º 07' 04"" / O 6º 41' 29""")</f>
        <v>N 42º 07' 04" / O 6º 41' 29"</v>
      </c>
      <c r="L86" s="36" t="str">
        <f ca="1">IFERROR(__xludf.DUMMYFUNCTION("""COMPUTED_VALUE"""),"")</f>
        <v/>
      </c>
      <c r="M86" s="36" t="str">
        <f ca="1">IFERROR(__xludf.DUMMYFUNCTION("""COMPUTED_VALUE"""),"")</f>
        <v/>
      </c>
      <c r="N86" s="36" t="str">
        <f ca="1">IFERROR(__xludf.DUMMYFUNCTION("""COMPUTED_VALUE"""),"")</f>
        <v/>
      </c>
      <c r="O86" s="36" t="str">
        <f ca="1">IFERROR(__xludf.DUMMYFUNCTION("""COMPUTED_VALUE"""),"")</f>
        <v/>
      </c>
      <c r="P86" s="36" t="str">
        <f ca="1">IFERROR(__xludf.DUMMYFUNCTION("""COMPUTED_VALUE"""),"")</f>
        <v/>
      </c>
      <c r="Q86" s="36" t="str">
        <f ca="1">IFERROR(__xludf.DUMMYFUNCTION("""COMPUTED_VALUE"""),"")</f>
        <v/>
      </c>
      <c r="R86" s="36" t="str">
        <f ca="1">IFERROR(__xludf.DUMMYFUNCTION("""COMPUTED_VALUE"""),"")</f>
        <v/>
      </c>
      <c r="S86" s="36" t="str">
        <f ca="1">IFERROR(__xludf.DUMMYFUNCTION("""COMPUTED_VALUE"""),"")</f>
        <v/>
      </c>
      <c r="T86" s="36" t="str">
        <f ca="1">IFERROR(__xludf.DUMMYFUNCTION("""COMPUTED_VALUE"""),"")</f>
        <v/>
      </c>
      <c r="U86" s="36" t="str">
        <f ca="1">IFERROR(__xludf.DUMMYFUNCTION("""COMPUTED_VALUE"""),"")</f>
        <v/>
      </c>
      <c r="V86" s="36" t="str">
        <f ca="1">IFERROR(__xludf.DUMMYFUNCTION("""COMPUTED_VALUE"""),"")</f>
        <v/>
      </c>
      <c r="W86" s="36" t="str">
        <f ca="1">IFERROR(__xludf.DUMMYFUNCTION("""COMPUTED_VALUE"""),"")</f>
        <v/>
      </c>
      <c r="X86" s="36"/>
      <c r="Y86" s="36"/>
      <c r="Z86" s="36"/>
    </row>
    <row r="87" spans="1:26" ht="12.75" hidden="1">
      <c r="A87" s="36" t="str">
        <f ca="1">IFERROR(__xludf.DUMMYFUNCTION("""COMPUTED_VALUE"""),"Castilla y León")</f>
        <v>Castilla y León</v>
      </c>
      <c r="B87" s="36" t="str">
        <f ca="1">IFERROR(__xludf.DUMMYFUNCTION("""COMPUTED_VALUE"""),"Segovia")</f>
        <v>Segovia</v>
      </c>
      <c r="C87" s="36">
        <f ca="1">IFERROR(__xludf.DUMMYFUNCTION("""COMPUTED_VALUE"""),2016)</f>
        <v>2016</v>
      </c>
      <c r="D87" s="36" t="str">
        <f ca="1">IFERROR(__xludf.DUMMYFUNCTION("""COMPUTED_VALUE"""),"Paz")</f>
        <v>Paz</v>
      </c>
      <c r="E87" s="36" t="str">
        <f ca="1">IFERROR(__xludf.DUMMYFUNCTION("""COMPUTED_VALUE"""),"")</f>
        <v/>
      </c>
      <c r="F87" s="48">
        <f ca="1">IFERROR(__xludf.DUMMYFUNCTION("""COMPUTED_VALUE"""),42567)</f>
        <v>42567</v>
      </c>
      <c r="G87" s="48">
        <f ca="1">IFERROR(__xludf.DUMMYFUNCTION("""COMPUTED_VALUE"""),42581)</f>
        <v>42581</v>
      </c>
      <c r="H87" s="36" t="str">
        <f ca="1">IFERROR(__xludf.DUMMYFUNCTION("""COMPUTED_VALUE"""),"San Pedro De Gaíllos")</f>
        <v>San Pedro De Gaíllos</v>
      </c>
      <c r="I87" s="36" t="str">
        <f ca="1">IFERROR(__xludf.DUMMYFUNCTION("""COMPUTED_VALUE"""),"""Cazada 6435""")</f>
        <v>"Cazada 6435"</v>
      </c>
      <c r="J87" s="36" t="str">
        <f ca="1">IFERROR(__xludf.DUMMYFUNCTION("""COMPUTED_VALUE"""),"")</f>
        <v/>
      </c>
      <c r="K87" s="36" t="str">
        <f ca="1">IFERROR(__xludf.DUMMYFUNCTION("""COMPUTED_VALUE"""),"N: 41º 13' 37""; O: 3º 48' 33""")</f>
        <v>N: 41º 13' 37"; O: 3º 48' 33"</v>
      </c>
      <c r="L87" s="36" t="str">
        <f ca="1">IFERROR(__xludf.DUMMYFUNCTION("""COMPUTED_VALUE"""),"Ayuntamiento de San Pedro de Gaíllos")</f>
        <v>Ayuntamiento de San Pedro de Gaíllos</v>
      </c>
      <c r="M87" s="36">
        <f ca="1">IFERROR(__xludf.DUMMYFUNCTION("""COMPUTED_VALUE"""),620870024)</f>
        <v>620870024</v>
      </c>
      <c r="N87" s="36" t="str">
        <f ca="1">IFERROR(__xludf.DUMMYFUNCTION("""COMPUTED_VALUE"""),"aytospedro@gmail.com")</f>
        <v>aytospedro@gmail.com</v>
      </c>
      <c r="O87" s="36" t="str">
        <f ca="1">IFERROR(__xludf.DUMMYFUNCTION("""COMPUTED_VALUE"""),"")</f>
        <v/>
      </c>
      <c r="P87" s="36" t="str">
        <f ca="1">IFERROR(__xludf.DUMMYFUNCTION("""COMPUTED_VALUE"""),"")</f>
        <v/>
      </c>
      <c r="Q87" s="36" t="str">
        <f ca="1">IFERROR(__xludf.DUMMYFUNCTION("""COMPUTED_VALUE"""),"BUENO (Se puede acceder con cualquier coche)")</f>
        <v>BUENO (Se puede acceder con cualquier coche)</v>
      </c>
      <c r="R87" s="36" t="str">
        <f ca="1">IFERROR(__xludf.DUMMYFUNCTION("""COMPUTED_VALUE"""),"Sí")</f>
        <v>Sí</v>
      </c>
      <c r="S87" s="36" t="str">
        <f ca="1">IFERROR(__xludf.DUMMYFUNCTION("""COMPUTED_VALUE"""),"a 1km escaso (se encuentra en el pueblo)")</f>
        <v>a 1km escaso (se encuentra en el pueblo)</v>
      </c>
      <c r="T87" s="36" t="str">
        <f ca="1">IFERROR(__xludf.DUMMYFUNCTION("""COMPUTED_VALUE"""),"Es la piscina municipal")</f>
        <v>Es la piscina municipal</v>
      </c>
      <c r="U87" s="36" t="str">
        <f ca="1">IFERROR(__xludf.DUMMYFUNCTION("""COMPUTED_VALUE"""),"Cuenta con baños y un kiosko")</f>
        <v>Cuenta con baños y un kiosko</v>
      </c>
      <c r="V87" s="36" t="str">
        <f ca="1">IFERROR(__xludf.DUMMYFUNCTION("""COMPUTED_VALUE"""),"Nunca lo hemos necesitado, no sé")</f>
        <v>Nunca lo hemos necesitado, no sé</v>
      </c>
      <c r="W87" s="36" t="str">
        <f ca="1">IFERROR(__xludf.DUMMYFUNCTION("""COMPUTED_VALUE"""),"Para nosotros que somos un grupo pequeño es muy cómodo. Tiene baños, fregaderos y una pequeña casita con nevera. Para grupos grandes puede resultar demasiado pequeño")</f>
        <v>Para nosotros que somos un grupo pequeño es muy cómodo. Tiene baños, fregaderos y una pequeña casita con nevera. Para grupos grandes puede resultar demasiado pequeño</v>
      </c>
      <c r="X87" s="36"/>
      <c r="Y87" s="36"/>
      <c r="Z87" s="36"/>
    </row>
    <row r="88" spans="1:26" ht="12.75" hidden="1">
      <c r="A88" s="36" t="str">
        <f ca="1">IFERROR(__xludf.DUMMYFUNCTION("""COMPUTED_VALUE"""),"Castilla y León")</f>
        <v>Castilla y León</v>
      </c>
      <c r="B88" s="36" t="str">
        <f ca="1">IFERROR(__xludf.DUMMYFUNCTION("""COMPUTED_VALUE"""),"Segovia")</f>
        <v>Segovia</v>
      </c>
      <c r="C88" s="36">
        <f ca="1">IFERROR(__xludf.DUMMYFUNCTION("""COMPUTED_VALUE"""),2016)</f>
        <v>2016</v>
      </c>
      <c r="D88" s="36" t="str">
        <f ca="1">IFERROR(__xludf.DUMMYFUNCTION("""COMPUTED_VALUE"""),"Paz")</f>
        <v>Paz</v>
      </c>
      <c r="E88" s="36" t="str">
        <f ca="1">IFERROR(__xludf.DUMMYFUNCTION("""COMPUTED_VALUE"""),"")</f>
        <v/>
      </c>
      <c r="F88" s="48">
        <f ca="1">IFERROR(__xludf.DUMMYFUNCTION("""COMPUTED_VALUE"""),42567)</f>
        <v>42567</v>
      </c>
      <c r="G88" s="48">
        <f ca="1">IFERROR(__xludf.DUMMYFUNCTION("""COMPUTED_VALUE"""),42581)</f>
        <v>42581</v>
      </c>
      <c r="H88" s="36" t="str">
        <f ca="1">IFERROR(__xludf.DUMMYFUNCTION("""COMPUTED_VALUE"""),"San Pedro De Gaíllos")</f>
        <v>San Pedro De Gaíllos</v>
      </c>
      <c r="I88" s="36" t="str">
        <f ca="1">IFERROR(__xludf.DUMMYFUNCTION("""COMPUTED_VALUE"""),"""Cazada 6435""")</f>
        <v>"Cazada 6435"</v>
      </c>
      <c r="J88" s="36" t="str">
        <f ca="1">IFERROR(__xludf.DUMMYFUNCTION("""COMPUTED_VALUE"""),"")</f>
        <v/>
      </c>
      <c r="K88" s="36" t="str">
        <f ca="1">IFERROR(__xludf.DUMMYFUNCTION("""COMPUTED_VALUE"""),"N: 41º 13' 37""; O: 3º 48' 33""")</f>
        <v>N: 41º 13' 37"; O: 3º 48' 33"</v>
      </c>
      <c r="L88" s="36" t="str">
        <f ca="1">IFERROR(__xludf.DUMMYFUNCTION("""COMPUTED_VALUE"""),"Ayuntamiento de San Pedro de Gaíllos")</f>
        <v>Ayuntamiento de San Pedro de Gaíllos</v>
      </c>
      <c r="M88" s="36">
        <f ca="1">IFERROR(__xludf.DUMMYFUNCTION("""COMPUTED_VALUE"""),620870024)</f>
        <v>620870024</v>
      </c>
      <c r="N88" s="36" t="str">
        <f ca="1">IFERROR(__xludf.DUMMYFUNCTION("""COMPUTED_VALUE"""),"aytospedro@gmail.com")</f>
        <v>aytospedro@gmail.com</v>
      </c>
      <c r="O88" s="36" t="str">
        <f ca="1">IFERROR(__xludf.DUMMYFUNCTION("""COMPUTED_VALUE"""),"")</f>
        <v/>
      </c>
      <c r="P88" s="36" t="str">
        <f ca="1">IFERROR(__xludf.DUMMYFUNCTION("""COMPUTED_VALUE"""),"")</f>
        <v/>
      </c>
      <c r="Q88" s="36" t="str">
        <f ca="1">IFERROR(__xludf.DUMMYFUNCTION("""COMPUTED_VALUE"""),"BUENO (Se puede acceder con cualquier coche)")</f>
        <v>BUENO (Se puede acceder con cualquier coche)</v>
      </c>
      <c r="R88" s="36" t="str">
        <f ca="1">IFERROR(__xludf.DUMMYFUNCTION("""COMPUTED_VALUE"""),"Sí")</f>
        <v>Sí</v>
      </c>
      <c r="S88" s="36" t="str">
        <f ca="1">IFERROR(__xludf.DUMMYFUNCTION("""COMPUTED_VALUE"""),"a 1km escaso (se encuentra en el pueblo)")</f>
        <v>a 1km escaso (se encuentra en el pueblo)</v>
      </c>
      <c r="T88" s="36" t="str">
        <f ca="1">IFERROR(__xludf.DUMMYFUNCTION("""COMPUTED_VALUE"""),"Es la piscina municipal")</f>
        <v>Es la piscina municipal</v>
      </c>
      <c r="U88" s="36" t="str">
        <f ca="1">IFERROR(__xludf.DUMMYFUNCTION("""COMPUTED_VALUE"""),"Cuenta con baños y un kiosko")</f>
        <v>Cuenta con baños y un kiosko</v>
      </c>
      <c r="V88" s="36" t="str">
        <f ca="1">IFERROR(__xludf.DUMMYFUNCTION("""COMPUTED_VALUE"""),"Nunca lo hemos necesitado, no sé")</f>
        <v>Nunca lo hemos necesitado, no sé</v>
      </c>
      <c r="W88" s="36" t="str">
        <f ca="1">IFERROR(__xludf.DUMMYFUNCTION("""COMPUTED_VALUE"""),"Para nosotros que somos un grupo pequeño es muy cómodo. Tiene baños, fregaderos y una pequeña casita con nevera. Para grupos grandes puede resultar demasiado pequeño")</f>
        <v>Para nosotros que somos un grupo pequeño es muy cómodo. Tiene baños, fregaderos y una pequeña casita con nevera. Para grupos grandes puede resultar demasiado pequeño</v>
      </c>
      <c r="X88" s="36"/>
      <c r="Y88" s="36"/>
      <c r="Z88" s="36"/>
    </row>
    <row r="89" spans="1:26" ht="12.75" hidden="1">
      <c r="A89" s="36" t="str">
        <f ca="1">IFERROR(__xludf.DUMMYFUNCTION("""COMPUTED_VALUE"""),"Castilla y León")</f>
        <v>Castilla y León</v>
      </c>
      <c r="B89" s="36" t="str">
        <f ca="1">IFERROR(__xludf.DUMMYFUNCTION("""COMPUTED_VALUE"""),"Ávila")</f>
        <v>Ávila</v>
      </c>
      <c r="C89" s="36">
        <f ca="1">IFERROR(__xludf.DUMMYFUNCTION("""COMPUTED_VALUE"""),2017)</f>
        <v>2017</v>
      </c>
      <c r="D89" s="36" t="str">
        <f ca="1">IFERROR(__xludf.DUMMYFUNCTION("""COMPUTED_VALUE"""),"Paz")</f>
        <v>Paz</v>
      </c>
      <c r="E89" s="36" t="str">
        <f ca="1">IFERROR(__xludf.DUMMYFUNCTION("""COMPUTED_VALUE"""),"")</f>
        <v/>
      </c>
      <c r="F89" s="48">
        <f ca="1">IFERROR(__xludf.DUMMYFUNCTION("""COMPUTED_VALUE"""),42932)</f>
        <v>42932</v>
      </c>
      <c r="G89" s="48">
        <f ca="1">IFERROR(__xludf.DUMMYFUNCTION("""COMPUTED_VALUE"""),42946)</f>
        <v>42946</v>
      </c>
      <c r="H89" s="36" t="str">
        <f ca="1">IFERROR(__xludf.DUMMYFUNCTION("""COMPUTED_VALUE"""),"Hoyos Del Espino")</f>
        <v>Hoyos Del Espino</v>
      </c>
      <c r="I89" s="36" t="str">
        <f ca="1">IFERROR(__xludf.DUMMYFUNCTION("""COMPUTED_VALUE"""),"Las Cepedillas 2")</f>
        <v>Las Cepedillas 2</v>
      </c>
      <c r="J89" s="36" t="str">
        <f ca="1">IFERROR(__xludf.DUMMYFUNCTION("""COMPUTED_VALUE"""),"")</f>
        <v/>
      </c>
      <c r="K89" s="36" t="str">
        <f ca="1">IFERROR(__xludf.DUMMYFUNCTION("""COMPUTED_VALUE"""),"")</f>
        <v/>
      </c>
      <c r="L89" s="36" t="str">
        <f ca="1">IFERROR(__xludf.DUMMYFUNCTION("""COMPUTED_VALUE"""),"Salvador")</f>
        <v>Salvador</v>
      </c>
      <c r="M89" s="36">
        <f ca="1">IFERROR(__xludf.DUMMYFUNCTION("""COMPUTED_VALUE"""),607909418)</f>
        <v>607909418</v>
      </c>
      <c r="N89" s="36" t="str">
        <f ca="1">IFERROR(__xludf.DUMMYFUNCTION("""COMPUTED_VALUE"""),"rumbospromocionactividades@gmail.com")</f>
        <v>rumbospromocionactividades@gmail.com</v>
      </c>
      <c r="O89" s="36" t="str">
        <f ca="1">IFERROR(__xludf.DUMMYFUNCTION("""COMPUTED_VALUE"""),"")</f>
        <v/>
      </c>
      <c r="P89" s="36" t="str">
        <f ca="1">IFERROR(__xludf.DUMMYFUNCTION("""COMPUTED_VALUE"""),"")</f>
        <v/>
      </c>
      <c r="Q89" s="36" t="str">
        <f ca="1">IFERROR(__xludf.DUMMYFUNCTION("""COMPUTED_VALUE"""),"BUENO (Se puede acceder con cualquier coche)")</f>
        <v>BUENO (Se puede acceder con cualquier coche)</v>
      </c>
      <c r="R89" s="36" t="str">
        <f ca="1">IFERROR(__xludf.DUMMYFUNCTION("""COMPUTED_VALUE"""),"Sí")</f>
        <v>Sí</v>
      </c>
      <c r="S89" s="36" t="str">
        <f ca="1">IFERROR(__xludf.DUMMYFUNCTION("""COMPUTED_VALUE"""),"10 minutos andando")</f>
        <v>10 minutos andando</v>
      </c>
      <c r="T89" s="36" t="str">
        <f ca="1">IFERROR(__xludf.DUMMYFUNCTION("""COMPUTED_VALUE"""),"pozas con muy buena accesibilidad, tranquilas son mucha corriente")</f>
        <v>pozas con muy buena accesibilidad, tranquilas son mucha corriente</v>
      </c>
      <c r="U89" s="36" t="str">
        <f ca="1">IFERROR(__xludf.DUMMYFUNCTION("""COMPUTED_VALUE"""),"baños, duchas, comedor, cocina y fregaderos")</f>
        <v>baños, duchas, comedor, cocina y fregaderos</v>
      </c>
      <c r="V89" s="36" t="str">
        <f ca="1">IFERROR(__xludf.DUMMYFUNCTION("""COMPUTED_VALUE"""),"")</f>
        <v/>
      </c>
      <c r="W89" s="36" t="str">
        <f ca="1">IFERROR(__xludf.DUMMYFUNCTION("""COMPUTED_VALUE"""),"Muy buena zona de acampada y zona natural magnifica")</f>
        <v>Muy buena zona de acampada y zona natural magnifica</v>
      </c>
      <c r="X89" s="36"/>
      <c r="Y89" s="36"/>
      <c r="Z89" s="36"/>
    </row>
    <row r="90" spans="1:26" ht="12.75" hidden="1">
      <c r="A90" s="36" t="str">
        <f ca="1">IFERROR(__xludf.DUMMYFUNCTION("""COMPUTED_VALUE"""),"Castilla y León")</f>
        <v>Castilla y León</v>
      </c>
      <c r="B90" s="36" t="str">
        <f ca="1">IFERROR(__xludf.DUMMYFUNCTION("""COMPUTED_VALUE"""),"Palencia")</f>
        <v>Palencia</v>
      </c>
      <c r="C90" s="36">
        <f ca="1">IFERROR(__xludf.DUMMYFUNCTION("""COMPUTED_VALUE"""),2018)</f>
        <v>2018</v>
      </c>
      <c r="D90" s="36" t="str">
        <f ca="1">IFERROR(__xludf.DUMMYFUNCTION("""COMPUTED_VALUE"""),"Paz")</f>
        <v>Paz</v>
      </c>
      <c r="E90" s="36" t="str">
        <f ca="1">IFERROR(__xludf.DUMMYFUNCTION("""COMPUTED_VALUE"""),"")</f>
        <v/>
      </c>
      <c r="F90" s="48">
        <f ca="1">IFERROR(__xludf.DUMMYFUNCTION("""COMPUTED_VALUE"""),43297)</f>
        <v>43297</v>
      </c>
      <c r="G90" s="48">
        <f ca="1">IFERROR(__xludf.DUMMYFUNCTION("""COMPUTED_VALUE"""),43311)</f>
        <v>43311</v>
      </c>
      <c r="H90" s="36" t="str">
        <f ca="1">IFERROR(__xludf.DUMMYFUNCTION("""COMPUTED_VALUE"""),"Aguilar De Campoo")</f>
        <v>Aguilar De Campoo</v>
      </c>
      <c r="I90" s="36" t="str">
        <f ca="1">IFERROR(__xludf.DUMMYFUNCTION("""COMPUTED_VALUE"""),"Camping Monte Royal")</f>
        <v>Camping Monte Royal</v>
      </c>
      <c r="J90" s="36" t="str">
        <f ca="1">IFERROR(__xludf.DUMMYFUNCTION("""COMPUTED_VALUE"""),"001901100UN93G")</f>
        <v>001901100UN93G</v>
      </c>
      <c r="K90" s="36" t="str">
        <f ca="1">IFERROR(__xludf.DUMMYFUNCTION("""COMPUTED_VALUE"""),"42º47'11.04"" Latitud/ -4º18'3.348"" Longitud")</f>
        <v>42º47'11.04" Latitud/ -4º18'3.348" Longitud</v>
      </c>
      <c r="L90" s="36" t="str">
        <f ca="1">IFERROR(__xludf.DUMMYFUNCTION("""COMPUTED_VALUE"""),"Alberto Fuentevilla Estrada")</f>
        <v>Alberto Fuentevilla Estrada</v>
      </c>
      <c r="M90" s="36">
        <f ca="1">IFERROR(__xludf.DUMMYFUNCTION("""COMPUTED_VALUE"""),632724526)</f>
        <v>632724526</v>
      </c>
      <c r="N90" s="36" t="str">
        <f ca="1">IFERROR(__xludf.DUMMYFUNCTION("""COMPUTED_VALUE"""),"info@campingmonteroyal.com")</f>
        <v>info@campingmonteroyal.com</v>
      </c>
      <c r="O90" s="36" t="str">
        <f ca="1">IFERROR(__xludf.DUMMYFUNCTION("""COMPUTED_VALUE"""),"4 euros por día y persona")</f>
        <v>4 euros por día y persona</v>
      </c>
      <c r="P90" s="36" t="str">
        <f ca="1">IFERROR(__xludf.DUMMYFUNCTION("""COMPUTED_VALUE"""),"No nos consta")</f>
        <v>No nos consta</v>
      </c>
      <c r="Q90" s="36" t="str">
        <f ca="1">IFERROR(__xludf.DUMMYFUNCTION("""COMPUTED_VALUE"""),"BUENO (Se puede acceder con cualquier coche)")</f>
        <v>BUENO (Se puede acceder con cualquier coche)</v>
      </c>
      <c r="R90" s="36" t="str">
        <f ca="1">IFERROR(__xludf.DUMMYFUNCTION("""COMPUTED_VALUE"""),"Sí")</f>
        <v>Sí</v>
      </c>
      <c r="S90" s="36" t="str">
        <f ca="1">IFERROR(__xludf.DUMMYFUNCTION("""COMPUTED_VALUE"""),"menos de 1 kilometro")</f>
        <v>menos de 1 kilometro</v>
      </c>
      <c r="T90" s="36" t="str">
        <f ca="1">IFERROR(__xludf.DUMMYFUNCTION("""COMPUTED_VALUE"""),"Menos de 1 kilometro")</f>
        <v>Menos de 1 kilometro</v>
      </c>
      <c r="U90" s="36" t="str">
        <f ca="1">IFERROR(__xludf.DUMMYFUNCTION("""COMPUTED_VALUE"""),"Edificio de Baños con duchas y fregaderos")</f>
        <v>Edificio de Baños con duchas y fregaderos</v>
      </c>
      <c r="V90" s="36" t="str">
        <f ca="1">IFERROR(__xludf.DUMMYFUNCTION("""COMPUTED_VALUE"""),"Sí")</f>
        <v>Sí</v>
      </c>
      <c r="W90" s="36" t="str">
        <f ca="1">IFERROR(__xludf.DUMMYFUNCTION("""COMPUTED_VALUE"""),"Es una zona preciosa y muy tranquila, no demasiado grande. Que el embalse esté tan cerca es genial.")</f>
        <v>Es una zona preciosa y muy tranquila, no demasiado grande. Que el embalse esté tan cerca es genial.</v>
      </c>
      <c r="X90" s="36"/>
      <c r="Y90" s="36"/>
      <c r="Z90" s="36"/>
    </row>
    <row r="91" spans="1:26" ht="12.75" hidden="1">
      <c r="A91" s="36" t="str">
        <f ca="1">IFERROR(__xludf.DUMMYFUNCTION("""COMPUTED_VALUE"""),"Castilla y León")</f>
        <v>Castilla y León</v>
      </c>
      <c r="B91" s="36" t="str">
        <f ca="1">IFERROR(__xludf.DUMMYFUNCTION("""COMPUTED_VALUE"""),"León")</f>
        <v>León</v>
      </c>
      <c r="C91" s="36">
        <f ca="1">IFERROR(__xludf.DUMMYFUNCTION("""COMPUTED_VALUE"""),2015)</f>
        <v>2015</v>
      </c>
      <c r="D91" s="36" t="str">
        <f ca="1">IFERROR(__xludf.DUMMYFUNCTION("""COMPUTED_VALUE"""),"Pilar")</f>
        <v>Pilar</v>
      </c>
      <c r="E91" s="36" t="str">
        <f ca="1">IFERROR(__xludf.DUMMYFUNCTION("""COMPUTED_VALUE"""),"gs.pilar@scoutsdemadrid.org ")</f>
        <v xml:space="preserve">gs.pilar@scoutsdemadrid.org </v>
      </c>
      <c r="F91" s="48">
        <f ca="1">IFERROR(__xludf.DUMMYFUNCTION("""COMPUTED_VALUE"""),42201)</f>
        <v>42201</v>
      </c>
      <c r="G91" s="48">
        <f ca="1">IFERROR(__xludf.DUMMYFUNCTION("""COMPUTED_VALUE"""),42212)</f>
        <v>42212</v>
      </c>
      <c r="H91" s="36" t="str">
        <f ca="1">IFERROR(__xludf.DUMMYFUNCTION("""COMPUTED_VALUE"""),"Riello")</f>
        <v>Riello</v>
      </c>
      <c r="I91" s="36" t="str">
        <f ca="1">IFERROR(__xludf.DUMMYFUNCTION("""COMPUTED_VALUE"""),"Trascastro de Luna")</f>
        <v>Trascastro de Luna</v>
      </c>
      <c r="J91" s="36" t="str">
        <f ca="1">IFERROR(__xludf.DUMMYFUNCTION("""COMPUTED_VALUE"""),"")</f>
        <v/>
      </c>
      <c r="K91" s="36" t="str">
        <f ca="1">IFERROR(__xludf.DUMMYFUNCTION("""COMPUTED_VALUE"""),"")</f>
        <v/>
      </c>
      <c r="L91" s="36" t="str">
        <f ca="1">IFERROR(__xludf.DUMMYFUNCTION("""COMPUTED_VALUE"""),"")</f>
        <v/>
      </c>
      <c r="M91" s="36" t="str">
        <f ca="1">IFERROR(__xludf.DUMMYFUNCTION("""COMPUTED_VALUE"""),"")</f>
        <v/>
      </c>
      <c r="N91" s="36" t="str">
        <f ca="1">IFERROR(__xludf.DUMMYFUNCTION("""COMPUTED_VALUE"""),"")</f>
        <v/>
      </c>
      <c r="O91" s="36" t="str">
        <f ca="1">IFERROR(__xludf.DUMMYFUNCTION("""COMPUTED_VALUE"""),"")</f>
        <v/>
      </c>
      <c r="P91" s="36" t="str">
        <f ca="1">IFERROR(__xludf.DUMMYFUNCTION("""COMPUTED_VALUE"""),"")</f>
        <v/>
      </c>
      <c r="Q91" s="36" t="str">
        <f ca="1">IFERROR(__xludf.DUMMYFUNCTION("""COMPUTED_VALUE"""),"")</f>
        <v/>
      </c>
      <c r="R91" s="36" t="str">
        <f ca="1">IFERROR(__xludf.DUMMYFUNCTION("""COMPUTED_VALUE"""),"")</f>
        <v/>
      </c>
      <c r="S91" s="36" t="str">
        <f ca="1">IFERROR(__xludf.DUMMYFUNCTION("""COMPUTED_VALUE"""),"")</f>
        <v/>
      </c>
      <c r="T91" s="36" t="str">
        <f ca="1">IFERROR(__xludf.DUMMYFUNCTION("""COMPUTED_VALUE"""),"")</f>
        <v/>
      </c>
      <c r="U91" s="36" t="str">
        <f ca="1">IFERROR(__xludf.DUMMYFUNCTION("""COMPUTED_VALUE"""),"")</f>
        <v/>
      </c>
      <c r="V91" s="36" t="str">
        <f ca="1">IFERROR(__xludf.DUMMYFUNCTION("""COMPUTED_VALUE"""),"")</f>
        <v/>
      </c>
      <c r="W91" s="36" t="str">
        <f ca="1">IFERROR(__xludf.DUMMYFUNCTION("""COMPUTED_VALUE"""),"")</f>
        <v/>
      </c>
      <c r="X91" s="36"/>
      <c r="Y91" s="36"/>
      <c r="Z91" s="36"/>
    </row>
    <row r="92" spans="1:26" ht="12.75" hidden="1">
      <c r="A92" s="36" t="str">
        <f ca="1">IFERROR(__xludf.DUMMYFUNCTION("""COMPUTED_VALUE"""),"Castilla y León")</f>
        <v>Castilla y León</v>
      </c>
      <c r="B92" s="36" t="str">
        <f ca="1">IFERROR(__xludf.DUMMYFUNCTION("""COMPUTED_VALUE"""),"León")</f>
        <v>León</v>
      </c>
      <c r="C92" s="36">
        <f ca="1">IFERROR(__xludf.DUMMYFUNCTION("""COMPUTED_VALUE"""),2012)</f>
        <v>2012</v>
      </c>
      <c r="D92" s="36" t="str">
        <f ca="1">IFERROR(__xludf.DUMMYFUNCTION("""COMPUTED_VALUE"""),"Pinar")</f>
        <v>Pinar</v>
      </c>
      <c r="E92" s="36" t="str">
        <f ca="1">IFERROR(__xludf.DUMMYFUNCTION("""COMPUTED_VALUE"""),"")</f>
        <v/>
      </c>
      <c r="F92" s="48">
        <f ca="1">IFERROR(__xludf.DUMMYFUNCTION("""COMPUTED_VALUE"""),41105)</f>
        <v>41105</v>
      </c>
      <c r="G92" s="48">
        <f ca="1">IFERROR(__xludf.DUMMYFUNCTION("""COMPUTED_VALUE"""),41120)</f>
        <v>41120</v>
      </c>
      <c r="H92" s="36" t="str">
        <f ca="1">IFERROR(__xludf.DUMMYFUNCTION("""COMPUTED_VALUE"""),"Acebedo")</f>
        <v>Acebedo</v>
      </c>
      <c r="I92" s="36" t="str">
        <f ca="1">IFERROR(__xludf.DUMMYFUNCTION("""COMPUTED_VALUE"""),"Finca ayuntamiento acebedo")</f>
        <v>Finca ayuntamiento acebedo</v>
      </c>
      <c r="J92" s="36" t="str">
        <f ca="1">IFERROR(__xludf.DUMMYFUNCTION("""COMPUTED_VALUE"""),"")</f>
        <v/>
      </c>
      <c r="K92" s="36" t="str">
        <f ca="1">IFERROR(__xludf.DUMMYFUNCTION("""COMPUTED_VALUE"""),"")</f>
        <v/>
      </c>
      <c r="L92" s="36" t="str">
        <f ca="1">IFERROR(__xludf.DUMMYFUNCTION("""COMPUTED_VALUE"""),"")</f>
        <v/>
      </c>
      <c r="M92" s="36" t="str">
        <f ca="1">IFERROR(__xludf.DUMMYFUNCTION("""COMPUTED_VALUE"""),"")</f>
        <v/>
      </c>
      <c r="N92" s="36" t="str">
        <f ca="1">IFERROR(__xludf.DUMMYFUNCTION("""COMPUTED_VALUE"""),"")</f>
        <v/>
      </c>
      <c r="O92" s="36" t="str">
        <f ca="1">IFERROR(__xludf.DUMMYFUNCTION("""COMPUTED_VALUE"""),"")</f>
        <v/>
      </c>
      <c r="P92" s="36" t="str">
        <f ca="1">IFERROR(__xludf.DUMMYFUNCTION("""COMPUTED_VALUE"""),"")</f>
        <v/>
      </c>
      <c r="Q92" s="36" t="str">
        <f ca="1">IFERROR(__xludf.DUMMYFUNCTION("""COMPUTED_VALUE"""),"")</f>
        <v/>
      </c>
      <c r="R92" s="36" t="str">
        <f ca="1">IFERROR(__xludf.DUMMYFUNCTION("""COMPUTED_VALUE"""),"")</f>
        <v/>
      </c>
      <c r="S92" s="36" t="str">
        <f ca="1">IFERROR(__xludf.DUMMYFUNCTION("""COMPUTED_VALUE"""),"")</f>
        <v/>
      </c>
      <c r="T92" s="36" t="str">
        <f ca="1">IFERROR(__xludf.DUMMYFUNCTION("""COMPUTED_VALUE"""),"")</f>
        <v/>
      </c>
      <c r="U92" s="36" t="str">
        <f ca="1">IFERROR(__xludf.DUMMYFUNCTION("""COMPUTED_VALUE"""),"")</f>
        <v/>
      </c>
      <c r="V92" s="36" t="str">
        <f ca="1">IFERROR(__xludf.DUMMYFUNCTION("""COMPUTED_VALUE"""),"")</f>
        <v/>
      </c>
      <c r="W92" s="36" t="str">
        <f ca="1">IFERROR(__xludf.DUMMYFUNCTION("""COMPUTED_VALUE"""),"")</f>
        <v/>
      </c>
      <c r="X92" s="36"/>
      <c r="Y92" s="36"/>
      <c r="Z92" s="36"/>
    </row>
    <row r="93" spans="1:26" ht="12.75" hidden="1">
      <c r="A93" s="36" t="str">
        <f ca="1">IFERROR(__xludf.DUMMYFUNCTION("""COMPUTED_VALUE"""),"Castilla y León")</f>
        <v>Castilla y León</v>
      </c>
      <c r="B93" s="36" t="str">
        <f ca="1">IFERROR(__xludf.DUMMYFUNCTION("""COMPUTED_VALUE"""),"Zamora")</f>
        <v>Zamora</v>
      </c>
      <c r="C93" s="36">
        <f ca="1">IFERROR(__xludf.DUMMYFUNCTION("""COMPUTED_VALUE"""),2015)</f>
        <v>2015</v>
      </c>
      <c r="D93" s="36" t="str">
        <f ca="1">IFERROR(__xludf.DUMMYFUNCTION("""COMPUTED_VALUE"""),"Quetzal")</f>
        <v>Quetzal</v>
      </c>
      <c r="E93" s="36" t="str">
        <f ca="1">IFERROR(__xludf.DUMMYFUNCTION("""COMPUTED_VALUE"""),"gs.quetzal@scoutsdemadrid.org ")</f>
        <v xml:space="preserve">gs.quetzal@scoutsdemadrid.org </v>
      </c>
      <c r="F93" s="48">
        <f ca="1">IFERROR(__xludf.DUMMYFUNCTION("""COMPUTED_VALUE"""),42204)</f>
        <v>42204</v>
      </c>
      <c r="G93" s="48">
        <f ca="1">IFERROR(__xludf.DUMMYFUNCTION("""COMPUTED_VALUE"""),42218)</f>
        <v>42218</v>
      </c>
      <c r="H93" s="36" t="str">
        <f ca="1">IFERROR(__xludf.DUMMYFUNCTION("""COMPUTED_VALUE"""),"Muelas De Los Caballeros")</f>
        <v>Muelas De Los Caballeros</v>
      </c>
      <c r="I93" s="36" t="str">
        <f ca="1">IFERROR(__xludf.DUMMYFUNCTION("""COMPUTED_VALUE"""),"Peña La Vega")</f>
        <v>Peña La Vega</v>
      </c>
      <c r="J93" s="36" t="str">
        <f ca="1">IFERROR(__xludf.DUMMYFUNCTION("""COMPUTED_VALUE"""),"")</f>
        <v/>
      </c>
      <c r="K93" s="36" t="str">
        <f ca="1">IFERROR(__xludf.DUMMYFUNCTION("""COMPUTED_VALUE"""),"")</f>
        <v/>
      </c>
      <c r="L93" s="36" t="str">
        <f ca="1">IFERROR(__xludf.DUMMYFUNCTION("""COMPUTED_VALUE"""),"")</f>
        <v/>
      </c>
      <c r="M93" s="36" t="str">
        <f ca="1">IFERROR(__xludf.DUMMYFUNCTION("""COMPUTED_VALUE"""),"")</f>
        <v/>
      </c>
      <c r="N93" s="36" t="str">
        <f ca="1">IFERROR(__xludf.DUMMYFUNCTION("""COMPUTED_VALUE"""),"")</f>
        <v/>
      </c>
      <c r="O93" s="36" t="str">
        <f ca="1">IFERROR(__xludf.DUMMYFUNCTION("""COMPUTED_VALUE"""),"")</f>
        <v/>
      </c>
      <c r="P93" s="36" t="str">
        <f ca="1">IFERROR(__xludf.DUMMYFUNCTION("""COMPUTED_VALUE"""),"")</f>
        <v/>
      </c>
      <c r="Q93" s="36" t="str">
        <f ca="1">IFERROR(__xludf.DUMMYFUNCTION("""COMPUTED_VALUE"""),"")</f>
        <v/>
      </c>
      <c r="R93" s="36" t="str">
        <f ca="1">IFERROR(__xludf.DUMMYFUNCTION("""COMPUTED_VALUE"""),"")</f>
        <v/>
      </c>
      <c r="S93" s="36" t="str">
        <f ca="1">IFERROR(__xludf.DUMMYFUNCTION("""COMPUTED_VALUE"""),"")</f>
        <v/>
      </c>
      <c r="T93" s="36" t="str">
        <f ca="1">IFERROR(__xludf.DUMMYFUNCTION("""COMPUTED_VALUE"""),"")</f>
        <v/>
      </c>
      <c r="U93" s="36" t="str">
        <f ca="1">IFERROR(__xludf.DUMMYFUNCTION("""COMPUTED_VALUE"""),"")</f>
        <v/>
      </c>
      <c r="V93" s="36" t="str">
        <f ca="1">IFERROR(__xludf.DUMMYFUNCTION("""COMPUTED_VALUE"""),"")</f>
        <v/>
      </c>
      <c r="W93" s="36" t="str">
        <f ca="1">IFERROR(__xludf.DUMMYFUNCTION("""COMPUTED_VALUE"""),"")</f>
        <v/>
      </c>
      <c r="X93" s="36"/>
      <c r="Y93" s="36"/>
      <c r="Z93" s="36"/>
    </row>
    <row r="94" spans="1:26" ht="12.75" hidden="1">
      <c r="A94" s="36" t="str">
        <f ca="1">IFERROR(__xludf.DUMMYFUNCTION("""COMPUTED_VALUE"""),"Castilla y León")</f>
        <v>Castilla y León</v>
      </c>
      <c r="B94" s="36" t="str">
        <f ca="1">IFERROR(__xludf.DUMMYFUNCTION("""COMPUTED_VALUE"""),"Soria")</f>
        <v>Soria</v>
      </c>
      <c r="C94" s="36">
        <f ca="1">IFERROR(__xludf.DUMMYFUNCTION("""COMPUTED_VALUE"""),2016)</f>
        <v>2016</v>
      </c>
      <c r="D94" s="36" t="str">
        <f ca="1">IFERROR(__xludf.DUMMYFUNCTION("""COMPUTED_VALUE"""),"Samasabe-Calasancio")</f>
        <v>Samasabe-Calasancio</v>
      </c>
      <c r="E94" s="36" t="str">
        <f ca="1">IFERROR(__xludf.DUMMYFUNCTION("""COMPUTED_VALUE"""),"gs.samasabecalasancio@scoutsdemadrid.org ")</f>
        <v xml:space="preserve">gs.samasabecalasancio@scoutsdemadrid.org </v>
      </c>
      <c r="F94" s="48">
        <f ca="1">IFERROR(__xludf.DUMMYFUNCTION("""COMPUTED_VALUE"""),42568)</f>
        <v>42568</v>
      </c>
      <c r="G94" s="48">
        <f ca="1">IFERROR(__xludf.DUMMYFUNCTION("""COMPUTED_VALUE"""),42581)</f>
        <v>42581</v>
      </c>
      <c r="H94" s="36" t="str">
        <f ca="1">IFERROR(__xludf.DUMMYFUNCTION("""COMPUTED_VALUE"""),"Vinuesa")</f>
        <v>Vinuesa</v>
      </c>
      <c r="I94" s="36" t="str">
        <f ca="1">IFERROR(__xludf.DUMMYFUNCTION("""COMPUTED_VALUE"""),"Vinuesa")</f>
        <v>Vinuesa</v>
      </c>
      <c r="J94" s="36" t="str">
        <f ca="1">IFERROR(__xludf.DUMMYFUNCTION("""COMPUTED_VALUE"""),"")</f>
        <v/>
      </c>
      <c r="K94" s="36" t="str">
        <f ca="1">IFERROR(__xludf.DUMMYFUNCTION("""COMPUTED_VALUE"""),"41°56'02.5""N 2°46'02.3""W")</f>
        <v>41°56'02.5"N 2°46'02.3"W</v>
      </c>
      <c r="L94" s="36" t="str">
        <f ca="1">IFERROR(__xludf.DUMMYFUNCTION("""COMPUTED_VALUE"""),"Ayuntamiento de Vinuesa")</f>
        <v>Ayuntamiento de Vinuesa</v>
      </c>
      <c r="M94" s="36" t="str">
        <f ca="1">IFERROR(__xludf.DUMMYFUNCTION("""COMPUTED_VALUE"""),"")</f>
        <v/>
      </c>
      <c r="N94" s="36" t="str">
        <f ca="1">IFERROR(__xludf.DUMMYFUNCTION("""COMPUTED_VALUE"""),"")</f>
        <v/>
      </c>
      <c r="O94" s="36" t="str">
        <f ca="1">IFERROR(__xludf.DUMMYFUNCTION("""COMPUTED_VALUE"""),"")</f>
        <v/>
      </c>
      <c r="P94" s="36" t="str">
        <f ca="1">IFERROR(__xludf.DUMMYFUNCTION("""COMPUTED_VALUE"""),"")</f>
        <v/>
      </c>
      <c r="Q94" s="36" t="str">
        <f ca="1">IFERROR(__xludf.DUMMYFUNCTION("""COMPUTED_VALUE"""),"BUENO (Se puede acceder con cualquier coche)")</f>
        <v>BUENO (Se puede acceder con cualquier coche)</v>
      </c>
      <c r="R94" s="36" t="str">
        <f ca="1">IFERROR(__xludf.DUMMYFUNCTION("""COMPUTED_VALUE"""),"Sí")</f>
        <v>Sí</v>
      </c>
      <c r="S94" s="36" t="str">
        <f ca="1">IFERROR(__xludf.DUMMYFUNCTION("""COMPUTED_VALUE"""),"")</f>
        <v/>
      </c>
      <c r="T94" s="36" t="str">
        <f ca="1">IFERROR(__xludf.DUMMYFUNCTION("""COMPUTED_VALUE"""),"")</f>
        <v/>
      </c>
      <c r="U94" s="36" t="str">
        <f ca="1">IFERROR(__xludf.DUMMYFUNCTION("""COMPUTED_VALUE"""),"No")</f>
        <v>No</v>
      </c>
      <c r="V94" s="36" t="str">
        <f ca="1">IFERROR(__xludf.DUMMYFUNCTION("""COMPUTED_VALUE"""),"")</f>
        <v/>
      </c>
      <c r="W94" s="36" t="str">
        <f ca="1">IFERROR(__xludf.DUMMYFUNCTION("""COMPUTED_VALUE"""),"")</f>
        <v/>
      </c>
      <c r="X94" s="36"/>
      <c r="Y94" s="36"/>
      <c r="Z94" s="36"/>
    </row>
    <row r="95" spans="1:26" ht="12.75" hidden="1">
      <c r="A95" s="36" t="str">
        <f ca="1">IFERROR(__xludf.DUMMYFUNCTION("""COMPUTED_VALUE"""),"Castilla y León")</f>
        <v>Castilla y León</v>
      </c>
      <c r="B95" s="36" t="str">
        <f ca="1">IFERROR(__xludf.DUMMYFUNCTION("""COMPUTED_VALUE"""),"Ávila")</f>
        <v>Ávila</v>
      </c>
      <c r="C95" s="36">
        <f ca="1">IFERROR(__xludf.DUMMYFUNCTION("""COMPUTED_VALUE"""),2018)</f>
        <v>2018</v>
      </c>
      <c r="D95" s="36" t="str">
        <f ca="1">IFERROR(__xludf.DUMMYFUNCTION("""COMPUTED_VALUE"""),"Samasabe-Calasancio")</f>
        <v>Samasabe-Calasancio</v>
      </c>
      <c r="E95" s="36" t="str">
        <f ca="1">IFERROR(__xludf.DUMMYFUNCTION("""COMPUTED_VALUE"""),"gs.samasabecalasancio@scoutsdemadrid.org ")</f>
        <v xml:space="preserve">gs.samasabecalasancio@scoutsdemadrid.org </v>
      </c>
      <c r="F95" s="48">
        <f ca="1">IFERROR(__xludf.DUMMYFUNCTION("""COMPUTED_VALUE"""),43294)</f>
        <v>43294</v>
      </c>
      <c r="G95" s="48">
        <f ca="1">IFERROR(__xludf.DUMMYFUNCTION("""COMPUTED_VALUE"""),43310)</f>
        <v>43310</v>
      </c>
      <c r="H95" s="36" t="str">
        <f ca="1">IFERROR(__xludf.DUMMYFUNCTION("""COMPUTED_VALUE"""),"Los Llanos De Tormes")</f>
        <v>Los Llanos De Tormes</v>
      </c>
      <c r="I95" s="36" t="str">
        <f ca="1">IFERROR(__xludf.DUMMYFUNCTION("""COMPUTED_VALUE"""),"PRADO DE LA VEGA")</f>
        <v>PRADO DE LA VEGA</v>
      </c>
      <c r="J95" s="36" t="str">
        <f ca="1">IFERROR(__xludf.DUMMYFUNCTION("""COMPUTED_VALUE"""),"05113A012000070000YF")</f>
        <v>05113A012000070000YF</v>
      </c>
      <c r="K95" s="36" t="str">
        <f ca="1">IFERROR(__xludf.DUMMYFUNCTION("""COMPUTED_VALUE"""),"X:293.520,20 Y:4.467.284,67")</f>
        <v>X:293.520,20 Y:4.467.284,67</v>
      </c>
      <c r="L95" s="36" t="str">
        <f ca="1">IFERROR(__xludf.DUMMYFUNCTION("""COMPUTED_VALUE"""),"DANIEL MARTIN BERMEJO ")</f>
        <v xml:space="preserve">DANIEL MARTIN BERMEJO </v>
      </c>
      <c r="M95" s="36">
        <f ca="1">IFERROR(__xludf.DUMMYFUNCTION("""COMPUTED_VALUE"""),696635580)</f>
        <v>696635580</v>
      </c>
      <c r="N95" s="36" t="str">
        <f ca="1">IFERROR(__xludf.DUMMYFUNCTION("""COMPUTED_VALUE"""),"NO TIENE")</f>
        <v>NO TIENE</v>
      </c>
      <c r="O95" s="36" t="str">
        <f ca="1">IFERROR(__xludf.DUMMYFUNCTION("""COMPUTED_VALUE"""),"1100€/QUINCENA")</f>
        <v>1100€/QUINCENA</v>
      </c>
      <c r="P95" s="36" t="str">
        <f ca="1">IFERROR(__xludf.DUMMYFUNCTION("""COMPUTED_VALUE"""),"6,5 Ha")</f>
        <v>6,5 Ha</v>
      </c>
      <c r="Q95" s="36" t="str">
        <f ca="1">IFERROR(__xludf.DUMMYFUNCTION("""COMPUTED_VALUE"""),"BUENO (Se puede acceder con cualquier coche)")</f>
        <v>BUENO (Se puede acceder con cualquier coche)</v>
      </c>
      <c r="R95" s="36" t="str">
        <f ca="1">IFERROR(__xludf.DUMMYFUNCTION("""COMPUTED_VALUE"""),"Sí")</f>
        <v>Sí</v>
      </c>
      <c r="S95" s="36" t="str">
        <f ca="1">IFERROR(__xludf.DUMMYFUNCTION("""COMPUTED_VALUE"""),"ZONA BAÑO:EL RIO TORMES PASA A POCA DISTANCIA DEL CAMPAMENTO, POR UN LATERAL DE LA CAMPA, MARCANDO EL LÍMITE DE ESTA")</f>
        <v>ZONA BAÑO:EL RIO TORMES PASA A POCA DISTANCIA DEL CAMPAMENTO, POR UN LATERAL DE LA CAMPA, MARCANDO EL LÍMITE DE ESTA</v>
      </c>
      <c r="T95" s="36" t="str">
        <f ca="1">IFERROR(__xludf.DUMMYFUNCTION("""COMPUTED_VALUE"""),"EL CAMPAMENTO TIENE AMPLIAS ZONAS DE BAÑO EN LAS ORILLAS DEL RIO.")</f>
        <v>EL CAMPAMENTO TIENE AMPLIAS ZONAS DE BAÑO EN LAS ORILLAS DEL RIO.</v>
      </c>
      <c r="U95" s="36" t="str">
        <f ca="1">IFERROR(__xludf.DUMMYFUNCTION("""COMPUTED_VALUE"""),"NO")</f>
        <v>NO</v>
      </c>
      <c r="V95" s="36" t="str">
        <f ca="1">IFERROR(__xludf.DUMMYFUNCTION("""COMPUTED_VALUE"""),"SI")</f>
        <v>SI</v>
      </c>
      <c r="W95" s="36" t="str">
        <f ca="1">IFERROR(__xludf.DUMMYFUNCTION("""COMPUTED_VALUE"""),"CAMPA MUY AMPLIA, EN MUCHA PARTE LLANA Y DIAFANA, OTRA PARTE CON UN PEQUEÑO ROBLEDAL QUE PROPORCIONA SOMBRA. PASA EL RIO TORMES CERCA DE LA CAMPA, POR LO QUE TIENE AMPLIAS ZONAS DE BAÑO.")</f>
        <v>CAMPA MUY AMPLIA, EN MUCHA PARTE LLANA Y DIAFANA, OTRA PARTE CON UN PEQUEÑO ROBLEDAL QUE PROPORCIONA SOMBRA. PASA EL RIO TORMES CERCA DE LA CAMPA, POR LO QUE TIENE AMPLIAS ZONAS DE BAÑO.</v>
      </c>
      <c r="X95" s="36"/>
      <c r="Y95" s="36"/>
      <c r="Z95" s="36"/>
    </row>
    <row r="96" spans="1:26" ht="12.75" hidden="1">
      <c r="A96" s="36" t="str">
        <f ca="1">IFERROR(__xludf.DUMMYFUNCTION("""COMPUTED_VALUE"""),"Castilla y León")</f>
        <v>Castilla y León</v>
      </c>
      <c r="B96" s="36" t="str">
        <f ca="1">IFERROR(__xludf.DUMMYFUNCTION("""COMPUTED_VALUE"""),"Ávila")</f>
        <v>Ávila</v>
      </c>
      <c r="C96" s="36">
        <f ca="1">IFERROR(__xludf.DUMMYFUNCTION("""COMPUTED_VALUE"""),2019)</f>
        <v>2019</v>
      </c>
      <c r="D96" s="36" t="str">
        <f ca="1">IFERROR(__xludf.DUMMYFUNCTION("""COMPUTED_VALUE"""),"Samasabe-Calasancio")</f>
        <v>Samasabe-Calasancio</v>
      </c>
      <c r="E96" s="36" t="str">
        <f ca="1">IFERROR(__xludf.DUMMYFUNCTION("""COMPUTED_VALUE"""),"gs.samasabecalasancio@scoutsdemadrid.org ")</f>
        <v xml:space="preserve">gs.samasabecalasancio@scoutsdemadrid.org </v>
      </c>
      <c r="F96" s="36">
        <f ca="1">IFERROR(__xludf.DUMMYFUNCTION("""COMPUTED_VALUE"""),43666)</f>
        <v>43666</v>
      </c>
      <c r="G96" s="36">
        <f ca="1">IFERROR(__xludf.DUMMYFUNCTION("""COMPUTED_VALUE"""),43675)</f>
        <v>43675</v>
      </c>
      <c r="H96" s="36" t="str">
        <f ca="1">IFERROR(__xludf.DUMMYFUNCTION("""COMPUTED_VALUE"""),"Peguerinos")</f>
        <v>Peguerinos</v>
      </c>
      <c r="I96" s="36" t="str">
        <f ca="1">IFERROR(__xludf.DUMMYFUNCTION("""COMPUTED_VALUE"""),"Campamento Peñas Blancas")</f>
        <v>Campamento Peñas Blancas</v>
      </c>
      <c r="J96" s="36" t="str">
        <f ca="1">IFERROR(__xludf.DUMMYFUNCTION("""COMPUTED_VALUE"""),"(Enviaremos la información cuando tengamos el dato)")</f>
        <v>(Enviaremos la información cuando tengamos el dato)</v>
      </c>
      <c r="K96" s="36" t="str">
        <f ca="1">IFERROR(__xludf.DUMMYFUNCTION("""COMPUTED_VALUE"""),"40 °   38 '   47.371 '' Latitud     -4 °   10 '   45.001 '' Longitud")</f>
        <v>40 °   38 '   47.371 '' Latitud     -4 °   10 '   45.001 '' Longitud</v>
      </c>
      <c r="L96" s="36" t="str">
        <f ca="1">IFERROR(__xludf.DUMMYFUNCTION("""COMPUTED_VALUE"""),"Campamentos Peñas Blancas")</f>
        <v>Campamentos Peñas Blancas</v>
      </c>
      <c r="M96" s="36" t="str">
        <f ca="1">IFERROR(__xludf.DUMMYFUNCTION("""COMPUTED_VALUE"""),"91 701 01 31 / 659 81 42 58")</f>
        <v>91 701 01 31 / 659 81 42 58</v>
      </c>
      <c r="N96" s="36" t="str">
        <f ca="1">IFERROR(__xludf.DUMMYFUNCTION("""COMPUTED_VALUE"""),"campamento@penasblancas.net")</f>
        <v>campamento@penasblancas.net</v>
      </c>
      <c r="O96" s="36" t="str">
        <f ca="1">IFERROR(__xludf.DUMMYFUNCTION("""COMPUTED_VALUE"""),"15,5€ día por persona pensión completa")</f>
        <v>15,5€ día por persona pensión completa</v>
      </c>
      <c r="P96" s="36" t="str">
        <f ca="1">IFERROR(__xludf.DUMMYFUNCTION("""COMPUTED_VALUE"""),"21 hectáreas")</f>
        <v>21 hectáreas</v>
      </c>
      <c r="Q96" s="36" t="str">
        <f ca="1">IFERROR(__xludf.DUMMYFUNCTION("""COMPUTED_VALUE"""),"BUENO (Se puede acceder con cualquier coche)")</f>
        <v>BUENO (Se puede acceder con cualquier coche)</v>
      </c>
      <c r="R96" s="36" t="str">
        <f ca="1">IFERROR(__xludf.DUMMYFUNCTION("""COMPUTED_VALUE"""),"Sí")</f>
        <v>Sí</v>
      </c>
      <c r="S96" s="36" t="str">
        <f ca="1">IFERROR(__xludf.DUMMYFUNCTION("""COMPUTED_VALUE"""),"Piscina de 12,5 * 25 metros")</f>
        <v>Piscina de 12,5 * 25 metros</v>
      </c>
      <c r="T96" s="36" t="str">
        <f ca="1">IFERROR(__xludf.DUMMYFUNCTION("""COMPUTED_VALUE"""),"Piscina con su correspondiente depuradora y zona de uso con pradera y vallada. Socorrista permanentemente.")</f>
        <v>Piscina con su correspondiente depuradora y zona de uso con pradera y vallada. Socorrista permanentemente.</v>
      </c>
      <c r="U96" s="36" t="str">
        <f ca="1">IFERROR(__xludf.DUMMYFUNCTION("""COMPUTED_VALUE"""),"Baños, duchas, cocina, comedor, sala de audición y biblioteca-")</f>
        <v>Baños, duchas, cocina, comedor, sala de audición y biblioteca-</v>
      </c>
      <c r="V96" s="36" t="str">
        <f ca="1">IFERROR(__xludf.DUMMYFUNCTION("""COMPUTED_VALUE"""),"Sí")</f>
        <v>Sí</v>
      </c>
      <c r="W96" s="36" t="str">
        <f ca="1">IFERROR(__xludf.DUMMYFUNCTION("""COMPUTED_VALUE"""),"Explanada amplia con sombra y disponibilidad de plantar tiendas. Cuenta con pensión completa, servicio sanitario 24h")</f>
        <v>Explanada amplia con sombra y disponibilidad de plantar tiendas. Cuenta con pensión completa, servicio sanitario 24h</v>
      </c>
      <c r="X96" s="36"/>
      <c r="Y96" s="36"/>
      <c r="Z96" s="36"/>
    </row>
    <row r="97" spans="1:26" ht="12.75" hidden="1">
      <c r="A97" s="36" t="str">
        <f ca="1">IFERROR(__xludf.DUMMYFUNCTION("""COMPUTED_VALUE"""),"Castilla y León")</f>
        <v>Castilla y León</v>
      </c>
      <c r="B97" s="36" t="str">
        <f ca="1">IFERROR(__xludf.DUMMYFUNCTION("""COMPUTED_VALUE"""),"Burgos")</f>
        <v>Burgos</v>
      </c>
      <c r="C97" s="36">
        <f ca="1">IFERROR(__xludf.DUMMYFUNCTION("""COMPUTED_VALUE"""),2018)</f>
        <v>2018</v>
      </c>
      <c r="D97" s="36" t="str">
        <f ca="1">IFERROR(__xludf.DUMMYFUNCTION("""COMPUTED_VALUE"""),"San Agustín")</f>
        <v>San Agustín</v>
      </c>
      <c r="E97" s="36" t="str">
        <f ca="1">IFERROR(__xludf.DUMMYFUNCTION("""COMPUTED_VALUE"""),"gs.sanagustin@scoutsdemadrid.org ")</f>
        <v xml:space="preserve">gs.sanagustin@scoutsdemadrid.org </v>
      </c>
      <c r="F97" s="48">
        <f ca="1">IFERROR(__xludf.DUMMYFUNCTION("""COMPUTED_VALUE"""),43277)</f>
        <v>43277</v>
      </c>
      <c r="G97" s="48">
        <f ca="1">IFERROR(__xludf.DUMMYFUNCTION("""COMPUTED_VALUE"""),43281)</f>
        <v>43281</v>
      </c>
      <c r="H97" s="36" t="str">
        <f ca="1">IFERROR(__xludf.DUMMYFUNCTION("""COMPUTED_VALUE"""),"Butrera")</f>
        <v>Butrera</v>
      </c>
      <c r="I97" s="36" t="str">
        <f ca="1">IFERROR(__xludf.DUMMYFUNCTION("""COMPUTED_VALUE"""),"Campamento Molino de Butrera")</f>
        <v>Campamento Molino de Butrera</v>
      </c>
      <c r="J97" s="36" t="str">
        <f ca="1">IFERROR(__xludf.DUMMYFUNCTION("""COMPUTED_VALUE"""),"se desconoce")</f>
        <v>se desconoce</v>
      </c>
      <c r="K97" s="36" t="str">
        <f ca="1">IFERROR(__xludf.DUMMYFUNCTION("""COMPUTED_VALUE"""),"se desconoce")</f>
        <v>se desconoce</v>
      </c>
      <c r="L97" s="36" t="str">
        <f ca="1">IFERROR(__xludf.DUMMYFUNCTION("""COMPUTED_VALUE"""),"Campamento Molino de Butrera SL")</f>
        <v>Campamento Molino de Butrera SL</v>
      </c>
      <c r="M97" s="36">
        <f ca="1">IFERROR(__xludf.DUMMYFUNCTION("""COMPUTED_VALUE"""),947131168)</f>
        <v>947131168</v>
      </c>
      <c r="N97" s="36" t="str">
        <f ca="1">IFERROR(__xludf.DUMMYFUNCTION("""COMPUTED_VALUE"""),"molino@butrera.es")</f>
        <v>molino@butrera.es</v>
      </c>
      <c r="O97" s="36" t="str">
        <f ca="1">IFERROR(__xludf.DUMMYFUNCTION("""COMPUTED_VALUE"""),"15 € persona/dia")</f>
        <v>15 € persona/dia</v>
      </c>
      <c r="P97" s="36" t="str">
        <f ca="1">IFERROR(__xludf.DUMMYFUNCTION("""COMPUTED_VALUE"""),"2 ha")</f>
        <v>2 ha</v>
      </c>
      <c r="Q97" s="36" t="str">
        <f ca="1">IFERROR(__xludf.DUMMYFUNCTION("""COMPUTED_VALUE"""),"BUENO (Se puede acceder con cualquier coche)")</f>
        <v>BUENO (Se puede acceder con cualquier coche)</v>
      </c>
      <c r="R97" s="36" t="str">
        <f ca="1">IFERROR(__xludf.DUMMYFUNCTION("""COMPUTED_VALUE"""),"Sí")</f>
        <v>Sí</v>
      </c>
      <c r="S97" s="36" t="str">
        <f ca="1">IFERROR(__xludf.DUMMYFUNCTION("""COMPUTED_VALUE"""),"100 metros")</f>
        <v>100 metros</v>
      </c>
      <c r="T97" s="36" t="str">
        <f ca="1">IFERROR(__xludf.DUMMYFUNCTION("""COMPUTED_VALUE"""),"canal y rio con zonas accesibles ")</f>
        <v xml:space="preserve">canal y rio con zonas accesibles </v>
      </c>
      <c r="U97" s="36" t="str">
        <f ca="1">IFERROR(__xludf.DUMMYFUNCTION("""COMPUTED_VALUE"""),"baños , duchas comedor ,zona deportiva y salas de usos multiples")</f>
        <v>baños , duchas comedor ,zona deportiva y salas de usos multiples</v>
      </c>
      <c r="V97" s="36" t="str">
        <f ca="1">IFERROR(__xludf.DUMMYFUNCTION("""COMPUTED_VALUE"""),"no ")</f>
        <v xml:space="preserve">no </v>
      </c>
      <c r="W97" s="36" t="str">
        <f ca="1">IFERROR(__xludf.DUMMYFUNCTION("""COMPUTED_VALUE"""),"muy agradables y aspecto excelente ,en pagina web , se comparte con otros grupos tienen tambien cabañas ")</f>
        <v xml:space="preserve">muy agradables y aspecto excelente ,en pagina web , se comparte con otros grupos tienen tambien cabañas </v>
      </c>
      <c r="X97" s="36"/>
      <c r="Y97" s="36"/>
      <c r="Z97" s="36"/>
    </row>
    <row r="98" spans="1:26" ht="12.75" hidden="1">
      <c r="A98" s="36" t="str">
        <f ca="1">IFERROR(__xludf.DUMMYFUNCTION("""COMPUTED_VALUE"""),"Castilla y León")</f>
        <v>Castilla y León</v>
      </c>
      <c r="B98" s="36" t="str">
        <f ca="1">IFERROR(__xludf.DUMMYFUNCTION("""COMPUTED_VALUE"""),"Ávila")</f>
        <v>Ávila</v>
      </c>
      <c r="C98" s="36">
        <f ca="1">IFERROR(__xludf.DUMMYFUNCTION("""COMPUTED_VALUE"""),2017)</f>
        <v>2017</v>
      </c>
      <c r="D98" s="36" t="str">
        <f ca="1">IFERROR(__xludf.DUMMYFUNCTION("""COMPUTED_VALUE"""),"San Gabriel")</f>
        <v>San Gabriel</v>
      </c>
      <c r="E98" s="36" t="str">
        <f ca="1">IFERROR(__xludf.DUMMYFUNCTION("""COMPUTED_VALUE"""),"gs.sangabriel@scoutsdemadrid.org ")</f>
        <v xml:space="preserve">gs.sangabriel@scoutsdemadrid.org </v>
      </c>
      <c r="F98" s="48">
        <f ca="1">IFERROR(__xludf.DUMMYFUNCTION("""COMPUTED_VALUE"""),42936)</f>
        <v>42936</v>
      </c>
      <c r="G98" s="48">
        <f ca="1">IFERROR(__xludf.DUMMYFUNCTION("""COMPUTED_VALUE"""),42946)</f>
        <v>42946</v>
      </c>
      <c r="H98" s="36" t="str">
        <f ca="1">IFERROR(__xludf.DUMMYFUNCTION("""COMPUTED_VALUE"""),"Navarredonda De Gredos")</f>
        <v>Navarredonda De Gredos</v>
      </c>
      <c r="I98" s="36" t="str">
        <f ca="1">IFERROR(__xludf.DUMMYFUNCTION("""COMPUTED_VALUE"""),"Navatormes")</f>
        <v>Navatormes</v>
      </c>
      <c r="J98" s="36" t="str">
        <f ca="1">IFERROR(__xludf.DUMMYFUNCTION("""COMPUTED_VALUE"""),"")</f>
        <v/>
      </c>
      <c r="K98" s="36" t="str">
        <f ca="1">IFERROR(__xludf.DUMMYFUNCTION("""COMPUTED_VALUE"""),"")</f>
        <v/>
      </c>
      <c r="L98" s="36" t="str">
        <f ca="1">IFERROR(__xludf.DUMMYFUNCTION("""COMPUTED_VALUE"""),"Ayuntamiento de Navarredonda de Gredos")</f>
        <v>Ayuntamiento de Navarredonda de Gredos</v>
      </c>
      <c r="M98" s="36" t="str">
        <f ca="1">IFERROR(__xludf.DUMMYFUNCTION("""COMPUTED_VALUE"""),"")</f>
        <v/>
      </c>
      <c r="N98" s="36" t="str">
        <f ca="1">IFERROR(__xludf.DUMMYFUNCTION("""COMPUTED_VALUE"""),"")</f>
        <v/>
      </c>
      <c r="O98" s="36" t="str">
        <f ca="1">IFERROR(__xludf.DUMMYFUNCTION("""COMPUTED_VALUE"""),"")</f>
        <v/>
      </c>
      <c r="P98" s="36" t="str">
        <f ca="1">IFERROR(__xludf.DUMMYFUNCTION("""COMPUTED_VALUE"""),"")</f>
        <v/>
      </c>
      <c r="Q98" s="36" t="str">
        <f ca="1">IFERROR(__xludf.DUMMYFUNCTION("""COMPUTED_VALUE"""),"BUENO (Se puede acceder con cualquier coche)")</f>
        <v>BUENO (Se puede acceder con cualquier coche)</v>
      </c>
      <c r="R98" s="36" t="str">
        <f ca="1">IFERROR(__xludf.DUMMYFUNCTION("""COMPUTED_VALUE"""),"Sí")</f>
        <v>Sí</v>
      </c>
      <c r="S98" s="36">
        <f ca="1">IFERROR(__xludf.DUMMYFUNCTION("""COMPUTED_VALUE"""),50)</f>
        <v>50</v>
      </c>
      <c r="T98" s="36" t="str">
        <f ca="1">IFERROR(__xludf.DUMMYFUNCTION("""COMPUTED_VALUE"""),"Zona de nacimiento del rio Tormes")</f>
        <v>Zona de nacimiento del rio Tormes</v>
      </c>
      <c r="U98" s="36" t="str">
        <f ca="1">IFERROR(__xludf.DUMMYFUNCTION("""COMPUTED_VALUE"""),"Si. Cocina, baños,comedor y cercado alrededor de la finca")</f>
        <v>Si. Cocina, baños,comedor y cercado alrededor de la finca</v>
      </c>
      <c r="V98" s="36" t="str">
        <f ca="1">IFERROR(__xludf.DUMMYFUNCTION("""COMPUTED_VALUE"""),"Si")</f>
        <v>Si</v>
      </c>
      <c r="W98" s="36" t="str">
        <f ca="1">IFERROR(__xludf.DUMMYFUNCTION("""COMPUTED_VALUE"""),"")</f>
        <v/>
      </c>
      <c r="X98" s="36"/>
      <c r="Y98" s="36"/>
      <c r="Z98" s="36"/>
    </row>
    <row r="99" spans="1:26" ht="12.75" hidden="1">
      <c r="A99" s="36" t="str">
        <f ca="1">IFERROR(__xludf.DUMMYFUNCTION("""COMPUTED_VALUE"""),"Castilla y León")</f>
        <v>Castilla y León</v>
      </c>
      <c r="B99" s="36" t="str">
        <f ca="1">IFERROR(__xludf.DUMMYFUNCTION("""COMPUTED_VALUE"""),"Ávila")</f>
        <v>Ávila</v>
      </c>
      <c r="C99" s="36">
        <f ca="1">IFERROR(__xludf.DUMMYFUNCTION("""COMPUTED_VALUE"""),2017)</f>
        <v>2017</v>
      </c>
      <c r="D99" s="36" t="str">
        <f ca="1">IFERROR(__xludf.DUMMYFUNCTION("""COMPUTED_VALUE"""),"San Gabriel")</f>
        <v>San Gabriel</v>
      </c>
      <c r="E99" s="36" t="str">
        <f ca="1">IFERROR(__xludf.DUMMYFUNCTION("""COMPUTED_VALUE"""),"gs.sangabriel@scoutsdemadrid.org ")</f>
        <v xml:space="preserve">gs.sangabriel@scoutsdemadrid.org </v>
      </c>
      <c r="F99" s="48">
        <f ca="1">IFERROR(__xludf.DUMMYFUNCTION("""COMPUTED_VALUE"""),42936)</f>
        <v>42936</v>
      </c>
      <c r="G99" s="48">
        <f ca="1">IFERROR(__xludf.DUMMYFUNCTION("""COMPUTED_VALUE"""),42946)</f>
        <v>42946</v>
      </c>
      <c r="H99" s="36" t="str">
        <f ca="1">IFERROR(__xludf.DUMMYFUNCTION("""COMPUTED_VALUE"""),"Navarredonda De Gredos")</f>
        <v>Navarredonda De Gredos</v>
      </c>
      <c r="I99" s="36" t="str">
        <f ca="1">IFERROR(__xludf.DUMMYFUNCTION("""COMPUTED_VALUE"""),"Navatormes")</f>
        <v>Navatormes</v>
      </c>
      <c r="J99" s="36" t="str">
        <f ca="1">IFERROR(__xludf.DUMMYFUNCTION("""COMPUTED_VALUE"""),"")</f>
        <v/>
      </c>
      <c r="K99" s="36" t="str">
        <f ca="1">IFERROR(__xludf.DUMMYFUNCTION("""COMPUTED_VALUE"""),"")</f>
        <v/>
      </c>
      <c r="L99" s="36" t="str">
        <f ca="1">IFERROR(__xludf.DUMMYFUNCTION("""COMPUTED_VALUE"""),"Ayuntamiento de Navarredonda de Gredos")</f>
        <v>Ayuntamiento de Navarredonda de Gredos</v>
      </c>
      <c r="M99" s="36" t="str">
        <f ca="1">IFERROR(__xludf.DUMMYFUNCTION("""COMPUTED_VALUE"""),"")</f>
        <v/>
      </c>
      <c r="N99" s="36" t="str">
        <f ca="1">IFERROR(__xludf.DUMMYFUNCTION("""COMPUTED_VALUE"""),"")</f>
        <v/>
      </c>
      <c r="O99" s="36" t="str">
        <f ca="1">IFERROR(__xludf.DUMMYFUNCTION("""COMPUTED_VALUE"""),"")</f>
        <v/>
      </c>
      <c r="P99" s="36" t="str">
        <f ca="1">IFERROR(__xludf.DUMMYFUNCTION("""COMPUTED_VALUE"""),"")</f>
        <v/>
      </c>
      <c r="Q99" s="36" t="str">
        <f ca="1">IFERROR(__xludf.DUMMYFUNCTION("""COMPUTED_VALUE"""),"BUENO (Se puede acceder con cualquier coche)")</f>
        <v>BUENO (Se puede acceder con cualquier coche)</v>
      </c>
      <c r="R99" s="36" t="str">
        <f ca="1">IFERROR(__xludf.DUMMYFUNCTION("""COMPUTED_VALUE"""),"Sí")</f>
        <v>Sí</v>
      </c>
      <c r="S99" s="36">
        <f ca="1">IFERROR(__xludf.DUMMYFUNCTION("""COMPUTED_VALUE"""),50)</f>
        <v>50</v>
      </c>
      <c r="T99" s="36" t="str">
        <f ca="1">IFERROR(__xludf.DUMMYFUNCTION("""COMPUTED_VALUE"""),"Zona de nacimiento del rio Tormes")</f>
        <v>Zona de nacimiento del rio Tormes</v>
      </c>
      <c r="U99" s="36" t="str">
        <f ca="1">IFERROR(__xludf.DUMMYFUNCTION("""COMPUTED_VALUE"""),"Si. Cocina, baños,comedor y cercado alrededor de la finca")</f>
        <v>Si. Cocina, baños,comedor y cercado alrededor de la finca</v>
      </c>
      <c r="V99" s="36" t="str">
        <f ca="1">IFERROR(__xludf.DUMMYFUNCTION("""COMPUTED_VALUE"""),"Si")</f>
        <v>Si</v>
      </c>
      <c r="W99" s="36" t="str">
        <f ca="1">IFERROR(__xludf.DUMMYFUNCTION("""COMPUTED_VALUE"""),"")</f>
        <v/>
      </c>
      <c r="X99" s="36"/>
      <c r="Y99" s="36"/>
      <c r="Z99" s="36"/>
    </row>
    <row r="100" spans="1:26" ht="12.75" hidden="1">
      <c r="A100" s="36" t="str">
        <f ca="1">IFERROR(__xludf.DUMMYFUNCTION("""COMPUTED_VALUE"""),"Castilla y León")</f>
        <v>Castilla y León</v>
      </c>
      <c r="B100" s="36" t="str">
        <f ca="1">IFERROR(__xludf.DUMMYFUNCTION("""COMPUTED_VALUE"""),"Ávila")</f>
        <v>Ávila</v>
      </c>
      <c r="C100" s="36">
        <f ca="1">IFERROR(__xludf.DUMMYFUNCTION("""COMPUTED_VALUE"""),2019)</f>
        <v>2019</v>
      </c>
      <c r="D100" s="36" t="str">
        <f ca="1">IFERROR(__xludf.DUMMYFUNCTION("""COMPUTED_VALUE"""),"San Gabriel")</f>
        <v>San Gabriel</v>
      </c>
      <c r="E100" s="36" t="str">
        <f ca="1">IFERROR(__xludf.DUMMYFUNCTION("""COMPUTED_VALUE"""),"gs.sangabriel@scoutsdemadrid.org ")</f>
        <v xml:space="preserve">gs.sangabriel@scoutsdemadrid.org </v>
      </c>
      <c r="F100" s="36">
        <f ca="1">IFERROR(__xludf.DUMMYFUNCTION("""COMPUTED_VALUE"""),43666)</f>
        <v>43666</v>
      </c>
      <c r="G100" s="36">
        <f ca="1">IFERROR(__xludf.DUMMYFUNCTION("""COMPUTED_VALUE"""),43676)</f>
        <v>43676</v>
      </c>
      <c r="H100" s="36" t="str">
        <f ca="1">IFERROR(__xludf.DUMMYFUNCTION("""COMPUTED_VALUE"""),"Bohoyo")</f>
        <v>Bohoyo</v>
      </c>
      <c r="I100" s="36" t="str">
        <f ca="1">IFERROR(__xludf.DUMMYFUNCTION("""COMPUTED_VALUE"""),"Las piezas de GREDOS")</f>
        <v>Las piezas de GREDOS</v>
      </c>
      <c r="J100" s="36" t="str">
        <f ca="1">IFERROR(__xludf.DUMMYFUNCTION("""COMPUTED_VALUE"""),"05037A005110000BT")</f>
        <v>05037A005110000BT</v>
      </c>
      <c r="K100" s="36" t="str">
        <f ca="1">IFERROR(__xludf.DUMMYFUNCTION("""COMPUTED_VALUE"""),"LATITUD: 40º18´50,87´´ LONGITUD: 5º25´55,98´´")</f>
        <v>LATITUD: 40º18´50,87´´ LONGITUD: 5º25´55,98´´</v>
      </c>
      <c r="L100" s="36" t="str">
        <f ca="1">IFERROR(__xludf.DUMMYFUNCTION("""COMPUTED_VALUE"""),"ASOCIACIÓN LAS PIEZAS DE GREDOS")</f>
        <v>ASOCIACIÓN LAS PIEZAS DE GREDOS</v>
      </c>
      <c r="M100" s="36">
        <f ca="1">IFERROR(__xludf.DUMMYFUNCTION("""COMPUTED_VALUE"""),666688206)</f>
        <v>666688206</v>
      </c>
      <c r="N100" s="36" t="str">
        <f ca="1">IFERROR(__xludf.DUMMYFUNCTION("""COMPUTED_VALUE"""),"laspiezasdegredos@gmail.com")</f>
        <v>laspiezasdegredos@gmail.com</v>
      </c>
      <c r="O100" s="36" t="str">
        <f ca="1">IFERROR(__xludf.DUMMYFUNCTION("""COMPUTED_VALUE"""),"4€persona/dia")</f>
        <v>4€persona/dia</v>
      </c>
      <c r="P100" s="36" t="str">
        <f ca="1">IFERROR(__xludf.DUMMYFUNCTION("""COMPUTED_VALUE"""),"70 áreas")</f>
        <v>70 áreas</v>
      </c>
      <c r="Q100" s="36" t="str">
        <f ca="1">IFERROR(__xludf.DUMMYFUNCTION("""COMPUTED_VALUE"""),"BUENO (Se puede acceder con cualquier coche)")</f>
        <v>BUENO (Se puede acceder con cualquier coche)</v>
      </c>
      <c r="R100" s="36" t="str">
        <f ca="1">IFERROR(__xludf.DUMMYFUNCTION("""COMPUTED_VALUE"""),"Sí")</f>
        <v>Sí</v>
      </c>
      <c r="S100" s="36" t="str">
        <f ca="1">IFERROR(__xludf.DUMMYFUNCTION("""COMPUTED_VALUE"""),"200m")</f>
        <v>200m</v>
      </c>
      <c r="T100" s="36" t="str">
        <f ca="1">IFERROR(__xludf.DUMMYFUNCTION("""COMPUTED_VALUE"""),"garganta de bohoyo (río tormes)")</f>
        <v>garganta de bohoyo (río tormes)</v>
      </c>
      <c r="U100" s="36" t="str">
        <f ca="1">IFERROR(__xludf.DUMMYFUNCTION("""COMPUTED_VALUE"""),"baños, cocina, comedor")</f>
        <v>baños, cocina, comedor</v>
      </c>
      <c r="V100" s="36" t="str">
        <f ca="1">IFERROR(__xludf.DUMMYFUNCTION("""COMPUTED_VALUE"""),"Sí, en Barco de ÁVILA")</f>
        <v>Sí, en Barco de ÁVILA</v>
      </c>
      <c r="W100" s="36" t="str">
        <f ca="1">IFERROR(__xludf.DUMMYFUNCTION("""COMPUTED_VALUE"""),"Campa del grupo scout Calasanz de Salamanca. Buenas instalaciones y gestionado por una asociación con antiguos scouts.")</f>
        <v>Campa del grupo scout Calasanz de Salamanca. Buenas instalaciones y gestionado por una asociación con antiguos scouts.</v>
      </c>
      <c r="X100" s="36"/>
      <c r="Y100" s="36"/>
      <c r="Z100" s="36"/>
    </row>
    <row r="101" spans="1:26" ht="12.75" hidden="1">
      <c r="A101" s="36" t="str">
        <f ca="1">IFERROR(__xludf.DUMMYFUNCTION("""COMPUTED_VALUE"""),"Castilla y León")</f>
        <v>Castilla y León</v>
      </c>
      <c r="B101" s="36" t="str">
        <f ca="1">IFERROR(__xludf.DUMMYFUNCTION("""COMPUTED_VALUE"""),"Zamora")</f>
        <v>Zamora</v>
      </c>
      <c r="C101" s="36">
        <f ca="1">IFERROR(__xludf.DUMMYFUNCTION("""COMPUTED_VALUE"""),2016)</f>
        <v>2016</v>
      </c>
      <c r="D101" s="36" t="str">
        <f ca="1">IFERROR(__xludf.DUMMYFUNCTION("""COMPUTED_VALUE"""),"San Jorge")</f>
        <v>San Jorge</v>
      </c>
      <c r="E101" s="36" t="str">
        <f ca="1">IFERROR(__xludf.DUMMYFUNCTION("""COMPUTED_VALUE"""),"gs.sanjorge@scoutsdemadrid.org")</f>
        <v>gs.sanjorge@scoutsdemadrid.org</v>
      </c>
      <c r="F101" s="48">
        <f ca="1">IFERROR(__xludf.DUMMYFUNCTION("""COMPUTED_VALUE"""),42566)</f>
        <v>42566</v>
      </c>
      <c r="G101" s="48">
        <f ca="1">IFERROR(__xludf.DUMMYFUNCTION("""COMPUTED_VALUE"""),42581)</f>
        <v>42581</v>
      </c>
      <c r="H101" s="36" t="str">
        <f ca="1">IFERROR(__xludf.DUMMYFUNCTION("""COMPUTED_VALUE"""),"Manzanal De Arriba")</f>
        <v>Manzanal De Arriba</v>
      </c>
      <c r="I101" s="36" t="str">
        <f ca="1">IFERROR(__xludf.DUMMYFUNCTION("""COMPUTED_VALUE"""),"Manzanal De Arriba")</f>
        <v>Manzanal De Arriba</v>
      </c>
      <c r="J101" s="36" t="str">
        <f ca="1">IFERROR(__xludf.DUMMYFUNCTION("""COMPUTED_VALUE"""),"")</f>
        <v/>
      </c>
      <c r="K101" s="36" t="str">
        <f ca="1">IFERROR(__xludf.DUMMYFUNCTION("""COMPUTED_VALUE"""),"")</f>
        <v/>
      </c>
      <c r="L101" s="36" t="str">
        <f ca="1">IFERROR(__xludf.DUMMYFUNCTION("""COMPUTED_VALUE"""),"Ayuntamiento de Manzanal de Arriba")</f>
        <v>Ayuntamiento de Manzanal de Arriba</v>
      </c>
      <c r="M101" s="36" t="str">
        <f ca="1">IFERROR(__xludf.DUMMYFUNCTION("""COMPUTED_VALUE"""),"")</f>
        <v/>
      </c>
      <c r="N101" s="36" t="str">
        <f ca="1">IFERROR(__xludf.DUMMYFUNCTION("""COMPUTED_VALUE"""),"")</f>
        <v/>
      </c>
      <c r="O101" s="36" t="str">
        <f ca="1">IFERROR(__xludf.DUMMYFUNCTION("""COMPUTED_VALUE"""),"")</f>
        <v/>
      </c>
      <c r="P101" s="36" t="str">
        <f ca="1">IFERROR(__xludf.DUMMYFUNCTION("""COMPUTED_VALUE"""),"")</f>
        <v/>
      </c>
      <c r="Q101" s="36" t="str">
        <f ca="1">IFERROR(__xludf.DUMMYFUNCTION("""COMPUTED_VALUE"""),"BUENO (Se puede acceder con cualquier coche)")</f>
        <v>BUENO (Se puede acceder con cualquier coche)</v>
      </c>
      <c r="R101" s="36" t="str">
        <f ca="1">IFERROR(__xludf.DUMMYFUNCTION("""COMPUTED_VALUE"""),"Sí")</f>
        <v>Sí</v>
      </c>
      <c r="S101" s="36" t="str">
        <f ca="1">IFERROR(__xludf.DUMMYFUNCTION("""COMPUTED_VALUE"""),"100 metros")</f>
        <v>100 metros</v>
      </c>
      <c r="T101" s="36" t="str">
        <f ca="1">IFERROR(__xludf.DUMMYFUNCTION("""COMPUTED_VALUE"""),"es un embalse con bastante seguridad en el acceso")</f>
        <v>es un embalse con bastante seguridad en el acceso</v>
      </c>
      <c r="U101" s="36" t="str">
        <f ca="1">IFERROR(__xludf.DUMMYFUNCTION("""COMPUTED_VALUE"""),"no")</f>
        <v>no</v>
      </c>
      <c r="V101" s="36" t="str">
        <f ca="1">IFERROR(__xludf.DUMMYFUNCTION("""COMPUTED_VALUE"""),"sí")</f>
        <v>sí</v>
      </c>
      <c r="W101" s="36" t="str">
        <f ca="1">IFERROR(__xludf.DUMMYFUNCTION("""COMPUTED_VALUE"""),"")</f>
        <v/>
      </c>
      <c r="X101" s="36"/>
      <c r="Y101" s="36"/>
      <c r="Z101" s="36"/>
    </row>
    <row r="102" spans="1:26" ht="12.75" hidden="1">
      <c r="A102" s="36" t="str">
        <f ca="1">IFERROR(__xludf.DUMMYFUNCTION("""COMPUTED_VALUE"""),"Castilla y León")</f>
        <v>Castilla y León</v>
      </c>
      <c r="B102" s="36" t="str">
        <f ca="1">IFERROR(__xludf.DUMMYFUNCTION("""COMPUTED_VALUE"""),"Zamora")</f>
        <v>Zamora</v>
      </c>
      <c r="C102" s="36">
        <f ca="1">IFERROR(__xludf.DUMMYFUNCTION("""COMPUTED_VALUE"""),2016)</f>
        <v>2016</v>
      </c>
      <c r="D102" s="36" t="str">
        <f ca="1">IFERROR(__xludf.DUMMYFUNCTION("""COMPUTED_VALUE"""),"San Jorge")</f>
        <v>San Jorge</v>
      </c>
      <c r="E102" s="36" t="str">
        <f ca="1">IFERROR(__xludf.DUMMYFUNCTION("""COMPUTED_VALUE"""),"gs.sanjorge@scoutsdemadrid.org")</f>
        <v>gs.sanjorge@scoutsdemadrid.org</v>
      </c>
      <c r="F102" s="48">
        <f ca="1">IFERROR(__xludf.DUMMYFUNCTION("""COMPUTED_VALUE"""),42566)</f>
        <v>42566</v>
      </c>
      <c r="G102" s="48">
        <f ca="1">IFERROR(__xludf.DUMMYFUNCTION("""COMPUTED_VALUE"""),42581)</f>
        <v>42581</v>
      </c>
      <c r="H102" s="36" t="str">
        <f ca="1">IFERROR(__xludf.DUMMYFUNCTION("""COMPUTED_VALUE"""),"Manzanal De Arriba")</f>
        <v>Manzanal De Arriba</v>
      </c>
      <c r="I102" s="36" t="str">
        <f ca="1">IFERROR(__xludf.DUMMYFUNCTION("""COMPUTED_VALUE"""),"La Ñalsa")</f>
        <v>La Ñalsa</v>
      </c>
      <c r="J102" s="36" t="str">
        <f ca="1">IFERROR(__xludf.DUMMYFUNCTION("""COMPUTED_VALUE"""),"41, 9793232-6, 3678770")</f>
        <v>41, 9793232-6, 3678770</v>
      </c>
      <c r="K102" s="36" t="str">
        <f ca="1">IFERROR(__xludf.DUMMYFUNCTION("""COMPUTED_VALUE"""),"")</f>
        <v/>
      </c>
      <c r="L102" s="36" t="str">
        <f ca="1">IFERROR(__xludf.DUMMYFUNCTION("""COMPUTED_VALUE"""),"Ayuntamiento de Manzanal de Arriba")</f>
        <v>Ayuntamiento de Manzanal de Arriba</v>
      </c>
      <c r="M102" s="36">
        <f ca="1">IFERROR(__xludf.DUMMYFUNCTION("""COMPUTED_VALUE"""),660166209)</f>
        <v>660166209</v>
      </c>
      <c r="N102" s="36" t="str">
        <f ca="1">IFERROR(__xludf.DUMMYFUNCTION("""COMPUTED_VALUE"""),"Abel Lorenzo Sotelo")</f>
        <v>Abel Lorenzo Sotelo</v>
      </c>
      <c r="O102" s="36" t="str">
        <f ca="1">IFERROR(__xludf.DUMMYFUNCTION("""COMPUTED_VALUE"""),"")</f>
        <v/>
      </c>
      <c r="P102" s="36" t="str">
        <f ca="1">IFERROR(__xludf.DUMMYFUNCTION("""COMPUTED_VALUE"""),"1 hectárea y media aproximadamente")</f>
        <v>1 hectárea y media aproximadamente</v>
      </c>
      <c r="Q102" s="36" t="str">
        <f ca="1">IFERROR(__xludf.DUMMYFUNCTION("""COMPUTED_VALUE"""),"BUENO (Se puede acceder con cualquier coche)")</f>
        <v>BUENO (Se puede acceder con cualquier coche)</v>
      </c>
      <c r="R102" s="36" t="str">
        <f ca="1">IFERROR(__xludf.DUMMYFUNCTION("""COMPUTED_VALUE"""),"Sí")</f>
        <v>Sí</v>
      </c>
      <c r="S102" s="36" t="str">
        <f ca="1">IFERROR(__xludf.DUMMYFUNCTION("""COMPUTED_VALUE"""),"100 metros")</f>
        <v>100 metros</v>
      </c>
      <c r="T102" s="36" t="str">
        <f ca="1">IFERROR(__xludf.DUMMYFUNCTION("""COMPUTED_VALUE"""),"es un embalse con bastante seguridad en el acceso")</f>
        <v>es un embalse con bastante seguridad en el acceso</v>
      </c>
      <c r="U102" s="36" t="str">
        <f ca="1">IFERROR(__xludf.DUMMYFUNCTION("""COMPUTED_VALUE"""),"no")</f>
        <v>no</v>
      </c>
      <c r="V102" s="36" t="str">
        <f ca="1">IFERROR(__xludf.DUMMYFUNCTION("""COMPUTED_VALUE"""),"sí")</f>
        <v>sí</v>
      </c>
      <c r="W102" s="36" t="str">
        <f ca="1">IFERROR(__xludf.DUMMYFUNCTION("""COMPUTED_VALUE"""),"")</f>
        <v/>
      </c>
      <c r="X102" s="36"/>
      <c r="Y102" s="36"/>
      <c r="Z102" s="36"/>
    </row>
    <row r="103" spans="1:26" ht="12.75" hidden="1">
      <c r="A103" s="36" t="str">
        <f ca="1">IFERROR(__xludf.DUMMYFUNCTION("""COMPUTED_VALUE"""),"Castilla y León")</f>
        <v>Castilla y León</v>
      </c>
      <c r="B103" s="36" t="str">
        <f ca="1">IFERROR(__xludf.DUMMYFUNCTION("""COMPUTED_VALUE"""),"Ávila")</f>
        <v>Ávila</v>
      </c>
      <c r="C103" s="36">
        <f ca="1">IFERROR(__xludf.DUMMYFUNCTION("""COMPUTED_VALUE"""),2018)</f>
        <v>2018</v>
      </c>
      <c r="D103" s="36" t="str">
        <f ca="1">IFERROR(__xludf.DUMMYFUNCTION("""COMPUTED_VALUE"""),"San Jorge")</f>
        <v>San Jorge</v>
      </c>
      <c r="E103" s="36" t="str">
        <f ca="1">IFERROR(__xludf.DUMMYFUNCTION("""COMPUTED_VALUE"""),"gs.sanjorge@scoutsdemadrid.org")</f>
        <v>gs.sanjorge@scoutsdemadrid.org</v>
      </c>
      <c r="F103" s="48">
        <f ca="1">IFERROR(__xludf.DUMMYFUNCTION("""COMPUTED_VALUE"""),43295)</f>
        <v>43295</v>
      </c>
      <c r="G103" s="48">
        <f ca="1">IFERROR(__xludf.DUMMYFUNCTION("""COMPUTED_VALUE"""),43309)</f>
        <v>43309</v>
      </c>
      <c r="H103" s="36" t="str">
        <f ca="1">IFERROR(__xludf.DUMMYFUNCTION("""COMPUTED_VALUE"""),"Gavilanes")</f>
        <v>Gavilanes</v>
      </c>
      <c r="I103" s="36" t="str">
        <f ca="1">IFERROR(__xludf.DUMMYFUNCTION("""COMPUTED_VALUE"""),"La Riviera")</f>
        <v>La Riviera</v>
      </c>
      <c r="J103" s="36" t="str">
        <f ca="1">IFERROR(__xludf.DUMMYFUNCTION("""COMPUTED_VALUE"""),"No se")</f>
        <v>No se</v>
      </c>
      <c r="K103" s="36" t="str">
        <f ca="1">IFERROR(__xludf.DUMMYFUNCTION("""COMPUTED_VALUE"""),"N: 40º 14' 13.758'' ' O: 4º 50' 21.12''")</f>
        <v>N: 40º 14' 13.758'' ' O: 4º 50' 21.12''</v>
      </c>
      <c r="L103" s="36" t="str">
        <f ca="1">IFERROR(__xludf.DUMMYFUNCTION("""COMPUTED_VALUE"""),"JESUS FERNANDEZ VARA,")</f>
        <v>JESUS FERNANDEZ VARA,</v>
      </c>
      <c r="M103" s="36">
        <f ca="1">IFERROR(__xludf.DUMMYFUNCTION("""COMPUTED_VALUE"""),647711306)</f>
        <v>647711306</v>
      </c>
      <c r="N103" s="36" t="str">
        <f ca="1">IFERROR(__xludf.DUMMYFUNCTION("""COMPUTED_VALUE"""),"jramon@informaticasil.com")</f>
        <v>jramon@informaticasil.com</v>
      </c>
      <c r="O103" s="36" t="str">
        <f ca="1">IFERROR(__xludf.DUMMYFUNCTION("""COMPUTED_VALUE"""),"800 + 10%")</f>
        <v>800 + 10%</v>
      </c>
      <c r="P103" s="36" t="str">
        <f ca="1">IFERROR(__xludf.DUMMYFUNCTION("""COMPUTED_VALUE"""),"grande")</f>
        <v>grande</v>
      </c>
      <c r="Q103" s="36" t="str">
        <f ca="1">IFERROR(__xludf.DUMMYFUNCTION("""COMPUTED_VALUE"""),"BUENO (Se puede acceder con cualquier coche)")</f>
        <v>BUENO (Se puede acceder con cualquier coche)</v>
      </c>
      <c r="R103" s="36" t="str">
        <f ca="1">IFERROR(__xludf.DUMMYFUNCTION("""COMPUTED_VALUE"""),"Sí")</f>
        <v>Sí</v>
      </c>
      <c r="S103" s="36">
        <f ca="1">IFERROR(__xludf.DUMMYFUNCTION("""COMPUTED_VALUE"""),500)</f>
        <v>500</v>
      </c>
      <c r="T103" s="36" t="str">
        <f ca="1">IFERROR(__xludf.DUMMYFUNCTION("""COMPUTED_VALUE"""),"rio")</f>
        <v>rio</v>
      </c>
      <c r="U103" s="36" t="str">
        <f ca="1">IFERROR(__xludf.DUMMYFUNCTION("""COMPUTED_VALUE"""),"no")</f>
        <v>no</v>
      </c>
      <c r="V103" s="36" t="str">
        <f ca="1">IFERROR(__xludf.DUMMYFUNCTION("""COMPUTED_VALUE"""),"si")</f>
        <v>si</v>
      </c>
      <c r="W103" s="36" t="str">
        <f ca="1">IFERROR(__xludf.DUMMYFUNCTION("""COMPUTED_VALUE"""),"bueno")</f>
        <v>bueno</v>
      </c>
      <c r="X103" s="36"/>
      <c r="Y103" s="36"/>
      <c r="Z103" s="36"/>
    </row>
    <row r="104" spans="1:26" ht="12.75" hidden="1">
      <c r="A104" s="36" t="str">
        <f ca="1">IFERROR(__xludf.DUMMYFUNCTION("""COMPUTED_VALUE"""),"Castilla y León")</f>
        <v>Castilla y León</v>
      </c>
      <c r="B104" s="36" t="str">
        <f ca="1">IFERROR(__xludf.DUMMYFUNCTION("""COMPUTED_VALUE"""),"Palencia")</f>
        <v>Palencia</v>
      </c>
      <c r="C104" s="36">
        <f ca="1">IFERROR(__xludf.DUMMYFUNCTION("""COMPUTED_VALUE"""),2017)</f>
        <v>2017</v>
      </c>
      <c r="D104" s="36" t="str">
        <f ca="1">IFERROR(__xludf.DUMMYFUNCTION("""COMPUTED_VALUE"""),"San Pablo")</f>
        <v>San Pablo</v>
      </c>
      <c r="E104" s="36" t="str">
        <f ca="1">IFERROR(__xludf.DUMMYFUNCTION("""COMPUTED_VALUE"""),"gs.sanpablo@scoutsdemadrid.org ")</f>
        <v xml:space="preserve">gs.sanpablo@scoutsdemadrid.org </v>
      </c>
      <c r="F104" s="48">
        <f ca="1">IFERROR(__xludf.DUMMYFUNCTION("""COMPUTED_VALUE"""),42931)</f>
        <v>42931</v>
      </c>
      <c r="G104" s="48">
        <f ca="1">IFERROR(__xludf.DUMMYFUNCTION("""COMPUTED_VALUE"""),42946)</f>
        <v>42946</v>
      </c>
      <c r="H104" s="36" t="str">
        <f ca="1">IFERROR(__xludf.DUMMYFUNCTION("""COMPUTED_VALUE"""),"Ruesga")</f>
        <v>Ruesga</v>
      </c>
      <c r="I104" s="36" t="str">
        <f ca="1">IFERROR(__xludf.DUMMYFUNCTION("""COMPUTED_VALUE"""),"La Valleja")</f>
        <v>La Valleja</v>
      </c>
      <c r="J104" s="36" t="str">
        <f ca="1">IFERROR(__xludf.DUMMYFUNCTION("""COMPUTED_VALUE"""),"")</f>
        <v/>
      </c>
      <c r="K104" s="36" t="str">
        <f ca="1">IFERROR(__xludf.DUMMYFUNCTION("""COMPUTED_VALUE"""),"42°51'50.8""N 4°32'20.0""W")</f>
        <v>42°51'50.8"N 4°32'20.0"W</v>
      </c>
      <c r="L104" s="36" t="str">
        <f ca="1">IFERROR(__xludf.DUMMYFUNCTION("""COMPUTED_VALUE"""),"Ángel Simal")</f>
        <v>Ángel Simal</v>
      </c>
      <c r="M104" s="36" t="str">
        <f ca="1">IFERROR(__xludf.DUMMYFUNCTION("""COMPUTED_VALUE"""),"")</f>
        <v/>
      </c>
      <c r="N104" s="36" t="str">
        <f ca="1">IFERROR(__xludf.DUMMYFUNCTION("""COMPUTED_VALUE"""),"")</f>
        <v/>
      </c>
      <c r="O104" s="36" t="str">
        <f ca="1">IFERROR(__xludf.DUMMYFUNCTION("""COMPUTED_VALUE"""),"")</f>
        <v/>
      </c>
      <c r="P104" s="36" t="str">
        <f ca="1">IFERROR(__xludf.DUMMYFUNCTION("""COMPUTED_VALUE"""),"")</f>
        <v/>
      </c>
      <c r="Q104" s="36" t="str">
        <f ca="1">IFERROR(__xludf.DUMMYFUNCTION("""COMPUTED_VALUE"""),"REGULAR (Se puede acceder con un coche normal con dificultad)")</f>
        <v>REGULAR (Se puede acceder con un coche normal con dificultad)</v>
      </c>
      <c r="R104" s="36" t="str">
        <f ca="1">IFERROR(__xludf.DUMMYFUNCTION("""COMPUTED_VALUE"""),"Sí")</f>
        <v>Sí</v>
      </c>
      <c r="S104" s="36" t="str">
        <f ca="1">IFERROR(__xludf.DUMMYFUNCTION("""COMPUTED_VALUE"""),"100m")</f>
        <v>100m</v>
      </c>
      <c r="T104" s="36" t="str">
        <f ca="1">IFERROR(__xludf.DUMMYFUNCTION("""COMPUTED_VALUE"""),"Embalse de Ruesga")</f>
        <v>Embalse de Ruesga</v>
      </c>
      <c r="U104" s="36" t="str">
        <f ca="1">IFERROR(__xludf.DUMMYFUNCTION("""COMPUTED_VALUE"""),"")</f>
        <v/>
      </c>
      <c r="V104" s="36" t="str">
        <f ca="1">IFERROR(__xludf.DUMMYFUNCTION("""COMPUTED_VALUE"""),"")</f>
        <v/>
      </c>
      <c r="W104" s="36" t="str">
        <f ca="1">IFERROR(__xludf.DUMMYFUNCTION("""COMPUTED_VALUE"""),"")</f>
        <v/>
      </c>
      <c r="X104" s="36"/>
      <c r="Y104" s="36"/>
      <c r="Z104" s="36"/>
    </row>
    <row r="105" spans="1:26" ht="12.75" hidden="1">
      <c r="A105" s="36" t="str">
        <f ca="1">IFERROR(__xludf.DUMMYFUNCTION("""COMPUTED_VALUE"""),"Castilla y León")</f>
        <v>Castilla y León</v>
      </c>
      <c r="B105" s="36" t="str">
        <f ca="1">IFERROR(__xludf.DUMMYFUNCTION("""COMPUTED_VALUE"""),"León")</f>
        <v>León</v>
      </c>
      <c r="C105" s="36">
        <f ca="1">IFERROR(__xludf.DUMMYFUNCTION("""COMPUTED_VALUE"""),2019)</f>
        <v>2019</v>
      </c>
      <c r="D105" s="36" t="str">
        <f ca="1">IFERROR(__xludf.DUMMYFUNCTION("""COMPUTED_VALUE"""),"San Pablo")</f>
        <v>San Pablo</v>
      </c>
      <c r="E105" s="36" t="str">
        <f ca="1">IFERROR(__xludf.DUMMYFUNCTION("""COMPUTED_VALUE"""),"gs.sanpablo@scoutsdemadrid.org ")</f>
        <v xml:space="preserve">gs.sanpablo@scoutsdemadrid.org </v>
      </c>
      <c r="F105" s="36">
        <f ca="1">IFERROR(__xludf.DUMMYFUNCTION("""COMPUTED_VALUE"""),43662)</f>
        <v>43662</v>
      </c>
      <c r="G105" s="36">
        <f ca="1">IFERROR(__xludf.DUMMYFUNCTION("""COMPUTED_VALUE"""),43677)</f>
        <v>43677</v>
      </c>
      <c r="H105" s="36" t="str">
        <f ca="1">IFERROR(__xludf.DUMMYFUNCTION("""COMPUTED_VALUE"""),"La Cueta")</f>
        <v>La Cueta</v>
      </c>
      <c r="I105" s="36" t="str">
        <f ca="1">IFERROR(__xludf.DUMMYFUNCTION("""COMPUTED_VALUE"""),"Trescueñas")</f>
        <v>Trescueñas</v>
      </c>
      <c r="J105" s="36" t="str">
        <f ca="1">IFERROR(__xludf.DUMMYFUNCTION("""COMPUTED_VALUE"""),"24030A023002260000EY")</f>
        <v>24030A023002260000EY</v>
      </c>
      <c r="K105" s="36" t="str">
        <f ca="1">IFERROR(__xludf.DUMMYFUNCTION("""COMPUTED_VALUE"""),"42°59'10.9""N 6°12'27.1""W")</f>
        <v>42°59'10.9"N 6°12'27.1"W</v>
      </c>
      <c r="L105" s="36" t="str">
        <f ca="1">IFERROR(__xludf.DUMMYFUNCTION("""COMPUTED_VALUE"""),"Rufino Blanco")</f>
        <v>Rufino Blanco</v>
      </c>
      <c r="M105" s="36">
        <f ca="1">IFERROR(__xludf.DUMMYFUNCTION("""COMPUTED_VALUE"""),987488364)</f>
        <v>987488364</v>
      </c>
      <c r="N105" s="36" t="str">
        <f ca="1">IFERROR(__xludf.DUMMYFUNCTION("""COMPUTED_VALUE"""),"No tiene")</f>
        <v>No tiene</v>
      </c>
      <c r="O105" s="36">
        <f ca="1">IFERROR(__xludf.DUMMYFUNCTION("""COMPUTED_VALUE"""),600)</f>
        <v>600</v>
      </c>
      <c r="P105" s="36" t="str">
        <f ca="1">IFERROR(__xludf.DUMMYFUNCTION("""COMPUTED_VALUE"""),"1,12 ha")</f>
        <v>1,12 ha</v>
      </c>
      <c r="Q105" s="36" t="str">
        <f ca="1">IFERROR(__xludf.DUMMYFUNCTION("""COMPUTED_VALUE"""),"REGULAR (Se puede acceder con un coche normal con dificultad)")</f>
        <v>REGULAR (Se puede acceder con un coche normal con dificultad)</v>
      </c>
      <c r="R105" s="36" t="str">
        <f ca="1">IFERROR(__xludf.DUMMYFUNCTION("""COMPUTED_VALUE"""),"Sí")</f>
        <v>Sí</v>
      </c>
      <c r="S105" s="36" t="str">
        <f ca="1">IFERROR(__xludf.DUMMYFUNCTION("""COMPUTED_VALUE"""),"No hay")</f>
        <v>No hay</v>
      </c>
      <c r="T105" s="36" t="str">
        <f ca="1">IFERROR(__xludf.DUMMYFUNCTION("""COMPUTED_VALUE"""),"No hay")</f>
        <v>No hay</v>
      </c>
      <c r="U105" s="36" t="str">
        <f ca="1">IFERROR(__xludf.DUMMYFUNCTION("""COMPUTED_VALUE"""),"No")</f>
        <v>No</v>
      </c>
      <c r="V105" s="36" t="str">
        <f ca="1">IFERROR(__xludf.DUMMYFUNCTION("""COMPUTED_VALUE"""),"No lo sabemos")</f>
        <v>No lo sabemos</v>
      </c>
      <c r="W105" s="36" t="str">
        <f ca="1">IFERROR(__xludf.DUMMYFUNCTION("""COMPUTED_VALUE"""),"No sabemos si el dueño está de acuerdo en compartir sus datos de contacto. La campa no tiene zona de baño, está cerca del río Sil pero no cubre mucho en esa zona. No hay mucha sombra en la zona, en la campa hay algunos árboles")</f>
        <v>No sabemos si el dueño está de acuerdo en compartir sus datos de contacto. La campa no tiene zona de baño, está cerca del río Sil pero no cubre mucho en esa zona. No hay mucha sombra en la zona, en la campa hay algunos árboles</v>
      </c>
      <c r="X105" s="36"/>
      <c r="Y105" s="36"/>
      <c r="Z105" s="36"/>
    </row>
    <row r="106" spans="1:26" ht="12.75" hidden="1">
      <c r="A106" s="36" t="str">
        <f ca="1">IFERROR(__xludf.DUMMYFUNCTION("""COMPUTED_VALUE"""),"Castilla y León")</f>
        <v>Castilla y León</v>
      </c>
      <c r="B106" s="36" t="str">
        <f ca="1">IFERROR(__xludf.DUMMYFUNCTION("""COMPUTED_VALUE"""),"Ávila")</f>
        <v>Ávila</v>
      </c>
      <c r="C106" s="36">
        <f ca="1">IFERROR(__xludf.DUMMYFUNCTION("""COMPUTED_VALUE"""),2016)</f>
        <v>2016</v>
      </c>
      <c r="D106" s="36" t="str">
        <f ca="1">IFERROR(__xludf.DUMMYFUNCTION("""COMPUTED_VALUE"""),"San Pedro")</f>
        <v>San Pedro</v>
      </c>
      <c r="E106" s="36" t="str">
        <f ca="1">IFERROR(__xludf.DUMMYFUNCTION("""COMPUTED_VALUE"""),"")</f>
        <v/>
      </c>
      <c r="F106" s="48">
        <f ca="1">IFERROR(__xludf.DUMMYFUNCTION("""COMPUTED_VALUE"""),42569)</f>
        <v>42569</v>
      </c>
      <c r="G106" s="48">
        <f ca="1">IFERROR(__xludf.DUMMYFUNCTION("""COMPUTED_VALUE"""),42582)</f>
        <v>42582</v>
      </c>
      <c r="H106" s="36" t="str">
        <f ca="1">IFERROR(__xludf.DUMMYFUNCTION("""COMPUTED_VALUE"""),"Mombeltran ")</f>
        <v xml:space="preserve">Mombeltran </v>
      </c>
      <c r="I106" s="36" t="str">
        <f ca="1">IFERROR(__xludf.DUMMYFUNCTION("""COMPUTED_VALUE"""),"campamento los sauces ")</f>
        <v xml:space="preserve">campamento los sauces </v>
      </c>
      <c r="J106" s="36" t="str">
        <f ca="1">IFERROR(__xludf.DUMMYFUNCTION("""COMPUTED_VALUE"""),"")</f>
        <v/>
      </c>
      <c r="K106" s="36" t="str">
        <f ca="1">IFERROR(__xludf.DUMMYFUNCTION("""COMPUTED_VALUE"""),"")</f>
        <v/>
      </c>
      <c r="L106" s="36" t="str">
        <f ca="1">IFERROR(__xludf.DUMMYFUNCTION("""COMPUTED_VALUE"""),"juan carlos gomez sanchez ")</f>
        <v xml:space="preserve">juan carlos gomez sanchez </v>
      </c>
      <c r="M106" s="36" t="str">
        <f ca="1">IFERROR(__xludf.DUMMYFUNCTION("""COMPUTED_VALUE"""),"")</f>
        <v/>
      </c>
      <c r="N106" s="36" t="str">
        <f ca="1">IFERROR(__xludf.DUMMYFUNCTION("""COMPUTED_VALUE""")," mariapidal@act-educo.com")</f>
        <v xml:space="preserve"> mariapidal@act-educo.com</v>
      </c>
      <c r="O106" s="36" t="str">
        <f ca="1">IFERROR(__xludf.DUMMYFUNCTION("""COMPUTED_VALUE"""),"")</f>
        <v/>
      </c>
      <c r="P106" s="36" t="str">
        <f ca="1">IFERROR(__xludf.DUMMYFUNCTION("""COMPUTED_VALUE"""),"")</f>
        <v/>
      </c>
      <c r="Q106" s="36" t="str">
        <f ca="1">IFERROR(__xludf.DUMMYFUNCTION("""COMPUTED_VALUE"""),"BUENO (Se puede acceder con cualquier coche)")</f>
        <v>BUENO (Se puede acceder con cualquier coche)</v>
      </c>
      <c r="R106" s="36" t="str">
        <f ca="1">IFERROR(__xludf.DUMMYFUNCTION("""COMPUTED_VALUE"""),"Sí")</f>
        <v>Sí</v>
      </c>
      <c r="S106" s="36" t="str">
        <f ca="1">IFERROR(__xludf.DUMMYFUNCTION("""COMPUTED_VALUE"""),"")</f>
        <v/>
      </c>
      <c r="T106" s="36" t="str">
        <f ca="1">IFERROR(__xludf.DUMMYFUNCTION("""COMPUTED_VALUE"""),"")</f>
        <v/>
      </c>
      <c r="U106" s="36" t="str">
        <f ca="1">IFERROR(__xludf.DUMMYFUNCTION("""COMPUTED_VALUE"""),"")</f>
        <v/>
      </c>
      <c r="V106" s="36" t="str">
        <f ca="1">IFERROR(__xludf.DUMMYFUNCTION("""COMPUTED_VALUE"""),"")</f>
        <v/>
      </c>
      <c r="W106" s="36" t="str">
        <f ca="1">IFERROR(__xludf.DUMMYFUNCTION("""COMPUTED_VALUE"""),"")</f>
        <v/>
      </c>
      <c r="X106" s="36"/>
      <c r="Y106" s="36"/>
      <c r="Z106" s="36"/>
    </row>
    <row r="107" spans="1:26" ht="12.75" hidden="1">
      <c r="A107" s="36" t="str">
        <f ca="1">IFERROR(__xludf.DUMMYFUNCTION("""COMPUTED_VALUE"""),"Castilla y León")</f>
        <v>Castilla y León</v>
      </c>
      <c r="B107" s="36" t="str">
        <f ca="1">IFERROR(__xludf.DUMMYFUNCTION("""COMPUTED_VALUE"""),"Ávila")</f>
        <v>Ávila</v>
      </c>
      <c r="C107" s="36">
        <f ca="1">IFERROR(__xludf.DUMMYFUNCTION("""COMPUTED_VALUE"""),2016)</f>
        <v>2016</v>
      </c>
      <c r="D107" s="36" t="str">
        <f ca="1">IFERROR(__xludf.DUMMYFUNCTION("""COMPUTED_VALUE"""),"San Pedro")</f>
        <v>San Pedro</v>
      </c>
      <c r="E107" s="36" t="str">
        <f ca="1">IFERROR(__xludf.DUMMYFUNCTION("""COMPUTED_VALUE"""),"")</f>
        <v/>
      </c>
      <c r="F107" s="48">
        <f ca="1">IFERROR(__xludf.DUMMYFUNCTION("""COMPUTED_VALUE"""),42569)</f>
        <v>42569</v>
      </c>
      <c r="G107" s="48">
        <f ca="1">IFERROR(__xludf.DUMMYFUNCTION("""COMPUTED_VALUE"""),42582)</f>
        <v>42582</v>
      </c>
      <c r="H107" s="36" t="str">
        <f ca="1">IFERROR(__xludf.DUMMYFUNCTION("""COMPUTED_VALUE"""),"Mombeltran ")</f>
        <v xml:space="preserve">Mombeltran </v>
      </c>
      <c r="I107" s="36" t="str">
        <f ca="1">IFERROR(__xludf.DUMMYFUNCTION("""COMPUTED_VALUE"""),"campamento los sauces ")</f>
        <v xml:space="preserve">campamento los sauces </v>
      </c>
      <c r="J107" s="36" t="str">
        <f ca="1">IFERROR(__xludf.DUMMYFUNCTION("""COMPUTED_VALUE"""),"")</f>
        <v/>
      </c>
      <c r="K107" s="36" t="str">
        <f ca="1">IFERROR(__xludf.DUMMYFUNCTION("""COMPUTED_VALUE"""),"")</f>
        <v/>
      </c>
      <c r="L107" s="36" t="str">
        <f ca="1">IFERROR(__xludf.DUMMYFUNCTION("""COMPUTED_VALUE"""),"juan carlos gomez sanchez ")</f>
        <v xml:space="preserve">juan carlos gomez sanchez </v>
      </c>
      <c r="M107" s="36" t="str">
        <f ca="1">IFERROR(__xludf.DUMMYFUNCTION("""COMPUTED_VALUE"""),"")</f>
        <v/>
      </c>
      <c r="N107" s="36" t="str">
        <f ca="1">IFERROR(__xludf.DUMMYFUNCTION("""COMPUTED_VALUE""")," mariapidal@act-educo.com")</f>
        <v xml:space="preserve"> mariapidal@act-educo.com</v>
      </c>
      <c r="O107" s="36" t="str">
        <f ca="1">IFERROR(__xludf.DUMMYFUNCTION("""COMPUTED_VALUE"""),"")</f>
        <v/>
      </c>
      <c r="P107" s="36" t="str">
        <f ca="1">IFERROR(__xludf.DUMMYFUNCTION("""COMPUTED_VALUE"""),"")</f>
        <v/>
      </c>
      <c r="Q107" s="36" t="str">
        <f ca="1">IFERROR(__xludf.DUMMYFUNCTION("""COMPUTED_VALUE"""),"BUENO (Se puede acceder con cualquier coche)")</f>
        <v>BUENO (Se puede acceder con cualquier coche)</v>
      </c>
      <c r="R107" s="36" t="str">
        <f ca="1">IFERROR(__xludf.DUMMYFUNCTION("""COMPUTED_VALUE"""),"Sí")</f>
        <v>Sí</v>
      </c>
      <c r="S107" s="36" t="str">
        <f ca="1">IFERROR(__xludf.DUMMYFUNCTION("""COMPUTED_VALUE"""),"")</f>
        <v/>
      </c>
      <c r="T107" s="36" t="str">
        <f ca="1">IFERROR(__xludf.DUMMYFUNCTION("""COMPUTED_VALUE"""),"")</f>
        <v/>
      </c>
      <c r="U107" s="36" t="str">
        <f ca="1">IFERROR(__xludf.DUMMYFUNCTION("""COMPUTED_VALUE"""),"")</f>
        <v/>
      </c>
      <c r="V107" s="36" t="str">
        <f ca="1">IFERROR(__xludf.DUMMYFUNCTION("""COMPUTED_VALUE"""),"")</f>
        <v/>
      </c>
      <c r="W107" s="36" t="str">
        <f ca="1">IFERROR(__xludf.DUMMYFUNCTION("""COMPUTED_VALUE"""),"")</f>
        <v/>
      </c>
      <c r="X107" s="36"/>
      <c r="Y107" s="36"/>
      <c r="Z107" s="36"/>
    </row>
    <row r="108" spans="1:26" ht="12.75" hidden="1">
      <c r="A108" s="36" t="str">
        <f ca="1">IFERROR(__xludf.DUMMYFUNCTION("""COMPUTED_VALUE"""),"Castilla y León")</f>
        <v>Castilla y León</v>
      </c>
      <c r="B108" s="36" t="str">
        <f ca="1">IFERROR(__xludf.DUMMYFUNCTION("""COMPUTED_VALUE"""),"Ávila")</f>
        <v>Ávila</v>
      </c>
      <c r="C108" s="36">
        <f ca="1">IFERROR(__xludf.DUMMYFUNCTION("""COMPUTED_VALUE"""),2012)</f>
        <v>2012</v>
      </c>
      <c r="D108" s="36" t="str">
        <f ca="1">IFERROR(__xludf.DUMMYFUNCTION("""COMPUTED_VALUE"""),"San Viator")</f>
        <v>San Viator</v>
      </c>
      <c r="E108" s="36" t="str">
        <f ca="1">IFERROR(__xludf.DUMMYFUNCTION("""COMPUTED_VALUE"""),"")</f>
        <v/>
      </c>
      <c r="F108" s="48">
        <f ca="1">IFERROR(__xludf.DUMMYFUNCTION("""COMPUTED_VALUE"""),41091)</f>
        <v>41091</v>
      </c>
      <c r="G108" s="48">
        <f ca="1">IFERROR(__xludf.DUMMYFUNCTION("""COMPUTED_VALUE"""),41105)</f>
        <v>41105</v>
      </c>
      <c r="H108" s="36" t="str">
        <f ca="1">IFERROR(__xludf.DUMMYFUNCTION("""COMPUTED_VALUE"""),"Casavieja")</f>
        <v>Casavieja</v>
      </c>
      <c r="I108" s="36" t="str">
        <f ca="1">IFERROR(__xludf.DUMMYFUNCTION("""COMPUTED_VALUE""")," Pradera de los Orcos")</f>
        <v xml:space="preserve"> Pradera de los Orcos</v>
      </c>
      <c r="J108" s="36" t="str">
        <f ca="1">IFERROR(__xludf.DUMMYFUNCTION("""COMPUTED_VALUE"""),"")</f>
        <v/>
      </c>
      <c r="K108" s="49" t="str">
        <f ca="1">IFERROR(__xludf.DUMMYFUNCTION("""COMPUTED_VALUE"""),"https://maps.google.es/maps?q=pradera+de+los+orcos+casavieja&amp;ie=UTF-8&amp;hl=es")</f>
        <v>https://maps.google.es/maps?q=pradera+de+los+orcos+casavieja&amp;ie=UTF-8&amp;hl=es</v>
      </c>
      <c r="L108" s="36" t="str">
        <f ca="1">IFERROR(__xludf.DUMMYFUNCTION("""COMPUTED_VALUE"""),"")</f>
        <v/>
      </c>
      <c r="M108" s="36" t="str">
        <f ca="1">IFERROR(__xludf.DUMMYFUNCTION("""COMPUTED_VALUE"""),"")</f>
        <v/>
      </c>
      <c r="N108" s="36" t="str">
        <f ca="1">IFERROR(__xludf.DUMMYFUNCTION("""COMPUTED_VALUE"""),"")</f>
        <v/>
      </c>
      <c r="O108" s="36" t="str">
        <f ca="1">IFERROR(__xludf.DUMMYFUNCTION("""COMPUTED_VALUE"""),"")</f>
        <v/>
      </c>
      <c r="P108" s="36" t="str">
        <f ca="1">IFERROR(__xludf.DUMMYFUNCTION("""COMPUTED_VALUE"""),"")</f>
        <v/>
      </c>
      <c r="Q108" s="36" t="str">
        <f ca="1">IFERROR(__xludf.DUMMYFUNCTION("""COMPUTED_VALUE"""),"")</f>
        <v/>
      </c>
      <c r="R108" s="36" t="str">
        <f ca="1">IFERROR(__xludf.DUMMYFUNCTION("""COMPUTED_VALUE"""),"")</f>
        <v/>
      </c>
      <c r="S108" s="36" t="str">
        <f ca="1">IFERROR(__xludf.DUMMYFUNCTION("""COMPUTED_VALUE"""),"")</f>
        <v/>
      </c>
      <c r="T108" s="36" t="str">
        <f ca="1">IFERROR(__xludf.DUMMYFUNCTION("""COMPUTED_VALUE"""),"")</f>
        <v/>
      </c>
      <c r="U108" s="36" t="str">
        <f ca="1">IFERROR(__xludf.DUMMYFUNCTION("""COMPUTED_VALUE"""),"")</f>
        <v/>
      </c>
      <c r="V108" s="36" t="str">
        <f ca="1">IFERROR(__xludf.DUMMYFUNCTION("""COMPUTED_VALUE"""),"")</f>
        <v/>
      </c>
      <c r="W108" s="36" t="str">
        <f ca="1">IFERROR(__xludf.DUMMYFUNCTION("""COMPUTED_VALUE"""),"")</f>
        <v/>
      </c>
      <c r="X108" s="36"/>
      <c r="Y108" s="36"/>
      <c r="Z108" s="36"/>
    </row>
    <row r="109" spans="1:26" ht="12.75" hidden="1">
      <c r="A109" s="36" t="str">
        <f ca="1">IFERROR(__xludf.DUMMYFUNCTION("""COMPUTED_VALUE"""),"Castilla y León")</f>
        <v>Castilla y León</v>
      </c>
      <c r="B109" s="36" t="str">
        <f ca="1">IFERROR(__xludf.DUMMYFUNCTION("""COMPUTED_VALUE"""),"Soria")</f>
        <v>Soria</v>
      </c>
      <c r="C109" s="36">
        <f ca="1">IFERROR(__xludf.DUMMYFUNCTION("""COMPUTED_VALUE"""),2012)</f>
        <v>2012</v>
      </c>
      <c r="D109" s="36" t="str">
        <f ca="1">IFERROR(__xludf.DUMMYFUNCTION("""COMPUTED_VALUE"""),"Santa María Del Pilar")</f>
        <v>Santa María Del Pilar</v>
      </c>
      <c r="E109" s="36" t="str">
        <f ca="1">IFERROR(__xludf.DUMMYFUNCTION("""COMPUTED_VALUE"""),"gs.santamariadelpilar@scoutsdemadrid.org")</f>
        <v>gs.santamariadelpilar@scoutsdemadrid.org</v>
      </c>
      <c r="F109" s="48">
        <f ca="1">IFERROR(__xludf.DUMMYFUNCTION("""COMPUTED_VALUE"""),41099)</f>
        <v>41099</v>
      </c>
      <c r="G109" s="48">
        <f ca="1">IFERROR(__xludf.DUMMYFUNCTION("""COMPUTED_VALUE"""),369836)</f>
        <v>369836</v>
      </c>
      <c r="H109" s="36" t="str">
        <f ca="1">IFERROR(__xludf.DUMMYFUNCTION("""COMPUTED_VALUE"""),"Abejar")</f>
        <v>Abejar</v>
      </c>
      <c r="I109" s="36" t="str">
        <f ca="1">IFERROR(__xludf.DUMMYFUNCTION("""COMPUTED_VALUE"""),"Pinar Grande - Agua Buena")</f>
        <v>Pinar Grande - Agua Buena</v>
      </c>
      <c r="J109" s="36" t="str">
        <f ca="1">IFERROR(__xludf.DUMMYFUNCTION("""COMPUTED_VALUE"""),"")</f>
        <v/>
      </c>
      <c r="K109" s="49" t="str">
        <f ca="1">IFERROR(__xludf.DUMMYFUNCTION("""COMPUTED_VALUE"""),"http://goo.gl/maps/mxab")</f>
        <v>http://goo.gl/maps/mxab</v>
      </c>
      <c r="L109" s="36" t="str">
        <f ca="1">IFERROR(__xludf.DUMMYFUNCTION("""COMPUTED_VALUE"""),"")</f>
        <v/>
      </c>
      <c r="M109" s="36" t="str">
        <f ca="1">IFERROR(__xludf.DUMMYFUNCTION("""COMPUTED_VALUE"""),"")</f>
        <v/>
      </c>
      <c r="N109" s="36" t="str">
        <f ca="1">IFERROR(__xludf.DUMMYFUNCTION("""COMPUTED_VALUE"""),"")</f>
        <v/>
      </c>
      <c r="O109" s="36" t="str">
        <f ca="1">IFERROR(__xludf.DUMMYFUNCTION("""COMPUTED_VALUE"""),"")</f>
        <v/>
      </c>
      <c r="P109" s="36" t="str">
        <f ca="1">IFERROR(__xludf.DUMMYFUNCTION("""COMPUTED_VALUE"""),"")</f>
        <v/>
      </c>
      <c r="Q109" s="36" t="str">
        <f ca="1">IFERROR(__xludf.DUMMYFUNCTION("""COMPUTED_VALUE"""),"")</f>
        <v/>
      </c>
      <c r="R109" s="36" t="str">
        <f ca="1">IFERROR(__xludf.DUMMYFUNCTION("""COMPUTED_VALUE"""),"")</f>
        <v/>
      </c>
      <c r="S109" s="36" t="str">
        <f ca="1">IFERROR(__xludf.DUMMYFUNCTION("""COMPUTED_VALUE"""),"")</f>
        <v/>
      </c>
      <c r="T109" s="36" t="str">
        <f ca="1">IFERROR(__xludf.DUMMYFUNCTION("""COMPUTED_VALUE"""),"")</f>
        <v/>
      </c>
      <c r="U109" s="36" t="str">
        <f ca="1">IFERROR(__xludf.DUMMYFUNCTION("""COMPUTED_VALUE"""),"")</f>
        <v/>
      </c>
      <c r="V109" s="36" t="str">
        <f ca="1">IFERROR(__xludf.DUMMYFUNCTION("""COMPUTED_VALUE"""),"")</f>
        <v/>
      </c>
      <c r="W109" s="36" t="str">
        <f ca="1">IFERROR(__xludf.DUMMYFUNCTION("""COMPUTED_VALUE"""),"")</f>
        <v/>
      </c>
      <c r="X109" s="36"/>
      <c r="Y109" s="36"/>
      <c r="Z109" s="36"/>
    </row>
    <row r="110" spans="1:26" ht="12.75" hidden="1">
      <c r="A110" s="36" t="str">
        <f ca="1">IFERROR(__xludf.DUMMYFUNCTION("""COMPUTED_VALUE"""),"Castilla y León")</f>
        <v>Castilla y León</v>
      </c>
      <c r="B110" s="36" t="str">
        <f ca="1">IFERROR(__xludf.DUMMYFUNCTION("""COMPUTED_VALUE"""),"Soria")</f>
        <v>Soria</v>
      </c>
      <c r="C110" s="36">
        <f ca="1">IFERROR(__xludf.DUMMYFUNCTION("""COMPUTED_VALUE"""),2015)</f>
        <v>2015</v>
      </c>
      <c r="D110" s="36" t="str">
        <f ca="1">IFERROR(__xludf.DUMMYFUNCTION("""COMPUTED_VALUE"""),"Santa María Del Pilar")</f>
        <v>Santa María Del Pilar</v>
      </c>
      <c r="E110" s="36" t="str">
        <f ca="1">IFERROR(__xludf.DUMMYFUNCTION("""COMPUTED_VALUE"""),"gs.santamariadelpilar@scoutsdemadrid.org")</f>
        <v>gs.santamariadelpilar@scoutsdemadrid.org</v>
      </c>
      <c r="F110" s="48">
        <f ca="1">IFERROR(__xludf.DUMMYFUNCTION("""COMPUTED_VALUE"""),42189)</f>
        <v>42189</v>
      </c>
      <c r="G110" s="48">
        <f ca="1">IFERROR(__xludf.DUMMYFUNCTION("""COMPUTED_VALUE"""),42210)</f>
        <v>42210</v>
      </c>
      <c r="H110" s="36" t="str">
        <f ca="1">IFERROR(__xludf.DUMMYFUNCTION("""COMPUTED_VALUE"""),"Navaleno")</f>
        <v>Navaleno</v>
      </c>
      <c r="I110" s="36" t="str">
        <f ca="1">IFERROR(__xludf.DUMMYFUNCTION("""COMPUTED_VALUE"""),"AguaBuena")</f>
        <v>AguaBuena</v>
      </c>
      <c r="J110" s="36" t="str">
        <f ca="1">IFERROR(__xludf.DUMMYFUNCTION("""COMPUTED_VALUE"""),"")</f>
        <v/>
      </c>
      <c r="K110" s="36" t="str">
        <f ca="1">IFERROR(__xludf.DUMMYFUNCTION("""COMPUTED_VALUE"""),"41.864789,-2.861678")</f>
        <v>41.864789,-2.861678</v>
      </c>
      <c r="L110" s="36" t="str">
        <f ca="1">IFERROR(__xludf.DUMMYFUNCTION("""COMPUTED_VALUE"""),"")</f>
        <v/>
      </c>
      <c r="M110" s="36" t="str">
        <f ca="1">IFERROR(__xludf.DUMMYFUNCTION("""COMPUTED_VALUE"""),"")</f>
        <v/>
      </c>
      <c r="N110" s="36" t="str">
        <f ca="1">IFERROR(__xludf.DUMMYFUNCTION("""COMPUTED_VALUE"""),"")</f>
        <v/>
      </c>
      <c r="O110" s="36" t="str">
        <f ca="1">IFERROR(__xludf.DUMMYFUNCTION("""COMPUTED_VALUE"""),"")</f>
        <v/>
      </c>
      <c r="P110" s="36" t="str">
        <f ca="1">IFERROR(__xludf.DUMMYFUNCTION("""COMPUTED_VALUE"""),"")</f>
        <v/>
      </c>
      <c r="Q110" s="36" t="str">
        <f ca="1">IFERROR(__xludf.DUMMYFUNCTION("""COMPUTED_VALUE"""),"")</f>
        <v/>
      </c>
      <c r="R110" s="36" t="str">
        <f ca="1">IFERROR(__xludf.DUMMYFUNCTION("""COMPUTED_VALUE"""),"")</f>
        <v/>
      </c>
      <c r="S110" s="36" t="str">
        <f ca="1">IFERROR(__xludf.DUMMYFUNCTION("""COMPUTED_VALUE"""),"")</f>
        <v/>
      </c>
      <c r="T110" s="36" t="str">
        <f ca="1">IFERROR(__xludf.DUMMYFUNCTION("""COMPUTED_VALUE"""),"")</f>
        <v/>
      </c>
      <c r="U110" s="36" t="str">
        <f ca="1">IFERROR(__xludf.DUMMYFUNCTION("""COMPUTED_VALUE"""),"")</f>
        <v/>
      </c>
      <c r="V110" s="36" t="str">
        <f ca="1">IFERROR(__xludf.DUMMYFUNCTION("""COMPUTED_VALUE"""),"")</f>
        <v/>
      </c>
      <c r="W110" s="36" t="str">
        <f ca="1">IFERROR(__xludf.DUMMYFUNCTION("""COMPUTED_VALUE"""),"")</f>
        <v/>
      </c>
      <c r="X110" s="36"/>
      <c r="Y110" s="36"/>
      <c r="Z110" s="36"/>
    </row>
    <row r="111" spans="1:26" ht="12.75" hidden="1">
      <c r="A111" s="36" t="str">
        <f ca="1">IFERROR(__xludf.DUMMYFUNCTION("""COMPUTED_VALUE"""),"Castilla y León")</f>
        <v>Castilla y León</v>
      </c>
      <c r="B111" s="36" t="str">
        <f ca="1">IFERROR(__xludf.DUMMYFUNCTION("""COMPUTED_VALUE"""),"Burgos")</f>
        <v>Burgos</v>
      </c>
      <c r="C111" s="36">
        <f ca="1">IFERROR(__xludf.DUMMYFUNCTION("""COMPUTED_VALUE"""),2016)</f>
        <v>2016</v>
      </c>
      <c r="D111" s="36" t="str">
        <f ca="1">IFERROR(__xludf.DUMMYFUNCTION("""COMPUTED_VALUE"""),"Santa María Del Pilar")</f>
        <v>Santa María Del Pilar</v>
      </c>
      <c r="E111" s="36" t="str">
        <f ca="1">IFERROR(__xludf.DUMMYFUNCTION("""COMPUTED_VALUE"""),"gs.santamariadelpilar@scoutsdemadrid.org")</f>
        <v>gs.santamariadelpilar@scoutsdemadrid.org</v>
      </c>
      <c r="F111" s="48">
        <f ca="1">IFERROR(__xludf.DUMMYFUNCTION("""COMPUTED_VALUE"""),42565)</f>
        <v>42565</v>
      </c>
      <c r="G111" s="48">
        <f ca="1">IFERROR(__xludf.DUMMYFUNCTION("""COMPUTED_VALUE"""),42582)</f>
        <v>42582</v>
      </c>
      <c r="H111" s="36" t="str">
        <f ca="1">IFERROR(__xludf.DUMMYFUNCTION("""COMPUTED_VALUE"""),"Tolbaños De Abajo")</f>
        <v>Tolbaños De Abajo</v>
      </c>
      <c r="I111" s="36" t="str">
        <f ca="1">IFERROR(__xludf.DUMMYFUNCTION("""COMPUTED_VALUE"""),"La Tejera")</f>
        <v>La Tejera</v>
      </c>
      <c r="J111" s="36" t="str">
        <f ca="1">IFERROR(__xludf.DUMMYFUNCTION("""COMPUTED_VALUE"""),"")</f>
        <v/>
      </c>
      <c r="K111" s="36" t="str">
        <f ca="1">IFERROR(__xludf.DUMMYFUNCTION("""COMPUTED_VALUE"""),"42.087925,-3.127658")</f>
        <v>42.087925,-3.127658</v>
      </c>
      <c r="L111" s="36" t="str">
        <f ca="1">IFERROR(__xludf.DUMMYFUNCTION("""COMPUTED_VALUE"""),"José María Burgos de Pablo")</f>
        <v>José María Burgos de Pablo</v>
      </c>
      <c r="M111" s="36">
        <f ca="1">IFERROR(__xludf.DUMMYFUNCTION("""COMPUTED_VALUE"""),622363650)</f>
        <v>622363650</v>
      </c>
      <c r="N111" s="36" t="str">
        <f ca="1">IFERROR(__xludf.DUMMYFUNCTION("""COMPUTED_VALUE"""),"valledevaldelaguna@diputaciondeburgos.net")</f>
        <v>valledevaldelaguna@diputaciondeburgos.net</v>
      </c>
      <c r="O111" s="50">
        <f ca="1">IFERROR(__xludf.DUMMYFUNCTION("""COMPUTED_VALUE"""),1000)</f>
        <v>1000</v>
      </c>
      <c r="P111" s="36" t="str">
        <f ca="1">IFERROR(__xludf.DUMMYFUNCTION("""COMPUTED_VALUE"""),"")</f>
        <v/>
      </c>
      <c r="Q111" s="36" t="str">
        <f ca="1">IFERROR(__xludf.DUMMYFUNCTION("""COMPUTED_VALUE"""),"BUENO (Se puede acceder con cualquier coche)")</f>
        <v>BUENO (Se puede acceder con cualquier coche)</v>
      </c>
      <c r="R111" s="36" t="str">
        <f ca="1">IFERROR(__xludf.DUMMYFUNCTION("""COMPUTED_VALUE"""),"Sí")</f>
        <v>Sí</v>
      </c>
      <c r="S111" s="36" t="str">
        <f ca="1">IFERROR(__xludf.DUMMYFUNCTION("""COMPUTED_VALUE"""),"50 m")</f>
        <v>50 m</v>
      </c>
      <c r="T111" s="36" t="str">
        <f ca="1">IFERROR(__xludf.DUMMYFUNCTION("""COMPUTED_VALUE"""),"Presa manual que inunda una zona que sirve como poza")</f>
        <v>Presa manual que inunda una zona que sirve como poza</v>
      </c>
      <c r="U111" s="36" t="str">
        <f ca="1">IFERROR(__xludf.DUMMYFUNCTION("""COMPUTED_VALUE"""),"No")</f>
        <v>No</v>
      </c>
      <c r="V111" s="36" t="str">
        <f ca="1">IFERROR(__xludf.DUMMYFUNCTION("""COMPUTED_VALUE"""),"Sí")</f>
        <v>Sí</v>
      </c>
      <c r="W111" s="36" t="str">
        <f ca="1">IFERROR(__xludf.DUMMYFUNCTION("""COMPUTED_VALUE"""),"")</f>
        <v/>
      </c>
      <c r="X111" s="36"/>
      <c r="Y111" s="36"/>
      <c r="Z111" s="36"/>
    </row>
    <row r="112" spans="1:26" ht="12.75" hidden="1">
      <c r="A112" s="36" t="str">
        <f ca="1">IFERROR(__xludf.DUMMYFUNCTION("""COMPUTED_VALUE"""),"Castilla y León")</f>
        <v>Castilla y León</v>
      </c>
      <c r="B112" s="36" t="str">
        <f ca="1">IFERROR(__xludf.DUMMYFUNCTION("""COMPUTED_VALUE"""),"Burgos")</f>
        <v>Burgos</v>
      </c>
      <c r="C112" s="36">
        <f ca="1">IFERROR(__xludf.DUMMYFUNCTION("""COMPUTED_VALUE"""),2016)</f>
        <v>2016</v>
      </c>
      <c r="D112" s="36" t="str">
        <f ca="1">IFERROR(__xludf.DUMMYFUNCTION("""COMPUTED_VALUE"""),"Santa María Del Pilar")</f>
        <v>Santa María Del Pilar</v>
      </c>
      <c r="E112" s="36" t="str">
        <f ca="1">IFERROR(__xludf.DUMMYFUNCTION("""COMPUTED_VALUE"""),"gs.santamariadelpilar@scoutsdemadrid.org")</f>
        <v>gs.santamariadelpilar@scoutsdemadrid.org</v>
      </c>
      <c r="F112" s="48">
        <f ca="1">IFERROR(__xludf.DUMMYFUNCTION("""COMPUTED_VALUE"""),42565)</f>
        <v>42565</v>
      </c>
      <c r="G112" s="48">
        <f ca="1">IFERROR(__xludf.DUMMYFUNCTION("""COMPUTED_VALUE"""),42582)</f>
        <v>42582</v>
      </c>
      <c r="H112" s="36" t="str">
        <f ca="1">IFERROR(__xludf.DUMMYFUNCTION("""COMPUTED_VALUE"""),"Tolbaños De Abajo")</f>
        <v>Tolbaños De Abajo</v>
      </c>
      <c r="I112" s="36" t="str">
        <f ca="1">IFERROR(__xludf.DUMMYFUNCTION("""COMPUTED_VALUE"""),"La Tejera")</f>
        <v>La Tejera</v>
      </c>
      <c r="J112" s="36" t="str">
        <f ca="1">IFERROR(__xludf.DUMMYFUNCTION("""COMPUTED_VALUE"""),"")</f>
        <v/>
      </c>
      <c r="K112" s="36" t="str">
        <f ca="1">IFERROR(__xludf.DUMMYFUNCTION("""COMPUTED_VALUE"""),"42.087925,-3.127658")</f>
        <v>42.087925,-3.127658</v>
      </c>
      <c r="L112" s="36" t="str">
        <f ca="1">IFERROR(__xludf.DUMMYFUNCTION("""COMPUTED_VALUE"""),"José María Burgos de Pablo")</f>
        <v>José María Burgos de Pablo</v>
      </c>
      <c r="M112" s="36">
        <f ca="1">IFERROR(__xludf.DUMMYFUNCTION("""COMPUTED_VALUE"""),622363650)</f>
        <v>622363650</v>
      </c>
      <c r="N112" s="36" t="str">
        <f ca="1">IFERROR(__xludf.DUMMYFUNCTION("""COMPUTED_VALUE"""),"valledevaldelaguna@diputaciondeburgos.net")</f>
        <v>valledevaldelaguna@diputaciondeburgos.net</v>
      </c>
      <c r="O112" s="50">
        <f ca="1">IFERROR(__xludf.DUMMYFUNCTION("""COMPUTED_VALUE"""),1000)</f>
        <v>1000</v>
      </c>
      <c r="P112" s="36" t="str">
        <f ca="1">IFERROR(__xludf.DUMMYFUNCTION("""COMPUTED_VALUE"""),"")</f>
        <v/>
      </c>
      <c r="Q112" s="36" t="str">
        <f ca="1">IFERROR(__xludf.DUMMYFUNCTION("""COMPUTED_VALUE"""),"BUENO (Se puede acceder con cualquier coche)")</f>
        <v>BUENO (Se puede acceder con cualquier coche)</v>
      </c>
      <c r="R112" s="36" t="str">
        <f ca="1">IFERROR(__xludf.DUMMYFUNCTION("""COMPUTED_VALUE"""),"Sí")</f>
        <v>Sí</v>
      </c>
      <c r="S112" s="36" t="str">
        <f ca="1">IFERROR(__xludf.DUMMYFUNCTION("""COMPUTED_VALUE"""),"50 m")</f>
        <v>50 m</v>
      </c>
      <c r="T112" s="36" t="str">
        <f ca="1">IFERROR(__xludf.DUMMYFUNCTION("""COMPUTED_VALUE"""),"Presa manual que inunda una zona que sirve como poza")</f>
        <v>Presa manual que inunda una zona que sirve como poza</v>
      </c>
      <c r="U112" s="36" t="str">
        <f ca="1">IFERROR(__xludf.DUMMYFUNCTION("""COMPUTED_VALUE"""),"No")</f>
        <v>No</v>
      </c>
      <c r="V112" s="36" t="str">
        <f ca="1">IFERROR(__xludf.DUMMYFUNCTION("""COMPUTED_VALUE"""),"Sí")</f>
        <v>Sí</v>
      </c>
      <c r="W112" s="36" t="str">
        <f ca="1">IFERROR(__xludf.DUMMYFUNCTION("""COMPUTED_VALUE"""),"")</f>
        <v/>
      </c>
      <c r="X112" s="36"/>
      <c r="Y112" s="36"/>
      <c r="Z112" s="36"/>
    </row>
    <row r="113" spans="1:26" ht="12.75" hidden="1">
      <c r="A113" s="36" t="str">
        <f ca="1">IFERROR(__xludf.DUMMYFUNCTION("""COMPUTED_VALUE"""),"Castilla y León")</f>
        <v>Castilla y León</v>
      </c>
      <c r="B113" s="36" t="str">
        <f ca="1">IFERROR(__xludf.DUMMYFUNCTION("""COMPUTED_VALUE"""),"Soria")</f>
        <v>Soria</v>
      </c>
      <c r="C113" s="36">
        <f ca="1">IFERROR(__xludf.DUMMYFUNCTION("""COMPUTED_VALUE"""),2016)</f>
        <v>2016</v>
      </c>
      <c r="D113" s="36" t="str">
        <f ca="1">IFERROR(__xludf.DUMMYFUNCTION("""COMPUTED_VALUE"""),"Santa María Del Pilar")</f>
        <v>Santa María Del Pilar</v>
      </c>
      <c r="E113" s="36" t="str">
        <f ca="1">IFERROR(__xludf.DUMMYFUNCTION("""COMPUTED_VALUE"""),"gs.santamariadelpilar@scoutsdemadrid.org")</f>
        <v>gs.santamariadelpilar@scoutsdemadrid.org</v>
      </c>
      <c r="F113" s="48">
        <f ca="1">IFERROR(__xludf.DUMMYFUNCTION("""COMPUTED_VALUE"""),42560)</f>
        <v>42560</v>
      </c>
      <c r="G113" s="48">
        <f ca="1">IFERROR(__xludf.DUMMYFUNCTION("""COMPUTED_VALUE"""),42566)</f>
        <v>42566</v>
      </c>
      <c r="H113" s="36" t="str">
        <f ca="1">IFERROR(__xludf.DUMMYFUNCTION("""COMPUTED_VALUE"""),"Covaleda")</f>
        <v>Covaleda</v>
      </c>
      <c r="I113" s="36" t="str">
        <f ca="1">IFERROR(__xludf.DUMMYFUNCTION("""COMPUTED_VALUE"""),"Raso de la Nava")</f>
        <v>Raso de la Nava</v>
      </c>
      <c r="J113" s="36" t="str">
        <f ca="1">IFERROR(__xludf.DUMMYFUNCTION("""COMPUTED_VALUE"""),"")</f>
        <v/>
      </c>
      <c r="K113" s="36" t="str">
        <f ca="1">IFERROR(__xludf.DUMMYFUNCTION("""COMPUTED_VALUE"""),"41.937685, -2.909870")</f>
        <v>41.937685, -2.909870</v>
      </c>
      <c r="L113" s="36" t="str">
        <f ca="1">IFERROR(__xludf.DUMMYFUNCTION("""COMPUTED_VALUE"""),"Ayuntamiento de Covaleda")</f>
        <v>Ayuntamiento de Covaleda</v>
      </c>
      <c r="M113" s="36">
        <f ca="1">IFERROR(__xludf.DUMMYFUNCTION("""COMPUTED_VALUE"""),975370000)</f>
        <v>975370000</v>
      </c>
      <c r="N113" s="36" t="str">
        <f ca="1">IFERROR(__xludf.DUMMYFUNCTION("""COMPUTED_VALUE"""),"")</f>
        <v/>
      </c>
      <c r="O113" s="36" t="str">
        <f ca="1">IFERROR(__xludf.DUMMYFUNCTION("""COMPUTED_VALUE"""),"0,60€por persona")</f>
        <v>0,60€por persona</v>
      </c>
      <c r="P113" s="36" t="str">
        <f ca="1">IFERROR(__xludf.DUMMYFUNCTION("""COMPUTED_VALUE"""),"")</f>
        <v/>
      </c>
      <c r="Q113" s="36" t="str">
        <f ca="1">IFERROR(__xludf.DUMMYFUNCTION("""COMPUTED_VALUE"""),"BUENO (Se puede acceder con cualquier coche)")</f>
        <v>BUENO (Se puede acceder con cualquier coche)</v>
      </c>
      <c r="R113" s="36" t="str">
        <f ca="1">IFERROR(__xludf.DUMMYFUNCTION("""COMPUTED_VALUE"""),"Sí")</f>
        <v>Sí</v>
      </c>
      <c r="S113" s="36" t="str">
        <f ca="1">IFERROR(__xludf.DUMMYFUNCTION("""COMPUTED_VALUE"""),"500 metro")</f>
        <v>500 metro</v>
      </c>
      <c r="T113" s="36" t="str">
        <f ca="1">IFERROR(__xludf.DUMMYFUNCTION("""COMPUTED_VALUE"""),"río con poza")</f>
        <v>río con poza</v>
      </c>
      <c r="U113" s="36" t="str">
        <f ca="1">IFERROR(__xludf.DUMMYFUNCTION("""COMPUTED_VALUE"""),"Si, cocina, almacén, botiquin, salas vacias...")</f>
        <v>Si, cocina, almacén, botiquin, salas vacias...</v>
      </c>
      <c r="V113" s="36" t="str">
        <f ca="1">IFERROR(__xludf.DUMMYFUNCTION("""COMPUTED_VALUE"""),"si")</f>
        <v>si</v>
      </c>
      <c r="W113" s="36" t="str">
        <f ca="1">IFERROR(__xludf.DUMMYFUNCTION("""COMPUTED_VALUE"""),"Muy bueno")</f>
        <v>Muy bueno</v>
      </c>
      <c r="X113" s="36"/>
      <c r="Y113" s="36"/>
      <c r="Z113" s="36"/>
    </row>
    <row r="114" spans="1:26" ht="12.75" hidden="1">
      <c r="A114" s="36" t="str">
        <f ca="1">IFERROR(__xludf.DUMMYFUNCTION("""COMPUTED_VALUE"""),"Castilla y León")</f>
        <v>Castilla y León</v>
      </c>
      <c r="B114" s="36" t="str">
        <f ca="1">IFERROR(__xludf.DUMMYFUNCTION("""COMPUTED_VALUE"""),"Soria")</f>
        <v>Soria</v>
      </c>
      <c r="C114" s="36">
        <f ca="1">IFERROR(__xludf.DUMMYFUNCTION("""COMPUTED_VALUE"""),2017)</f>
        <v>2017</v>
      </c>
      <c r="D114" s="36" t="str">
        <f ca="1">IFERROR(__xludf.DUMMYFUNCTION("""COMPUTED_VALUE"""),"Santa María Del Pilar")</f>
        <v>Santa María Del Pilar</v>
      </c>
      <c r="E114" s="36" t="str">
        <f ca="1">IFERROR(__xludf.DUMMYFUNCTION("""COMPUTED_VALUE"""),"gs.santamariadelpilar@scoutsdemadrid.org")</f>
        <v>gs.santamariadelpilar@scoutsdemadrid.org</v>
      </c>
      <c r="F114" s="48">
        <f ca="1">IFERROR(__xludf.DUMMYFUNCTION("""COMPUTED_VALUE"""),42929)</f>
        <v>42929</v>
      </c>
      <c r="G114" s="48">
        <f ca="1">IFERROR(__xludf.DUMMYFUNCTION("""COMPUTED_VALUE"""),42935)</f>
        <v>42935</v>
      </c>
      <c r="H114" s="36" t="str">
        <f ca="1">IFERROR(__xludf.DUMMYFUNCTION("""COMPUTED_VALUE"""),"Aguabuena")</f>
        <v>Aguabuena</v>
      </c>
      <c r="I114" s="36" t="str">
        <f ca="1">IFERROR(__xludf.DUMMYFUNCTION("""COMPUTED_VALUE"""),"Pinar Grande, Aguabuena")</f>
        <v>Pinar Grande, Aguabuena</v>
      </c>
      <c r="J114" s="36" t="str">
        <f ca="1">IFERROR(__xludf.DUMMYFUNCTION("""COMPUTED_VALUE"""),"")</f>
        <v/>
      </c>
      <c r="K114" s="36" t="str">
        <f ca="1">IFERROR(__xludf.DUMMYFUNCTION("""COMPUTED_VALUE"""),"41.865080, -2.861275")</f>
        <v>41.865080, -2.861275</v>
      </c>
      <c r="L114" s="36" t="str">
        <f ca="1">IFERROR(__xludf.DUMMYFUNCTION("""COMPUTED_VALUE"""),"Mancomunidad de los 150 pueblos")</f>
        <v>Mancomunidad de los 150 pueblos</v>
      </c>
      <c r="M114" s="36" t="str">
        <f ca="1">IFERROR(__xludf.DUMMYFUNCTION("""COMPUTED_VALUE"""),"")</f>
        <v/>
      </c>
      <c r="N114" s="36" t="str">
        <f ca="1">IFERROR(__xludf.DUMMYFUNCTION("""COMPUTED_VALUE"""),"")</f>
        <v/>
      </c>
      <c r="O114" s="36" t="str">
        <f ca="1">IFERROR(__xludf.DUMMYFUNCTION("""COMPUTED_VALUE"""),"")</f>
        <v/>
      </c>
      <c r="P114" s="36" t="str">
        <f ca="1">IFERROR(__xludf.DUMMYFUNCTION("""COMPUTED_VALUE"""),"")</f>
        <v/>
      </c>
      <c r="Q114" s="36" t="str">
        <f ca="1">IFERROR(__xludf.DUMMYFUNCTION("""COMPUTED_VALUE"""),"BUENO (Se puede acceder con cualquier coche)")</f>
        <v>BUENO (Se puede acceder con cualquier coche)</v>
      </c>
      <c r="R114" s="36" t="str">
        <f ca="1">IFERROR(__xludf.DUMMYFUNCTION("""COMPUTED_VALUE"""),"Sí")</f>
        <v>Sí</v>
      </c>
      <c r="S114" s="36" t="str">
        <f ca="1">IFERROR(__xludf.DUMMYFUNCTION("""COMPUTED_VALUE"""),"100km")</f>
        <v>100km</v>
      </c>
      <c r="T114" s="36" t="str">
        <f ca="1">IFERROR(__xludf.DUMMYFUNCTION("""COMPUTED_VALUE"""),"Por el campamento pasa un rio pequeño. A 7km está el embalse cuerda del pozo que está muy bien para bañarse")</f>
        <v>Por el campamento pasa un rio pequeño. A 7km está el embalse cuerda del pozo que está muy bien para bañarse</v>
      </c>
      <c r="U114" s="36" t="str">
        <f ca="1">IFERROR(__xludf.DUMMYFUNCTION("""COMPUTED_VALUE"""),"un refugio cercano")</f>
        <v>un refugio cercano</v>
      </c>
      <c r="V114" s="36" t="str">
        <f ca="1">IFERROR(__xludf.DUMMYFUNCTION("""COMPUTED_VALUE"""),"si, gran pinar")</f>
        <v>si, gran pinar</v>
      </c>
      <c r="W114" s="36" t="str">
        <f ca="1">IFERROR(__xludf.DUMMYFUNCTION("""COMPUTED_VALUE"""),"")</f>
        <v/>
      </c>
      <c r="X114" s="36"/>
      <c r="Y114" s="36"/>
      <c r="Z114" s="36"/>
    </row>
    <row r="115" spans="1:26" ht="12.75" hidden="1">
      <c r="A115" s="36" t="str">
        <f ca="1">IFERROR(__xludf.DUMMYFUNCTION("""COMPUTED_VALUE"""),"Castilla y León")</f>
        <v>Castilla y León</v>
      </c>
      <c r="B115" s="36" t="str">
        <f ca="1">IFERROR(__xludf.DUMMYFUNCTION("""COMPUTED_VALUE"""),"Soria")</f>
        <v>Soria</v>
      </c>
      <c r="C115" s="36">
        <f ca="1">IFERROR(__xludf.DUMMYFUNCTION("""COMPUTED_VALUE"""),2018)</f>
        <v>2018</v>
      </c>
      <c r="D115" s="36" t="str">
        <f ca="1">IFERROR(__xludf.DUMMYFUNCTION("""COMPUTED_VALUE"""),"Santa María Del Pilar")</f>
        <v>Santa María Del Pilar</v>
      </c>
      <c r="E115" s="36" t="str">
        <f ca="1">IFERROR(__xludf.DUMMYFUNCTION("""COMPUTED_VALUE"""),"gs.santamariadelpilar@scoutsdemadrid.org")</f>
        <v>gs.santamariadelpilar@scoutsdemadrid.org</v>
      </c>
      <c r="F115" s="48">
        <f ca="1">IFERROR(__xludf.DUMMYFUNCTION("""COMPUTED_VALUE"""),43293)</f>
        <v>43293</v>
      </c>
      <c r="G115" s="48">
        <f ca="1">IFERROR(__xludf.DUMMYFUNCTION("""COMPUTED_VALUE"""),43309)</f>
        <v>43309</v>
      </c>
      <c r="H115" s="36" t="str">
        <f ca="1">IFERROR(__xludf.DUMMYFUNCTION("""COMPUTED_VALUE"""),"Abejar")</f>
        <v>Abejar</v>
      </c>
      <c r="I115" s="36" t="str">
        <f ca="1">IFERROR(__xludf.DUMMYFUNCTION("""COMPUTED_VALUE"""),"Agua Buena")</f>
        <v>Agua Buena</v>
      </c>
      <c r="J115" s="36">
        <f ca="1">IFERROR(__xludf.DUMMYFUNCTION("""COMPUTED_VALUE"""),0)</f>
        <v>0</v>
      </c>
      <c r="K115" s="36" t="str">
        <f ca="1">IFERROR(__xludf.DUMMYFUNCTION("""COMPUTED_VALUE"""),"41.865052, -2.861503")</f>
        <v>41.865052, -2.861503</v>
      </c>
      <c r="L115" s="36" t="str">
        <f ca="1">IFERROR(__xludf.DUMMYFUNCTION("""COMPUTED_VALUE"""),"Ayuntamiento de Soria")</f>
        <v>Ayuntamiento de Soria</v>
      </c>
      <c r="M115" s="36" t="str">
        <f ca="1">IFERROR(__xludf.DUMMYFUNCTION("""COMPUTED_VALUE"""),"975 234 100")</f>
        <v>975 234 100</v>
      </c>
      <c r="N115" s="36" t="str">
        <f ca="1">IFERROR(__xludf.DUMMYFUNCTION("""COMPUTED_VALUE"""),"d")</f>
        <v>d</v>
      </c>
      <c r="O115" s="50">
        <f ca="1">IFERROR(__xludf.DUMMYFUNCTION("""COMPUTED_VALUE"""),2018)</f>
        <v>2018</v>
      </c>
      <c r="P115" s="36">
        <f ca="1">IFERROR(__xludf.DUMMYFUNCTION("""COMPUTED_VALUE"""),2)</f>
        <v>2</v>
      </c>
      <c r="Q115" s="36" t="str">
        <f ca="1">IFERROR(__xludf.DUMMYFUNCTION("""COMPUTED_VALUE"""),"BUENO (Se puede acceder con cualquier coche)")</f>
        <v>BUENO (Se puede acceder con cualquier coche)</v>
      </c>
      <c r="R115" s="36" t="str">
        <f ca="1">IFERROR(__xludf.DUMMYFUNCTION("""COMPUTED_VALUE"""),"Sí")</f>
        <v>Sí</v>
      </c>
      <c r="S115" s="36" t="str">
        <f ca="1">IFERROR(__xludf.DUMMYFUNCTION("""COMPUTED_VALUE"""),"300 m")</f>
        <v>300 m</v>
      </c>
      <c r="T115" s="36" t="str">
        <f ca="1">IFERROR(__xludf.DUMMYFUNCTION("""COMPUTED_VALUE"""),"-")</f>
        <v>-</v>
      </c>
      <c r="U115" s="36" t="str">
        <f ca="1">IFERROR(__xludf.DUMMYFUNCTION("""COMPUTED_VALUE"""),"No")</f>
        <v>No</v>
      </c>
      <c r="V115" s="36" t="str">
        <f ca="1">IFERROR(__xludf.DUMMYFUNCTION("""COMPUTED_VALUE"""),"Sí")</f>
        <v>Sí</v>
      </c>
      <c r="W115" s="36" t="str">
        <f ca="1">IFERROR(__xludf.DUMMYFUNCTION("""COMPUTED_VALUE"""),"-")</f>
        <v>-</v>
      </c>
      <c r="X115" s="36"/>
      <c r="Y115" s="36"/>
      <c r="Z115" s="36"/>
    </row>
    <row r="116" spans="1:26" ht="12.75" hidden="1">
      <c r="A116" s="36" t="str">
        <f ca="1">IFERROR(__xludf.DUMMYFUNCTION("""COMPUTED_VALUE"""),"Castilla y León")</f>
        <v>Castilla y León</v>
      </c>
      <c r="B116" s="36" t="str">
        <f ca="1">IFERROR(__xludf.DUMMYFUNCTION("""COMPUTED_VALUE"""),"Soria")</f>
        <v>Soria</v>
      </c>
      <c r="C116" s="36">
        <f ca="1">IFERROR(__xludf.DUMMYFUNCTION("""COMPUTED_VALUE"""),2019)</f>
        <v>2019</v>
      </c>
      <c r="D116" s="36" t="str">
        <f ca="1">IFERROR(__xludf.DUMMYFUNCTION("""COMPUTED_VALUE"""),"Santa María Del Pilar")</f>
        <v>Santa María Del Pilar</v>
      </c>
      <c r="E116" s="36" t="str">
        <f ca="1">IFERROR(__xludf.DUMMYFUNCTION("""COMPUTED_VALUE"""),"gs.santamariadelpilar@scoutsdemadrid.org")</f>
        <v>gs.santamariadelpilar@scoutsdemadrid.org</v>
      </c>
      <c r="F116" s="36">
        <f ca="1">IFERROR(__xludf.DUMMYFUNCTION("""COMPUTED_VALUE"""),43657)</f>
        <v>43657</v>
      </c>
      <c r="G116" s="48">
        <f ca="1">IFERROR(__xludf.DUMMYFUNCTION("""COMPUTED_VALUE"""),43673)</f>
        <v>43673</v>
      </c>
      <c r="H116" s="36" t="str">
        <f ca="1">IFERROR(__xludf.DUMMYFUNCTION("""COMPUTED_VALUE"""),"Abejar")</f>
        <v>Abejar</v>
      </c>
      <c r="I116" s="36" t="str">
        <f ca="1">IFERROR(__xludf.DUMMYFUNCTION("""COMPUTED_VALUE"""),"Monte 172 Pinar Grande, Agua buena")</f>
        <v>Monte 172 Pinar Grande, Agua buena</v>
      </c>
      <c r="J116" s="36" t="str">
        <f ca="1">IFERROR(__xludf.DUMMYFUNCTION("""COMPUTED_VALUE"""),"Monte 172")</f>
        <v>Monte 172</v>
      </c>
      <c r="K116" s="36" t="str">
        <f ca="1">IFERROR(__xludf.DUMMYFUNCTION("""COMPUTED_VALUE"""),"41.865008, -2.861885")</f>
        <v>41.865008, -2.861885</v>
      </c>
      <c r="L116" s="36" t="str">
        <f ca="1">IFERROR(__xludf.DUMMYFUNCTION("""COMPUTED_VALUE"""),"Ayuntamiento de Soria, Mancomunidad de los 150 pueblos de Soria")</f>
        <v>Ayuntamiento de Soria, Mancomunidad de los 150 pueblos de Soria</v>
      </c>
      <c r="M116" s="36">
        <f ca="1">IFERROR(__xludf.DUMMYFUNCTION("""COMPUTED_VALUE"""),975226634)</f>
        <v>975226634</v>
      </c>
      <c r="N116" s="36" t="str">
        <f ca="1">IFERROR(__xludf.DUMMYFUNCTION("""COMPUTED_VALUE"""),"administracion@casadelatierra.com")</f>
        <v>administracion@casadelatierra.com</v>
      </c>
      <c r="O116" s="36" t="str">
        <f ca="1">IFERROR(__xludf.DUMMYFUNCTION("""COMPUTED_VALUE"""),"2090 € por 158 acampados")</f>
        <v>2090 € por 158 acampados</v>
      </c>
      <c r="P116" s="36" t="str">
        <f ca="1">IFERROR(__xludf.DUMMYFUNCTION("""COMPUTED_VALUE"""),"30.000 m2")</f>
        <v>30.000 m2</v>
      </c>
      <c r="Q116" s="36" t="str">
        <f ca="1">IFERROR(__xludf.DUMMYFUNCTION("""COMPUTED_VALUE"""),"BUENO (Se puede acceder con cualquier coche)")</f>
        <v>BUENO (Se puede acceder con cualquier coche)</v>
      </c>
      <c r="R116" s="36" t="str">
        <f ca="1">IFERROR(__xludf.DUMMYFUNCTION("""COMPUTED_VALUE"""),"Sí")</f>
        <v>Sí</v>
      </c>
      <c r="S116" s="36" t="str">
        <f ca="1">IFERROR(__xludf.DUMMYFUNCTION("""COMPUTED_VALUE"""),"20m")</f>
        <v>20m</v>
      </c>
      <c r="T116" s="36" t="str">
        <f ca="1">IFERROR(__xludf.DUMMYFUNCTION("""COMPUTED_VALUE"""),"Rio poco caudaoloso")</f>
        <v>Rio poco caudaoloso</v>
      </c>
      <c r="U116" s="36" t="str">
        <f ca="1">IFERROR(__xludf.DUMMYFUNCTION("""COMPUTED_VALUE"""),"No")</f>
        <v>No</v>
      </c>
      <c r="V116" s="36" t="str">
        <f ca="1">IFERROR(__xludf.DUMMYFUNCTION("""COMPUTED_VALUE"""),"Sí")</f>
        <v>Sí</v>
      </c>
      <c r="W116" s="36" t="str">
        <f ca="1">IFERROR(__xludf.DUMMYFUNCTION("""COMPUTED_VALUE"""),"Llana")</f>
        <v>Llana</v>
      </c>
      <c r="X116" s="36"/>
      <c r="Y116" s="36"/>
      <c r="Z116" s="36"/>
    </row>
    <row r="117" spans="1:26" ht="12.75" hidden="1">
      <c r="A117" s="36" t="str">
        <f ca="1">IFERROR(__xludf.DUMMYFUNCTION("""COMPUTED_VALUE"""),"Castilla y León")</f>
        <v>Castilla y León</v>
      </c>
      <c r="B117" s="36" t="str">
        <f ca="1">IFERROR(__xludf.DUMMYFUNCTION("""COMPUTED_VALUE"""),"Ávila")</f>
        <v>Ávila</v>
      </c>
      <c r="C117" s="36">
        <f ca="1">IFERROR(__xludf.DUMMYFUNCTION("""COMPUTED_VALUE"""),2015)</f>
        <v>2015</v>
      </c>
      <c r="D117" s="36" t="str">
        <f ca="1">IFERROR(__xludf.DUMMYFUNCTION("""COMPUTED_VALUE"""),"Santa María La Blanca")</f>
        <v>Santa María La Blanca</v>
      </c>
      <c r="E117" s="36" t="str">
        <f ca="1">IFERROR(__xludf.DUMMYFUNCTION("""COMPUTED_VALUE"""),"gs.santamarialablanca@scoutsdemadrid.org ")</f>
        <v xml:space="preserve">gs.santamarialablanca@scoutsdemadrid.org </v>
      </c>
      <c r="F117" s="48">
        <f ca="1">IFERROR(__xludf.DUMMYFUNCTION("""COMPUTED_VALUE"""),42188)</f>
        <v>42188</v>
      </c>
      <c r="G117" s="48">
        <f ca="1">IFERROR(__xludf.DUMMYFUNCTION("""COMPUTED_VALUE"""),42197)</f>
        <v>42197</v>
      </c>
      <c r="H117" s="36" t="str">
        <f ca="1">IFERROR(__xludf.DUMMYFUNCTION("""COMPUTED_VALUE"""),"El Hoyo De Pinares")</f>
        <v>El Hoyo De Pinares</v>
      </c>
      <c r="I117" s="36" t="str">
        <f ca="1">IFERROR(__xludf.DUMMYFUNCTION("""COMPUTED_VALUE"""),"El Hoyo de Pinares")</f>
        <v>El Hoyo de Pinares</v>
      </c>
      <c r="J117" s="36" t="str">
        <f ca="1">IFERROR(__xludf.DUMMYFUNCTION("""COMPUTED_VALUE"""),"")</f>
        <v/>
      </c>
      <c r="K117" s="36" t="str">
        <f ca="1">IFERROR(__xludf.DUMMYFUNCTION("""COMPUTED_VALUE"""),"")</f>
        <v/>
      </c>
      <c r="L117" s="36" t="str">
        <f ca="1">IFERROR(__xludf.DUMMYFUNCTION("""COMPUTED_VALUE"""),"")</f>
        <v/>
      </c>
      <c r="M117" s="36" t="str">
        <f ca="1">IFERROR(__xludf.DUMMYFUNCTION("""COMPUTED_VALUE"""),"")</f>
        <v/>
      </c>
      <c r="N117" s="36" t="str">
        <f ca="1">IFERROR(__xludf.DUMMYFUNCTION("""COMPUTED_VALUE"""),"")</f>
        <v/>
      </c>
      <c r="O117" s="36" t="str">
        <f ca="1">IFERROR(__xludf.DUMMYFUNCTION("""COMPUTED_VALUE"""),"")</f>
        <v/>
      </c>
      <c r="P117" s="36" t="str">
        <f ca="1">IFERROR(__xludf.DUMMYFUNCTION("""COMPUTED_VALUE"""),"")</f>
        <v/>
      </c>
      <c r="Q117" s="36" t="str">
        <f ca="1">IFERROR(__xludf.DUMMYFUNCTION("""COMPUTED_VALUE"""),"")</f>
        <v/>
      </c>
      <c r="R117" s="36" t="str">
        <f ca="1">IFERROR(__xludf.DUMMYFUNCTION("""COMPUTED_VALUE"""),"")</f>
        <v/>
      </c>
      <c r="S117" s="36" t="str">
        <f ca="1">IFERROR(__xludf.DUMMYFUNCTION("""COMPUTED_VALUE"""),"")</f>
        <v/>
      </c>
      <c r="T117" s="36" t="str">
        <f ca="1">IFERROR(__xludf.DUMMYFUNCTION("""COMPUTED_VALUE"""),"")</f>
        <v/>
      </c>
      <c r="U117" s="36" t="str">
        <f ca="1">IFERROR(__xludf.DUMMYFUNCTION("""COMPUTED_VALUE"""),"")</f>
        <v/>
      </c>
      <c r="V117" s="36" t="str">
        <f ca="1">IFERROR(__xludf.DUMMYFUNCTION("""COMPUTED_VALUE"""),"")</f>
        <v/>
      </c>
      <c r="W117" s="36" t="str">
        <f ca="1">IFERROR(__xludf.DUMMYFUNCTION("""COMPUTED_VALUE"""),"")</f>
        <v/>
      </c>
      <c r="X117" s="36"/>
      <c r="Y117" s="36"/>
      <c r="Z117" s="36"/>
    </row>
    <row r="118" spans="1:26" ht="12.75" hidden="1">
      <c r="A118" s="36" t="str">
        <f ca="1">IFERROR(__xludf.DUMMYFUNCTION("""COMPUTED_VALUE"""),"Castilla y León")</f>
        <v>Castilla y León</v>
      </c>
      <c r="B118" s="36" t="str">
        <f ca="1">IFERROR(__xludf.DUMMYFUNCTION("""COMPUTED_VALUE"""),"Soria")</f>
        <v>Soria</v>
      </c>
      <c r="C118" s="36">
        <f ca="1">IFERROR(__xludf.DUMMYFUNCTION("""COMPUTED_VALUE"""),2012)</f>
        <v>2012</v>
      </c>
      <c r="D118" s="36" t="str">
        <f ca="1">IFERROR(__xludf.DUMMYFUNCTION("""COMPUTED_VALUE"""),"Tallac")</f>
        <v>Tallac</v>
      </c>
      <c r="E118" s="36" t="str">
        <f ca="1">IFERROR(__xludf.DUMMYFUNCTION("""COMPUTED_VALUE"""),"gs.tallac@scoutsdemadrid.org ")</f>
        <v xml:space="preserve">gs.tallac@scoutsdemadrid.org </v>
      </c>
      <c r="F118" s="48">
        <f ca="1">IFERROR(__xludf.DUMMYFUNCTION("""COMPUTED_VALUE"""),41091)</f>
        <v>41091</v>
      </c>
      <c r="G118" s="48">
        <f ca="1">IFERROR(__xludf.DUMMYFUNCTION("""COMPUTED_VALUE"""),41105)</f>
        <v>41105</v>
      </c>
      <c r="H118" s="36" t="str">
        <f ca="1">IFERROR(__xludf.DUMMYFUNCTION("""COMPUTED_VALUE"""),"Duruelo De La Sierra")</f>
        <v>Duruelo De La Sierra</v>
      </c>
      <c r="I118" s="36" t="str">
        <f ca="1">IFERROR(__xludf.DUMMYFUNCTION("""COMPUTED_VALUE"""),"EL CERRILLO")</f>
        <v>EL CERRILLO</v>
      </c>
      <c r="J118" s="36" t="str">
        <f ca="1">IFERROR(__xludf.DUMMYFUNCTION("""COMPUTED_VALUE"""),"")</f>
        <v/>
      </c>
      <c r="K118" s="49" t="str">
        <f ca="1">IFERROR(__xludf.DUMMYFUNCTION("""COMPUTED_VALUE"""),"https://maps.google.es/maps?hl=es&amp;authuser=0")</f>
        <v>https://maps.google.es/maps?hl=es&amp;authuser=0</v>
      </c>
      <c r="L118" s="36" t="str">
        <f ca="1">IFERROR(__xludf.DUMMYFUNCTION("""COMPUTED_VALUE"""),"")</f>
        <v/>
      </c>
      <c r="M118" s="36" t="str">
        <f ca="1">IFERROR(__xludf.DUMMYFUNCTION("""COMPUTED_VALUE"""),"")</f>
        <v/>
      </c>
      <c r="N118" s="36" t="str">
        <f ca="1">IFERROR(__xludf.DUMMYFUNCTION("""COMPUTED_VALUE"""),"")</f>
        <v/>
      </c>
      <c r="O118" s="36" t="str">
        <f ca="1">IFERROR(__xludf.DUMMYFUNCTION("""COMPUTED_VALUE"""),"")</f>
        <v/>
      </c>
      <c r="P118" s="36" t="str">
        <f ca="1">IFERROR(__xludf.DUMMYFUNCTION("""COMPUTED_VALUE"""),"")</f>
        <v/>
      </c>
      <c r="Q118" s="36" t="str">
        <f ca="1">IFERROR(__xludf.DUMMYFUNCTION("""COMPUTED_VALUE"""),"")</f>
        <v/>
      </c>
      <c r="R118" s="36" t="str">
        <f ca="1">IFERROR(__xludf.DUMMYFUNCTION("""COMPUTED_VALUE"""),"")</f>
        <v/>
      </c>
      <c r="S118" s="36" t="str">
        <f ca="1">IFERROR(__xludf.DUMMYFUNCTION("""COMPUTED_VALUE"""),"")</f>
        <v/>
      </c>
      <c r="T118" s="36" t="str">
        <f ca="1">IFERROR(__xludf.DUMMYFUNCTION("""COMPUTED_VALUE"""),"")</f>
        <v/>
      </c>
      <c r="U118" s="36" t="str">
        <f ca="1">IFERROR(__xludf.DUMMYFUNCTION("""COMPUTED_VALUE"""),"")</f>
        <v/>
      </c>
      <c r="V118" s="36" t="str">
        <f ca="1">IFERROR(__xludf.DUMMYFUNCTION("""COMPUTED_VALUE"""),"")</f>
        <v/>
      </c>
      <c r="W118" s="36" t="str">
        <f ca="1">IFERROR(__xludf.DUMMYFUNCTION("""COMPUTED_VALUE"""),"")</f>
        <v/>
      </c>
      <c r="X118" s="36"/>
      <c r="Y118" s="36"/>
      <c r="Z118" s="36"/>
    </row>
    <row r="119" spans="1:26" ht="12.75" hidden="1">
      <c r="A119" s="36" t="str">
        <f ca="1">IFERROR(__xludf.DUMMYFUNCTION("""COMPUTED_VALUE"""),"Castilla y León")</f>
        <v>Castilla y León</v>
      </c>
      <c r="B119" s="36" t="str">
        <f ca="1">IFERROR(__xludf.DUMMYFUNCTION("""COMPUTED_VALUE"""),"León")</f>
        <v>León</v>
      </c>
      <c r="C119" s="36">
        <f ca="1">IFERROR(__xludf.DUMMYFUNCTION("""COMPUTED_VALUE"""),2019)</f>
        <v>2019</v>
      </c>
      <c r="D119" s="36" t="str">
        <f ca="1">IFERROR(__xludf.DUMMYFUNCTION("""COMPUTED_VALUE"""),"Tallac")</f>
        <v>Tallac</v>
      </c>
      <c r="E119" s="36" t="str">
        <f ca="1">IFERROR(__xludf.DUMMYFUNCTION("""COMPUTED_VALUE"""),"gs.tallac@scoutsdemadrid.org ")</f>
        <v xml:space="preserve">gs.tallac@scoutsdemadrid.org </v>
      </c>
      <c r="F119" s="36">
        <f ca="1">IFERROR(__xludf.DUMMYFUNCTION("""COMPUTED_VALUE"""),43647)</f>
        <v>43647</v>
      </c>
      <c r="G119" s="48">
        <f ca="1">IFERROR(__xludf.DUMMYFUNCTION("""COMPUTED_VALUE"""),43661)</f>
        <v>43661</v>
      </c>
      <c r="H119" s="36" t="str">
        <f ca="1">IFERROR(__xludf.DUMMYFUNCTION("""COMPUTED_VALUE"""),"León")</f>
        <v>León</v>
      </c>
      <c r="I119" s="36" t="str">
        <f ca="1">IFERROR(__xludf.DUMMYFUNCTION("""COMPUTED_VALUE"""),"Finca rústica")</f>
        <v>Finca rústica</v>
      </c>
      <c r="J119" s="36" t="str">
        <f ca="1">IFERROR(__xludf.DUMMYFUNCTION("""COMPUTED_VALUE"""),"24124A00200217 - 24124A00200293")</f>
        <v>24124A00200217 - 24124A00200293</v>
      </c>
      <c r="K119" s="36" t="str">
        <f ca="1">IFERROR(__xludf.DUMMYFUNCTION("""COMPUTED_VALUE"""),"43.048087,-5.278349")</f>
        <v>43.048087,-5.278349</v>
      </c>
      <c r="L119" s="36" t="str">
        <f ca="1">IFERROR(__xludf.DUMMYFUNCTION("""COMPUTED_VALUE"""),"Andrés Bayón González")</f>
        <v>Andrés Bayón González</v>
      </c>
      <c r="M119" s="36" t="str">
        <f ca="1">IFERROR(__xludf.DUMMYFUNCTION("""COMPUTED_VALUE"""),"653 59 67 14")</f>
        <v>653 59 67 14</v>
      </c>
      <c r="N119" s="36" t="str">
        <f ca="1">IFERROR(__xludf.DUMMYFUNCTION("""COMPUTED_VALUE"""),"no tiene")</f>
        <v>no tiene</v>
      </c>
      <c r="O119" s="36">
        <f ca="1">IFERROR(__xludf.DUMMYFUNCTION("""COMPUTED_VALUE"""),260)</f>
        <v>260</v>
      </c>
      <c r="P119" s="36" t="str">
        <f ca="1">IFERROR(__xludf.DUMMYFUNCTION("""COMPUTED_VALUE"""),"1,5 hectáreas ")</f>
        <v xml:space="preserve">1,5 hectáreas </v>
      </c>
      <c r="Q119" s="36" t="str">
        <f ca="1">IFERROR(__xludf.DUMMYFUNCTION("""COMPUTED_VALUE"""),"BUENO (Se puede acceder con cualquier coche)")</f>
        <v>BUENO (Se puede acceder con cualquier coche)</v>
      </c>
      <c r="R119" s="36" t="str">
        <f ca="1">IFERROR(__xludf.DUMMYFUNCTION("""COMPUTED_VALUE"""),"No")</f>
        <v>No</v>
      </c>
      <c r="S119" s="36" t="str">
        <f ca="1">IFERROR(__xludf.DUMMYFUNCTION("""COMPUTED_VALUE"""),"50m")</f>
        <v>50m</v>
      </c>
      <c r="T119" s="36" t="str">
        <f ca="1">IFERROR(__xludf.DUMMYFUNCTION("""COMPUTED_VALUE"""),"Río Porma con pequeño paso para su entrada.")</f>
        <v>Río Porma con pequeño paso para su entrada.</v>
      </c>
      <c r="U119" s="36" t="str">
        <f ca="1">IFERROR(__xludf.DUMMYFUNCTION("""COMPUTED_VALUE"""),"No")</f>
        <v>No</v>
      </c>
      <c r="V119" s="36" t="str">
        <f ca="1">IFERROR(__xludf.DUMMYFUNCTION("""COMPUTED_VALUE"""),"No")</f>
        <v>No</v>
      </c>
      <c r="W119" s="36" t="str">
        <f ca="1">IFERROR(__xludf.DUMMYFUNCTION("""COMPUTED_VALUE"""),"Prado sin ningún tipo de instalación rodeado por el arroyo Tronisco y el Río Porma, acceso a la LE-333. Dispone de una pequeña colina donde hay un pequeño bosque.")</f>
        <v>Prado sin ningún tipo de instalación rodeado por el arroyo Tronisco y el Río Porma, acceso a la LE-333. Dispone de una pequeña colina donde hay un pequeño bosque.</v>
      </c>
      <c r="X119" s="36"/>
      <c r="Y119" s="36"/>
      <c r="Z119" s="36"/>
    </row>
    <row r="120" spans="1:26" ht="12.75" hidden="1">
      <c r="A120" s="36" t="str">
        <f ca="1">IFERROR(__xludf.DUMMYFUNCTION("""COMPUTED_VALUE"""),"Castilla y León")</f>
        <v>Castilla y León</v>
      </c>
      <c r="B120" s="36" t="str">
        <f ca="1">IFERROR(__xludf.DUMMYFUNCTION("""COMPUTED_VALUE"""),"Ávila")</f>
        <v>Ávila</v>
      </c>
      <c r="C120" s="36">
        <f ca="1">IFERROR(__xludf.DUMMYFUNCTION("""COMPUTED_VALUE"""),2017)</f>
        <v>2017</v>
      </c>
      <c r="D120" s="36" t="str">
        <f ca="1">IFERROR(__xludf.DUMMYFUNCTION("""COMPUTED_VALUE"""),"Ultreya")</f>
        <v>Ultreya</v>
      </c>
      <c r="E120" s="36" t="str">
        <f ca="1">IFERROR(__xludf.DUMMYFUNCTION("""COMPUTED_VALUE"""),"gs.ultreya@scoutsdemadrid.org ")</f>
        <v xml:space="preserve">gs.ultreya@scoutsdemadrid.org </v>
      </c>
      <c r="F120" s="48">
        <f ca="1">IFERROR(__xludf.DUMMYFUNCTION("""COMPUTED_VALUE"""),42924)</f>
        <v>42924</v>
      </c>
      <c r="G120" s="48">
        <f ca="1">IFERROR(__xludf.DUMMYFUNCTION("""COMPUTED_VALUE"""),42932)</f>
        <v>42932</v>
      </c>
      <c r="H120" s="36" t="str">
        <f ca="1">IFERROR(__xludf.DUMMYFUNCTION("""COMPUTED_VALUE"""),"Mombeltrán")</f>
        <v>Mombeltrán</v>
      </c>
      <c r="I120" s="36" t="str">
        <f ca="1">IFERROR(__xludf.DUMMYFUNCTION("""COMPUTED_VALUE"""),"Campamento los Sauces")</f>
        <v>Campamento los Sauces</v>
      </c>
      <c r="J120" s="36" t="str">
        <f ca="1">IFERROR(__xludf.DUMMYFUNCTION("""COMPUTED_VALUE"""),"")</f>
        <v/>
      </c>
      <c r="K120" s="36" t="str">
        <f ca="1">IFERROR(__xludf.DUMMYFUNCTION("""COMPUTED_VALUE"""),"")</f>
        <v/>
      </c>
      <c r="L120" s="36" t="str">
        <f ca="1">IFERROR(__xludf.DUMMYFUNCTION("""COMPUTED_VALUE"""),"EDUCO")</f>
        <v>EDUCO</v>
      </c>
      <c r="M120" s="36" t="str">
        <f ca="1">IFERROR(__xludf.DUMMYFUNCTION("""COMPUTED_VALUE"""),"")</f>
        <v/>
      </c>
      <c r="N120" s="36" t="str">
        <f ca="1">IFERROR(__xludf.DUMMYFUNCTION("""COMPUTED_VALUE"""),"")</f>
        <v/>
      </c>
      <c r="O120" s="36" t="str">
        <f ca="1">IFERROR(__xludf.DUMMYFUNCTION("""COMPUTED_VALUE"""),"")</f>
        <v/>
      </c>
      <c r="P120" s="36" t="str">
        <f ca="1">IFERROR(__xludf.DUMMYFUNCTION("""COMPUTED_VALUE"""),"")</f>
        <v/>
      </c>
      <c r="Q120" s="36" t="str">
        <f ca="1">IFERROR(__xludf.DUMMYFUNCTION("""COMPUTED_VALUE"""),"BUENO (Se puede acceder con cualquier coche)")</f>
        <v>BUENO (Se puede acceder con cualquier coche)</v>
      </c>
      <c r="R120" s="36" t="str">
        <f ca="1">IFERROR(__xludf.DUMMYFUNCTION("""COMPUTED_VALUE"""),"Sí")</f>
        <v>Sí</v>
      </c>
      <c r="S120" s="36" t="str">
        <f ca="1">IFERROR(__xludf.DUMMYFUNCTION("""COMPUTED_VALUE"""),"100 METROS")</f>
        <v>100 METROS</v>
      </c>
      <c r="T120" s="36" t="str">
        <f ca="1">IFERROR(__xludf.DUMMYFUNCTION("""COMPUTED_VALUE"""),"")</f>
        <v/>
      </c>
      <c r="U120" s="36" t="str">
        <f ca="1">IFERROR(__xludf.DUMMYFUNCTION("""COMPUTED_VALUE"""),"COCINA, COMEDOR, BAÑOS")</f>
        <v>COCINA, COMEDOR, BAÑOS</v>
      </c>
      <c r="V120" s="36" t="str">
        <f ca="1">IFERROR(__xludf.DUMMYFUNCTION("""COMPUTED_VALUE"""),"SI ")</f>
        <v xml:space="preserve">SI </v>
      </c>
      <c r="W120" s="36" t="str">
        <f ca="1">IFERROR(__xludf.DUMMYFUNCTION("""COMPUTED_VALUE"""),"")</f>
        <v/>
      </c>
      <c r="X120" s="36"/>
      <c r="Y120" s="36"/>
      <c r="Z120" s="36"/>
    </row>
    <row r="121" spans="1:26" ht="12.75" hidden="1">
      <c r="A121" s="36" t="str">
        <f ca="1">IFERROR(__xludf.DUMMYFUNCTION("""COMPUTED_VALUE"""),"Castilla y León")</f>
        <v>Castilla y León</v>
      </c>
      <c r="B121" s="36" t="str">
        <f ca="1">IFERROR(__xludf.DUMMYFUNCTION("""COMPUTED_VALUE"""),"Salamanca")</f>
        <v>Salamanca</v>
      </c>
      <c r="C121" s="36">
        <f ca="1">IFERROR(__xludf.DUMMYFUNCTION("""COMPUTED_VALUE"""),2018)</f>
        <v>2018</v>
      </c>
      <c r="D121" s="36" t="str">
        <f ca="1">IFERROR(__xludf.DUMMYFUNCTION("""COMPUTED_VALUE"""),"Ultreya")</f>
        <v>Ultreya</v>
      </c>
      <c r="E121" s="36" t="str">
        <f ca="1">IFERROR(__xludf.DUMMYFUNCTION("""COMPUTED_VALUE"""),"gs.ultreya@scoutsdemadrid.org ")</f>
        <v xml:space="preserve">gs.ultreya@scoutsdemadrid.org </v>
      </c>
      <c r="F121" s="48">
        <f ca="1">IFERROR(__xludf.DUMMYFUNCTION("""COMPUTED_VALUE"""),43282)</f>
        <v>43282</v>
      </c>
      <c r="G121" s="48">
        <f ca="1">IFERROR(__xludf.DUMMYFUNCTION("""COMPUTED_VALUE"""),43288)</f>
        <v>43288</v>
      </c>
      <c r="H121" s="36" t="str">
        <f ca="1">IFERROR(__xludf.DUMMYFUNCTION("""COMPUTED_VALUE"""),"Candelario")</f>
        <v>Candelario</v>
      </c>
      <c r="I121" s="36" t="str">
        <f ca="1">IFERROR(__xludf.DUMMYFUNCTION("""COMPUTED_VALUE"""),"LA DEHESA")</f>
        <v>LA DEHESA</v>
      </c>
      <c r="J121" s="36">
        <f ca="1">IFERROR(__xludf.DUMMYFUNCTION("""COMPUTED_VALUE"""),0)</f>
        <v>0</v>
      </c>
      <c r="K121" s="36" t="str">
        <f ca="1">IFERROR(__xludf.DUMMYFUNCTION("""COMPUTED_VALUE"""),"40º 22' 4.966''  5º 44' 40.225''")</f>
        <v>40º 22' 4.966''  5º 44' 40.225''</v>
      </c>
      <c r="L121" s="36" t="str">
        <f ca="1">IFERROR(__xludf.DUMMYFUNCTION("""COMPUTED_VALUE"""),"Delegación Territorial de Salamanca Dirección General de Calidad y Sostenibilidad Ambiental")</f>
        <v>Delegación Territorial de Salamanca Dirección General de Calidad y Sostenibilidad Ambiental</v>
      </c>
      <c r="M121" s="36" t="str">
        <f ca="1">IFERROR(__xludf.DUMMYFUNCTION("""COMPUTED_VALUE"""),"923 296 026. Ext. 851724")</f>
        <v>923 296 026. Ext. 851724</v>
      </c>
      <c r="N121" s="36" t="str">
        <f ca="1">IFERROR(__xludf.DUMMYFUNCTION("""COMPUTED_VALUE"""),"JuaAlcJa@jcyl.es")</f>
        <v>JuaAlcJa@jcyl.es</v>
      </c>
      <c r="O121" s="36" t="str">
        <f ca="1">IFERROR(__xludf.DUMMYFUNCTION("""COMPUTED_VALUE"""),"20 € persona/quincena")</f>
        <v>20 € persona/quincena</v>
      </c>
      <c r="P121" s="36" t="str">
        <f ca="1">IFERROR(__xludf.DUMMYFUNCTION("""COMPUTED_VALUE"""),"2 ha")</f>
        <v>2 ha</v>
      </c>
      <c r="Q121" s="36" t="str">
        <f ca="1">IFERROR(__xludf.DUMMYFUNCTION("""COMPUTED_VALUE"""),"MALO (Solo se puede acceder con todoterreno)")</f>
        <v>MALO (Solo se puede acceder con todoterreno)</v>
      </c>
      <c r="R121" s="36" t="str">
        <f ca="1">IFERROR(__xludf.DUMMYFUNCTION("""COMPUTED_VALUE"""),"Sí")</f>
        <v>Sí</v>
      </c>
      <c r="S121" s="36" t="str">
        <f ca="1">IFERROR(__xludf.DUMMYFUNCTION("""COMPUTED_VALUE"""),"500 metros")</f>
        <v>500 metros</v>
      </c>
      <c r="T121" s="36" t="str">
        <f ca="1">IFERROR(__xludf.DUMMYFUNCTION("""COMPUTED_VALUE"""),"regular")</f>
        <v>regular</v>
      </c>
      <c r="U121" s="36" t="str">
        <f ca="1">IFERROR(__xludf.DUMMYFUNCTION("""COMPUTED_VALUE"""),"Baños, cocina y comedor")</f>
        <v>Baños, cocina y comedor</v>
      </c>
      <c r="V121" s="36" t="str">
        <f ca="1">IFERROR(__xludf.DUMMYFUNCTION("""COMPUTED_VALUE"""),"no")</f>
        <v>no</v>
      </c>
      <c r="W121" s="36" t="str">
        <f ca="1">IFERROR(__xludf.DUMMYFUNCTION("""COMPUTED_VALUE"""),"Bastante sombra, tiene un generador")</f>
        <v>Bastante sombra, tiene un generador</v>
      </c>
      <c r="X121" s="36"/>
      <c r="Y121" s="36"/>
      <c r="Z121" s="36"/>
    </row>
    <row r="122" spans="1:26" ht="12.75" hidden="1">
      <c r="A122" s="36" t="str">
        <f ca="1">IFERROR(__xludf.DUMMYFUNCTION("""COMPUTED_VALUE"""),"Castilla y León")</f>
        <v>Castilla y León</v>
      </c>
      <c r="B122" s="36" t="str">
        <f ca="1">IFERROR(__xludf.DUMMYFUNCTION("""COMPUTED_VALUE"""),"Salamanca")</f>
        <v>Salamanca</v>
      </c>
      <c r="C122" s="36">
        <f ca="1">IFERROR(__xludf.DUMMYFUNCTION("""COMPUTED_VALUE"""),2019)</f>
        <v>2019</v>
      </c>
      <c r="D122" s="36" t="str">
        <f ca="1">IFERROR(__xludf.DUMMYFUNCTION("""COMPUTED_VALUE"""),"Ultreya")</f>
        <v>Ultreya</v>
      </c>
      <c r="E122" s="36" t="str">
        <f ca="1">IFERROR(__xludf.DUMMYFUNCTION("""COMPUTED_VALUE"""),"gs.ultreya@scoutsdemadrid.org ")</f>
        <v xml:space="preserve">gs.ultreya@scoutsdemadrid.org </v>
      </c>
      <c r="F122" s="36">
        <f ca="1">IFERROR(__xludf.DUMMYFUNCTION("""COMPUTED_VALUE"""),43646)</f>
        <v>43646</v>
      </c>
      <c r="G122" s="48">
        <f ca="1">IFERROR(__xludf.DUMMYFUNCTION("""COMPUTED_VALUE"""),43650)</f>
        <v>43650</v>
      </c>
      <c r="H122" s="36" t="str">
        <f ca="1">IFERROR(__xludf.DUMMYFUNCTION("""COMPUTED_VALUE"""),"Lagunilla")</f>
        <v>Lagunilla</v>
      </c>
      <c r="I122" s="36" t="str">
        <f ca="1">IFERROR(__xludf.DUMMYFUNCTION("""COMPUTED_VALUE"""),"Vallejo La Mata")</f>
        <v>Vallejo La Mata</v>
      </c>
      <c r="J122" s="36" t="str">
        <f ca="1">IFERROR(__xludf.DUMMYFUNCTION("""COMPUTED_VALUE"""),"37169A01710001")</f>
        <v>37169A01710001</v>
      </c>
      <c r="K122" s="36" t="str">
        <f ca="1">IFERROR(__xludf.DUMMYFUNCTION("""COMPUTED_VALUE"""),"40.319624, -5.972947")</f>
        <v>40.319624, -5.972947</v>
      </c>
      <c r="L122" s="36" t="str">
        <f ca="1">IFERROR(__xludf.DUMMYFUNCTION("""COMPUTED_VALUE"""),"Ayuntamiento Lagunilla")</f>
        <v>Ayuntamiento Lagunilla</v>
      </c>
      <c r="M122" s="36" t="str">
        <f ca="1">IFERROR(__xludf.DUMMYFUNCTION("""COMPUTED_VALUE"""),"923 41 77 57")</f>
        <v>923 41 77 57</v>
      </c>
      <c r="N122" s="36" t="str">
        <f ca="1">IFERROR(__xludf.DUMMYFUNCTION("""COMPUTED_VALUE"""),"ayuntamientolagunilla@hotmail.com")</f>
        <v>ayuntamientolagunilla@hotmail.com</v>
      </c>
      <c r="O122" s="36" t="str">
        <f ca="1">IFERROR(__xludf.DUMMYFUNCTION("""COMPUTED_VALUE"""),"15 € x persona x quincena")</f>
        <v>15 € x persona x quincena</v>
      </c>
      <c r="P122" s="36" t="str">
        <f ca="1">IFERROR(__xludf.DUMMYFUNCTION("""COMPUTED_VALUE"""),"2 ha")</f>
        <v>2 ha</v>
      </c>
      <c r="Q122" s="36" t="str">
        <f ca="1">IFERROR(__xludf.DUMMYFUNCTION("""COMPUTED_VALUE"""),"BUENO (Se puede acceder con cualquier coche)")</f>
        <v>BUENO (Se puede acceder con cualquier coche)</v>
      </c>
      <c r="R122" s="36" t="str">
        <f ca="1">IFERROR(__xludf.DUMMYFUNCTION("""COMPUTED_VALUE"""),"Sí")</f>
        <v>Sí</v>
      </c>
      <c r="S122" s="36" t="str">
        <f ca="1">IFERROR(__xludf.DUMMYFUNCTION("""COMPUTED_VALUE"""),"no tiene")</f>
        <v>no tiene</v>
      </c>
      <c r="T122" s="36" t="str">
        <f ca="1">IFERROR(__xludf.DUMMYFUNCTION("""COMPUTED_VALUE"""),"no tiene")</f>
        <v>no tiene</v>
      </c>
      <c r="U122" s="36" t="str">
        <f ca="1">IFERROR(__xludf.DUMMYFUNCTION("""COMPUTED_VALUE"""),"cocina y baños")</f>
        <v>cocina y baños</v>
      </c>
      <c r="V122" s="36" t="str">
        <f ca="1">IFERROR(__xludf.DUMMYFUNCTION("""COMPUTED_VALUE"""),"si")</f>
        <v>si</v>
      </c>
      <c r="W122" s="36" t="str">
        <f ca="1">IFERROR(__xludf.DUMMYFUNCTION("""COMPUTED_VALUE"""),"zona robledal con cocina y baños ")</f>
        <v xml:space="preserve">zona robledal con cocina y baños </v>
      </c>
      <c r="X122" s="36"/>
      <c r="Y122" s="36"/>
      <c r="Z122" s="36"/>
    </row>
    <row r="123" spans="1:26" ht="12.75" hidden="1">
      <c r="A123" s="36" t="str">
        <f ca="1">IFERROR(__xludf.DUMMYFUNCTION("""COMPUTED_VALUE"""),"Castilla y León")</f>
        <v>Castilla y León</v>
      </c>
      <c r="B123" s="36" t="str">
        <f ca="1">IFERROR(__xludf.DUMMYFUNCTION("""COMPUTED_VALUE"""),"Ávila")</f>
        <v>Ávila</v>
      </c>
      <c r="C123" s="36">
        <f ca="1">IFERROR(__xludf.DUMMYFUNCTION("""COMPUTED_VALUE"""),2016)</f>
        <v>2016</v>
      </c>
      <c r="D123" s="36" t="str">
        <f ca="1">IFERROR(__xludf.DUMMYFUNCTION("""COMPUTED_VALUE"""),"Valverde")</f>
        <v>Valverde</v>
      </c>
      <c r="E123" s="36" t="str">
        <f ca="1">IFERROR(__xludf.DUMMYFUNCTION("""COMPUTED_VALUE"""),"gs.valverde@scoutsdemadrid.org ")</f>
        <v xml:space="preserve">gs.valverde@scoutsdemadrid.org </v>
      </c>
      <c r="F123" s="48">
        <f ca="1">IFERROR(__xludf.DUMMYFUNCTION("""COMPUTED_VALUE"""),42564)</f>
        <v>42564</v>
      </c>
      <c r="G123" s="48">
        <f ca="1">IFERROR(__xludf.DUMMYFUNCTION("""COMPUTED_VALUE"""),42581)</f>
        <v>42581</v>
      </c>
      <c r="H123" s="36" t="str">
        <f ca="1">IFERROR(__xludf.DUMMYFUNCTION("""COMPUTED_VALUE"""),"Navalmoral De La Sierra")</f>
        <v>Navalmoral De La Sierra</v>
      </c>
      <c r="I123" s="36" t="str">
        <f ca="1">IFERROR(__xludf.DUMMYFUNCTION("""COMPUTED_VALUE"""),"La Chaparrera")</f>
        <v>La Chaparrera</v>
      </c>
      <c r="J123" s="36">
        <f ca="1">IFERROR(__xludf.DUMMYFUNCTION("""COMPUTED_VALUE"""),1043)</f>
        <v>1043</v>
      </c>
      <c r="K123" s="36" t="str">
        <f ca="1">IFERROR(__xludf.DUMMYFUNCTION("""COMPUTED_VALUE"""),"latitud: 40º 26' 41,17'' longitud:4º 44' 45,82''")</f>
        <v>latitud: 40º 26' 41,17'' longitud:4º 44' 45,82''</v>
      </c>
      <c r="L123" s="36" t="str">
        <f ca="1">IFERROR(__xludf.DUMMYFUNCTION("""COMPUTED_VALUE"""),"Manuela Garcia Garcia")</f>
        <v>Manuela Garcia Garcia</v>
      </c>
      <c r="M123" s="36">
        <f ca="1">IFERROR(__xludf.DUMMYFUNCTION("""COMPUTED_VALUE"""),638233456)</f>
        <v>638233456</v>
      </c>
      <c r="N123" s="36" t="str">
        <f ca="1">IFERROR(__xludf.DUMMYFUNCTION("""COMPUTED_VALUE"""),"carlos_g.r@hotmail.com")</f>
        <v>carlos_g.r@hotmail.com</v>
      </c>
      <c r="O123" s="36" t="str">
        <f ca="1">IFERROR(__xludf.DUMMYFUNCTION("""COMPUTED_VALUE"""),"Por quincena 700 euros")</f>
        <v>Por quincena 700 euros</v>
      </c>
      <c r="P123" s="36" t="str">
        <f ca="1">IFERROR(__xludf.DUMMYFUNCTION("""COMPUTED_VALUE"""),"10 Ha")</f>
        <v>10 Ha</v>
      </c>
      <c r="Q123" s="36" t="str">
        <f ca="1">IFERROR(__xludf.DUMMYFUNCTION("""COMPUTED_VALUE"""),"BUENO (Se puede acceder con cualquier coche)")</f>
        <v>BUENO (Se puede acceder con cualquier coche)</v>
      </c>
      <c r="R123" s="36" t="str">
        <f ca="1">IFERROR(__xludf.DUMMYFUNCTION("""COMPUTED_VALUE"""),"Sí")</f>
        <v>Sí</v>
      </c>
      <c r="S123" s="36" t="str">
        <f ca="1">IFERROR(__xludf.DUMMYFUNCTION("""COMPUTED_VALUE"""),"3 km")</f>
        <v>3 km</v>
      </c>
      <c r="T123" s="36" t="str">
        <f ca="1">IFERROR(__xludf.DUMMYFUNCTION("""COMPUTED_VALUE"""),"Piscina del pueblo")</f>
        <v>Piscina del pueblo</v>
      </c>
      <c r="U123" s="36" t="str">
        <f ca="1">IFERROR(__xludf.DUMMYFUNCTION("""COMPUTED_VALUE"""),"Fregadero")</f>
        <v>Fregadero</v>
      </c>
      <c r="V123" s="36" t="str">
        <f ca="1">IFERROR(__xludf.DUMMYFUNCTION("""COMPUTED_VALUE"""),"No")</f>
        <v>No</v>
      </c>
      <c r="W123" s="36" t="str">
        <f ca="1">IFERROR(__xludf.DUMMYFUNCTION("""COMPUTED_VALUE"""),"")</f>
        <v/>
      </c>
      <c r="X123" s="36"/>
      <c r="Y123" s="36"/>
      <c r="Z123" s="36"/>
    </row>
    <row r="124" spans="1:26" ht="12.75" hidden="1">
      <c r="A124" s="36" t="str">
        <f ca="1">IFERROR(__xludf.DUMMYFUNCTION("""COMPUTED_VALUE"""),"Castilla y León")</f>
        <v>Castilla y León</v>
      </c>
      <c r="B124" s="36" t="str">
        <f ca="1">IFERROR(__xludf.DUMMYFUNCTION("""COMPUTED_VALUE"""),"Ávila")</f>
        <v>Ávila</v>
      </c>
      <c r="C124" s="36">
        <f ca="1">IFERROR(__xludf.DUMMYFUNCTION("""COMPUTED_VALUE"""),2016)</f>
        <v>2016</v>
      </c>
      <c r="D124" s="36" t="str">
        <f ca="1">IFERROR(__xludf.DUMMYFUNCTION("""COMPUTED_VALUE"""),"Valverde")</f>
        <v>Valverde</v>
      </c>
      <c r="E124" s="36" t="str">
        <f ca="1">IFERROR(__xludf.DUMMYFUNCTION("""COMPUTED_VALUE"""),"gs.valverde@scoutsdemadrid.org ")</f>
        <v xml:space="preserve">gs.valverde@scoutsdemadrid.org </v>
      </c>
      <c r="F124" s="48">
        <f ca="1">IFERROR(__xludf.DUMMYFUNCTION("""COMPUTED_VALUE"""),42564)</f>
        <v>42564</v>
      </c>
      <c r="G124" s="48">
        <f ca="1">IFERROR(__xludf.DUMMYFUNCTION("""COMPUTED_VALUE"""),42581)</f>
        <v>42581</v>
      </c>
      <c r="H124" s="36" t="str">
        <f ca="1">IFERROR(__xludf.DUMMYFUNCTION("""COMPUTED_VALUE"""),"Navalmoral De La Sierra")</f>
        <v>Navalmoral De La Sierra</v>
      </c>
      <c r="I124" s="36" t="str">
        <f ca="1">IFERROR(__xludf.DUMMYFUNCTION("""COMPUTED_VALUE"""),"La Chaparrera")</f>
        <v>La Chaparrera</v>
      </c>
      <c r="J124" s="36">
        <f ca="1">IFERROR(__xludf.DUMMYFUNCTION("""COMPUTED_VALUE"""),1043)</f>
        <v>1043</v>
      </c>
      <c r="K124" s="36" t="str">
        <f ca="1">IFERROR(__xludf.DUMMYFUNCTION("""COMPUTED_VALUE"""),"latitud: 40º 26' 41,17'' longitud:4º 44' 45,82''")</f>
        <v>latitud: 40º 26' 41,17'' longitud:4º 44' 45,82''</v>
      </c>
      <c r="L124" s="36" t="str">
        <f ca="1">IFERROR(__xludf.DUMMYFUNCTION("""COMPUTED_VALUE"""),"Manuela Garcia Garcia")</f>
        <v>Manuela Garcia Garcia</v>
      </c>
      <c r="M124" s="36">
        <f ca="1">IFERROR(__xludf.DUMMYFUNCTION("""COMPUTED_VALUE"""),638233456)</f>
        <v>638233456</v>
      </c>
      <c r="N124" s="36" t="str">
        <f ca="1">IFERROR(__xludf.DUMMYFUNCTION("""COMPUTED_VALUE"""),"carlos_g.r@hotmail.com")</f>
        <v>carlos_g.r@hotmail.com</v>
      </c>
      <c r="O124" s="36" t="str">
        <f ca="1">IFERROR(__xludf.DUMMYFUNCTION("""COMPUTED_VALUE"""),"Por quincena 700 euros")</f>
        <v>Por quincena 700 euros</v>
      </c>
      <c r="P124" s="36" t="str">
        <f ca="1">IFERROR(__xludf.DUMMYFUNCTION("""COMPUTED_VALUE"""),"10 Ha")</f>
        <v>10 Ha</v>
      </c>
      <c r="Q124" s="36" t="str">
        <f ca="1">IFERROR(__xludf.DUMMYFUNCTION("""COMPUTED_VALUE"""),"BUENO (Se puede acceder con cualquier coche)")</f>
        <v>BUENO (Se puede acceder con cualquier coche)</v>
      </c>
      <c r="R124" s="36" t="str">
        <f ca="1">IFERROR(__xludf.DUMMYFUNCTION("""COMPUTED_VALUE"""),"Sí")</f>
        <v>Sí</v>
      </c>
      <c r="S124" s="36" t="str">
        <f ca="1">IFERROR(__xludf.DUMMYFUNCTION("""COMPUTED_VALUE"""),"3 km")</f>
        <v>3 km</v>
      </c>
      <c r="T124" s="36" t="str">
        <f ca="1">IFERROR(__xludf.DUMMYFUNCTION("""COMPUTED_VALUE"""),"Piscina del pueblo")</f>
        <v>Piscina del pueblo</v>
      </c>
      <c r="U124" s="36" t="str">
        <f ca="1">IFERROR(__xludf.DUMMYFUNCTION("""COMPUTED_VALUE"""),"Fregadero")</f>
        <v>Fregadero</v>
      </c>
      <c r="V124" s="36" t="str">
        <f ca="1">IFERROR(__xludf.DUMMYFUNCTION("""COMPUTED_VALUE"""),"No")</f>
        <v>No</v>
      </c>
      <c r="W124" s="36" t="str">
        <f ca="1">IFERROR(__xludf.DUMMYFUNCTION("""COMPUTED_VALUE"""),"")</f>
        <v/>
      </c>
      <c r="X124" s="36"/>
      <c r="Y124" s="36"/>
      <c r="Z124" s="36"/>
    </row>
    <row r="125" spans="1:26" ht="12.75" hidden="1">
      <c r="A125" s="36" t="str">
        <f ca="1">IFERROR(__xludf.DUMMYFUNCTION("""COMPUTED_VALUE"""),"Castilla y León")</f>
        <v>Castilla y León</v>
      </c>
      <c r="B125" s="36" t="str">
        <f ca="1">IFERROR(__xludf.DUMMYFUNCTION("""COMPUTED_VALUE"""),"Ávila")</f>
        <v>Ávila</v>
      </c>
      <c r="C125" s="36">
        <f ca="1">IFERROR(__xludf.DUMMYFUNCTION("""COMPUTED_VALUE"""),2015)</f>
        <v>2015</v>
      </c>
      <c r="D125" s="36" t="str">
        <f ca="1">IFERROR(__xludf.DUMMYFUNCTION("""COMPUTED_VALUE"""),"Vedruna")</f>
        <v>Vedruna</v>
      </c>
      <c r="E125" s="36" t="str">
        <f ca="1">IFERROR(__xludf.DUMMYFUNCTION("""COMPUTED_VALUE"""),"gs.vedruna@scoutsdemadrid.org ")</f>
        <v xml:space="preserve">gs.vedruna@scoutsdemadrid.org </v>
      </c>
      <c r="F125" s="48">
        <f ca="1">IFERROR(__xludf.DUMMYFUNCTION("""COMPUTED_VALUE"""),42188)</f>
        <v>42188</v>
      </c>
      <c r="G125" s="48">
        <f ca="1">IFERROR(__xludf.DUMMYFUNCTION("""COMPUTED_VALUE"""),42199)</f>
        <v>42199</v>
      </c>
      <c r="H125" s="36" t="str">
        <f ca="1">IFERROR(__xludf.DUMMYFUNCTION("""COMPUTED_VALUE"""),"Guisando")</f>
        <v>Guisando</v>
      </c>
      <c r="I125" s="36" t="str">
        <f ca="1">IFERROR(__xludf.DUMMYFUNCTION("""COMPUTED_VALUE"""),"La Casilla (Sierra de Gredos)")</f>
        <v>La Casilla (Sierra de Gredos)</v>
      </c>
      <c r="J125" s="36" t="str">
        <f ca="1">IFERROR(__xludf.DUMMYFUNCTION("""COMPUTED_VALUE"""),"")</f>
        <v/>
      </c>
      <c r="K125" s="36" t="str">
        <f ca="1">IFERROR(__xludf.DUMMYFUNCTION("""COMPUTED_VALUE"""),"N: 40º 14' 19'' O: -5º 7' 50''")</f>
        <v>N: 40º 14' 19'' O: -5º 7' 50''</v>
      </c>
      <c r="L125" s="36" t="str">
        <f ca="1">IFERROR(__xludf.DUMMYFUNCTION("""COMPUTED_VALUE"""),"")</f>
        <v/>
      </c>
      <c r="M125" s="36" t="str">
        <f ca="1">IFERROR(__xludf.DUMMYFUNCTION("""COMPUTED_VALUE"""),"")</f>
        <v/>
      </c>
      <c r="N125" s="36" t="str">
        <f ca="1">IFERROR(__xludf.DUMMYFUNCTION("""COMPUTED_VALUE"""),"")</f>
        <v/>
      </c>
      <c r="O125" s="36" t="str">
        <f ca="1">IFERROR(__xludf.DUMMYFUNCTION("""COMPUTED_VALUE"""),"")</f>
        <v/>
      </c>
      <c r="P125" s="36" t="str">
        <f ca="1">IFERROR(__xludf.DUMMYFUNCTION("""COMPUTED_VALUE"""),"")</f>
        <v/>
      </c>
      <c r="Q125" s="36" t="str">
        <f ca="1">IFERROR(__xludf.DUMMYFUNCTION("""COMPUTED_VALUE"""),"")</f>
        <v/>
      </c>
      <c r="R125" s="36" t="str">
        <f ca="1">IFERROR(__xludf.DUMMYFUNCTION("""COMPUTED_VALUE"""),"")</f>
        <v/>
      </c>
      <c r="S125" s="36" t="str">
        <f ca="1">IFERROR(__xludf.DUMMYFUNCTION("""COMPUTED_VALUE"""),"")</f>
        <v/>
      </c>
      <c r="T125" s="36" t="str">
        <f ca="1">IFERROR(__xludf.DUMMYFUNCTION("""COMPUTED_VALUE"""),"")</f>
        <v/>
      </c>
      <c r="U125" s="36" t="str">
        <f ca="1">IFERROR(__xludf.DUMMYFUNCTION("""COMPUTED_VALUE"""),"")</f>
        <v/>
      </c>
      <c r="V125" s="36" t="str">
        <f ca="1">IFERROR(__xludf.DUMMYFUNCTION("""COMPUTED_VALUE"""),"")</f>
        <v/>
      </c>
      <c r="W125" s="36" t="str">
        <f ca="1">IFERROR(__xludf.DUMMYFUNCTION("""COMPUTED_VALUE"""),"")</f>
        <v/>
      </c>
      <c r="X125" s="36"/>
      <c r="Y125" s="36"/>
      <c r="Z125" s="36"/>
    </row>
    <row r="126" spans="1:26" ht="12.75" hidden="1">
      <c r="A126" s="36" t="str">
        <f ca="1">IFERROR(__xludf.DUMMYFUNCTION("""COMPUTED_VALUE"""),"Castilla y León")</f>
        <v>Castilla y León</v>
      </c>
      <c r="B126" s="36" t="str">
        <f ca="1">IFERROR(__xludf.DUMMYFUNCTION("""COMPUTED_VALUE"""),"Ávila")</f>
        <v>Ávila</v>
      </c>
      <c r="C126" s="36">
        <f ca="1">IFERROR(__xludf.DUMMYFUNCTION("""COMPUTED_VALUE"""),2017)</f>
        <v>2017</v>
      </c>
      <c r="D126" s="36" t="str">
        <f ca="1">IFERROR(__xludf.DUMMYFUNCTION("""COMPUTED_VALUE"""),"Vedruna")</f>
        <v>Vedruna</v>
      </c>
      <c r="E126" s="36" t="str">
        <f ca="1">IFERROR(__xludf.DUMMYFUNCTION("""COMPUTED_VALUE"""),"gs.vedruna@scoutsdemadrid.org ")</f>
        <v xml:space="preserve">gs.vedruna@scoutsdemadrid.org </v>
      </c>
      <c r="F126" s="48">
        <f ca="1">IFERROR(__xludf.DUMMYFUNCTION("""COMPUTED_VALUE"""),42938)</f>
        <v>42938</v>
      </c>
      <c r="G126" s="48">
        <f ca="1">IFERROR(__xludf.DUMMYFUNCTION("""COMPUTED_VALUE"""),42946)</f>
        <v>42946</v>
      </c>
      <c r="H126" s="36" t="str">
        <f ca="1">IFERROR(__xludf.DUMMYFUNCTION("""COMPUTED_VALUE"""),"Bohoyo")</f>
        <v>Bohoyo</v>
      </c>
      <c r="I126" s="36" t="str">
        <f ca="1">IFERROR(__xludf.DUMMYFUNCTION("""COMPUTED_VALUE"""),"La Tortuga de los chozos de Gredos")</f>
        <v>La Tortuga de los chozos de Gredos</v>
      </c>
      <c r="J126" s="36" t="str">
        <f ca="1">IFERROR(__xludf.DUMMYFUNCTION("""COMPUTED_VALUE"""),"")</f>
        <v/>
      </c>
      <c r="K126" s="36" t="str">
        <f ca="1">IFERROR(__xludf.DUMMYFUNCTION("""COMPUTED_VALUE"""),"")</f>
        <v/>
      </c>
      <c r="L126" s="36" t="str">
        <f ca="1">IFERROR(__xludf.DUMMYFUNCTION("""COMPUTED_VALUE"""),"José Ignacio Romero Trillo")</f>
        <v>José Ignacio Romero Trillo</v>
      </c>
      <c r="M126" s="36">
        <f ca="1">IFERROR(__xludf.DUMMYFUNCTION("""COMPUTED_VALUE"""),630881829)</f>
        <v>630881829</v>
      </c>
      <c r="N126" s="36" t="str">
        <f ca="1">IFERROR(__xludf.DUMMYFUNCTION("""COMPUTED_VALUE"""),"")</f>
        <v/>
      </c>
      <c r="O126" s="36" t="str">
        <f ca="1">IFERROR(__xludf.DUMMYFUNCTION("""COMPUTED_VALUE"""),"")</f>
        <v/>
      </c>
      <c r="P126" s="36" t="str">
        <f ca="1">IFERROR(__xludf.DUMMYFUNCTION("""COMPUTED_VALUE"""),"")</f>
        <v/>
      </c>
      <c r="Q126" s="36" t="str">
        <f ca="1">IFERROR(__xludf.DUMMYFUNCTION("""COMPUTED_VALUE"""),"BUENO (Se puede acceder con cualquier coche)")</f>
        <v>BUENO (Se puede acceder con cualquier coche)</v>
      </c>
      <c r="R126" s="36" t="str">
        <f ca="1">IFERROR(__xludf.DUMMYFUNCTION("""COMPUTED_VALUE"""),"Sí")</f>
        <v>Sí</v>
      </c>
      <c r="S126" s="36" t="str">
        <f ca="1">IFERROR(__xludf.DUMMYFUNCTION("""COMPUTED_VALUE"""),"300m")</f>
        <v>300m</v>
      </c>
      <c r="T126" s="36" t="str">
        <f ca="1">IFERROR(__xludf.DUMMYFUNCTION("""COMPUTED_VALUE"""),"")</f>
        <v/>
      </c>
      <c r="U126" s="36" t="str">
        <f ca="1">IFERROR(__xludf.DUMMYFUNCTION("""COMPUTED_VALUE"""),"Cocina equipada, baños con agua caliente, comedor techado y acristalado, edificio diáfano, 6 chozas")</f>
        <v>Cocina equipada, baños con agua caliente, comedor techado y acristalado, edificio diáfano, 6 chozas</v>
      </c>
      <c r="V126" s="36" t="str">
        <f ca="1">IFERROR(__xludf.DUMMYFUNCTION("""COMPUTED_VALUE"""),"")</f>
        <v/>
      </c>
      <c r="W126" s="36" t="str">
        <f ca="1">IFERROR(__xludf.DUMMYFUNCTION("""COMPUTED_VALUE"""),"")</f>
        <v/>
      </c>
      <c r="X126" s="36"/>
      <c r="Y126" s="36"/>
      <c r="Z126" s="36"/>
    </row>
    <row r="127" spans="1:26" ht="12.75" hidden="1">
      <c r="A127" s="36" t="str">
        <f ca="1">IFERROR(__xludf.DUMMYFUNCTION("""COMPUTED_VALUE"""),"Castilla y León")</f>
        <v>Castilla y León</v>
      </c>
      <c r="B127" s="36" t="str">
        <f ca="1">IFERROR(__xludf.DUMMYFUNCTION("""COMPUTED_VALUE"""),"Ávila")</f>
        <v>Ávila</v>
      </c>
      <c r="C127" s="36">
        <f ca="1">IFERROR(__xludf.DUMMYFUNCTION("""COMPUTED_VALUE"""),2018)</f>
        <v>2018</v>
      </c>
      <c r="D127" s="36" t="str">
        <f ca="1">IFERROR(__xludf.DUMMYFUNCTION("""COMPUTED_VALUE"""),"Vedruna")</f>
        <v>Vedruna</v>
      </c>
      <c r="E127" s="36" t="str">
        <f ca="1">IFERROR(__xludf.DUMMYFUNCTION("""COMPUTED_VALUE"""),"gs.vedruna@scoutsdemadrid.org ")</f>
        <v xml:space="preserve">gs.vedruna@scoutsdemadrid.org </v>
      </c>
      <c r="F127" s="48">
        <f ca="1">IFERROR(__xludf.DUMMYFUNCTION("""COMPUTED_VALUE"""),43281)</f>
        <v>43281</v>
      </c>
      <c r="G127" s="48">
        <f ca="1">IFERROR(__xludf.DUMMYFUNCTION("""COMPUTED_VALUE"""),43289)</f>
        <v>43289</v>
      </c>
      <c r="H127" s="36" t="str">
        <f ca="1">IFERROR(__xludf.DUMMYFUNCTION("""COMPUTED_VALUE"""),"Guisando")</f>
        <v>Guisando</v>
      </c>
      <c r="I127" s="36" t="str">
        <f ca="1">IFERROR(__xludf.DUMMYFUNCTION("""COMPUTED_VALUE"""),"LA CASILLA")</f>
        <v>LA CASILLA</v>
      </c>
      <c r="J127" s="36" t="str">
        <f ca="1">IFERROR(__xludf.DUMMYFUNCTION("""COMPUTED_VALUE"""),"POL.10 PARCELA 112/106")</f>
        <v>POL.10 PARCELA 112/106</v>
      </c>
      <c r="K127" s="36" t="str">
        <f ca="1">IFERROR(__xludf.DUMMYFUNCTION("""COMPUTED_VALUE"""),"40º 13´33366""N 5º7`58019 O")</f>
        <v>40º 13´33366"N 5º7`58019 O</v>
      </c>
      <c r="L127" s="36" t="str">
        <f ca="1">IFERROR(__xludf.DUMMYFUNCTION("""COMPUTED_VALUE"""),"PEDRO JOSÉ SÁNCHEZ SÁEZ")</f>
        <v>PEDRO JOSÉ SÁNCHEZ SÁEZ</v>
      </c>
      <c r="M127" s="36">
        <f ca="1">IFERROR(__xludf.DUMMYFUNCTION("""COMPUTED_VALUE"""),920374030)</f>
        <v>920374030</v>
      </c>
      <c r="N127" s="36" t="str">
        <f ca="1">IFERROR(__xludf.DUMMYFUNCTION("""COMPUTED_VALUE"""),"no tenemos")</f>
        <v>no tenemos</v>
      </c>
      <c r="O127" s="36">
        <f ca="1">IFERROR(__xludf.DUMMYFUNCTION("""COMPUTED_VALUE"""),70)</f>
        <v>70</v>
      </c>
      <c r="P127" s="36" t="str">
        <f ca="1">IFERROR(__xludf.DUMMYFUNCTION("""COMPUTED_VALUE"""),"1 hectária aprox")</f>
        <v>1 hectária aprox</v>
      </c>
      <c r="Q127" s="36" t="str">
        <f ca="1">IFERROR(__xludf.DUMMYFUNCTION("""COMPUTED_VALUE"""),"BUENO (Se puede acceder con cualquier coche)")</f>
        <v>BUENO (Se puede acceder con cualquier coche)</v>
      </c>
      <c r="R127" s="36" t="str">
        <f ca="1">IFERROR(__xludf.DUMMYFUNCTION("""COMPUTED_VALUE"""),"Sí")</f>
        <v>Sí</v>
      </c>
      <c r="S127" s="36" t="str">
        <f ca="1">IFERROR(__xludf.DUMMYFUNCTION("""COMPUTED_VALUE"""),"200m")</f>
        <v>200m</v>
      </c>
      <c r="T127" s="36" t="str">
        <f ca="1">IFERROR(__xludf.DUMMYFUNCTION("""COMPUTED_VALUE"""),"poza ")</f>
        <v xml:space="preserve">poza </v>
      </c>
      <c r="U127" s="36" t="str">
        <f ca="1">IFERROR(__xludf.DUMMYFUNCTION("""COMPUTED_VALUE"""),"cocina almacen duchas baños")</f>
        <v>cocina almacen duchas baños</v>
      </c>
      <c r="V127" s="36" t="str">
        <f ca="1">IFERROR(__xludf.DUMMYFUNCTION("""COMPUTED_VALUE"""),"si")</f>
        <v>si</v>
      </c>
      <c r="W127" s="36" t="str">
        <f ca="1">IFERROR(__xludf.DUMMYFUNCTION("""COMPUTED_VALUE"""),"Entorno con muchas posiblidades")</f>
        <v>Entorno con muchas posiblidades</v>
      </c>
      <c r="X127" s="36"/>
      <c r="Y127" s="36"/>
      <c r="Z127" s="36"/>
    </row>
    <row r="128" spans="1:26" ht="12.75" hidden="1">
      <c r="A128" s="36" t="str">
        <f ca="1">IFERROR(__xludf.DUMMYFUNCTION("""COMPUTED_VALUE"""),"Castilla-La Mancha")</f>
        <v>Castilla-La Mancha</v>
      </c>
      <c r="B128" s="36" t="str">
        <f ca="1">IFERROR(__xludf.DUMMYFUNCTION("""COMPUTED_VALUE"""),"Albacete")</f>
        <v>Albacete</v>
      </c>
      <c r="C128" s="36">
        <f ca="1">IFERROR(__xludf.DUMMYFUNCTION("""COMPUTED_VALUE"""),2016)</f>
        <v>2016</v>
      </c>
      <c r="D128" s="36" t="str">
        <f ca="1">IFERROR(__xludf.DUMMYFUNCTION("""COMPUTED_VALUE"""),"Calasanz Val")</f>
        <v>Calasanz Val</v>
      </c>
      <c r="E128" s="36" t="str">
        <f ca="1">IFERROR(__xludf.DUMMYFUNCTION("""COMPUTED_VALUE"""),"gs.calasanzval@scoutsdemadrid.org ")</f>
        <v xml:space="preserve">gs.calasanzval@scoutsdemadrid.org </v>
      </c>
      <c r="F128" s="48">
        <f ca="1">IFERROR(__xludf.DUMMYFUNCTION("""COMPUTED_VALUE"""),42552)</f>
        <v>42552</v>
      </c>
      <c r="G128" s="48">
        <f ca="1">IFERROR(__xludf.DUMMYFUNCTION("""COMPUTED_VALUE"""),42566)</f>
        <v>42566</v>
      </c>
      <c r="H128" s="36" t="str">
        <f ca="1">IFERROR(__xludf.DUMMYFUNCTION("""COMPUTED_VALUE"""),"Peñascosa")</f>
        <v>Peñascosa</v>
      </c>
      <c r="I128" s="36" t="str">
        <f ca="1">IFERROR(__xludf.DUMMYFUNCTION("""COMPUTED_VALUE"""),"Camping Peñascosa")</f>
        <v>Camping Peñascosa</v>
      </c>
      <c r="J128" s="36" t="str">
        <f ca="1">IFERROR(__xludf.DUMMYFUNCTION("""COMPUTED_VALUE"""),"")</f>
        <v/>
      </c>
      <c r="K128" s="36" t="str">
        <f ca="1">IFERROR(__xludf.DUMMYFUNCTION("""COMPUTED_VALUE"""),"38º 40' 25.00""; -2º 24' 18.00""")</f>
        <v>38º 40' 25.00"; -2º 24' 18.00"</v>
      </c>
      <c r="L128" s="36" t="str">
        <f ca="1">IFERROR(__xludf.DUMMYFUNCTION("""COMPUTED_VALUE"""),"Angel ")</f>
        <v xml:space="preserve">Angel </v>
      </c>
      <c r="M128" s="36">
        <f ca="1">IFERROR(__xludf.DUMMYFUNCTION("""COMPUTED_VALUE"""),967382521)</f>
        <v>967382521</v>
      </c>
      <c r="N128" s="36" t="str">
        <f ca="1">IFERROR(__xludf.DUMMYFUNCTION("""COMPUTED_VALUE"""),"")</f>
        <v/>
      </c>
      <c r="O128" s="36" t="str">
        <f ca="1">IFERROR(__xludf.DUMMYFUNCTION("""COMPUTED_VALUE"""),"4 euros/ persona/ dia")</f>
        <v>4 euros/ persona/ dia</v>
      </c>
      <c r="P128" s="36" t="str">
        <f ca="1">IFERROR(__xludf.DUMMYFUNCTION("""COMPUTED_VALUE"""),"")</f>
        <v/>
      </c>
      <c r="Q128" s="36" t="str">
        <f ca="1">IFERROR(__xludf.DUMMYFUNCTION("""COMPUTED_VALUE"""),"BUENO (Se puede acceder con cualquier coche)")</f>
        <v>BUENO (Se puede acceder con cualquier coche)</v>
      </c>
      <c r="R128" s="36" t="str">
        <f ca="1">IFERROR(__xludf.DUMMYFUNCTION("""COMPUTED_VALUE"""),"Sí")</f>
        <v>Sí</v>
      </c>
      <c r="S128" s="36" t="str">
        <f ca="1">IFERROR(__xludf.DUMMYFUNCTION("""COMPUTED_VALUE"""),"200 metros")</f>
        <v>200 metros</v>
      </c>
      <c r="T128" s="36" t="str">
        <f ca="1">IFERROR(__xludf.DUMMYFUNCTION("""COMPUTED_VALUE"""),"piscina artificial")</f>
        <v>piscina artificial</v>
      </c>
      <c r="U128" s="36" t="str">
        <f ca="1">IFERROR(__xludf.DUMMYFUNCTION("""COMPUTED_VALUE"""),"Baños, duchas y fregaderos")</f>
        <v>Baños, duchas y fregaderos</v>
      </c>
      <c r="V128" s="36" t="str">
        <f ca="1">IFERROR(__xludf.DUMMYFUNCTION("""COMPUTED_VALUE"""),"Si")</f>
        <v>Si</v>
      </c>
      <c r="W128" s="36" t="str">
        <f ca="1">IFERROR(__xludf.DUMMYFUNCTION("""COMPUTED_VALUE"""),"")</f>
        <v/>
      </c>
      <c r="X128" s="36"/>
      <c r="Y128" s="36"/>
      <c r="Z128" s="36"/>
    </row>
    <row r="129" spans="1:26" ht="12.75" hidden="1">
      <c r="A129" s="36" t="str">
        <f ca="1">IFERROR(__xludf.DUMMYFUNCTION("""COMPUTED_VALUE"""),"Castilla-La Mancha")</f>
        <v>Castilla-La Mancha</v>
      </c>
      <c r="B129" s="36" t="str">
        <f ca="1">IFERROR(__xludf.DUMMYFUNCTION("""COMPUTED_VALUE"""),"Albacete")</f>
        <v>Albacete</v>
      </c>
      <c r="C129" s="36">
        <f ca="1">IFERROR(__xludf.DUMMYFUNCTION("""COMPUTED_VALUE"""),2017)</f>
        <v>2017</v>
      </c>
      <c r="D129" s="36" t="str">
        <f ca="1">IFERROR(__xludf.DUMMYFUNCTION("""COMPUTED_VALUE"""),"Calasanz Val")</f>
        <v>Calasanz Val</v>
      </c>
      <c r="E129" s="36" t="str">
        <f ca="1">IFERROR(__xludf.DUMMYFUNCTION("""COMPUTED_VALUE"""),"gs.calasanzval@scoutsdemadrid.org ")</f>
        <v xml:space="preserve">gs.calasanzval@scoutsdemadrid.org </v>
      </c>
      <c r="F129" s="48">
        <f ca="1">IFERROR(__xludf.DUMMYFUNCTION("""COMPUTED_VALUE"""),42917)</f>
        <v>42917</v>
      </c>
      <c r="G129" s="48">
        <f ca="1">IFERROR(__xludf.DUMMYFUNCTION("""COMPUTED_VALUE"""),42931)</f>
        <v>42931</v>
      </c>
      <c r="H129" s="36" t="str">
        <f ca="1">IFERROR(__xludf.DUMMYFUNCTION("""COMPUTED_VALUE"""),"Peñascosa")</f>
        <v>Peñascosa</v>
      </c>
      <c r="I129" s="36" t="str">
        <f ca="1">IFERROR(__xludf.DUMMYFUNCTION("""COMPUTED_VALUE"""),"Camping Peñascosa")</f>
        <v>Camping Peñascosa</v>
      </c>
      <c r="J129" s="36" t="str">
        <f ca="1">IFERROR(__xludf.DUMMYFUNCTION("""COMPUTED_VALUE"""),"")</f>
        <v/>
      </c>
      <c r="K129" s="36" t="str">
        <f ca="1">IFERROR(__xludf.DUMMYFUNCTION("""COMPUTED_VALUE"""),"")</f>
        <v/>
      </c>
      <c r="L129" s="36" t="str">
        <f ca="1">IFERROR(__xludf.DUMMYFUNCTION("""COMPUTED_VALUE"""),"Camping Peñascosa")</f>
        <v>Camping Peñascosa</v>
      </c>
      <c r="M129" s="36">
        <f ca="1">IFERROR(__xludf.DUMMYFUNCTION("""COMPUTED_VALUE"""),639374495)</f>
        <v>639374495</v>
      </c>
      <c r="N129" s="36" t="str">
        <f ca="1">IFERROR(__xludf.DUMMYFUNCTION("""COMPUTED_VALUE"""),"informacion@campingpenascosa.com")</f>
        <v>informacion@campingpenascosa.com</v>
      </c>
      <c r="O129" s="36" t="str">
        <f ca="1">IFERROR(__xludf.DUMMYFUNCTION("""COMPUTED_VALUE"""),"4.5€ / persona /día")</f>
        <v>4.5€ / persona /día</v>
      </c>
      <c r="P129" s="36" t="str">
        <f ca="1">IFERROR(__xludf.DUMMYFUNCTION("""COMPUTED_VALUE"""),"")</f>
        <v/>
      </c>
      <c r="Q129" s="36" t="str">
        <f ca="1">IFERROR(__xludf.DUMMYFUNCTION("""COMPUTED_VALUE"""),"BUENO (Se puede acceder con cualquier coche)")</f>
        <v>BUENO (Se puede acceder con cualquier coche)</v>
      </c>
      <c r="R129" s="36" t="str">
        <f ca="1">IFERROR(__xludf.DUMMYFUNCTION("""COMPUTED_VALUE"""),"Sí")</f>
        <v>Sí</v>
      </c>
      <c r="S129" s="36" t="str">
        <f ca="1">IFERROR(__xludf.DUMMYFUNCTION("""COMPUTED_VALUE"""),"Tiene piscina")</f>
        <v>Tiene piscina</v>
      </c>
      <c r="T129" s="36" t="str">
        <f ca="1">IFERROR(__xludf.DUMMYFUNCTION("""COMPUTED_VALUE"""),"")</f>
        <v/>
      </c>
      <c r="U129" s="36" t="str">
        <f ca="1">IFERROR(__xludf.DUMMYFUNCTION("""COMPUTED_VALUE"""),"Es un camping")</f>
        <v>Es un camping</v>
      </c>
      <c r="V129" s="36" t="str">
        <f ca="1">IFERROR(__xludf.DUMMYFUNCTION("""COMPUTED_VALUE"""),"No")</f>
        <v>No</v>
      </c>
      <c r="W129" s="36" t="str">
        <f ca="1">IFERROR(__xludf.DUMMYFUNCTION("""COMPUTED_VALUE"""),"Buen camping, no muy poblado, agua caliente en baño y duchas, y con cafetería que da comidas si las contratas.")</f>
        <v>Buen camping, no muy poblado, agua caliente en baño y duchas, y con cafetería que da comidas si las contratas.</v>
      </c>
      <c r="X129" s="36"/>
      <c r="Y129" s="36"/>
      <c r="Z129" s="36"/>
    </row>
    <row r="130" spans="1:26" ht="12.75" hidden="1">
      <c r="A130" s="36" t="str">
        <f ca="1">IFERROR(__xludf.DUMMYFUNCTION("""COMPUTED_VALUE"""),"Castilla-La Mancha")</f>
        <v>Castilla-La Mancha</v>
      </c>
      <c r="B130" s="36" t="str">
        <f ca="1">IFERROR(__xludf.DUMMYFUNCTION("""COMPUTED_VALUE"""),"Guadalajara")</f>
        <v>Guadalajara</v>
      </c>
      <c r="C130" s="36">
        <f ca="1">IFERROR(__xludf.DUMMYFUNCTION("""COMPUTED_VALUE"""),2018)</f>
        <v>2018</v>
      </c>
      <c r="D130" s="36" t="str">
        <f ca="1">IFERROR(__xludf.DUMMYFUNCTION("""COMPUTED_VALUE"""),"Chamberí")</f>
        <v>Chamberí</v>
      </c>
      <c r="E130" s="36" t="str">
        <f ca="1">IFERROR(__xludf.DUMMYFUNCTION("""COMPUTED_VALUE"""),"gs.chamberi@scoutsdemadrid.org ")</f>
        <v xml:space="preserve">gs.chamberi@scoutsdemadrid.org </v>
      </c>
      <c r="F130" s="48">
        <f ca="1">IFERROR(__xludf.DUMMYFUNCTION("""COMPUTED_VALUE"""),43297)</f>
        <v>43297</v>
      </c>
      <c r="G130" s="48">
        <f ca="1">IFERROR(__xludf.DUMMYFUNCTION("""COMPUTED_VALUE"""),43311)</f>
        <v>43311</v>
      </c>
      <c r="H130" s="36" t="str">
        <f ca="1">IFERROR(__xludf.DUMMYFUNCTION("""COMPUTED_VALUE"""),"Atienza")</f>
        <v>Atienza</v>
      </c>
      <c r="I130" s="36" t="str">
        <f ca="1">IFERROR(__xludf.DUMMYFUNCTION("""COMPUTED_VALUE"""),"La Estrella")</f>
        <v>La Estrella</v>
      </c>
      <c r="J130" s="36" t="str">
        <f ca="1">IFERROR(__xludf.DUMMYFUNCTION("""COMPUTED_VALUE"""),"19051A012000810000PR y 19051A012100810000PH")</f>
        <v>19051A012000810000PR y 19051A012100810000PH</v>
      </c>
      <c r="K130" s="36" t="str">
        <f ca="1">IFERROR(__xludf.DUMMYFUNCTION("""COMPUTED_VALUE"""),"41.206743-2.854343")</f>
        <v>41.206743-2.854343</v>
      </c>
      <c r="L130" s="36" t="str">
        <f ca="1">IFERROR(__xludf.DUMMYFUNCTION("""COMPUTED_VALUE"""),"Ayuntamiento de Atienza")</f>
        <v>Ayuntamiento de Atienza</v>
      </c>
      <c r="M130" s="36">
        <f ca="1">IFERROR(__xludf.DUMMYFUNCTION("""COMPUTED_VALUE"""),638618753)</f>
        <v>638618753</v>
      </c>
      <c r="N130" s="36" t="str">
        <f ca="1">IFERROR(__xludf.DUMMYFUNCTION("""COMPUTED_VALUE"""),"aytoatien@hotmail.com")</f>
        <v>aytoatien@hotmail.com</v>
      </c>
      <c r="O130" s="36">
        <f ca="1">IFERROR(__xludf.DUMMYFUNCTION("""COMPUTED_VALUE"""),0)</f>
        <v>0</v>
      </c>
      <c r="P130" s="36" t="str">
        <f ca="1">IFERROR(__xludf.DUMMYFUNCTION("""COMPUTED_VALUE"""),"1.54")</f>
        <v>1.54</v>
      </c>
      <c r="Q130" s="36" t="str">
        <f ca="1">IFERROR(__xludf.DUMMYFUNCTION("""COMPUTED_VALUE"""),"BUENO (Se puede acceder con cualquier coche)")</f>
        <v>BUENO (Se puede acceder con cualquier coche)</v>
      </c>
      <c r="R130" s="36" t="str">
        <f ca="1">IFERROR(__xludf.DUMMYFUNCTION("""COMPUTED_VALUE"""),"Sí")</f>
        <v>Sí</v>
      </c>
      <c r="S130" s="36" t="str">
        <f ca="1">IFERROR(__xludf.DUMMYFUNCTION("""COMPUTED_VALUE"""),"1 km/1.5 km")</f>
        <v>1 km/1.5 km</v>
      </c>
      <c r="T130" s="36" t="str">
        <f ca="1">IFERROR(__xludf.DUMMYFUNCTION("""COMPUTED_VALUE"""),"piscina municipal")</f>
        <v>piscina municipal</v>
      </c>
      <c r="U130" s="36" t="str">
        <f ca="1">IFERROR(__xludf.DUMMYFUNCTION("""COMPUTED_VALUE"""),"no")</f>
        <v>no</v>
      </c>
      <c r="V130" s="36" t="str">
        <f ca="1">IFERROR(__xludf.DUMMYFUNCTION("""COMPUTED_VALUE"""),"si")</f>
        <v>si</v>
      </c>
      <c r="W130" s="36" t="str">
        <f ca="1">IFERROR(__xludf.DUMMYFUNCTION("""COMPUTED_VALUE"""),"Cedida por el ayuntamiento de Atienza")</f>
        <v>Cedida por el ayuntamiento de Atienza</v>
      </c>
      <c r="X130" s="36"/>
      <c r="Y130" s="36"/>
      <c r="Z130" s="36"/>
    </row>
    <row r="131" spans="1:26" ht="12.75" hidden="1">
      <c r="A131" s="36" t="str">
        <f ca="1">IFERROR(__xludf.DUMMYFUNCTION("""COMPUTED_VALUE"""),"Castilla-La Mancha")</f>
        <v>Castilla-La Mancha</v>
      </c>
      <c r="B131" s="36" t="str">
        <f ca="1">IFERROR(__xludf.DUMMYFUNCTION("""COMPUTED_VALUE"""),"Cuenca")</f>
        <v>Cuenca</v>
      </c>
      <c r="C131" s="36">
        <f ca="1">IFERROR(__xludf.DUMMYFUNCTION("""COMPUTED_VALUE"""),2019)</f>
        <v>2019</v>
      </c>
      <c r="D131" s="36" t="str">
        <f ca="1">IFERROR(__xludf.DUMMYFUNCTION("""COMPUTED_VALUE"""),"Chamberí")</f>
        <v>Chamberí</v>
      </c>
      <c r="E131" s="36" t="str">
        <f ca="1">IFERROR(__xludf.DUMMYFUNCTION("""COMPUTED_VALUE"""),"gs.chamberi@scoutsdemadrid.org ")</f>
        <v xml:space="preserve">gs.chamberi@scoutsdemadrid.org </v>
      </c>
      <c r="F131" s="48">
        <f ca="1">IFERROR(__xludf.DUMMYFUNCTION("""COMPUTED_VALUE"""),43647)</f>
        <v>43647</v>
      </c>
      <c r="G131" s="48">
        <f ca="1">IFERROR(__xludf.DUMMYFUNCTION("""COMPUTED_VALUE"""),43661)</f>
        <v>43661</v>
      </c>
      <c r="H131" s="36" t="str">
        <f ca="1">IFERROR(__xludf.DUMMYFUNCTION("""COMPUTED_VALUE"""),"Tragacete")</f>
        <v>Tragacete</v>
      </c>
      <c r="I131" s="36" t="str">
        <f ca="1">IFERROR(__xludf.DUMMYFUNCTION("""COMPUTED_VALUE"""),"Finca Campamento La Veredilla")</f>
        <v>Finca Campamento La Veredilla</v>
      </c>
      <c r="J131" s="36" t="str">
        <f ca="1">IFERROR(__xludf.DUMMYFUNCTION("""COMPUTED_VALUE"""),"dato desconocido")</f>
        <v>dato desconocido</v>
      </c>
      <c r="K131" s="36" t="str">
        <f ca="1">IFERROR(__xludf.DUMMYFUNCTION("""COMPUTED_VALUE"""),"(40.3718476,-1.8825093)")</f>
        <v>(40.3718476,-1.8825093)</v>
      </c>
      <c r="L131" s="36" t="str">
        <f ca="1">IFERROR(__xludf.DUMMYFUNCTION("""COMPUTED_VALUE"""),"Ayuntamiento de Tragacete")</f>
        <v>Ayuntamiento de Tragacete</v>
      </c>
      <c r="M131" s="36" t="str">
        <f ca="1">IFERROR(__xludf.DUMMYFUNCTION("""COMPUTED_VALUE"""),"969 289 002")</f>
        <v>969 289 002</v>
      </c>
      <c r="N131" s="36" t="str">
        <f ca="1">IFERROR(__xludf.DUMMYFUNCTION("""COMPUTED_VALUE"""),"ayuntamientotragacete@hotmail.com")</f>
        <v>ayuntamientotragacete@hotmail.com</v>
      </c>
      <c r="O131" s="36" t="str">
        <f ca="1">IFERROR(__xludf.DUMMYFUNCTION("""COMPUTED_VALUE"""),"2 euros por persona y dia")</f>
        <v>2 euros por persona y dia</v>
      </c>
      <c r="P131" s="36" t="str">
        <f ca="1">IFERROR(__xludf.DUMMYFUNCTION("""COMPUTED_VALUE"""),"Dato desconocido")</f>
        <v>Dato desconocido</v>
      </c>
      <c r="Q131" s="36" t="str">
        <f ca="1">IFERROR(__xludf.DUMMYFUNCTION("""COMPUTED_VALUE"""),"BUENO (Se puede acceder con cualquier coche)")</f>
        <v>BUENO (Se puede acceder con cualquier coche)</v>
      </c>
      <c r="R131" s="36" t="str">
        <f ca="1">IFERROR(__xludf.DUMMYFUNCTION("""COMPUTED_VALUE"""),"Sí")</f>
        <v>Sí</v>
      </c>
      <c r="S131" s="36" t="str">
        <f ca="1">IFERROR(__xludf.DUMMYFUNCTION("""COMPUTED_VALUE"""),"500 metros")</f>
        <v>500 metros</v>
      </c>
      <c r="T131" s="36" t="str">
        <f ca="1">IFERROR(__xludf.DUMMYFUNCTION("""COMPUTED_VALUE"""),"rio pequeño y con poco caudal pero perfecto para pegarte un pequeño chapuzón")</f>
        <v>rio pequeño y con poco caudal pero perfecto para pegarte un pequeño chapuzón</v>
      </c>
      <c r="U131" s="36" t="str">
        <f ca="1">IFERROR(__xludf.DUMMYFUNCTION("""COMPUTED_VALUE"""),"Edificación-Barbacoa. Edificación de 42,90 metros cuadrados de piedra, cerrada con cuatro paredes, cubie de teja y cuatro entradas abiertas. Consta de cuatro barbacoas, cuatro leñeras, dos mesas de piedra, dos muros de pie para asientos y chimenea con mat"&amp;"achispas. Tiene un grifo exterior adosado a uno de los muros -    Fuente. Construida en piedra con dos senos y un caño. -    Nave lavaderos y baños .Edificación de nueva construcción en piedra y madera de 55,44 metros cuadrados, la que se incluyen los sig"&amp;"uientes elementos: - 2 vestuarios (cada uno con tres duchas, tres retretes, tres lavabos y un termo de ag caliente, todos con sus respectivas puertas). - 1 vestuario adicional adaptado para minusválidos. - 3 ventanas de doble hoja con doble acristalamient"&amp;"o tipo climalit. - 2 ventanales en la parte trasera del edificio de similares características. - zona abierta en el exterior destinada a lavadero con cinco fregaderos. -  Almacén. Habitáculo ubicado en la misma construcción de lavaderos y baños. Dos puert"&amp;"as metálicas. - Carpa multiusos. Se trata de una zona de 151,59  metros  cuadrados para uso recreativo. Abierta, c tejado  de estructura  de madera  y cubierta  de teja  de cerámica  curva. Completa construcción  un solado  de  hormigón  armado  y encacha"&amp;"do  de  piedra  que  rodea instalación. -  Módulo de ocultación de contenedores.  Dos módulos de madera para ocultación de los contenedores de recogida selectiva basuras. -  Dispositivo de tratamiento de aguas residuales.   Dispone  de  un separador  prev"&amp;"io  de  grasas  y de  un decantador-digestor  con fil biológico. -  Hidrantes.Dos unidades de hidrante tipo acera de fundición. - Otros  (pozos  de  regulación,  red  de  abastecimiento  y saneamiento  de  aguas, etc…) Cuenta con un grupo electrógeno que "&amp;"suministra energía eléctrica a la zona. Se cede su uso cargado de gasóleo; las sucesivas cargas correrán de cuenta de los beneficiarios. ")</f>
        <v xml:space="preserve">Edificación-Barbacoa. Edificación de 42,90 metros cuadrados de piedra, cerrada con cuatro paredes, cubie de teja y cuatro entradas abiertas. Consta de cuatro barbacoas, cuatro leñeras, dos mesas de piedra, dos muros de pie para asientos y chimenea con matachispas. Tiene un grifo exterior adosado a uno de los muros -    Fuente. Construida en piedra con dos senos y un caño. -    Nave lavaderos y baños .Edificación de nueva construcción en piedra y madera de 55,44 metros cuadrados, la que se incluyen los siguientes elementos: - 2 vestuarios (cada uno con tres duchas, tres retretes, tres lavabos y un termo de ag caliente, todos con sus respectivas puertas). - 1 vestuario adicional adaptado para minusválidos. - 3 ventanas de doble hoja con doble acristalamiento tipo climalit. - 2 ventanales en la parte trasera del edificio de similares características. - zona abierta en el exterior destinada a lavadero con cinco fregaderos. -  Almacén. Habitáculo ubicado en la misma construcción de lavaderos y baños. Dos puertas metálicas. - Carpa multiusos. Se trata de una zona de 151,59  metros  cuadrados para uso recreativo. Abierta, c tejado  de estructura  de madera  y cubierta  de teja  de cerámica  curva. Completa construcción  un solado  de  hormigón  armado  y encachado  de  piedra  que  rodea instalación. -  Módulo de ocultación de contenedores.  Dos módulos de madera para ocultación de los contenedores de recogida selectiva basuras. -  Dispositivo de tratamiento de aguas residuales.   Dispone  de  un separador  previo  de  grasas  y de  un decantador-digestor  con fil biológico. -  Hidrantes.Dos unidades de hidrante tipo acera de fundición. - Otros  (pozos  de  regulación,  red  de  abastecimiento  y saneamiento  de  aguas, etc…) Cuenta con un grupo electrógeno que suministra energía eléctrica a la zona. Se cede su uso cargado de gasóleo; las sucesivas cargas correrán de cuenta de los beneficiarios. </v>
      </c>
      <c r="V131" s="36" t="str">
        <f ca="1">IFERROR(__xludf.DUMMYFUNCTION("""COMPUTED_VALUE"""),"No lo sabemos")</f>
        <v>No lo sabemos</v>
      </c>
      <c r="W131" s="36" t="str">
        <f ca="1">IFERROR(__xludf.DUMMYFUNCTION("""COMPUTED_VALUE"""),"Zona bastante buena de campamentos, habilitada para ello y con espacio para un gran número de personas. Ofrecen la finca en exclusividad pero por un elevado coste.
Ubicada en el parque natural de la serrania de cuenca lo que ofrece una gran variedad de op"&amp;"ciones de cara a rutas.
El pueblo está muy cerca con todos los servicio mínimos necesarios.")</f>
        <v>Zona bastante buena de campamentos, habilitada para ello y con espacio para un gran número de personas. Ofrecen la finca en exclusividad pero por un elevado coste.
Ubicada en el parque natural de la serrania de cuenca lo que ofrece una gran variedad de opciones de cara a rutas.
El pueblo está muy cerca con todos los servicio mínimos necesarios.</v>
      </c>
      <c r="X131" s="36"/>
      <c r="Y131" s="36"/>
      <c r="Z131" s="36"/>
    </row>
    <row r="132" spans="1:26" ht="12.75" hidden="1">
      <c r="A132" s="36" t="str">
        <f ca="1">IFERROR(__xludf.DUMMYFUNCTION("""COMPUTED_VALUE"""),"Castilla-La Mancha")</f>
        <v>Castilla-La Mancha</v>
      </c>
      <c r="B132" s="36" t="str">
        <f ca="1">IFERROR(__xludf.DUMMYFUNCTION("""COMPUTED_VALUE"""),"Guadalajara")</f>
        <v>Guadalajara</v>
      </c>
      <c r="C132" s="36">
        <f ca="1">IFERROR(__xludf.DUMMYFUNCTION("""COMPUTED_VALUE"""),2019)</f>
        <v>2019</v>
      </c>
      <c r="D132" s="36" t="str">
        <f ca="1">IFERROR(__xludf.DUMMYFUNCTION("""COMPUTED_VALUE"""),"Don Quijote")</f>
        <v>Don Quijote</v>
      </c>
      <c r="E132" s="36" t="str">
        <f ca="1">IFERROR(__xludf.DUMMYFUNCTION("""COMPUTED_VALUE"""),"gs.donquijote@scoutsdemadrid.org ")</f>
        <v xml:space="preserve">gs.donquijote@scoutsdemadrid.org </v>
      </c>
      <c r="F132" s="48">
        <f ca="1">IFERROR(__xludf.DUMMYFUNCTION("""COMPUTED_VALUE"""),43639)</f>
        <v>43639</v>
      </c>
      <c r="G132" s="48">
        <f ca="1">IFERROR(__xludf.DUMMYFUNCTION("""COMPUTED_VALUE"""),43646)</f>
        <v>43646</v>
      </c>
      <c r="H132" s="36" t="str">
        <f ca="1">IFERROR(__xludf.DUMMYFUNCTION("""COMPUTED_VALUE"""),"Almonacid De Zorita")</f>
        <v>Almonacid De Zorita</v>
      </c>
      <c r="I132" s="36" t="str">
        <f ca="1">IFERROR(__xludf.DUMMYFUNCTION("""COMPUTED_VALUE"""),"Ermita de san Anton")</f>
        <v>Ermita de san Anton</v>
      </c>
      <c r="J132" s="36" t="str">
        <f ca="1">IFERROR(__xludf.DUMMYFUNCTION("""COMPUTED_VALUE"""),"lo desconozco")</f>
        <v>lo desconozco</v>
      </c>
      <c r="K132" s="36" t="str">
        <f ca="1">IFERROR(__xludf.DUMMYFUNCTION("""COMPUTED_VALUE"""),"Guadalajara")</f>
        <v>Guadalajara</v>
      </c>
      <c r="L132" s="36" t="str">
        <f ca="1">IFERROR(__xludf.DUMMYFUNCTION("""COMPUTED_VALUE"""),"Ayuntamiento de Almonacid.")</f>
        <v>Ayuntamiento de Almonacid.</v>
      </c>
      <c r="M132" s="36" t="str">
        <f ca="1">IFERROR(__xludf.DUMMYFUNCTION("""COMPUTED_VALUE"""),"949376201/949821645")</f>
        <v>949376201/949821645</v>
      </c>
      <c r="N132" s="36" t="str">
        <f ca="1">IFERROR(__xludf.DUMMYFUNCTION("""COMPUTED_VALUE"""),"")</f>
        <v/>
      </c>
      <c r="O132" s="36" t="str">
        <f ca="1">IFERROR(__xludf.DUMMYFUNCTION("""COMPUTED_VALUE"""),"no pagaremos nada,mas que la voluntad")</f>
        <v>no pagaremos nada,mas que la voluntad</v>
      </c>
      <c r="P132" s="36" t="str">
        <f ca="1">IFERROR(__xludf.DUMMYFUNCTION("""COMPUTED_VALUE"""),"1000 hectareas")</f>
        <v>1000 hectareas</v>
      </c>
      <c r="Q132" s="36" t="str">
        <f ca="1">IFERROR(__xludf.DUMMYFUNCTION("""COMPUTED_VALUE"""),"BUENO (Se puede acceder con cualquier coche)")</f>
        <v>BUENO (Se puede acceder con cualquier coche)</v>
      </c>
      <c r="R132" s="36" t="str">
        <f ca="1">IFERROR(__xludf.DUMMYFUNCTION("""COMPUTED_VALUE"""),"Sí")</f>
        <v>Sí</v>
      </c>
      <c r="S132" s="36" t="str">
        <f ca="1">IFERROR(__xludf.DUMMYFUNCTION("""COMPUTED_VALUE"""),"3 km")</f>
        <v>3 km</v>
      </c>
      <c r="T132" s="36" t="str">
        <f ca="1">IFERROR(__xludf.DUMMYFUNCTION("""COMPUTED_VALUE"""),"Tiene un rio que le llaman playa hay que pagar para entrar y tiene socoristas")</f>
        <v>Tiene un rio que le llaman playa hay que pagar para entrar y tiene socoristas</v>
      </c>
      <c r="U132" s="36" t="str">
        <f ca="1">IFERROR(__xludf.DUMMYFUNCTION("""COMPUTED_VALUE"""),"baños de obra")</f>
        <v>baños de obra</v>
      </c>
      <c r="V132" s="36" t="str">
        <f ca="1">IFERROR(__xludf.DUMMYFUNCTION("""COMPUTED_VALUE"""),"no")</f>
        <v>no</v>
      </c>
      <c r="W132" s="36" t="str">
        <f ca="1">IFERROR(__xludf.DUMMYFUNCTION("""COMPUTED_VALUE"""),"buena")</f>
        <v>buena</v>
      </c>
      <c r="X132" s="36"/>
      <c r="Y132" s="36"/>
      <c r="Z132" s="36"/>
    </row>
    <row r="133" spans="1:26" ht="12.75" hidden="1">
      <c r="A133" s="36" t="str">
        <f ca="1">IFERROR(__xludf.DUMMYFUNCTION("""COMPUTED_VALUE"""),"Castilla-La Mancha")</f>
        <v>Castilla-La Mancha</v>
      </c>
      <c r="B133" s="36" t="str">
        <f ca="1">IFERROR(__xludf.DUMMYFUNCTION("""COMPUTED_VALUE"""),"Cuenca")</f>
        <v>Cuenca</v>
      </c>
      <c r="C133" s="36">
        <f ca="1">IFERROR(__xludf.DUMMYFUNCTION("""COMPUTED_VALUE"""),2019)</f>
        <v>2019</v>
      </c>
      <c r="D133" s="36" t="str">
        <f ca="1">IFERROR(__xludf.DUMMYFUNCTION("""COMPUTED_VALUE"""),"Fátima")</f>
        <v>Fátima</v>
      </c>
      <c r="E133" s="36" t="str">
        <f ca="1">IFERROR(__xludf.DUMMYFUNCTION("""COMPUTED_VALUE"""),"gs.fatima@scoutsdemadrid.org ")</f>
        <v xml:space="preserve">gs.fatima@scoutsdemadrid.org </v>
      </c>
      <c r="F133" s="48">
        <f ca="1">IFERROR(__xludf.DUMMYFUNCTION("""COMPUTED_VALUE"""),43661)</f>
        <v>43661</v>
      </c>
      <c r="G133" s="48">
        <f ca="1">IFERROR(__xludf.DUMMYFUNCTION("""COMPUTED_VALUE"""),43674)</f>
        <v>43674</v>
      </c>
      <c r="H133" s="36" t="str">
        <f ca="1">IFERROR(__xludf.DUMMYFUNCTION("""COMPUTED_VALUE"""),"Boniches")</f>
        <v>Boniches</v>
      </c>
      <c r="I133" s="36" t="str">
        <f ca="1">IFERROR(__xludf.DUMMYFUNCTION("""COMPUTED_VALUE"""),"Fuentes del Cabriel")</f>
        <v>Fuentes del Cabriel</v>
      </c>
      <c r="J133" s="36" t="str">
        <f ca="1">IFERROR(__xludf.DUMMYFUNCTION("""COMPUTED_VALUE"""),"16037A028001340000WU y 16037A028001460000WL")</f>
        <v>16037A028001340000WU y 16037A028001460000WL</v>
      </c>
      <c r="K133" s="36" t="str">
        <f ca="1">IFERROR(__xludf.DUMMYFUNCTION("""COMPUTED_VALUE"""),"39º57'55.4''N 1º36'30.2'' W")</f>
        <v>39º57'55.4''N 1º36'30.2'' W</v>
      </c>
      <c r="L133" s="36" t="str">
        <f ca="1">IFERROR(__xludf.DUMMYFUNCTION("""COMPUTED_VALUE"""),"Jesús Mayordomo Moreno")</f>
        <v>Jesús Mayordomo Moreno</v>
      </c>
      <c r="M133" s="36">
        <f ca="1">IFERROR(__xludf.DUMMYFUNCTION("""COMPUTED_VALUE"""),635864030)</f>
        <v>635864030</v>
      </c>
      <c r="N133" s="36" t="str">
        <f ca="1">IFERROR(__xludf.DUMMYFUNCTION("""COMPUTED_VALUE"""),"mmboniches@hotmail.com")</f>
        <v>mmboniches@hotmail.com</v>
      </c>
      <c r="O133" s="36" t="str">
        <f ca="1">IFERROR(__xludf.DUMMYFUNCTION("""COMPUTED_VALUE"""),"2900+IVA/quincena")</f>
        <v>2900+IVA/quincena</v>
      </c>
      <c r="P133" s="36" t="str">
        <f ca="1">IFERROR(__xludf.DUMMYFUNCTION("""COMPUTED_VALUE"""),"6189 m2")</f>
        <v>6189 m2</v>
      </c>
      <c r="Q133" s="36" t="str">
        <f ca="1">IFERROR(__xludf.DUMMYFUNCTION("""COMPUTED_VALUE"""),"REGULAR (Se puede acceder con un coche normal con dificultad)")</f>
        <v>REGULAR (Se puede acceder con un coche normal con dificultad)</v>
      </c>
      <c r="R133" s="36" t="str">
        <f ca="1">IFERROR(__xludf.DUMMYFUNCTION("""COMPUTED_VALUE"""),"Sí")</f>
        <v>Sí</v>
      </c>
      <c r="S133" s="36" t="str">
        <f ca="1">IFERROR(__xludf.DUMMYFUNCTION("""COMPUTED_VALUE"""),"1 km")</f>
        <v>1 km</v>
      </c>
      <c r="T133" s="36" t="str">
        <f ca="1">IFERROR(__xludf.DUMMYFUNCTION("""COMPUTED_VALUE"""),"Poza no muy grande ni muy profunda")</f>
        <v>Poza no muy grande ni muy profunda</v>
      </c>
      <c r="U133" s="36" t="str">
        <f ca="1">IFERROR(__xludf.DUMMYFUNCTION("""COMPUTED_VALUE"""),"Sí: albergue con 2 habitaciones, salón con chimenea,  cocina de butano,  4 servicios,  comedor exterior con toldo para 70-80 personas con mesas y sillas, fregaderos,  luz con placas solares, y grupo generador, agua potable de la red municipal")</f>
        <v>Sí: albergue con 2 habitaciones, salón con chimenea,  cocina de butano,  4 servicios,  comedor exterior con toldo para 70-80 personas con mesas y sillas, fregaderos,  luz con placas solares, y grupo generador, agua potable de la red municipal</v>
      </c>
      <c r="V133" s="36" t="str">
        <f ca="1">IFERROR(__xludf.DUMMYFUNCTION("""COMPUTED_VALUE"""),"Sí")</f>
        <v>Sí</v>
      </c>
      <c r="W133" s="36" t="str">
        <f ca="1">IFERROR(__xludf.DUMMYFUNCTION("""COMPUTED_VALUE"""),"Muy amplia con zonas de sombra.")</f>
        <v>Muy amplia con zonas de sombra.</v>
      </c>
      <c r="X133" s="36"/>
      <c r="Y133" s="36"/>
      <c r="Z133" s="36"/>
    </row>
    <row r="134" spans="1:26" ht="12.75" hidden="1">
      <c r="A134" s="36" t="str">
        <f ca="1">IFERROR(__xludf.DUMMYFUNCTION("""COMPUTED_VALUE"""),"Castilla-La Mancha")</f>
        <v>Castilla-La Mancha</v>
      </c>
      <c r="B134" s="36" t="str">
        <f ca="1">IFERROR(__xludf.DUMMYFUNCTION("""COMPUTED_VALUE"""),"Cuenca")</f>
        <v>Cuenca</v>
      </c>
      <c r="C134" s="36">
        <f ca="1">IFERROR(__xludf.DUMMYFUNCTION("""COMPUTED_VALUE"""),2015)</f>
        <v>2015</v>
      </c>
      <c r="D134" s="36" t="str">
        <f ca="1">IFERROR(__xludf.DUMMYFUNCTION("""COMPUTED_VALUE"""),"Orion")</f>
        <v>Orion</v>
      </c>
      <c r="E134" s="36" t="str">
        <f ca="1">IFERROR(__xludf.DUMMYFUNCTION("""COMPUTED_VALUE"""),"gs.orion@scoutsdemadrid.org ")</f>
        <v xml:space="preserve">gs.orion@scoutsdemadrid.org </v>
      </c>
      <c r="F134" s="48">
        <f ca="1">IFERROR(__xludf.DUMMYFUNCTION("""COMPUTED_VALUE"""),42203)</f>
        <v>42203</v>
      </c>
      <c r="G134" s="48">
        <f ca="1">IFERROR(__xludf.DUMMYFUNCTION("""COMPUTED_VALUE"""),42215)</f>
        <v>42215</v>
      </c>
      <c r="H134" s="36" t="str">
        <f ca="1">IFERROR(__xludf.DUMMYFUNCTION("""COMPUTED_VALUE"""),"Arcas")</f>
        <v>Arcas</v>
      </c>
      <c r="I134" s="36" t="str">
        <f ca="1">IFERROR(__xludf.DUMMYFUNCTION("""COMPUTED_VALUE"""),"Campamento Arcas")</f>
        <v>Campamento Arcas</v>
      </c>
      <c r="J134" s="36" t="str">
        <f ca="1">IFERROR(__xludf.DUMMYFUNCTION("""COMPUTED_VALUE"""),"")</f>
        <v/>
      </c>
      <c r="K134" s="36" t="str">
        <f ca="1">IFERROR(__xludf.DUMMYFUNCTION("""COMPUTED_VALUE"""),"")</f>
        <v/>
      </c>
      <c r="L134" s="36" t="str">
        <f ca="1">IFERROR(__xludf.DUMMYFUNCTION("""COMPUTED_VALUE"""),"")</f>
        <v/>
      </c>
      <c r="M134" s="36" t="str">
        <f ca="1">IFERROR(__xludf.DUMMYFUNCTION("""COMPUTED_VALUE"""),"")</f>
        <v/>
      </c>
      <c r="N134" s="36" t="str">
        <f ca="1">IFERROR(__xludf.DUMMYFUNCTION("""COMPUTED_VALUE"""),"")</f>
        <v/>
      </c>
      <c r="O134" s="36" t="str">
        <f ca="1">IFERROR(__xludf.DUMMYFUNCTION("""COMPUTED_VALUE"""),"")</f>
        <v/>
      </c>
      <c r="P134" s="36" t="str">
        <f ca="1">IFERROR(__xludf.DUMMYFUNCTION("""COMPUTED_VALUE"""),"")</f>
        <v/>
      </c>
      <c r="Q134" s="36" t="str">
        <f ca="1">IFERROR(__xludf.DUMMYFUNCTION("""COMPUTED_VALUE"""),"")</f>
        <v/>
      </c>
      <c r="R134" s="36" t="str">
        <f ca="1">IFERROR(__xludf.DUMMYFUNCTION("""COMPUTED_VALUE"""),"")</f>
        <v/>
      </c>
      <c r="S134" s="36" t="str">
        <f ca="1">IFERROR(__xludf.DUMMYFUNCTION("""COMPUTED_VALUE"""),"")</f>
        <v/>
      </c>
      <c r="T134" s="36" t="str">
        <f ca="1">IFERROR(__xludf.DUMMYFUNCTION("""COMPUTED_VALUE"""),"")</f>
        <v/>
      </c>
      <c r="U134" s="36" t="str">
        <f ca="1">IFERROR(__xludf.DUMMYFUNCTION("""COMPUTED_VALUE"""),"")</f>
        <v/>
      </c>
      <c r="V134" s="36" t="str">
        <f ca="1">IFERROR(__xludf.DUMMYFUNCTION("""COMPUTED_VALUE"""),"")</f>
        <v/>
      </c>
      <c r="W134" s="36" t="str">
        <f ca="1">IFERROR(__xludf.DUMMYFUNCTION("""COMPUTED_VALUE"""),"")</f>
        <v/>
      </c>
      <c r="X134" s="36"/>
      <c r="Y134" s="36"/>
      <c r="Z134" s="36"/>
    </row>
    <row r="135" spans="1:26" ht="12.75" hidden="1">
      <c r="A135" s="36" t="str">
        <f ca="1">IFERROR(__xludf.DUMMYFUNCTION("""COMPUTED_VALUE"""),"Castilla-La Mancha")</f>
        <v>Castilla-La Mancha</v>
      </c>
      <c r="B135" s="36" t="str">
        <f ca="1">IFERROR(__xludf.DUMMYFUNCTION("""COMPUTED_VALUE"""),"Guadalajara")</f>
        <v>Guadalajara</v>
      </c>
      <c r="C135" s="36">
        <f ca="1">IFERROR(__xludf.DUMMYFUNCTION("""COMPUTED_VALUE"""),2016)</f>
        <v>2016</v>
      </c>
      <c r="D135" s="36" t="str">
        <f ca="1">IFERROR(__xludf.DUMMYFUNCTION("""COMPUTED_VALUE"""),"Orión")</f>
        <v>Orión</v>
      </c>
      <c r="E135" s="36" t="str">
        <f ca="1">IFERROR(__xludf.DUMMYFUNCTION("""COMPUTED_VALUE"""),"gs.orion@scoutsdemadrid.org ")</f>
        <v xml:space="preserve">gs.orion@scoutsdemadrid.org </v>
      </c>
      <c r="F135" s="48">
        <f ca="1">IFERROR(__xludf.DUMMYFUNCTION("""COMPUTED_VALUE"""),42568)</f>
        <v>42568</v>
      </c>
      <c r="G135" s="48">
        <f ca="1">IFERROR(__xludf.DUMMYFUNCTION("""COMPUTED_VALUE"""),42581)</f>
        <v>42581</v>
      </c>
      <c r="H135" s="36" t="str">
        <f ca="1">IFERROR(__xludf.DUMMYFUNCTION("""COMPUTED_VALUE"""),"Luzaga")</f>
        <v>Luzaga</v>
      </c>
      <c r="I135" s="36" t="str">
        <f ca="1">IFERROR(__xludf.DUMMYFUNCTION("""COMPUTED_VALUE"""),"Campamento juvenil Luzaga")</f>
        <v>Campamento juvenil Luzaga</v>
      </c>
      <c r="J135" s="36" t="str">
        <f ca="1">IFERROR(__xludf.DUMMYFUNCTION("""COMPUTED_VALUE"""),"NS/NC")</f>
        <v>NS/NC</v>
      </c>
      <c r="K135" s="36" t="str">
        <f ca="1">IFERROR(__xludf.DUMMYFUNCTION("""COMPUTED_VALUE"""),"40º 59´ 12,59´´ N 2º 25´45,14´´ W")</f>
        <v>40º 59´ 12,59´´ N 2º 25´45,14´´ W</v>
      </c>
      <c r="L135" s="36" t="str">
        <f ca="1">IFERROR(__xludf.DUMMYFUNCTION("""COMPUTED_VALUE"""),"Fundación Scouts en Acción")</f>
        <v>Fundación Scouts en Acción</v>
      </c>
      <c r="M135" s="36">
        <f ca="1">IFERROR(__xludf.DUMMYFUNCTION("""COMPUTED_VALUE"""),637464385)</f>
        <v>637464385</v>
      </c>
      <c r="N135" s="36" t="str">
        <f ca="1">IFERROR(__xludf.DUMMYFUNCTION("""COMPUTED_VALUE"""),"fundacion@fsc-clm.org")</f>
        <v>fundacion@fsc-clm.org</v>
      </c>
      <c r="O135" s="36" t="str">
        <f ca="1">IFERROR(__xludf.DUMMYFUNCTION("""COMPUTED_VALUE"""),"4,40 € pax/noche")</f>
        <v>4,40 € pax/noche</v>
      </c>
      <c r="P135" s="36" t="str">
        <f ca="1">IFERROR(__xludf.DUMMYFUNCTION("""COMPUTED_VALUE"""),"NS/NC")</f>
        <v>NS/NC</v>
      </c>
      <c r="Q135" s="36" t="str">
        <f ca="1">IFERROR(__xludf.DUMMYFUNCTION("""COMPUTED_VALUE"""),"BUENO (Se puede acceder con cualquier coche)")</f>
        <v>BUENO (Se puede acceder con cualquier coche)</v>
      </c>
      <c r="R135" s="36" t="str">
        <f ca="1">IFERROR(__xludf.DUMMYFUNCTION("""COMPUTED_VALUE"""),"Sí")</f>
        <v>Sí</v>
      </c>
      <c r="S135" s="36">
        <f ca="1">IFERROR(__xludf.DUMMYFUNCTION("""COMPUTED_VALUE"""),0)</f>
        <v>0</v>
      </c>
      <c r="T135" s="36" t="str">
        <f ca="1">IFERROR(__xludf.DUMMYFUNCTION("""COMPUTED_VALUE"""),"Piscina")</f>
        <v>Piscina</v>
      </c>
      <c r="U135" s="36" t="str">
        <f ca="1">IFERROR(__xludf.DUMMYFUNCTION("""COMPUTED_VALUE"""),"Comedor, piscina, cocina, baños, duchas, fregaderos")</f>
        <v>Comedor, piscina, cocina, baños, duchas, fregaderos</v>
      </c>
      <c r="V135" s="36" t="str">
        <f ca="1">IFERROR(__xludf.DUMMYFUNCTION("""COMPUTED_VALUE"""),"NS/NC")</f>
        <v>NS/NC</v>
      </c>
      <c r="W135" s="36" t="str">
        <f ca="1">IFERROR(__xludf.DUMMYFUNCTION("""COMPUTED_VALUE"""),"")</f>
        <v/>
      </c>
      <c r="X135" s="36"/>
      <c r="Y135" s="36"/>
      <c r="Z135" s="36"/>
    </row>
    <row r="136" spans="1:26" ht="12.75" hidden="1">
      <c r="A136" s="36" t="str">
        <f ca="1">IFERROR(__xludf.DUMMYFUNCTION("""COMPUTED_VALUE"""),"Castilla-La Mancha")</f>
        <v>Castilla-La Mancha</v>
      </c>
      <c r="B136" s="36" t="str">
        <f ca="1">IFERROR(__xludf.DUMMYFUNCTION("""COMPUTED_VALUE"""),"Cuenca")</f>
        <v>Cuenca</v>
      </c>
      <c r="C136" s="36">
        <f ca="1">IFERROR(__xludf.DUMMYFUNCTION("""COMPUTED_VALUE"""),2019)</f>
        <v>2019</v>
      </c>
      <c r="D136" s="36" t="str">
        <f ca="1">IFERROR(__xludf.DUMMYFUNCTION("""COMPUTED_VALUE"""),"Orión")</f>
        <v>Orión</v>
      </c>
      <c r="E136" s="36" t="str">
        <f ca="1">IFERROR(__xludf.DUMMYFUNCTION("""COMPUTED_VALUE"""),"gs.orion@scoutsdemadrid.org ")</f>
        <v xml:space="preserve">gs.orion@scoutsdemadrid.org </v>
      </c>
      <c r="F136" s="48">
        <f ca="1">IFERROR(__xludf.DUMMYFUNCTION("""COMPUTED_VALUE"""),43662)</f>
        <v>43662</v>
      </c>
      <c r="G136" s="48">
        <f ca="1">IFERROR(__xludf.DUMMYFUNCTION("""COMPUTED_VALUE"""),43676)</f>
        <v>43676</v>
      </c>
      <c r="H136" s="36" t="str">
        <f ca="1">IFERROR(__xludf.DUMMYFUNCTION("""COMPUTED_VALUE"""),"Vega Del Codorno")</f>
        <v>Vega Del Codorno</v>
      </c>
      <c r="I136" s="36" t="str">
        <f ca="1">IFERROR(__xludf.DUMMYFUNCTION("""COMPUTED_VALUE"""),"Camping Río Cuervo")</f>
        <v>Camping Río Cuervo</v>
      </c>
      <c r="J136" s="36" t="str">
        <f ca="1">IFERROR(__xludf.DUMMYFUNCTION("""COMPUTED_VALUE"""),"AHAQJHJHDGYHDTGFY")</f>
        <v>AHAQJHJHDGYHDTGFY</v>
      </c>
      <c r="K136" s="36" t="str">
        <f ca="1">IFERROR(__xludf.DUMMYFUNCTION("""COMPUTED_VALUE"""),"40.450056, -1.954502")</f>
        <v>40.450056, -1.954502</v>
      </c>
      <c r="L136" s="36" t="str">
        <f ca="1">IFERROR(__xludf.DUMMYFUNCTION("""COMPUTED_VALUE"""),"Alfredo Castillejo González")</f>
        <v>Alfredo Castillejo González</v>
      </c>
      <c r="M136" s="36">
        <f ca="1">IFERROR(__xludf.DUMMYFUNCTION("""COMPUTED_VALUE"""),639828628)</f>
        <v>639828628</v>
      </c>
      <c r="N136" s="36" t="str">
        <f ca="1">IFERROR(__xludf.DUMMYFUNCTION("""COMPUTED_VALUE"""),"no tiene")</f>
        <v>no tiene</v>
      </c>
      <c r="O136" s="36" t="str">
        <f ca="1">IFERROR(__xludf.DUMMYFUNCTION("""COMPUTED_VALUE"""),"3 €/persona día")</f>
        <v>3 €/persona día</v>
      </c>
      <c r="P136" s="36" t="str">
        <f ca="1">IFERROR(__xludf.DUMMYFUNCTION("""COMPUTED_VALUE"""),"3 ha")</f>
        <v>3 ha</v>
      </c>
      <c r="Q136" s="36" t="str">
        <f ca="1">IFERROR(__xludf.DUMMYFUNCTION("""COMPUTED_VALUE"""),"BUENO (Se puede acceder con cualquier coche)")</f>
        <v>BUENO (Se puede acceder con cualquier coche)</v>
      </c>
      <c r="R136" s="36" t="str">
        <f ca="1">IFERROR(__xludf.DUMMYFUNCTION("""COMPUTED_VALUE"""),"Sí")</f>
        <v>Sí</v>
      </c>
      <c r="S136" s="36" t="str">
        <f ca="1">IFERROR(__xludf.DUMMYFUNCTION("""COMPUTED_VALUE"""),"2 km")</f>
        <v>2 km</v>
      </c>
      <c r="T136" s="36" t="str">
        <f ca="1">IFERROR(__xludf.DUMMYFUNCTION("""COMPUTED_VALUE"""),"Buena")</f>
        <v>Buena</v>
      </c>
      <c r="U136" s="36" t="str">
        <f ca="1">IFERROR(__xludf.DUMMYFUNCTION("""COMPUTED_VALUE"""),"Todas")</f>
        <v>Todas</v>
      </c>
      <c r="V136" s="36" t="str">
        <f ca="1">IFERROR(__xludf.DUMMYFUNCTION("""COMPUTED_VALUE"""),"Sí")</f>
        <v>Sí</v>
      </c>
      <c r="W136" s="36" t="str">
        <f ca="1">IFERROR(__xludf.DUMMYFUNCTION("""COMPUTED_VALUE"""),"Todo bien")</f>
        <v>Todo bien</v>
      </c>
      <c r="X136" s="36"/>
      <c r="Y136" s="36"/>
      <c r="Z136" s="36"/>
    </row>
    <row r="137" spans="1:26" ht="12.75" hidden="1">
      <c r="A137" s="36" t="str">
        <f ca="1">IFERROR(__xludf.DUMMYFUNCTION("""COMPUTED_VALUE"""),"Castilla-La Mancha")</f>
        <v>Castilla-La Mancha</v>
      </c>
      <c r="B137" s="36" t="str">
        <f ca="1">IFERROR(__xludf.DUMMYFUNCTION("""COMPUTED_VALUE"""),"Cuenca")</f>
        <v>Cuenca</v>
      </c>
      <c r="C137" s="36">
        <f ca="1">IFERROR(__xludf.DUMMYFUNCTION("""COMPUTED_VALUE"""),2019)</f>
        <v>2019</v>
      </c>
      <c r="D137" s="36" t="str">
        <f ca="1">IFERROR(__xludf.DUMMYFUNCTION("""COMPUTED_VALUE"""),"San Agustín")</f>
        <v>San Agustín</v>
      </c>
      <c r="E137" s="36" t="str">
        <f ca="1">IFERROR(__xludf.DUMMYFUNCTION("""COMPUTED_VALUE"""),"gs.sanagustin@scoutsdemadrid.org ")</f>
        <v xml:space="preserve">gs.sanagustin@scoutsdemadrid.org </v>
      </c>
      <c r="F137" s="48">
        <f ca="1">IFERROR(__xludf.DUMMYFUNCTION("""COMPUTED_VALUE"""),43640)</f>
        <v>43640</v>
      </c>
      <c r="G137" s="48">
        <f ca="1">IFERROR(__xludf.DUMMYFUNCTION("""COMPUTED_VALUE"""),43644)</f>
        <v>43644</v>
      </c>
      <c r="H137" s="36" t="str">
        <f ca="1">IFERROR(__xludf.DUMMYFUNCTION("""COMPUTED_VALUE"""),"Poyatos")</f>
        <v>Poyatos</v>
      </c>
      <c r="I137" s="36" t="str">
        <f ca="1">IFERROR(__xludf.DUMMYFUNCTION("""COMPUTED_VALUE"""),"Albergue paraje de tejadillos")</f>
        <v>Albergue paraje de tejadillos</v>
      </c>
      <c r="J137" s="36" t="str">
        <f ca="1">IFERROR(__xludf.DUMMYFUNCTION("""COMPUTED_VALUE"""),"desconocido")</f>
        <v>desconocido</v>
      </c>
      <c r="K137" s="36" t="str">
        <f ca="1">IFERROR(__xludf.DUMMYFUNCTION("""COMPUTED_VALUE"""),"desconocido")</f>
        <v>desconocido</v>
      </c>
      <c r="L137" s="36" t="str">
        <f ca="1">IFERROR(__xludf.DUMMYFUNCTION("""COMPUTED_VALUE"""),"Alberto Quilez")</f>
        <v>Alberto Quilez</v>
      </c>
      <c r="M137" s="36">
        <f ca="1">IFERROR(__xludf.DUMMYFUNCTION("""COMPUTED_VALUE"""),605897209)</f>
        <v>605897209</v>
      </c>
      <c r="N137" s="36" t="str">
        <f ca="1">IFERROR(__xludf.DUMMYFUNCTION("""COMPUTED_VALUE"""),"alberguetejadillos@gmail.com")</f>
        <v>alberguetejadillos@gmail.com</v>
      </c>
      <c r="O137" s="36" t="str">
        <f ca="1">IFERROR(__xludf.DUMMYFUNCTION("""COMPUTED_VALUE"""),"24 € persona /dia")</f>
        <v>24 € persona /dia</v>
      </c>
      <c r="P137" s="36" t="str">
        <f ca="1">IFERROR(__xludf.DUMMYFUNCTION("""COMPUTED_VALUE"""),"2 ha")</f>
        <v>2 ha</v>
      </c>
      <c r="Q137" s="36" t="str">
        <f ca="1">IFERROR(__xludf.DUMMYFUNCTION("""COMPUTED_VALUE"""),"BUENO (Se puede acceder con cualquier coche)")</f>
        <v>BUENO (Se puede acceder con cualquier coche)</v>
      </c>
      <c r="R137" s="36" t="str">
        <f ca="1">IFERROR(__xludf.DUMMYFUNCTION("""COMPUTED_VALUE"""),"Sí")</f>
        <v>Sí</v>
      </c>
      <c r="S137" s="36" t="str">
        <f ca="1">IFERROR(__xludf.DUMMYFUNCTION("""COMPUTED_VALUE"""),"100 metros")</f>
        <v>100 metros</v>
      </c>
      <c r="T137" s="36" t="str">
        <f ca="1">IFERROR(__xludf.DUMMYFUNCTION("""COMPUTED_VALUE"""),"rio escabas fresco y con aguas cristalinas")</f>
        <v>rio escabas fresco y con aguas cristalinas</v>
      </c>
      <c r="U137" s="36" t="str">
        <f ca="1">IFERROR(__xludf.DUMMYFUNCTION("""COMPUTED_VALUE"""),"si ,zona de acampada y albergue con ducha comedor salas")</f>
        <v>si ,zona de acampada y albergue con ducha comedor salas</v>
      </c>
      <c r="V137" s="36" t="str">
        <f ca="1">IFERROR(__xludf.DUMMYFUNCTION("""COMPUTED_VALUE"""),"si hay mucha madera cerca  gratis")</f>
        <v>si hay mucha madera cerca  gratis</v>
      </c>
      <c r="W137" s="36" t="str">
        <f ca="1">IFERROR(__xludf.DUMMYFUNCTION("""COMPUTED_VALUE"""),"Instalaciones nuevas , lugar con mucho bosque , y ríos cercano")</f>
        <v>Instalaciones nuevas , lugar con mucho bosque , y ríos cercano</v>
      </c>
      <c r="X137" s="36"/>
      <c r="Y137" s="36"/>
      <c r="Z137" s="36"/>
    </row>
    <row r="138" spans="1:26" ht="12.75" hidden="1">
      <c r="A138" s="36" t="str">
        <f ca="1">IFERROR(__xludf.DUMMYFUNCTION("""COMPUTED_VALUE"""),"Castilla-La Mancha")</f>
        <v>Castilla-La Mancha</v>
      </c>
      <c r="B138" s="36" t="str">
        <f ca="1">IFERROR(__xludf.DUMMYFUNCTION("""COMPUTED_VALUE"""),"Guadalajara")</f>
        <v>Guadalajara</v>
      </c>
      <c r="C138" s="36">
        <f ca="1">IFERROR(__xludf.DUMMYFUNCTION("""COMPUTED_VALUE"""),2018)</f>
        <v>2018</v>
      </c>
      <c r="D138" s="36" t="str">
        <f ca="1">IFERROR(__xludf.DUMMYFUNCTION("""COMPUTED_VALUE"""),"San Gabriel")</f>
        <v>San Gabriel</v>
      </c>
      <c r="E138" s="36" t="str">
        <f ca="1">IFERROR(__xludf.DUMMYFUNCTION("""COMPUTED_VALUE"""),"gs.sangabriel@scoutsdemadrid.org ")</f>
        <v xml:space="preserve">gs.sangabriel@scoutsdemadrid.org </v>
      </c>
      <c r="F138" s="48">
        <f ca="1">IFERROR(__xludf.DUMMYFUNCTION("""COMPUTED_VALUE"""),43301)</f>
        <v>43301</v>
      </c>
      <c r="G138" s="48">
        <f ca="1">IFERROR(__xludf.DUMMYFUNCTION("""COMPUTED_VALUE"""),43311)</f>
        <v>43311</v>
      </c>
      <c r="H138" s="36" t="str">
        <f ca="1">IFERROR(__xludf.DUMMYFUNCTION("""COMPUTED_VALUE"""),"Poveda De La Sierra")</f>
        <v>Poveda De La Sierra</v>
      </c>
      <c r="I138" s="36" t="str">
        <f ca="1">IFERROR(__xludf.DUMMYFUNCTION("""COMPUTED_VALUE"""),"Campamento AGUABUENA")</f>
        <v>Campamento AGUABUENA</v>
      </c>
      <c r="J138" s="36" t="str">
        <f ca="1">IFERROR(__xludf.DUMMYFUNCTION("""COMPUTED_VALUE"""),"2398202WK8929N0001HO")</f>
        <v>2398202WK8929N0001HO</v>
      </c>
      <c r="K138" s="36" t="str">
        <f ca="1">IFERROR(__xludf.DUMMYFUNCTION("""COMPUTED_VALUE"""),"40,672235 - -2,035936")</f>
        <v>40,672235 - -2,035936</v>
      </c>
      <c r="L138" s="36" t="str">
        <f ca="1">IFERROR(__xludf.DUMMYFUNCTION("""COMPUTED_VALUE"""),"Ayuntamiento de Poveda de la Sierra")</f>
        <v>Ayuntamiento de Poveda de la Sierra</v>
      </c>
      <c r="M138" s="36" t="str">
        <f ca="1">IFERROR(__xludf.DUMMYFUNCTION("""COMPUTED_VALUE"""),"949 23 65 16")</f>
        <v>949 23 65 16</v>
      </c>
      <c r="N138" s="36" t="str">
        <f ca="1">IFERROR(__xludf.DUMMYFUNCTION("""COMPUTED_VALUE"""),"secretaria@aytopoveda.es")</f>
        <v>secretaria@aytopoveda.es</v>
      </c>
      <c r="O138" s="36" t="str">
        <f ca="1">IFERROR(__xludf.DUMMYFUNCTION("""COMPUTED_VALUE"""),"2300 €/quincena")</f>
        <v>2300 €/quincena</v>
      </c>
      <c r="P138" s="36">
        <f ca="1">IFERROR(__xludf.DUMMYFUNCTION("""COMPUTED_VALUE"""),500)</f>
        <v>500</v>
      </c>
      <c r="Q138" s="36" t="str">
        <f ca="1">IFERROR(__xludf.DUMMYFUNCTION("""COMPUTED_VALUE"""),"BUENO (Se puede acceder con cualquier coche)")</f>
        <v>BUENO (Se puede acceder con cualquier coche)</v>
      </c>
      <c r="R138" s="36" t="str">
        <f ca="1">IFERROR(__xludf.DUMMYFUNCTION("""COMPUTED_VALUE"""),"Sí")</f>
        <v>Sí</v>
      </c>
      <c r="S138" s="36" t="str">
        <f ca="1">IFERROR(__xludf.DUMMYFUNCTION("""COMPUTED_VALUE"""),"500m")</f>
        <v>500m</v>
      </c>
      <c r="T138" s="36" t="str">
        <f ca="1">IFERROR(__xludf.DUMMYFUNCTION("""COMPUTED_VALUE"""),"Río Tajo: amplio y con zonas de balsa poco profundas")</f>
        <v>Río Tajo: amplio y con zonas de balsa poco profundas</v>
      </c>
      <c r="U138" s="36" t="str">
        <f ca="1">IFERROR(__xludf.DUMMYFUNCTION("""COMPUTED_VALUE"""),"Cocina, comedor, baños almacén")</f>
        <v>Cocina, comedor, baños almacén</v>
      </c>
      <c r="V138" s="36" t="str">
        <f ca="1">IFERROR(__xludf.DUMMYFUNCTION("""COMPUTED_VALUE"""),"Sí")</f>
        <v>Sí</v>
      </c>
      <c r="W138" s="36" t="str">
        <f ca="1">IFERROR(__xludf.DUMMYFUNCTION("""COMPUTED_VALUE"""),"Está rodeada de otros campamentos del ayuntamiento. Se encuentra dentro del parque natural del alto Tajo.")</f>
        <v>Está rodeada de otros campamentos del ayuntamiento. Se encuentra dentro del parque natural del alto Tajo.</v>
      </c>
      <c r="X138" s="36"/>
      <c r="Y138" s="36"/>
      <c r="Z138" s="36"/>
    </row>
    <row r="139" spans="1:26" ht="12.75" hidden="1">
      <c r="A139" s="36" t="str">
        <f ca="1">IFERROR(__xludf.DUMMYFUNCTION("""COMPUTED_VALUE"""),"Castilla-La Mancha")</f>
        <v>Castilla-La Mancha</v>
      </c>
      <c r="B139" s="36" t="str">
        <f ca="1">IFERROR(__xludf.DUMMYFUNCTION("""COMPUTED_VALUE"""),"Guadalajara")</f>
        <v>Guadalajara</v>
      </c>
      <c r="C139" s="36">
        <f ca="1">IFERROR(__xludf.DUMMYFUNCTION("""COMPUTED_VALUE"""),2019)</f>
        <v>2019</v>
      </c>
      <c r="D139" s="36" t="str">
        <f ca="1">IFERROR(__xludf.DUMMYFUNCTION("""COMPUTED_VALUE"""),"Santo Domingo")</f>
        <v>Santo Domingo</v>
      </c>
      <c r="E139" s="36" t="str">
        <f ca="1">IFERROR(__xludf.DUMMYFUNCTION("""COMPUTED_VALUE"""),"gs.santodomingo@scoutsdemadrid.org ")</f>
        <v xml:space="preserve">gs.santodomingo@scoutsdemadrid.org </v>
      </c>
      <c r="F139" s="48">
        <f ca="1">IFERROR(__xludf.DUMMYFUNCTION("""COMPUTED_VALUE"""),43658)</f>
        <v>43658</v>
      </c>
      <c r="G139" s="48">
        <f ca="1">IFERROR(__xludf.DUMMYFUNCTION("""COMPUTED_VALUE"""),43675)</f>
        <v>43675</v>
      </c>
      <c r="H139" s="36" t="str">
        <f ca="1">IFERROR(__xludf.DUMMYFUNCTION("""COMPUTED_VALUE"""),"Checa")</f>
        <v>Checa</v>
      </c>
      <c r="I139" s="36" t="str">
        <f ca="1">IFERROR(__xludf.DUMMYFUNCTION("""COMPUTED_VALUE"""),"Prado de la Becea")</f>
        <v>Prado de la Becea</v>
      </c>
      <c r="J139" s="36" t="str">
        <f ca="1">IFERROR(__xludf.DUMMYFUNCTION("""COMPUTED_VALUE"""),"023")</f>
        <v>023</v>
      </c>
      <c r="K139" s="36" t="str">
        <f ca="1">IFERROR(__xludf.DUMMYFUNCTION("""COMPUTED_VALUE"""),"x: 601,835,126 y: 4,495,664,13")</f>
        <v>x: 601,835,126 y: 4,495,664,13</v>
      </c>
      <c r="L139" s="36" t="str">
        <f ca="1">IFERROR(__xludf.DUMMYFUNCTION("""COMPUTED_VALUE"""),"Ayuntamiento de Checa")</f>
        <v>Ayuntamiento de Checa</v>
      </c>
      <c r="M139" s="36">
        <f ca="1">IFERROR(__xludf.DUMMYFUNCTION("""COMPUTED_VALUE"""),645782663)</f>
        <v>645782663</v>
      </c>
      <c r="N139" s="49" t="str">
        <f ca="1">IFERROR(__xludf.DUMMYFUNCTION("""COMPUTED_VALUE"""),"ayuntamientocheca42gmail.com")</f>
        <v>ayuntamientocheca42gmail.com</v>
      </c>
      <c r="O139" s="36" t="str">
        <f ca="1">IFERROR(__xludf.DUMMYFUNCTION("""COMPUTED_VALUE"""),"-")</f>
        <v>-</v>
      </c>
      <c r="P139" s="36" t="str">
        <f ca="1">IFERROR(__xludf.DUMMYFUNCTION("""COMPUTED_VALUE"""),"5 hectareas aprox")</f>
        <v>5 hectareas aprox</v>
      </c>
      <c r="Q139" s="36" t="str">
        <f ca="1">IFERROR(__xludf.DUMMYFUNCTION("""COMPUTED_VALUE"""),"BUENO (Se puede acceder con cualquier coche)")</f>
        <v>BUENO (Se puede acceder con cualquier coche)</v>
      </c>
      <c r="R139" s="36" t="str">
        <f ca="1">IFERROR(__xludf.DUMMYFUNCTION("""COMPUTED_VALUE"""),"Sí")</f>
        <v>Sí</v>
      </c>
      <c r="S139" s="36" t="str">
        <f ca="1">IFERROR(__xludf.DUMMYFUNCTION("""COMPUTED_VALUE"""),"800m")</f>
        <v>800m</v>
      </c>
      <c r="T139" s="36" t="str">
        <f ca="1">IFERROR(__xludf.DUMMYFUNCTION("""COMPUTED_VALUE"""),"pozas de rio")</f>
        <v>pozas de rio</v>
      </c>
      <c r="U139" s="36" t="str">
        <f ca="1">IFERROR(__xludf.DUMMYFUNCTION("""COMPUTED_VALUE"""),"no")</f>
        <v>no</v>
      </c>
      <c r="V139" s="36" t="str">
        <f ca="1">IFERROR(__xludf.DUMMYFUNCTION("""COMPUTED_VALUE"""),"si")</f>
        <v>si</v>
      </c>
      <c r="W139" s="36" t="str">
        <f ca="1">IFERROR(__xludf.DUMMYFUNCTION("""COMPUTED_VALUE"""),"muy adecuado")</f>
        <v>muy adecuado</v>
      </c>
      <c r="X139" s="36"/>
      <c r="Y139" s="36"/>
      <c r="Z139" s="36"/>
    </row>
    <row r="140" spans="1:26" ht="12.75" hidden="1">
      <c r="A140" s="36" t="str">
        <f ca="1">IFERROR(__xludf.DUMMYFUNCTION("""COMPUTED_VALUE"""),"Castilla-La Mancha")</f>
        <v>Castilla-La Mancha</v>
      </c>
      <c r="B140" s="36" t="str">
        <f ca="1">IFERROR(__xludf.DUMMYFUNCTION("""COMPUTED_VALUE"""),"Cuenca")</f>
        <v>Cuenca</v>
      </c>
      <c r="C140" s="36">
        <f ca="1">IFERROR(__xludf.DUMMYFUNCTION("""COMPUTED_VALUE"""),2018)</f>
        <v>2018</v>
      </c>
      <c r="D140" s="36" t="str">
        <f ca="1">IFERROR(__xludf.DUMMYFUNCTION("""COMPUTED_VALUE"""),"Tallac")</f>
        <v>Tallac</v>
      </c>
      <c r="E140" s="36" t="str">
        <f ca="1">IFERROR(__xludf.DUMMYFUNCTION("""COMPUTED_VALUE"""),"gs.tallac@scoutsdemadrid.org ")</f>
        <v xml:space="preserve">gs.tallac@scoutsdemadrid.org </v>
      </c>
      <c r="F140" s="48">
        <f ca="1">IFERROR(__xludf.DUMMYFUNCTION("""COMPUTED_VALUE"""),43282)</f>
        <v>43282</v>
      </c>
      <c r="G140" s="48">
        <f ca="1">IFERROR(__xludf.DUMMYFUNCTION("""COMPUTED_VALUE"""),43296)</f>
        <v>43296</v>
      </c>
      <c r="H140" s="36" t="str">
        <f ca="1">IFERROR(__xludf.DUMMYFUNCTION("""COMPUTED_VALUE"""),"Vega Del Codorno")</f>
        <v>Vega Del Codorno</v>
      </c>
      <c r="I140" s="36" t="str">
        <f ca="1">IFERROR(__xludf.DUMMYFUNCTION("""COMPUTED_VALUE"""),"Camping Río Cuervo")</f>
        <v>Camping Río Cuervo</v>
      </c>
      <c r="J140" s="36" t="str">
        <f ca="1">IFERROR(__xludf.DUMMYFUNCTION("""COMPUTED_VALUE"""),"no ")</f>
        <v xml:space="preserve">no </v>
      </c>
      <c r="K140" s="36" t="str">
        <f ca="1">IFERROR(__xludf.DUMMYFUNCTION("""COMPUTED_VALUE"""),"40.449666 - 1.955221")</f>
        <v>40.449666 - 1.955221</v>
      </c>
      <c r="L140" s="36" t="str">
        <f ca="1">IFERROR(__xludf.DUMMYFUNCTION("""COMPUTED_VALUE"""),"Camping Rio Cuervo - Alfred")</f>
        <v>Camping Rio Cuervo - Alfred</v>
      </c>
      <c r="M140" s="36">
        <f ca="1">IFERROR(__xludf.DUMMYFUNCTION("""COMPUTED_VALUE"""),639828628)</f>
        <v>639828628</v>
      </c>
      <c r="N140" s="36" t="str">
        <f ca="1">IFERROR(__xludf.DUMMYFUNCTION("""COMPUTED_VALUE"""),"no")</f>
        <v>no</v>
      </c>
      <c r="O140" s="54">
        <f ca="1">IFERROR(__xludf.DUMMYFUNCTION("""COMPUTED_VALUE"""),2500)</f>
        <v>2500</v>
      </c>
      <c r="P140" s="36" t="str">
        <f ca="1">IFERROR(__xludf.DUMMYFUNCTION("""COMPUTED_VALUE"""),"20 ha")</f>
        <v>20 ha</v>
      </c>
      <c r="Q140" s="36" t="str">
        <f ca="1">IFERROR(__xludf.DUMMYFUNCTION("""COMPUTED_VALUE"""),"BUENO (Se puede acceder con cualquier coche)")</f>
        <v>BUENO (Se puede acceder con cualquier coche)</v>
      </c>
      <c r="R140" s="36" t="str">
        <f ca="1">IFERROR(__xludf.DUMMYFUNCTION("""COMPUTED_VALUE"""),"Sí")</f>
        <v>Sí</v>
      </c>
      <c r="S140" s="36" t="str">
        <f ca="1">IFERROR(__xludf.DUMMYFUNCTION("""COMPUTED_VALUE"""),"500 metros")</f>
        <v>500 metros</v>
      </c>
      <c r="T140" s="36" t="str">
        <f ca="1">IFERROR(__xludf.DUMMYFUNCTION("""COMPUTED_VALUE"""),"Pozas muy buenas")</f>
        <v>Pozas muy buenas</v>
      </c>
      <c r="U140" s="36" t="str">
        <f ca="1">IFERROR(__xludf.DUMMYFUNCTION("""COMPUTED_VALUE"""),"Baños, duchas, cocina, comedor ")</f>
        <v xml:space="preserve">Baños, duchas, cocina, comedor </v>
      </c>
      <c r="V140" s="36" t="str">
        <f ca="1">IFERROR(__xludf.DUMMYFUNCTION("""COMPUTED_VALUE"""),"El dueño tiene palos para construcciones")</f>
        <v>El dueño tiene palos para construcciones</v>
      </c>
      <c r="W140" s="36" t="str">
        <f ca="1">IFERROR(__xludf.DUMMYFUNCTION("""COMPUTED_VALUE"""),"Lugar abandonado que vamos a intentar reconstruir. ")</f>
        <v xml:space="preserve">Lugar abandonado que vamos a intentar reconstruir. </v>
      </c>
      <c r="X140" s="36"/>
      <c r="Y140" s="36"/>
      <c r="Z140" s="36"/>
    </row>
    <row r="141" spans="1:26" ht="12.75" hidden="1">
      <c r="A141" s="36" t="str">
        <f ca="1">IFERROR(__xludf.DUMMYFUNCTION("""COMPUTED_VALUE"""),"Castilla-La Mancha")</f>
        <v>Castilla-La Mancha</v>
      </c>
      <c r="B141" s="36" t="str">
        <f ca="1">IFERROR(__xludf.DUMMYFUNCTION("""COMPUTED_VALUE"""),"Cuenca")</f>
        <v>Cuenca</v>
      </c>
      <c r="C141" s="36">
        <f ca="1">IFERROR(__xludf.DUMMYFUNCTION("""COMPUTED_VALUE"""),2016)</f>
        <v>2016</v>
      </c>
      <c r="D141" s="36" t="str">
        <f ca="1">IFERROR(__xludf.DUMMYFUNCTION("""COMPUTED_VALUE"""),"Ultreya")</f>
        <v>Ultreya</v>
      </c>
      <c r="E141" s="36" t="str">
        <f ca="1">IFERROR(__xludf.DUMMYFUNCTION("""COMPUTED_VALUE"""),"gs.ultreya@scoutsdemadrid.org ")</f>
        <v xml:space="preserve">gs.ultreya@scoutsdemadrid.org </v>
      </c>
      <c r="F141" s="48">
        <f ca="1">IFERROR(__xludf.DUMMYFUNCTION("""COMPUTED_VALUE"""),42553)</f>
        <v>42553</v>
      </c>
      <c r="G141" s="48">
        <f ca="1">IFERROR(__xludf.DUMMYFUNCTION("""COMPUTED_VALUE"""),42561)</f>
        <v>42561</v>
      </c>
      <c r="H141" s="36" t="str">
        <f ca="1">IFERROR(__xludf.DUMMYFUNCTION("""COMPUTED_VALUE"""),"Uña")</f>
        <v>Uña</v>
      </c>
      <c r="I141" s="36" t="str">
        <f ca="1">IFERROR(__xludf.DUMMYFUNCTION("""COMPUTED_VALUE"""),"ALBERGUE LA CAÑADILLA")</f>
        <v>ALBERGUE LA CAÑADILLA</v>
      </c>
      <c r="J141" s="36" t="str">
        <f ca="1">IFERROR(__xludf.DUMMYFUNCTION("""COMPUTED_VALUE"""),"")</f>
        <v/>
      </c>
      <c r="K141" s="36" t="str">
        <f ca="1">IFERROR(__xludf.DUMMYFUNCTION("""COMPUTED_VALUE"""),"40°13'16.1""N 1°58'31.4""W")</f>
        <v>40°13'16.1"N 1°58'31.4"W</v>
      </c>
      <c r="L141" s="36" t="str">
        <f ca="1">IFERROR(__xludf.DUMMYFUNCTION("""COMPUTED_VALUE"""),"UÑAVENTURA")</f>
        <v>UÑAVENTURA</v>
      </c>
      <c r="M141" s="36" t="str">
        <f ca="1">IFERROR(__xludf.DUMMYFUNCTION("""COMPUTED_VALUE"""),"")</f>
        <v/>
      </c>
      <c r="N141" s="36" t="str">
        <f ca="1">IFERROR(__xludf.DUMMYFUNCTION("""COMPUTED_VALUE"""),"")</f>
        <v/>
      </c>
      <c r="O141" s="36" t="str">
        <f ca="1">IFERROR(__xludf.DUMMYFUNCTION("""COMPUTED_VALUE"""),"")</f>
        <v/>
      </c>
      <c r="P141" s="36" t="str">
        <f ca="1">IFERROR(__xludf.DUMMYFUNCTION("""COMPUTED_VALUE"""),"")</f>
        <v/>
      </c>
      <c r="Q141" s="36" t="str">
        <f ca="1">IFERROR(__xludf.DUMMYFUNCTION("""COMPUTED_VALUE"""),"")</f>
        <v/>
      </c>
      <c r="R141" s="36" t="str">
        <f ca="1">IFERROR(__xludf.DUMMYFUNCTION("""COMPUTED_VALUE"""),"")</f>
        <v/>
      </c>
      <c r="S141" s="36" t="str">
        <f ca="1">IFERROR(__xludf.DUMMYFUNCTION("""COMPUTED_VALUE"""),"")</f>
        <v/>
      </c>
      <c r="T141" s="36" t="str">
        <f ca="1">IFERROR(__xludf.DUMMYFUNCTION("""COMPUTED_VALUE"""),"")</f>
        <v/>
      </c>
      <c r="U141" s="36" t="str">
        <f ca="1">IFERROR(__xludf.DUMMYFUNCTION("""COMPUTED_VALUE"""),"")</f>
        <v/>
      </c>
      <c r="V141" s="36" t="str">
        <f ca="1">IFERROR(__xludf.DUMMYFUNCTION("""COMPUTED_VALUE"""),"")</f>
        <v/>
      </c>
      <c r="W141" s="36" t="str">
        <f ca="1">IFERROR(__xludf.DUMMYFUNCTION("""COMPUTED_VALUE"""),"")</f>
        <v/>
      </c>
      <c r="X141" s="36"/>
      <c r="Y141" s="36"/>
      <c r="Z141" s="36"/>
    </row>
    <row r="142" spans="1:26" ht="12.75" hidden="1">
      <c r="A142" s="36" t="str">
        <f ca="1">IFERROR(__xludf.DUMMYFUNCTION("""COMPUTED_VALUE"""),"Cataluña")</f>
        <v>Cataluña</v>
      </c>
      <c r="B142" s="36" t="str">
        <f ca="1">IFERROR(__xludf.DUMMYFUNCTION("""COMPUTED_VALUE"""),"Lleida")</f>
        <v>Lleida</v>
      </c>
      <c r="C142" s="36">
        <f ca="1">IFERROR(__xludf.DUMMYFUNCTION("""COMPUTED_VALUE"""),2019)</f>
        <v>2019</v>
      </c>
      <c r="D142" s="36" t="str">
        <f ca="1">IFERROR(__xludf.DUMMYFUNCTION("""COMPUTED_VALUE"""),"San Jorge")</f>
        <v>San Jorge</v>
      </c>
      <c r="E142" s="36" t="str">
        <f ca="1">IFERROR(__xludf.DUMMYFUNCTION("""COMPUTED_VALUE"""),"gs.sanjorge@scoutsdemadrid.org")</f>
        <v>gs.sanjorge@scoutsdemadrid.org</v>
      </c>
      <c r="F142" s="48">
        <f ca="1">IFERROR(__xludf.DUMMYFUNCTION("""COMPUTED_VALUE"""),43659)</f>
        <v>43659</v>
      </c>
      <c r="G142" s="48">
        <f ca="1">IFERROR(__xludf.DUMMYFUNCTION("""COMPUTED_VALUE"""),43677)</f>
        <v>43677</v>
      </c>
      <c r="H142" s="36" t="str">
        <f ca="1">IFERROR(__xludf.DUMMYFUNCTION("""COMPUTED_VALUE"""),"Cerbi")</f>
        <v>Cerbi</v>
      </c>
      <c r="I142" s="36" t="str">
        <f ca="1">IFERROR(__xludf.DUMMYFUNCTION("""COMPUTED_VALUE"""),"Artoballa")</f>
        <v>Artoballa</v>
      </c>
      <c r="J142" s="36" t="str">
        <f ca="1">IFERROR(__xludf.DUMMYFUNCTION("""COMPUTED_VALUE"""),"no se")</f>
        <v>no se</v>
      </c>
      <c r="K142" s="36" t="str">
        <f ca="1">IFERROR(__xludf.DUMMYFUNCTION("""COMPUTED_VALUE"""),"E 348609, N 4723247")</f>
        <v>E 348609, N 4723247</v>
      </c>
      <c r="L142" s="36" t="str">
        <f ca="1">IFERROR(__xludf.DUMMYFUNCTION("""COMPUTED_VALUE"""),"Palmira Gabernet")</f>
        <v>Palmira Gabernet</v>
      </c>
      <c r="M142" s="36">
        <f ca="1">IFERROR(__xludf.DUMMYFUNCTION("""COMPUTED_VALUE"""),649339377)</f>
        <v>649339377</v>
      </c>
      <c r="N142" s="36" t="str">
        <f ca="1">IFERROR(__xludf.DUMMYFUNCTION("""COMPUTED_VALUE"""),"palmiragabernet@gmail.com")</f>
        <v>palmiragabernet@gmail.com</v>
      </c>
      <c r="O142" s="36">
        <f ca="1">IFERROR(__xludf.DUMMYFUNCTION("""COMPUTED_VALUE"""),2700)</f>
        <v>2700</v>
      </c>
      <c r="P142" s="36" t="str">
        <f ca="1">IFERROR(__xludf.DUMMYFUNCTION("""COMPUTED_VALUE"""),"13 500m²")</f>
        <v>13 500m²</v>
      </c>
      <c r="Q142" s="36" t="str">
        <f ca="1">IFERROR(__xludf.DUMMYFUNCTION("""COMPUTED_VALUE"""),"REGULAR (Se puede acceder con un coche normal con dificultad)")</f>
        <v>REGULAR (Se puede acceder con un coche normal con dificultad)</v>
      </c>
      <c r="R142" s="36" t="str">
        <f ca="1">IFERROR(__xludf.DUMMYFUNCTION("""COMPUTED_VALUE"""),"Sí")</f>
        <v>Sí</v>
      </c>
      <c r="S142" s="36" t="str">
        <f ca="1">IFERROR(__xludf.DUMMYFUNCTION("""COMPUTED_VALUE"""),"500 A 1000 metros")</f>
        <v>500 A 1000 metros</v>
      </c>
      <c r="T142" s="36" t="str">
        <f ca="1">IFERROR(__xludf.DUMMYFUNCTION("""COMPUTED_VALUE"""),"regular")</f>
        <v>regular</v>
      </c>
      <c r="U142" s="36" t="str">
        <f ca="1">IFERROR(__xludf.DUMMYFUNCTION("""COMPUTED_VALUE"""),"WC SECO")</f>
        <v>WC SECO</v>
      </c>
      <c r="V142" s="36" t="str">
        <f ca="1">IFERROR(__xludf.DUMMYFUNCTION("""COMPUTED_VALUE"""),"SI")</f>
        <v>SI</v>
      </c>
      <c r="W142" s="36" t="str">
        <f ca="1">IFERROR(__xludf.DUMMYFUNCTION("""COMPUTED_VALUE"""),"normal")</f>
        <v>normal</v>
      </c>
      <c r="X142" s="36"/>
      <c r="Y142" s="36"/>
      <c r="Z142" s="36"/>
    </row>
    <row r="143" spans="1:26" ht="12.75" hidden="1">
      <c r="A143" s="36" t="str">
        <f ca="1">IFERROR(__xludf.DUMMYFUNCTION("""COMPUTED_VALUE"""),"Extremadura")</f>
        <v>Extremadura</v>
      </c>
      <c r="B143" s="36" t="str">
        <f ca="1">IFERROR(__xludf.DUMMYFUNCTION("""COMPUTED_VALUE"""),"Cáceres")</f>
        <v>Cáceres</v>
      </c>
      <c r="C143" s="36">
        <f ca="1">IFERROR(__xludf.DUMMYFUNCTION("""COMPUTED_VALUE"""),2015)</f>
        <v>2015</v>
      </c>
      <c r="D143" s="36" t="str">
        <f ca="1">IFERROR(__xludf.DUMMYFUNCTION("""COMPUTED_VALUE"""),"Fátima")</f>
        <v>Fátima</v>
      </c>
      <c r="E143" s="36" t="str">
        <f ca="1">IFERROR(__xludf.DUMMYFUNCTION("""COMPUTED_VALUE"""),"gs.fatima@scoutsdemadrid.org ")</f>
        <v xml:space="preserve">gs.fatima@scoutsdemadrid.org </v>
      </c>
      <c r="F143" s="48">
        <f ca="1">IFERROR(__xludf.DUMMYFUNCTION("""COMPUTED_VALUE"""),42188)</f>
        <v>42188</v>
      </c>
      <c r="G143" s="48">
        <f ca="1">IFERROR(__xludf.DUMMYFUNCTION("""COMPUTED_VALUE"""),42200)</f>
        <v>42200</v>
      </c>
      <c r="H143" s="36" t="str">
        <f ca="1">IFERROR(__xludf.DUMMYFUNCTION("""COMPUTED_VALUE"""),"Piornal")</f>
        <v>Piornal</v>
      </c>
      <c r="I143" s="36" t="str">
        <f ca="1">IFERROR(__xludf.DUMMYFUNCTION("""COMPUTED_VALUE"""),"Piornal (la ermita)")</f>
        <v>Piornal (la ermita)</v>
      </c>
      <c r="J143" s="36" t="str">
        <f ca="1">IFERROR(__xludf.DUMMYFUNCTION("""COMPUTED_VALUE"""),"")</f>
        <v/>
      </c>
      <c r="K143" s="36" t="str">
        <f ca="1">IFERROR(__xludf.DUMMYFUNCTION("""COMPUTED_VALUE"""),"")</f>
        <v/>
      </c>
      <c r="L143" s="36" t="str">
        <f ca="1">IFERROR(__xludf.DUMMYFUNCTION("""COMPUTED_VALUE"""),"")</f>
        <v/>
      </c>
      <c r="M143" s="36" t="str">
        <f ca="1">IFERROR(__xludf.DUMMYFUNCTION("""COMPUTED_VALUE"""),"")</f>
        <v/>
      </c>
      <c r="N143" s="36" t="str">
        <f ca="1">IFERROR(__xludf.DUMMYFUNCTION("""COMPUTED_VALUE"""),"")</f>
        <v/>
      </c>
      <c r="O143" s="36" t="str">
        <f ca="1">IFERROR(__xludf.DUMMYFUNCTION("""COMPUTED_VALUE"""),"")</f>
        <v/>
      </c>
      <c r="P143" s="36" t="str">
        <f ca="1">IFERROR(__xludf.DUMMYFUNCTION("""COMPUTED_VALUE"""),"")</f>
        <v/>
      </c>
      <c r="Q143" s="36" t="str">
        <f ca="1">IFERROR(__xludf.DUMMYFUNCTION("""COMPUTED_VALUE"""),"")</f>
        <v/>
      </c>
      <c r="R143" s="36" t="str">
        <f ca="1">IFERROR(__xludf.DUMMYFUNCTION("""COMPUTED_VALUE"""),"")</f>
        <v/>
      </c>
      <c r="S143" s="36" t="str">
        <f ca="1">IFERROR(__xludf.DUMMYFUNCTION("""COMPUTED_VALUE"""),"")</f>
        <v/>
      </c>
      <c r="T143" s="36" t="str">
        <f ca="1">IFERROR(__xludf.DUMMYFUNCTION("""COMPUTED_VALUE"""),"")</f>
        <v/>
      </c>
      <c r="U143" s="36" t="str">
        <f ca="1">IFERROR(__xludf.DUMMYFUNCTION("""COMPUTED_VALUE"""),"")</f>
        <v/>
      </c>
      <c r="V143" s="36" t="str">
        <f ca="1">IFERROR(__xludf.DUMMYFUNCTION("""COMPUTED_VALUE"""),"")</f>
        <v/>
      </c>
      <c r="W143" s="36" t="str">
        <f ca="1">IFERROR(__xludf.DUMMYFUNCTION("""COMPUTED_VALUE"""),"")</f>
        <v/>
      </c>
      <c r="X143" s="36"/>
      <c r="Y143" s="36"/>
      <c r="Z143" s="36"/>
    </row>
    <row r="144" spans="1:26" ht="12.75" hidden="1">
      <c r="A144" s="36" t="str">
        <f ca="1">IFERROR(__xludf.DUMMYFUNCTION("""COMPUTED_VALUE"""),"Extremadura")</f>
        <v>Extremadura</v>
      </c>
      <c r="B144" s="36" t="str">
        <f ca="1">IFERROR(__xludf.DUMMYFUNCTION("""COMPUTED_VALUE"""),"Cáceres")</f>
        <v>Cáceres</v>
      </c>
      <c r="C144" s="36">
        <f ca="1">IFERROR(__xludf.DUMMYFUNCTION("""COMPUTED_VALUE"""),2019)</f>
        <v>2019</v>
      </c>
      <c r="D144" s="36" t="str">
        <f ca="1">IFERROR(__xludf.DUMMYFUNCTION("""COMPUTED_VALUE"""),"Vedruna")</f>
        <v>Vedruna</v>
      </c>
      <c r="E144" s="36" t="str">
        <f ca="1">IFERROR(__xludf.DUMMYFUNCTION("""COMPUTED_VALUE"""),"gs.vedruna@scoutsdemadrid.org")</f>
        <v>gs.vedruna@scoutsdemadrid.org</v>
      </c>
      <c r="F144" s="48">
        <f ca="1">IFERROR(__xludf.DUMMYFUNCTION("""COMPUTED_VALUE"""),43647)</f>
        <v>43647</v>
      </c>
      <c r="G144" s="48">
        <f ca="1">IFERROR(__xludf.DUMMYFUNCTION("""COMPUTED_VALUE"""),43660)</f>
        <v>43660</v>
      </c>
      <c r="H144" s="36" t="str">
        <f ca="1">IFERROR(__xludf.DUMMYFUNCTION("""COMPUTED_VALUE"""),"Piornal")</f>
        <v>Piornal</v>
      </c>
      <c r="I144" s="36" t="str">
        <f ca="1">IFERROR(__xludf.DUMMYFUNCTION("""COMPUTED_VALUE"""),"Campamento Peña Negra Piornal Valle del Jerte")</f>
        <v>Campamento Peña Negra Piornal Valle del Jerte</v>
      </c>
      <c r="J144" s="36" t="str">
        <f ca="1">IFERROR(__xludf.DUMMYFUNCTION("""COMPUTED_VALUE"""),"10150A00300576")</f>
        <v>10150A00300576</v>
      </c>
      <c r="K144" s="49" t="str">
        <f ca="1">IFERROR(__xludf.DUMMYFUNCTION("""COMPUTED_VALUE"""),"https://www.google.com/maps/place/Campamento+Pe%C3%B1a+Negra+Piornal+Valle+del+Jerte/@40.1198892,-5.8320074,274m/data=!3m1!1e3!4m13!1m7!3m6!1s0xd3e36f986235c13:0xed87a1ddaa04f7cb!2s10615+Piornal,+C%C3%A1ceres!3b1!8m2!3d40.1164877!4d-5.8471434!3m4!1s0xd3e3"&amp;"7317e7923b9:0x56703321a10940d0!8m2!3d40.1199673!4d-5.8311908")</f>
        <v>https://www.google.com/maps/place/Campamento+Pe%C3%B1a+Negra+Piornal+Valle+del+Jerte/@40.1198892,-5.8320074,274m/data=!3m1!1e3!4m13!1m7!3m6!1s0xd3e36f986235c13:0xed87a1ddaa04f7cb!2s10615+Piornal,+C%C3%A1ceres!3b1!8m2!3d40.1164877!4d-5.8471434!3m4!1s0xd3e37317e7923b9:0x56703321a10940d0!8m2!3d40.1199673!4d-5.8311908</v>
      </c>
      <c r="L144" s="36" t="str">
        <f ca="1">IFERROR(__xludf.DUMMYFUNCTION("""COMPUTED_VALUE"""),"Jorge Rojo Ramos/ Gekco Turismo activo y formacion")</f>
        <v>Jorge Rojo Ramos/ Gekco Turismo activo y formacion</v>
      </c>
      <c r="M144" s="36">
        <f ca="1">IFERROR(__xludf.DUMMYFUNCTION("""COMPUTED_VALUE"""),661093233)</f>
        <v>661093233</v>
      </c>
      <c r="N144" s="36" t="str">
        <f ca="1">IFERROR(__xludf.DUMMYFUNCTION("""COMPUTED_VALUE"""),"info@aventurajerte.es")</f>
        <v>info@aventurajerte.es</v>
      </c>
      <c r="O144" s="36">
        <f ca="1">IFERROR(__xludf.DUMMYFUNCTION("""COMPUTED_VALUE"""),235)</f>
        <v>235</v>
      </c>
      <c r="P144" s="36" t="str">
        <f ca="1">IFERROR(__xludf.DUMMYFUNCTION("""COMPUTED_VALUE"""),"15.763 m2")</f>
        <v>15.763 m2</v>
      </c>
      <c r="Q144" s="36" t="str">
        <f ca="1">IFERROR(__xludf.DUMMYFUNCTION("""COMPUTED_VALUE"""),"BUENO (Se puede acceder con cualquier coche)")</f>
        <v>BUENO (Se puede acceder con cualquier coche)</v>
      </c>
      <c r="R144" s="36" t="str">
        <f ca="1">IFERROR(__xludf.DUMMYFUNCTION("""COMPUTED_VALUE"""),"Sí")</f>
        <v>Sí</v>
      </c>
      <c r="S144" s="36" t="str">
        <f ca="1">IFERROR(__xludf.DUMMYFUNCTION("""COMPUTED_VALUE"""),"Dentro del campamento")</f>
        <v>Dentro del campamento</v>
      </c>
      <c r="T144" s="36" t="str">
        <f ca="1">IFERROR(__xludf.DUMMYFUNCTION("""COMPUTED_VALUE"""),"Tiene una pequeña piscina en el interior del campamento, vallado para evitar caidas")</f>
        <v>Tiene una pequeña piscina en el interior del campamento, vallado para evitar caidas</v>
      </c>
      <c r="U144" s="36" t="str">
        <f ca="1">IFERROR(__xludf.DUMMYFUNCTION("""COMPUTED_VALUE"""),"Cocina, baños, comedor techado y cerrado, dos habitaciones con literas que se usaran para guardar el material")</f>
        <v>Cocina, baños, comedor techado y cerrado, dos habitaciones con literas que se usaran para guardar el material</v>
      </c>
      <c r="V144" s="36" t="str">
        <f ca="1">IFERROR(__xludf.DUMMYFUNCTION("""COMPUTED_VALUE"""),"Se desconoce")</f>
        <v>Se desconoce</v>
      </c>
      <c r="W144" s="36" t="str">
        <f ca="1">IFERROR(__xludf.DUMMYFUNCTION("""COMPUTED_VALUE"""),"La campa no es muy grande pero si tiene zonas de sombra y zona para montar tiendas de campaña, baños separados con duchas. Ademas de una edificacion con barbacoas y fregadderos")</f>
        <v>La campa no es muy grande pero si tiene zonas de sombra y zona para montar tiendas de campaña, baños separados con duchas. Ademas de una edificacion con barbacoas y fregadderos</v>
      </c>
      <c r="X144" s="36"/>
      <c r="Y144" s="36"/>
      <c r="Z144" s="36"/>
    </row>
    <row r="145" spans="1:26" ht="12.75" hidden="1">
      <c r="A145" s="36" t="str">
        <f ca="1">IFERROR(__xludf.DUMMYFUNCTION("""COMPUTED_VALUE"""),"Pais Vasco")</f>
        <v>Pais Vasco</v>
      </c>
      <c r="B145" s="36" t="str">
        <f ca="1">IFERROR(__xludf.DUMMYFUNCTION("""COMPUTED_VALUE"""),"Vizcaya")</f>
        <v>Vizcaya</v>
      </c>
      <c r="C145" s="36">
        <f ca="1">IFERROR(__xludf.DUMMYFUNCTION("""COMPUTED_VALUE"""),2017)</f>
        <v>2017</v>
      </c>
      <c r="D145" s="36" t="str">
        <f ca="1">IFERROR(__xludf.DUMMYFUNCTION("""COMPUTED_VALUE"""),"San Jorge")</f>
        <v>San Jorge</v>
      </c>
      <c r="E145" s="36" t="str">
        <f ca="1">IFERROR(__xludf.DUMMYFUNCTION("""COMPUTED_VALUE"""),"gs.sanjorge@scoutsdemadrid.org ")</f>
        <v xml:space="preserve">gs.sanjorge@scoutsdemadrid.org </v>
      </c>
      <c r="F145" s="48">
        <f ca="1">IFERROR(__xludf.DUMMYFUNCTION("""COMPUTED_VALUE"""),42931)</f>
        <v>42931</v>
      </c>
      <c r="G145" s="48">
        <f ca="1">IFERROR(__xludf.DUMMYFUNCTION("""COMPUTED_VALUE"""),42938)</f>
        <v>42938</v>
      </c>
      <c r="H145" s="36" t="str">
        <f ca="1">IFERROR(__xludf.DUMMYFUNCTION("""COMPUTED_VALUE"""),"Lanestosa")</f>
        <v>Lanestosa</v>
      </c>
      <c r="I145" s="36" t="str">
        <f ca="1">IFERROR(__xludf.DUMMYFUNCTION("""COMPUTED_VALUE"""),"")</f>
        <v/>
      </c>
      <c r="J145" s="36" t="str">
        <f ca="1">IFERROR(__xludf.DUMMYFUNCTION("""COMPUTED_VALUE"""),"")</f>
        <v/>
      </c>
      <c r="K145" s="36" t="str">
        <f ca="1">IFERROR(__xludf.DUMMYFUNCTION("""COMPUTED_VALUE"""),"")</f>
        <v/>
      </c>
      <c r="L145" s="36" t="str">
        <f ca="1">IFERROR(__xludf.DUMMYFUNCTION("""COMPUTED_VALUE"""),"Jose Angel Ranero Santisteban")</f>
        <v>Jose Angel Ranero Santisteban</v>
      </c>
      <c r="M145" s="36" t="str">
        <f ca="1">IFERROR(__xludf.DUMMYFUNCTION("""COMPUTED_VALUE"""),"")</f>
        <v/>
      </c>
      <c r="N145" s="36" t="str">
        <f ca="1">IFERROR(__xludf.DUMMYFUNCTION("""COMPUTED_VALUE"""),"")</f>
        <v/>
      </c>
      <c r="O145" s="36" t="str">
        <f ca="1">IFERROR(__xludf.DUMMYFUNCTION("""COMPUTED_VALUE"""),"")</f>
        <v/>
      </c>
      <c r="P145" s="36" t="str">
        <f ca="1">IFERROR(__xludf.DUMMYFUNCTION("""COMPUTED_VALUE"""),"")</f>
        <v/>
      </c>
      <c r="Q145" s="36" t="str">
        <f ca="1">IFERROR(__xludf.DUMMYFUNCTION("""COMPUTED_VALUE"""),"BUENO (Se puede acceder con cualquier coche)")</f>
        <v>BUENO (Se puede acceder con cualquier coche)</v>
      </c>
      <c r="R145" s="36" t="str">
        <f ca="1">IFERROR(__xludf.DUMMYFUNCTION("""COMPUTED_VALUE"""),"Sí")</f>
        <v>Sí</v>
      </c>
      <c r="S145" s="36" t="str">
        <f ca="1">IFERROR(__xludf.DUMMYFUNCTION("""COMPUTED_VALUE"""),"")</f>
        <v/>
      </c>
      <c r="T145" s="36" t="str">
        <f ca="1">IFERROR(__xludf.DUMMYFUNCTION("""COMPUTED_VALUE"""),"")</f>
        <v/>
      </c>
      <c r="U145" s="36" t="str">
        <f ca="1">IFERROR(__xludf.DUMMYFUNCTION("""COMPUTED_VALUE"""),"")</f>
        <v/>
      </c>
      <c r="V145" s="36" t="str">
        <f ca="1">IFERROR(__xludf.DUMMYFUNCTION("""COMPUTED_VALUE"""),"")</f>
        <v/>
      </c>
      <c r="W145" s="36" t="str">
        <f ca="1">IFERROR(__xludf.DUMMYFUNCTION("""COMPUTED_VALUE"""),"")</f>
        <v/>
      </c>
      <c r="X145" s="36"/>
      <c r="Y145" s="36"/>
      <c r="Z145" s="36"/>
    </row>
    <row r="146" spans="1:26" ht="12.75" hidden="1">
      <c r="A146" s="36" t="str">
        <f ca="1">IFERROR(__xludf.DUMMYFUNCTION("""COMPUTED_VALUE"""),"Pais Vasco")</f>
        <v>Pais Vasco</v>
      </c>
      <c r="B146" s="36" t="str">
        <f ca="1">IFERROR(__xludf.DUMMYFUNCTION("""COMPUTED_VALUE"""),"Álava")</f>
        <v>Álava</v>
      </c>
      <c r="C146" s="36">
        <f ca="1">IFERROR(__xludf.DUMMYFUNCTION("""COMPUTED_VALUE"""),2012)</f>
        <v>2012</v>
      </c>
      <c r="D146" s="36" t="str">
        <f ca="1">IFERROR(__xludf.DUMMYFUNCTION("""COMPUTED_VALUE"""),"Lince")</f>
        <v>Lince</v>
      </c>
      <c r="E146" s="36" t="str">
        <f ca="1">IFERROR(__xludf.DUMMYFUNCTION("""COMPUTED_VALUE"""),"gs.lince@scoutsdemadrid.org ")</f>
        <v xml:space="preserve">gs.lince@scoutsdemadrid.org </v>
      </c>
      <c r="F146" s="48">
        <f ca="1">IFERROR(__xludf.DUMMYFUNCTION("""COMPUTED_VALUE"""),41106)</f>
        <v>41106</v>
      </c>
      <c r="G146" s="48">
        <f ca="1">IFERROR(__xludf.DUMMYFUNCTION("""COMPUTED_VALUE"""),41120)</f>
        <v>41120</v>
      </c>
      <c r="H146" s="36" t="str">
        <f ca="1">IFERROR(__xludf.DUMMYFUNCTION("""COMPUTED_VALUE"""),"Lantarón")</f>
        <v>Lantarón</v>
      </c>
      <c r="I146" s="36" t="str">
        <f ca="1">IFERROR(__xludf.DUMMYFUNCTION("""COMPUTED_VALUE"""),"El encinar - Fontecha")</f>
        <v>El encinar - Fontecha</v>
      </c>
      <c r="J146" s="36" t="str">
        <f ca="1">IFERROR(__xludf.DUMMYFUNCTION("""COMPUTED_VALUE"""),"")</f>
        <v/>
      </c>
      <c r="K146" s="49" t="str">
        <f ca="1">IFERROR(__xludf.DUMMYFUNCTION("""COMPUTED_VALUE"""),"https://maps.google.es/maps?q=Fontecha,+Lantar%C3%B3n&amp;hl=es&amp;ie=UTF8&amp;ll=42.738975,-3.038508&amp;spn=0.002372,0.004823&amp;sll=42.909999,-2.698387&amp;sspn=1.211015,2.469177&amp;oq=Fontecha&amp;t=h&amp;hnear=Fontecha,+Lantar%C3%B3n,+%C3%81lava,+Pa%C3%ADs+Vasco&amp;z=18")</f>
        <v>https://maps.google.es/maps?q=Fontecha,+Lantar%C3%B3n&amp;hl=es&amp;ie=UTF8&amp;ll=42.738975,-3.038508&amp;spn=0.002372,0.004823&amp;sll=42.909999,-2.698387&amp;sspn=1.211015,2.469177&amp;oq=Fontecha&amp;t=h&amp;hnear=Fontecha,+Lantar%C3%B3n,+%C3%81lava,+Pa%C3%ADs+Vasco&amp;z=18</v>
      </c>
      <c r="L146" s="36" t="str">
        <f ca="1">IFERROR(__xludf.DUMMYFUNCTION("""COMPUTED_VALUE"""),"")</f>
        <v/>
      </c>
      <c r="M146" s="36" t="str">
        <f ca="1">IFERROR(__xludf.DUMMYFUNCTION("""COMPUTED_VALUE"""),"")</f>
        <v/>
      </c>
      <c r="N146" s="36" t="str">
        <f ca="1">IFERROR(__xludf.DUMMYFUNCTION("""COMPUTED_VALUE"""),"")</f>
        <v/>
      </c>
      <c r="O146" s="36" t="str">
        <f ca="1">IFERROR(__xludf.DUMMYFUNCTION("""COMPUTED_VALUE"""),"")</f>
        <v/>
      </c>
      <c r="P146" s="36" t="str">
        <f ca="1">IFERROR(__xludf.DUMMYFUNCTION("""COMPUTED_VALUE"""),"")</f>
        <v/>
      </c>
      <c r="Q146" s="36" t="str">
        <f ca="1">IFERROR(__xludf.DUMMYFUNCTION("""COMPUTED_VALUE"""),"")</f>
        <v/>
      </c>
      <c r="R146" s="36" t="str">
        <f ca="1">IFERROR(__xludf.DUMMYFUNCTION("""COMPUTED_VALUE"""),"")</f>
        <v/>
      </c>
      <c r="S146" s="36" t="str">
        <f ca="1">IFERROR(__xludf.DUMMYFUNCTION("""COMPUTED_VALUE"""),"")</f>
        <v/>
      </c>
      <c r="T146" s="36" t="str">
        <f ca="1">IFERROR(__xludf.DUMMYFUNCTION("""COMPUTED_VALUE"""),"")</f>
        <v/>
      </c>
      <c r="U146" s="36" t="str">
        <f ca="1">IFERROR(__xludf.DUMMYFUNCTION("""COMPUTED_VALUE"""),"")</f>
        <v/>
      </c>
      <c r="V146" s="36" t="str">
        <f ca="1">IFERROR(__xludf.DUMMYFUNCTION("""COMPUTED_VALUE"""),"")</f>
        <v/>
      </c>
      <c r="W146" s="36" t="str">
        <f ca="1">IFERROR(__xludf.DUMMYFUNCTION("""COMPUTED_VALUE"""),"")</f>
        <v/>
      </c>
      <c r="X146" s="36"/>
      <c r="Y146" s="36"/>
      <c r="Z146" s="36"/>
    </row>
    <row r="147" spans="1:26" ht="12.75" hidden="1">
      <c r="A147" s="36" t="str">
        <f ca="1">IFERROR(__xludf.DUMMYFUNCTION("""COMPUTED_VALUE"""),"Pais Vasco")</f>
        <v>Pais Vasco</v>
      </c>
      <c r="B147" s="36" t="str">
        <f ca="1">IFERROR(__xludf.DUMMYFUNCTION("""COMPUTED_VALUE"""),"Álava")</f>
        <v>Álava</v>
      </c>
      <c r="C147" s="36">
        <f ca="1">IFERROR(__xludf.DUMMYFUNCTION("""COMPUTED_VALUE"""),2018)</f>
        <v>2018</v>
      </c>
      <c r="D147" s="36" t="str">
        <f ca="1">IFERROR(__xludf.DUMMYFUNCTION("""COMPUTED_VALUE"""),"Lince San Gregorio")</f>
        <v>Lince San Gregorio</v>
      </c>
      <c r="E147" s="36" t="str">
        <f ca="1">IFERROR(__xludf.DUMMYFUNCTION("""COMPUTED_VALUE"""),"gs.lince@scoutsdemadrid.org ")</f>
        <v xml:space="preserve">gs.lince@scoutsdemadrid.org </v>
      </c>
      <c r="F147" s="48">
        <f ca="1">IFERROR(__xludf.DUMMYFUNCTION("""COMPUTED_VALUE"""),43293)</f>
        <v>43293</v>
      </c>
      <c r="G147" s="48">
        <f ca="1">IFERROR(__xludf.DUMMYFUNCTION("""COMPUTED_VALUE"""),43311)</f>
        <v>43311</v>
      </c>
      <c r="H147" s="36" t="str">
        <f ca="1">IFERROR(__xludf.DUMMYFUNCTION("""COMPUTED_VALUE"""),"Andagoia")</f>
        <v>Andagoia</v>
      </c>
      <c r="I147" s="36" t="str">
        <f ca="1">IFERROR(__xludf.DUMMYFUNCTION("""COMPUTED_VALUE"""),"Isasando")</f>
        <v>Isasando</v>
      </c>
      <c r="J147" s="36" t="str">
        <f ca="1">IFERROR(__xludf.DUMMYFUNCTION("""COMPUTED_VALUE"""),"1_20_2_302")</f>
        <v>1_20_2_302</v>
      </c>
      <c r="K147" s="36" t="str">
        <f ca="1">IFERROR(__xludf.DUMMYFUNCTION("""COMPUTED_VALUE"""),"42º 55’ 31” N 2º 54’ 31” W")</f>
        <v>42º 55’ 31” N 2º 54’ 31” W</v>
      </c>
      <c r="L147" s="36" t="str">
        <f ca="1">IFERROR(__xludf.DUMMYFUNCTION("""COMPUTED_VALUE"""),"Santiago Ibañez Maquinez")</f>
        <v>Santiago Ibañez Maquinez</v>
      </c>
      <c r="M147" s="36" t="str">
        <f ca="1">IFERROR(__xludf.DUMMYFUNCTION("""COMPUTED_VALUE"""),"+34 686 27 31 45")</f>
        <v>+34 686 27 31 45</v>
      </c>
      <c r="N147" s="36" t="str">
        <f ca="1">IFERROR(__xludf.DUMMYFUNCTION("""COMPUTED_VALUE"""),"No hay mail")</f>
        <v>No hay mail</v>
      </c>
      <c r="O147" s="50">
        <f ca="1">IFERROR(__xludf.DUMMYFUNCTION("""COMPUTED_VALUE"""),500)</f>
        <v>500</v>
      </c>
      <c r="P147" s="36" t="str">
        <f ca="1">IFERROR(__xludf.DUMMYFUNCTION("""COMPUTED_VALUE"""),"2,8 Ha")</f>
        <v>2,8 Ha</v>
      </c>
      <c r="Q147" s="36" t="str">
        <f ca="1">IFERROR(__xludf.DUMMYFUNCTION("""COMPUTED_VALUE"""),"BUENO (Se puede acceder con cualquier coche)")</f>
        <v>BUENO (Se puede acceder con cualquier coche)</v>
      </c>
      <c r="R147" s="36" t="str">
        <f ca="1">IFERROR(__xludf.DUMMYFUNCTION("""COMPUTED_VALUE"""),"Sí")</f>
        <v>Sí</v>
      </c>
      <c r="S147" s="36" t="str">
        <f ca="1">IFERROR(__xludf.DUMMYFUNCTION("""COMPUTED_VALUE"""),"100 m")</f>
        <v>100 m</v>
      </c>
      <c r="T147" s="36" t="str">
        <f ca="1">IFERROR(__xludf.DUMMYFUNCTION("""COMPUTED_VALUE"""),"Rio Vadillo")</f>
        <v>Rio Vadillo</v>
      </c>
      <c r="U147" s="36" t="str">
        <f ca="1">IFERROR(__xludf.DUMMYFUNCTION("""COMPUTED_VALUE"""),"No")</f>
        <v>No</v>
      </c>
      <c r="V147" s="36" t="str">
        <f ca="1">IFERROR(__xludf.DUMMYFUNCTION("""COMPUTED_VALUE"""),"Si")</f>
        <v>Si</v>
      </c>
      <c r="W147" s="36" t="str">
        <f ca="1">IFERROR(__xludf.DUMMYFUNCTION("""COMPUTED_VALUE"""),"Bien situada, el rio vadillo es de cauce aceptable y el acceso al pueblo es sencillo para hacer compras")</f>
        <v>Bien situada, el rio vadillo es de cauce aceptable y el acceso al pueblo es sencillo para hacer compras</v>
      </c>
      <c r="X147" s="36"/>
      <c r="Y147" s="36"/>
      <c r="Z147" s="36"/>
    </row>
    <row r="148" spans="1:26" ht="12.75" hidden="1">
      <c r="A148" s="36" t="str">
        <f ca="1">IFERROR(__xludf.DUMMYFUNCTION("""COMPUTED_VALUE"""),"Galicia")</f>
        <v>Galicia</v>
      </c>
      <c r="B148" s="36" t="str">
        <f ca="1">IFERROR(__xludf.DUMMYFUNCTION("""COMPUTED_VALUE"""),"Lugo")</f>
        <v>Lugo</v>
      </c>
      <c r="C148" s="36">
        <f ca="1">IFERROR(__xludf.DUMMYFUNCTION("""COMPUTED_VALUE"""),2016)</f>
        <v>2016</v>
      </c>
      <c r="D148" s="36" t="str">
        <f ca="1">IFERROR(__xludf.DUMMYFUNCTION("""COMPUTED_VALUE"""),"Águila")</f>
        <v>Águila</v>
      </c>
      <c r="E148" s="36" t="str">
        <f ca="1">IFERROR(__xludf.DUMMYFUNCTION("""COMPUTED_VALUE"""),"gs.aguila@scoutsdemadrid.org ")</f>
        <v xml:space="preserve">gs.aguila@scoutsdemadrid.org </v>
      </c>
      <c r="F148" s="48">
        <f ca="1">IFERROR(__xludf.DUMMYFUNCTION("""COMPUTED_VALUE"""),42566)</f>
        <v>42566</v>
      </c>
      <c r="G148" s="48">
        <f ca="1">IFERROR(__xludf.DUMMYFUNCTION("""COMPUTED_VALUE"""),42581)</f>
        <v>42581</v>
      </c>
      <c r="H148" s="36" t="str">
        <f ca="1">IFERROR(__xludf.DUMMYFUNCTION("""COMPUTED_VALUE"""),"Begonte")</f>
        <v>Begonte</v>
      </c>
      <c r="I148" s="36" t="str">
        <f ca="1">IFERROR(__xludf.DUMMYFUNCTION("""COMPUTED_VALUE"""),"Carral")</f>
        <v>Carral</v>
      </c>
      <c r="J148" s="36" t="str">
        <f ca="1">IFERROR(__xludf.DUMMYFUNCTION("""COMPUTED_VALUE"""),"")</f>
        <v/>
      </c>
      <c r="K148" s="36" t="str">
        <f ca="1">IFERROR(__xludf.DUMMYFUNCTION("""COMPUTED_VALUE"""),"43.136874, -7.671896")</f>
        <v>43.136874, -7.671896</v>
      </c>
      <c r="L148" s="36" t="str">
        <f ca="1">IFERROR(__xludf.DUMMYFUNCTION("""COMPUTED_VALUE""")," Jesús Teijeiro")</f>
        <v xml:space="preserve"> Jesús Teijeiro</v>
      </c>
      <c r="M148" s="36">
        <f ca="1">IFERROR(__xludf.DUMMYFUNCTION("""COMPUTED_VALUE"""),982390306)</f>
        <v>982390306</v>
      </c>
      <c r="N148" s="36" t="str">
        <f ca="1">IFERROR(__xludf.DUMMYFUNCTION("""COMPUTED_VALUE"""),"")</f>
        <v/>
      </c>
      <c r="O148" s="36" t="str">
        <f ca="1">IFERROR(__xludf.DUMMYFUNCTION("""COMPUTED_VALUE"""),"235 € primer hermano. Descuentos al segundo y al tercero")</f>
        <v>235 € primer hermano. Descuentos al segundo y al tercero</v>
      </c>
      <c r="P148" s="36" t="str">
        <f ca="1">IFERROR(__xludf.DUMMYFUNCTION("""COMPUTED_VALUE"""),"")</f>
        <v/>
      </c>
      <c r="Q148" s="36" t="str">
        <f ca="1">IFERROR(__xludf.DUMMYFUNCTION("""COMPUTED_VALUE"""),"BUENO (Se puede acceder con cualquier coche)")</f>
        <v>BUENO (Se puede acceder con cualquier coche)</v>
      </c>
      <c r="R148" s="36" t="str">
        <f ca="1">IFERROR(__xludf.DUMMYFUNCTION("""COMPUTED_VALUE"""),"Sí")</f>
        <v>Sí</v>
      </c>
      <c r="S148" s="36" t="str">
        <f ca="1">IFERROR(__xludf.DUMMYFUNCTION("""COMPUTED_VALUE"""),"100 Metros")</f>
        <v>100 Metros</v>
      </c>
      <c r="T148" s="36" t="str">
        <f ca="1">IFERROR(__xludf.DUMMYFUNCTION("""COMPUTED_VALUE"""),"Excelente. Playa de rio")</f>
        <v>Excelente. Playa de rio</v>
      </c>
      <c r="U148" s="36" t="str">
        <f ca="1">IFERROR(__xludf.DUMMYFUNCTION("""COMPUTED_VALUE"""),"")</f>
        <v/>
      </c>
      <c r="V148" s="36" t="str">
        <f ca="1">IFERROR(__xludf.DUMMYFUNCTION("""COMPUTED_VALUE"""),"")</f>
        <v/>
      </c>
      <c r="W148" s="36" t="str">
        <f ca="1">IFERROR(__xludf.DUMMYFUNCTION("""COMPUTED_VALUE"""),"")</f>
        <v/>
      </c>
      <c r="X148" s="36"/>
      <c r="Y148" s="36"/>
      <c r="Z148" s="36"/>
    </row>
    <row r="149" spans="1:26" ht="12.75" hidden="1">
      <c r="A149" s="36" t="str">
        <f ca="1">IFERROR(__xludf.DUMMYFUNCTION("""COMPUTED_VALUE"""),"Galicia")</f>
        <v>Galicia</v>
      </c>
      <c r="B149" s="36" t="str">
        <f ca="1">IFERROR(__xludf.DUMMYFUNCTION("""COMPUTED_VALUE"""),"Lugo y A Coruña")</f>
        <v>Lugo y A Coruña</v>
      </c>
      <c r="C149" s="36">
        <f ca="1">IFERROR(__xludf.DUMMYFUNCTION("""COMPUTED_VALUE"""),2017)</f>
        <v>2017</v>
      </c>
      <c r="D149" s="36" t="str">
        <f ca="1">IFERROR(__xludf.DUMMYFUNCTION("""COMPUTED_VALUE"""),"Amorós")</f>
        <v>Amorós</v>
      </c>
      <c r="E149" s="36" t="str">
        <f ca="1">IFERROR(__xludf.DUMMYFUNCTION("""COMPUTED_VALUE"""),"gs.amoros@scoutsdemadrid.org ")</f>
        <v xml:space="preserve">gs.amoros@scoutsdemadrid.org </v>
      </c>
      <c r="F149" s="48">
        <f ca="1">IFERROR(__xludf.DUMMYFUNCTION("""COMPUTED_VALUE"""),42931)</f>
        <v>42931</v>
      </c>
      <c r="G149" s="48">
        <f ca="1">IFERROR(__xludf.DUMMYFUNCTION("""COMPUTED_VALUE"""),42946)</f>
        <v>42946</v>
      </c>
      <c r="H149" s="36" t="str">
        <f ca="1">IFERROR(__xludf.DUMMYFUNCTION("""COMPUTED_VALUE"""),"12")</f>
        <v>12</v>
      </c>
      <c r="I149" s="36" t="str">
        <f ca="1">IFERROR(__xludf.DUMMYFUNCTION("""COMPUTED_VALUE"""),"")</f>
        <v/>
      </c>
      <c r="J149" s="36" t="str">
        <f ca="1">IFERROR(__xludf.DUMMYFUNCTION("""COMPUTED_VALUE"""),"")</f>
        <v/>
      </c>
      <c r="K149" s="36" t="str">
        <f ca="1">IFERROR(__xludf.DUMMYFUNCTION("""COMPUTED_VALUE"""),"")</f>
        <v/>
      </c>
      <c r="L149" s="36" t="str">
        <f ca="1">IFERROR(__xludf.DUMMYFUNCTION("""COMPUTED_VALUE"""),"---")</f>
        <v>---</v>
      </c>
      <c r="M149" s="36" t="str">
        <f ca="1">IFERROR(__xludf.DUMMYFUNCTION("""COMPUTED_VALUE"""),"")</f>
        <v/>
      </c>
      <c r="N149" s="36" t="str">
        <f ca="1">IFERROR(__xludf.DUMMYFUNCTION("""COMPUTED_VALUE"""),"")</f>
        <v/>
      </c>
      <c r="O149" s="36" t="str">
        <f ca="1">IFERROR(__xludf.DUMMYFUNCTION("""COMPUTED_VALUE"""),"")</f>
        <v/>
      </c>
      <c r="P149" s="36" t="str">
        <f ca="1">IFERROR(__xludf.DUMMYFUNCTION("""COMPUTED_VALUE"""),"")</f>
        <v/>
      </c>
      <c r="Q149" s="36" t="str">
        <f ca="1">IFERROR(__xludf.DUMMYFUNCTION("""COMPUTED_VALUE"""),"")</f>
        <v/>
      </c>
      <c r="R149" s="36" t="str">
        <f ca="1">IFERROR(__xludf.DUMMYFUNCTION("""COMPUTED_VALUE"""),"")</f>
        <v/>
      </c>
      <c r="S149" s="36" t="str">
        <f ca="1">IFERROR(__xludf.DUMMYFUNCTION("""COMPUTED_VALUE"""),"")</f>
        <v/>
      </c>
      <c r="T149" s="36" t="str">
        <f ca="1">IFERROR(__xludf.DUMMYFUNCTION("""COMPUTED_VALUE"""),"")</f>
        <v/>
      </c>
      <c r="U149" s="36" t="str">
        <f ca="1">IFERROR(__xludf.DUMMYFUNCTION("""COMPUTED_VALUE"""),"")</f>
        <v/>
      </c>
      <c r="V149" s="36" t="str">
        <f ca="1">IFERROR(__xludf.DUMMYFUNCTION("""COMPUTED_VALUE"""),"")</f>
        <v/>
      </c>
      <c r="W149" s="36" t="str">
        <f ca="1">IFERROR(__xludf.DUMMYFUNCTION("""COMPUTED_VALUE"""),"El campa que aquí se expone es el de la rama pioneros y será volante. Primero estaremos cerca de Sarria en el Proyecto O Couso. Luego nos iremos  a Santiago e iniciaremos la ruta hasta Finisterre. Los Pueblos por los que pasamos son Negreira, Vilaserio, O"&amp;"logoso, Corcubión, para terminar unos dias en el camping de finisterre")</f>
        <v>El campa que aquí se expone es el de la rama pioneros y será volante. Primero estaremos cerca de Sarria en el Proyecto O Couso. Luego nos iremos  a Santiago e iniciaremos la ruta hasta Finisterre. Los Pueblos por los que pasamos son Negreira, Vilaserio, Ologoso, Corcubión, para terminar unos dias en el camping de finisterre</v>
      </c>
      <c r="X149" s="36"/>
      <c r="Y149" s="36"/>
      <c r="Z149" s="36"/>
    </row>
    <row r="150" spans="1:26" ht="12.75" hidden="1">
      <c r="A150" s="36" t="str">
        <f ca="1">IFERROR(__xludf.DUMMYFUNCTION("""COMPUTED_VALUE"""),"Galicia")</f>
        <v>Galicia</v>
      </c>
      <c r="B150" s="36" t="str">
        <f ca="1">IFERROR(__xludf.DUMMYFUNCTION("""COMPUTED_VALUE"""),"Orense")</f>
        <v>Orense</v>
      </c>
      <c r="C150" s="36">
        <f ca="1">IFERROR(__xludf.DUMMYFUNCTION("""COMPUTED_VALUE"""),2017)</f>
        <v>2017</v>
      </c>
      <c r="D150" s="36" t="str">
        <f ca="1">IFERROR(__xludf.DUMMYFUNCTION("""COMPUTED_VALUE"""),"Pilar")</f>
        <v>Pilar</v>
      </c>
      <c r="E150" s="36" t="str">
        <f ca="1">IFERROR(__xludf.DUMMYFUNCTION("""COMPUTED_VALUE"""),"gs.amoros@scoutsdemadrid.org ")</f>
        <v xml:space="preserve">gs.amoros@scoutsdemadrid.org </v>
      </c>
      <c r="F150" s="48">
        <f ca="1">IFERROR(__xludf.DUMMYFUNCTION("""COMPUTED_VALUE"""),42935)</f>
        <v>42935</v>
      </c>
      <c r="G150" s="48">
        <f ca="1">IFERROR(__xludf.DUMMYFUNCTION("""COMPUTED_VALUE"""),42946)</f>
        <v>42946</v>
      </c>
      <c r="H150" s="36" t="str">
        <f ca="1">IFERROR(__xludf.DUMMYFUNCTION("""COMPUTED_VALUE"""),"Valfarto")</f>
        <v>Valfarto</v>
      </c>
      <c r="I150" s="36" t="str">
        <f ca="1">IFERROR(__xludf.DUMMYFUNCTION("""COMPUTED_VALUE"""),"")</f>
        <v/>
      </c>
      <c r="J150" s="36" t="str">
        <f ca="1">IFERROR(__xludf.DUMMYFUNCTION("""COMPUTED_VALUE"""),"")</f>
        <v/>
      </c>
      <c r="K150" s="36" t="str">
        <f ca="1">IFERROR(__xludf.DUMMYFUNCTION("""COMPUTED_VALUE"""),"41.997361, -7.282167")</f>
        <v>41.997361, -7.282167</v>
      </c>
      <c r="L150" s="36" t="str">
        <f ca="1">IFERROR(__xludf.DUMMYFUNCTION("""COMPUTED_VALUE"""),"Celso Dominguez López")</f>
        <v>Celso Dominguez López</v>
      </c>
      <c r="M150" s="36" t="str">
        <f ca="1">IFERROR(__xludf.DUMMYFUNCTION("""COMPUTED_VALUE"""),"")</f>
        <v/>
      </c>
      <c r="N150" s="36" t="str">
        <f ca="1">IFERROR(__xludf.DUMMYFUNCTION("""COMPUTED_VALUE"""),"alcaldia@concelloderios.com")</f>
        <v>alcaldia@concelloderios.com</v>
      </c>
      <c r="O150" s="36" t="str">
        <f ca="1">IFERROR(__xludf.DUMMYFUNCTION("""COMPUTED_VALUE"""),"gratuito")</f>
        <v>gratuito</v>
      </c>
      <c r="P150" s="36" t="str">
        <f ca="1">IFERROR(__xludf.DUMMYFUNCTION("""COMPUTED_VALUE"""),"1 ha")</f>
        <v>1 ha</v>
      </c>
      <c r="Q150" s="36" t="str">
        <f ca="1">IFERROR(__xludf.DUMMYFUNCTION("""COMPUTED_VALUE"""),"BUENO (Se puede acceder con cualquier coche)")</f>
        <v>BUENO (Se puede acceder con cualquier coche)</v>
      </c>
      <c r="R150" s="36" t="str">
        <f ca="1">IFERROR(__xludf.DUMMYFUNCTION("""COMPUTED_VALUE"""),"No")</f>
        <v>No</v>
      </c>
      <c r="S150" s="36" t="str">
        <f ca="1">IFERROR(__xludf.DUMMYFUNCTION("""COMPUTED_VALUE"""),"0m")</f>
        <v>0m</v>
      </c>
      <c r="T150" s="36" t="str">
        <f ca="1">IFERROR(__xludf.DUMMYFUNCTION("""COMPUTED_VALUE"""),"")</f>
        <v/>
      </c>
      <c r="U150" s="36" t="str">
        <f ca="1">IFERROR(__xludf.DUMMYFUNCTION("""COMPUTED_VALUE"""),"no")</f>
        <v>no</v>
      </c>
      <c r="V150" s="36" t="str">
        <f ca="1">IFERROR(__xludf.DUMMYFUNCTION("""COMPUTED_VALUE"""),"")</f>
        <v/>
      </c>
      <c r="W150" s="36" t="str">
        <f ca="1">IFERROR(__xludf.DUMMYFUNCTION("""COMPUTED_VALUE"""),"")</f>
        <v/>
      </c>
      <c r="X150" s="36"/>
      <c r="Y150" s="36"/>
      <c r="Z150" s="36"/>
    </row>
    <row r="151" spans="1:26" ht="12.75" hidden="1">
      <c r="A151" s="36" t="str">
        <f ca="1">IFERROR(__xludf.DUMMYFUNCTION("""COMPUTED_VALUE"""),"Galicia")</f>
        <v>Galicia</v>
      </c>
      <c r="B151" s="36" t="str">
        <f ca="1">IFERROR(__xludf.DUMMYFUNCTION("""COMPUTED_VALUE"""),"Lugo")</f>
        <v>Lugo</v>
      </c>
      <c r="C151" s="36">
        <f ca="1">IFERROR(__xludf.DUMMYFUNCTION("""COMPUTED_VALUE"""),2016)</f>
        <v>2016</v>
      </c>
      <c r="D151" s="36" t="str">
        <f ca="1">IFERROR(__xludf.DUMMYFUNCTION("""COMPUTED_VALUE"""),"Águila")</f>
        <v>Águila</v>
      </c>
      <c r="E151" s="36" t="str">
        <f ca="1">IFERROR(__xludf.DUMMYFUNCTION("""COMPUTED_VALUE"""),"gs.aguila@scoutsdemadrid.org ")</f>
        <v xml:space="preserve">gs.aguila@scoutsdemadrid.org </v>
      </c>
      <c r="F151" s="48">
        <f ca="1">IFERROR(__xludf.DUMMYFUNCTION("""COMPUTED_VALUE"""),42566)</f>
        <v>42566</v>
      </c>
      <c r="G151" s="48">
        <f ca="1">IFERROR(__xludf.DUMMYFUNCTION("""COMPUTED_VALUE"""),42581)</f>
        <v>42581</v>
      </c>
      <c r="H151" s="36" t="str">
        <f ca="1">IFERROR(__xludf.DUMMYFUNCTION("""COMPUTED_VALUE"""),"Begonte")</f>
        <v>Begonte</v>
      </c>
      <c r="I151" s="36" t="str">
        <f ca="1">IFERROR(__xludf.DUMMYFUNCTION("""COMPUTED_VALUE"""),"Carral")</f>
        <v>Carral</v>
      </c>
      <c r="J151" s="36" t="str">
        <f ca="1">IFERROR(__xludf.DUMMYFUNCTION("""COMPUTED_VALUE"""),"")</f>
        <v/>
      </c>
      <c r="K151" s="36" t="str">
        <f ca="1">IFERROR(__xludf.DUMMYFUNCTION("""COMPUTED_VALUE"""),"43.136874, -7.671896")</f>
        <v>43.136874, -7.671896</v>
      </c>
      <c r="L151" s="36" t="str">
        <f ca="1">IFERROR(__xludf.DUMMYFUNCTION("""COMPUTED_VALUE""")," Jesús Teijeiro")</f>
        <v xml:space="preserve"> Jesús Teijeiro</v>
      </c>
      <c r="M151" s="36">
        <f ca="1">IFERROR(__xludf.DUMMYFUNCTION("""COMPUTED_VALUE"""),982390306)</f>
        <v>982390306</v>
      </c>
      <c r="N151" s="36" t="str">
        <f ca="1">IFERROR(__xludf.DUMMYFUNCTION("""COMPUTED_VALUE"""),"")</f>
        <v/>
      </c>
      <c r="O151" s="36" t="str">
        <f ca="1">IFERROR(__xludf.DUMMYFUNCTION("""COMPUTED_VALUE"""),"235 € primer hermano. Descuentos al segundo y al tercero")</f>
        <v>235 € primer hermano. Descuentos al segundo y al tercero</v>
      </c>
      <c r="P151" s="36" t="str">
        <f ca="1">IFERROR(__xludf.DUMMYFUNCTION("""COMPUTED_VALUE"""),"")</f>
        <v/>
      </c>
      <c r="Q151" s="36" t="str">
        <f ca="1">IFERROR(__xludf.DUMMYFUNCTION("""COMPUTED_VALUE"""),"BUENO (Se puede acceder con cualquier coche)")</f>
        <v>BUENO (Se puede acceder con cualquier coche)</v>
      </c>
      <c r="R151" s="36" t="str">
        <f ca="1">IFERROR(__xludf.DUMMYFUNCTION("""COMPUTED_VALUE"""),"Sí")</f>
        <v>Sí</v>
      </c>
      <c r="S151" s="36" t="str">
        <f ca="1">IFERROR(__xludf.DUMMYFUNCTION("""COMPUTED_VALUE"""),"100 Metros")</f>
        <v>100 Metros</v>
      </c>
      <c r="T151" s="36" t="str">
        <f ca="1">IFERROR(__xludf.DUMMYFUNCTION("""COMPUTED_VALUE"""),"Excelente. Playa de rio")</f>
        <v>Excelente. Playa de rio</v>
      </c>
      <c r="U151" s="36" t="str">
        <f ca="1">IFERROR(__xludf.DUMMYFUNCTION("""COMPUTED_VALUE"""),"")</f>
        <v/>
      </c>
      <c r="V151" s="36" t="str">
        <f ca="1">IFERROR(__xludf.DUMMYFUNCTION("""COMPUTED_VALUE"""),"")</f>
        <v/>
      </c>
      <c r="W151" s="36" t="str">
        <f ca="1">IFERROR(__xludf.DUMMYFUNCTION("""COMPUTED_VALUE"""),"")</f>
        <v/>
      </c>
      <c r="X151" s="36"/>
      <c r="Y151" s="36"/>
      <c r="Z151" s="36"/>
    </row>
    <row r="152" spans="1:26" ht="12.75" hidden="1">
      <c r="A152" s="36" t="str">
        <f ca="1">IFERROR(__xludf.DUMMYFUNCTION("""COMPUTED_VALUE"""),"Galicia")</f>
        <v>Galicia</v>
      </c>
      <c r="B152" s="36" t="str">
        <f ca="1">IFERROR(__xludf.DUMMYFUNCTION("""COMPUTED_VALUE"""),"Orense")</f>
        <v>Orense</v>
      </c>
      <c r="C152" s="36">
        <f ca="1">IFERROR(__xludf.DUMMYFUNCTION("""COMPUTED_VALUE"""),2016)</f>
        <v>2016</v>
      </c>
      <c r="D152" s="36" t="str">
        <f ca="1">IFERROR(__xludf.DUMMYFUNCTION("""COMPUTED_VALUE"""),"Annapurna")</f>
        <v>Annapurna</v>
      </c>
      <c r="E152" s="36" t="str">
        <f ca="1">IFERROR(__xludf.DUMMYFUNCTION("""COMPUTED_VALUE"""),"gsannapurna@gmail.com")</f>
        <v>gsannapurna@gmail.com</v>
      </c>
      <c r="F152" s="48">
        <f ca="1">IFERROR(__xludf.DUMMYFUNCTION("""COMPUTED_VALUE"""),42567)</f>
        <v>42567</v>
      </c>
      <c r="G152" s="48">
        <f ca="1">IFERROR(__xludf.DUMMYFUNCTION("""COMPUTED_VALUE"""),42582)</f>
        <v>42582</v>
      </c>
      <c r="H152" s="36" t="str">
        <f ca="1">IFERROR(__xludf.DUMMYFUNCTION("""COMPUTED_VALUE"""),"Orense")</f>
        <v>Orense</v>
      </c>
      <c r="I152" s="36" t="str">
        <f ca="1">IFERROR(__xludf.DUMMYFUNCTION("""COMPUTED_VALUE"""),"")</f>
        <v/>
      </c>
      <c r="J152" s="36" t="str">
        <f ca="1">IFERROR(__xludf.DUMMYFUNCTION("""COMPUTED_VALUE"""),"")</f>
        <v/>
      </c>
      <c r="K152" s="36" t="str">
        <f ca="1">IFERROR(__xludf.DUMMYFUNCTION("""COMPUTED_VALUE"""),"")</f>
        <v/>
      </c>
      <c r="L152" s="36" t="str">
        <f ca="1">IFERROR(__xludf.DUMMYFUNCTION("""COMPUTED_VALUE"""),"EDUARDO MARÍN")</f>
        <v>EDUARDO MARÍN</v>
      </c>
      <c r="M152" s="36" t="str">
        <f ca="1">IFERROR(__xludf.DUMMYFUNCTION("""COMPUTED_VALUE"""),"")</f>
        <v/>
      </c>
      <c r="N152" s="36" t="str">
        <f ca="1">IFERROR(__xludf.DUMMYFUNCTION("""COMPUTED_VALUE"""),"")</f>
        <v/>
      </c>
      <c r="O152" s="36" t="str">
        <f ca="1">IFERROR(__xludf.DUMMYFUNCTION("""COMPUTED_VALUE"""),"")</f>
        <v/>
      </c>
      <c r="P152" s="36" t="str">
        <f ca="1">IFERROR(__xludf.DUMMYFUNCTION("""COMPUTED_VALUE"""),"")</f>
        <v/>
      </c>
      <c r="Q152" s="36" t="str">
        <f ca="1">IFERROR(__xludf.DUMMYFUNCTION("""COMPUTED_VALUE"""),"")</f>
        <v/>
      </c>
      <c r="R152" s="36" t="str">
        <f ca="1">IFERROR(__xludf.DUMMYFUNCTION("""COMPUTED_VALUE"""),"")</f>
        <v/>
      </c>
      <c r="S152" s="36" t="str">
        <f ca="1">IFERROR(__xludf.DUMMYFUNCTION("""COMPUTED_VALUE"""),"")</f>
        <v/>
      </c>
      <c r="T152" s="36" t="str">
        <f ca="1">IFERROR(__xludf.DUMMYFUNCTION("""COMPUTED_VALUE"""),"")</f>
        <v/>
      </c>
      <c r="U152" s="36" t="str">
        <f ca="1">IFERROR(__xludf.DUMMYFUNCTION("""COMPUTED_VALUE"""),"")</f>
        <v/>
      </c>
      <c r="V152" s="36" t="str">
        <f ca="1">IFERROR(__xludf.DUMMYFUNCTION("""COMPUTED_VALUE"""),"")</f>
        <v/>
      </c>
      <c r="W152" s="36" t="str">
        <f ca="1">IFERROR(__xludf.DUMMYFUNCTION("""COMPUTED_VALUE"""),"")</f>
        <v/>
      </c>
      <c r="X152" s="36"/>
      <c r="Y152" s="36"/>
      <c r="Z152" s="36"/>
    </row>
    <row r="153" spans="1:26" ht="12.75" hidden="1">
      <c r="A153" s="36" t="str">
        <f ca="1">IFERROR(__xludf.DUMMYFUNCTION("""COMPUTED_VALUE"""),"Galicia")</f>
        <v>Galicia</v>
      </c>
      <c r="B153" s="36" t="str">
        <f ca="1">IFERROR(__xludf.DUMMYFUNCTION("""COMPUTED_VALUE"""),"Orense")</f>
        <v>Orense</v>
      </c>
      <c r="C153" s="36">
        <f ca="1">IFERROR(__xludf.DUMMYFUNCTION("""COMPUTED_VALUE"""),2016)</f>
        <v>2016</v>
      </c>
      <c r="D153" s="36" t="str">
        <f ca="1">IFERROR(__xludf.DUMMYFUNCTION("""COMPUTED_VALUE"""),"Annapurna")</f>
        <v>Annapurna</v>
      </c>
      <c r="E153" s="36" t="str">
        <f ca="1">IFERROR(__xludf.DUMMYFUNCTION("""COMPUTED_VALUE"""),"gsannapurna@gmail.com")</f>
        <v>gsannapurna@gmail.com</v>
      </c>
      <c r="F153" s="48">
        <f ca="1">IFERROR(__xludf.DUMMYFUNCTION("""COMPUTED_VALUE"""),42567)</f>
        <v>42567</v>
      </c>
      <c r="G153" s="48">
        <f ca="1">IFERROR(__xludf.DUMMYFUNCTION("""COMPUTED_VALUE"""),42582)</f>
        <v>42582</v>
      </c>
      <c r="H153" s="36" t="str">
        <f ca="1">IFERROR(__xludf.DUMMYFUNCTION("""COMPUTED_VALUE"""),"Orense")</f>
        <v>Orense</v>
      </c>
      <c r="I153" s="36" t="str">
        <f ca="1">IFERROR(__xludf.DUMMYFUNCTION("""COMPUTED_VALUE"""),"Entre Arces")</f>
        <v>Entre Arces</v>
      </c>
      <c r="J153" s="36" t="str">
        <f ca="1">IFERROR(__xludf.DUMMYFUNCTION("""COMPUTED_VALUE"""),"")</f>
        <v/>
      </c>
      <c r="K153" s="36" t="str">
        <f ca="1">IFERROR(__xludf.DUMMYFUNCTION("""COMPUTED_VALUE"""),"")</f>
        <v/>
      </c>
      <c r="L153" s="36" t="str">
        <f ca="1">IFERROR(__xludf.DUMMYFUNCTION("""COMPUTED_VALUE"""),"EDUARDO MARÍN")</f>
        <v>EDUARDO MARÍN</v>
      </c>
      <c r="M153" s="36" t="str">
        <f ca="1">IFERROR(__xludf.DUMMYFUNCTION("""COMPUTED_VALUE"""),"")</f>
        <v/>
      </c>
      <c r="N153" s="36" t="str">
        <f ca="1">IFERROR(__xludf.DUMMYFUNCTION("""COMPUTED_VALUE"""),"")</f>
        <v/>
      </c>
      <c r="O153" s="36" t="str">
        <f ca="1">IFERROR(__xludf.DUMMYFUNCTION("""COMPUTED_VALUE"""),"")</f>
        <v/>
      </c>
      <c r="P153" s="36" t="str">
        <f ca="1">IFERROR(__xludf.DUMMYFUNCTION("""COMPUTED_VALUE"""),"")</f>
        <v/>
      </c>
      <c r="Q153" s="36" t="str">
        <f ca="1">IFERROR(__xludf.DUMMYFUNCTION("""COMPUTED_VALUE"""),"")</f>
        <v/>
      </c>
      <c r="R153" s="36" t="str">
        <f ca="1">IFERROR(__xludf.DUMMYFUNCTION("""COMPUTED_VALUE"""),"")</f>
        <v/>
      </c>
      <c r="S153" s="36" t="str">
        <f ca="1">IFERROR(__xludf.DUMMYFUNCTION("""COMPUTED_VALUE"""),"")</f>
        <v/>
      </c>
      <c r="T153" s="36" t="str">
        <f ca="1">IFERROR(__xludf.DUMMYFUNCTION("""COMPUTED_VALUE"""),"")</f>
        <v/>
      </c>
      <c r="U153" s="36" t="str">
        <f ca="1">IFERROR(__xludf.DUMMYFUNCTION("""COMPUTED_VALUE"""),"")</f>
        <v/>
      </c>
      <c r="V153" s="36" t="str">
        <f ca="1">IFERROR(__xludf.DUMMYFUNCTION("""COMPUTED_VALUE"""),"")</f>
        <v/>
      </c>
      <c r="W153" s="36" t="str">
        <f ca="1">IFERROR(__xludf.DUMMYFUNCTION("""COMPUTED_VALUE"""),"")</f>
        <v/>
      </c>
      <c r="X153" s="36"/>
      <c r="Y153" s="36"/>
      <c r="Z153" s="36"/>
    </row>
    <row r="154" spans="1:26" ht="12.75" hidden="1">
      <c r="A154" s="36" t="str">
        <f ca="1">IFERROR(__xludf.DUMMYFUNCTION("""COMPUTED_VALUE"""),"Galicia")</f>
        <v>Galicia</v>
      </c>
      <c r="B154" s="36" t="str">
        <f ca="1">IFERROR(__xludf.DUMMYFUNCTION("""COMPUTED_VALUE"""),"Orense")</f>
        <v>Orense</v>
      </c>
      <c r="C154" s="36">
        <f ca="1">IFERROR(__xludf.DUMMYFUNCTION("""COMPUTED_VALUE"""),2012)</f>
        <v>2012</v>
      </c>
      <c r="D154" s="36" t="str">
        <f ca="1">IFERROR(__xludf.DUMMYFUNCTION("""COMPUTED_VALUE"""),"Santa Ana Y San Rafael")</f>
        <v>Santa Ana Y San Rafael</v>
      </c>
      <c r="E154" s="36" t="str">
        <f ca="1">IFERROR(__xludf.DUMMYFUNCTION("""COMPUTED_VALUE"""),"gssantanaysanlafael@scoutsdemadrid.org  ")</f>
        <v xml:space="preserve">gssantanaysanlafael@scoutsdemadrid.org  </v>
      </c>
      <c r="F154" s="48">
        <f ca="1">IFERROR(__xludf.DUMMYFUNCTION("""COMPUTED_VALUE"""),41106)</f>
        <v>41106</v>
      </c>
      <c r="G154" s="48">
        <f ca="1">IFERROR(__xludf.DUMMYFUNCTION("""COMPUTED_VALUE"""),41120)</f>
        <v>41120</v>
      </c>
      <c r="H154" s="36" t="str">
        <f ca="1">IFERROR(__xludf.DUMMYFUNCTION("""COMPUTED_VALUE"""),"Laza")</f>
        <v>Laza</v>
      </c>
      <c r="I154" s="36" t="str">
        <f ca="1">IFERROR(__xludf.DUMMYFUNCTION("""COMPUTED_VALUE"""),"Laza")</f>
        <v>Laza</v>
      </c>
      <c r="J154" s="36" t="str">
        <f ca="1">IFERROR(__xludf.DUMMYFUNCTION("""COMPUTED_VALUE"""),"")</f>
        <v/>
      </c>
      <c r="K154" s="36" t="str">
        <f ca="1">IFERROR(__xludf.DUMMYFUNCTION("""COMPUTED_VALUE"""),"")</f>
        <v/>
      </c>
      <c r="L154" s="36" t="str">
        <f ca="1">IFERROR(__xludf.DUMMYFUNCTION("""COMPUTED_VALUE"""),"")</f>
        <v/>
      </c>
      <c r="M154" s="36" t="str">
        <f ca="1">IFERROR(__xludf.DUMMYFUNCTION("""COMPUTED_VALUE"""),"")</f>
        <v/>
      </c>
      <c r="N154" s="36" t="str">
        <f ca="1">IFERROR(__xludf.DUMMYFUNCTION("""COMPUTED_VALUE"""),"")</f>
        <v/>
      </c>
      <c r="O154" s="36" t="str">
        <f ca="1">IFERROR(__xludf.DUMMYFUNCTION("""COMPUTED_VALUE"""),"")</f>
        <v/>
      </c>
      <c r="P154" s="36" t="str">
        <f ca="1">IFERROR(__xludf.DUMMYFUNCTION("""COMPUTED_VALUE"""),"")</f>
        <v/>
      </c>
      <c r="Q154" s="36" t="str">
        <f ca="1">IFERROR(__xludf.DUMMYFUNCTION("""COMPUTED_VALUE"""),"")</f>
        <v/>
      </c>
      <c r="R154" s="36" t="str">
        <f ca="1">IFERROR(__xludf.DUMMYFUNCTION("""COMPUTED_VALUE"""),"")</f>
        <v/>
      </c>
      <c r="S154" s="36" t="str">
        <f ca="1">IFERROR(__xludf.DUMMYFUNCTION("""COMPUTED_VALUE"""),"")</f>
        <v/>
      </c>
      <c r="T154" s="36" t="str">
        <f ca="1">IFERROR(__xludf.DUMMYFUNCTION("""COMPUTED_VALUE"""),"")</f>
        <v/>
      </c>
      <c r="U154" s="36" t="str">
        <f ca="1">IFERROR(__xludf.DUMMYFUNCTION("""COMPUTED_VALUE"""),"")</f>
        <v/>
      </c>
      <c r="V154" s="36" t="str">
        <f ca="1">IFERROR(__xludf.DUMMYFUNCTION("""COMPUTED_VALUE"""),"")</f>
        <v/>
      </c>
      <c r="W154" s="36" t="str">
        <f ca="1">IFERROR(__xludf.DUMMYFUNCTION("""COMPUTED_VALUE"""),"")</f>
        <v/>
      </c>
      <c r="X154" s="36"/>
      <c r="Y154" s="36"/>
      <c r="Z154" s="36"/>
    </row>
    <row r="155" spans="1:26" ht="12.75" hidden="1">
      <c r="A155" s="36" t="str">
        <f ca="1">IFERROR(__xludf.DUMMYFUNCTION("""COMPUTED_VALUE"""),"Galicia")</f>
        <v>Galicia</v>
      </c>
      <c r="B155" s="36" t="str">
        <f ca="1">IFERROR(__xludf.DUMMYFUNCTION("""COMPUTED_VALUE"""),"Lugo")</f>
        <v>Lugo</v>
      </c>
      <c r="C155" s="36">
        <f ca="1">IFERROR(__xludf.DUMMYFUNCTION("""COMPUTED_VALUE"""),2018)</f>
        <v>2018</v>
      </c>
      <c r="D155" s="36" t="str">
        <f ca="1">IFERROR(__xludf.DUMMYFUNCTION("""COMPUTED_VALUE"""),"Santa Ana San Rafael")</f>
        <v>Santa Ana San Rafael</v>
      </c>
      <c r="E155" s="36" t="str">
        <f ca="1">IFERROR(__xludf.DUMMYFUNCTION("""COMPUTED_VALUE"""),"gssantanaysanlafael@scoutsdemadrid.org  ")</f>
        <v xml:space="preserve">gssantanaysanlafael@scoutsdemadrid.org  </v>
      </c>
      <c r="F155" s="48">
        <f ca="1">IFERROR(__xludf.DUMMYFUNCTION("""COMPUTED_VALUE"""),43295)</f>
        <v>43295</v>
      </c>
      <c r="G155" s="48">
        <f ca="1">IFERROR(__xludf.DUMMYFUNCTION("""COMPUTED_VALUE"""),43311)</f>
        <v>43311</v>
      </c>
      <c r="H155" s="36" t="str">
        <f ca="1">IFERROR(__xludf.DUMMYFUNCTION("""COMPUTED_VALUE"""),"A Pobra De San Xiao (Láncara)")</f>
        <v>A Pobra De San Xiao (Láncara)</v>
      </c>
      <c r="I155" s="36" t="str">
        <f ca="1">IFERROR(__xludf.DUMMYFUNCTION("""COMPUTED_VALUE"""),"Valdiz, Praia Fluvial y FN Valdiz")</f>
        <v>Valdiz, Praia Fluvial y FN Valdiz</v>
      </c>
      <c r="J155" s="36" t="str">
        <f ca="1">IFERROR(__xludf.DUMMYFUNCTION("""COMPUTED_VALUE"""),"27026A003000110000ZW / 27026A001004470000ZQ / 7874280PH2477S0001MM")</f>
        <v>27026A003000110000ZW / 27026A001004470000ZQ / 7874280PH2477S0001MM</v>
      </c>
      <c r="K155" s="36" t="str">
        <f ca="1">IFERROR(__xludf.DUMMYFUNCTION("""COMPUTED_VALUE"""),"X 627.417,42 Y 4.747.550,49")</f>
        <v>X 627.417,42 Y 4.747.550,49</v>
      </c>
      <c r="L155" s="36" t="str">
        <f ca="1">IFERROR(__xludf.DUMMYFUNCTION("""COMPUTED_VALUE"""),"Ayuntamiento de Láncara")</f>
        <v>Ayuntamiento de Láncara</v>
      </c>
      <c r="M155" s="36">
        <f ca="1">IFERROR(__xludf.DUMMYFUNCTION("""COMPUTED_VALUE"""),982543066)</f>
        <v>982543066</v>
      </c>
      <c r="N155" s="36" t="str">
        <f ca="1">IFERROR(__xludf.DUMMYFUNCTION("""COMPUTED_VALUE"""),"sancualv@gmail.com")</f>
        <v>sancualv@gmail.com</v>
      </c>
      <c r="O155" s="36" t="str">
        <f ca="1">IFERROR(__xludf.DUMMYFUNCTION("""COMPUTED_VALUE"""),"Gratuito")</f>
        <v>Gratuito</v>
      </c>
      <c r="P155" s="36" t="str">
        <f ca="1">IFERROR(__xludf.DUMMYFUNCTION("""COMPUTED_VALUE"""),"2.776 /3.216 / 32.220 m2")</f>
        <v>2.776 /3.216 / 32.220 m2</v>
      </c>
      <c r="Q155" s="36" t="str">
        <f ca="1">IFERROR(__xludf.DUMMYFUNCTION("""COMPUTED_VALUE"""),"REGULAR (Se puede acceder con un coche normal con dificultad)")</f>
        <v>REGULAR (Se puede acceder con un coche normal con dificultad)</v>
      </c>
      <c r="R155" s="36" t="str">
        <f ca="1">IFERROR(__xludf.DUMMYFUNCTION("""COMPUTED_VALUE"""),"Sí")</f>
        <v>Sí</v>
      </c>
      <c r="S155" s="36" t="str">
        <f ca="1">IFERROR(__xludf.DUMMYFUNCTION("""COMPUTED_VALUE"""),"Río entre las dos fincas")</f>
        <v>Río entre las dos fincas</v>
      </c>
      <c r="T155" s="36" t="str">
        <f ca="1">IFERROR(__xludf.DUMMYFUNCTION("""COMPUTED_VALUE"""),"Se trata de una finca utilizada como área recreativa y zona de baño, buen acceso")</f>
        <v>Se trata de una finca utilizada como área recreativa y zona de baño, buen acceso</v>
      </c>
      <c r="U155" s="36" t="str">
        <f ca="1">IFERROR(__xludf.DUMMYFUNCTION("""COMPUTED_VALUE"""),"No ")</f>
        <v xml:space="preserve">No </v>
      </c>
      <c r="V155" s="36" t="str">
        <f ca="1">IFERROR(__xludf.DUMMYFUNCTION("""COMPUTED_VALUE"""),"Si")</f>
        <v>Si</v>
      </c>
      <c r="W155" s="36" t="str">
        <f ca="1">IFERROR(__xludf.DUMMYFUNCTION("""COMPUTED_VALUE"""),"Realizaremos el campamento con el Grupo Scout San Juan Rivera. El ayuntamiento nos ha cedido tres fincas para realizar el campamento.")</f>
        <v>Realizaremos el campamento con el Grupo Scout San Juan Rivera. El ayuntamiento nos ha cedido tres fincas para realizar el campamento.</v>
      </c>
      <c r="X155" s="36"/>
      <c r="Y155" s="36"/>
      <c r="Z155" s="36"/>
    </row>
    <row r="156" spans="1:26" ht="12.75" hidden="1">
      <c r="A156" s="36" t="str">
        <f ca="1">IFERROR(__xludf.DUMMYFUNCTION("""COMPUTED_VALUE"""),"Galicia")</f>
        <v>Galicia</v>
      </c>
      <c r="B156" s="36" t="str">
        <f ca="1">IFERROR(__xludf.DUMMYFUNCTION("""COMPUTED_VALUE"""),"A Coruña")</f>
        <v>A Coruña</v>
      </c>
      <c r="C156" s="36">
        <f ca="1">IFERROR(__xludf.DUMMYFUNCTION("""COMPUTED_VALUE"""),2019)</f>
        <v>2019</v>
      </c>
      <c r="D156" s="36" t="str">
        <f ca="1">IFERROR(__xludf.DUMMYFUNCTION("""COMPUTED_VALUE"""),"Adhara")</f>
        <v>Adhara</v>
      </c>
      <c r="E156" s="36" t="str">
        <f ca="1">IFERROR(__xludf.DUMMYFUNCTION("""COMPUTED_VALUE"""),"gs.adhara@scoutsdemadrid.org")</f>
        <v>gs.adhara@scoutsdemadrid.org</v>
      </c>
      <c r="F156" s="48">
        <f ca="1">IFERROR(__xludf.DUMMYFUNCTION("""COMPUTED_VALUE"""),43662)</f>
        <v>43662</v>
      </c>
      <c r="G156" s="48">
        <f ca="1">IFERROR(__xludf.DUMMYFUNCTION("""COMPUTED_VALUE"""),43676)</f>
        <v>43676</v>
      </c>
      <c r="H156" s="36" t="str">
        <f ca="1">IFERROR(__xludf.DUMMYFUNCTION("""COMPUTED_VALUE"""),"Concello San Sadurniño")</f>
        <v>Concello San Sadurniño</v>
      </c>
      <c r="I156" s="36" t="str">
        <f ca="1">IFERROR(__xludf.DUMMYFUNCTION("""COMPUTED_VALUE"""),"CONCELLO DE SAN SADURNIÑO")</f>
        <v>CONCELLO DE SAN SADURNIÑO</v>
      </c>
      <c r="J156" s="36" t="str">
        <f ca="1">IFERROR(__xludf.DUMMYFUNCTION("""COMPUTED_VALUE"""),"xxx")</f>
        <v>xxx</v>
      </c>
      <c r="K156" s="36" t="str">
        <f ca="1">IFERROR(__xludf.DUMMYFUNCTION("""COMPUTED_VALUE"""),"+43° 29' 40.10"", -8° 4' 5.26")</f>
        <v>+43° 29' 40.10", -8° 4' 5.26</v>
      </c>
      <c r="L156" s="36" t="str">
        <f ca="1">IFERROR(__xludf.DUMMYFUNCTION("""COMPUTED_VALUE"""),"JONÁS MARTÍN")</f>
        <v>JONÁS MARTÍN</v>
      </c>
      <c r="M156" s="36">
        <f ca="1">IFERROR(__xludf.DUMMYFUNCTION("""COMPUTED_VALUE"""),654474999)</f>
        <v>654474999</v>
      </c>
      <c r="N156" s="36" t="str">
        <f ca="1">IFERROR(__xludf.DUMMYFUNCTION("""COMPUTED_VALUE"""),"dafogestiontiempolibre@gmail.com")</f>
        <v>dafogestiontiempolibre@gmail.com</v>
      </c>
      <c r="O156" s="36">
        <f ca="1">IFERROR(__xludf.DUMMYFUNCTION("""COMPUTED_VALUE"""),3339.6)</f>
        <v>3339.6</v>
      </c>
      <c r="P156" s="36" t="str">
        <f ca="1">IFERROR(__xludf.DUMMYFUNCTION("""COMPUTED_VALUE"""),"6.000 m2")</f>
        <v>6.000 m2</v>
      </c>
      <c r="Q156" s="36" t="str">
        <f ca="1">IFERROR(__xludf.DUMMYFUNCTION("""COMPUTED_VALUE"""),"BUENO (Se puede acceder con cualquier coche)")</f>
        <v>BUENO (Se puede acceder con cualquier coche)</v>
      </c>
      <c r="R156" s="36" t="str">
        <f ca="1">IFERROR(__xludf.DUMMYFUNCTION("""COMPUTED_VALUE"""),"Sí")</f>
        <v>Sí</v>
      </c>
      <c r="S156" s="36" t="str">
        <f ca="1">IFERROR(__xludf.DUMMYFUNCTION("""COMPUTED_VALUE"""),"50 METROS")</f>
        <v>50 METROS</v>
      </c>
      <c r="T156" s="36" t="str">
        <f ca="1">IFERROR(__xludf.DUMMYFUNCTION("""COMPUTED_VALUE"""),"pequeño río")</f>
        <v>pequeño río</v>
      </c>
      <c r="U156" s="36" t="str">
        <f ca="1">IFERROR(__xludf.DUMMYFUNCTION("""COMPUTED_VALUE"""),"Casetas de madera para tener la cocina, baños y duchas")</f>
        <v>Casetas de madera para tener la cocina, baños y duchas</v>
      </c>
      <c r="V156" s="36" t="str">
        <f ca="1">IFERROR(__xludf.DUMMYFUNCTION("""COMPUTED_VALUE"""),"Sí")</f>
        <v>Sí</v>
      </c>
      <c r="W156" s="36" t="str">
        <f ca="1">IFERROR(__xludf.DUMMYFUNCTION("""COMPUTED_VALUE"""),"Terreno muy grande ")</f>
        <v xml:space="preserve">Terreno muy grande </v>
      </c>
      <c r="X156" s="36"/>
      <c r="Y156" s="36"/>
      <c r="Z156" s="36"/>
    </row>
    <row r="157" spans="1:26" ht="12.75" hidden="1">
      <c r="A157" s="36" t="str">
        <f ca="1">IFERROR(__xludf.DUMMYFUNCTION("""COMPUTED_VALUE"""),"La Rioja")</f>
        <v>La Rioja</v>
      </c>
      <c r="B157" s="36" t="str">
        <f ca="1">IFERROR(__xludf.DUMMYFUNCTION("""COMPUTED_VALUE"""),"La Rioja")</f>
        <v>La Rioja</v>
      </c>
      <c r="C157" s="36">
        <f ca="1">IFERROR(__xludf.DUMMYFUNCTION("""COMPUTED_VALUE"""),2017)</f>
        <v>2017</v>
      </c>
      <c r="D157" s="36" t="str">
        <f ca="1">IFERROR(__xludf.DUMMYFUNCTION("""COMPUTED_VALUE"""),"Annapurna")</f>
        <v>Annapurna</v>
      </c>
      <c r="E157" s="36" t="str">
        <f ca="1">IFERROR(__xludf.DUMMYFUNCTION("""COMPUTED_VALUE"""),"gs.annapurna@scoutsdemadrid.org ")</f>
        <v xml:space="preserve">gs.annapurna@scoutsdemadrid.org </v>
      </c>
      <c r="F157" s="48">
        <f ca="1">IFERROR(__xludf.DUMMYFUNCTION("""COMPUTED_VALUE"""),42932)</f>
        <v>42932</v>
      </c>
      <c r="G157" s="48">
        <f ca="1">IFERROR(__xludf.DUMMYFUNCTION("""COMPUTED_VALUE"""),42947)</f>
        <v>42947</v>
      </c>
      <c r="H157" s="36" t="str">
        <f ca="1">IFERROR(__xludf.DUMMYFUNCTION("""COMPUTED_VALUE"""),"Ventrosa")</f>
        <v>Ventrosa</v>
      </c>
      <c r="I157" s="36" t="str">
        <f ca="1">IFERROR(__xludf.DUMMYFUNCTION("""COMPUTED_VALUE"""),"")</f>
        <v/>
      </c>
      <c r="J157" s="36" t="str">
        <f ca="1">IFERROR(__xludf.DUMMYFUNCTION("""COMPUTED_VALUE"""),"")</f>
        <v/>
      </c>
      <c r="K157" s="36" t="str">
        <f ca="1">IFERROR(__xludf.DUMMYFUNCTION("""COMPUTED_VALUE"""),"")</f>
        <v/>
      </c>
      <c r="L157" s="36" t="str">
        <f ca="1">IFERROR(__xludf.DUMMYFUNCTION("""COMPUTED_VALUE"""),"Hilario Andrés López")</f>
        <v>Hilario Andrés López</v>
      </c>
      <c r="M157" s="36" t="str">
        <f ca="1">IFERROR(__xludf.DUMMYFUNCTION("""COMPUTED_VALUE"""),"")</f>
        <v/>
      </c>
      <c r="N157" s="36" t="str">
        <f ca="1">IFERROR(__xludf.DUMMYFUNCTION("""COMPUTED_VALUE"""),"reservas@alberguesdelarioja.es")</f>
        <v>reservas@alberguesdelarioja.es</v>
      </c>
      <c r="O157" s="36" t="str">
        <f ca="1">IFERROR(__xludf.DUMMYFUNCTION("""COMPUTED_VALUE"""),"")</f>
        <v/>
      </c>
      <c r="P157" s="36" t="str">
        <f ca="1">IFERROR(__xludf.DUMMYFUNCTION("""COMPUTED_VALUE"""),"")</f>
        <v/>
      </c>
      <c r="Q157" s="36" t="str">
        <f ca="1">IFERROR(__xludf.DUMMYFUNCTION("""COMPUTED_VALUE"""),"BUENO (Se puede acceder con cualquier coche)")</f>
        <v>BUENO (Se puede acceder con cualquier coche)</v>
      </c>
      <c r="R157" s="36" t="str">
        <f ca="1">IFERROR(__xludf.DUMMYFUNCTION("""COMPUTED_VALUE"""),"Sí")</f>
        <v>Sí</v>
      </c>
      <c r="S157" s="36" t="str">
        <f ca="1">IFERROR(__xludf.DUMMYFUNCTION("""COMPUTED_VALUE"""),"")</f>
        <v/>
      </c>
      <c r="T157" s="36" t="str">
        <f ca="1">IFERROR(__xludf.DUMMYFUNCTION("""COMPUTED_VALUE"""),"")</f>
        <v/>
      </c>
      <c r="U157" s="36" t="str">
        <f ca="1">IFERROR(__xludf.DUMMYFUNCTION("""COMPUTED_VALUE"""),"")</f>
        <v/>
      </c>
      <c r="V157" s="36" t="str">
        <f ca="1">IFERROR(__xludf.DUMMYFUNCTION("""COMPUTED_VALUE"""),"")</f>
        <v/>
      </c>
      <c r="W157" s="36" t="str">
        <f ca="1">IFERROR(__xludf.DUMMYFUNCTION("""COMPUTED_VALUE"""),"")</f>
        <v/>
      </c>
      <c r="X157" s="36"/>
      <c r="Y157" s="36"/>
      <c r="Z157" s="36"/>
    </row>
    <row r="158" spans="1:26" ht="12.75" hidden="1">
      <c r="A158" s="36" t="str">
        <f ca="1">IFERROR(__xludf.DUMMYFUNCTION("""COMPUTED_VALUE"""),"La Rioja")</f>
        <v>La Rioja</v>
      </c>
      <c r="B158" s="36" t="str">
        <f ca="1">IFERROR(__xludf.DUMMYFUNCTION("""COMPUTED_VALUE"""),"Logroño")</f>
        <v>Logroño</v>
      </c>
      <c r="C158" s="36">
        <f ca="1">IFERROR(__xludf.DUMMYFUNCTION("""COMPUTED_VALUE"""),2015)</f>
        <v>2015</v>
      </c>
      <c r="D158" s="36" t="str">
        <f ca="1">IFERROR(__xludf.DUMMYFUNCTION("""COMPUTED_VALUE"""),"Chamberi")</f>
        <v>Chamberi</v>
      </c>
      <c r="E158" s="36" t="str">
        <f ca="1">IFERROR(__xludf.DUMMYFUNCTION("""COMPUTED_VALUE"""),"gs.chamberi@scoutsdemadrid.org ")</f>
        <v xml:space="preserve">gs.chamberi@scoutsdemadrid.org </v>
      </c>
      <c r="F158" s="48">
        <f ca="1">IFERROR(__xludf.DUMMYFUNCTION("""COMPUTED_VALUE"""),42186)</f>
        <v>42186</v>
      </c>
      <c r="G158" s="48">
        <f ca="1">IFERROR(__xludf.DUMMYFUNCTION("""COMPUTED_VALUE"""),42200)</f>
        <v>42200</v>
      </c>
      <c r="H158" s="36" t="str">
        <f ca="1">IFERROR(__xludf.DUMMYFUNCTION("""COMPUTED_VALUE"""),"Ortigosa De Cameros")</f>
        <v>Ortigosa De Cameros</v>
      </c>
      <c r="I158" s="36" t="str">
        <f ca="1">IFERROR(__xludf.DUMMYFUNCTION("""COMPUTED_VALUE"""),"Las Tenadas")</f>
        <v>Las Tenadas</v>
      </c>
      <c r="J158" s="36" t="str">
        <f ca="1">IFERROR(__xludf.DUMMYFUNCTION("""COMPUTED_VALUE"""),"")</f>
        <v/>
      </c>
      <c r="K158" s="36" t="str">
        <f ca="1">IFERROR(__xludf.DUMMYFUNCTION("""COMPUTED_VALUE"""),"")</f>
        <v/>
      </c>
      <c r="L158" s="36" t="str">
        <f ca="1">IFERROR(__xludf.DUMMYFUNCTION("""COMPUTED_VALUE"""),"")</f>
        <v/>
      </c>
      <c r="M158" s="36" t="str">
        <f ca="1">IFERROR(__xludf.DUMMYFUNCTION("""COMPUTED_VALUE"""),"")</f>
        <v/>
      </c>
      <c r="N158" s="36" t="str">
        <f ca="1">IFERROR(__xludf.DUMMYFUNCTION("""COMPUTED_VALUE"""),"")</f>
        <v/>
      </c>
      <c r="O158" s="36" t="str">
        <f ca="1">IFERROR(__xludf.DUMMYFUNCTION("""COMPUTED_VALUE"""),"")</f>
        <v/>
      </c>
      <c r="P158" s="36" t="str">
        <f ca="1">IFERROR(__xludf.DUMMYFUNCTION("""COMPUTED_VALUE"""),"")</f>
        <v/>
      </c>
      <c r="Q158" s="36" t="str">
        <f ca="1">IFERROR(__xludf.DUMMYFUNCTION("""COMPUTED_VALUE"""),"")</f>
        <v/>
      </c>
      <c r="R158" s="36" t="str">
        <f ca="1">IFERROR(__xludf.DUMMYFUNCTION("""COMPUTED_VALUE"""),"")</f>
        <v/>
      </c>
      <c r="S158" s="36" t="str">
        <f ca="1">IFERROR(__xludf.DUMMYFUNCTION("""COMPUTED_VALUE"""),"")</f>
        <v/>
      </c>
      <c r="T158" s="36" t="str">
        <f ca="1">IFERROR(__xludf.DUMMYFUNCTION("""COMPUTED_VALUE"""),"")</f>
        <v/>
      </c>
      <c r="U158" s="36" t="str">
        <f ca="1">IFERROR(__xludf.DUMMYFUNCTION("""COMPUTED_VALUE"""),"")</f>
        <v/>
      </c>
      <c r="V158" s="36" t="str">
        <f ca="1">IFERROR(__xludf.DUMMYFUNCTION("""COMPUTED_VALUE"""),"")</f>
        <v/>
      </c>
      <c r="W158" s="36" t="str">
        <f ca="1">IFERROR(__xludf.DUMMYFUNCTION("""COMPUTED_VALUE"""),"")</f>
        <v/>
      </c>
      <c r="X158" s="36"/>
      <c r="Y158" s="36"/>
      <c r="Z158" s="36"/>
    </row>
    <row r="159" spans="1:26" ht="12.75" hidden="1">
      <c r="A159" s="36" t="str">
        <f ca="1">IFERROR(__xludf.DUMMYFUNCTION("""COMPUTED_VALUE"""),"Madrid, Comunidad De")</f>
        <v>Madrid, Comunidad De</v>
      </c>
      <c r="B159" s="36" t="str">
        <f ca="1">IFERROR(__xludf.DUMMYFUNCTION("""COMPUTED_VALUE"""),"Madrid")</f>
        <v>Madrid</v>
      </c>
      <c r="C159" s="36">
        <f ca="1">IFERROR(__xludf.DUMMYFUNCTION("""COMPUTED_VALUE"""),2017)</f>
        <v>2017</v>
      </c>
      <c r="D159" s="36" t="str">
        <f ca="1">IFERROR(__xludf.DUMMYFUNCTION("""COMPUTED_VALUE"""),"Altaira")</f>
        <v>Altaira</v>
      </c>
      <c r="E159" s="36" t="str">
        <f ca="1">IFERROR(__xludf.DUMMYFUNCTION("""COMPUTED_VALUE"""),"gs.altaira@scoutsdemadrid.org ")</f>
        <v xml:space="preserve">gs.altaira@scoutsdemadrid.org </v>
      </c>
      <c r="F159" s="48">
        <f ca="1">IFERROR(__xludf.DUMMYFUNCTION("""COMPUTED_VALUE"""),42921)</f>
        <v>42921</v>
      </c>
      <c r="G159" s="48">
        <f ca="1">IFERROR(__xludf.DUMMYFUNCTION("""COMPUTED_VALUE"""),42931)</f>
        <v>42931</v>
      </c>
      <c r="H159" s="36" t="str">
        <f ca="1">IFERROR(__xludf.DUMMYFUNCTION("""COMPUTED_VALUE"""),"La Acebeda")</f>
        <v>La Acebeda</v>
      </c>
      <c r="I159" s="36" t="str">
        <f ca="1">IFERROR(__xludf.DUMMYFUNCTION("""COMPUTED_VALUE"""),"Camping municipal de La Acebeda")</f>
        <v>Camping municipal de La Acebeda</v>
      </c>
      <c r="J159" s="36" t="str">
        <f ca="1">IFERROR(__xludf.DUMMYFUNCTION("""COMPUTED_VALUE"""),"")</f>
        <v/>
      </c>
      <c r="K159" s="36" t="str">
        <f ca="1">IFERROR(__xludf.DUMMYFUNCTION("""COMPUTED_VALUE"""),"")</f>
        <v/>
      </c>
      <c r="L159" s="36" t="str">
        <f ca="1">IFERROR(__xludf.DUMMYFUNCTION("""COMPUTED_VALUE"""),"Jose Luis")</f>
        <v>Jose Luis</v>
      </c>
      <c r="M159" s="36" t="str">
        <f ca="1">IFERROR(__xludf.DUMMYFUNCTION("""COMPUTED_VALUE"""),"")</f>
        <v/>
      </c>
      <c r="N159" s="36" t="str">
        <f ca="1">IFERROR(__xludf.DUMMYFUNCTION("""COMPUTED_VALUE"""),"")</f>
        <v/>
      </c>
      <c r="O159" s="36" t="str">
        <f ca="1">IFERROR(__xludf.DUMMYFUNCTION("""COMPUTED_VALUE"""),"")</f>
        <v/>
      </c>
      <c r="P159" s="36" t="str">
        <f ca="1">IFERROR(__xludf.DUMMYFUNCTION("""COMPUTED_VALUE"""),"")</f>
        <v/>
      </c>
      <c r="Q159" s="36" t="str">
        <f ca="1">IFERROR(__xludf.DUMMYFUNCTION("""COMPUTED_VALUE"""),"BUENO (Se puede acceder con cualquier coche)")</f>
        <v>BUENO (Se puede acceder con cualquier coche)</v>
      </c>
      <c r="R159" s="36" t="str">
        <f ca="1">IFERROR(__xludf.DUMMYFUNCTION("""COMPUTED_VALUE"""),"Sí")</f>
        <v>Sí</v>
      </c>
      <c r="S159" s="36" t="str">
        <f ca="1">IFERROR(__xludf.DUMMYFUNCTION("""COMPUTED_VALUE"""),"Piscina")</f>
        <v>Piscina</v>
      </c>
      <c r="T159" s="36" t="str">
        <f ca="1">IFERROR(__xludf.DUMMYFUNCTION("""COMPUTED_VALUE"""),"bien")</f>
        <v>bien</v>
      </c>
      <c r="U159" s="36" t="str">
        <f ca="1">IFERROR(__xludf.DUMMYFUNCTION("""COMPUTED_VALUE"""),"Básicas, cocina, baños,")</f>
        <v>Básicas, cocina, baños,</v>
      </c>
      <c r="V159" s="36" t="str">
        <f ca="1">IFERROR(__xludf.DUMMYFUNCTION("""COMPUTED_VALUE"""),"no")</f>
        <v>no</v>
      </c>
      <c r="W159" s="36" t="str">
        <f ca="1">IFERROR(__xludf.DUMMYFUNCTION("""COMPUTED_VALUE"""),"Para nuestro grupo pequeño perfecto")</f>
        <v>Para nuestro grupo pequeño perfecto</v>
      </c>
      <c r="X159" s="36"/>
      <c r="Y159" s="36"/>
      <c r="Z159" s="36"/>
    </row>
    <row r="160" spans="1:26" ht="12.75" hidden="1">
      <c r="A160" s="36" t="str">
        <f ca="1">IFERROR(__xludf.DUMMYFUNCTION("""COMPUTED_VALUE"""),"Madrid, Comunidad De")</f>
        <v>Madrid, Comunidad De</v>
      </c>
      <c r="B160" s="36" t="str">
        <f ca="1">IFERROR(__xludf.DUMMYFUNCTION("""COMPUTED_VALUE"""),"Madrid")</f>
        <v>Madrid</v>
      </c>
      <c r="C160" s="36">
        <f ca="1">IFERROR(__xludf.DUMMYFUNCTION("""COMPUTED_VALUE"""),2015)</f>
        <v>2015</v>
      </c>
      <c r="D160" s="36" t="str">
        <f ca="1">IFERROR(__xludf.DUMMYFUNCTION("""COMPUTED_VALUE"""),"Altaira")</f>
        <v>Altaira</v>
      </c>
      <c r="E160" s="36" t="str">
        <f ca="1">IFERROR(__xludf.DUMMYFUNCTION("""COMPUTED_VALUE"""),"gs.altaira@scoutsdemadrid.org ")</f>
        <v xml:space="preserve">gs.altaira@scoutsdemadrid.org </v>
      </c>
      <c r="F160" s="48">
        <f ca="1">IFERROR(__xludf.DUMMYFUNCTION("""COMPUTED_VALUE"""),42188)</f>
        <v>42188</v>
      </c>
      <c r="G160" s="48">
        <f ca="1">IFERROR(__xludf.DUMMYFUNCTION("""COMPUTED_VALUE"""),42197)</f>
        <v>42197</v>
      </c>
      <c r="H160" s="36" t="str">
        <f ca="1">IFERROR(__xludf.DUMMYFUNCTION("""COMPUTED_VALUE"""),"La Acebeda")</f>
        <v>La Acebeda</v>
      </c>
      <c r="I160" s="36" t="str">
        <f ca="1">IFERROR(__xludf.DUMMYFUNCTION("""COMPUTED_VALUE"""),"Camping La Acebeda")</f>
        <v>Camping La Acebeda</v>
      </c>
      <c r="J160" s="36" t="str">
        <f ca="1">IFERROR(__xludf.DUMMYFUNCTION("""COMPUTED_VALUE"""),"")</f>
        <v/>
      </c>
      <c r="K160" s="36" t="str">
        <f ca="1">IFERROR(__xludf.DUMMYFUNCTION("""COMPUTED_VALUE"""),"")</f>
        <v/>
      </c>
      <c r="L160" s="36" t="str">
        <f ca="1">IFERROR(__xludf.DUMMYFUNCTION("""COMPUTED_VALUE"""),"")</f>
        <v/>
      </c>
      <c r="M160" s="36" t="str">
        <f ca="1">IFERROR(__xludf.DUMMYFUNCTION("""COMPUTED_VALUE"""),"")</f>
        <v/>
      </c>
      <c r="N160" s="36" t="str">
        <f ca="1">IFERROR(__xludf.DUMMYFUNCTION("""COMPUTED_VALUE"""),"")</f>
        <v/>
      </c>
      <c r="O160" s="36" t="str">
        <f ca="1">IFERROR(__xludf.DUMMYFUNCTION("""COMPUTED_VALUE"""),"")</f>
        <v/>
      </c>
      <c r="P160" s="36" t="str">
        <f ca="1">IFERROR(__xludf.DUMMYFUNCTION("""COMPUTED_VALUE"""),"")</f>
        <v/>
      </c>
      <c r="Q160" s="36" t="str">
        <f ca="1">IFERROR(__xludf.DUMMYFUNCTION("""COMPUTED_VALUE"""),"")</f>
        <v/>
      </c>
      <c r="R160" s="36" t="str">
        <f ca="1">IFERROR(__xludf.DUMMYFUNCTION("""COMPUTED_VALUE"""),"")</f>
        <v/>
      </c>
      <c r="S160" s="36" t="str">
        <f ca="1">IFERROR(__xludf.DUMMYFUNCTION("""COMPUTED_VALUE"""),"")</f>
        <v/>
      </c>
      <c r="T160" s="36" t="str">
        <f ca="1">IFERROR(__xludf.DUMMYFUNCTION("""COMPUTED_VALUE"""),"")</f>
        <v/>
      </c>
      <c r="U160" s="36" t="str">
        <f ca="1">IFERROR(__xludf.DUMMYFUNCTION("""COMPUTED_VALUE"""),"")</f>
        <v/>
      </c>
      <c r="V160" s="36" t="str">
        <f ca="1">IFERROR(__xludf.DUMMYFUNCTION("""COMPUTED_VALUE"""),"")</f>
        <v/>
      </c>
      <c r="W160" s="36" t="str">
        <f ca="1">IFERROR(__xludf.DUMMYFUNCTION("""COMPUTED_VALUE"""),"")</f>
        <v/>
      </c>
      <c r="X160" s="36"/>
      <c r="Y160" s="36"/>
      <c r="Z160" s="36"/>
    </row>
    <row r="161" spans="1:26" ht="12.75" hidden="1">
      <c r="A161" s="36" t="str">
        <f ca="1">IFERROR(__xludf.DUMMYFUNCTION("""COMPUTED_VALUE"""),"Madrid, Comunidad De")</f>
        <v>Madrid, Comunidad De</v>
      </c>
      <c r="B161" s="36" t="str">
        <f ca="1">IFERROR(__xludf.DUMMYFUNCTION("""COMPUTED_VALUE"""),"Madrid")</f>
        <v>Madrid</v>
      </c>
      <c r="C161" s="36">
        <f ca="1">IFERROR(__xludf.DUMMYFUNCTION("""COMPUTED_VALUE"""),2018)</f>
        <v>2018</v>
      </c>
      <c r="D161" s="36" t="str">
        <f ca="1">IFERROR(__xludf.DUMMYFUNCTION("""COMPUTED_VALUE"""),"Altaira")</f>
        <v>Altaira</v>
      </c>
      <c r="E161" s="36" t="str">
        <f ca="1">IFERROR(__xludf.DUMMYFUNCTION("""COMPUTED_VALUE"""),"gs.altaira@scoutsdemadrid.org ")</f>
        <v xml:space="preserve">gs.altaira@scoutsdemadrid.org </v>
      </c>
      <c r="F161" s="55">
        <f ca="1">IFERROR(__xludf.DUMMYFUNCTION("""COMPUTED_VALUE"""),42557)</f>
        <v>42557</v>
      </c>
      <c r="G161" s="55">
        <f ca="1">IFERROR(__xludf.DUMMYFUNCTION("""COMPUTED_VALUE"""),42566)</f>
        <v>42566</v>
      </c>
      <c r="H161" s="36" t="str">
        <f ca="1">IFERROR(__xludf.DUMMYFUNCTION("""COMPUTED_VALUE"""),"La Acebeda")</f>
        <v>La Acebeda</v>
      </c>
      <c r="I161" s="36" t="str">
        <f ca="1">IFERROR(__xludf.DUMMYFUNCTION("""COMPUTED_VALUE"""),"Camping La Acebeda")</f>
        <v>Camping La Acebeda</v>
      </c>
      <c r="J161" s="36" t="str">
        <f ca="1">IFERROR(__xludf.DUMMYFUNCTION("""COMPUTED_VALUE"""),"")</f>
        <v/>
      </c>
      <c r="K161" s="36" t="str">
        <f ca="1">IFERROR(__xludf.DUMMYFUNCTION("""COMPUTED_VALUE"""),"")</f>
        <v/>
      </c>
      <c r="L161" s="36" t="str">
        <f ca="1">IFERROR(__xludf.DUMMYFUNCTION("""COMPUTED_VALUE"""),"")</f>
        <v/>
      </c>
      <c r="M161" s="36">
        <f ca="1">IFERROR(__xludf.DUMMYFUNCTION("""COMPUTED_VALUE"""),659729841)</f>
        <v>659729841</v>
      </c>
      <c r="N161" s="36" t="str">
        <f ca="1">IFERROR(__xludf.DUMMYFUNCTION("""COMPUTED_VALUE"""),"info@campinglaacebeda.com")</f>
        <v>info@campinglaacebeda.com</v>
      </c>
      <c r="O161" s="36" t="str">
        <f ca="1">IFERROR(__xludf.DUMMYFUNCTION("""COMPUTED_VALUE"""),"")</f>
        <v/>
      </c>
      <c r="P161" s="36" t="str">
        <f ca="1">IFERROR(__xludf.DUMMYFUNCTION("""COMPUTED_VALUE"""),"")</f>
        <v/>
      </c>
      <c r="Q161" s="36" t="str">
        <f ca="1">IFERROR(__xludf.DUMMYFUNCTION("""COMPUTED_VALUE"""),"BUENO (Se puede acceder con cualquier coche)")</f>
        <v>BUENO (Se puede acceder con cualquier coche)</v>
      </c>
      <c r="R161" s="36" t="str">
        <f ca="1">IFERROR(__xludf.DUMMYFUNCTION("""COMPUTED_VALUE"""),"Sí")</f>
        <v>Sí</v>
      </c>
      <c r="S161" s="36" t="str">
        <f ca="1">IFERROR(__xludf.DUMMYFUNCTION("""COMPUTED_VALUE"""),"Piscina")</f>
        <v>Piscina</v>
      </c>
      <c r="T161" s="36" t="str">
        <f ca="1">IFERROR(__xludf.DUMMYFUNCTION("""COMPUTED_VALUE"""),"piscina artificial")</f>
        <v>piscina artificial</v>
      </c>
      <c r="U161" s="36" t="str">
        <f ca="1">IFERROR(__xludf.DUMMYFUNCTION("""COMPUTED_VALUE"""),"Cocina, baños, aseos, duchas y comedor")</f>
        <v>Cocina, baños, aseos, duchas y comedor</v>
      </c>
      <c r="V161" s="36" t="str">
        <f ca="1">IFERROR(__xludf.DUMMYFUNCTION("""COMPUTED_VALUE"""),"no")</f>
        <v>no</v>
      </c>
      <c r="W161" s="36" t="str">
        <f ca="1">IFERROR(__xludf.DUMMYFUNCTION("""COMPUTED_VALUE"""),"")</f>
        <v/>
      </c>
      <c r="X161" s="36"/>
      <c r="Y161" s="36"/>
      <c r="Z161" s="36"/>
    </row>
    <row r="162" spans="1:26" ht="12.75" hidden="1">
      <c r="A162" s="36" t="str">
        <f ca="1">IFERROR(__xludf.DUMMYFUNCTION("""COMPUTED_VALUE"""),"Madrid, Comunidad De")</f>
        <v>Madrid, Comunidad De</v>
      </c>
      <c r="B162" s="36" t="str">
        <f ca="1">IFERROR(__xludf.DUMMYFUNCTION("""COMPUTED_VALUE"""),"Madrid")</f>
        <v>Madrid</v>
      </c>
      <c r="C162" s="36">
        <f ca="1">IFERROR(__xludf.DUMMYFUNCTION("""COMPUTED_VALUE"""),2018)</f>
        <v>2018</v>
      </c>
      <c r="D162" s="36" t="str">
        <f ca="1">IFERROR(__xludf.DUMMYFUNCTION("""COMPUTED_VALUE"""),"Altaira")</f>
        <v>Altaira</v>
      </c>
      <c r="E162" s="36" t="str">
        <f ca="1">IFERROR(__xludf.DUMMYFUNCTION("""COMPUTED_VALUE"""),"gs.altaira@scoutsdemadrid.org ")</f>
        <v xml:space="preserve">gs.altaira@scoutsdemadrid.org </v>
      </c>
      <c r="F162" s="48">
        <f ca="1">IFERROR(__xludf.DUMMYFUNCTION("""COMPUTED_VALUE"""),43286)</f>
        <v>43286</v>
      </c>
      <c r="G162" s="48">
        <f ca="1">IFERROR(__xludf.DUMMYFUNCTION("""COMPUTED_VALUE"""),43296)</f>
        <v>43296</v>
      </c>
      <c r="H162" s="36" t="str">
        <f ca="1">IFERROR(__xludf.DUMMYFUNCTION("""COMPUTED_VALUE"""),"Los Molinos")</f>
        <v>Los Molinos</v>
      </c>
      <c r="I162" s="36" t="str">
        <f ca="1">IFERROR(__xludf.DUMMYFUNCTION("""COMPUTED_VALUE"""),"Albergue San José")</f>
        <v>Albergue San José</v>
      </c>
      <c r="J162" s="36" t="str">
        <f ca="1">IFERROR(__xludf.DUMMYFUNCTION("""COMPUTED_VALUE"""),"No lo sé")</f>
        <v>No lo sé</v>
      </c>
      <c r="K162" s="36" t="str">
        <f ca="1">IFERROR(__xludf.DUMMYFUNCTION("""COMPUTED_VALUE"""),"No lo sé")</f>
        <v>No lo sé</v>
      </c>
      <c r="L162" s="36" t="str">
        <f ca="1">IFERROR(__xludf.DUMMYFUNCTION("""COMPUTED_VALUE"""),"Hermano Jose Antonio")</f>
        <v>Hermano Jose Antonio</v>
      </c>
      <c r="M162" s="36">
        <f ca="1">IFERROR(__xludf.DUMMYFUNCTION("""COMPUTED_VALUE"""),918550004)</f>
        <v>918550004</v>
      </c>
      <c r="N162" s="36" t="str">
        <f ca="1">IFERROR(__xludf.DUMMYFUNCTION("""COMPUTED_VALUE"""),"hmlosmolinos@maristasiberica.es")</f>
        <v>hmlosmolinos@maristasiberica.es</v>
      </c>
      <c r="O162" s="36" t="str">
        <f ca="1">IFERROR(__xludf.DUMMYFUNCTION("""COMPUTED_VALUE"""),"80 Euros")</f>
        <v>80 Euros</v>
      </c>
      <c r="P162" s="36" t="str">
        <f ca="1">IFERROR(__xludf.DUMMYFUNCTION("""COMPUTED_VALUE"""),"Espacios comunes compartidos")</f>
        <v>Espacios comunes compartidos</v>
      </c>
      <c r="Q162" s="36" t="str">
        <f ca="1">IFERROR(__xludf.DUMMYFUNCTION("""COMPUTED_VALUE"""),"BUENO (Se puede acceder con cualquier coche)")</f>
        <v>BUENO (Se puede acceder con cualquier coche)</v>
      </c>
      <c r="R162" s="36" t="str">
        <f ca="1">IFERROR(__xludf.DUMMYFUNCTION("""COMPUTED_VALUE"""),"Sí")</f>
        <v>Sí</v>
      </c>
      <c r="S162" s="36" t="str">
        <f ca="1">IFERROR(__xludf.DUMMYFUNCTION("""COMPUTED_VALUE"""),"Piscina municipal")</f>
        <v>Piscina municipal</v>
      </c>
      <c r="T162" s="36" t="str">
        <f ca="1">IFERROR(__xludf.DUMMYFUNCTION("""COMPUTED_VALUE"""),"Buena")</f>
        <v>Buena</v>
      </c>
      <c r="U162" s="36" t="str">
        <f ca="1">IFERROR(__xludf.DUMMYFUNCTION("""COMPUTED_VALUE"""),"Albergue")</f>
        <v>Albergue</v>
      </c>
      <c r="V162" s="36" t="str">
        <f ca="1">IFERROR(__xludf.DUMMYFUNCTION("""COMPUTED_VALUE"""),"no")</f>
        <v>no</v>
      </c>
      <c r="W162" s="36" t="str">
        <f ca="1">IFERROR(__xludf.DUMMYFUNCTION("""COMPUTED_VALUE"""),"Bueno")</f>
        <v>Bueno</v>
      </c>
      <c r="X162" s="36"/>
      <c r="Y162" s="36"/>
      <c r="Z162" s="36"/>
    </row>
    <row r="163" spans="1:26" ht="12.75" hidden="1">
      <c r="A163" s="36" t="str">
        <f ca="1">IFERROR(__xludf.DUMMYFUNCTION("""COMPUTED_VALUE"""),"Madrid, Comunidad De")</f>
        <v>Madrid, Comunidad De</v>
      </c>
      <c r="B163" s="36" t="str">
        <f ca="1">IFERROR(__xludf.DUMMYFUNCTION("""COMPUTED_VALUE"""),"Madrid")</f>
        <v>Madrid</v>
      </c>
      <c r="C163" s="36">
        <f ca="1">IFERROR(__xludf.DUMMYFUNCTION("""COMPUTED_VALUE"""),2018)</f>
        <v>2018</v>
      </c>
      <c r="D163" s="36" t="str">
        <f ca="1">IFERROR(__xludf.DUMMYFUNCTION("""COMPUTED_VALUE"""),"Orión")</f>
        <v>Orión</v>
      </c>
      <c r="E163" s="36" t="str">
        <f ca="1">IFERROR(__xludf.DUMMYFUNCTION("""COMPUTED_VALUE"""),"gs.orion@scoutsdemadrid.org ")</f>
        <v xml:space="preserve">gs.orion@scoutsdemadrid.org </v>
      </c>
      <c r="F163" s="48">
        <f ca="1">IFERROR(__xludf.DUMMYFUNCTION("""COMPUTED_VALUE"""),43298)</f>
        <v>43298</v>
      </c>
      <c r="G163" s="48">
        <f ca="1">IFERROR(__xludf.DUMMYFUNCTION("""COMPUTED_VALUE"""),43311)</f>
        <v>43311</v>
      </c>
      <c r="H163" s="36" t="str">
        <f ca="1">IFERROR(__xludf.DUMMYFUNCTION("""COMPUTED_VALUE"""),"Navalagamella")</f>
        <v>Navalagamella</v>
      </c>
      <c r="I163" s="36" t="str">
        <f ca="1">IFERROR(__xludf.DUMMYFUNCTION("""COMPUTED_VALUE"""),"Albergue La Frontera")</f>
        <v>Albergue La Frontera</v>
      </c>
      <c r="J163" s="36" t="str">
        <f ca="1">IFERROR(__xludf.DUMMYFUNCTION("""COMPUTED_VALUE"""),"001100100VK08B0001RE")</f>
        <v>001100100VK08B0001RE</v>
      </c>
      <c r="K163" s="36" t="str">
        <f ca="1">IFERROR(__xludf.DUMMYFUNCTION("""COMPUTED_VALUE"""),"40°28'35.4""N 4°06'42.8""W")</f>
        <v>40°28'35.4"N 4°06'42.8"W</v>
      </c>
      <c r="L163" s="36" t="str">
        <f ca="1">IFERROR(__xludf.DUMMYFUNCTION("""COMPUTED_VALUE"""),"Asociación La Frontera")</f>
        <v>Asociación La Frontera</v>
      </c>
      <c r="M163" s="36">
        <f ca="1">IFERROR(__xludf.DUMMYFUNCTION("""COMPUTED_VALUE"""),917384740)</f>
        <v>917384740</v>
      </c>
      <c r="N163" s="36" t="str">
        <f ca="1">IFERROR(__xludf.DUMMYFUNCTION("""COMPUTED_VALUE"""),"reservas@alberguelafrontera.es")</f>
        <v>reservas@alberguelafrontera.es</v>
      </c>
      <c r="O163" s="36" t="str">
        <f ca="1">IFERROR(__xludf.DUMMYFUNCTION("""COMPUTED_VALUE"""),"60 € /pax /quincena")</f>
        <v>60 € /pax /quincena</v>
      </c>
      <c r="P163" s="36" t="str">
        <f ca="1">IFERROR(__xludf.DUMMYFUNCTION("""COMPUTED_VALUE"""),"6 ha")</f>
        <v>6 ha</v>
      </c>
      <c r="Q163" s="36" t="str">
        <f ca="1">IFERROR(__xludf.DUMMYFUNCTION("""COMPUTED_VALUE"""),"BUENO (Se puede acceder con cualquier coche)")</f>
        <v>BUENO (Se puede acceder con cualquier coche)</v>
      </c>
      <c r="R163" s="36" t="str">
        <f ca="1">IFERROR(__xludf.DUMMYFUNCTION("""COMPUTED_VALUE"""),"Sí")</f>
        <v>Sí</v>
      </c>
      <c r="S163" s="36" t="str">
        <f ca="1">IFERROR(__xludf.DUMMYFUNCTION("""COMPUTED_VALUE"""),"1,5 km")</f>
        <v>1,5 km</v>
      </c>
      <c r="T163" s="36" t="str">
        <f ca="1">IFERROR(__xludf.DUMMYFUNCTION("""COMPUTED_VALUE"""),"Piscina a 1,5 km")</f>
        <v>Piscina a 1,5 km</v>
      </c>
      <c r="U163" s="36" t="str">
        <f ca="1">IFERROR(__xludf.DUMMYFUNCTION("""COMPUTED_VALUE"""),"Cocina, comedor, aseos, wc, duchas, salas, almacén")</f>
        <v>Cocina, comedor, aseos, wc, duchas, salas, almacén</v>
      </c>
      <c r="V163" s="36" t="str">
        <f ca="1">IFERROR(__xludf.DUMMYFUNCTION("""COMPUTED_VALUE"""),"Sí")</f>
        <v>Sí</v>
      </c>
      <c r="W163" s="36" t="str">
        <f ca="1">IFERROR(__xludf.DUMMYFUNCTION("""COMPUTED_VALUE"""),"Bien")</f>
        <v>Bien</v>
      </c>
      <c r="X163" s="36"/>
      <c r="Y163" s="36"/>
      <c r="Z163" s="36"/>
    </row>
    <row r="164" spans="1:26" ht="12.75" hidden="1">
      <c r="A164" s="36" t="str">
        <f ca="1">IFERROR(__xludf.DUMMYFUNCTION("""COMPUTED_VALUE"""),"Madrid, Comunidad De")</f>
        <v>Madrid, Comunidad De</v>
      </c>
      <c r="B164" s="36" t="str">
        <f ca="1">IFERROR(__xludf.DUMMYFUNCTION("""COMPUTED_VALUE"""),"Madrid")</f>
        <v>Madrid</v>
      </c>
      <c r="C164" s="36">
        <f ca="1">IFERROR(__xludf.DUMMYFUNCTION("""COMPUTED_VALUE"""),2018)</f>
        <v>2018</v>
      </c>
      <c r="D164" s="36" t="str">
        <f ca="1">IFERROR(__xludf.DUMMYFUNCTION("""COMPUTED_VALUE"""),"Calasanz Val")</f>
        <v>Calasanz Val</v>
      </c>
      <c r="E164" s="36" t="str">
        <f ca="1">IFERROR(__xludf.DUMMYFUNCTION("""COMPUTED_VALUE"""),"gs.calasanzval@scoutsdemadrid.org  ")</f>
        <v xml:space="preserve">gs.calasanzval@scoutsdemadrid.org  </v>
      </c>
      <c r="F164" s="48">
        <f ca="1">IFERROR(__xludf.DUMMYFUNCTION("""COMPUTED_VALUE"""),43282)</f>
        <v>43282</v>
      </c>
      <c r="G164" s="48">
        <f ca="1">IFERROR(__xludf.DUMMYFUNCTION("""COMPUTED_VALUE"""),43296)</f>
        <v>43296</v>
      </c>
      <c r="H164" s="36" t="str">
        <f ca="1">IFERROR(__xludf.DUMMYFUNCTION("""COMPUTED_VALUE"""),"Alcalá De Henares")</f>
        <v>Alcalá De Henares</v>
      </c>
      <c r="I164" s="36" t="str">
        <f ca="1">IFERROR(__xludf.DUMMYFUNCTION("""COMPUTED_VALUE"""),"Albergue la Fuente Fría")</f>
        <v>Albergue la Fuente Fría</v>
      </c>
      <c r="J164" s="36" t="str">
        <f ca="1">IFERROR(__xludf.DUMMYFUNCTION("""COMPUTED_VALUE"""),"No lo sé")</f>
        <v>No lo sé</v>
      </c>
      <c r="K164" s="36" t="str">
        <f ca="1">IFERROR(__xludf.DUMMYFUNCTION("""COMPUTED_VALUE"""),"Latitud 40.142987 Longitud: -4.703189")</f>
        <v>Latitud 40.142987 Longitud: -4.703189</v>
      </c>
      <c r="L164" s="36" t="str">
        <f ca="1">IFERROR(__xludf.DUMMYFUNCTION("""COMPUTED_VALUE"""),"Viriato Naturaventur S.L.")</f>
        <v>Viriato Naturaventur S.L.</v>
      </c>
      <c r="M164" s="36">
        <f ca="1">IFERROR(__xludf.DUMMYFUNCTION("""COMPUTED_VALUE"""),618826205)</f>
        <v>618826205</v>
      </c>
      <c r="N164" s="36" t="str">
        <f ca="1">IFERROR(__xludf.DUMMYFUNCTION("""COMPUTED_VALUE"""),"info@alberguefuentefria.com")</f>
        <v>info@alberguefuentefria.com</v>
      </c>
      <c r="O164" s="36" t="str">
        <f ca="1">IFERROR(__xludf.DUMMYFUNCTION("""COMPUTED_VALUE"""),"5 euros por persona por día")</f>
        <v>5 euros por persona por día</v>
      </c>
      <c r="P164" s="36" t="str">
        <f ca="1">IFERROR(__xludf.DUMMYFUNCTION("""COMPUTED_VALUE"""),"2 hectareas")</f>
        <v>2 hectareas</v>
      </c>
      <c r="Q164" s="36" t="str">
        <f ca="1">IFERROR(__xludf.DUMMYFUNCTION("""COMPUTED_VALUE"""),"REGULAR (Se puede acceder con un coche normal con dificultad)")</f>
        <v>REGULAR (Se puede acceder con un coche normal con dificultad)</v>
      </c>
      <c r="R164" s="36" t="str">
        <f ca="1">IFERROR(__xludf.DUMMYFUNCTION("""COMPUTED_VALUE"""),"Sí")</f>
        <v>Sí</v>
      </c>
      <c r="S164" s="36" t="str">
        <f ca="1">IFERROR(__xludf.DUMMYFUNCTION("""COMPUTED_VALUE"""),"1,3 km")</f>
        <v>1,3 km</v>
      </c>
      <c r="T164" s="36" t="str">
        <f ca="1">IFERROR(__xludf.DUMMYFUNCTION("""COMPUTED_VALUE"""),"Es una piscina municipal")</f>
        <v>Es una piscina municipal</v>
      </c>
      <c r="U164" s="36" t="str">
        <f ca="1">IFERROR(__xludf.DUMMYFUNCTION("""COMPUTED_VALUE"""),"Tiene albergue, cocina, baños, comedor, sala multiusos")</f>
        <v>Tiene albergue, cocina, baños, comedor, sala multiusos</v>
      </c>
      <c r="V164" s="36" t="str">
        <f ca="1">IFERROR(__xludf.DUMMYFUNCTION("""COMPUTED_VALUE"""),"No lo sé")</f>
        <v>No lo sé</v>
      </c>
      <c r="W164" s="36" t="str">
        <f ca="1">IFERROR(__xludf.DUMMYFUNCTION("""COMPUTED_VALUE"""),"Buen precio y buen trato")</f>
        <v>Buen precio y buen trato</v>
      </c>
      <c r="X164" s="36"/>
      <c r="Y164" s="36"/>
      <c r="Z164" s="36"/>
    </row>
    <row r="165" spans="1:26" ht="12.75" hidden="1">
      <c r="A165" s="36" t="str">
        <f ca="1">IFERROR(__xludf.DUMMYFUNCTION("""COMPUTED_VALUE"""),"Madrid, Comunidad De")</f>
        <v>Madrid, Comunidad De</v>
      </c>
      <c r="B165" s="36" t="str">
        <f ca="1">IFERROR(__xludf.DUMMYFUNCTION("""COMPUTED_VALUE"""),"Madrid")</f>
        <v>Madrid</v>
      </c>
      <c r="C165" s="36">
        <f ca="1">IFERROR(__xludf.DUMMYFUNCTION("""COMPUTED_VALUE"""),2019)</f>
        <v>2019</v>
      </c>
      <c r="D165" s="36" t="str">
        <f ca="1">IFERROR(__xludf.DUMMYFUNCTION("""COMPUTED_VALUE"""),"Madre Del Rosario")</f>
        <v>Madre Del Rosario</v>
      </c>
      <c r="E165" s="36" t="str">
        <f ca="1">IFERROR(__xludf.DUMMYFUNCTION("""COMPUTED_VALUE"""),"gs.madredelrosario@scoutsdemadrid.org ")</f>
        <v xml:space="preserve">gs.madredelrosario@scoutsdemadrid.org </v>
      </c>
      <c r="F165" s="48">
        <f ca="1">IFERROR(__xludf.DUMMYFUNCTION("""COMPUTED_VALUE"""),43639)</f>
        <v>43639</v>
      </c>
      <c r="G165" s="48">
        <f ca="1">IFERROR(__xludf.DUMMYFUNCTION("""COMPUTED_VALUE"""),43644)</f>
        <v>43644</v>
      </c>
      <c r="H165" s="36" t="str">
        <f ca="1">IFERROR(__xludf.DUMMYFUNCTION("""COMPUTED_VALUE"""),"Navalagamella")</f>
        <v>Navalagamella</v>
      </c>
      <c r="I165" s="36" t="str">
        <f ca="1">IFERROR(__xludf.DUMMYFUNCTION("""COMPUTED_VALUE"""),"Campamento- Albergue ""La Frontera""")</f>
        <v>Campamento- Albergue "La Frontera"</v>
      </c>
      <c r="J165" s="36" t="str">
        <f ca="1">IFERROR(__xludf.DUMMYFUNCTION("""COMPUTED_VALUE"""),"-")</f>
        <v>-</v>
      </c>
      <c r="K165" s="36" t="str">
        <f ca="1">IFERROR(__xludf.DUMMYFUNCTION("""COMPUTED_VALUE"""),"(40.4746557, -4.1107207)")</f>
        <v>(40.4746557, -4.1107207)</v>
      </c>
      <c r="L165" s="36" t="str">
        <f ca="1">IFERROR(__xludf.DUMMYFUNCTION("""COMPUTED_VALUE"""),"Asociación ""La Frontera""")</f>
        <v>Asociación "La Frontera"</v>
      </c>
      <c r="M165" s="36" t="str">
        <f ca="1">IFERROR(__xludf.DUMMYFUNCTION("""COMPUTED_VALUE"""),"910642219 - 646199243")</f>
        <v>910642219 - 646199243</v>
      </c>
      <c r="N165" s="36" t="str">
        <f ca="1">IFERROR(__xludf.DUMMYFUNCTION("""COMPUTED_VALUE"""),"reservas@alberguelafrontera.es")</f>
        <v>reservas@alberguelafrontera.es</v>
      </c>
      <c r="O165" s="36" t="str">
        <f ca="1">IFERROR(__xludf.DUMMYFUNCTION("""COMPUTED_VALUE"""),"Precio por persona")</f>
        <v>Precio por persona</v>
      </c>
      <c r="P165" s="36">
        <f ca="1">IFERROR(__xludf.DUMMYFUNCTION("""COMPUTED_VALUE"""),5)</f>
        <v>5</v>
      </c>
      <c r="Q165" s="36" t="str">
        <f ca="1">IFERROR(__xludf.DUMMYFUNCTION("""COMPUTED_VALUE"""),"BUENO (Se puede acceder con cualquier coche)")</f>
        <v>BUENO (Se puede acceder con cualquier coche)</v>
      </c>
      <c r="R165" s="36" t="str">
        <f ca="1">IFERROR(__xludf.DUMMYFUNCTION("""COMPUTED_VALUE"""),"Sí")</f>
        <v>Sí</v>
      </c>
      <c r="S165" s="36">
        <f ca="1">IFERROR(__xludf.DUMMYFUNCTION("""COMPUTED_VALUE"""),0)</f>
        <v>0</v>
      </c>
      <c r="T165" s="36" t="str">
        <f ca="1">IFERROR(__xludf.DUMMYFUNCTION("""COMPUTED_VALUE"""),"WC con duchas")</f>
        <v>WC con duchas</v>
      </c>
      <c r="U165" s="36" t="str">
        <f ca="1">IFERROR(__xludf.DUMMYFUNCTION("""COMPUTED_VALUE"""),"Si, cocina, comedor, salas.")</f>
        <v>Si, cocina, comedor, salas.</v>
      </c>
      <c r="V165" s="36" t="str">
        <f ca="1">IFERROR(__xludf.DUMMYFUNCTION("""COMPUTED_VALUE"""),"No")</f>
        <v>No</v>
      </c>
      <c r="W165" s="36" t="str">
        <f ca="1">IFERROR(__xludf.DUMMYFUNCTION("""COMPUTED_VALUE"""),"Albergue completo")</f>
        <v>Albergue completo</v>
      </c>
      <c r="X165" s="36"/>
      <c r="Y165" s="36"/>
      <c r="Z165" s="36"/>
    </row>
    <row r="166" spans="1:26" ht="12.75" hidden="1">
      <c r="A166" s="36" t="str">
        <f ca="1">IFERROR(__xludf.DUMMYFUNCTION("""COMPUTED_VALUE"""),"Madrid, Comunidad De")</f>
        <v>Madrid, Comunidad De</v>
      </c>
      <c r="B166" s="36" t="str">
        <f ca="1">IFERROR(__xludf.DUMMYFUNCTION("""COMPUTED_VALUE"""),"Madrid")</f>
        <v>Madrid</v>
      </c>
      <c r="C166" s="36">
        <f ca="1">IFERROR(__xludf.DUMMYFUNCTION("""COMPUTED_VALUE"""),2019)</f>
        <v>2019</v>
      </c>
      <c r="D166" s="36" t="str">
        <f ca="1">IFERROR(__xludf.DUMMYFUNCTION("""COMPUTED_VALUE"""),"Altaira")</f>
        <v>Altaira</v>
      </c>
      <c r="E166" s="36" t="str">
        <f ca="1">IFERROR(__xludf.DUMMYFUNCTION("""COMPUTED_VALUE"""),"gs.altaira@scoutsdemadrid.org ")</f>
        <v xml:space="preserve">gs.altaira@scoutsdemadrid.org </v>
      </c>
      <c r="F166" s="48">
        <f ca="1">IFERROR(__xludf.DUMMYFUNCTION("""COMPUTED_VALUE"""),43650)</f>
        <v>43650</v>
      </c>
      <c r="G166" s="48">
        <f ca="1">IFERROR(__xludf.DUMMYFUNCTION("""COMPUTED_VALUE"""),43660)</f>
        <v>43660</v>
      </c>
      <c r="H166" s="36" t="str">
        <f ca="1">IFERROR(__xludf.DUMMYFUNCTION("""COMPUTED_VALUE"""),"Los Molinos")</f>
        <v>Los Molinos</v>
      </c>
      <c r="I166" s="36" t="str">
        <f ca="1">IFERROR(__xludf.DUMMYFUNCTION("""COMPUTED_VALUE"""),"Albergue Marista San José")</f>
        <v>Albergue Marista San José</v>
      </c>
      <c r="J166" s="36" t="str">
        <f ca="1">IFERROR(__xludf.DUMMYFUNCTION("""COMPUTED_VALUE"""),"No lo se")</f>
        <v>No lo se</v>
      </c>
      <c r="K166" s="36" t="str">
        <f ca="1">IFERROR(__xludf.DUMMYFUNCTION("""COMPUTED_VALUE"""),"No lo se")</f>
        <v>No lo se</v>
      </c>
      <c r="L166" s="36" t="str">
        <f ca="1">IFERROR(__xludf.DUMMYFUNCTION("""COMPUTED_VALUE"""),"Maristas San José")</f>
        <v>Maristas San José</v>
      </c>
      <c r="M166" s="36">
        <f ca="1">IFERROR(__xludf.DUMMYFUNCTION("""COMPUTED_VALUE"""),918550004)</f>
        <v>918550004</v>
      </c>
      <c r="N166" s="36" t="str">
        <f ca="1">IFERROR(__xludf.DUMMYFUNCTION("""COMPUTED_VALUE"""),"hmlosmolinos@maristasiberica.es")</f>
        <v>hmlosmolinos@maristasiberica.es</v>
      </c>
      <c r="O166" s="36">
        <f ca="1">IFERROR(__xludf.DUMMYFUNCTION("""COMPUTED_VALUE"""),10)</f>
        <v>10</v>
      </c>
      <c r="P166" s="36" t="str">
        <f ca="1">IFERROR(__xludf.DUMMYFUNCTION("""COMPUTED_VALUE"""),"Albergue")</f>
        <v>Albergue</v>
      </c>
      <c r="Q166" s="36" t="str">
        <f ca="1">IFERROR(__xludf.DUMMYFUNCTION("""COMPUTED_VALUE"""),"BUENO (Se puede acceder con cualquier coche)")</f>
        <v>BUENO (Se puede acceder con cualquier coche)</v>
      </c>
      <c r="R166" s="36" t="str">
        <f ca="1">IFERROR(__xludf.DUMMYFUNCTION("""COMPUTED_VALUE"""),"Sí")</f>
        <v>Sí</v>
      </c>
      <c r="S166" s="36" t="str">
        <f ca="1">IFERROR(__xludf.DUMMYFUNCTION("""COMPUTED_VALUE"""),"2 Km")</f>
        <v>2 Km</v>
      </c>
      <c r="T166" s="36" t="str">
        <f ca="1">IFERROR(__xludf.DUMMYFUNCTION("""COMPUTED_VALUE"""),"Piscina municipal")</f>
        <v>Piscina municipal</v>
      </c>
      <c r="U166" s="36" t="str">
        <f ca="1">IFERROR(__xludf.DUMMYFUNCTION("""COMPUTED_VALUE"""),"cancha baloncesto y futbol")</f>
        <v>cancha baloncesto y futbol</v>
      </c>
      <c r="V166" s="36" t="str">
        <f ca="1">IFERROR(__xludf.DUMMYFUNCTION("""COMPUTED_VALUE"""),"no")</f>
        <v>no</v>
      </c>
      <c r="W166" s="36" t="str">
        <f ca="1">IFERROR(__xludf.DUMMYFUNCTION("""COMPUTED_VALUE"""),"Bien")</f>
        <v>Bien</v>
      </c>
      <c r="X166" s="36"/>
      <c r="Y166" s="36"/>
      <c r="Z166" s="36"/>
    </row>
    <row r="167" spans="1:26" ht="12.75" hidden="1">
      <c r="A167" s="36" t="str">
        <f ca="1">IFERROR(__xludf.DUMMYFUNCTION("""COMPUTED_VALUE"""),"Madrid, Comunidad De")</f>
        <v>Madrid, Comunidad De</v>
      </c>
      <c r="B167" s="36" t="str">
        <f ca="1">IFERROR(__xludf.DUMMYFUNCTION("""COMPUTED_VALUE"""),"Madrid")</f>
        <v>Madrid</v>
      </c>
      <c r="C167" s="36">
        <f ca="1">IFERROR(__xludf.DUMMYFUNCTION("""COMPUTED_VALUE"""),2019)</f>
        <v>2019</v>
      </c>
      <c r="D167" s="36" t="str">
        <f ca="1">IFERROR(__xludf.DUMMYFUNCTION("""COMPUTED_VALUE"""),"El Remolino")</f>
        <v>El Remolino</v>
      </c>
      <c r="E167" s="36" t="str">
        <f ca="1">IFERROR(__xludf.DUMMYFUNCTION("""COMPUTED_VALUE"""),"gs.elremolino@scoutsdemadrid.org ")</f>
        <v xml:space="preserve">gs.elremolino@scoutsdemadrid.org </v>
      </c>
      <c r="F167" s="48">
        <f ca="1">IFERROR(__xludf.DUMMYFUNCTION("""COMPUTED_VALUE"""),43680)</f>
        <v>43680</v>
      </c>
      <c r="G167" s="48">
        <f ca="1">IFERROR(__xludf.DUMMYFUNCTION("""COMPUTED_VALUE"""),43686)</f>
        <v>43686</v>
      </c>
      <c r="H167" s="36" t="str">
        <f ca="1">IFERROR(__xludf.DUMMYFUNCTION("""COMPUTED_VALUE"""),"Canencia")</f>
        <v>Canencia</v>
      </c>
      <c r="I167" s="36" t="str">
        <f ca="1">IFERROR(__xludf.DUMMYFUNCTION("""COMPUTED_VALUE"""),"La Cabaña de Luis Pinilla")</f>
        <v>La Cabaña de Luis Pinilla</v>
      </c>
      <c r="J167" s="36" t="str">
        <f ca="1">IFERROR(__xludf.DUMMYFUNCTION("""COMPUTED_VALUE"""),"Lo desconozco")</f>
        <v>Lo desconozco</v>
      </c>
      <c r="K167" s="36" t="str">
        <f ca="1">IFERROR(__xludf.DUMMYFUNCTION("""COMPUTED_VALUE"""),"M 629, PK 18,200")</f>
        <v>M 629, PK 18,200</v>
      </c>
      <c r="L167" s="36" t="str">
        <f ca="1">IFERROR(__xludf.DUMMYFUNCTION("""COMPUTED_VALUE"""),"Misión Juventud")</f>
        <v>Misión Juventud</v>
      </c>
      <c r="M167" s="36">
        <f ca="1">IFERROR(__xludf.DUMMYFUNCTION("""COMPUTED_VALUE"""),609275172)</f>
        <v>609275172</v>
      </c>
      <c r="N167" s="36" t="str">
        <f ca="1">IFERROR(__xludf.DUMMYFUNCTION("""COMPUTED_VALUE"""),"gracianomar@gmail.com")</f>
        <v>gracianomar@gmail.com</v>
      </c>
      <c r="O167" s="36" t="str">
        <f ca="1">IFERROR(__xludf.DUMMYFUNCTION("""COMPUTED_VALUE"""),"8 a 12 € por persona y día")</f>
        <v>8 a 12 € por persona y día</v>
      </c>
      <c r="P167" s="36">
        <f ca="1">IFERROR(__xludf.DUMMYFUNCTION("""COMPUTED_VALUE"""),5000)</f>
        <v>5000</v>
      </c>
      <c r="Q167" s="36" t="str">
        <f ca="1">IFERROR(__xludf.DUMMYFUNCTION("""COMPUTED_VALUE"""),"BUENO (Se puede acceder con cualquier coche)")</f>
        <v>BUENO (Se puede acceder con cualquier coche)</v>
      </c>
      <c r="R167" s="36" t="str">
        <f ca="1">IFERROR(__xludf.DUMMYFUNCTION("""COMPUTED_VALUE"""),"Sí")</f>
        <v>Sí</v>
      </c>
      <c r="S167" s="36" t="str">
        <f ca="1">IFERROR(__xludf.DUMMYFUNCTION("""COMPUTED_VALUE"""),"4 km")</f>
        <v>4 km</v>
      </c>
      <c r="T167" s="36" t="str">
        <f ca="1">IFERROR(__xludf.DUMMYFUNCTION("""COMPUTED_VALUE"""),"Buena zona de baño pero carece de sombra")</f>
        <v>Buena zona de baño pero carece de sombra</v>
      </c>
      <c r="U167" s="36" t="str">
        <f ca="1">IFERROR(__xludf.DUMMYFUNCTION("""COMPUTED_VALUE"""),"2 duchas, 2 baños, una cocina equipada, salón, porche con mesas, 3 habitaciones ( una con 13 camas y 2 con 2 camas), zona de juego, un salón")</f>
        <v>2 duchas, 2 baños, una cocina equipada, salón, porche con mesas, 3 habitaciones ( una con 13 camas y 2 con 2 camas), zona de juego, un salón</v>
      </c>
      <c r="V167" s="36" t="str">
        <f ca="1">IFERROR(__xludf.DUMMYFUNCTION("""COMPUTED_VALUE"""),"No sé")</f>
        <v>No sé</v>
      </c>
      <c r="W167" s="36" t="str">
        <f ca="1">IFERROR(__xludf.DUMMYFUNCTION("""COMPUTED_VALUE"""),"La zona para jugar es amplia. Apto para grupos pequeños o acampadas de rama.")</f>
        <v>La zona para jugar es amplia. Apto para grupos pequeños o acampadas de rama.</v>
      </c>
      <c r="X167" s="36"/>
      <c r="Y167" s="36"/>
      <c r="Z167" s="36"/>
    </row>
    <row r="168" spans="1:26" ht="12.75" hidden="1">
      <c r="A168" s="36" t="str">
        <f ca="1">IFERROR(__xludf.DUMMYFUNCTION("""COMPUTED_VALUE"""),"Comunidad Valenciana")</f>
        <v>Comunidad Valenciana</v>
      </c>
      <c r="B168" s="36" t="str">
        <f ca="1">IFERROR(__xludf.DUMMYFUNCTION("""COMPUTED_VALUE"""),"Valencia")</f>
        <v>Valencia</v>
      </c>
      <c r="C168" s="36">
        <f ca="1">IFERROR(__xludf.DUMMYFUNCTION("""COMPUTED_VALUE"""),2016)</f>
        <v>2016</v>
      </c>
      <c r="D168" s="36" t="str">
        <f ca="1">IFERROR(__xludf.DUMMYFUNCTION("""COMPUTED_VALUE"""),"Alud")</f>
        <v>Alud</v>
      </c>
      <c r="E168" s="36" t="str">
        <f ca="1">IFERROR(__xludf.DUMMYFUNCTION("""COMPUTED_VALUE"""),"gs.alud@scoutsdemadrid.org ")</f>
        <v xml:space="preserve">gs.alud@scoutsdemadrid.org </v>
      </c>
      <c r="F168" s="48">
        <f ca="1">IFERROR(__xludf.DUMMYFUNCTION("""COMPUTED_VALUE"""),42567)</f>
        <v>42567</v>
      </c>
      <c r="G168" s="48">
        <f ca="1">IFERROR(__xludf.DUMMYFUNCTION("""COMPUTED_VALUE"""),42581)</f>
        <v>42581</v>
      </c>
      <c r="H168" s="36" t="str">
        <f ca="1">IFERROR(__xludf.DUMMYFUNCTION("""COMPUTED_VALUE"""),"Lénova")</f>
        <v>Lénova</v>
      </c>
      <c r="I168" s="36" t="str">
        <f ca="1">IFERROR(__xludf.DUMMYFUNCTION("""COMPUTED_VALUE"""),"Entrenaranjos")</f>
        <v>Entrenaranjos</v>
      </c>
      <c r="J168" s="36" t="str">
        <f ca="1">IFERROR(__xludf.DUMMYFUNCTION("""COMPUTED_VALUE"""),"")</f>
        <v/>
      </c>
      <c r="K168" s="36" t="str">
        <f ca="1">IFERROR(__xludf.DUMMYFUNCTION("""COMPUTED_VALUE"""),"")</f>
        <v/>
      </c>
      <c r="L168" s="36" t="str">
        <f ca="1">IFERROR(__xludf.DUMMYFUNCTION("""COMPUTED_VALUE"""),"Jesús Quereda")</f>
        <v>Jesús Quereda</v>
      </c>
      <c r="M168" s="36">
        <f ca="1">IFERROR(__xludf.DUMMYFUNCTION("""COMPUTED_VALUE"""),687733692)</f>
        <v>687733692</v>
      </c>
      <c r="N168" s="36" t="str">
        <f ca="1">IFERROR(__xludf.DUMMYFUNCTION("""COMPUTED_VALUE"""),"sered8@yahoo.es")</f>
        <v>sered8@yahoo.es</v>
      </c>
      <c r="O168" s="36" t="str">
        <f ca="1">IFERROR(__xludf.DUMMYFUNCTION("""COMPUTED_VALUE"""),"")</f>
        <v/>
      </c>
      <c r="P168" s="36" t="str">
        <f ca="1">IFERROR(__xludf.DUMMYFUNCTION("""COMPUTED_VALUE"""),"")</f>
        <v/>
      </c>
      <c r="Q168" s="36" t="str">
        <f ca="1">IFERROR(__xludf.DUMMYFUNCTION("""COMPUTED_VALUE"""),"BUENO (Se puede acceder con cualquier coche)")</f>
        <v>BUENO (Se puede acceder con cualquier coche)</v>
      </c>
      <c r="R168" s="36" t="str">
        <f ca="1">IFERROR(__xludf.DUMMYFUNCTION("""COMPUTED_VALUE"""),"Sí")</f>
        <v>Sí</v>
      </c>
      <c r="S168" s="36" t="str">
        <f ca="1">IFERROR(__xludf.DUMMYFUNCTION("""COMPUTED_VALUE"""),"50 m")</f>
        <v>50 m</v>
      </c>
      <c r="T168" s="36" t="str">
        <f ca="1">IFERROR(__xludf.DUMMYFUNCTION("""COMPUTED_VALUE"""),"Piscina ")</f>
        <v xml:space="preserve">Piscina </v>
      </c>
      <c r="U168" s="36" t="str">
        <f ca="1">IFERROR(__xludf.DUMMYFUNCTION("""COMPUTED_VALUE"""),"Piscina, comedor cubierto, cocina, baños (aseos y duchas)")</f>
        <v>Piscina, comedor cubierto, cocina, baños (aseos y duchas)</v>
      </c>
      <c r="V168" s="36" t="str">
        <f ca="1">IFERROR(__xludf.DUMMYFUNCTION("""COMPUTED_VALUE"""),"")</f>
        <v/>
      </c>
      <c r="W168" s="36" t="str">
        <f ca="1">IFERROR(__xludf.DUMMYFUNCTION("""COMPUTED_VALUE"""),"Instalaciones muy completas, nos han preparado la zona de acampada bastante  bien")</f>
        <v>Instalaciones muy completas, nos han preparado la zona de acampada bastante  bien</v>
      </c>
      <c r="X168" s="36"/>
      <c r="Y168" s="36"/>
      <c r="Z168" s="36"/>
    </row>
    <row r="169" spans="1:26" ht="12.75" hidden="1">
      <c r="A169" s="36" t="str">
        <f ca="1">IFERROR(__xludf.DUMMYFUNCTION("""COMPUTED_VALUE"""),"Comunidad Valenciana")</f>
        <v>Comunidad Valenciana</v>
      </c>
      <c r="B169" s="36" t="str">
        <f ca="1">IFERROR(__xludf.DUMMYFUNCTION("""COMPUTED_VALUE"""),"Valencia")</f>
        <v>Valencia</v>
      </c>
      <c r="C169" s="36">
        <f ca="1">IFERROR(__xludf.DUMMYFUNCTION("""COMPUTED_VALUE"""),2015)</f>
        <v>2015</v>
      </c>
      <c r="D169" s="36" t="str">
        <f ca="1">IFERROR(__xludf.DUMMYFUNCTION("""COMPUTED_VALUE"""),"San Pedro")</f>
        <v>San Pedro</v>
      </c>
      <c r="E169" s="36" t="str">
        <f ca="1">IFERROR(__xludf.DUMMYFUNCTION("""COMPUTED_VALUE"""),"gs.sanpedro@scoutsdemadrid.org  ")</f>
        <v xml:space="preserve">gs.sanpedro@scoutsdemadrid.org  </v>
      </c>
      <c r="F169" s="48">
        <f ca="1">IFERROR(__xludf.DUMMYFUNCTION("""COMPUTED_VALUE"""),42202)</f>
        <v>42202</v>
      </c>
      <c r="G169" s="48">
        <f ca="1">IFERROR(__xludf.DUMMYFUNCTION("""COMPUTED_VALUE"""),42216)</f>
        <v>42216</v>
      </c>
      <c r="H169" s="36" t="str">
        <f ca="1">IFERROR(__xludf.DUMMYFUNCTION("""COMPUTED_VALUE"""),"Bétera")</f>
        <v>Bétera</v>
      </c>
      <c r="I169" s="36" t="str">
        <f ca="1">IFERROR(__xludf.DUMMYFUNCTION("""COMPUTED_VALUE"""),"Centro scout LA MORERÍA")</f>
        <v>Centro scout LA MORERÍA</v>
      </c>
      <c r="J169" s="36" t="str">
        <f ca="1">IFERROR(__xludf.DUMMYFUNCTION("""COMPUTED_VALUE"""),"")</f>
        <v/>
      </c>
      <c r="K169" s="36" t="str">
        <f ca="1">IFERROR(__xludf.DUMMYFUNCTION("""COMPUTED_VALUE"""),"39°42'07.6""N 0°28'08.7""W")</f>
        <v>39°42'07.6"N 0°28'08.7"W</v>
      </c>
      <c r="L169" s="36" t="str">
        <f ca="1">IFERROR(__xludf.DUMMYFUNCTION("""COMPUTED_VALUE"""),"")</f>
        <v/>
      </c>
      <c r="M169" s="36" t="str">
        <f ca="1">IFERROR(__xludf.DUMMYFUNCTION("""COMPUTED_VALUE"""),"")</f>
        <v/>
      </c>
      <c r="N169" s="36" t="str">
        <f ca="1">IFERROR(__xludf.DUMMYFUNCTION("""COMPUTED_VALUE"""),"")</f>
        <v/>
      </c>
      <c r="O169" s="36" t="str">
        <f ca="1">IFERROR(__xludf.DUMMYFUNCTION("""COMPUTED_VALUE"""),"")</f>
        <v/>
      </c>
      <c r="P169" s="36" t="str">
        <f ca="1">IFERROR(__xludf.DUMMYFUNCTION("""COMPUTED_VALUE"""),"")</f>
        <v/>
      </c>
      <c r="Q169" s="36" t="str">
        <f ca="1">IFERROR(__xludf.DUMMYFUNCTION("""COMPUTED_VALUE"""),"")</f>
        <v/>
      </c>
      <c r="R169" s="36" t="str">
        <f ca="1">IFERROR(__xludf.DUMMYFUNCTION("""COMPUTED_VALUE"""),"")</f>
        <v/>
      </c>
      <c r="S169" s="36" t="str">
        <f ca="1">IFERROR(__xludf.DUMMYFUNCTION("""COMPUTED_VALUE"""),"")</f>
        <v/>
      </c>
      <c r="T169" s="36" t="str">
        <f ca="1">IFERROR(__xludf.DUMMYFUNCTION("""COMPUTED_VALUE"""),"")</f>
        <v/>
      </c>
      <c r="U169" s="36" t="str">
        <f ca="1">IFERROR(__xludf.DUMMYFUNCTION("""COMPUTED_VALUE"""),"")</f>
        <v/>
      </c>
      <c r="V169" s="36" t="str">
        <f ca="1">IFERROR(__xludf.DUMMYFUNCTION("""COMPUTED_VALUE"""),"")</f>
        <v/>
      </c>
      <c r="W169" s="36" t="str">
        <f ca="1">IFERROR(__xludf.DUMMYFUNCTION("""COMPUTED_VALUE"""),"")</f>
        <v/>
      </c>
      <c r="X169" s="36"/>
      <c r="Y169" s="36"/>
      <c r="Z169" s="36"/>
    </row>
    <row r="170" spans="1:26" ht="12.75" hidden="1">
      <c r="A170" s="36" t="str">
        <f ca="1">IFERROR(__xludf.DUMMYFUNCTION("""COMPUTED_VALUE"""),"Comunidad Valenciana")</f>
        <v>Comunidad Valenciana</v>
      </c>
      <c r="B170" s="36" t="str">
        <f ca="1">IFERROR(__xludf.DUMMYFUNCTION("""COMPUTED_VALUE"""),"Valencia")</f>
        <v>Valencia</v>
      </c>
      <c r="C170" s="36">
        <f ca="1">IFERROR(__xludf.DUMMYFUNCTION("""COMPUTED_VALUE"""),2015)</f>
        <v>2015</v>
      </c>
      <c r="D170" s="36" t="str">
        <f ca="1">IFERROR(__xludf.DUMMYFUNCTION("""COMPUTED_VALUE"""),"Tallac")</f>
        <v>Tallac</v>
      </c>
      <c r="E170" s="36" t="str">
        <f ca="1">IFERROR(__xludf.DUMMYFUNCTION("""COMPUTED_VALUE"""),"gs.tallac@scoutsdemadrid.org ")</f>
        <v xml:space="preserve">gs.tallac@scoutsdemadrid.org </v>
      </c>
      <c r="F170" s="48">
        <f ca="1">IFERROR(__xludf.DUMMYFUNCTION("""COMPUTED_VALUE"""),42186)</f>
        <v>42186</v>
      </c>
      <c r="G170" s="48">
        <f ca="1">IFERROR(__xludf.DUMMYFUNCTION("""COMPUTED_VALUE"""),42200)</f>
        <v>42200</v>
      </c>
      <c r="H170" s="36" t="str">
        <f ca="1">IFERROR(__xludf.DUMMYFUNCTION("""COMPUTED_VALUE"""),"Aras De Los Olmos")</f>
        <v>Aras De Los Olmos</v>
      </c>
      <c r="I170" s="36" t="str">
        <f ca="1">IFERROR(__xludf.DUMMYFUNCTION("""COMPUTED_VALUE"""),"Los Rubiales")</f>
        <v>Los Rubiales</v>
      </c>
      <c r="J170" s="36" t="str">
        <f ca="1">IFERROR(__xludf.DUMMYFUNCTION("""COMPUTED_VALUE"""),"")</f>
        <v/>
      </c>
      <c r="K170" s="36" t="str">
        <f ca="1">IFERROR(__xludf.DUMMYFUNCTION("""COMPUTED_VALUE"""),"x = 654329  y = 4420945 ")</f>
        <v xml:space="preserve">x = 654329  y = 4420945 </v>
      </c>
      <c r="L170" s="36" t="str">
        <f ca="1">IFERROR(__xludf.DUMMYFUNCTION("""COMPUTED_VALUE"""),"")</f>
        <v/>
      </c>
      <c r="M170" s="36" t="str">
        <f ca="1">IFERROR(__xludf.DUMMYFUNCTION("""COMPUTED_VALUE"""),"")</f>
        <v/>
      </c>
      <c r="N170" s="36" t="str">
        <f ca="1">IFERROR(__xludf.DUMMYFUNCTION("""COMPUTED_VALUE"""),"")</f>
        <v/>
      </c>
      <c r="O170" s="36" t="str">
        <f ca="1">IFERROR(__xludf.DUMMYFUNCTION("""COMPUTED_VALUE"""),"")</f>
        <v/>
      </c>
      <c r="P170" s="36" t="str">
        <f ca="1">IFERROR(__xludf.DUMMYFUNCTION("""COMPUTED_VALUE"""),"")</f>
        <v/>
      </c>
      <c r="Q170" s="36" t="str">
        <f ca="1">IFERROR(__xludf.DUMMYFUNCTION("""COMPUTED_VALUE"""),"")</f>
        <v/>
      </c>
      <c r="R170" s="36" t="str">
        <f ca="1">IFERROR(__xludf.DUMMYFUNCTION("""COMPUTED_VALUE"""),"")</f>
        <v/>
      </c>
      <c r="S170" s="36" t="str">
        <f ca="1">IFERROR(__xludf.DUMMYFUNCTION("""COMPUTED_VALUE"""),"")</f>
        <v/>
      </c>
      <c r="T170" s="36" t="str">
        <f ca="1">IFERROR(__xludf.DUMMYFUNCTION("""COMPUTED_VALUE"""),"")</f>
        <v/>
      </c>
      <c r="U170" s="36" t="str">
        <f ca="1">IFERROR(__xludf.DUMMYFUNCTION("""COMPUTED_VALUE"""),"")</f>
        <v/>
      </c>
      <c r="V170" s="36" t="str">
        <f ca="1">IFERROR(__xludf.DUMMYFUNCTION("""COMPUTED_VALUE"""),"")</f>
        <v/>
      </c>
      <c r="W170" s="36" t="str">
        <f ca="1">IFERROR(__xludf.DUMMYFUNCTION("""COMPUTED_VALUE"""),"")</f>
        <v/>
      </c>
      <c r="X170" s="36"/>
      <c r="Y170" s="36"/>
      <c r="Z170" s="36"/>
    </row>
    <row r="171" spans="1:26" ht="12.75" hidden="1">
      <c r="A171" s="36" t="str">
        <f ca="1">IFERROR(__xludf.DUMMYFUNCTION("""COMPUTED_VALUE"""),"Comunidad Valenciana")</f>
        <v>Comunidad Valenciana</v>
      </c>
      <c r="B171" s="36" t="str">
        <f ca="1">IFERROR(__xludf.DUMMYFUNCTION("""COMPUTED_VALUE"""),"Valencia")</f>
        <v>Valencia</v>
      </c>
      <c r="C171" s="36">
        <f ca="1">IFERROR(__xludf.DUMMYFUNCTION("""COMPUTED_VALUE"""),2015)</f>
        <v>2015</v>
      </c>
      <c r="D171" s="36" t="str">
        <f ca="1">IFERROR(__xludf.DUMMYFUNCTION("""COMPUTED_VALUE"""),"Tallac")</f>
        <v>Tallac</v>
      </c>
      <c r="E171" s="36" t="str">
        <f ca="1">IFERROR(__xludf.DUMMYFUNCTION("""COMPUTED_VALUE"""),"gs.tallac@scoutsdemadrid.org ")</f>
        <v xml:space="preserve">gs.tallac@scoutsdemadrid.org </v>
      </c>
      <c r="F171" s="48">
        <f ca="1">IFERROR(__xludf.DUMMYFUNCTION("""COMPUTED_VALUE"""),42186)</f>
        <v>42186</v>
      </c>
      <c r="G171" s="48">
        <f ca="1">IFERROR(__xludf.DUMMYFUNCTION("""COMPUTED_VALUE"""),42200)</f>
        <v>42200</v>
      </c>
      <c r="H171" s="36" t="str">
        <f ca="1">IFERROR(__xludf.DUMMYFUNCTION("""COMPUTED_VALUE"""),"Aras De Los Olmos")</f>
        <v>Aras De Los Olmos</v>
      </c>
      <c r="I171" s="36" t="str">
        <f ca="1">IFERROR(__xludf.DUMMYFUNCTION("""COMPUTED_VALUE"""),"Los Rubiales")</f>
        <v>Los Rubiales</v>
      </c>
      <c r="J171" s="36" t="str">
        <f ca="1">IFERROR(__xludf.DUMMYFUNCTION("""COMPUTED_VALUE"""),"")</f>
        <v/>
      </c>
      <c r="K171" s="36" t="str">
        <f ca="1">IFERROR(__xludf.DUMMYFUNCTION("""COMPUTED_VALUE"""),"")</f>
        <v/>
      </c>
      <c r="L171" s="36" t="str">
        <f ca="1">IFERROR(__xludf.DUMMYFUNCTION("""COMPUTED_VALUE"""),"")</f>
        <v/>
      </c>
      <c r="M171" s="36" t="str">
        <f ca="1">IFERROR(__xludf.DUMMYFUNCTION("""COMPUTED_VALUE"""),"")</f>
        <v/>
      </c>
      <c r="N171" s="36" t="str">
        <f ca="1">IFERROR(__xludf.DUMMYFUNCTION("""COMPUTED_VALUE"""),"")</f>
        <v/>
      </c>
      <c r="O171" s="36" t="str">
        <f ca="1">IFERROR(__xludf.DUMMYFUNCTION("""COMPUTED_VALUE"""),"")</f>
        <v/>
      </c>
      <c r="P171" s="36" t="str">
        <f ca="1">IFERROR(__xludf.DUMMYFUNCTION("""COMPUTED_VALUE"""),"")</f>
        <v/>
      </c>
      <c r="Q171" s="36" t="str">
        <f ca="1">IFERROR(__xludf.DUMMYFUNCTION("""COMPUTED_VALUE"""),"")</f>
        <v/>
      </c>
      <c r="R171" s="36" t="str">
        <f ca="1">IFERROR(__xludf.DUMMYFUNCTION("""COMPUTED_VALUE"""),"")</f>
        <v/>
      </c>
      <c r="S171" s="36" t="str">
        <f ca="1">IFERROR(__xludf.DUMMYFUNCTION("""COMPUTED_VALUE"""),"")</f>
        <v/>
      </c>
      <c r="T171" s="36" t="str">
        <f ca="1">IFERROR(__xludf.DUMMYFUNCTION("""COMPUTED_VALUE"""),"")</f>
        <v/>
      </c>
      <c r="U171" s="36" t="str">
        <f ca="1">IFERROR(__xludf.DUMMYFUNCTION("""COMPUTED_VALUE"""),"")</f>
        <v/>
      </c>
      <c r="V171" s="36" t="str">
        <f ca="1">IFERROR(__xludf.DUMMYFUNCTION("""COMPUTED_VALUE"""),"")</f>
        <v/>
      </c>
      <c r="W171" s="36" t="str">
        <f ca="1">IFERROR(__xludf.DUMMYFUNCTION("""COMPUTED_VALUE"""),"")</f>
        <v/>
      </c>
      <c r="X171" s="36"/>
      <c r="Y171" s="36"/>
      <c r="Z171" s="36"/>
    </row>
    <row r="172" spans="1:26" ht="12.75" hidden="1">
      <c r="A172" s="36" t="str">
        <f ca="1">IFERROR(__xludf.DUMMYFUNCTION("""COMPUTED_VALUE"""),"Fuera de España")</f>
        <v>Fuera de España</v>
      </c>
      <c r="B172" s="36" t="str">
        <f ca="1">IFERROR(__xludf.DUMMYFUNCTION("""COMPUTED_VALUE"""),"Portugal")</f>
        <v>Portugal</v>
      </c>
      <c r="C172" s="36">
        <f ca="1">IFERROR(__xludf.DUMMYFUNCTION("""COMPUTED_VALUE"""),2016)</f>
        <v>2016</v>
      </c>
      <c r="D172" s="36" t="str">
        <f ca="1">IFERROR(__xludf.DUMMYFUNCTION("""COMPUTED_VALUE"""),"Adhara")</f>
        <v>Adhara</v>
      </c>
      <c r="E172" s="36" t="str">
        <f ca="1">IFERROR(__xludf.DUMMYFUNCTION("""COMPUTED_VALUE"""),"gs.adhara@scoutsdemadrid.org ")</f>
        <v xml:space="preserve">gs.adhara@scoutsdemadrid.org </v>
      </c>
      <c r="F172" s="48">
        <f ca="1">IFERROR(__xludf.DUMMYFUNCTION("""COMPUTED_VALUE"""),42567)</f>
        <v>42567</v>
      </c>
      <c r="G172" s="48">
        <f ca="1">IFERROR(__xludf.DUMMYFUNCTION("""COMPUTED_VALUE"""),42581)</f>
        <v>42581</v>
      </c>
      <c r="H172" s="36" t="str">
        <f ca="1">IFERROR(__xludf.DUMMYFUNCTION("""COMPUTED_VALUE""")," São Jacinto")</f>
        <v xml:space="preserve"> São Jacinto</v>
      </c>
      <c r="I172" s="36" t="str">
        <f ca="1">IFERROR(__xludf.DUMMYFUNCTION("""COMPUTED_VALUE"""),"")</f>
        <v/>
      </c>
      <c r="J172" s="36" t="str">
        <f ca="1">IFERROR(__xludf.DUMMYFUNCTION("""COMPUTED_VALUE"""),"")</f>
        <v/>
      </c>
      <c r="K172" s="36" t="str">
        <f ca="1">IFERROR(__xludf.DUMMYFUNCTION("""COMPUTED_VALUE"""),"")</f>
        <v/>
      </c>
      <c r="L172" s="36" t="str">
        <f ca="1">IFERROR(__xludf.DUMMYFUNCTION("""COMPUTED_VALUE"""),"Centro Nacional de Formaçao Ambiental Sao Jacinto (National Environmental Training Centre)")</f>
        <v>Centro Nacional de Formaçao Ambiental Sao Jacinto (National Environmental Training Centre)</v>
      </c>
      <c r="M172" s="36" t="str">
        <f ca="1">IFERROR(__xludf.DUMMYFUNCTION("""COMPUTED_VALUE"""),"")</f>
        <v/>
      </c>
      <c r="N172" s="36" t="str">
        <f ca="1">IFERROR(__xludf.DUMMYFUNCTION("""COMPUTED_VALUE"""),"")</f>
        <v/>
      </c>
      <c r="O172" s="36" t="str">
        <f ca="1">IFERROR(__xludf.DUMMYFUNCTION("""COMPUTED_VALUE"""),"")</f>
        <v/>
      </c>
      <c r="P172" s="36" t="str">
        <f ca="1">IFERROR(__xludf.DUMMYFUNCTION("""COMPUTED_VALUE"""),"")</f>
        <v/>
      </c>
      <c r="Q172" s="36" t="str">
        <f ca="1">IFERROR(__xludf.DUMMYFUNCTION("""COMPUTED_VALUE"""),"BUENO (Se puede acceder con cualquier coche)")</f>
        <v>BUENO (Se puede acceder con cualquier coche)</v>
      </c>
      <c r="R172" s="36" t="str">
        <f ca="1">IFERROR(__xludf.DUMMYFUNCTION("""COMPUTED_VALUE"""),"Sí")</f>
        <v>Sí</v>
      </c>
      <c r="S172" s="36" t="str">
        <f ca="1">IFERROR(__xludf.DUMMYFUNCTION("""COMPUTED_VALUE"""),"50 metros")</f>
        <v>50 metros</v>
      </c>
      <c r="T172" s="36" t="str">
        <f ca="1">IFERROR(__xludf.DUMMYFUNCTION("""COMPUTED_VALUE"""),"")</f>
        <v/>
      </c>
      <c r="U172" s="36" t="str">
        <f ca="1">IFERROR(__xludf.DUMMYFUNCTION("""COMPUTED_VALUE"""),"Cocina, baños, sala talleres")</f>
        <v>Cocina, baños, sala talleres</v>
      </c>
      <c r="V172" s="36" t="str">
        <f ca="1">IFERROR(__xludf.DUMMYFUNCTION("""COMPUTED_VALUE"""),"Nos la dan ellos")</f>
        <v>Nos la dan ellos</v>
      </c>
      <c r="W172" s="36" t="str">
        <f ca="1">IFERROR(__xludf.DUMMYFUNCTION("""COMPUTED_VALUE"""),"")</f>
        <v/>
      </c>
      <c r="X172" s="36"/>
      <c r="Y172" s="36"/>
      <c r="Z172" s="36"/>
    </row>
    <row r="173" spans="1:26" ht="12.75" hidden="1">
      <c r="A173" s="36" t="str">
        <f ca="1">IFERROR(__xludf.DUMMYFUNCTION("""COMPUTED_VALUE"""),"Fuera de España")</f>
        <v>Fuera de España</v>
      </c>
      <c r="B173" s="36" t="str">
        <f ca="1">IFERROR(__xludf.DUMMYFUNCTION("""COMPUTED_VALUE"""),"Portugal")</f>
        <v>Portugal</v>
      </c>
      <c r="C173" s="36">
        <f ca="1">IFERROR(__xludf.DUMMYFUNCTION("""COMPUTED_VALUE"""),2017)</f>
        <v>2017</v>
      </c>
      <c r="D173" s="36" t="str">
        <f ca="1">IFERROR(__xludf.DUMMYFUNCTION("""COMPUTED_VALUE"""),"Agrupación Ruta")</f>
        <v>Agrupación Ruta</v>
      </c>
      <c r="E173" s="36" t="str">
        <f ca="1">IFERROR(__xludf.DUMMYFUNCTION("""COMPUTED_VALUE"""),"gs.agrupaci@scoutsdemadrid.org ")</f>
        <v xml:space="preserve">gs.agrupaci@scoutsdemadrid.org </v>
      </c>
      <c r="F173" s="48">
        <f ca="1">IFERROR(__xludf.DUMMYFUNCTION("""COMPUTED_VALUE"""),42979)</f>
        <v>42979</v>
      </c>
      <c r="G173" s="48">
        <f ca="1">IFERROR(__xludf.DUMMYFUNCTION("""COMPUTED_VALUE"""),42988)</f>
        <v>42988</v>
      </c>
      <c r="H173" s="36" t="str">
        <f ca="1">IFERROR(__xludf.DUMMYFUNCTION("""COMPUTED_VALUE"""),"Camino De Santiago: Oporto, Santiago")</f>
        <v>Camino De Santiago: Oporto, Santiago</v>
      </c>
      <c r="I173" s="36" t="str">
        <f ca="1">IFERROR(__xludf.DUMMYFUNCTION("""COMPUTED_VALUE"""),"")</f>
        <v/>
      </c>
      <c r="J173" s="36" t="str">
        <f ca="1">IFERROR(__xludf.DUMMYFUNCTION("""COMPUTED_VALUE"""),"")</f>
        <v/>
      </c>
      <c r="K173" s="36" t="str">
        <f ca="1">IFERROR(__xludf.DUMMYFUNCTION("""COMPUTED_VALUE"""),"")</f>
        <v/>
      </c>
      <c r="L173" s="36" t="str">
        <f ca="1">IFERROR(__xludf.DUMMYFUNCTION("""COMPUTED_VALUE"""),"Campamento itinerante, no hay persona propietaria ")</f>
        <v xml:space="preserve">Campamento itinerante, no hay persona propietaria </v>
      </c>
      <c r="M173" s="36" t="str">
        <f ca="1">IFERROR(__xludf.DUMMYFUNCTION("""COMPUTED_VALUE"""),"")</f>
        <v/>
      </c>
      <c r="N173" s="36" t="str">
        <f ca="1">IFERROR(__xludf.DUMMYFUNCTION("""COMPUTED_VALUE"""),"")</f>
        <v/>
      </c>
      <c r="O173" s="36" t="str">
        <f ca="1">IFERROR(__xludf.DUMMYFUNCTION("""COMPUTED_VALUE"""),"")</f>
        <v/>
      </c>
      <c r="P173" s="36" t="str">
        <f ca="1">IFERROR(__xludf.DUMMYFUNCTION("""COMPUTED_VALUE"""),"")</f>
        <v/>
      </c>
      <c r="Q173" s="36" t="str">
        <f ca="1">IFERROR(__xludf.DUMMYFUNCTION("""COMPUTED_VALUE"""),"")</f>
        <v/>
      </c>
      <c r="R173" s="36" t="str">
        <f ca="1">IFERROR(__xludf.DUMMYFUNCTION("""COMPUTED_VALUE"""),"")</f>
        <v/>
      </c>
      <c r="S173" s="36" t="str">
        <f ca="1">IFERROR(__xludf.DUMMYFUNCTION("""COMPUTED_VALUE"""),"")</f>
        <v/>
      </c>
      <c r="T173" s="36" t="str">
        <f ca="1">IFERROR(__xludf.DUMMYFUNCTION("""COMPUTED_VALUE"""),"")</f>
        <v/>
      </c>
      <c r="U173" s="36" t="str">
        <f ca="1">IFERROR(__xludf.DUMMYFUNCTION("""COMPUTED_VALUE"""),"")</f>
        <v/>
      </c>
      <c r="V173" s="36" t="str">
        <f ca="1">IFERROR(__xludf.DUMMYFUNCTION("""COMPUTED_VALUE"""),"")</f>
        <v/>
      </c>
      <c r="W173" s="36" t="str">
        <f ca="1">IFERROR(__xludf.DUMMYFUNCTION("""COMPUTED_VALUE"""),"")</f>
        <v/>
      </c>
      <c r="X173" s="36"/>
      <c r="Y173" s="36"/>
      <c r="Z173" s="36"/>
    </row>
    <row r="174" spans="1:26" ht="12.75" hidden="1">
      <c r="A174" s="36" t="str">
        <f ca="1">IFERROR(__xludf.DUMMYFUNCTION("""COMPUTED_VALUE"""),"Fuera de España")</f>
        <v>Fuera de España</v>
      </c>
      <c r="B174" s="36" t="str">
        <f ca="1">IFERROR(__xludf.DUMMYFUNCTION("""COMPUTED_VALUE"""),"Portugal")</f>
        <v>Portugal</v>
      </c>
      <c r="C174" s="36">
        <f ca="1">IFERROR(__xludf.DUMMYFUNCTION("""COMPUTED_VALUE"""),2016)</f>
        <v>2016</v>
      </c>
      <c r="D174" s="36" t="str">
        <f ca="1">IFERROR(__xludf.DUMMYFUNCTION("""COMPUTED_VALUE"""),"Encuentro")</f>
        <v>Encuentro</v>
      </c>
      <c r="E174" s="36" t="str">
        <f ca="1">IFERROR(__xludf.DUMMYFUNCTION("""COMPUTED_VALUE"""),"gs.encuentro@scoutsdemadrid.org ")</f>
        <v xml:space="preserve">gs.encuentro@scoutsdemadrid.org </v>
      </c>
      <c r="F174" s="48">
        <f ca="1">IFERROR(__xludf.DUMMYFUNCTION("""COMPUTED_VALUE"""),42548)</f>
        <v>42548</v>
      </c>
      <c r="G174" s="48">
        <f ca="1">IFERROR(__xludf.DUMMYFUNCTION("""COMPUTED_VALUE"""),42561)</f>
        <v>42561</v>
      </c>
      <c r="H174" s="36" t="str">
        <f ca="1">IFERROR(__xludf.DUMMYFUNCTION("""COMPUTED_VALUE"""),"Torreira - Aveiro")</f>
        <v>Torreira - Aveiro</v>
      </c>
      <c r="I174" s="36" t="str">
        <f ca="1">IFERROR(__xludf.DUMMYFUNCTION("""COMPUTED_VALUE"""),"Instalaciones del Agrupamento 824 - Nossa Senhora do Bom Sucesso Torreira")</f>
        <v>Instalaciones del Agrupamento 824 - Nossa Senhora do Bom Sucesso Torreira</v>
      </c>
      <c r="J174" s="36" t="str">
        <f ca="1">IFERROR(__xludf.DUMMYFUNCTION("""COMPUTED_VALUE"""),"-")</f>
        <v>-</v>
      </c>
      <c r="K174" s="36" t="str">
        <f ca="1">IFERROR(__xludf.DUMMYFUNCTION("""COMPUTED_VALUE"""),"40.776703, -8.692361")</f>
        <v>40.776703, -8.692361</v>
      </c>
      <c r="L174" s="36" t="str">
        <f ca="1">IFERROR(__xludf.DUMMYFUNCTION("""COMPUTED_VALUE"""),"João Pilré (coordinador del grupo)")</f>
        <v>João Pilré (coordinador del grupo)</v>
      </c>
      <c r="M174" s="36">
        <f ca="1">IFERROR(__xludf.DUMMYFUNCTION("""COMPUTED_VALUE"""),351925114783)</f>
        <v>351925114783</v>
      </c>
      <c r="N174" s="36" t="str">
        <f ca="1">IFERROR(__xludf.DUMMYFUNCTION("""COMPUTED_VALUE"""),"-")</f>
        <v>-</v>
      </c>
      <c r="O174" s="36" t="str">
        <f ca="1">IFERROR(__xludf.DUMMYFUNCTION("""COMPUTED_VALUE"""),"-")</f>
        <v>-</v>
      </c>
      <c r="P174" s="36" t="str">
        <f ca="1">IFERROR(__xludf.DUMMYFUNCTION("""COMPUTED_VALUE"""),"1 ha albergue, 20 ha alrededor")</f>
        <v>1 ha albergue, 20 ha alrededor</v>
      </c>
      <c r="Q174" s="36" t="str">
        <f ca="1">IFERROR(__xludf.DUMMYFUNCTION("""COMPUTED_VALUE"""),"BUENO (Se puede acceder con cualquier coche)")</f>
        <v>BUENO (Se puede acceder con cualquier coche)</v>
      </c>
      <c r="R174" s="36" t="str">
        <f ca="1">IFERROR(__xludf.DUMMYFUNCTION("""COMPUTED_VALUE"""),"Sí")</f>
        <v>Sí</v>
      </c>
      <c r="S174" s="36" t="str">
        <f ca="1">IFERROR(__xludf.DUMMYFUNCTION("""COMPUTED_VALUE"""),"20m2")</f>
        <v>20m2</v>
      </c>
      <c r="T174" s="36" t="str">
        <f ca="1">IFERROR(__xludf.DUMMYFUNCTION("""COMPUTED_VALUE"""),"Baños con wc y duchas, son instalaciones")</f>
        <v>Baños con wc y duchas, son instalaciones</v>
      </c>
      <c r="U174" s="36" t="str">
        <f ca="1">IFERROR(__xludf.DUMMYFUNCTION("""COMPUTED_VALUE"""),"Sí, baños, cocina y albergue")</f>
        <v>Sí, baños, cocina y albergue</v>
      </c>
      <c r="V174" s="36" t="str">
        <f ca="1">IFERROR(__xludf.DUMMYFUNCTION("""COMPUTED_VALUE"""),"Sí")</f>
        <v>Sí</v>
      </c>
      <c r="W174" s="36" t="str">
        <f ca="1">IFERROR(__xludf.DUMMYFUNCTION("""COMPUTED_VALUE"""),"En general el albergue está muy bien, la zona donde pueden ir las tiendas es pequeña (dentro del recinto del albergue) pero alrededor es todo campo.")</f>
        <v>En general el albergue está muy bien, la zona donde pueden ir las tiendas es pequeña (dentro del recinto del albergue) pero alrededor es todo campo.</v>
      </c>
      <c r="X174" s="36"/>
      <c r="Y174" s="36"/>
      <c r="Z174" s="36"/>
    </row>
    <row r="175" spans="1:26" ht="12.75" hidden="1">
      <c r="A175" s="36" t="str">
        <f ca="1">IFERROR(__xludf.DUMMYFUNCTION("""COMPUTED_VALUE"""),"Fuera de España")</f>
        <v>Fuera de España</v>
      </c>
      <c r="B175" s="36" t="str">
        <f ca="1">IFERROR(__xludf.DUMMYFUNCTION("""COMPUTED_VALUE"""),"Portugal")</f>
        <v>Portugal</v>
      </c>
      <c r="C175" s="36">
        <f ca="1">IFERROR(__xludf.DUMMYFUNCTION("""COMPUTED_VALUE"""),2016)</f>
        <v>2016</v>
      </c>
      <c r="D175" s="36" t="str">
        <f ca="1">IFERROR(__xludf.DUMMYFUNCTION("""COMPUTED_VALUE"""),"Santa Ana San Rafael")</f>
        <v>Santa Ana San Rafael</v>
      </c>
      <c r="E175" s="36" t="str">
        <f ca="1">IFERROR(__xludf.DUMMYFUNCTION("""COMPUTED_VALUE"""),"gs.santanaysanrafael@scoutsdemadrid.org ")</f>
        <v xml:space="preserve">gs.santanaysanrafael@scoutsdemadrid.org </v>
      </c>
      <c r="F175" s="48">
        <f ca="1">IFERROR(__xludf.DUMMYFUNCTION("""COMPUTED_VALUE"""),42564)</f>
        <v>42564</v>
      </c>
      <c r="G175" s="48">
        <f ca="1">IFERROR(__xludf.DUMMYFUNCTION("""COMPUTED_VALUE"""),42581)</f>
        <v>42581</v>
      </c>
      <c r="H175" s="36" t="str">
        <f ca="1">IFERROR(__xludf.DUMMYFUNCTION("""COMPUTED_VALUE"""),"Sanguinhedo De Maças, Lordosa, Viseu")</f>
        <v>Sanguinhedo De Maças, Lordosa, Viseu</v>
      </c>
      <c r="I175" s="36" t="str">
        <f ca="1">IFERROR(__xludf.DUMMYFUNCTION("""COMPUTED_VALUE"""),"Pinhal junto au rio Vouge")</f>
        <v>Pinhal junto au rio Vouge</v>
      </c>
      <c r="J175" s="36" t="str">
        <f ca="1">IFERROR(__xludf.DUMMYFUNCTION("""COMPUTED_VALUE"""),"")</f>
        <v/>
      </c>
      <c r="K175" s="36" t="str">
        <f ca="1">IFERROR(__xludf.DUMMYFUNCTION("""COMPUTED_VALUE"""),"")</f>
        <v/>
      </c>
      <c r="L175" s="36" t="str">
        <f ca="1">IFERROR(__xludf.DUMMYFUNCTION("""COMPUTED_VALUE"""),"Artur Osório")</f>
        <v>Artur Osório</v>
      </c>
      <c r="M175" s="36" t="str">
        <f ca="1">IFERROR(__xludf.DUMMYFUNCTION("""COMPUTED_VALUE"""),"")</f>
        <v/>
      </c>
      <c r="N175" s="36" t="str">
        <f ca="1">IFERROR(__xludf.DUMMYFUNCTION("""COMPUTED_VALUE"""),"")</f>
        <v/>
      </c>
      <c r="O175" s="36" t="str">
        <f ca="1">IFERROR(__xludf.DUMMYFUNCTION("""COMPUTED_VALUE"""),"")</f>
        <v/>
      </c>
      <c r="P175" s="36" t="str">
        <f ca="1">IFERROR(__xludf.DUMMYFUNCTION("""COMPUTED_VALUE"""),"")</f>
        <v/>
      </c>
      <c r="Q175" s="36" t="str">
        <f ca="1">IFERROR(__xludf.DUMMYFUNCTION("""COMPUTED_VALUE"""),"REGULAR (Se puede acceder con un coche normal con dificultad)")</f>
        <v>REGULAR (Se puede acceder con un coche normal con dificultad)</v>
      </c>
      <c r="R175" s="36" t="str">
        <f ca="1">IFERROR(__xludf.DUMMYFUNCTION("""COMPUTED_VALUE"""),"Sí")</f>
        <v>Sí</v>
      </c>
      <c r="S175" s="36" t="str">
        <f ca="1">IFERROR(__xludf.DUMMYFUNCTION("""COMPUTED_VALUE"""),"8 metros")</f>
        <v>8 metros</v>
      </c>
      <c r="T175" s="36" t="str">
        <f ca="1">IFERROR(__xludf.DUMMYFUNCTION("""COMPUTED_VALUE"""),"Tenemos un río al lado  a una altura inferior, es fácil acceder a él dando un rodeo por la zona.")</f>
        <v>Tenemos un río al lado  a una altura inferior, es fácil acceder a él dando un rodeo por la zona.</v>
      </c>
      <c r="U175" s="36" t="str">
        <f ca="1">IFERROR(__xludf.DUMMYFUNCTION("""COMPUTED_VALUE"""),"No")</f>
        <v>No</v>
      </c>
      <c r="V175" s="36" t="str">
        <f ca="1">IFERROR(__xludf.DUMMYFUNCTION("""COMPUTED_VALUE"""),"Si")</f>
        <v>Si</v>
      </c>
      <c r="W175" s="36" t="str">
        <f ca="1">IFERROR(__xludf.DUMMYFUNCTION("""COMPUTED_VALUE"""),"Hubo un incendio hace unos años y se cargó muchos árboles y dejo el suelo muy sucio.")</f>
        <v>Hubo un incendio hace unos años y se cargó muchos árboles y dejo el suelo muy sucio.</v>
      </c>
      <c r="X175" s="36"/>
      <c r="Y175" s="36"/>
      <c r="Z175" s="36"/>
    </row>
    <row r="176" spans="1:26" ht="12.75" hidden="1">
      <c r="A176" s="36" t="str">
        <f ca="1">IFERROR(__xludf.DUMMYFUNCTION("""COMPUTED_VALUE"""),"Fuera de España")</f>
        <v>Fuera de España</v>
      </c>
      <c r="B176" s="36" t="str">
        <f ca="1">IFERROR(__xludf.DUMMYFUNCTION("""COMPUTED_VALUE"""),"Portugal")</f>
        <v>Portugal</v>
      </c>
      <c r="C176" s="36">
        <f ca="1">IFERROR(__xludf.DUMMYFUNCTION("""COMPUTED_VALUE"""),2017)</f>
        <v>2017</v>
      </c>
      <c r="D176" s="36" t="str">
        <f ca="1">IFERROR(__xludf.DUMMYFUNCTION("""COMPUTED_VALUE"""),"Tallac")</f>
        <v>Tallac</v>
      </c>
      <c r="E176" s="36" t="str">
        <f ca="1">IFERROR(__xludf.DUMMYFUNCTION("""COMPUTED_VALUE"""),"gs.tallac@scoutsdemadrid.org ")</f>
        <v xml:space="preserve">gs.tallac@scoutsdemadrid.org </v>
      </c>
      <c r="F176" s="48">
        <f ca="1">IFERROR(__xludf.DUMMYFUNCTION("""COMPUTED_VALUE"""),42917)</f>
        <v>42917</v>
      </c>
      <c r="G176" s="48">
        <f ca="1">IFERROR(__xludf.DUMMYFUNCTION("""COMPUTED_VALUE"""),42931)</f>
        <v>42931</v>
      </c>
      <c r="H176" s="36" t="str">
        <f ca="1">IFERROR(__xludf.DUMMYFUNCTION("""COMPUTED_VALUE"""),"Sao Jacinto")</f>
        <v>Sao Jacinto</v>
      </c>
      <c r="I176" s="36" t="str">
        <f ca="1">IFERROR(__xludf.DUMMYFUNCTION("""COMPUTED_VALUE"""),"Centro Nacional de Formacion Ambiental Sao Jacinto")</f>
        <v>Centro Nacional de Formacion Ambiental Sao Jacinto</v>
      </c>
      <c r="J176" s="36" t="str">
        <f ca="1">IFERROR(__xludf.DUMMYFUNCTION("""COMPUTED_VALUE"""),"")</f>
        <v/>
      </c>
      <c r="K176" s="36" t="str">
        <f ca="1">IFERROR(__xludf.DUMMYFUNCTION("""COMPUTED_VALUE"""),"")</f>
        <v/>
      </c>
      <c r="L176" s="36" t="str">
        <f ca="1">IFERROR(__xludf.DUMMYFUNCTION("""COMPUTED_VALUE"""),"Jose Carlos Santos ")</f>
        <v xml:space="preserve">Jose Carlos Santos </v>
      </c>
      <c r="M176" s="36" t="str">
        <f ca="1">IFERROR(__xludf.DUMMYFUNCTION("""COMPUTED_VALUE"""),"")</f>
        <v/>
      </c>
      <c r="N176" s="36" t="str">
        <f ca="1">IFERROR(__xludf.DUMMYFUNCTION("""COMPUTED_VALUE"""),"")</f>
        <v/>
      </c>
      <c r="O176" s="36" t="str">
        <f ca="1">IFERROR(__xludf.DUMMYFUNCTION("""COMPUTED_VALUE"""),"")</f>
        <v/>
      </c>
      <c r="P176" s="36" t="str">
        <f ca="1">IFERROR(__xludf.DUMMYFUNCTION("""COMPUTED_VALUE"""),"")</f>
        <v/>
      </c>
      <c r="Q176" s="36" t="str">
        <f ca="1">IFERROR(__xludf.DUMMYFUNCTION("""COMPUTED_VALUE"""),"BUENO (Se puede acceder con cualquier coche)")</f>
        <v>BUENO (Se puede acceder con cualquier coche)</v>
      </c>
      <c r="R176" s="36" t="str">
        <f ca="1">IFERROR(__xludf.DUMMYFUNCTION("""COMPUTED_VALUE"""),"Sí")</f>
        <v>Sí</v>
      </c>
      <c r="S176" s="36" t="str">
        <f ca="1">IFERROR(__xludf.DUMMYFUNCTION("""COMPUTED_VALUE"""),"100 metros")</f>
        <v>100 metros</v>
      </c>
      <c r="T176" s="36" t="str">
        <f ca="1">IFERROR(__xludf.DUMMYFUNCTION("""COMPUTED_VALUE"""),"Oceáno ")</f>
        <v xml:space="preserve">Oceáno </v>
      </c>
      <c r="U176" s="36" t="str">
        <f ca="1">IFERROR(__xludf.DUMMYFUNCTION("""COMPUTED_VALUE"""),"Baño, cocina y comedor")</f>
        <v>Baño, cocina y comedor</v>
      </c>
      <c r="V176" s="36" t="str">
        <f ca="1">IFERROR(__xludf.DUMMYFUNCTION("""COMPUTED_VALUE"""),"")</f>
        <v/>
      </c>
      <c r="W176" s="36" t="str">
        <f ca="1">IFERROR(__xludf.DUMMYFUNCTION("""COMPUTED_VALUE"""),"")</f>
        <v/>
      </c>
      <c r="X176" s="36"/>
      <c r="Y176" s="36"/>
      <c r="Z176" s="36"/>
    </row>
    <row r="177" spans="1:26" ht="12.75" hidden="1">
      <c r="A177" s="36" t="str">
        <f ca="1">IFERROR(__xludf.DUMMYFUNCTION("""COMPUTED_VALUE"""),"Fuera de España")</f>
        <v>Fuera de España</v>
      </c>
      <c r="B177" s="36" t="str">
        <f ca="1">IFERROR(__xludf.DUMMYFUNCTION("""COMPUTED_VALUE"""),"Portugal")</f>
        <v>Portugal</v>
      </c>
      <c r="C177" s="36">
        <f ca="1">IFERROR(__xludf.DUMMYFUNCTION("""COMPUTED_VALUE"""),2016)</f>
        <v>2016</v>
      </c>
      <c r="D177" s="36" t="str">
        <f ca="1">IFERROR(__xludf.DUMMYFUNCTION("""COMPUTED_VALUE"""),"Vedruna")</f>
        <v>Vedruna</v>
      </c>
      <c r="E177" s="36" t="str">
        <f ca="1">IFERROR(__xludf.DUMMYFUNCTION("""COMPUTED_VALUE"""),"gs.verdruna@scoutsdemadrid.org ")</f>
        <v xml:space="preserve">gs.verdruna@scoutsdemadrid.org </v>
      </c>
      <c r="F177" s="48">
        <f ca="1">IFERROR(__xludf.DUMMYFUNCTION("""COMPUTED_VALUE"""),42567)</f>
        <v>42567</v>
      </c>
      <c r="G177" s="48">
        <f ca="1">IFERROR(__xludf.DUMMYFUNCTION("""COMPUTED_VALUE"""),42581)</f>
        <v>42581</v>
      </c>
      <c r="H177" s="36" t="str">
        <f ca="1">IFERROR(__xludf.DUMMYFUNCTION("""COMPUTED_VALUE"""),"Costa De Caparica")</f>
        <v>Costa De Caparica</v>
      </c>
      <c r="I177" s="36" t="str">
        <f ca="1">IFERROR(__xludf.DUMMYFUNCTION("""COMPUTED_VALUE"""),"PNEC")</f>
        <v>PNEC</v>
      </c>
      <c r="J177" s="36" t="str">
        <f ca="1">IFERROR(__xludf.DUMMYFUNCTION("""COMPUTED_VALUE"""),"")</f>
        <v/>
      </c>
      <c r="K177" s="36" t="str">
        <f ca="1">IFERROR(__xludf.DUMMYFUNCTION("""COMPUTED_VALUE"""),"38º39'1.00ºN 9º14'23.00ºW")</f>
        <v>38º39'1.00ºN 9º14'23.00ºW</v>
      </c>
      <c r="L177" s="36" t="str">
        <f ca="1">IFERROR(__xludf.DUMMYFUNCTION("""COMPUTED_VALUE"""),"Escoteiros de Portugal")</f>
        <v>Escoteiros de Portugal</v>
      </c>
      <c r="M177" s="36" t="str">
        <f ca="1">IFERROR(__xludf.DUMMYFUNCTION("""COMPUTED_VALUE"""),"00351 21 363 93 39")</f>
        <v>00351 21 363 93 39</v>
      </c>
      <c r="N177" s="36" t="str">
        <f ca="1">IFERROR(__xludf.DUMMYFUNCTION("""COMPUTED_VALUE"""),"geral@escoteiros.pt")</f>
        <v>geral@escoteiros.pt</v>
      </c>
      <c r="O177" s="36" t="str">
        <f ca="1">IFERROR(__xludf.DUMMYFUNCTION("""COMPUTED_VALUE"""),"3€ pers./día")</f>
        <v>3€ pers./día</v>
      </c>
      <c r="P177" s="36" t="str">
        <f ca="1">IFERROR(__xludf.DUMMYFUNCTION("""COMPUTED_VALUE"""),"")</f>
        <v/>
      </c>
      <c r="Q177" s="36" t="str">
        <f ca="1">IFERROR(__xludf.DUMMYFUNCTION("""COMPUTED_VALUE"""),"BUENO (Se puede acceder con cualquier coche)")</f>
        <v>BUENO (Se puede acceder con cualquier coche)</v>
      </c>
      <c r="R177" s="36" t="str">
        <f ca="1">IFERROR(__xludf.DUMMYFUNCTION("""COMPUTED_VALUE"""),"Sí")</f>
        <v>Sí</v>
      </c>
      <c r="S177" s="36" t="str">
        <f ca="1">IFERROR(__xludf.DUMMYFUNCTION("""COMPUTED_VALUE"""),"150m")</f>
        <v>150m</v>
      </c>
      <c r="T177" s="36" t="str">
        <f ca="1">IFERROR(__xludf.DUMMYFUNCTION("""COMPUTED_VALUE"""),"Playa")</f>
        <v>Playa</v>
      </c>
      <c r="U177" s="36" t="str">
        <f ca="1">IFERROR(__xludf.DUMMYFUNCTION("""COMPUTED_VALUE"""),"Cocinas, comedores, baños, lavabos, zona para hacer fuego, dormitorios, salas, almacenes")</f>
        <v>Cocinas, comedores, baños, lavabos, zona para hacer fuego, dormitorios, salas, almacenes</v>
      </c>
      <c r="V177" s="36" t="str">
        <f ca="1">IFERROR(__xludf.DUMMYFUNCTION("""COMPUTED_VALUE"""),"El campamento proporciona madera para utilizar en las construcciones")</f>
        <v>El campamento proporciona madera para utilizar en las construcciones</v>
      </c>
      <c r="W177" s="36" t="str">
        <f ca="1">IFERROR(__xludf.DUMMYFUNCTION("""COMPUTED_VALUE"""),"Campa compartida. Tiene capacidad para 800 personas")</f>
        <v>Campa compartida. Tiene capacidad para 800 personas</v>
      </c>
      <c r="X177" s="36"/>
      <c r="Y177" s="36"/>
      <c r="Z177" s="36"/>
    </row>
    <row r="178" spans="1:26" ht="12.75" hidden="1">
      <c r="A178" s="36" t="str">
        <f ca="1">IFERROR(__xludf.DUMMYFUNCTION("""COMPUTED_VALUE"""),"Fuera de España")</f>
        <v>Fuera de España</v>
      </c>
      <c r="B178" s="36" t="str">
        <f ca="1">IFERROR(__xludf.DUMMYFUNCTION("""COMPUTED_VALUE"""),"Portugal")</f>
        <v>Portugal</v>
      </c>
      <c r="C178" s="36">
        <f ca="1">IFERROR(__xludf.DUMMYFUNCTION("""COMPUTED_VALUE"""),2015)</f>
        <v>2015</v>
      </c>
      <c r="D178" s="36" t="str">
        <f ca="1">IFERROR(__xludf.DUMMYFUNCTION("""COMPUTED_VALUE"""),"Annapurna")</f>
        <v>Annapurna</v>
      </c>
      <c r="E178" s="36" t="str">
        <f ca="1">IFERROR(__xludf.DUMMYFUNCTION("""COMPUTED_VALUE"""),"gs.anapurna@scoutsdemadrid.org ")</f>
        <v xml:space="preserve">gs.anapurna@scoutsdemadrid.org </v>
      </c>
      <c r="F178" s="48">
        <f ca="1">IFERROR(__xludf.DUMMYFUNCTION("""COMPUTED_VALUE"""),42200)</f>
        <v>42200</v>
      </c>
      <c r="G178" s="48">
        <f ca="1">IFERROR(__xludf.DUMMYFUNCTION("""COMPUTED_VALUE"""),42215)</f>
        <v>42215</v>
      </c>
      <c r="H178" s="36" t="str">
        <f ca="1">IFERROR(__xludf.DUMMYFUNCTION("""COMPUTED_VALUE"""),"Cantanede")</f>
        <v>Cantanede</v>
      </c>
      <c r="I178" s="36" t="str">
        <f ca="1">IFERROR(__xludf.DUMMYFUNCTION("""COMPUTED_VALUE"""),"Praia do Palheirao")</f>
        <v>Praia do Palheirao</v>
      </c>
      <c r="J178" s="36" t="str">
        <f ca="1">IFERROR(__xludf.DUMMYFUNCTION("""COMPUTED_VALUE"""),"")</f>
        <v/>
      </c>
      <c r="K178" s="36" t="str">
        <f ca="1">IFERROR(__xludf.DUMMYFUNCTION("""COMPUTED_VALUE"""),"")</f>
        <v/>
      </c>
      <c r="L178" s="36" t="str">
        <f ca="1">IFERROR(__xludf.DUMMYFUNCTION("""COMPUTED_VALUE"""),"")</f>
        <v/>
      </c>
      <c r="M178" s="36" t="str">
        <f ca="1">IFERROR(__xludf.DUMMYFUNCTION("""COMPUTED_VALUE"""),"")</f>
        <v/>
      </c>
      <c r="N178" s="36" t="str">
        <f ca="1">IFERROR(__xludf.DUMMYFUNCTION("""COMPUTED_VALUE"""),"")</f>
        <v/>
      </c>
      <c r="O178" s="36" t="str">
        <f ca="1">IFERROR(__xludf.DUMMYFUNCTION("""COMPUTED_VALUE"""),"")</f>
        <v/>
      </c>
      <c r="P178" s="36" t="str">
        <f ca="1">IFERROR(__xludf.DUMMYFUNCTION("""COMPUTED_VALUE"""),"")</f>
        <v/>
      </c>
      <c r="Q178" s="36" t="str">
        <f ca="1">IFERROR(__xludf.DUMMYFUNCTION("""COMPUTED_VALUE"""),"")</f>
        <v/>
      </c>
      <c r="R178" s="36" t="str">
        <f ca="1">IFERROR(__xludf.DUMMYFUNCTION("""COMPUTED_VALUE"""),"")</f>
        <v/>
      </c>
      <c r="S178" s="36" t="str">
        <f ca="1">IFERROR(__xludf.DUMMYFUNCTION("""COMPUTED_VALUE"""),"")</f>
        <v/>
      </c>
      <c r="T178" s="36" t="str">
        <f ca="1">IFERROR(__xludf.DUMMYFUNCTION("""COMPUTED_VALUE"""),"")</f>
        <v/>
      </c>
      <c r="U178" s="36" t="str">
        <f ca="1">IFERROR(__xludf.DUMMYFUNCTION("""COMPUTED_VALUE"""),"")</f>
        <v/>
      </c>
      <c r="V178" s="36" t="str">
        <f ca="1">IFERROR(__xludf.DUMMYFUNCTION("""COMPUTED_VALUE"""),"")</f>
        <v/>
      </c>
      <c r="W178" s="36" t="str">
        <f ca="1">IFERROR(__xludf.DUMMYFUNCTION("""COMPUTED_VALUE"""),"")</f>
        <v/>
      </c>
      <c r="X178" s="36"/>
      <c r="Y178" s="36"/>
      <c r="Z178" s="36"/>
    </row>
    <row r="179" spans="1:26" ht="12.75" hidden="1">
      <c r="A179" s="36" t="str">
        <f ca="1">IFERROR(__xludf.DUMMYFUNCTION("""COMPUTED_VALUE"""),"Fuera de España")</f>
        <v>Fuera de España</v>
      </c>
      <c r="B179" s="36" t="str">
        <f ca="1">IFERROR(__xludf.DUMMYFUNCTION("""COMPUTED_VALUE"""),"Portugal")</f>
        <v>Portugal</v>
      </c>
      <c r="C179" s="36">
        <f ca="1">IFERROR(__xludf.DUMMYFUNCTION("""COMPUTED_VALUE"""),2015)</f>
        <v>2015</v>
      </c>
      <c r="D179" s="36" t="str">
        <f ca="1">IFERROR(__xludf.DUMMYFUNCTION("""COMPUTED_VALUE"""),"Santa Ana Y San Rafael")</f>
        <v>Santa Ana Y San Rafael</v>
      </c>
      <c r="E179" s="36" t="str">
        <f ca="1">IFERROR(__xludf.DUMMYFUNCTION("""COMPUTED_VALUE"""),"gs.santanaysanrafael@scoutsdemadrid.org ")</f>
        <v xml:space="preserve">gs.santanaysanrafael@scoutsdemadrid.org </v>
      </c>
      <c r="F179" s="48">
        <f ca="1">IFERROR(__xludf.DUMMYFUNCTION("""COMPUTED_VALUE"""),42201)</f>
        <v>42201</v>
      </c>
      <c r="G179" s="48">
        <f ca="1">IFERROR(__xludf.DUMMYFUNCTION("""COMPUTED_VALUE"""),42215)</f>
        <v>42215</v>
      </c>
      <c r="H179" s="36" t="str">
        <f ca="1">IFERROR(__xludf.DUMMYFUNCTION("""COMPUTED_VALUE"""),"Viseu, Beira Alta")</f>
        <v>Viseu, Beira Alta</v>
      </c>
      <c r="I179" s="36" t="str">
        <f ca="1">IFERROR(__xludf.DUMMYFUNCTION("""COMPUTED_VALUE"""),"Sanguinhedo de Maças")</f>
        <v>Sanguinhedo de Maças</v>
      </c>
      <c r="J179" s="36" t="str">
        <f ca="1">IFERROR(__xludf.DUMMYFUNCTION("""COMPUTED_VALUE"""),"")</f>
        <v/>
      </c>
      <c r="K179" s="36" t="str">
        <f ca="1">IFERROR(__xludf.DUMMYFUNCTION("""COMPUTED_VALUE"""),"40º45’24.31”N   7º52’27.90”O")</f>
        <v>40º45’24.31”N   7º52’27.90”O</v>
      </c>
      <c r="L179" s="36" t="str">
        <f ca="1">IFERROR(__xludf.DUMMYFUNCTION("""COMPUTED_VALUE"""),"")</f>
        <v/>
      </c>
      <c r="M179" s="36" t="str">
        <f ca="1">IFERROR(__xludf.DUMMYFUNCTION("""COMPUTED_VALUE"""),"")</f>
        <v/>
      </c>
      <c r="N179" s="36" t="str">
        <f ca="1">IFERROR(__xludf.DUMMYFUNCTION("""COMPUTED_VALUE"""),"")</f>
        <v/>
      </c>
      <c r="O179" s="36" t="str">
        <f ca="1">IFERROR(__xludf.DUMMYFUNCTION("""COMPUTED_VALUE"""),"")</f>
        <v/>
      </c>
      <c r="P179" s="36" t="str">
        <f ca="1">IFERROR(__xludf.DUMMYFUNCTION("""COMPUTED_VALUE"""),"")</f>
        <v/>
      </c>
      <c r="Q179" s="36" t="str">
        <f ca="1">IFERROR(__xludf.DUMMYFUNCTION("""COMPUTED_VALUE"""),"")</f>
        <v/>
      </c>
      <c r="R179" s="36" t="str">
        <f ca="1">IFERROR(__xludf.DUMMYFUNCTION("""COMPUTED_VALUE"""),"")</f>
        <v/>
      </c>
      <c r="S179" s="36" t="str">
        <f ca="1">IFERROR(__xludf.DUMMYFUNCTION("""COMPUTED_VALUE"""),"")</f>
        <v/>
      </c>
      <c r="T179" s="36" t="str">
        <f ca="1">IFERROR(__xludf.DUMMYFUNCTION("""COMPUTED_VALUE"""),"")</f>
        <v/>
      </c>
      <c r="U179" s="36" t="str">
        <f ca="1">IFERROR(__xludf.DUMMYFUNCTION("""COMPUTED_VALUE"""),"")</f>
        <v/>
      </c>
      <c r="V179" s="36" t="str">
        <f ca="1">IFERROR(__xludf.DUMMYFUNCTION("""COMPUTED_VALUE"""),"")</f>
        <v/>
      </c>
      <c r="W179" s="36" t="str">
        <f ca="1">IFERROR(__xludf.DUMMYFUNCTION("""COMPUTED_VALUE"""),"")</f>
        <v/>
      </c>
      <c r="X179" s="36"/>
      <c r="Y179" s="36"/>
      <c r="Z179" s="36"/>
    </row>
    <row r="180" spans="1:26" ht="12.75" hidden="1">
      <c r="A180" s="36" t="str">
        <f ca="1">IFERROR(__xludf.DUMMYFUNCTION("""COMPUTED_VALUE"""),"Fuera de España")</f>
        <v>Fuera de España</v>
      </c>
      <c r="B180" s="36" t="str">
        <f ca="1">IFERROR(__xludf.DUMMYFUNCTION("""COMPUTED_VALUE"""),"Viseu")</f>
        <v>Viseu</v>
      </c>
      <c r="C180" s="36">
        <f ca="1">IFERROR(__xludf.DUMMYFUNCTION("""COMPUTED_VALUE"""),2018)</f>
        <v>2018</v>
      </c>
      <c r="D180" s="36" t="str">
        <f ca="1">IFERROR(__xludf.DUMMYFUNCTION("""COMPUTED_VALUE"""),"Queztal")</f>
        <v>Queztal</v>
      </c>
      <c r="E180" s="36" t="str">
        <f ca="1">IFERROR(__xludf.DUMMYFUNCTION("""COMPUTED_VALUE"""),"gs.queztal@scoutsdemadrid.org ")</f>
        <v xml:space="preserve">gs.queztal@scoutsdemadrid.org </v>
      </c>
      <c r="F180" s="48">
        <f ca="1">IFERROR(__xludf.DUMMYFUNCTION("""COMPUTED_VALUE"""),43302)</f>
        <v>43302</v>
      </c>
      <c r="G180" s="48">
        <f ca="1">IFERROR(__xludf.DUMMYFUNCTION("""COMPUTED_VALUE"""),43341)</f>
        <v>43341</v>
      </c>
      <c r="H180" s="36" t="str">
        <f ca="1">IFERROR(__xludf.DUMMYFUNCTION("""COMPUTED_VALUE"""),"Sanguinhedo Da Maças")</f>
        <v>Sanguinhedo Da Maças</v>
      </c>
      <c r="I180" s="36" t="str">
        <f ca="1">IFERROR(__xludf.DUMMYFUNCTION("""COMPUTED_VALUE"""),"Sanguinhedo Da Maças")</f>
        <v>Sanguinhedo Da Maças</v>
      </c>
      <c r="J180" s="36" t="str">
        <f ca="1">IFERROR(__xludf.DUMMYFUNCTION("""COMPUTED_VALUE"""),"xxx")</f>
        <v>xxx</v>
      </c>
      <c r="K180" s="36" t="str">
        <f ca="1">IFERROR(__xludf.DUMMYFUNCTION("""COMPUTED_VALUE"""),"N 40º 45.(161+A)  W 007º 52.(969+A)")</f>
        <v>N 40º 45.(161+A)  W 007º 52.(969+A)</v>
      </c>
      <c r="L180" s="36" t="str">
        <f ca="1">IFERROR(__xludf.DUMMYFUNCTION("""COMPUTED_VALUE"""),"Nuno Miguel Ferreira Silva")</f>
        <v>Nuno Miguel Ferreira Silva</v>
      </c>
      <c r="M180" s="36" t="str">
        <f ca="1">IFERROR(__xludf.DUMMYFUNCTION("""COMPUTED_VALUE"""),"+351 963 312 535")</f>
        <v>+351 963 312 535</v>
      </c>
      <c r="N180" s="36" t="str">
        <f ca="1">IFERROR(__xludf.DUMMYFUNCTION("""COMPUTED_VALUE"""),"no tiene")</f>
        <v>no tiene</v>
      </c>
      <c r="O180" s="36">
        <f ca="1">IFERROR(__xludf.DUMMYFUNCTION("""COMPUTED_VALUE"""),0)</f>
        <v>0</v>
      </c>
      <c r="P180" s="36" t="str">
        <f ca="1">IFERROR(__xludf.DUMMYFUNCTION("""COMPUTED_VALUE"""),"n/s")</f>
        <v>n/s</v>
      </c>
      <c r="Q180" s="36" t="str">
        <f ca="1">IFERROR(__xludf.DUMMYFUNCTION("""COMPUTED_VALUE"""),"BUENO (Se puede acceder con cualquier coche)")</f>
        <v>BUENO (Se puede acceder con cualquier coche)</v>
      </c>
      <c r="R180" s="36" t="str">
        <f ca="1">IFERROR(__xludf.DUMMYFUNCTION("""COMPUTED_VALUE"""),"Sí")</f>
        <v>Sí</v>
      </c>
      <c r="S180" s="36" t="str">
        <f ca="1">IFERROR(__xludf.DUMMYFUNCTION("""COMPUTED_VALUE"""),"100 m")</f>
        <v>100 m</v>
      </c>
      <c r="T180" s="36" t="str">
        <f ca="1">IFERROR(__xludf.DUMMYFUNCTION("""COMPUTED_VALUE"""),"Río con caudal suficiente para poder disfrutar del agua y aprovechar al máximo el recurso")</f>
        <v>Río con caudal suficiente para poder disfrutar del agua y aprovechar al máximo el recurso</v>
      </c>
      <c r="U180" s="36" t="str">
        <f ca="1">IFERROR(__xludf.DUMMYFUNCTION("""COMPUTED_VALUE"""),"No")</f>
        <v>No</v>
      </c>
      <c r="V180" s="36" t="str">
        <f ca="1">IFERROR(__xludf.DUMMYFUNCTION("""COMPUTED_VALUE"""),"Si")</f>
        <v>Si</v>
      </c>
      <c r="W180" s="36" t="str">
        <f ca="1">IFERROR(__xludf.DUMMYFUNCTION("""COMPUTED_VALUE"""),"Finca amplia para poder acampar con las tiendas y pabellones del grupo, teniendo río cerca para poder utilizarlo. El pueblo está a 5 minutos en coche.")</f>
        <v>Finca amplia para poder acampar con las tiendas y pabellones del grupo, teniendo río cerca para poder utilizarlo. El pueblo está a 5 minutos en coche.</v>
      </c>
      <c r="X180" s="36"/>
      <c r="Y180" s="36"/>
      <c r="Z180" s="36"/>
    </row>
    <row r="181" spans="1:26" ht="12.75" hidden="1">
      <c r="A181" s="36" t="str">
        <f ca="1">IFERROR(__xludf.DUMMYFUNCTION("""COMPUTED_VALUE"""),"Fuera de España")</f>
        <v>Fuera de España</v>
      </c>
      <c r="B181" s="36" t="str">
        <f ca="1">IFERROR(__xludf.DUMMYFUNCTION("""COMPUTED_VALUE"""),"Portugal")</f>
        <v>Portugal</v>
      </c>
      <c r="C181" s="36">
        <f ca="1">IFERROR(__xludf.DUMMYFUNCTION("""COMPUTED_VALUE"""),2019)</f>
        <v>2019</v>
      </c>
      <c r="D181" s="36" t="str">
        <f ca="1">IFERROR(__xludf.DUMMYFUNCTION("""COMPUTED_VALUE"""),"Libertas")</f>
        <v>Libertas</v>
      </c>
      <c r="E181" s="36" t="str">
        <f ca="1">IFERROR(__xludf.DUMMYFUNCTION("""COMPUTED_VALUE"""),"gs.libertas@scoutsdemadrid.org")</f>
        <v>gs.libertas@scoutsdemadrid.org</v>
      </c>
      <c r="F181" s="48">
        <f ca="1">IFERROR(__xludf.DUMMYFUNCTION("""COMPUTED_VALUE"""),43662)</f>
        <v>43662</v>
      </c>
      <c r="G181" s="48">
        <f ca="1">IFERROR(__xludf.DUMMYFUNCTION("""COMPUTED_VALUE"""),43676)</f>
        <v>43676</v>
      </c>
      <c r="H181" s="36" t="str">
        <f ca="1">IFERROR(__xludf.DUMMYFUNCTION("""COMPUTED_VALUE"""),"Aveiro")</f>
        <v>Aveiro</v>
      </c>
      <c r="I181" s="36" t="str">
        <f ca="1">IFERROR(__xludf.DUMMYFUNCTION("""COMPUTED_VALUE"""),"Centro Escutista Sao Jacinto")</f>
        <v>Centro Escutista Sao Jacinto</v>
      </c>
      <c r="J181" s="36">
        <f ca="1">IFERROR(__xludf.DUMMYFUNCTION("""COMPUTED_VALUE"""),0)</f>
        <v>0</v>
      </c>
      <c r="K181" s="36" t="str">
        <f ca="1">IFERROR(__xludf.DUMMYFUNCTION("""COMPUTED_VALUE"""),"40.668011, -8.735720")</f>
        <v>40.668011, -8.735720</v>
      </c>
      <c r="L181" s="36" t="str">
        <f ca="1">IFERROR(__xludf.DUMMYFUNCTION("""COMPUTED_VALUE"""),"Corpo Nacional de Escutas")</f>
        <v>Corpo Nacional de Escutas</v>
      </c>
      <c r="M181" s="36" t="str">
        <f ca="1">IFERROR(__xludf.DUMMYFUNCTION("""COMPUTED_VALUE"""),"+35 926 561 930")</f>
        <v>+35 926 561 930</v>
      </c>
      <c r="N181" s="36" t="str">
        <f ca="1">IFERROR(__xludf.DUMMYFUNCTION("""COMPUTED_VALUE"""),"info@saojacinto.cne-escutismo.pt")</f>
        <v>info@saojacinto.cne-escutismo.pt</v>
      </c>
      <c r="O181" s="36" t="str">
        <f ca="1">IFERROR(__xludf.DUMMYFUNCTION("""COMPUTED_VALUE"""),"3 € /pax/día")</f>
        <v>3 € /pax/día</v>
      </c>
      <c r="P181" s="36" t="str">
        <f ca="1">IFERROR(__xludf.DUMMYFUNCTION("""COMPUTED_VALUE"""),"Se divide en diferentes zonas de acampada, pudiendo albergar 700 personas")</f>
        <v>Se divide en diferentes zonas de acampada, pudiendo albergar 700 personas</v>
      </c>
      <c r="Q181" s="36" t="str">
        <f ca="1">IFERROR(__xludf.DUMMYFUNCTION("""COMPUTED_VALUE"""),"BUENO (Se puede acceder con cualquier coche)")</f>
        <v>BUENO (Se puede acceder con cualquier coche)</v>
      </c>
      <c r="R181" s="36" t="str">
        <f ca="1">IFERROR(__xludf.DUMMYFUNCTION("""COMPUTED_VALUE"""),"Sí")</f>
        <v>Sí</v>
      </c>
      <c r="S181" s="36" t="str">
        <f ca="1">IFERROR(__xludf.DUMMYFUNCTION("""COMPUTED_VALUE"""),"100 m")</f>
        <v>100 m</v>
      </c>
      <c r="T181" s="36" t="str">
        <f ca="1">IFERROR(__xludf.DUMMYFUNCTION("""COMPUTED_VALUE"""),"Piscina municipal y playa (mar abierto)")</f>
        <v>Piscina municipal y playa (mar abierto)</v>
      </c>
      <c r="U181" s="36" t="str">
        <f ca="1">IFERROR(__xludf.DUMMYFUNCTION("""COMPUTED_VALUE"""),"Cuenta con cocina, baños, fregadores y capilla")</f>
        <v>Cuenta con cocina, baños, fregadores y capilla</v>
      </c>
      <c r="V181" s="36" t="str">
        <f ca="1">IFERROR(__xludf.DUMMYFUNCTION("""COMPUTED_VALUE"""),"En el centro proporcionan madera")</f>
        <v>En el centro proporcionan madera</v>
      </c>
      <c r="W181" s="36" t="str">
        <f ca="1">IFERROR(__xludf.DUMMYFUNCTION("""COMPUTED_VALUE"""),"Se valora positivamente el contacto con otros grupos y nacionalidades")</f>
        <v>Se valora positivamente el contacto con otros grupos y nacionalidades</v>
      </c>
      <c r="X181" s="36"/>
      <c r="Y181" s="36"/>
      <c r="Z181" s="36"/>
    </row>
    <row r="182" spans="1:26" ht="12.75" hidden="1">
      <c r="A182" s="36" t="str">
        <f ca="1">IFERROR(__xludf.DUMMYFUNCTION("""COMPUTED_VALUE"""),"Fuera de España")</f>
        <v>Fuera de España</v>
      </c>
      <c r="B182" s="36" t="str">
        <f ca="1">IFERROR(__xludf.DUMMYFUNCTION("""COMPUTED_VALUE"""),"Portugal")</f>
        <v>Portugal</v>
      </c>
      <c r="C182" s="36">
        <f ca="1">IFERROR(__xludf.DUMMYFUNCTION("""COMPUTED_VALUE"""),2019)</f>
        <v>2019</v>
      </c>
      <c r="D182" s="36" t="str">
        <f ca="1">IFERROR(__xludf.DUMMYFUNCTION("""COMPUTED_VALUE"""),"Queztal")</f>
        <v>Queztal</v>
      </c>
      <c r="E182" s="36" t="str">
        <f ca="1">IFERROR(__xludf.DUMMYFUNCTION("""COMPUTED_VALUE"""),"gs.queztal@scoutsdemadrid.org ")</f>
        <v xml:space="preserve">gs.queztal@scoutsdemadrid.org </v>
      </c>
      <c r="F182" s="48">
        <f ca="1">IFERROR(__xludf.DUMMYFUNCTION("""COMPUTED_VALUE"""),43679)</f>
        <v>43679</v>
      </c>
      <c r="G182" s="48">
        <f ca="1">IFERROR(__xludf.DUMMYFUNCTION("""COMPUTED_VALUE"""),43688)</f>
        <v>43688</v>
      </c>
      <c r="H182" s="36" t="str">
        <f ca="1">IFERROR(__xludf.DUMMYFUNCTION("""COMPUTED_VALUE"""),"Santiago Do Cacém")</f>
        <v>Santiago Do Cacém</v>
      </c>
      <c r="I182" s="36" t="str">
        <f ca="1">IFERROR(__xludf.DUMMYFUNCTION("""COMPUTED_VALUE"""),"Centro de Interpretação do Monte do Paio")</f>
        <v>Centro de Interpretação do Monte do Paio</v>
      </c>
      <c r="J182" s="36" t="str">
        <f ca="1">IFERROR(__xludf.DUMMYFUNCTION("""COMPUTED_VALUE"""),"xxx")</f>
        <v>xxx</v>
      </c>
      <c r="K182" s="36" t="str">
        <f ca="1">IFERROR(__xludf.DUMMYFUNCTION("""COMPUTED_VALUE"""),"Centro de Interpretação do Monte do Paio")</f>
        <v>Centro de Interpretação do Monte do Paio</v>
      </c>
      <c r="L182" s="36" t="str">
        <f ca="1">IFERROR(__xludf.DUMMYFUNCTION("""COMPUTED_VALUE"""),"Celio")</f>
        <v>Celio</v>
      </c>
      <c r="M182" s="36" t="str">
        <f ca="1">IFERROR(__xludf.DUMMYFUNCTION("""COMPUTED_VALUE"""),"+351936409922")</f>
        <v>+351936409922</v>
      </c>
      <c r="N182" s="36" t="str">
        <f ca="1">IFERROR(__xludf.DUMMYFUNCTION("""COMPUTED_VALUE"""),"geral.581@escutismo.pt")</f>
        <v>geral.581@escutismo.pt</v>
      </c>
      <c r="O182" s="36" t="str">
        <f ca="1">IFERROR(__xludf.DUMMYFUNCTION("""COMPUTED_VALUE"""),"1,5 € por persona")</f>
        <v>1,5 € por persona</v>
      </c>
      <c r="P182" s="36" t="str">
        <f ca="1">IFERROR(__xludf.DUMMYFUNCTION("""COMPUTED_VALUE"""),"11570 m2")</f>
        <v>11570 m2</v>
      </c>
      <c r="Q182" s="36" t="str">
        <f ca="1">IFERROR(__xludf.DUMMYFUNCTION("""COMPUTED_VALUE"""),"BUENO (Se puede acceder con cualquier coche)")</f>
        <v>BUENO (Se puede acceder con cualquier coche)</v>
      </c>
      <c r="R182" s="36" t="str">
        <f ca="1">IFERROR(__xludf.DUMMYFUNCTION("""COMPUTED_VALUE"""),"Sí")</f>
        <v>Sí</v>
      </c>
      <c r="S182" s="36" t="str">
        <f ca="1">IFERROR(__xludf.DUMMYFUNCTION("""COMPUTED_VALUE"""),"2 km")</f>
        <v>2 km</v>
      </c>
      <c r="T182" s="36" t="str">
        <f ca="1">IFERROR(__xludf.DUMMYFUNCTION("""COMPUTED_VALUE"""),"Playa")</f>
        <v>Playa</v>
      </c>
      <c r="U182" s="36" t="str">
        <f ca="1">IFERROR(__xludf.DUMMYFUNCTION("""COMPUTED_VALUE"""),"Cocina, WC, duchas, zona de pabellones (comedores)")</f>
        <v>Cocina, WC, duchas, zona de pabellones (comedores)</v>
      </c>
      <c r="V182" s="36" t="str">
        <f ca="1">IFERROR(__xludf.DUMMYFUNCTION("""COMPUTED_VALUE"""),"si")</f>
        <v>si</v>
      </c>
      <c r="W182" s="36" t="str">
        <f ca="1">IFERROR(__xludf.DUMMYFUNCTION("""COMPUTED_VALUE"""),"Zona estupenda para poder acampar, con zonas de sobras para juegos e instalaciones básicas.")</f>
        <v>Zona estupenda para poder acampar, con zonas de sobras para juegos e instalaciones básicas.</v>
      </c>
      <c r="X182" s="36"/>
      <c r="Y182" s="36"/>
      <c r="Z182" s="36"/>
    </row>
    <row r="183" spans="1:26" ht="12.75" hidden="1">
      <c r="A183" s="36" t="str">
        <f ca="1">IFERROR(__xludf.DUMMYFUNCTION("""COMPUTED_VALUE"""),"Fuera de España")</f>
        <v>Fuera de España</v>
      </c>
      <c r="B183" s="36" t="str">
        <f ca="1">IFERROR(__xludf.DUMMYFUNCTION("""COMPUTED_VALUE"""),"UK, Francia")</f>
        <v>UK, Francia</v>
      </c>
      <c r="C183" s="36">
        <f ca="1">IFERROR(__xludf.DUMMYFUNCTION("""COMPUTED_VALUE"""),2019)</f>
        <v>2019</v>
      </c>
      <c r="D183" s="36" t="str">
        <f ca="1">IFERROR(__xludf.DUMMYFUNCTION("""COMPUTED_VALUE"""),"Monte Kenya 445")</f>
        <v>Monte Kenya 445</v>
      </c>
      <c r="E183" s="36" t="str">
        <f ca="1">IFERROR(__xludf.DUMMYFUNCTION("""COMPUTED_VALUE"""),"gs.montekenia445@scoutsdemadrid.org ")</f>
        <v xml:space="preserve">gs.montekenia445@scoutsdemadrid.org </v>
      </c>
      <c r="F183" s="48">
        <f ca="1">IFERROR(__xludf.DUMMYFUNCTION("""COMPUTED_VALUE"""),43678)</f>
        <v>43678</v>
      </c>
      <c r="G183" s="48">
        <f ca="1">IFERROR(__xludf.DUMMYFUNCTION("""COMPUTED_VALUE"""),43692)</f>
        <v>43692</v>
      </c>
      <c r="H183" s="36" t="str">
        <f ca="1">IFERROR(__xludf.DUMMYFUNCTION("""COMPUTED_VALUE"""),"Londres Y Jambville")</f>
        <v>Londres Y Jambville</v>
      </c>
      <c r="I183" s="36" t="str">
        <f ca="1">IFERROR(__xludf.DUMMYFUNCTION("""COMPUTED_VALUE"""),"Southall Activity Center")</f>
        <v>Southall Activity Center</v>
      </c>
      <c r="J183" s="36" t="str">
        <f ca="1">IFERROR(__xludf.DUMMYFUNCTION("""COMPUTED_VALUE"""),"No tiene")</f>
        <v>No tiene</v>
      </c>
      <c r="K183" s="36" t="str">
        <f ca="1">IFERROR(__xludf.DUMMYFUNCTION("""COMPUTED_VALUE"""),"GJ9C+XC Southall, Reino Unido")</f>
        <v>GJ9C+XC Southall, Reino Unido</v>
      </c>
      <c r="L183" s="36" t="str">
        <f ca="1">IFERROR(__xludf.DUMMYFUNCTION("""COMPUTED_VALUE"""),"Phil Thorne")</f>
        <v>Phil Thorne</v>
      </c>
      <c r="M183" s="36" t="str">
        <f ca="1">IFERROR(__xludf.DUMMYFUNCTION("""COMPUTED_VALUE"""),"+44 7774 110854")</f>
        <v>+44 7774 110854</v>
      </c>
      <c r="N183" s="36" t="str">
        <f ca="1">IFERROR(__xludf.DUMMYFUNCTION("""COMPUTED_VALUE"""),"philthorne@virginmedia.com")</f>
        <v>philthorne@virginmedia.com</v>
      </c>
      <c r="O183" s="36">
        <f ca="1">IFERROR(__xludf.DUMMYFUNCTION("""COMPUTED_VALUE"""),70)</f>
        <v>70</v>
      </c>
      <c r="P183" s="36" t="str">
        <f ca="1">IFERROR(__xludf.DUMMYFUNCTION("""COMPUTED_VALUE"""),"3000m2")</f>
        <v>3000m2</v>
      </c>
      <c r="Q183" s="36" t="str">
        <f ca="1">IFERROR(__xludf.DUMMYFUNCTION("""COMPUTED_VALUE"""),"BUENO (Se puede acceder con cualquier coche)")</f>
        <v>BUENO (Se puede acceder con cualquier coche)</v>
      </c>
      <c r="R183" s="36" t="str">
        <f ca="1">IFERROR(__xludf.DUMMYFUNCTION("""COMPUTED_VALUE"""),"Sí")</f>
        <v>Sí</v>
      </c>
      <c r="S183" s="36" t="str">
        <f ca="1">IFERROR(__xludf.DUMMYFUNCTION("""COMPUTED_VALUE"""),"No hay")</f>
        <v>No hay</v>
      </c>
      <c r="T183" s="36" t="str">
        <f ca="1">IFERROR(__xludf.DUMMYFUNCTION("""COMPUTED_VALUE"""),"No hay")</f>
        <v>No hay</v>
      </c>
      <c r="U183" s="36" t="str">
        <f ca="1">IFERROR(__xludf.DUMMYFUNCTION("""COMPUTED_VALUE"""),"Baños, comedor, cocina, etc")</f>
        <v>Baños, comedor, cocina, etc</v>
      </c>
      <c r="V183" s="36" t="str">
        <f ca="1">IFERROR(__xludf.DUMMYFUNCTION("""COMPUTED_VALUE"""),"No")</f>
        <v>No</v>
      </c>
      <c r="W183" s="36" t="str">
        <f ca="1">IFERROR(__xludf.DUMMYFUNCTION("""COMPUTED_VALUE"""),"Es genial para un grupo de hasta 75-80 personas")</f>
        <v>Es genial para un grupo de hasta 75-80 personas</v>
      </c>
      <c r="X183" s="36"/>
      <c r="Y183" s="36"/>
      <c r="Z183" s="36"/>
    </row>
    <row r="184" spans="1:26" ht="12.75" hidden="1">
      <c r="A184" s="36" t="str">
        <f ca="1">IFERROR(__xludf.DUMMYFUNCTION("""COMPUTED_VALUE"""),"")</f>
        <v/>
      </c>
      <c r="B184" s="36" t="str">
        <f ca="1">IFERROR(__xludf.DUMMYFUNCTION("""COMPUTED_VALUE"""),"")</f>
        <v/>
      </c>
      <c r="C184" s="36" t="str">
        <f ca="1">IFERROR(__xludf.DUMMYFUNCTION("""COMPUTED_VALUE"""),"")</f>
        <v/>
      </c>
      <c r="D184" s="36" t="str">
        <f ca="1">IFERROR(__xludf.DUMMYFUNCTION("""COMPUTED_VALUE"""),"")</f>
        <v/>
      </c>
      <c r="E184" s="36" t="str">
        <f ca="1">IFERROR(__xludf.DUMMYFUNCTION("""COMPUTED_VALUE"""),"")</f>
        <v/>
      </c>
      <c r="F184" s="36" t="str">
        <f ca="1">IFERROR(__xludf.DUMMYFUNCTION("""COMPUTED_VALUE"""),"")</f>
        <v/>
      </c>
      <c r="G184" s="36" t="str">
        <f ca="1">IFERROR(__xludf.DUMMYFUNCTION("""COMPUTED_VALUE"""),"")</f>
        <v/>
      </c>
      <c r="H184" s="36" t="str">
        <f ca="1">IFERROR(__xludf.DUMMYFUNCTION("""COMPUTED_VALUE"""),"")</f>
        <v/>
      </c>
      <c r="I184" s="36" t="str">
        <f ca="1">IFERROR(__xludf.DUMMYFUNCTION("""COMPUTED_VALUE"""),"")</f>
        <v/>
      </c>
      <c r="J184" s="36" t="str">
        <f ca="1">IFERROR(__xludf.DUMMYFUNCTION("""COMPUTED_VALUE"""),"")</f>
        <v/>
      </c>
      <c r="K184" s="36" t="str">
        <f ca="1">IFERROR(__xludf.DUMMYFUNCTION("""COMPUTED_VALUE"""),"")</f>
        <v/>
      </c>
      <c r="L184" s="36" t="str">
        <f ca="1">IFERROR(__xludf.DUMMYFUNCTION("""COMPUTED_VALUE"""),"")</f>
        <v/>
      </c>
      <c r="M184" s="36" t="str">
        <f ca="1">IFERROR(__xludf.DUMMYFUNCTION("""COMPUTED_VALUE"""),"")</f>
        <v/>
      </c>
      <c r="N184" s="36" t="str">
        <f ca="1">IFERROR(__xludf.DUMMYFUNCTION("""COMPUTED_VALUE"""),"")</f>
        <v/>
      </c>
      <c r="O184" s="36" t="str">
        <f ca="1">IFERROR(__xludf.DUMMYFUNCTION("""COMPUTED_VALUE"""),"")</f>
        <v/>
      </c>
      <c r="P184" s="36" t="str">
        <f ca="1">IFERROR(__xludf.DUMMYFUNCTION("""COMPUTED_VALUE"""),"")</f>
        <v/>
      </c>
      <c r="Q184" s="36" t="str">
        <f ca="1">IFERROR(__xludf.DUMMYFUNCTION("""COMPUTED_VALUE"""),"")</f>
        <v/>
      </c>
      <c r="R184" s="36" t="str">
        <f ca="1">IFERROR(__xludf.DUMMYFUNCTION("""COMPUTED_VALUE"""),"")</f>
        <v/>
      </c>
      <c r="S184" s="36" t="str">
        <f ca="1">IFERROR(__xludf.DUMMYFUNCTION("""COMPUTED_VALUE"""),"")</f>
        <v/>
      </c>
      <c r="T184" s="36" t="str">
        <f ca="1">IFERROR(__xludf.DUMMYFUNCTION("""COMPUTED_VALUE"""),"")</f>
        <v/>
      </c>
      <c r="U184" s="36" t="str">
        <f ca="1">IFERROR(__xludf.DUMMYFUNCTION("""COMPUTED_VALUE"""),"")</f>
        <v/>
      </c>
      <c r="V184" s="36" t="str">
        <f ca="1">IFERROR(__xludf.DUMMYFUNCTION("""COMPUTED_VALUE"""),"")</f>
        <v/>
      </c>
      <c r="W184" s="36" t="str">
        <f ca="1">IFERROR(__xludf.DUMMYFUNCTION("""COMPUTED_VALUE"""),"")</f>
        <v/>
      </c>
      <c r="X184" s="36"/>
      <c r="Y184" s="36"/>
      <c r="Z184" s="36"/>
    </row>
    <row r="185" spans="1:26" ht="12.75" hidden="1">
      <c r="A185" s="36" t="str">
        <f ca="1">IFERROR(__xludf.DUMMYFUNCTION("""COMPUTED_VALUE"""),"")</f>
        <v/>
      </c>
      <c r="B185" s="36" t="str">
        <f ca="1">IFERROR(__xludf.DUMMYFUNCTION("""COMPUTED_VALUE"""),"")</f>
        <v/>
      </c>
      <c r="C185" s="36" t="str">
        <f ca="1">IFERROR(__xludf.DUMMYFUNCTION("""COMPUTED_VALUE"""),"")</f>
        <v/>
      </c>
      <c r="D185" s="36" t="str">
        <f ca="1">IFERROR(__xludf.DUMMYFUNCTION("""COMPUTED_VALUE"""),"")</f>
        <v/>
      </c>
      <c r="E185" s="36" t="str">
        <f ca="1">IFERROR(__xludf.DUMMYFUNCTION("""COMPUTED_VALUE"""),"")</f>
        <v/>
      </c>
      <c r="F185" s="36" t="str">
        <f ca="1">IFERROR(__xludf.DUMMYFUNCTION("""COMPUTED_VALUE"""),"")</f>
        <v/>
      </c>
      <c r="G185" s="36" t="str">
        <f ca="1">IFERROR(__xludf.DUMMYFUNCTION("""COMPUTED_VALUE"""),"")</f>
        <v/>
      </c>
      <c r="H185" s="36" t="str">
        <f ca="1">IFERROR(__xludf.DUMMYFUNCTION("""COMPUTED_VALUE"""),"")</f>
        <v/>
      </c>
      <c r="I185" s="36" t="str">
        <f ca="1">IFERROR(__xludf.DUMMYFUNCTION("""COMPUTED_VALUE"""),"")</f>
        <v/>
      </c>
      <c r="J185" s="36" t="str">
        <f ca="1">IFERROR(__xludf.DUMMYFUNCTION("""COMPUTED_VALUE"""),"")</f>
        <v/>
      </c>
      <c r="K185" s="36" t="str">
        <f ca="1">IFERROR(__xludf.DUMMYFUNCTION("""COMPUTED_VALUE"""),"")</f>
        <v/>
      </c>
      <c r="L185" s="36" t="str">
        <f ca="1">IFERROR(__xludf.DUMMYFUNCTION("""COMPUTED_VALUE"""),"")</f>
        <v/>
      </c>
      <c r="M185" s="36" t="str">
        <f ca="1">IFERROR(__xludf.DUMMYFUNCTION("""COMPUTED_VALUE"""),"")</f>
        <v/>
      </c>
      <c r="N185" s="36" t="str">
        <f ca="1">IFERROR(__xludf.DUMMYFUNCTION("""COMPUTED_VALUE"""),"")</f>
        <v/>
      </c>
      <c r="O185" s="36" t="str">
        <f ca="1">IFERROR(__xludf.DUMMYFUNCTION("""COMPUTED_VALUE"""),"")</f>
        <v/>
      </c>
      <c r="P185" s="36" t="str">
        <f ca="1">IFERROR(__xludf.DUMMYFUNCTION("""COMPUTED_VALUE"""),"")</f>
        <v/>
      </c>
      <c r="Q185" s="36" t="str">
        <f ca="1">IFERROR(__xludf.DUMMYFUNCTION("""COMPUTED_VALUE"""),"")</f>
        <v/>
      </c>
      <c r="R185" s="36" t="str">
        <f ca="1">IFERROR(__xludf.DUMMYFUNCTION("""COMPUTED_VALUE"""),"")</f>
        <v/>
      </c>
      <c r="S185" s="36" t="str">
        <f ca="1">IFERROR(__xludf.DUMMYFUNCTION("""COMPUTED_VALUE"""),"")</f>
        <v/>
      </c>
      <c r="T185" s="36" t="str">
        <f ca="1">IFERROR(__xludf.DUMMYFUNCTION("""COMPUTED_VALUE"""),"")</f>
        <v/>
      </c>
      <c r="U185" s="36" t="str">
        <f ca="1">IFERROR(__xludf.DUMMYFUNCTION("""COMPUTED_VALUE"""),"")</f>
        <v/>
      </c>
      <c r="V185" s="36" t="str">
        <f ca="1">IFERROR(__xludf.DUMMYFUNCTION("""COMPUTED_VALUE"""),"")</f>
        <v/>
      </c>
      <c r="W185" s="36" t="str">
        <f ca="1">IFERROR(__xludf.DUMMYFUNCTION("""COMPUTED_VALUE"""),"")</f>
        <v/>
      </c>
      <c r="X185" s="36"/>
      <c r="Y185" s="36"/>
      <c r="Z185" s="36"/>
    </row>
    <row r="186" spans="1:26" ht="12.75" hidden="1">
      <c r="A186" s="36" t="str">
        <f ca="1">IFERROR(__xludf.DUMMYFUNCTION("""COMPUTED_VALUE"""),"")</f>
        <v/>
      </c>
      <c r="B186" s="36" t="str">
        <f ca="1">IFERROR(__xludf.DUMMYFUNCTION("""COMPUTED_VALUE"""),"")</f>
        <v/>
      </c>
      <c r="C186" s="36" t="str">
        <f ca="1">IFERROR(__xludf.DUMMYFUNCTION("""COMPUTED_VALUE"""),"")</f>
        <v/>
      </c>
      <c r="D186" s="36" t="str">
        <f ca="1">IFERROR(__xludf.DUMMYFUNCTION("""COMPUTED_VALUE"""),"")</f>
        <v/>
      </c>
      <c r="E186" s="36" t="str">
        <f ca="1">IFERROR(__xludf.DUMMYFUNCTION("""COMPUTED_VALUE"""),"")</f>
        <v/>
      </c>
      <c r="F186" s="36" t="str">
        <f ca="1">IFERROR(__xludf.DUMMYFUNCTION("""COMPUTED_VALUE"""),"")</f>
        <v/>
      </c>
      <c r="G186" s="36" t="str">
        <f ca="1">IFERROR(__xludf.DUMMYFUNCTION("""COMPUTED_VALUE"""),"")</f>
        <v/>
      </c>
      <c r="H186" s="36" t="str">
        <f ca="1">IFERROR(__xludf.DUMMYFUNCTION("""COMPUTED_VALUE"""),"")</f>
        <v/>
      </c>
      <c r="I186" s="36" t="str">
        <f ca="1">IFERROR(__xludf.DUMMYFUNCTION("""COMPUTED_VALUE"""),"")</f>
        <v/>
      </c>
      <c r="J186" s="36" t="str">
        <f ca="1">IFERROR(__xludf.DUMMYFUNCTION("""COMPUTED_VALUE"""),"")</f>
        <v/>
      </c>
      <c r="K186" s="36" t="str">
        <f ca="1">IFERROR(__xludf.DUMMYFUNCTION("""COMPUTED_VALUE"""),"")</f>
        <v/>
      </c>
      <c r="L186" s="36" t="str">
        <f ca="1">IFERROR(__xludf.DUMMYFUNCTION("""COMPUTED_VALUE"""),"")</f>
        <v/>
      </c>
      <c r="M186" s="36" t="str">
        <f ca="1">IFERROR(__xludf.DUMMYFUNCTION("""COMPUTED_VALUE"""),"")</f>
        <v/>
      </c>
      <c r="N186" s="36" t="str">
        <f ca="1">IFERROR(__xludf.DUMMYFUNCTION("""COMPUTED_VALUE"""),"")</f>
        <v/>
      </c>
      <c r="O186" s="36" t="str">
        <f ca="1">IFERROR(__xludf.DUMMYFUNCTION("""COMPUTED_VALUE"""),"")</f>
        <v/>
      </c>
      <c r="P186" s="36" t="str">
        <f ca="1">IFERROR(__xludf.DUMMYFUNCTION("""COMPUTED_VALUE"""),"")</f>
        <v/>
      </c>
      <c r="Q186" s="36" t="str">
        <f ca="1">IFERROR(__xludf.DUMMYFUNCTION("""COMPUTED_VALUE"""),"")</f>
        <v/>
      </c>
      <c r="R186" s="36" t="str">
        <f ca="1">IFERROR(__xludf.DUMMYFUNCTION("""COMPUTED_VALUE"""),"")</f>
        <v/>
      </c>
      <c r="S186" s="36" t="str">
        <f ca="1">IFERROR(__xludf.DUMMYFUNCTION("""COMPUTED_VALUE"""),"")</f>
        <v/>
      </c>
      <c r="T186" s="36" t="str">
        <f ca="1">IFERROR(__xludf.DUMMYFUNCTION("""COMPUTED_VALUE"""),"")</f>
        <v/>
      </c>
      <c r="U186" s="36" t="str">
        <f ca="1">IFERROR(__xludf.DUMMYFUNCTION("""COMPUTED_VALUE"""),"")</f>
        <v/>
      </c>
      <c r="V186" s="36" t="str">
        <f ca="1">IFERROR(__xludf.DUMMYFUNCTION("""COMPUTED_VALUE"""),"")</f>
        <v/>
      </c>
      <c r="W186" s="36" t="str">
        <f ca="1">IFERROR(__xludf.DUMMYFUNCTION("""COMPUTED_VALUE"""),"")</f>
        <v/>
      </c>
      <c r="X186" s="36"/>
      <c r="Y186" s="36"/>
      <c r="Z186" s="36"/>
    </row>
    <row r="187" spans="1:26" ht="12.75" hidden="1">
      <c r="A187" s="36" t="str">
        <f ca="1">IFERROR(__xludf.DUMMYFUNCTION("""COMPUTED_VALUE"""),"")</f>
        <v/>
      </c>
      <c r="B187" s="36" t="str">
        <f ca="1">IFERROR(__xludf.DUMMYFUNCTION("""COMPUTED_VALUE"""),"")</f>
        <v/>
      </c>
      <c r="C187" s="36" t="str">
        <f ca="1">IFERROR(__xludf.DUMMYFUNCTION("""COMPUTED_VALUE"""),"")</f>
        <v/>
      </c>
      <c r="D187" s="36" t="str">
        <f ca="1">IFERROR(__xludf.DUMMYFUNCTION("""COMPUTED_VALUE"""),"")</f>
        <v/>
      </c>
      <c r="E187" s="36" t="str">
        <f ca="1">IFERROR(__xludf.DUMMYFUNCTION("""COMPUTED_VALUE"""),"")</f>
        <v/>
      </c>
      <c r="F187" s="36" t="str">
        <f ca="1">IFERROR(__xludf.DUMMYFUNCTION("""COMPUTED_VALUE"""),"")</f>
        <v/>
      </c>
      <c r="G187" s="36" t="str">
        <f ca="1">IFERROR(__xludf.DUMMYFUNCTION("""COMPUTED_VALUE"""),"")</f>
        <v/>
      </c>
      <c r="H187" s="36" t="str">
        <f ca="1">IFERROR(__xludf.DUMMYFUNCTION("""COMPUTED_VALUE"""),"")</f>
        <v/>
      </c>
      <c r="I187" s="36" t="str">
        <f ca="1">IFERROR(__xludf.DUMMYFUNCTION("""COMPUTED_VALUE"""),"")</f>
        <v/>
      </c>
      <c r="J187" s="36" t="str">
        <f ca="1">IFERROR(__xludf.DUMMYFUNCTION("""COMPUTED_VALUE"""),"")</f>
        <v/>
      </c>
      <c r="K187" s="36" t="str">
        <f ca="1">IFERROR(__xludf.DUMMYFUNCTION("""COMPUTED_VALUE"""),"")</f>
        <v/>
      </c>
      <c r="L187" s="36" t="str">
        <f ca="1">IFERROR(__xludf.DUMMYFUNCTION("""COMPUTED_VALUE"""),"")</f>
        <v/>
      </c>
      <c r="M187" s="36" t="str">
        <f ca="1">IFERROR(__xludf.DUMMYFUNCTION("""COMPUTED_VALUE"""),"")</f>
        <v/>
      </c>
      <c r="N187" s="36" t="str">
        <f ca="1">IFERROR(__xludf.DUMMYFUNCTION("""COMPUTED_VALUE"""),"")</f>
        <v/>
      </c>
      <c r="O187" s="36" t="str">
        <f ca="1">IFERROR(__xludf.DUMMYFUNCTION("""COMPUTED_VALUE"""),"")</f>
        <v/>
      </c>
      <c r="P187" s="36" t="str">
        <f ca="1">IFERROR(__xludf.DUMMYFUNCTION("""COMPUTED_VALUE"""),"")</f>
        <v/>
      </c>
      <c r="Q187" s="36" t="str">
        <f ca="1">IFERROR(__xludf.DUMMYFUNCTION("""COMPUTED_VALUE"""),"")</f>
        <v/>
      </c>
      <c r="R187" s="36" t="str">
        <f ca="1">IFERROR(__xludf.DUMMYFUNCTION("""COMPUTED_VALUE"""),"")</f>
        <v/>
      </c>
      <c r="S187" s="36" t="str">
        <f ca="1">IFERROR(__xludf.DUMMYFUNCTION("""COMPUTED_VALUE"""),"")</f>
        <v/>
      </c>
      <c r="T187" s="36" t="str">
        <f ca="1">IFERROR(__xludf.DUMMYFUNCTION("""COMPUTED_VALUE"""),"")</f>
        <v/>
      </c>
      <c r="U187" s="36" t="str">
        <f ca="1">IFERROR(__xludf.DUMMYFUNCTION("""COMPUTED_VALUE"""),"")</f>
        <v/>
      </c>
      <c r="V187" s="36" t="str">
        <f ca="1">IFERROR(__xludf.DUMMYFUNCTION("""COMPUTED_VALUE"""),"")</f>
        <v/>
      </c>
      <c r="W187" s="36" t="str">
        <f ca="1">IFERROR(__xludf.DUMMYFUNCTION("""COMPUTED_VALUE"""),"")</f>
        <v/>
      </c>
      <c r="X187" s="36"/>
      <c r="Y187" s="36"/>
      <c r="Z187" s="36"/>
    </row>
    <row r="188" spans="1:26" ht="12.75" hidden="1">
      <c r="A188" s="36" t="str">
        <f ca="1">IFERROR(__xludf.DUMMYFUNCTION("""COMPUTED_VALUE"""),"")</f>
        <v/>
      </c>
      <c r="B188" s="36" t="str">
        <f ca="1">IFERROR(__xludf.DUMMYFUNCTION("""COMPUTED_VALUE"""),"")</f>
        <v/>
      </c>
      <c r="C188" s="36" t="str">
        <f ca="1">IFERROR(__xludf.DUMMYFUNCTION("""COMPUTED_VALUE"""),"")</f>
        <v/>
      </c>
      <c r="D188" s="36" t="str">
        <f ca="1">IFERROR(__xludf.DUMMYFUNCTION("""COMPUTED_VALUE"""),"")</f>
        <v/>
      </c>
      <c r="E188" s="36" t="str">
        <f ca="1">IFERROR(__xludf.DUMMYFUNCTION("""COMPUTED_VALUE"""),"")</f>
        <v/>
      </c>
      <c r="F188" s="36" t="str">
        <f ca="1">IFERROR(__xludf.DUMMYFUNCTION("""COMPUTED_VALUE"""),"")</f>
        <v/>
      </c>
      <c r="G188" s="36" t="str">
        <f ca="1">IFERROR(__xludf.DUMMYFUNCTION("""COMPUTED_VALUE"""),"")</f>
        <v/>
      </c>
      <c r="H188" s="36" t="str">
        <f ca="1">IFERROR(__xludf.DUMMYFUNCTION("""COMPUTED_VALUE"""),"")</f>
        <v/>
      </c>
      <c r="I188" s="36" t="str">
        <f ca="1">IFERROR(__xludf.DUMMYFUNCTION("""COMPUTED_VALUE"""),"")</f>
        <v/>
      </c>
      <c r="J188" s="36" t="str">
        <f ca="1">IFERROR(__xludf.DUMMYFUNCTION("""COMPUTED_VALUE"""),"")</f>
        <v/>
      </c>
      <c r="K188" s="36" t="str">
        <f ca="1">IFERROR(__xludf.DUMMYFUNCTION("""COMPUTED_VALUE"""),"")</f>
        <v/>
      </c>
      <c r="L188" s="36" t="str">
        <f ca="1">IFERROR(__xludf.DUMMYFUNCTION("""COMPUTED_VALUE"""),"")</f>
        <v/>
      </c>
      <c r="M188" s="36" t="str">
        <f ca="1">IFERROR(__xludf.DUMMYFUNCTION("""COMPUTED_VALUE"""),"")</f>
        <v/>
      </c>
      <c r="N188" s="36" t="str">
        <f ca="1">IFERROR(__xludf.DUMMYFUNCTION("""COMPUTED_VALUE"""),"")</f>
        <v/>
      </c>
      <c r="O188" s="36" t="str">
        <f ca="1">IFERROR(__xludf.DUMMYFUNCTION("""COMPUTED_VALUE"""),"")</f>
        <v/>
      </c>
      <c r="P188" s="36" t="str">
        <f ca="1">IFERROR(__xludf.DUMMYFUNCTION("""COMPUTED_VALUE"""),"")</f>
        <v/>
      </c>
      <c r="Q188" s="36" t="str">
        <f ca="1">IFERROR(__xludf.DUMMYFUNCTION("""COMPUTED_VALUE"""),"")</f>
        <v/>
      </c>
      <c r="R188" s="36" t="str">
        <f ca="1">IFERROR(__xludf.DUMMYFUNCTION("""COMPUTED_VALUE"""),"")</f>
        <v/>
      </c>
      <c r="S188" s="36" t="str">
        <f ca="1">IFERROR(__xludf.DUMMYFUNCTION("""COMPUTED_VALUE"""),"")</f>
        <v/>
      </c>
      <c r="T188" s="36" t="str">
        <f ca="1">IFERROR(__xludf.DUMMYFUNCTION("""COMPUTED_VALUE"""),"")</f>
        <v/>
      </c>
      <c r="U188" s="36" t="str">
        <f ca="1">IFERROR(__xludf.DUMMYFUNCTION("""COMPUTED_VALUE"""),"")</f>
        <v/>
      </c>
      <c r="V188" s="36" t="str">
        <f ca="1">IFERROR(__xludf.DUMMYFUNCTION("""COMPUTED_VALUE"""),"")</f>
        <v/>
      </c>
      <c r="W188" s="36" t="str">
        <f ca="1">IFERROR(__xludf.DUMMYFUNCTION("""COMPUTED_VALUE"""),"")</f>
        <v/>
      </c>
      <c r="X188" s="36"/>
      <c r="Y188" s="36"/>
      <c r="Z188" s="36"/>
    </row>
    <row r="189" spans="1:26" ht="12.75" hidden="1">
      <c r="A189" s="36" t="str">
        <f ca="1">IFERROR(__xludf.DUMMYFUNCTION("""COMPUTED_VALUE"""),"")</f>
        <v/>
      </c>
      <c r="B189" s="36" t="str">
        <f ca="1">IFERROR(__xludf.DUMMYFUNCTION("""COMPUTED_VALUE"""),"")</f>
        <v/>
      </c>
      <c r="C189" s="36" t="str">
        <f ca="1">IFERROR(__xludf.DUMMYFUNCTION("""COMPUTED_VALUE"""),"")</f>
        <v/>
      </c>
      <c r="D189" s="36" t="str">
        <f ca="1">IFERROR(__xludf.DUMMYFUNCTION("""COMPUTED_VALUE"""),"")</f>
        <v/>
      </c>
      <c r="E189" s="36" t="str">
        <f ca="1">IFERROR(__xludf.DUMMYFUNCTION("""COMPUTED_VALUE"""),"")</f>
        <v/>
      </c>
      <c r="F189" s="36" t="str">
        <f ca="1">IFERROR(__xludf.DUMMYFUNCTION("""COMPUTED_VALUE"""),"")</f>
        <v/>
      </c>
      <c r="G189" s="36" t="str">
        <f ca="1">IFERROR(__xludf.DUMMYFUNCTION("""COMPUTED_VALUE"""),"")</f>
        <v/>
      </c>
      <c r="H189" s="36" t="str">
        <f ca="1">IFERROR(__xludf.DUMMYFUNCTION("""COMPUTED_VALUE"""),"")</f>
        <v/>
      </c>
      <c r="I189" s="36" t="str">
        <f ca="1">IFERROR(__xludf.DUMMYFUNCTION("""COMPUTED_VALUE"""),"")</f>
        <v/>
      </c>
      <c r="J189" s="36" t="str">
        <f ca="1">IFERROR(__xludf.DUMMYFUNCTION("""COMPUTED_VALUE"""),"")</f>
        <v/>
      </c>
      <c r="K189" s="36" t="str">
        <f ca="1">IFERROR(__xludf.DUMMYFUNCTION("""COMPUTED_VALUE"""),"")</f>
        <v/>
      </c>
      <c r="L189" s="36" t="str">
        <f ca="1">IFERROR(__xludf.DUMMYFUNCTION("""COMPUTED_VALUE"""),"")</f>
        <v/>
      </c>
      <c r="M189" s="36" t="str">
        <f ca="1">IFERROR(__xludf.DUMMYFUNCTION("""COMPUTED_VALUE"""),"")</f>
        <v/>
      </c>
      <c r="N189" s="36" t="str">
        <f ca="1">IFERROR(__xludf.DUMMYFUNCTION("""COMPUTED_VALUE"""),"")</f>
        <v/>
      </c>
      <c r="O189" s="36" t="str">
        <f ca="1">IFERROR(__xludf.DUMMYFUNCTION("""COMPUTED_VALUE"""),"")</f>
        <v/>
      </c>
      <c r="P189" s="36" t="str">
        <f ca="1">IFERROR(__xludf.DUMMYFUNCTION("""COMPUTED_VALUE"""),"")</f>
        <v/>
      </c>
      <c r="Q189" s="36" t="str">
        <f ca="1">IFERROR(__xludf.DUMMYFUNCTION("""COMPUTED_VALUE"""),"")</f>
        <v/>
      </c>
      <c r="R189" s="36" t="str">
        <f ca="1">IFERROR(__xludf.DUMMYFUNCTION("""COMPUTED_VALUE"""),"")</f>
        <v/>
      </c>
      <c r="S189" s="36" t="str">
        <f ca="1">IFERROR(__xludf.DUMMYFUNCTION("""COMPUTED_VALUE"""),"")</f>
        <v/>
      </c>
      <c r="T189" s="36" t="str">
        <f ca="1">IFERROR(__xludf.DUMMYFUNCTION("""COMPUTED_VALUE"""),"")</f>
        <v/>
      </c>
      <c r="U189" s="36" t="str">
        <f ca="1">IFERROR(__xludf.DUMMYFUNCTION("""COMPUTED_VALUE"""),"")</f>
        <v/>
      </c>
      <c r="V189" s="36" t="str">
        <f ca="1">IFERROR(__xludf.DUMMYFUNCTION("""COMPUTED_VALUE"""),"")</f>
        <v/>
      </c>
      <c r="W189" s="36" t="str">
        <f ca="1">IFERROR(__xludf.DUMMYFUNCTION("""COMPUTED_VALUE"""),"")</f>
        <v/>
      </c>
      <c r="X189" s="36"/>
      <c r="Y189" s="36"/>
      <c r="Z189" s="36"/>
    </row>
    <row r="190" spans="1:26" ht="12.75" hidden="1">
      <c r="A190" s="36" t="str">
        <f ca="1">IFERROR(__xludf.DUMMYFUNCTION("""COMPUTED_VALUE"""),"")</f>
        <v/>
      </c>
      <c r="B190" s="36" t="str">
        <f ca="1">IFERROR(__xludf.DUMMYFUNCTION("""COMPUTED_VALUE"""),"")</f>
        <v/>
      </c>
      <c r="C190" s="36" t="str">
        <f ca="1">IFERROR(__xludf.DUMMYFUNCTION("""COMPUTED_VALUE"""),"")</f>
        <v/>
      </c>
      <c r="D190" s="36" t="str">
        <f ca="1">IFERROR(__xludf.DUMMYFUNCTION("""COMPUTED_VALUE"""),"")</f>
        <v/>
      </c>
      <c r="E190" s="36" t="str">
        <f ca="1">IFERROR(__xludf.DUMMYFUNCTION("""COMPUTED_VALUE"""),"")</f>
        <v/>
      </c>
      <c r="F190" s="36" t="str">
        <f ca="1">IFERROR(__xludf.DUMMYFUNCTION("""COMPUTED_VALUE"""),"")</f>
        <v/>
      </c>
      <c r="G190" s="36" t="str">
        <f ca="1">IFERROR(__xludf.DUMMYFUNCTION("""COMPUTED_VALUE"""),"")</f>
        <v/>
      </c>
      <c r="H190" s="36" t="str">
        <f ca="1">IFERROR(__xludf.DUMMYFUNCTION("""COMPUTED_VALUE"""),"")</f>
        <v/>
      </c>
      <c r="I190" s="36" t="str">
        <f ca="1">IFERROR(__xludf.DUMMYFUNCTION("""COMPUTED_VALUE"""),"")</f>
        <v/>
      </c>
      <c r="J190" s="36" t="str">
        <f ca="1">IFERROR(__xludf.DUMMYFUNCTION("""COMPUTED_VALUE"""),"")</f>
        <v/>
      </c>
      <c r="K190" s="36" t="str">
        <f ca="1">IFERROR(__xludf.DUMMYFUNCTION("""COMPUTED_VALUE"""),"")</f>
        <v/>
      </c>
      <c r="L190" s="36" t="str">
        <f ca="1">IFERROR(__xludf.DUMMYFUNCTION("""COMPUTED_VALUE"""),"")</f>
        <v/>
      </c>
      <c r="M190" s="36" t="str">
        <f ca="1">IFERROR(__xludf.DUMMYFUNCTION("""COMPUTED_VALUE"""),"")</f>
        <v/>
      </c>
      <c r="N190" s="36" t="str">
        <f ca="1">IFERROR(__xludf.DUMMYFUNCTION("""COMPUTED_VALUE"""),"")</f>
        <v/>
      </c>
      <c r="O190" s="36" t="str">
        <f ca="1">IFERROR(__xludf.DUMMYFUNCTION("""COMPUTED_VALUE"""),"")</f>
        <v/>
      </c>
      <c r="P190" s="36" t="str">
        <f ca="1">IFERROR(__xludf.DUMMYFUNCTION("""COMPUTED_VALUE"""),"")</f>
        <v/>
      </c>
      <c r="Q190" s="36" t="str">
        <f ca="1">IFERROR(__xludf.DUMMYFUNCTION("""COMPUTED_VALUE"""),"")</f>
        <v/>
      </c>
      <c r="R190" s="36" t="str">
        <f ca="1">IFERROR(__xludf.DUMMYFUNCTION("""COMPUTED_VALUE"""),"")</f>
        <v/>
      </c>
      <c r="S190" s="36" t="str">
        <f ca="1">IFERROR(__xludf.DUMMYFUNCTION("""COMPUTED_VALUE"""),"")</f>
        <v/>
      </c>
      <c r="T190" s="36" t="str">
        <f ca="1">IFERROR(__xludf.DUMMYFUNCTION("""COMPUTED_VALUE"""),"")</f>
        <v/>
      </c>
      <c r="U190" s="36" t="str">
        <f ca="1">IFERROR(__xludf.DUMMYFUNCTION("""COMPUTED_VALUE"""),"")</f>
        <v/>
      </c>
      <c r="V190" s="36" t="str">
        <f ca="1">IFERROR(__xludf.DUMMYFUNCTION("""COMPUTED_VALUE"""),"")</f>
        <v/>
      </c>
      <c r="W190" s="36" t="str">
        <f ca="1">IFERROR(__xludf.DUMMYFUNCTION("""COMPUTED_VALUE"""),"")</f>
        <v/>
      </c>
      <c r="X190" s="36"/>
      <c r="Y190" s="36"/>
      <c r="Z190" s="36"/>
    </row>
    <row r="191" spans="1:26" ht="12.75" hidden="1">
      <c r="A191" s="36" t="str">
        <f ca="1">IFERROR(__xludf.DUMMYFUNCTION("""COMPUTED_VALUE"""),"")</f>
        <v/>
      </c>
      <c r="B191" s="36" t="str">
        <f ca="1">IFERROR(__xludf.DUMMYFUNCTION("""COMPUTED_VALUE"""),"")</f>
        <v/>
      </c>
      <c r="C191" s="36" t="str">
        <f ca="1">IFERROR(__xludf.DUMMYFUNCTION("""COMPUTED_VALUE"""),"")</f>
        <v/>
      </c>
      <c r="D191" s="36" t="str">
        <f ca="1">IFERROR(__xludf.DUMMYFUNCTION("""COMPUTED_VALUE"""),"")</f>
        <v/>
      </c>
      <c r="E191" s="36" t="str">
        <f ca="1">IFERROR(__xludf.DUMMYFUNCTION("""COMPUTED_VALUE"""),"")</f>
        <v/>
      </c>
      <c r="F191" s="36" t="str">
        <f ca="1">IFERROR(__xludf.DUMMYFUNCTION("""COMPUTED_VALUE"""),"")</f>
        <v/>
      </c>
      <c r="G191" s="36" t="str">
        <f ca="1">IFERROR(__xludf.DUMMYFUNCTION("""COMPUTED_VALUE"""),"")</f>
        <v/>
      </c>
      <c r="H191" s="36" t="str">
        <f ca="1">IFERROR(__xludf.DUMMYFUNCTION("""COMPUTED_VALUE"""),"")</f>
        <v/>
      </c>
      <c r="I191" s="36" t="str">
        <f ca="1">IFERROR(__xludf.DUMMYFUNCTION("""COMPUTED_VALUE"""),"")</f>
        <v/>
      </c>
      <c r="J191" s="36" t="str">
        <f ca="1">IFERROR(__xludf.DUMMYFUNCTION("""COMPUTED_VALUE"""),"")</f>
        <v/>
      </c>
      <c r="K191" s="36" t="str">
        <f ca="1">IFERROR(__xludf.DUMMYFUNCTION("""COMPUTED_VALUE"""),"")</f>
        <v/>
      </c>
      <c r="L191" s="36" t="str">
        <f ca="1">IFERROR(__xludf.DUMMYFUNCTION("""COMPUTED_VALUE"""),"")</f>
        <v/>
      </c>
      <c r="M191" s="36" t="str">
        <f ca="1">IFERROR(__xludf.DUMMYFUNCTION("""COMPUTED_VALUE"""),"")</f>
        <v/>
      </c>
      <c r="N191" s="36" t="str">
        <f ca="1">IFERROR(__xludf.DUMMYFUNCTION("""COMPUTED_VALUE"""),"")</f>
        <v/>
      </c>
      <c r="O191" s="36" t="str">
        <f ca="1">IFERROR(__xludf.DUMMYFUNCTION("""COMPUTED_VALUE"""),"")</f>
        <v/>
      </c>
      <c r="P191" s="36" t="str">
        <f ca="1">IFERROR(__xludf.DUMMYFUNCTION("""COMPUTED_VALUE"""),"")</f>
        <v/>
      </c>
      <c r="Q191" s="36" t="str">
        <f ca="1">IFERROR(__xludf.DUMMYFUNCTION("""COMPUTED_VALUE"""),"")</f>
        <v/>
      </c>
      <c r="R191" s="36" t="str">
        <f ca="1">IFERROR(__xludf.DUMMYFUNCTION("""COMPUTED_VALUE"""),"")</f>
        <v/>
      </c>
      <c r="S191" s="36" t="str">
        <f ca="1">IFERROR(__xludf.DUMMYFUNCTION("""COMPUTED_VALUE"""),"")</f>
        <v/>
      </c>
      <c r="T191" s="36" t="str">
        <f ca="1">IFERROR(__xludf.DUMMYFUNCTION("""COMPUTED_VALUE"""),"")</f>
        <v/>
      </c>
      <c r="U191" s="36" t="str">
        <f ca="1">IFERROR(__xludf.DUMMYFUNCTION("""COMPUTED_VALUE"""),"")</f>
        <v/>
      </c>
      <c r="V191" s="36" t="str">
        <f ca="1">IFERROR(__xludf.DUMMYFUNCTION("""COMPUTED_VALUE"""),"")</f>
        <v/>
      </c>
      <c r="W191" s="36" t="str">
        <f ca="1">IFERROR(__xludf.DUMMYFUNCTION("""COMPUTED_VALUE"""),"")</f>
        <v/>
      </c>
      <c r="X191" s="36"/>
      <c r="Y191" s="36"/>
      <c r="Z191" s="36"/>
    </row>
    <row r="192" spans="1:26" ht="12.75" hidden="1">
      <c r="A192" s="36" t="str">
        <f ca="1">IFERROR(__xludf.DUMMYFUNCTION("""COMPUTED_VALUE"""),"")</f>
        <v/>
      </c>
      <c r="B192" s="36" t="str">
        <f ca="1">IFERROR(__xludf.DUMMYFUNCTION("""COMPUTED_VALUE"""),"")</f>
        <v/>
      </c>
      <c r="C192" s="36" t="str">
        <f ca="1">IFERROR(__xludf.DUMMYFUNCTION("""COMPUTED_VALUE"""),"")</f>
        <v/>
      </c>
      <c r="D192" s="36" t="str">
        <f ca="1">IFERROR(__xludf.DUMMYFUNCTION("""COMPUTED_VALUE"""),"")</f>
        <v/>
      </c>
      <c r="E192" s="36" t="str">
        <f ca="1">IFERROR(__xludf.DUMMYFUNCTION("""COMPUTED_VALUE"""),"")</f>
        <v/>
      </c>
      <c r="F192" s="36" t="str">
        <f ca="1">IFERROR(__xludf.DUMMYFUNCTION("""COMPUTED_VALUE"""),"")</f>
        <v/>
      </c>
      <c r="G192" s="36" t="str">
        <f ca="1">IFERROR(__xludf.DUMMYFUNCTION("""COMPUTED_VALUE"""),"")</f>
        <v/>
      </c>
      <c r="H192" s="36" t="str">
        <f ca="1">IFERROR(__xludf.DUMMYFUNCTION("""COMPUTED_VALUE"""),"")</f>
        <v/>
      </c>
      <c r="I192" s="36" t="str">
        <f ca="1">IFERROR(__xludf.DUMMYFUNCTION("""COMPUTED_VALUE"""),"")</f>
        <v/>
      </c>
      <c r="J192" s="36" t="str">
        <f ca="1">IFERROR(__xludf.DUMMYFUNCTION("""COMPUTED_VALUE"""),"")</f>
        <v/>
      </c>
      <c r="K192" s="36" t="str">
        <f ca="1">IFERROR(__xludf.DUMMYFUNCTION("""COMPUTED_VALUE"""),"")</f>
        <v/>
      </c>
      <c r="L192" s="36" t="str">
        <f ca="1">IFERROR(__xludf.DUMMYFUNCTION("""COMPUTED_VALUE"""),"")</f>
        <v/>
      </c>
      <c r="M192" s="36" t="str">
        <f ca="1">IFERROR(__xludf.DUMMYFUNCTION("""COMPUTED_VALUE"""),"")</f>
        <v/>
      </c>
      <c r="N192" s="36" t="str">
        <f ca="1">IFERROR(__xludf.DUMMYFUNCTION("""COMPUTED_VALUE"""),"")</f>
        <v/>
      </c>
      <c r="O192" s="36" t="str">
        <f ca="1">IFERROR(__xludf.DUMMYFUNCTION("""COMPUTED_VALUE"""),"")</f>
        <v/>
      </c>
      <c r="P192" s="36" t="str">
        <f ca="1">IFERROR(__xludf.DUMMYFUNCTION("""COMPUTED_VALUE"""),"")</f>
        <v/>
      </c>
      <c r="Q192" s="36" t="str">
        <f ca="1">IFERROR(__xludf.DUMMYFUNCTION("""COMPUTED_VALUE"""),"")</f>
        <v/>
      </c>
      <c r="R192" s="36" t="str">
        <f ca="1">IFERROR(__xludf.DUMMYFUNCTION("""COMPUTED_VALUE"""),"")</f>
        <v/>
      </c>
      <c r="S192" s="36" t="str">
        <f ca="1">IFERROR(__xludf.DUMMYFUNCTION("""COMPUTED_VALUE"""),"")</f>
        <v/>
      </c>
      <c r="T192" s="36" t="str">
        <f ca="1">IFERROR(__xludf.DUMMYFUNCTION("""COMPUTED_VALUE"""),"")</f>
        <v/>
      </c>
      <c r="U192" s="36" t="str">
        <f ca="1">IFERROR(__xludf.DUMMYFUNCTION("""COMPUTED_VALUE"""),"")</f>
        <v/>
      </c>
      <c r="V192" s="36" t="str">
        <f ca="1">IFERROR(__xludf.DUMMYFUNCTION("""COMPUTED_VALUE"""),"")</f>
        <v/>
      </c>
      <c r="W192" s="36" t="str">
        <f ca="1">IFERROR(__xludf.DUMMYFUNCTION("""COMPUTED_VALUE"""),"")</f>
        <v/>
      </c>
      <c r="X192" s="36"/>
      <c r="Y192" s="36"/>
      <c r="Z192" s="36"/>
    </row>
    <row r="193" spans="1:26" ht="12.75" hidden="1">
      <c r="A193" s="36" t="str">
        <f ca="1">IFERROR(__xludf.DUMMYFUNCTION("""COMPUTED_VALUE"""),"")</f>
        <v/>
      </c>
      <c r="B193" s="36" t="str">
        <f ca="1">IFERROR(__xludf.DUMMYFUNCTION("""COMPUTED_VALUE"""),"")</f>
        <v/>
      </c>
      <c r="C193" s="36" t="str">
        <f ca="1">IFERROR(__xludf.DUMMYFUNCTION("""COMPUTED_VALUE"""),"")</f>
        <v/>
      </c>
      <c r="D193" s="36" t="str">
        <f ca="1">IFERROR(__xludf.DUMMYFUNCTION("""COMPUTED_VALUE"""),"")</f>
        <v/>
      </c>
      <c r="E193" s="36" t="str">
        <f ca="1">IFERROR(__xludf.DUMMYFUNCTION("""COMPUTED_VALUE"""),"")</f>
        <v/>
      </c>
      <c r="F193" s="36" t="str">
        <f ca="1">IFERROR(__xludf.DUMMYFUNCTION("""COMPUTED_VALUE"""),"")</f>
        <v/>
      </c>
      <c r="G193" s="36" t="str">
        <f ca="1">IFERROR(__xludf.DUMMYFUNCTION("""COMPUTED_VALUE"""),"")</f>
        <v/>
      </c>
      <c r="H193" s="36" t="str">
        <f ca="1">IFERROR(__xludf.DUMMYFUNCTION("""COMPUTED_VALUE"""),"")</f>
        <v/>
      </c>
      <c r="I193" s="36" t="str">
        <f ca="1">IFERROR(__xludf.DUMMYFUNCTION("""COMPUTED_VALUE"""),"")</f>
        <v/>
      </c>
      <c r="J193" s="36" t="str">
        <f ca="1">IFERROR(__xludf.DUMMYFUNCTION("""COMPUTED_VALUE"""),"")</f>
        <v/>
      </c>
      <c r="K193" s="36" t="str">
        <f ca="1">IFERROR(__xludf.DUMMYFUNCTION("""COMPUTED_VALUE"""),"")</f>
        <v/>
      </c>
      <c r="L193" s="36" t="str">
        <f ca="1">IFERROR(__xludf.DUMMYFUNCTION("""COMPUTED_VALUE"""),"")</f>
        <v/>
      </c>
      <c r="M193" s="36" t="str">
        <f ca="1">IFERROR(__xludf.DUMMYFUNCTION("""COMPUTED_VALUE"""),"")</f>
        <v/>
      </c>
      <c r="N193" s="36" t="str">
        <f ca="1">IFERROR(__xludf.DUMMYFUNCTION("""COMPUTED_VALUE"""),"")</f>
        <v/>
      </c>
      <c r="O193" s="36" t="str">
        <f ca="1">IFERROR(__xludf.DUMMYFUNCTION("""COMPUTED_VALUE"""),"")</f>
        <v/>
      </c>
      <c r="P193" s="36" t="str">
        <f ca="1">IFERROR(__xludf.DUMMYFUNCTION("""COMPUTED_VALUE"""),"")</f>
        <v/>
      </c>
      <c r="Q193" s="36" t="str">
        <f ca="1">IFERROR(__xludf.DUMMYFUNCTION("""COMPUTED_VALUE"""),"")</f>
        <v/>
      </c>
      <c r="R193" s="36" t="str">
        <f ca="1">IFERROR(__xludf.DUMMYFUNCTION("""COMPUTED_VALUE"""),"")</f>
        <v/>
      </c>
      <c r="S193" s="36" t="str">
        <f ca="1">IFERROR(__xludf.DUMMYFUNCTION("""COMPUTED_VALUE"""),"")</f>
        <v/>
      </c>
      <c r="T193" s="36" t="str">
        <f ca="1">IFERROR(__xludf.DUMMYFUNCTION("""COMPUTED_VALUE"""),"")</f>
        <v/>
      </c>
      <c r="U193" s="36" t="str">
        <f ca="1">IFERROR(__xludf.DUMMYFUNCTION("""COMPUTED_VALUE"""),"")</f>
        <v/>
      </c>
      <c r="V193" s="36" t="str">
        <f ca="1">IFERROR(__xludf.DUMMYFUNCTION("""COMPUTED_VALUE"""),"")</f>
        <v/>
      </c>
      <c r="W193" s="36" t="str">
        <f ca="1">IFERROR(__xludf.DUMMYFUNCTION("""COMPUTED_VALUE"""),"")</f>
        <v/>
      </c>
      <c r="X193" s="36"/>
      <c r="Y193" s="36"/>
      <c r="Z193" s="36"/>
    </row>
    <row r="194" spans="1:26" ht="12.75" hidden="1">
      <c r="A194" s="36" t="str">
        <f ca="1">IFERROR(__xludf.DUMMYFUNCTION("""COMPUTED_VALUE"""),"")</f>
        <v/>
      </c>
      <c r="B194" s="36" t="str">
        <f ca="1">IFERROR(__xludf.DUMMYFUNCTION("""COMPUTED_VALUE"""),"")</f>
        <v/>
      </c>
      <c r="C194" s="36" t="str">
        <f ca="1">IFERROR(__xludf.DUMMYFUNCTION("""COMPUTED_VALUE"""),"")</f>
        <v/>
      </c>
      <c r="D194" s="36" t="str">
        <f ca="1">IFERROR(__xludf.DUMMYFUNCTION("""COMPUTED_VALUE"""),"")</f>
        <v/>
      </c>
      <c r="E194" s="36" t="str">
        <f ca="1">IFERROR(__xludf.DUMMYFUNCTION("""COMPUTED_VALUE"""),"")</f>
        <v/>
      </c>
      <c r="F194" s="36" t="str">
        <f ca="1">IFERROR(__xludf.DUMMYFUNCTION("""COMPUTED_VALUE"""),"")</f>
        <v/>
      </c>
      <c r="G194" s="36" t="str">
        <f ca="1">IFERROR(__xludf.DUMMYFUNCTION("""COMPUTED_VALUE"""),"")</f>
        <v/>
      </c>
      <c r="H194" s="36" t="str">
        <f ca="1">IFERROR(__xludf.DUMMYFUNCTION("""COMPUTED_VALUE"""),"")</f>
        <v/>
      </c>
      <c r="I194" s="36" t="str">
        <f ca="1">IFERROR(__xludf.DUMMYFUNCTION("""COMPUTED_VALUE"""),"")</f>
        <v/>
      </c>
      <c r="J194" s="36" t="str">
        <f ca="1">IFERROR(__xludf.DUMMYFUNCTION("""COMPUTED_VALUE"""),"")</f>
        <v/>
      </c>
      <c r="K194" s="36" t="str">
        <f ca="1">IFERROR(__xludf.DUMMYFUNCTION("""COMPUTED_VALUE"""),"")</f>
        <v/>
      </c>
      <c r="L194" s="36" t="str">
        <f ca="1">IFERROR(__xludf.DUMMYFUNCTION("""COMPUTED_VALUE"""),"")</f>
        <v/>
      </c>
      <c r="M194" s="36" t="str">
        <f ca="1">IFERROR(__xludf.DUMMYFUNCTION("""COMPUTED_VALUE"""),"")</f>
        <v/>
      </c>
      <c r="N194" s="36" t="str">
        <f ca="1">IFERROR(__xludf.DUMMYFUNCTION("""COMPUTED_VALUE"""),"")</f>
        <v/>
      </c>
      <c r="O194" s="36" t="str">
        <f ca="1">IFERROR(__xludf.DUMMYFUNCTION("""COMPUTED_VALUE"""),"")</f>
        <v/>
      </c>
      <c r="P194" s="36" t="str">
        <f ca="1">IFERROR(__xludf.DUMMYFUNCTION("""COMPUTED_VALUE"""),"")</f>
        <v/>
      </c>
      <c r="Q194" s="36" t="str">
        <f ca="1">IFERROR(__xludf.DUMMYFUNCTION("""COMPUTED_VALUE"""),"")</f>
        <v/>
      </c>
      <c r="R194" s="36" t="str">
        <f ca="1">IFERROR(__xludf.DUMMYFUNCTION("""COMPUTED_VALUE"""),"")</f>
        <v/>
      </c>
      <c r="S194" s="36" t="str">
        <f ca="1">IFERROR(__xludf.DUMMYFUNCTION("""COMPUTED_VALUE"""),"")</f>
        <v/>
      </c>
      <c r="T194" s="36" t="str">
        <f ca="1">IFERROR(__xludf.DUMMYFUNCTION("""COMPUTED_VALUE"""),"")</f>
        <v/>
      </c>
      <c r="U194" s="36" t="str">
        <f ca="1">IFERROR(__xludf.DUMMYFUNCTION("""COMPUTED_VALUE"""),"")</f>
        <v/>
      </c>
      <c r="V194" s="36" t="str">
        <f ca="1">IFERROR(__xludf.DUMMYFUNCTION("""COMPUTED_VALUE"""),"")</f>
        <v/>
      </c>
      <c r="W194" s="36" t="str">
        <f ca="1">IFERROR(__xludf.DUMMYFUNCTION("""COMPUTED_VALUE"""),"")</f>
        <v/>
      </c>
      <c r="X194" s="36"/>
      <c r="Y194" s="36"/>
      <c r="Z194" s="36"/>
    </row>
    <row r="195" spans="1:26" ht="12.75" hidden="1">
      <c r="A195" s="36" t="str">
        <f ca="1">IFERROR(__xludf.DUMMYFUNCTION("""COMPUTED_VALUE"""),"")</f>
        <v/>
      </c>
      <c r="B195" s="36" t="str">
        <f ca="1">IFERROR(__xludf.DUMMYFUNCTION("""COMPUTED_VALUE"""),"")</f>
        <v/>
      </c>
      <c r="C195" s="36" t="str">
        <f ca="1">IFERROR(__xludf.DUMMYFUNCTION("""COMPUTED_VALUE"""),"")</f>
        <v/>
      </c>
      <c r="D195" s="36" t="str">
        <f ca="1">IFERROR(__xludf.DUMMYFUNCTION("""COMPUTED_VALUE"""),"")</f>
        <v/>
      </c>
      <c r="E195" s="36" t="str">
        <f ca="1">IFERROR(__xludf.DUMMYFUNCTION("""COMPUTED_VALUE"""),"")</f>
        <v/>
      </c>
      <c r="F195" s="36" t="str">
        <f ca="1">IFERROR(__xludf.DUMMYFUNCTION("""COMPUTED_VALUE"""),"")</f>
        <v/>
      </c>
      <c r="G195" s="36" t="str">
        <f ca="1">IFERROR(__xludf.DUMMYFUNCTION("""COMPUTED_VALUE"""),"")</f>
        <v/>
      </c>
      <c r="H195" s="36" t="str">
        <f ca="1">IFERROR(__xludf.DUMMYFUNCTION("""COMPUTED_VALUE"""),"")</f>
        <v/>
      </c>
      <c r="I195" s="36" t="str">
        <f ca="1">IFERROR(__xludf.DUMMYFUNCTION("""COMPUTED_VALUE"""),"")</f>
        <v/>
      </c>
      <c r="J195" s="36" t="str">
        <f ca="1">IFERROR(__xludf.DUMMYFUNCTION("""COMPUTED_VALUE"""),"")</f>
        <v/>
      </c>
      <c r="K195" s="36" t="str">
        <f ca="1">IFERROR(__xludf.DUMMYFUNCTION("""COMPUTED_VALUE"""),"")</f>
        <v/>
      </c>
      <c r="L195" s="36" t="str">
        <f ca="1">IFERROR(__xludf.DUMMYFUNCTION("""COMPUTED_VALUE"""),"")</f>
        <v/>
      </c>
      <c r="M195" s="36" t="str">
        <f ca="1">IFERROR(__xludf.DUMMYFUNCTION("""COMPUTED_VALUE"""),"")</f>
        <v/>
      </c>
      <c r="N195" s="36" t="str">
        <f ca="1">IFERROR(__xludf.DUMMYFUNCTION("""COMPUTED_VALUE"""),"")</f>
        <v/>
      </c>
      <c r="O195" s="36" t="str">
        <f ca="1">IFERROR(__xludf.DUMMYFUNCTION("""COMPUTED_VALUE"""),"")</f>
        <v/>
      </c>
      <c r="P195" s="36" t="str">
        <f ca="1">IFERROR(__xludf.DUMMYFUNCTION("""COMPUTED_VALUE"""),"")</f>
        <v/>
      </c>
      <c r="Q195" s="36" t="str">
        <f ca="1">IFERROR(__xludf.DUMMYFUNCTION("""COMPUTED_VALUE"""),"")</f>
        <v/>
      </c>
      <c r="R195" s="36" t="str">
        <f ca="1">IFERROR(__xludf.DUMMYFUNCTION("""COMPUTED_VALUE"""),"")</f>
        <v/>
      </c>
      <c r="S195" s="36" t="str">
        <f ca="1">IFERROR(__xludf.DUMMYFUNCTION("""COMPUTED_VALUE"""),"")</f>
        <v/>
      </c>
      <c r="T195" s="36" t="str">
        <f ca="1">IFERROR(__xludf.DUMMYFUNCTION("""COMPUTED_VALUE"""),"")</f>
        <v/>
      </c>
      <c r="U195" s="36" t="str">
        <f ca="1">IFERROR(__xludf.DUMMYFUNCTION("""COMPUTED_VALUE"""),"")</f>
        <v/>
      </c>
      <c r="V195" s="36" t="str">
        <f ca="1">IFERROR(__xludf.DUMMYFUNCTION("""COMPUTED_VALUE"""),"")</f>
        <v/>
      </c>
      <c r="W195" s="36" t="str">
        <f ca="1">IFERROR(__xludf.DUMMYFUNCTION("""COMPUTED_VALUE"""),"")</f>
        <v/>
      </c>
      <c r="X195" s="36"/>
      <c r="Y195" s="36"/>
      <c r="Z195" s="36"/>
    </row>
    <row r="196" spans="1:26" ht="12.75" hidden="1">
      <c r="A196" s="36" t="str">
        <f ca="1">IFERROR(__xludf.DUMMYFUNCTION("""COMPUTED_VALUE"""),"")</f>
        <v/>
      </c>
      <c r="B196" s="36" t="str">
        <f ca="1">IFERROR(__xludf.DUMMYFUNCTION("""COMPUTED_VALUE"""),"")</f>
        <v/>
      </c>
      <c r="C196" s="36" t="str">
        <f ca="1">IFERROR(__xludf.DUMMYFUNCTION("""COMPUTED_VALUE"""),"")</f>
        <v/>
      </c>
      <c r="D196" s="36" t="str">
        <f ca="1">IFERROR(__xludf.DUMMYFUNCTION("""COMPUTED_VALUE"""),"")</f>
        <v/>
      </c>
      <c r="E196" s="36" t="str">
        <f ca="1">IFERROR(__xludf.DUMMYFUNCTION("""COMPUTED_VALUE"""),"")</f>
        <v/>
      </c>
      <c r="F196" s="36" t="str">
        <f ca="1">IFERROR(__xludf.DUMMYFUNCTION("""COMPUTED_VALUE"""),"")</f>
        <v/>
      </c>
      <c r="G196" s="36" t="str">
        <f ca="1">IFERROR(__xludf.DUMMYFUNCTION("""COMPUTED_VALUE"""),"")</f>
        <v/>
      </c>
      <c r="H196" s="36" t="str">
        <f ca="1">IFERROR(__xludf.DUMMYFUNCTION("""COMPUTED_VALUE"""),"")</f>
        <v/>
      </c>
      <c r="I196" s="36" t="str">
        <f ca="1">IFERROR(__xludf.DUMMYFUNCTION("""COMPUTED_VALUE"""),"")</f>
        <v/>
      </c>
      <c r="J196" s="36" t="str">
        <f ca="1">IFERROR(__xludf.DUMMYFUNCTION("""COMPUTED_VALUE"""),"")</f>
        <v/>
      </c>
      <c r="K196" s="36" t="str">
        <f ca="1">IFERROR(__xludf.DUMMYFUNCTION("""COMPUTED_VALUE"""),"")</f>
        <v/>
      </c>
      <c r="L196" s="36" t="str">
        <f ca="1">IFERROR(__xludf.DUMMYFUNCTION("""COMPUTED_VALUE"""),"")</f>
        <v/>
      </c>
      <c r="M196" s="36" t="str">
        <f ca="1">IFERROR(__xludf.DUMMYFUNCTION("""COMPUTED_VALUE"""),"")</f>
        <v/>
      </c>
      <c r="N196" s="36" t="str">
        <f ca="1">IFERROR(__xludf.DUMMYFUNCTION("""COMPUTED_VALUE"""),"")</f>
        <v/>
      </c>
      <c r="O196" s="36" t="str">
        <f ca="1">IFERROR(__xludf.DUMMYFUNCTION("""COMPUTED_VALUE"""),"")</f>
        <v/>
      </c>
      <c r="P196" s="36" t="str">
        <f ca="1">IFERROR(__xludf.DUMMYFUNCTION("""COMPUTED_VALUE"""),"")</f>
        <v/>
      </c>
      <c r="Q196" s="36" t="str">
        <f ca="1">IFERROR(__xludf.DUMMYFUNCTION("""COMPUTED_VALUE"""),"")</f>
        <v/>
      </c>
      <c r="R196" s="36" t="str">
        <f ca="1">IFERROR(__xludf.DUMMYFUNCTION("""COMPUTED_VALUE"""),"")</f>
        <v/>
      </c>
      <c r="S196" s="36" t="str">
        <f ca="1">IFERROR(__xludf.DUMMYFUNCTION("""COMPUTED_VALUE"""),"")</f>
        <v/>
      </c>
      <c r="T196" s="36" t="str">
        <f ca="1">IFERROR(__xludf.DUMMYFUNCTION("""COMPUTED_VALUE"""),"")</f>
        <v/>
      </c>
      <c r="U196" s="36" t="str">
        <f ca="1">IFERROR(__xludf.DUMMYFUNCTION("""COMPUTED_VALUE"""),"")</f>
        <v/>
      </c>
      <c r="V196" s="36" t="str">
        <f ca="1">IFERROR(__xludf.DUMMYFUNCTION("""COMPUTED_VALUE"""),"")</f>
        <v/>
      </c>
      <c r="W196" s="36" t="str">
        <f ca="1">IFERROR(__xludf.DUMMYFUNCTION("""COMPUTED_VALUE"""),"")</f>
        <v/>
      </c>
      <c r="X196" s="36"/>
      <c r="Y196" s="36"/>
      <c r="Z196" s="36"/>
    </row>
    <row r="197" spans="1:26" ht="12.75" hidden="1">
      <c r="A197" s="36" t="str">
        <f ca="1">IFERROR(__xludf.DUMMYFUNCTION("""COMPUTED_VALUE"""),"")</f>
        <v/>
      </c>
      <c r="B197" s="36" t="str">
        <f ca="1">IFERROR(__xludf.DUMMYFUNCTION("""COMPUTED_VALUE"""),"")</f>
        <v/>
      </c>
      <c r="C197" s="36" t="str">
        <f ca="1">IFERROR(__xludf.DUMMYFUNCTION("""COMPUTED_VALUE"""),"")</f>
        <v/>
      </c>
      <c r="D197" s="36" t="str">
        <f ca="1">IFERROR(__xludf.DUMMYFUNCTION("""COMPUTED_VALUE"""),"")</f>
        <v/>
      </c>
      <c r="E197" s="36" t="str">
        <f ca="1">IFERROR(__xludf.DUMMYFUNCTION("""COMPUTED_VALUE"""),"")</f>
        <v/>
      </c>
      <c r="F197" s="36" t="str">
        <f ca="1">IFERROR(__xludf.DUMMYFUNCTION("""COMPUTED_VALUE"""),"")</f>
        <v/>
      </c>
      <c r="G197" s="36" t="str">
        <f ca="1">IFERROR(__xludf.DUMMYFUNCTION("""COMPUTED_VALUE"""),"")</f>
        <v/>
      </c>
      <c r="H197" s="36" t="str">
        <f ca="1">IFERROR(__xludf.DUMMYFUNCTION("""COMPUTED_VALUE"""),"")</f>
        <v/>
      </c>
      <c r="I197" s="36" t="str">
        <f ca="1">IFERROR(__xludf.DUMMYFUNCTION("""COMPUTED_VALUE"""),"")</f>
        <v/>
      </c>
      <c r="J197" s="36" t="str">
        <f ca="1">IFERROR(__xludf.DUMMYFUNCTION("""COMPUTED_VALUE"""),"")</f>
        <v/>
      </c>
      <c r="K197" s="36" t="str">
        <f ca="1">IFERROR(__xludf.DUMMYFUNCTION("""COMPUTED_VALUE"""),"")</f>
        <v/>
      </c>
      <c r="L197" s="36" t="str">
        <f ca="1">IFERROR(__xludf.DUMMYFUNCTION("""COMPUTED_VALUE"""),"")</f>
        <v/>
      </c>
      <c r="M197" s="36" t="str">
        <f ca="1">IFERROR(__xludf.DUMMYFUNCTION("""COMPUTED_VALUE"""),"")</f>
        <v/>
      </c>
      <c r="N197" s="36" t="str">
        <f ca="1">IFERROR(__xludf.DUMMYFUNCTION("""COMPUTED_VALUE"""),"")</f>
        <v/>
      </c>
      <c r="O197" s="36" t="str">
        <f ca="1">IFERROR(__xludf.DUMMYFUNCTION("""COMPUTED_VALUE"""),"")</f>
        <v/>
      </c>
      <c r="P197" s="36" t="str">
        <f ca="1">IFERROR(__xludf.DUMMYFUNCTION("""COMPUTED_VALUE"""),"")</f>
        <v/>
      </c>
      <c r="Q197" s="36" t="str">
        <f ca="1">IFERROR(__xludf.DUMMYFUNCTION("""COMPUTED_VALUE"""),"")</f>
        <v/>
      </c>
      <c r="R197" s="36" t="str">
        <f ca="1">IFERROR(__xludf.DUMMYFUNCTION("""COMPUTED_VALUE"""),"")</f>
        <v/>
      </c>
      <c r="S197" s="36" t="str">
        <f ca="1">IFERROR(__xludf.DUMMYFUNCTION("""COMPUTED_VALUE"""),"")</f>
        <v/>
      </c>
      <c r="T197" s="36" t="str">
        <f ca="1">IFERROR(__xludf.DUMMYFUNCTION("""COMPUTED_VALUE"""),"")</f>
        <v/>
      </c>
      <c r="U197" s="36" t="str">
        <f ca="1">IFERROR(__xludf.DUMMYFUNCTION("""COMPUTED_VALUE"""),"")</f>
        <v/>
      </c>
      <c r="V197" s="36" t="str">
        <f ca="1">IFERROR(__xludf.DUMMYFUNCTION("""COMPUTED_VALUE"""),"")</f>
        <v/>
      </c>
      <c r="W197" s="36" t="str">
        <f ca="1">IFERROR(__xludf.DUMMYFUNCTION("""COMPUTED_VALUE"""),"")</f>
        <v/>
      </c>
      <c r="X197" s="36"/>
      <c r="Y197" s="36"/>
      <c r="Z197" s="36"/>
    </row>
    <row r="198" spans="1:26" ht="12.75" hidden="1">
      <c r="A198" s="36" t="str">
        <f ca="1">IFERROR(__xludf.DUMMYFUNCTION("""COMPUTED_VALUE"""),"")</f>
        <v/>
      </c>
      <c r="B198" s="36" t="str">
        <f ca="1">IFERROR(__xludf.DUMMYFUNCTION("""COMPUTED_VALUE"""),"")</f>
        <v/>
      </c>
      <c r="C198" s="36" t="str">
        <f ca="1">IFERROR(__xludf.DUMMYFUNCTION("""COMPUTED_VALUE"""),"")</f>
        <v/>
      </c>
      <c r="D198" s="36" t="str">
        <f ca="1">IFERROR(__xludf.DUMMYFUNCTION("""COMPUTED_VALUE"""),"")</f>
        <v/>
      </c>
      <c r="E198" s="36" t="str">
        <f ca="1">IFERROR(__xludf.DUMMYFUNCTION("""COMPUTED_VALUE"""),"")</f>
        <v/>
      </c>
      <c r="F198" s="36" t="str">
        <f ca="1">IFERROR(__xludf.DUMMYFUNCTION("""COMPUTED_VALUE"""),"")</f>
        <v/>
      </c>
      <c r="G198" s="36" t="str">
        <f ca="1">IFERROR(__xludf.DUMMYFUNCTION("""COMPUTED_VALUE"""),"")</f>
        <v/>
      </c>
      <c r="H198" s="36" t="str">
        <f ca="1">IFERROR(__xludf.DUMMYFUNCTION("""COMPUTED_VALUE"""),"")</f>
        <v/>
      </c>
      <c r="I198" s="36" t="str">
        <f ca="1">IFERROR(__xludf.DUMMYFUNCTION("""COMPUTED_VALUE"""),"")</f>
        <v/>
      </c>
      <c r="J198" s="36" t="str">
        <f ca="1">IFERROR(__xludf.DUMMYFUNCTION("""COMPUTED_VALUE"""),"")</f>
        <v/>
      </c>
      <c r="K198" s="36" t="str">
        <f ca="1">IFERROR(__xludf.DUMMYFUNCTION("""COMPUTED_VALUE"""),"")</f>
        <v/>
      </c>
      <c r="L198" s="36" t="str">
        <f ca="1">IFERROR(__xludf.DUMMYFUNCTION("""COMPUTED_VALUE"""),"")</f>
        <v/>
      </c>
      <c r="M198" s="36" t="str">
        <f ca="1">IFERROR(__xludf.DUMMYFUNCTION("""COMPUTED_VALUE"""),"")</f>
        <v/>
      </c>
      <c r="N198" s="36" t="str">
        <f ca="1">IFERROR(__xludf.DUMMYFUNCTION("""COMPUTED_VALUE"""),"")</f>
        <v/>
      </c>
      <c r="O198" s="36" t="str">
        <f ca="1">IFERROR(__xludf.DUMMYFUNCTION("""COMPUTED_VALUE"""),"")</f>
        <v/>
      </c>
      <c r="P198" s="36" t="str">
        <f ca="1">IFERROR(__xludf.DUMMYFUNCTION("""COMPUTED_VALUE"""),"")</f>
        <v/>
      </c>
      <c r="Q198" s="36" t="str">
        <f ca="1">IFERROR(__xludf.DUMMYFUNCTION("""COMPUTED_VALUE"""),"")</f>
        <v/>
      </c>
      <c r="R198" s="36" t="str">
        <f ca="1">IFERROR(__xludf.DUMMYFUNCTION("""COMPUTED_VALUE"""),"")</f>
        <v/>
      </c>
      <c r="S198" s="36" t="str">
        <f ca="1">IFERROR(__xludf.DUMMYFUNCTION("""COMPUTED_VALUE"""),"")</f>
        <v/>
      </c>
      <c r="T198" s="36" t="str">
        <f ca="1">IFERROR(__xludf.DUMMYFUNCTION("""COMPUTED_VALUE"""),"")</f>
        <v/>
      </c>
      <c r="U198" s="36" t="str">
        <f ca="1">IFERROR(__xludf.DUMMYFUNCTION("""COMPUTED_VALUE"""),"")</f>
        <v/>
      </c>
      <c r="V198" s="36" t="str">
        <f ca="1">IFERROR(__xludf.DUMMYFUNCTION("""COMPUTED_VALUE"""),"")</f>
        <v/>
      </c>
      <c r="W198" s="36" t="str">
        <f ca="1">IFERROR(__xludf.DUMMYFUNCTION("""COMPUTED_VALUE"""),"")</f>
        <v/>
      </c>
      <c r="X198" s="36"/>
      <c r="Y198" s="36"/>
      <c r="Z198" s="36"/>
    </row>
    <row r="199" spans="1:26" ht="12.75" hidden="1">
      <c r="A199" s="36" t="str">
        <f ca="1">IFERROR(__xludf.DUMMYFUNCTION("""COMPUTED_VALUE"""),"")</f>
        <v/>
      </c>
      <c r="B199" s="36" t="str">
        <f ca="1">IFERROR(__xludf.DUMMYFUNCTION("""COMPUTED_VALUE"""),"")</f>
        <v/>
      </c>
      <c r="C199" s="36" t="str">
        <f ca="1">IFERROR(__xludf.DUMMYFUNCTION("""COMPUTED_VALUE"""),"")</f>
        <v/>
      </c>
      <c r="D199" s="36" t="str">
        <f ca="1">IFERROR(__xludf.DUMMYFUNCTION("""COMPUTED_VALUE"""),"")</f>
        <v/>
      </c>
      <c r="E199" s="36" t="str">
        <f ca="1">IFERROR(__xludf.DUMMYFUNCTION("""COMPUTED_VALUE"""),"")</f>
        <v/>
      </c>
      <c r="F199" s="36" t="str">
        <f ca="1">IFERROR(__xludf.DUMMYFUNCTION("""COMPUTED_VALUE"""),"")</f>
        <v/>
      </c>
      <c r="G199" s="36" t="str">
        <f ca="1">IFERROR(__xludf.DUMMYFUNCTION("""COMPUTED_VALUE"""),"")</f>
        <v/>
      </c>
      <c r="H199" s="36" t="str">
        <f ca="1">IFERROR(__xludf.DUMMYFUNCTION("""COMPUTED_VALUE"""),"")</f>
        <v/>
      </c>
      <c r="I199" s="36" t="str">
        <f ca="1">IFERROR(__xludf.DUMMYFUNCTION("""COMPUTED_VALUE"""),"")</f>
        <v/>
      </c>
      <c r="J199" s="36" t="str">
        <f ca="1">IFERROR(__xludf.DUMMYFUNCTION("""COMPUTED_VALUE"""),"")</f>
        <v/>
      </c>
      <c r="K199" s="36" t="str">
        <f ca="1">IFERROR(__xludf.DUMMYFUNCTION("""COMPUTED_VALUE"""),"")</f>
        <v/>
      </c>
      <c r="L199" s="36" t="str">
        <f ca="1">IFERROR(__xludf.DUMMYFUNCTION("""COMPUTED_VALUE"""),"")</f>
        <v/>
      </c>
      <c r="M199" s="36" t="str">
        <f ca="1">IFERROR(__xludf.DUMMYFUNCTION("""COMPUTED_VALUE"""),"")</f>
        <v/>
      </c>
      <c r="N199" s="36" t="str">
        <f ca="1">IFERROR(__xludf.DUMMYFUNCTION("""COMPUTED_VALUE"""),"")</f>
        <v/>
      </c>
      <c r="O199" s="36" t="str">
        <f ca="1">IFERROR(__xludf.DUMMYFUNCTION("""COMPUTED_VALUE"""),"")</f>
        <v/>
      </c>
      <c r="P199" s="36" t="str">
        <f ca="1">IFERROR(__xludf.DUMMYFUNCTION("""COMPUTED_VALUE"""),"")</f>
        <v/>
      </c>
      <c r="Q199" s="36" t="str">
        <f ca="1">IFERROR(__xludf.DUMMYFUNCTION("""COMPUTED_VALUE"""),"")</f>
        <v/>
      </c>
      <c r="R199" s="36" t="str">
        <f ca="1">IFERROR(__xludf.DUMMYFUNCTION("""COMPUTED_VALUE"""),"")</f>
        <v/>
      </c>
      <c r="S199" s="36" t="str">
        <f ca="1">IFERROR(__xludf.DUMMYFUNCTION("""COMPUTED_VALUE"""),"")</f>
        <v/>
      </c>
      <c r="T199" s="36" t="str">
        <f ca="1">IFERROR(__xludf.DUMMYFUNCTION("""COMPUTED_VALUE"""),"")</f>
        <v/>
      </c>
      <c r="U199" s="36" t="str">
        <f ca="1">IFERROR(__xludf.DUMMYFUNCTION("""COMPUTED_VALUE"""),"")</f>
        <v/>
      </c>
      <c r="V199" s="36" t="str">
        <f ca="1">IFERROR(__xludf.DUMMYFUNCTION("""COMPUTED_VALUE"""),"")</f>
        <v/>
      </c>
      <c r="W199" s="36" t="str">
        <f ca="1">IFERROR(__xludf.DUMMYFUNCTION("""COMPUTED_VALUE"""),"")</f>
        <v/>
      </c>
      <c r="X199" s="36"/>
      <c r="Y199" s="36"/>
      <c r="Z199" s="36"/>
    </row>
    <row r="200" spans="1:26" ht="12.75" hidden="1">
      <c r="A200" s="36" t="str">
        <f ca="1">IFERROR(__xludf.DUMMYFUNCTION("""COMPUTED_VALUE"""),"")</f>
        <v/>
      </c>
      <c r="B200" s="36" t="str">
        <f ca="1">IFERROR(__xludf.DUMMYFUNCTION("""COMPUTED_VALUE"""),"")</f>
        <v/>
      </c>
      <c r="C200" s="36" t="str">
        <f ca="1">IFERROR(__xludf.DUMMYFUNCTION("""COMPUTED_VALUE"""),"")</f>
        <v/>
      </c>
      <c r="D200" s="36" t="str">
        <f ca="1">IFERROR(__xludf.DUMMYFUNCTION("""COMPUTED_VALUE"""),"")</f>
        <v/>
      </c>
      <c r="E200" s="36" t="str">
        <f ca="1">IFERROR(__xludf.DUMMYFUNCTION("""COMPUTED_VALUE"""),"")</f>
        <v/>
      </c>
      <c r="F200" s="36" t="str">
        <f ca="1">IFERROR(__xludf.DUMMYFUNCTION("""COMPUTED_VALUE"""),"")</f>
        <v/>
      </c>
      <c r="G200" s="36" t="str">
        <f ca="1">IFERROR(__xludf.DUMMYFUNCTION("""COMPUTED_VALUE"""),"")</f>
        <v/>
      </c>
      <c r="H200" s="36" t="str">
        <f ca="1">IFERROR(__xludf.DUMMYFUNCTION("""COMPUTED_VALUE"""),"")</f>
        <v/>
      </c>
      <c r="I200" s="36" t="str">
        <f ca="1">IFERROR(__xludf.DUMMYFUNCTION("""COMPUTED_VALUE"""),"")</f>
        <v/>
      </c>
      <c r="J200" s="36" t="str">
        <f ca="1">IFERROR(__xludf.DUMMYFUNCTION("""COMPUTED_VALUE"""),"")</f>
        <v/>
      </c>
      <c r="K200" s="36" t="str">
        <f ca="1">IFERROR(__xludf.DUMMYFUNCTION("""COMPUTED_VALUE"""),"")</f>
        <v/>
      </c>
      <c r="L200" s="36" t="str">
        <f ca="1">IFERROR(__xludf.DUMMYFUNCTION("""COMPUTED_VALUE"""),"")</f>
        <v/>
      </c>
      <c r="M200" s="36" t="str">
        <f ca="1">IFERROR(__xludf.DUMMYFUNCTION("""COMPUTED_VALUE"""),"")</f>
        <v/>
      </c>
      <c r="N200" s="36" t="str">
        <f ca="1">IFERROR(__xludf.DUMMYFUNCTION("""COMPUTED_VALUE"""),"")</f>
        <v/>
      </c>
      <c r="O200" s="36" t="str">
        <f ca="1">IFERROR(__xludf.DUMMYFUNCTION("""COMPUTED_VALUE"""),"")</f>
        <v/>
      </c>
      <c r="P200" s="36" t="str">
        <f ca="1">IFERROR(__xludf.DUMMYFUNCTION("""COMPUTED_VALUE"""),"")</f>
        <v/>
      </c>
      <c r="Q200" s="36" t="str">
        <f ca="1">IFERROR(__xludf.DUMMYFUNCTION("""COMPUTED_VALUE"""),"")</f>
        <v/>
      </c>
      <c r="R200" s="36" t="str">
        <f ca="1">IFERROR(__xludf.DUMMYFUNCTION("""COMPUTED_VALUE"""),"")</f>
        <v/>
      </c>
      <c r="S200" s="36" t="str">
        <f ca="1">IFERROR(__xludf.DUMMYFUNCTION("""COMPUTED_VALUE"""),"")</f>
        <v/>
      </c>
      <c r="T200" s="36" t="str">
        <f ca="1">IFERROR(__xludf.DUMMYFUNCTION("""COMPUTED_VALUE"""),"")</f>
        <v/>
      </c>
      <c r="U200" s="36" t="str">
        <f ca="1">IFERROR(__xludf.DUMMYFUNCTION("""COMPUTED_VALUE"""),"")</f>
        <v/>
      </c>
      <c r="V200" s="36" t="str">
        <f ca="1">IFERROR(__xludf.DUMMYFUNCTION("""COMPUTED_VALUE"""),"")</f>
        <v/>
      </c>
      <c r="W200" s="36" t="str">
        <f ca="1">IFERROR(__xludf.DUMMYFUNCTION("""COMPUTED_VALUE"""),"")</f>
        <v/>
      </c>
      <c r="X200" s="36"/>
      <c r="Y200" s="36"/>
      <c r="Z200" s="36"/>
    </row>
    <row r="201" spans="1:26" ht="12.75" hidden="1">
      <c r="A201" s="36" t="str">
        <f ca="1">IFERROR(__xludf.DUMMYFUNCTION("""COMPUTED_VALUE"""),"")</f>
        <v/>
      </c>
      <c r="B201" s="36" t="str">
        <f ca="1">IFERROR(__xludf.DUMMYFUNCTION("""COMPUTED_VALUE"""),"")</f>
        <v/>
      </c>
      <c r="C201" s="36" t="str">
        <f ca="1">IFERROR(__xludf.DUMMYFUNCTION("""COMPUTED_VALUE"""),"")</f>
        <v/>
      </c>
      <c r="D201" s="36" t="str">
        <f ca="1">IFERROR(__xludf.DUMMYFUNCTION("""COMPUTED_VALUE"""),"")</f>
        <v/>
      </c>
      <c r="E201" s="36" t="str">
        <f ca="1">IFERROR(__xludf.DUMMYFUNCTION("""COMPUTED_VALUE"""),"")</f>
        <v/>
      </c>
      <c r="F201" s="36" t="str">
        <f ca="1">IFERROR(__xludf.DUMMYFUNCTION("""COMPUTED_VALUE"""),"")</f>
        <v/>
      </c>
      <c r="G201" s="36" t="str">
        <f ca="1">IFERROR(__xludf.DUMMYFUNCTION("""COMPUTED_VALUE"""),"")</f>
        <v/>
      </c>
      <c r="H201" s="36" t="str">
        <f ca="1">IFERROR(__xludf.DUMMYFUNCTION("""COMPUTED_VALUE"""),"")</f>
        <v/>
      </c>
      <c r="I201" s="36" t="str">
        <f ca="1">IFERROR(__xludf.DUMMYFUNCTION("""COMPUTED_VALUE"""),"")</f>
        <v/>
      </c>
      <c r="J201" s="36" t="str">
        <f ca="1">IFERROR(__xludf.DUMMYFUNCTION("""COMPUTED_VALUE"""),"")</f>
        <v/>
      </c>
      <c r="K201" s="36" t="str">
        <f ca="1">IFERROR(__xludf.DUMMYFUNCTION("""COMPUTED_VALUE"""),"")</f>
        <v/>
      </c>
      <c r="L201" s="36" t="str">
        <f ca="1">IFERROR(__xludf.DUMMYFUNCTION("""COMPUTED_VALUE"""),"")</f>
        <v/>
      </c>
      <c r="M201" s="36" t="str">
        <f ca="1">IFERROR(__xludf.DUMMYFUNCTION("""COMPUTED_VALUE"""),"")</f>
        <v/>
      </c>
      <c r="N201" s="36" t="str">
        <f ca="1">IFERROR(__xludf.DUMMYFUNCTION("""COMPUTED_VALUE"""),"")</f>
        <v/>
      </c>
      <c r="O201" s="36" t="str">
        <f ca="1">IFERROR(__xludf.DUMMYFUNCTION("""COMPUTED_VALUE"""),"")</f>
        <v/>
      </c>
      <c r="P201" s="36" t="str">
        <f ca="1">IFERROR(__xludf.DUMMYFUNCTION("""COMPUTED_VALUE"""),"")</f>
        <v/>
      </c>
      <c r="Q201" s="36" t="str">
        <f ca="1">IFERROR(__xludf.DUMMYFUNCTION("""COMPUTED_VALUE"""),"")</f>
        <v/>
      </c>
      <c r="R201" s="36" t="str">
        <f ca="1">IFERROR(__xludf.DUMMYFUNCTION("""COMPUTED_VALUE"""),"")</f>
        <v/>
      </c>
      <c r="S201" s="36" t="str">
        <f ca="1">IFERROR(__xludf.DUMMYFUNCTION("""COMPUTED_VALUE"""),"")</f>
        <v/>
      </c>
      <c r="T201" s="36" t="str">
        <f ca="1">IFERROR(__xludf.DUMMYFUNCTION("""COMPUTED_VALUE"""),"")</f>
        <v/>
      </c>
      <c r="U201" s="36" t="str">
        <f ca="1">IFERROR(__xludf.DUMMYFUNCTION("""COMPUTED_VALUE"""),"")</f>
        <v/>
      </c>
      <c r="V201" s="36" t="str">
        <f ca="1">IFERROR(__xludf.DUMMYFUNCTION("""COMPUTED_VALUE"""),"")</f>
        <v/>
      </c>
      <c r="W201" s="36" t="str">
        <f ca="1">IFERROR(__xludf.DUMMYFUNCTION("""COMPUTED_VALUE"""),"")</f>
        <v/>
      </c>
      <c r="X201" s="36"/>
      <c r="Y201" s="36"/>
      <c r="Z201" s="36"/>
    </row>
    <row r="202" spans="1:26" ht="12.75" hidden="1">
      <c r="A202" s="36" t="str">
        <f ca="1">IFERROR(__xludf.DUMMYFUNCTION("""COMPUTED_VALUE"""),"")</f>
        <v/>
      </c>
      <c r="B202" s="36" t="str">
        <f ca="1">IFERROR(__xludf.DUMMYFUNCTION("""COMPUTED_VALUE"""),"")</f>
        <v/>
      </c>
      <c r="C202" s="36" t="str">
        <f ca="1">IFERROR(__xludf.DUMMYFUNCTION("""COMPUTED_VALUE"""),"")</f>
        <v/>
      </c>
      <c r="D202" s="36" t="str">
        <f ca="1">IFERROR(__xludf.DUMMYFUNCTION("""COMPUTED_VALUE"""),"")</f>
        <v/>
      </c>
      <c r="E202" s="36" t="str">
        <f ca="1">IFERROR(__xludf.DUMMYFUNCTION("""COMPUTED_VALUE"""),"")</f>
        <v/>
      </c>
      <c r="F202" s="36" t="str">
        <f ca="1">IFERROR(__xludf.DUMMYFUNCTION("""COMPUTED_VALUE"""),"")</f>
        <v/>
      </c>
      <c r="G202" s="36" t="str">
        <f ca="1">IFERROR(__xludf.DUMMYFUNCTION("""COMPUTED_VALUE"""),"")</f>
        <v/>
      </c>
      <c r="H202" s="36" t="str">
        <f ca="1">IFERROR(__xludf.DUMMYFUNCTION("""COMPUTED_VALUE"""),"")</f>
        <v/>
      </c>
      <c r="I202" s="36" t="str">
        <f ca="1">IFERROR(__xludf.DUMMYFUNCTION("""COMPUTED_VALUE"""),"")</f>
        <v/>
      </c>
      <c r="J202" s="36" t="str">
        <f ca="1">IFERROR(__xludf.DUMMYFUNCTION("""COMPUTED_VALUE"""),"")</f>
        <v/>
      </c>
      <c r="K202" s="36" t="str">
        <f ca="1">IFERROR(__xludf.DUMMYFUNCTION("""COMPUTED_VALUE"""),"")</f>
        <v/>
      </c>
      <c r="L202" s="36" t="str">
        <f ca="1">IFERROR(__xludf.DUMMYFUNCTION("""COMPUTED_VALUE"""),"")</f>
        <v/>
      </c>
      <c r="M202" s="36" t="str">
        <f ca="1">IFERROR(__xludf.DUMMYFUNCTION("""COMPUTED_VALUE"""),"")</f>
        <v/>
      </c>
      <c r="N202" s="36" t="str">
        <f ca="1">IFERROR(__xludf.DUMMYFUNCTION("""COMPUTED_VALUE"""),"")</f>
        <v/>
      </c>
      <c r="O202" s="36" t="str">
        <f ca="1">IFERROR(__xludf.DUMMYFUNCTION("""COMPUTED_VALUE"""),"")</f>
        <v/>
      </c>
      <c r="P202" s="36" t="str">
        <f ca="1">IFERROR(__xludf.DUMMYFUNCTION("""COMPUTED_VALUE"""),"")</f>
        <v/>
      </c>
      <c r="Q202" s="36" t="str">
        <f ca="1">IFERROR(__xludf.DUMMYFUNCTION("""COMPUTED_VALUE"""),"")</f>
        <v/>
      </c>
      <c r="R202" s="36" t="str">
        <f ca="1">IFERROR(__xludf.DUMMYFUNCTION("""COMPUTED_VALUE"""),"")</f>
        <v/>
      </c>
      <c r="S202" s="36" t="str">
        <f ca="1">IFERROR(__xludf.DUMMYFUNCTION("""COMPUTED_VALUE"""),"")</f>
        <v/>
      </c>
      <c r="T202" s="36" t="str">
        <f ca="1">IFERROR(__xludf.DUMMYFUNCTION("""COMPUTED_VALUE"""),"")</f>
        <v/>
      </c>
      <c r="U202" s="36" t="str">
        <f ca="1">IFERROR(__xludf.DUMMYFUNCTION("""COMPUTED_VALUE"""),"")</f>
        <v/>
      </c>
      <c r="V202" s="36" t="str">
        <f ca="1">IFERROR(__xludf.DUMMYFUNCTION("""COMPUTED_VALUE"""),"")</f>
        <v/>
      </c>
      <c r="W202" s="36" t="str">
        <f ca="1">IFERROR(__xludf.DUMMYFUNCTION("""COMPUTED_VALUE"""),"")</f>
        <v/>
      </c>
      <c r="X202" s="36"/>
      <c r="Y202" s="36"/>
      <c r="Z202" s="36"/>
    </row>
    <row r="203" spans="1:26" ht="12.75" hidden="1">
      <c r="A203" s="36" t="str">
        <f ca="1">IFERROR(__xludf.DUMMYFUNCTION("""COMPUTED_VALUE"""),"")</f>
        <v/>
      </c>
      <c r="B203" s="36" t="str">
        <f ca="1">IFERROR(__xludf.DUMMYFUNCTION("""COMPUTED_VALUE"""),"")</f>
        <v/>
      </c>
      <c r="C203" s="36" t="str">
        <f ca="1">IFERROR(__xludf.DUMMYFUNCTION("""COMPUTED_VALUE"""),"")</f>
        <v/>
      </c>
      <c r="D203" s="36" t="str">
        <f ca="1">IFERROR(__xludf.DUMMYFUNCTION("""COMPUTED_VALUE"""),"")</f>
        <v/>
      </c>
      <c r="E203" s="36" t="str">
        <f ca="1">IFERROR(__xludf.DUMMYFUNCTION("""COMPUTED_VALUE"""),"")</f>
        <v/>
      </c>
      <c r="F203" s="36" t="str">
        <f ca="1">IFERROR(__xludf.DUMMYFUNCTION("""COMPUTED_VALUE"""),"")</f>
        <v/>
      </c>
      <c r="G203" s="36" t="str">
        <f ca="1">IFERROR(__xludf.DUMMYFUNCTION("""COMPUTED_VALUE"""),"")</f>
        <v/>
      </c>
      <c r="H203" s="36" t="str">
        <f ca="1">IFERROR(__xludf.DUMMYFUNCTION("""COMPUTED_VALUE"""),"")</f>
        <v/>
      </c>
      <c r="I203" s="36" t="str">
        <f ca="1">IFERROR(__xludf.DUMMYFUNCTION("""COMPUTED_VALUE"""),"")</f>
        <v/>
      </c>
      <c r="J203" s="36" t="str">
        <f ca="1">IFERROR(__xludf.DUMMYFUNCTION("""COMPUTED_VALUE"""),"")</f>
        <v/>
      </c>
      <c r="K203" s="36" t="str">
        <f ca="1">IFERROR(__xludf.DUMMYFUNCTION("""COMPUTED_VALUE"""),"")</f>
        <v/>
      </c>
      <c r="L203" s="36" t="str">
        <f ca="1">IFERROR(__xludf.DUMMYFUNCTION("""COMPUTED_VALUE"""),"")</f>
        <v/>
      </c>
      <c r="M203" s="36" t="str">
        <f ca="1">IFERROR(__xludf.DUMMYFUNCTION("""COMPUTED_VALUE"""),"")</f>
        <v/>
      </c>
      <c r="N203" s="36" t="str">
        <f ca="1">IFERROR(__xludf.DUMMYFUNCTION("""COMPUTED_VALUE"""),"")</f>
        <v/>
      </c>
      <c r="O203" s="36" t="str">
        <f ca="1">IFERROR(__xludf.DUMMYFUNCTION("""COMPUTED_VALUE"""),"")</f>
        <v/>
      </c>
      <c r="P203" s="36" t="str">
        <f ca="1">IFERROR(__xludf.DUMMYFUNCTION("""COMPUTED_VALUE"""),"")</f>
        <v/>
      </c>
      <c r="Q203" s="36" t="str">
        <f ca="1">IFERROR(__xludf.DUMMYFUNCTION("""COMPUTED_VALUE"""),"")</f>
        <v/>
      </c>
      <c r="R203" s="36" t="str">
        <f ca="1">IFERROR(__xludf.DUMMYFUNCTION("""COMPUTED_VALUE"""),"")</f>
        <v/>
      </c>
      <c r="S203" s="36" t="str">
        <f ca="1">IFERROR(__xludf.DUMMYFUNCTION("""COMPUTED_VALUE"""),"")</f>
        <v/>
      </c>
      <c r="T203" s="36" t="str">
        <f ca="1">IFERROR(__xludf.DUMMYFUNCTION("""COMPUTED_VALUE"""),"")</f>
        <v/>
      </c>
      <c r="U203" s="36" t="str">
        <f ca="1">IFERROR(__xludf.DUMMYFUNCTION("""COMPUTED_VALUE"""),"")</f>
        <v/>
      </c>
      <c r="V203" s="36" t="str">
        <f ca="1">IFERROR(__xludf.DUMMYFUNCTION("""COMPUTED_VALUE"""),"")</f>
        <v/>
      </c>
      <c r="W203" s="36" t="str">
        <f ca="1">IFERROR(__xludf.DUMMYFUNCTION("""COMPUTED_VALUE"""),"")</f>
        <v/>
      </c>
      <c r="X203" s="36"/>
      <c r="Y203" s="36"/>
      <c r="Z203" s="36"/>
    </row>
    <row r="204" spans="1:26" ht="12.75" hidden="1">
      <c r="A204" s="36" t="str">
        <f ca="1">IFERROR(__xludf.DUMMYFUNCTION("""COMPUTED_VALUE"""),"")</f>
        <v/>
      </c>
      <c r="B204" s="36" t="str">
        <f ca="1">IFERROR(__xludf.DUMMYFUNCTION("""COMPUTED_VALUE"""),"")</f>
        <v/>
      </c>
      <c r="C204" s="36" t="str">
        <f ca="1">IFERROR(__xludf.DUMMYFUNCTION("""COMPUTED_VALUE"""),"")</f>
        <v/>
      </c>
      <c r="D204" s="36" t="str">
        <f ca="1">IFERROR(__xludf.DUMMYFUNCTION("""COMPUTED_VALUE"""),"")</f>
        <v/>
      </c>
      <c r="E204" s="36" t="str">
        <f ca="1">IFERROR(__xludf.DUMMYFUNCTION("""COMPUTED_VALUE"""),"")</f>
        <v/>
      </c>
      <c r="F204" s="36" t="str">
        <f ca="1">IFERROR(__xludf.DUMMYFUNCTION("""COMPUTED_VALUE"""),"")</f>
        <v/>
      </c>
      <c r="G204" s="36" t="str">
        <f ca="1">IFERROR(__xludf.DUMMYFUNCTION("""COMPUTED_VALUE"""),"")</f>
        <v/>
      </c>
      <c r="H204" s="36" t="str">
        <f ca="1">IFERROR(__xludf.DUMMYFUNCTION("""COMPUTED_VALUE"""),"")</f>
        <v/>
      </c>
      <c r="I204" s="36" t="str">
        <f ca="1">IFERROR(__xludf.DUMMYFUNCTION("""COMPUTED_VALUE"""),"")</f>
        <v/>
      </c>
      <c r="J204" s="36" t="str">
        <f ca="1">IFERROR(__xludf.DUMMYFUNCTION("""COMPUTED_VALUE"""),"")</f>
        <v/>
      </c>
      <c r="K204" s="36" t="str">
        <f ca="1">IFERROR(__xludf.DUMMYFUNCTION("""COMPUTED_VALUE"""),"")</f>
        <v/>
      </c>
      <c r="L204" s="36" t="str">
        <f ca="1">IFERROR(__xludf.DUMMYFUNCTION("""COMPUTED_VALUE"""),"")</f>
        <v/>
      </c>
      <c r="M204" s="36" t="str">
        <f ca="1">IFERROR(__xludf.DUMMYFUNCTION("""COMPUTED_VALUE"""),"")</f>
        <v/>
      </c>
      <c r="N204" s="36" t="str">
        <f ca="1">IFERROR(__xludf.DUMMYFUNCTION("""COMPUTED_VALUE"""),"")</f>
        <v/>
      </c>
      <c r="O204" s="36" t="str">
        <f ca="1">IFERROR(__xludf.DUMMYFUNCTION("""COMPUTED_VALUE"""),"")</f>
        <v/>
      </c>
      <c r="P204" s="36" t="str">
        <f ca="1">IFERROR(__xludf.DUMMYFUNCTION("""COMPUTED_VALUE"""),"")</f>
        <v/>
      </c>
      <c r="Q204" s="36" t="str">
        <f ca="1">IFERROR(__xludf.DUMMYFUNCTION("""COMPUTED_VALUE"""),"")</f>
        <v/>
      </c>
      <c r="R204" s="36" t="str">
        <f ca="1">IFERROR(__xludf.DUMMYFUNCTION("""COMPUTED_VALUE"""),"")</f>
        <v/>
      </c>
      <c r="S204" s="36" t="str">
        <f ca="1">IFERROR(__xludf.DUMMYFUNCTION("""COMPUTED_VALUE"""),"")</f>
        <v/>
      </c>
      <c r="T204" s="36" t="str">
        <f ca="1">IFERROR(__xludf.DUMMYFUNCTION("""COMPUTED_VALUE"""),"")</f>
        <v/>
      </c>
      <c r="U204" s="36" t="str">
        <f ca="1">IFERROR(__xludf.DUMMYFUNCTION("""COMPUTED_VALUE"""),"")</f>
        <v/>
      </c>
      <c r="V204" s="36" t="str">
        <f ca="1">IFERROR(__xludf.DUMMYFUNCTION("""COMPUTED_VALUE"""),"")</f>
        <v/>
      </c>
      <c r="W204" s="36" t="str">
        <f ca="1">IFERROR(__xludf.DUMMYFUNCTION("""COMPUTED_VALUE"""),"")</f>
        <v/>
      </c>
      <c r="X204" s="36"/>
      <c r="Y204" s="36"/>
      <c r="Z204" s="36"/>
    </row>
    <row r="205" spans="1:26" ht="12.75" hidden="1">
      <c r="A205" s="36" t="str">
        <f ca="1">IFERROR(__xludf.DUMMYFUNCTION("""COMPUTED_VALUE"""),"")</f>
        <v/>
      </c>
      <c r="B205" s="36" t="str">
        <f ca="1">IFERROR(__xludf.DUMMYFUNCTION("""COMPUTED_VALUE"""),"")</f>
        <v/>
      </c>
      <c r="C205" s="36" t="str">
        <f ca="1">IFERROR(__xludf.DUMMYFUNCTION("""COMPUTED_VALUE"""),"")</f>
        <v/>
      </c>
      <c r="D205" s="36" t="str">
        <f ca="1">IFERROR(__xludf.DUMMYFUNCTION("""COMPUTED_VALUE"""),"")</f>
        <v/>
      </c>
      <c r="E205" s="36" t="str">
        <f ca="1">IFERROR(__xludf.DUMMYFUNCTION("""COMPUTED_VALUE"""),"")</f>
        <v/>
      </c>
      <c r="F205" s="36" t="str">
        <f ca="1">IFERROR(__xludf.DUMMYFUNCTION("""COMPUTED_VALUE"""),"")</f>
        <v/>
      </c>
      <c r="G205" s="36" t="str">
        <f ca="1">IFERROR(__xludf.DUMMYFUNCTION("""COMPUTED_VALUE"""),"")</f>
        <v/>
      </c>
      <c r="H205" s="36" t="str">
        <f ca="1">IFERROR(__xludf.DUMMYFUNCTION("""COMPUTED_VALUE"""),"")</f>
        <v/>
      </c>
      <c r="I205" s="36" t="str">
        <f ca="1">IFERROR(__xludf.DUMMYFUNCTION("""COMPUTED_VALUE"""),"")</f>
        <v/>
      </c>
      <c r="J205" s="36" t="str">
        <f ca="1">IFERROR(__xludf.DUMMYFUNCTION("""COMPUTED_VALUE"""),"")</f>
        <v/>
      </c>
      <c r="K205" s="36" t="str">
        <f ca="1">IFERROR(__xludf.DUMMYFUNCTION("""COMPUTED_VALUE"""),"")</f>
        <v/>
      </c>
      <c r="L205" s="36" t="str">
        <f ca="1">IFERROR(__xludf.DUMMYFUNCTION("""COMPUTED_VALUE"""),"")</f>
        <v/>
      </c>
      <c r="M205" s="36" t="str">
        <f ca="1">IFERROR(__xludf.DUMMYFUNCTION("""COMPUTED_VALUE"""),"")</f>
        <v/>
      </c>
      <c r="N205" s="36" t="str">
        <f ca="1">IFERROR(__xludf.DUMMYFUNCTION("""COMPUTED_VALUE"""),"")</f>
        <v/>
      </c>
      <c r="O205" s="36" t="str">
        <f ca="1">IFERROR(__xludf.DUMMYFUNCTION("""COMPUTED_VALUE"""),"")</f>
        <v/>
      </c>
      <c r="P205" s="36" t="str">
        <f ca="1">IFERROR(__xludf.DUMMYFUNCTION("""COMPUTED_VALUE"""),"")</f>
        <v/>
      </c>
      <c r="Q205" s="36" t="str">
        <f ca="1">IFERROR(__xludf.DUMMYFUNCTION("""COMPUTED_VALUE"""),"")</f>
        <v/>
      </c>
      <c r="R205" s="36" t="str">
        <f ca="1">IFERROR(__xludf.DUMMYFUNCTION("""COMPUTED_VALUE"""),"")</f>
        <v/>
      </c>
      <c r="S205" s="36" t="str">
        <f ca="1">IFERROR(__xludf.DUMMYFUNCTION("""COMPUTED_VALUE"""),"")</f>
        <v/>
      </c>
      <c r="T205" s="36" t="str">
        <f ca="1">IFERROR(__xludf.DUMMYFUNCTION("""COMPUTED_VALUE"""),"")</f>
        <v/>
      </c>
      <c r="U205" s="36" t="str">
        <f ca="1">IFERROR(__xludf.DUMMYFUNCTION("""COMPUTED_VALUE"""),"")</f>
        <v/>
      </c>
      <c r="V205" s="36" t="str">
        <f ca="1">IFERROR(__xludf.DUMMYFUNCTION("""COMPUTED_VALUE"""),"")</f>
        <v/>
      </c>
      <c r="W205" s="36" t="str">
        <f ca="1">IFERROR(__xludf.DUMMYFUNCTION("""COMPUTED_VALUE"""),"")</f>
        <v/>
      </c>
      <c r="X205" s="36"/>
      <c r="Y205" s="36"/>
      <c r="Z205" s="36"/>
    </row>
    <row r="206" spans="1:26" ht="12.75" hidden="1">
      <c r="A206" s="36" t="str">
        <f ca="1">IFERROR(__xludf.DUMMYFUNCTION("""COMPUTED_VALUE"""),"")</f>
        <v/>
      </c>
      <c r="B206" s="36" t="str">
        <f ca="1">IFERROR(__xludf.DUMMYFUNCTION("""COMPUTED_VALUE"""),"")</f>
        <v/>
      </c>
      <c r="C206" s="36" t="str">
        <f ca="1">IFERROR(__xludf.DUMMYFUNCTION("""COMPUTED_VALUE"""),"")</f>
        <v/>
      </c>
      <c r="D206" s="36" t="str">
        <f ca="1">IFERROR(__xludf.DUMMYFUNCTION("""COMPUTED_VALUE"""),"")</f>
        <v/>
      </c>
      <c r="E206" s="36" t="str">
        <f ca="1">IFERROR(__xludf.DUMMYFUNCTION("""COMPUTED_VALUE"""),"")</f>
        <v/>
      </c>
      <c r="F206" s="36" t="str">
        <f ca="1">IFERROR(__xludf.DUMMYFUNCTION("""COMPUTED_VALUE"""),"")</f>
        <v/>
      </c>
      <c r="G206" s="36" t="str">
        <f ca="1">IFERROR(__xludf.DUMMYFUNCTION("""COMPUTED_VALUE"""),"")</f>
        <v/>
      </c>
      <c r="H206" s="36" t="str">
        <f ca="1">IFERROR(__xludf.DUMMYFUNCTION("""COMPUTED_VALUE"""),"")</f>
        <v/>
      </c>
      <c r="I206" s="36" t="str">
        <f ca="1">IFERROR(__xludf.DUMMYFUNCTION("""COMPUTED_VALUE"""),"")</f>
        <v/>
      </c>
      <c r="J206" s="36" t="str">
        <f ca="1">IFERROR(__xludf.DUMMYFUNCTION("""COMPUTED_VALUE"""),"")</f>
        <v/>
      </c>
      <c r="K206" s="36" t="str">
        <f ca="1">IFERROR(__xludf.DUMMYFUNCTION("""COMPUTED_VALUE"""),"")</f>
        <v/>
      </c>
      <c r="L206" s="36" t="str">
        <f ca="1">IFERROR(__xludf.DUMMYFUNCTION("""COMPUTED_VALUE"""),"")</f>
        <v/>
      </c>
      <c r="M206" s="36" t="str">
        <f ca="1">IFERROR(__xludf.DUMMYFUNCTION("""COMPUTED_VALUE"""),"")</f>
        <v/>
      </c>
      <c r="N206" s="36" t="str">
        <f ca="1">IFERROR(__xludf.DUMMYFUNCTION("""COMPUTED_VALUE"""),"")</f>
        <v/>
      </c>
      <c r="O206" s="36" t="str">
        <f ca="1">IFERROR(__xludf.DUMMYFUNCTION("""COMPUTED_VALUE"""),"")</f>
        <v/>
      </c>
      <c r="P206" s="36" t="str">
        <f ca="1">IFERROR(__xludf.DUMMYFUNCTION("""COMPUTED_VALUE"""),"")</f>
        <v/>
      </c>
      <c r="Q206" s="36" t="str">
        <f ca="1">IFERROR(__xludf.DUMMYFUNCTION("""COMPUTED_VALUE"""),"")</f>
        <v/>
      </c>
      <c r="R206" s="36" t="str">
        <f ca="1">IFERROR(__xludf.DUMMYFUNCTION("""COMPUTED_VALUE"""),"")</f>
        <v/>
      </c>
      <c r="S206" s="36" t="str">
        <f ca="1">IFERROR(__xludf.DUMMYFUNCTION("""COMPUTED_VALUE"""),"")</f>
        <v/>
      </c>
      <c r="T206" s="36" t="str">
        <f ca="1">IFERROR(__xludf.DUMMYFUNCTION("""COMPUTED_VALUE"""),"")</f>
        <v/>
      </c>
      <c r="U206" s="36" t="str">
        <f ca="1">IFERROR(__xludf.DUMMYFUNCTION("""COMPUTED_VALUE"""),"")</f>
        <v/>
      </c>
      <c r="V206" s="36" t="str">
        <f ca="1">IFERROR(__xludf.DUMMYFUNCTION("""COMPUTED_VALUE"""),"")</f>
        <v/>
      </c>
      <c r="W206" s="36" t="str">
        <f ca="1">IFERROR(__xludf.DUMMYFUNCTION("""COMPUTED_VALUE"""),"")</f>
        <v/>
      </c>
      <c r="X206" s="36"/>
      <c r="Y206" s="36"/>
      <c r="Z206" s="36"/>
    </row>
    <row r="207" spans="1:26" ht="12.75" hidden="1">
      <c r="A207" s="36" t="str">
        <f ca="1">IFERROR(__xludf.DUMMYFUNCTION("""COMPUTED_VALUE"""),"")</f>
        <v/>
      </c>
      <c r="B207" s="36" t="str">
        <f ca="1">IFERROR(__xludf.DUMMYFUNCTION("""COMPUTED_VALUE"""),"")</f>
        <v/>
      </c>
      <c r="C207" s="36" t="str">
        <f ca="1">IFERROR(__xludf.DUMMYFUNCTION("""COMPUTED_VALUE"""),"")</f>
        <v/>
      </c>
      <c r="D207" s="36" t="str">
        <f ca="1">IFERROR(__xludf.DUMMYFUNCTION("""COMPUTED_VALUE"""),"")</f>
        <v/>
      </c>
      <c r="E207" s="36" t="str">
        <f ca="1">IFERROR(__xludf.DUMMYFUNCTION("""COMPUTED_VALUE"""),"")</f>
        <v/>
      </c>
      <c r="F207" s="36" t="str">
        <f ca="1">IFERROR(__xludf.DUMMYFUNCTION("""COMPUTED_VALUE"""),"")</f>
        <v/>
      </c>
      <c r="G207" s="36" t="str">
        <f ca="1">IFERROR(__xludf.DUMMYFUNCTION("""COMPUTED_VALUE"""),"")</f>
        <v/>
      </c>
      <c r="H207" s="36" t="str">
        <f ca="1">IFERROR(__xludf.DUMMYFUNCTION("""COMPUTED_VALUE"""),"")</f>
        <v/>
      </c>
      <c r="I207" s="36" t="str">
        <f ca="1">IFERROR(__xludf.DUMMYFUNCTION("""COMPUTED_VALUE"""),"")</f>
        <v/>
      </c>
      <c r="J207" s="36" t="str">
        <f ca="1">IFERROR(__xludf.DUMMYFUNCTION("""COMPUTED_VALUE"""),"")</f>
        <v/>
      </c>
      <c r="K207" s="36" t="str">
        <f ca="1">IFERROR(__xludf.DUMMYFUNCTION("""COMPUTED_VALUE"""),"")</f>
        <v/>
      </c>
      <c r="L207" s="36" t="str">
        <f ca="1">IFERROR(__xludf.DUMMYFUNCTION("""COMPUTED_VALUE"""),"")</f>
        <v/>
      </c>
      <c r="M207" s="36" t="str">
        <f ca="1">IFERROR(__xludf.DUMMYFUNCTION("""COMPUTED_VALUE"""),"")</f>
        <v/>
      </c>
      <c r="N207" s="36" t="str">
        <f ca="1">IFERROR(__xludf.DUMMYFUNCTION("""COMPUTED_VALUE"""),"")</f>
        <v/>
      </c>
      <c r="O207" s="36" t="str">
        <f ca="1">IFERROR(__xludf.DUMMYFUNCTION("""COMPUTED_VALUE"""),"")</f>
        <v/>
      </c>
      <c r="P207" s="36" t="str">
        <f ca="1">IFERROR(__xludf.DUMMYFUNCTION("""COMPUTED_VALUE"""),"")</f>
        <v/>
      </c>
      <c r="Q207" s="36" t="str">
        <f ca="1">IFERROR(__xludf.DUMMYFUNCTION("""COMPUTED_VALUE"""),"")</f>
        <v/>
      </c>
      <c r="R207" s="36" t="str">
        <f ca="1">IFERROR(__xludf.DUMMYFUNCTION("""COMPUTED_VALUE"""),"")</f>
        <v/>
      </c>
      <c r="S207" s="36" t="str">
        <f ca="1">IFERROR(__xludf.DUMMYFUNCTION("""COMPUTED_VALUE"""),"")</f>
        <v/>
      </c>
      <c r="T207" s="36" t="str">
        <f ca="1">IFERROR(__xludf.DUMMYFUNCTION("""COMPUTED_VALUE"""),"")</f>
        <v/>
      </c>
      <c r="U207" s="36" t="str">
        <f ca="1">IFERROR(__xludf.DUMMYFUNCTION("""COMPUTED_VALUE"""),"")</f>
        <v/>
      </c>
      <c r="V207" s="36" t="str">
        <f ca="1">IFERROR(__xludf.DUMMYFUNCTION("""COMPUTED_VALUE"""),"")</f>
        <v/>
      </c>
      <c r="W207" s="36" t="str">
        <f ca="1">IFERROR(__xludf.DUMMYFUNCTION("""COMPUTED_VALUE"""),"")</f>
        <v/>
      </c>
      <c r="X207" s="36"/>
      <c r="Y207" s="36"/>
      <c r="Z207" s="36"/>
    </row>
    <row r="208" spans="1:26" ht="12.75" hidden="1">
      <c r="A208" s="36" t="str">
        <f ca="1">IFERROR(__xludf.DUMMYFUNCTION("""COMPUTED_VALUE"""),"")</f>
        <v/>
      </c>
      <c r="B208" s="36" t="str">
        <f ca="1">IFERROR(__xludf.DUMMYFUNCTION("""COMPUTED_VALUE"""),"")</f>
        <v/>
      </c>
      <c r="C208" s="36" t="str">
        <f ca="1">IFERROR(__xludf.DUMMYFUNCTION("""COMPUTED_VALUE"""),"")</f>
        <v/>
      </c>
      <c r="D208" s="36" t="str">
        <f ca="1">IFERROR(__xludf.DUMMYFUNCTION("""COMPUTED_VALUE"""),"")</f>
        <v/>
      </c>
      <c r="E208" s="36" t="str">
        <f ca="1">IFERROR(__xludf.DUMMYFUNCTION("""COMPUTED_VALUE"""),"")</f>
        <v/>
      </c>
      <c r="F208" s="36" t="str">
        <f ca="1">IFERROR(__xludf.DUMMYFUNCTION("""COMPUTED_VALUE"""),"")</f>
        <v/>
      </c>
      <c r="G208" s="36" t="str">
        <f ca="1">IFERROR(__xludf.DUMMYFUNCTION("""COMPUTED_VALUE"""),"")</f>
        <v/>
      </c>
      <c r="H208" s="36" t="str">
        <f ca="1">IFERROR(__xludf.DUMMYFUNCTION("""COMPUTED_VALUE"""),"")</f>
        <v/>
      </c>
      <c r="I208" s="36" t="str">
        <f ca="1">IFERROR(__xludf.DUMMYFUNCTION("""COMPUTED_VALUE"""),"")</f>
        <v/>
      </c>
      <c r="J208" s="36" t="str">
        <f ca="1">IFERROR(__xludf.DUMMYFUNCTION("""COMPUTED_VALUE"""),"")</f>
        <v/>
      </c>
      <c r="K208" s="36" t="str">
        <f ca="1">IFERROR(__xludf.DUMMYFUNCTION("""COMPUTED_VALUE"""),"")</f>
        <v/>
      </c>
      <c r="L208" s="36" t="str">
        <f ca="1">IFERROR(__xludf.DUMMYFUNCTION("""COMPUTED_VALUE"""),"")</f>
        <v/>
      </c>
      <c r="M208" s="36" t="str">
        <f ca="1">IFERROR(__xludf.DUMMYFUNCTION("""COMPUTED_VALUE"""),"")</f>
        <v/>
      </c>
      <c r="N208" s="36" t="str">
        <f ca="1">IFERROR(__xludf.DUMMYFUNCTION("""COMPUTED_VALUE"""),"")</f>
        <v/>
      </c>
      <c r="O208" s="36" t="str">
        <f ca="1">IFERROR(__xludf.DUMMYFUNCTION("""COMPUTED_VALUE"""),"")</f>
        <v/>
      </c>
      <c r="P208" s="36" t="str">
        <f ca="1">IFERROR(__xludf.DUMMYFUNCTION("""COMPUTED_VALUE"""),"")</f>
        <v/>
      </c>
      <c r="Q208" s="36" t="str">
        <f ca="1">IFERROR(__xludf.DUMMYFUNCTION("""COMPUTED_VALUE"""),"")</f>
        <v/>
      </c>
      <c r="R208" s="36" t="str">
        <f ca="1">IFERROR(__xludf.DUMMYFUNCTION("""COMPUTED_VALUE"""),"")</f>
        <v/>
      </c>
      <c r="S208" s="36" t="str">
        <f ca="1">IFERROR(__xludf.DUMMYFUNCTION("""COMPUTED_VALUE"""),"")</f>
        <v/>
      </c>
      <c r="T208" s="36" t="str">
        <f ca="1">IFERROR(__xludf.DUMMYFUNCTION("""COMPUTED_VALUE"""),"")</f>
        <v/>
      </c>
      <c r="U208" s="36" t="str">
        <f ca="1">IFERROR(__xludf.DUMMYFUNCTION("""COMPUTED_VALUE"""),"")</f>
        <v/>
      </c>
      <c r="V208" s="36" t="str">
        <f ca="1">IFERROR(__xludf.DUMMYFUNCTION("""COMPUTED_VALUE"""),"")</f>
        <v/>
      </c>
      <c r="W208" s="36" t="str">
        <f ca="1">IFERROR(__xludf.DUMMYFUNCTION("""COMPUTED_VALUE"""),"")</f>
        <v/>
      </c>
      <c r="X208" s="36"/>
      <c r="Y208" s="36"/>
      <c r="Z208" s="36"/>
    </row>
    <row r="209" spans="1:26" ht="12.75" hidden="1">
      <c r="A209" s="36" t="str">
        <f ca="1">IFERROR(__xludf.DUMMYFUNCTION("""COMPUTED_VALUE"""),"")</f>
        <v/>
      </c>
      <c r="B209" s="36" t="str">
        <f ca="1">IFERROR(__xludf.DUMMYFUNCTION("""COMPUTED_VALUE"""),"")</f>
        <v/>
      </c>
      <c r="C209" s="36" t="str">
        <f ca="1">IFERROR(__xludf.DUMMYFUNCTION("""COMPUTED_VALUE"""),"")</f>
        <v/>
      </c>
      <c r="D209" s="36" t="str">
        <f ca="1">IFERROR(__xludf.DUMMYFUNCTION("""COMPUTED_VALUE"""),"")</f>
        <v/>
      </c>
      <c r="E209" s="36" t="str">
        <f ca="1">IFERROR(__xludf.DUMMYFUNCTION("""COMPUTED_VALUE"""),"")</f>
        <v/>
      </c>
      <c r="F209" s="36" t="str">
        <f ca="1">IFERROR(__xludf.DUMMYFUNCTION("""COMPUTED_VALUE"""),"")</f>
        <v/>
      </c>
      <c r="G209" s="36" t="str">
        <f ca="1">IFERROR(__xludf.DUMMYFUNCTION("""COMPUTED_VALUE"""),"")</f>
        <v/>
      </c>
      <c r="H209" s="36" t="str">
        <f ca="1">IFERROR(__xludf.DUMMYFUNCTION("""COMPUTED_VALUE"""),"")</f>
        <v/>
      </c>
      <c r="I209" s="36" t="str">
        <f ca="1">IFERROR(__xludf.DUMMYFUNCTION("""COMPUTED_VALUE"""),"")</f>
        <v/>
      </c>
      <c r="J209" s="36" t="str">
        <f ca="1">IFERROR(__xludf.DUMMYFUNCTION("""COMPUTED_VALUE"""),"")</f>
        <v/>
      </c>
      <c r="K209" s="36" t="str">
        <f ca="1">IFERROR(__xludf.DUMMYFUNCTION("""COMPUTED_VALUE"""),"")</f>
        <v/>
      </c>
      <c r="L209" s="36" t="str">
        <f ca="1">IFERROR(__xludf.DUMMYFUNCTION("""COMPUTED_VALUE"""),"")</f>
        <v/>
      </c>
      <c r="M209" s="36" t="str">
        <f ca="1">IFERROR(__xludf.DUMMYFUNCTION("""COMPUTED_VALUE"""),"")</f>
        <v/>
      </c>
      <c r="N209" s="36" t="str">
        <f ca="1">IFERROR(__xludf.DUMMYFUNCTION("""COMPUTED_VALUE"""),"")</f>
        <v/>
      </c>
      <c r="O209" s="36" t="str">
        <f ca="1">IFERROR(__xludf.DUMMYFUNCTION("""COMPUTED_VALUE"""),"")</f>
        <v/>
      </c>
      <c r="P209" s="36" t="str">
        <f ca="1">IFERROR(__xludf.DUMMYFUNCTION("""COMPUTED_VALUE"""),"")</f>
        <v/>
      </c>
      <c r="Q209" s="36" t="str">
        <f ca="1">IFERROR(__xludf.DUMMYFUNCTION("""COMPUTED_VALUE"""),"")</f>
        <v/>
      </c>
      <c r="R209" s="36" t="str">
        <f ca="1">IFERROR(__xludf.DUMMYFUNCTION("""COMPUTED_VALUE"""),"")</f>
        <v/>
      </c>
      <c r="S209" s="36" t="str">
        <f ca="1">IFERROR(__xludf.DUMMYFUNCTION("""COMPUTED_VALUE"""),"")</f>
        <v/>
      </c>
      <c r="T209" s="36" t="str">
        <f ca="1">IFERROR(__xludf.DUMMYFUNCTION("""COMPUTED_VALUE"""),"")</f>
        <v/>
      </c>
      <c r="U209" s="36" t="str">
        <f ca="1">IFERROR(__xludf.DUMMYFUNCTION("""COMPUTED_VALUE"""),"")</f>
        <v/>
      </c>
      <c r="V209" s="36" t="str">
        <f ca="1">IFERROR(__xludf.DUMMYFUNCTION("""COMPUTED_VALUE"""),"")</f>
        <v/>
      </c>
      <c r="W209" s="36" t="str">
        <f ca="1">IFERROR(__xludf.DUMMYFUNCTION("""COMPUTED_VALUE"""),"")</f>
        <v/>
      </c>
      <c r="X209" s="36"/>
      <c r="Y209" s="36"/>
      <c r="Z209" s="36"/>
    </row>
    <row r="210" spans="1:26" ht="12.75" hidden="1">
      <c r="A210" s="36" t="str">
        <f ca="1">IFERROR(__xludf.DUMMYFUNCTION("""COMPUTED_VALUE"""),"")</f>
        <v/>
      </c>
      <c r="B210" s="36" t="str">
        <f ca="1">IFERROR(__xludf.DUMMYFUNCTION("""COMPUTED_VALUE"""),"")</f>
        <v/>
      </c>
      <c r="C210" s="36" t="str">
        <f ca="1">IFERROR(__xludf.DUMMYFUNCTION("""COMPUTED_VALUE"""),"")</f>
        <v/>
      </c>
      <c r="D210" s="36" t="str">
        <f ca="1">IFERROR(__xludf.DUMMYFUNCTION("""COMPUTED_VALUE"""),"")</f>
        <v/>
      </c>
      <c r="E210" s="36" t="str">
        <f ca="1">IFERROR(__xludf.DUMMYFUNCTION("""COMPUTED_VALUE"""),"")</f>
        <v/>
      </c>
      <c r="F210" s="36" t="str">
        <f ca="1">IFERROR(__xludf.DUMMYFUNCTION("""COMPUTED_VALUE"""),"")</f>
        <v/>
      </c>
      <c r="G210" s="36" t="str">
        <f ca="1">IFERROR(__xludf.DUMMYFUNCTION("""COMPUTED_VALUE"""),"")</f>
        <v/>
      </c>
      <c r="H210" s="36" t="str">
        <f ca="1">IFERROR(__xludf.DUMMYFUNCTION("""COMPUTED_VALUE"""),"")</f>
        <v/>
      </c>
      <c r="I210" s="36" t="str">
        <f ca="1">IFERROR(__xludf.DUMMYFUNCTION("""COMPUTED_VALUE"""),"")</f>
        <v/>
      </c>
      <c r="J210" s="36" t="str">
        <f ca="1">IFERROR(__xludf.DUMMYFUNCTION("""COMPUTED_VALUE"""),"")</f>
        <v/>
      </c>
      <c r="K210" s="36" t="str">
        <f ca="1">IFERROR(__xludf.DUMMYFUNCTION("""COMPUTED_VALUE"""),"")</f>
        <v/>
      </c>
      <c r="L210" s="36" t="str">
        <f ca="1">IFERROR(__xludf.DUMMYFUNCTION("""COMPUTED_VALUE"""),"")</f>
        <v/>
      </c>
      <c r="M210" s="36" t="str">
        <f ca="1">IFERROR(__xludf.DUMMYFUNCTION("""COMPUTED_VALUE"""),"")</f>
        <v/>
      </c>
      <c r="N210" s="36" t="str">
        <f ca="1">IFERROR(__xludf.DUMMYFUNCTION("""COMPUTED_VALUE"""),"")</f>
        <v/>
      </c>
      <c r="O210" s="36" t="str">
        <f ca="1">IFERROR(__xludf.DUMMYFUNCTION("""COMPUTED_VALUE"""),"")</f>
        <v/>
      </c>
      <c r="P210" s="36" t="str">
        <f ca="1">IFERROR(__xludf.DUMMYFUNCTION("""COMPUTED_VALUE"""),"")</f>
        <v/>
      </c>
      <c r="Q210" s="36" t="str">
        <f ca="1">IFERROR(__xludf.DUMMYFUNCTION("""COMPUTED_VALUE"""),"")</f>
        <v/>
      </c>
      <c r="R210" s="36" t="str">
        <f ca="1">IFERROR(__xludf.DUMMYFUNCTION("""COMPUTED_VALUE"""),"")</f>
        <v/>
      </c>
      <c r="S210" s="36" t="str">
        <f ca="1">IFERROR(__xludf.DUMMYFUNCTION("""COMPUTED_VALUE"""),"")</f>
        <v/>
      </c>
      <c r="T210" s="36" t="str">
        <f ca="1">IFERROR(__xludf.DUMMYFUNCTION("""COMPUTED_VALUE"""),"")</f>
        <v/>
      </c>
      <c r="U210" s="36" t="str">
        <f ca="1">IFERROR(__xludf.DUMMYFUNCTION("""COMPUTED_VALUE"""),"")</f>
        <v/>
      </c>
      <c r="V210" s="36" t="str">
        <f ca="1">IFERROR(__xludf.DUMMYFUNCTION("""COMPUTED_VALUE"""),"")</f>
        <v/>
      </c>
      <c r="W210" s="36" t="str">
        <f ca="1">IFERROR(__xludf.DUMMYFUNCTION("""COMPUTED_VALUE"""),"")</f>
        <v/>
      </c>
      <c r="X210" s="36"/>
      <c r="Y210" s="36"/>
      <c r="Z210" s="36"/>
    </row>
    <row r="211" spans="1:26" ht="12.75" hidden="1">
      <c r="A211" s="36" t="str">
        <f ca="1">IFERROR(__xludf.DUMMYFUNCTION("""COMPUTED_VALUE"""),"")</f>
        <v/>
      </c>
      <c r="B211" s="36" t="str">
        <f ca="1">IFERROR(__xludf.DUMMYFUNCTION("""COMPUTED_VALUE"""),"")</f>
        <v/>
      </c>
      <c r="C211" s="36" t="str">
        <f ca="1">IFERROR(__xludf.DUMMYFUNCTION("""COMPUTED_VALUE"""),"")</f>
        <v/>
      </c>
      <c r="D211" s="36" t="str">
        <f ca="1">IFERROR(__xludf.DUMMYFUNCTION("""COMPUTED_VALUE"""),"")</f>
        <v/>
      </c>
      <c r="E211" s="36" t="str">
        <f ca="1">IFERROR(__xludf.DUMMYFUNCTION("""COMPUTED_VALUE"""),"")</f>
        <v/>
      </c>
      <c r="F211" s="36" t="str">
        <f ca="1">IFERROR(__xludf.DUMMYFUNCTION("""COMPUTED_VALUE"""),"")</f>
        <v/>
      </c>
      <c r="G211" s="36" t="str">
        <f ca="1">IFERROR(__xludf.DUMMYFUNCTION("""COMPUTED_VALUE"""),"")</f>
        <v/>
      </c>
      <c r="H211" s="36" t="str">
        <f ca="1">IFERROR(__xludf.DUMMYFUNCTION("""COMPUTED_VALUE"""),"")</f>
        <v/>
      </c>
      <c r="I211" s="36" t="str">
        <f ca="1">IFERROR(__xludf.DUMMYFUNCTION("""COMPUTED_VALUE"""),"")</f>
        <v/>
      </c>
      <c r="J211" s="36" t="str">
        <f ca="1">IFERROR(__xludf.DUMMYFUNCTION("""COMPUTED_VALUE"""),"")</f>
        <v/>
      </c>
      <c r="K211" s="36" t="str">
        <f ca="1">IFERROR(__xludf.DUMMYFUNCTION("""COMPUTED_VALUE"""),"")</f>
        <v/>
      </c>
      <c r="L211" s="36" t="str">
        <f ca="1">IFERROR(__xludf.DUMMYFUNCTION("""COMPUTED_VALUE"""),"")</f>
        <v/>
      </c>
      <c r="M211" s="36" t="str">
        <f ca="1">IFERROR(__xludf.DUMMYFUNCTION("""COMPUTED_VALUE"""),"")</f>
        <v/>
      </c>
      <c r="N211" s="36" t="str">
        <f ca="1">IFERROR(__xludf.DUMMYFUNCTION("""COMPUTED_VALUE"""),"")</f>
        <v/>
      </c>
      <c r="O211" s="36" t="str">
        <f ca="1">IFERROR(__xludf.DUMMYFUNCTION("""COMPUTED_VALUE"""),"")</f>
        <v/>
      </c>
      <c r="P211" s="36" t="str">
        <f ca="1">IFERROR(__xludf.DUMMYFUNCTION("""COMPUTED_VALUE"""),"")</f>
        <v/>
      </c>
      <c r="Q211" s="36" t="str">
        <f ca="1">IFERROR(__xludf.DUMMYFUNCTION("""COMPUTED_VALUE"""),"")</f>
        <v/>
      </c>
      <c r="R211" s="36" t="str">
        <f ca="1">IFERROR(__xludf.DUMMYFUNCTION("""COMPUTED_VALUE"""),"")</f>
        <v/>
      </c>
      <c r="S211" s="36" t="str">
        <f ca="1">IFERROR(__xludf.DUMMYFUNCTION("""COMPUTED_VALUE"""),"")</f>
        <v/>
      </c>
      <c r="T211" s="36" t="str">
        <f ca="1">IFERROR(__xludf.DUMMYFUNCTION("""COMPUTED_VALUE"""),"")</f>
        <v/>
      </c>
      <c r="U211" s="36" t="str">
        <f ca="1">IFERROR(__xludf.DUMMYFUNCTION("""COMPUTED_VALUE"""),"")</f>
        <v/>
      </c>
      <c r="V211" s="36" t="str">
        <f ca="1">IFERROR(__xludf.DUMMYFUNCTION("""COMPUTED_VALUE"""),"")</f>
        <v/>
      </c>
      <c r="W211" s="36" t="str">
        <f ca="1">IFERROR(__xludf.DUMMYFUNCTION("""COMPUTED_VALUE"""),"")</f>
        <v/>
      </c>
      <c r="X211" s="36"/>
      <c r="Y211" s="36"/>
      <c r="Z211" s="36"/>
    </row>
    <row r="212" spans="1:26" ht="12.75" hidden="1">
      <c r="A212" s="36" t="str">
        <f ca="1">IFERROR(__xludf.DUMMYFUNCTION("""COMPUTED_VALUE"""),"")</f>
        <v/>
      </c>
      <c r="B212" s="36" t="str">
        <f ca="1">IFERROR(__xludf.DUMMYFUNCTION("""COMPUTED_VALUE"""),"")</f>
        <v/>
      </c>
      <c r="C212" s="36" t="str">
        <f ca="1">IFERROR(__xludf.DUMMYFUNCTION("""COMPUTED_VALUE"""),"")</f>
        <v/>
      </c>
      <c r="D212" s="36" t="str">
        <f ca="1">IFERROR(__xludf.DUMMYFUNCTION("""COMPUTED_VALUE"""),"")</f>
        <v/>
      </c>
      <c r="E212" s="36" t="str">
        <f ca="1">IFERROR(__xludf.DUMMYFUNCTION("""COMPUTED_VALUE"""),"")</f>
        <v/>
      </c>
      <c r="F212" s="36" t="str">
        <f ca="1">IFERROR(__xludf.DUMMYFUNCTION("""COMPUTED_VALUE"""),"")</f>
        <v/>
      </c>
      <c r="G212" s="36" t="str">
        <f ca="1">IFERROR(__xludf.DUMMYFUNCTION("""COMPUTED_VALUE"""),"")</f>
        <v/>
      </c>
      <c r="H212" s="36" t="str">
        <f ca="1">IFERROR(__xludf.DUMMYFUNCTION("""COMPUTED_VALUE"""),"")</f>
        <v/>
      </c>
      <c r="I212" s="36" t="str">
        <f ca="1">IFERROR(__xludf.DUMMYFUNCTION("""COMPUTED_VALUE"""),"")</f>
        <v/>
      </c>
      <c r="J212" s="36" t="str">
        <f ca="1">IFERROR(__xludf.DUMMYFUNCTION("""COMPUTED_VALUE"""),"")</f>
        <v/>
      </c>
      <c r="K212" s="36" t="str">
        <f ca="1">IFERROR(__xludf.DUMMYFUNCTION("""COMPUTED_VALUE"""),"")</f>
        <v/>
      </c>
      <c r="L212" s="36" t="str">
        <f ca="1">IFERROR(__xludf.DUMMYFUNCTION("""COMPUTED_VALUE"""),"")</f>
        <v/>
      </c>
      <c r="M212" s="36" t="str">
        <f ca="1">IFERROR(__xludf.DUMMYFUNCTION("""COMPUTED_VALUE"""),"")</f>
        <v/>
      </c>
      <c r="N212" s="36" t="str">
        <f ca="1">IFERROR(__xludf.DUMMYFUNCTION("""COMPUTED_VALUE"""),"")</f>
        <v/>
      </c>
      <c r="O212" s="36" t="str">
        <f ca="1">IFERROR(__xludf.DUMMYFUNCTION("""COMPUTED_VALUE"""),"")</f>
        <v/>
      </c>
      <c r="P212" s="36" t="str">
        <f ca="1">IFERROR(__xludf.DUMMYFUNCTION("""COMPUTED_VALUE"""),"")</f>
        <v/>
      </c>
      <c r="Q212" s="36" t="str">
        <f ca="1">IFERROR(__xludf.DUMMYFUNCTION("""COMPUTED_VALUE"""),"")</f>
        <v/>
      </c>
      <c r="R212" s="36" t="str">
        <f ca="1">IFERROR(__xludf.DUMMYFUNCTION("""COMPUTED_VALUE"""),"")</f>
        <v/>
      </c>
      <c r="S212" s="36" t="str">
        <f ca="1">IFERROR(__xludf.DUMMYFUNCTION("""COMPUTED_VALUE"""),"")</f>
        <v/>
      </c>
      <c r="T212" s="36" t="str">
        <f ca="1">IFERROR(__xludf.DUMMYFUNCTION("""COMPUTED_VALUE"""),"")</f>
        <v/>
      </c>
      <c r="U212" s="36" t="str">
        <f ca="1">IFERROR(__xludf.DUMMYFUNCTION("""COMPUTED_VALUE"""),"")</f>
        <v/>
      </c>
      <c r="V212" s="36" t="str">
        <f ca="1">IFERROR(__xludf.DUMMYFUNCTION("""COMPUTED_VALUE"""),"")</f>
        <v/>
      </c>
      <c r="W212" s="36" t="str">
        <f ca="1">IFERROR(__xludf.DUMMYFUNCTION("""COMPUTED_VALUE"""),"")</f>
        <v/>
      </c>
      <c r="X212" s="36"/>
      <c r="Y212" s="36"/>
      <c r="Z212" s="36"/>
    </row>
    <row r="213" spans="1:26" ht="12.75" hidden="1">
      <c r="A213" s="36" t="str">
        <f ca="1">IFERROR(__xludf.DUMMYFUNCTION("""COMPUTED_VALUE"""),"")</f>
        <v/>
      </c>
      <c r="B213" s="36" t="str">
        <f ca="1">IFERROR(__xludf.DUMMYFUNCTION("""COMPUTED_VALUE"""),"")</f>
        <v/>
      </c>
      <c r="C213" s="36" t="str">
        <f ca="1">IFERROR(__xludf.DUMMYFUNCTION("""COMPUTED_VALUE"""),"")</f>
        <v/>
      </c>
      <c r="D213" s="36" t="str">
        <f ca="1">IFERROR(__xludf.DUMMYFUNCTION("""COMPUTED_VALUE"""),"")</f>
        <v/>
      </c>
      <c r="E213" s="36" t="str">
        <f ca="1">IFERROR(__xludf.DUMMYFUNCTION("""COMPUTED_VALUE"""),"")</f>
        <v/>
      </c>
      <c r="F213" s="36" t="str">
        <f ca="1">IFERROR(__xludf.DUMMYFUNCTION("""COMPUTED_VALUE"""),"")</f>
        <v/>
      </c>
      <c r="G213" s="36" t="str">
        <f ca="1">IFERROR(__xludf.DUMMYFUNCTION("""COMPUTED_VALUE"""),"")</f>
        <v/>
      </c>
      <c r="H213" s="36" t="str">
        <f ca="1">IFERROR(__xludf.DUMMYFUNCTION("""COMPUTED_VALUE"""),"")</f>
        <v/>
      </c>
      <c r="I213" s="36" t="str">
        <f ca="1">IFERROR(__xludf.DUMMYFUNCTION("""COMPUTED_VALUE"""),"")</f>
        <v/>
      </c>
      <c r="J213" s="36" t="str">
        <f ca="1">IFERROR(__xludf.DUMMYFUNCTION("""COMPUTED_VALUE"""),"")</f>
        <v/>
      </c>
      <c r="K213" s="36" t="str">
        <f ca="1">IFERROR(__xludf.DUMMYFUNCTION("""COMPUTED_VALUE"""),"")</f>
        <v/>
      </c>
      <c r="L213" s="36" t="str">
        <f ca="1">IFERROR(__xludf.DUMMYFUNCTION("""COMPUTED_VALUE"""),"")</f>
        <v/>
      </c>
      <c r="M213" s="36" t="str">
        <f ca="1">IFERROR(__xludf.DUMMYFUNCTION("""COMPUTED_VALUE"""),"")</f>
        <v/>
      </c>
      <c r="N213" s="36" t="str">
        <f ca="1">IFERROR(__xludf.DUMMYFUNCTION("""COMPUTED_VALUE"""),"")</f>
        <v/>
      </c>
      <c r="O213" s="36" t="str">
        <f ca="1">IFERROR(__xludf.DUMMYFUNCTION("""COMPUTED_VALUE"""),"")</f>
        <v/>
      </c>
      <c r="P213" s="36" t="str">
        <f ca="1">IFERROR(__xludf.DUMMYFUNCTION("""COMPUTED_VALUE"""),"")</f>
        <v/>
      </c>
      <c r="Q213" s="36" t="str">
        <f ca="1">IFERROR(__xludf.DUMMYFUNCTION("""COMPUTED_VALUE"""),"")</f>
        <v/>
      </c>
      <c r="R213" s="36" t="str">
        <f ca="1">IFERROR(__xludf.DUMMYFUNCTION("""COMPUTED_VALUE"""),"")</f>
        <v/>
      </c>
      <c r="S213" s="36" t="str">
        <f ca="1">IFERROR(__xludf.DUMMYFUNCTION("""COMPUTED_VALUE"""),"")</f>
        <v/>
      </c>
      <c r="T213" s="36" t="str">
        <f ca="1">IFERROR(__xludf.DUMMYFUNCTION("""COMPUTED_VALUE"""),"")</f>
        <v/>
      </c>
      <c r="U213" s="36" t="str">
        <f ca="1">IFERROR(__xludf.DUMMYFUNCTION("""COMPUTED_VALUE"""),"")</f>
        <v/>
      </c>
      <c r="V213" s="36" t="str">
        <f ca="1">IFERROR(__xludf.DUMMYFUNCTION("""COMPUTED_VALUE"""),"")</f>
        <v/>
      </c>
      <c r="W213" s="36" t="str">
        <f ca="1">IFERROR(__xludf.DUMMYFUNCTION("""COMPUTED_VALUE"""),"")</f>
        <v/>
      </c>
      <c r="X213" s="36"/>
      <c r="Y213" s="36"/>
      <c r="Z213" s="36"/>
    </row>
    <row r="214" spans="1:26" ht="12.75" hidden="1">
      <c r="A214" s="36" t="str">
        <f ca="1">IFERROR(__xludf.DUMMYFUNCTION("""COMPUTED_VALUE"""),"")</f>
        <v/>
      </c>
      <c r="B214" s="36" t="str">
        <f ca="1">IFERROR(__xludf.DUMMYFUNCTION("""COMPUTED_VALUE"""),"")</f>
        <v/>
      </c>
      <c r="C214" s="36" t="str">
        <f ca="1">IFERROR(__xludf.DUMMYFUNCTION("""COMPUTED_VALUE"""),"")</f>
        <v/>
      </c>
      <c r="D214" s="36" t="str">
        <f ca="1">IFERROR(__xludf.DUMMYFUNCTION("""COMPUTED_VALUE"""),"")</f>
        <v/>
      </c>
      <c r="E214" s="36" t="str">
        <f ca="1">IFERROR(__xludf.DUMMYFUNCTION("""COMPUTED_VALUE"""),"")</f>
        <v/>
      </c>
      <c r="F214" s="36" t="str">
        <f ca="1">IFERROR(__xludf.DUMMYFUNCTION("""COMPUTED_VALUE"""),"")</f>
        <v/>
      </c>
      <c r="G214" s="36" t="str">
        <f ca="1">IFERROR(__xludf.DUMMYFUNCTION("""COMPUTED_VALUE"""),"")</f>
        <v/>
      </c>
      <c r="H214" s="36" t="str">
        <f ca="1">IFERROR(__xludf.DUMMYFUNCTION("""COMPUTED_VALUE"""),"")</f>
        <v/>
      </c>
      <c r="I214" s="36" t="str">
        <f ca="1">IFERROR(__xludf.DUMMYFUNCTION("""COMPUTED_VALUE"""),"")</f>
        <v/>
      </c>
      <c r="J214" s="36" t="str">
        <f ca="1">IFERROR(__xludf.DUMMYFUNCTION("""COMPUTED_VALUE"""),"")</f>
        <v/>
      </c>
      <c r="K214" s="36" t="str">
        <f ca="1">IFERROR(__xludf.DUMMYFUNCTION("""COMPUTED_VALUE"""),"")</f>
        <v/>
      </c>
      <c r="L214" s="36" t="str">
        <f ca="1">IFERROR(__xludf.DUMMYFUNCTION("""COMPUTED_VALUE"""),"")</f>
        <v/>
      </c>
      <c r="M214" s="36" t="str">
        <f ca="1">IFERROR(__xludf.DUMMYFUNCTION("""COMPUTED_VALUE"""),"")</f>
        <v/>
      </c>
      <c r="N214" s="36" t="str">
        <f ca="1">IFERROR(__xludf.DUMMYFUNCTION("""COMPUTED_VALUE"""),"")</f>
        <v/>
      </c>
      <c r="O214" s="36" t="str">
        <f ca="1">IFERROR(__xludf.DUMMYFUNCTION("""COMPUTED_VALUE"""),"")</f>
        <v/>
      </c>
      <c r="P214" s="36" t="str">
        <f ca="1">IFERROR(__xludf.DUMMYFUNCTION("""COMPUTED_VALUE"""),"")</f>
        <v/>
      </c>
      <c r="Q214" s="36" t="str">
        <f ca="1">IFERROR(__xludf.DUMMYFUNCTION("""COMPUTED_VALUE"""),"")</f>
        <v/>
      </c>
      <c r="R214" s="36" t="str">
        <f ca="1">IFERROR(__xludf.DUMMYFUNCTION("""COMPUTED_VALUE"""),"")</f>
        <v/>
      </c>
      <c r="S214" s="36" t="str">
        <f ca="1">IFERROR(__xludf.DUMMYFUNCTION("""COMPUTED_VALUE"""),"")</f>
        <v/>
      </c>
      <c r="T214" s="36" t="str">
        <f ca="1">IFERROR(__xludf.DUMMYFUNCTION("""COMPUTED_VALUE"""),"")</f>
        <v/>
      </c>
      <c r="U214" s="36" t="str">
        <f ca="1">IFERROR(__xludf.DUMMYFUNCTION("""COMPUTED_VALUE"""),"")</f>
        <v/>
      </c>
      <c r="V214" s="36" t="str">
        <f ca="1">IFERROR(__xludf.DUMMYFUNCTION("""COMPUTED_VALUE"""),"")</f>
        <v/>
      </c>
      <c r="W214" s="36" t="str">
        <f ca="1">IFERROR(__xludf.DUMMYFUNCTION("""COMPUTED_VALUE"""),"")</f>
        <v/>
      </c>
      <c r="X214" s="36"/>
      <c r="Y214" s="36"/>
      <c r="Z214" s="36"/>
    </row>
    <row r="215" spans="1:26" ht="12.75" hidden="1">
      <c r="A215" s="36" t="str">
        <f ca="1">IFERROR(__xludf.DUMMYFUNCTION("""COMPUTED_VALUE"""),"")</f>
        <v/>
      </c>
      <c r="B215" s="36" t="str">
        <f ca="1">IFERROR(__xludf.DUMMYFUNCTION("""COMPUTED_VALUE"""),"")</f>
        <v/>
      </c>
      <c r="C215" s="36" t="str">
        <f ca="1">IFERROR(__xludf.DUMMYFUNCTION("""COMPUTED_VALUE"""),"")</f>
        <v/>
      </c>
      <c r="D215" s="36" t="str">
        <f ca="1">IFERROR(__xludf.DUMMYFUNCTION("""COMPUTED_VALUE"""),"")</f>
        <v/>
      </c>
      <c r="E215" s="36" t="str">
        <f ca="1">IFERROR(__xludf.DUMMYFUNCTION("""COMPUTED_VALUE"""),"")</f>
        <v/>
      </c>
      <c r="F215" s="36" t="str">
        <f ca="1">IFERROR(__xludf.DUMMYFUNCTION("""COMPUTED_VALUE"""),"")</f>
        <v/>
      </c>
      <c r="G215" s="36" t="str">
        <f ca="1">IFERROR(__xludf.DUMMYFUNCTION("""COMPUTED_VALUE"""),"")</f>
        <v/>
      </c>
      <c r="H215" s="36" t="str">
        <f ca="1">IFERROR(__xludf.DUMMYFUNCTION("""COMPUTED_VALUE"""),"")</f>
        <v/>
      </c>
      <c r="I215" s="36" t="str">
        <f ca="1">IFERROR(__xludf.DUMMYFUNCTION("""COMPUTED_VALUE"""),"")</f>
        <v/>
      </c>
      <c r="J215" s="36" t="str">
        <f ca="1">IFERROR(__xludf.DUMMYFUNCTION("""COMPUTED_VALUE"""),"")</f>
        <v/>
      </c>
      <c r="K215" s="36" t="str">
        <f ca="1">IFERROR(__xludf.DUMMYFUNCTION("""COMPUTED_VALUE"""),"")</f>
        <v/>
      </c>
      <c r="L215" s="36" t="str">
        <f ca="1">IFERROR(__xludf.DUMMYFUNCTION("""COMPUTED_VALUE"""),"")</f>
        <v/>
      </c>
      <c r="M215" s="36" t="str">
        <f ca="1">IFERROR(__xludf.DUMMYFUNCTION("""COMPUTED_VALUE"""),"")</f>
        <v/>
      </c>
      <c r="N215" s="36" t="str">
        <f ca="1">IFERROR(__xludf.DUMMYFUNCTION("""COMPUTED_VALUE"""),"")</f>
        <v/>
      </c>
      <c r="O215" s="36" t="str">
        <f ca="1">IFERROR(__xludf.DUMMYFUNCTION("""COMPUTED_VALUE"""),"")</f>
        <v/>
      </c>
      <c r="P215" s="36" t="str">
        <f ca="1">IFERROR(__xludf.DUMMYFUNCTION("""COMPUTED_VALUE"""),"")</f>
        <v/>
      </c>
      <c r="Q215" s="36" t="str">
        <f ca="1">IFERROR(__xludf.DUMMYFUNCTION("""COMPUTED_VALUE"""),"")</f>
        <v/>
      </c>
      <c r="R215" s="36" t="str">
        <f ca="1">IFERROR(__xludf.DUMMYFUNCTION("""COMPUTED_VALUE"""),"")</f>
        <v/>
      </c>
      <c r="S215" s="36" t="str">
        <f ca="1">IFERROR(__xludf.DUMMYFUNCTION("""COMPUTED_VALUE"""),"")</f>
        <v/>
      </c>
      <c r="T215" s="36" t="str">
        <f ca="1">IFERROR(__xludf.DUMMYFUNCTION("""COMPUTED_VALUE"""),"")</f>
        <v/>
      </c>
      <c r="U215" s="36" t="str">
        <f ca="1">IFERROR(__xludf.DUMMYFUNCTION("""COMPUTED_VALUE"""),"")</f>
        <v/>
      </c>
      <c r="V215" s="36" t="str">
        <f ca="1">IFERROR(__xludf.DUMMYFUNCTION("""COMPUTED_VALUE"""),"")</f>
        <v/>
      </c>
      <c r="W215" s="36" t="str">
        <f ca="1">IFERROR(__xludf.DUMMYFUNCTION("""COMPUTED_VALUE"""),"")</f>
        <v/>
      </c>
      <c r="X215" s="36"/>
      <c r="Y215" s="36"/>
      <c r="Z215" s="36"/>
    </row>
    <row r="216" spans="1:26" ht="12.75" hidden="1">
      <c r="A216" s="36" t="str">
        <f ca="1">IFERROR(__xludf.DUMMYFUNCTION("""COMPUTED_VALUE"""),"")</f>
        <v/>
      </c>
      <c r="B216" s="36" t="str">
        <f ca="1">IFERROR(__xludf.DUMMYFUNCTION("""COMPUTED_VALUE"""),"")</f>
        <v/>
      </c>
      <c r="C216" s="36" t="str">
        <f ca="1">IFERROR(__xludf.DUMMYFUNCTION("""COMPUTED_VALUE"""),"")</f>
        <v/>
      </c>
      <c r="D216" s="36" t="str">
        <f ca="1">IFERROR(__xludf.DUMMYFUNCTION("""COMPUTED_VALUE"""),"")</f>
        <v/>
      </c>
      <c r="E216" s="36" t="str">
        <f ca="1">IFERROR(__xludf.DUMMYFUNCTION("""COMPUTED_VALUE"""),"")</f>
        <v/>
      </c>
      <c r="F216" s="36" t="str">
        <f ca="1">IFERROR(__xludf.DUMMYFUNCTION("""COMPUTED_VALUE"""),"")</f>
        <v/>
      </c>
      <c r="G216" s="36" t="str">
        <f ca="1">IFERROR(__xludf.DUMMYFUNCTION("""COMPUTED_VALUE"""),"")</f>
        <v/>
      </c>
      <c r="H216" s="36" t="str">
        <f ca="1">IFERROR(__xludf.DUMMYFUNCTION("""COMPUTED_VALUE"""),"")</f>
        <v/>
      </c>
      <c r="I216" s="36" t="str">
        <f ca="1">IFERROR(__xludf.DUMMYFUNCTION("""COMPUTED_VALUE"""),"")</f>
        <v/>
      </c>
      <c r="J216" s="36" t="str">
        <f ca="1">IFERROR(__xludf.DUMMYFUNCTION("""COMPUTED_VALUE"""),"")</f>
        <v/>
      </c>
      <c r="K216" s="36" t="str">
        <f ca="1">IFERROR(__xludf.DUMMYFUNCTION("""COMPUTED_VALUE"""),"")</f>
        <v/>
      </c>
      <c r="L216" s="36" t="str">
        <f ca="1">IFERROR(__xludf.DUMMYFUNCTION("""COMPUTED_VALUE"""),"")</f>
        <v/>
      </c>
      <c r="M216" s="36" t="str">
        <f ca="1">IFERROR(__xludf.DUMMYFUNCTION("""COMPUTED_VALUE"""),"")</f>
        <v/>
      </c>
      <c r="N216" s="36" t="str">
        <f ca="1">IFERROR(__xludf.DUMMYFUNCTION("""COMPUTED_VALUE"""),"")</f>
        <v/>
      </c>
      <c r="O216" s="36" t="str">
        <f ca="1">IFERROR(__xludf.DUMMYFUNCTION("""COMPUTED_VALUE"""),"")</f>
        <v/>
      </c>
      <c r="P216" s="36" t="str">
        <f ca="1">IFERROR(__xludf.DUMMYFUNCTION("""COMPUTED_VALUE"""),"")</f>
        <v/>
      </c>
      <c r="Q216" s="36" t="str">
        <f ca="1">IFERROR(__xludf.DUMMYFUNCTION("""COMPUTED_VALUE"""),"")</f>
        <v/>
      </c>
      <c r="R216" s="36" t="str">
        <f ca="1">IFERROR(__xludf.DUMMYFUNCTION("""COMPUTED_VALUE"""),"")</f>
        <v/>
      </c>
      <c r="S216" s="36" t="str">
        <f ca="1">IFERROR(__xludf.DUMMYFUNCTION("""COMPUTED_VALUE"""),"")</f>
        <v/>
      </c>
      <c r="T216" s="36" t="str">
        <f ca="1">IFERROR(__xludf.DUMMYFUNCTION("""COMPUTED_VALUE"""),"")</f>
        <v/>
      </c>
      <c r="U216" s="36" t="str">
        <f ca="1">IFERROR(__xludf.DUMMYFUNCTION("""COMPUTED_VALUE"""),"")</f>
        <v/>
      </c>
      <c r="V216" s="36" t="str">
        <f ca="1">IFERROR(__xludf.DUMMYFUNCTION("""COMPUTED_VALUE"""),"")</f>
        <v/>
      </c>
      <c r="W216" s="36" t="str">
        <f ca="1">IFERROR(__xludf.DUMMYFUNCTION("""COMPUTED_VALUE"""),"")</f>
        <v/>
      </c>
      <c r="X216" s="36"/>
      <c r="Y216" s="36"/>
      <c r="Z216" s="36"/>
    </row>
    <row r="217" spans="1:26" ht="12.75" hidden="1">
      <c r="A217" s="36" t="str">
        <f ca="1">IFERROR(__xludf.DUMMYFUNCTION("""COMPUTED_VALUE"""),"")</f>
        <v/>
      </c>
      <c r="B217" s="36" t="str">
        <f ca="1">IFERROR(__xludf.DUMMYFUNCTION("""COMPUTED_VALUE"""),"")</f>
        <v/>
      </c>
      <c r="C217" s="36" t="str">
        <f ca="1">IFERROR(__xludf.DUMMYFUNCTION("""COMPUTED_VALUE"""),"")</f>
        <v/>
      </c>
      <c r="D217" s="36" t="str">
        <f ca="1">IFERROR(__xludf.DUMMYFUNCTION("""COMPUTED_VALUE"""),"")</f>
        <v/>
      </c>
      <c r="E217" s="36" t="str">
        <f ca="1">IFERROR(__xludf.DUMMYFUNCTION("""COMPUTED_VALUE"""),"")</f>
        <v/>
      </c>
      <c r="F217" s="36" t="str">
        <f ca="1">IFERROR(__xludf.DUMMYFUNCTION("""COMPUTED_VALUE"""),"")</f>
        <v/>
      </c>
      <c r="G217" s="36" t="str">
        <f ca="1">IFERROR(__xludf.DUMMYFUNCTION("""COMPUTED_VALUE"""),"")</f>
        <v/>
      </c>
      <c r="H217" s="36" t="str">
        <f ca="1">IFERROR(__xludf.DUMMYFUNCTION("""COMPUTED_VALUE"""),"")</f>
        <v/>
      </c>
      <c r="I217" s="36" t="str">
        <f ca="1">IFERROR(__xludf.DUMMYFUNCTION("""COMPUTED_VALUE"""),"")</f>
        <v/>
      </c>
      <c r="J217" s="36" t="str">
        <f ca="1">IFERROR(__xludf.DUMMYFUNCTION("""COMPUTED_VALUE"""),"")</f>
        <v/>
      </c>
      <c r="K217" s="36" t="str">
        <f ca="1">IFERROR(__xludf.DUMMYFUNCTION("""COMPUTED_VALUE"""),"")</f>
        <v/>
      </c>
      <c r="L217" s="36" t="str">
        <f ca="1">IFERROR(__xludf.DUMMYFUNCTION("""COMPUTED_VALUE"""),"")</f>
        <v/>
      </c>
      <c r="M217" s="36" t="str">
        <f ca="1">IFERROR(__xludf.DUMMYFUNCTION("""COMPUTED_VALUE"""),"")</f>
        <v/>
      </c>
      <c r="N217" s="36" t="str">
        <f ca="1">IFERROR(__xludf.DUMMYFUNCTION("""COMPUTED_VALUE"""),"")</f>
        <v/>
      </c>
      <c r="O217" s="36" t="str">
        <f ca="1">IFERROR(__xludf.DUMMYFUNCTION("""COMPUTED_VALUE"""),"")</f>
        <v/>
      </c>
      <c r="P217" s="36" t="str">
        <f ca="1">IFERROR(__xludf.DUMMYFUNCTION("""COMPUTED_VALUE"""),"")</f>
        <v/>
      </c>
      <c r="Q217" s="36" t="str">
        <f ca="1">IFERROR(__xludf.DUMMYFUNCTION("""COMPUTED_VALUE"""),"")</f>
        <v/>
      </c>
      <c r="R217" s="36" t="str">
        <f ca="1">IFERROR(__xludf.DUMMYFUNCTION("""COMPUTED_VALUE"""),"")</f>
        <v/>
      </c>
      <c r="S217" s="36" t="str">
        <f ca="1">IFERROR(__xludf.DUMMYFUNCTION("""COMPUTED_VALUE"""),"")</f>
        <v/>
      </c>
      <c r="T217" s="36" t="str">
        <f ca="1">IFERROR(__xludf.DUMMYFUNCTION("""COMPUTED_VALUE"""),"")</f>
        <v/>
      </c>
      <c r="U217" s="36" t="str">
        <f ca="1">IFERROR(__xludf.DUMMYFUNCTION("""COMPUTED_VALUE"""),"")</f>
        <v/>
      </c>
      <c r="V217" s="36" t="str">
        <f ca="1">IFERROR(__xludf.DUMMYFUNCTION("""COMPUTED_VALUE"""),"")</f>
        <v/>
      </c>
      <c r="W217" s="36" t="str">
        <f ca="1">IFERROR(__xludf.DUMMYFUNCTION("""COMPUTED_VALUE"""),"")</f>
        <v/>
      </c>
      <c r="X217" s="36"/>
      <c r="Y217" s="36"/>
      <c r="Z217" s="36"/>
    </row>
    <row r="218" spans="1:26" ht="12.75" hidden="1">
      <c r="A218" s="36" t="str">
        <f ca="1">IFERROR(__xludf.DUMMYFUNCTION("""COMPUTED_VALUE"""),"")</f>
        <v/>
      </c>
      <c r="B218" s="36" t="str">
        <f ca="1">IFERROR(__xludf.DUMMYFUNCTION("""COMPUTED_VALUE"""),"")</f>
        <v/>
      </c>
      <c r="C218" s="36" t="str">
        <f ca="1">IFERROR(__xludf.DUMMYFUNCTION("""COMPUTED_VALUE"""),"")</f>
        <v/>
      </c>
      <c r="D218" s="36" t="str">
        <f ca="1">IFERROR(__xludf.DUMMYFUNCTION("""COMPUTED_VALUE"""),"")</f>
        <v/>
      </c>
      <c r="E218" s="36" t="str">
        <f ca="1">IFERROR(__xludf.DUMMYFUNCTION("""COMPUTED_VALUE"""),"")</f>
        <v/>
      </c>
      <c r="F218" s="36" t="str">
        <f ca="1">IFERROR(__xludf.DUMMYFUNCTION("""COMPUTED_VALUE"""),"")</f>
        <v/>
      </c>
      <c r="G218" s="36" t="str">
        <f ca="1">IFERROR(__xludf.DUMMYFUNCTION("""COMPUTED_VALUE"""),"")</f>
        <v/>
      </c>
      <c r="H218" s="36" t="str">
        <f ca="1">IFERROR(__xludf.DUMMYFUNCTION("""COMPUTED_VALUE"""),"")</f>
        <v/>
      </c>
      <c r="I218" s="36" t="str">
        <f ca="1">IFERROR(__xludf.DUMMYFUNCTION("""COMPUTED_VALUE"""),"")</f>
        <v/>
      </c>
      <c r="J218" s="36" t="str">
        <f ca="1">IFERROR(__xludf.DUMMYFUNCTION("""COMPUTED_VALUE"""),"")</f>
        <v/>
      </c>
      <c r="K218" s="36" t="str">
        <f ca="1">IFERROR(__xludf.DUMMYFUNCTION("""COMPUTED_VALUE"""),"")</f>
        <v/>
      </c>
      <c r="L218" s="36" t="str">
        <f ca="1">IFERROR(__xludf.DUMMYFUNCTION("""COMPUTED_VALUE"""),"")</f>
        <v/>
      </c>
      <c r="M218" s="36" t="str">
        <f ca="1">IFERROR(__xludf.DUMMYFUNCTION("""COMPUTED_VALUE"""),"")</f>
        <v/>
      </c>
      <c r="N218" s="36" t="str">
        <f ca="1">IFERROR(__xludf.DUMMYFUNCTION("""COMPUTED_VALUE"""),"")</f>
        <v/>
      </c>
      <c r="O218" s="36" t="str">
        <f ca="1">IFERROR(__xludf.DUMMYFUNCTION("""COMPUTED_VALUE"""),"")</f>
        <v/>
      </c>
      <c r="P218" s="36" t="str">
        <f ca="1">IFERROR(__xludf.DUMMYFUNCTION("""COMPUTED_VALUE"""),"")</f>
        <v/>
      </c>
      <c r="Q218" s="36" t="str">
        <f ca="1">IFERROR(__xludf.DUMMYFUNCTION("""COMPUTED_VALUE"""),"")</f>
        <v/>
      </c>
      <c r="R218" s="36" t="str">
        <f ca="1">IFERROR(__xludf.DUMMYFUNCTION("""COMPUTED_VALUE"""),"")</f>
        <v/>
      </c>
      <c r="S218" s="36" t="str">
        <f ca="1">IFERROR(__xludf.DUMMYFUNCTION("""COMPUTED_VALUE"""),"")</f>
        <v/>
      </c>
      <c r="T218" s="36" t="str">
        <f ca="1">IFERROR(__xludf.DUMMYFUNCTION("""COMPUTED_VALUE"""),"")</f>
        <v/>
      </c>
      <c r="U218" s="36" t="str">
        <f ca="1">IFERROR(__xludf.DUMMYFUNCTION("""COMPUTED_VALUE"""),"")</f>
        <v/>
      </c>
      <c r="V218" s="36" t="str">
        <f ca="1">IFERROR(__xludf.DUMMYFUNCTION("""COMPUTED_VALUE"""),"")</f>
        <v/>
      </c>
      <c r="W218" s="36" t="str">
        <f ca="1">IFERROR(__xludf.DUMMYFUNCTION("""COMPUTED_VALUE"""),"")</f>
        <v/>
      </c>
      <c r="X218" s="36"/>
      <c r="Y218" s="36"/>
      <c r="Z218" s="36"/>
    </row>
    <row r="219" spans="1:26" ht="12.75" hidden="1">
      <c r="A219" s="36" t="str">
        <f ca="1">IFERROR(__xludf.DUMMYFUNCTION("""COMPUTED_VALUE"""),"")</f>
        <v/>
      </c>
      <c r="B219" s="36" t="str">
        <f ca="1">IFERROR(__xludf.DUMMYFUNCTION("""COMPUTED_VALUE"""),"")</f>
        <v/>
      </c>
      <c r="C219" s="36" t="str">
        <f ca="1">IFERROR(__xludf.DUMMYFUNCTION("""COMPUTED_VALUE"""),"")</f>
        <v/>
      </c>
      <c r="D219" s="36" t="str">
        <f ca="1">IFERROR(__xludf.DUMMYFUNCTION("""COMPUTED_VALUE"""),"")</f>
        <v/>
      </c>
      <c r="E219" s="36" t="str">
        <f ca="1">IFERROR(__xludf.DUMMYFUNCTION("""COMPUTED_VALUE"""),"")</f>
        <v/>
      </c>
      <c r="F219" s="36" t="str">
        <f ca="1">IFERROR(__xludf.DUMMYFUNCTION("""COMPUTED_VALUE"""),"")</f>
        <v/>
      </c>
      <c r="G219" s="36" t="str">
        <f ca="1">IFERROR(__xludf.DUMMYFUNCTION("""COMPUTED_VALUE"""),"")</f>
        <v/>
      </c>
      <c r="H219" s="36" t="str">
        <f ca="1">IFERROR(__xludf.DUMMYFUNCTION("""COMPUTED_VALUE"""),"")</f>
        <v/>
      </c>
      <c r="I219" s="36" t="str">
        <f ca="1">IFERROR(__xludf.DUMMYFUNCTION("""COMPUTED_VALUE"""),"")</f>
        <v/>
      </c>
      <c r="J219" s="36" t="str">
        <f ca="1">IFERROR(__xludf.DUMMYFUNCTION("""COMPUTED_VALUE"""),"")</f>
        <v/>
      </c>
      <c r="K219" s="36" t="str">
        <f ca="1">IFERROR(__xludf.DUMMYFUNCTION("""COMPUTED_VALUE"""),"")</f>
        <v/>
      </c>
      <c r="L219" s="36" t="str">
        <f ca="1">IFERROR(__xludf.DUMMYFUNCTION("""COMPUTED_VALUE"""),"")</f>
        <v/>
      </c>
      <c r="M219" s="36" t="str">
        <f ca="1">IFERROR(__xludf.DUMMYFUNCTION("""COMPUTED_VALUE"""),"")</f>
        <v/>
      </c>
      <c r="N219" s="36" t="str">
        <f ca="1">IFERROR(__xludf.DUMMYFUNCTION("""COMPUTED_VALUE"""),"")</f>
        <v/>
      </c>
      <c r="O219" s="36" t="str">
        <f ca="1">IFERROR(__xludf.DUMMYFUNCTION("""COMPUTED_VALUE"""),"")</f>
        <v/>
      </c>
      <c r="P219" s="36" t="str">
        <f ca="1">IFERROR(__xludf.DUMMYFUNCTION("""COMPUTED_VALUE"""),"")</f>
        <v/>
      </c>
      <c r="Q219" s="36" t="str">
        <f ca="1">IFERROR(__xludf.DUMMYFUNCTION("""COMPUTED_VALUE"""),"")</f>
        <v/>
      </c>
      <c r="R219" s="36" t="str">
        <f ca="1">IFERROR(__xludf.DUMMYFUNCTION("""COMPUTED_VALUE"""),"")</f>
        <v/>
      </c>
      <c r="S219" s="36" t="str">
        <f ca="1">IFERROR(__xludf.DUMMYFUNCTION("""COMPUTED_VALUE"""),"")</f>
        <v/>
      </c>
      <c r="T219" s="36" t="str">
        <f ca="1">IFERROR(__xludf.DUMMYFUNCTION("""COMPUTED_VALUE"""),"")</f>
        <v/>
      </c>
      <c r="U219" s="36" t="str">
        <f ca="1">IFERROR(__xludf.DUMMYFUNCTION("""COMPUTED_VALUE"""),"")</f>
        <v/>
      </c>
      <c r="V219" s="36" t="str">
        <f ca="1">IFERROR(__xludf.DUMMYFUNCTION("""COMPUTED_VALUE"""),"")</f>
        <v/>
      </c>
      <c r="W219" s="36" t="str">
        <f ca="1">IFERROR(__xludf.DUMMYFUNCTION("""COMPUTED_VALUE"""),"")</f>
        <v/>
      </c>
      <c r="X219" s="36"/>
      <c r="Y219" s="36"/>
      <c r="Z219" s="36"/>
    </row>
    <row r="220" spans="1:26" ht="12.75" hidden="1">
      <c r="A220" s="36" t="str">
        <f ca="1">IFERROR(__xludf.DUMMYFUNCTION("""COMPUTED_VALUE"""),"")</f>
        <v/>
      </c>
      <c r="B220" s="36" t="str">
        <f ca="1">IFERROR(__xludf.DUMMYFUNCTION("""COMPUTED_VALUE"""),"")</f>
        <v/>
      </c>
      <c r="C220" s="36" t="str">
        <f ca="1">IFERROR(__xludf.DUMMYFUNCTION("""COMPUTED_VALUE"""),"")</f>
        <v/>
      </c>
      <c r="D220" s="36" t="str">
        <f ca="1">IFERROR(__xludf.DUMMYFUNCTION("""COMPUTED_VALUE"""),"")</f>
        <v/>
      </c>
      <c r="E220" s="36" t="str">
        <f ca="1">IFERROR(__xludf.DUMMYFUNCTION("""COMPUTED_VALUE"""),"")</f>
        <v/>
      </c>
      <c r="F220" s="36" t="str">
        <f ca="1">IFERROR(__xludf.DUMMYFUNCTION("""COMPUTED_VALUE"""),"")</f>
        <v/>
      </c>
      <c r="G220" s="36" t="str">
        <f ca="1">IFERROR(__xludf.DUMMYFUNCTION("""COMPUTED_VALUE"""),"")</f>
        <v/>
      </c>
      <c r="H220" s="36" t="str">
        <f ca="1">IFERROR(__xludf.DUMMYFUNCTION("""COMPUTED_VALUE"""),"")</f>
        <v/>
      </c>
      <c r="I220" s="36" t="str">
        <f ca="1">IFERROR(__xludf.DUMMYFUNCTION("""COMPUTED_VALUE"""),"")</f>
        <v/>
      </c>
      <c r="J220" s="36" t="str">
        <f ca="1">IFERROR(__xludf.DUMMYFUNCTION("""COMPUTED_VALUE"""),"")</f>
        <v/>
      </c>
      <c r="K220" s="36" t="str">
        <f ca="1">IFERROR(__xludf.DUMMYFUNCTION("""COMPUTED_VALUE"""),"")</f>
        <v/>
      </c>
      <c r="L220" s="36" t="str">
        <f ca="1">IFERROR(__xludf.DUMMYFUNCTION("""COMPUTED_VALUE"""),"")</f>
        <v/>
      </c>
      <c r="M220" s="36" t="str">
        <f ca="1">IFERROR(__xludf.DUMMYFUNCTION("""COMPUTED_VALUE"""),"")</f>
        <v/>
      </c>
      <c r="N220" s="36" t="str">
        <f ca="1">IFERROR(__xludf.DUMMYFUNCTION("""COMPUTED_VALUE"""),"")</f>
        <v/>
      </c>
      <c r="O220" s="36" t="str">
        <f ca="1">IFERROR(__xludf.DUMMYFUNCTION("""COMPUTED_VALUE"""),"")</f>
        <v/>
      </c>
      <c r="P220" s="36" t="str">
        <f ca="1">IFERROR(__xludf.DUMMYFUNCTION("""COMPUTED_VALUE"""),"")</f>
        <v/>
      </c>
      <c r="Q220" s="36" t="str">
        <f ca="1">IFERROR(__xludf.DUMMYFUNCTION("""COMPUTED_VALUE"""),"")</f>
        <v/>
      </c>
      <c r="R220" s="36" t="str">
        <f ca="1">IFERROR(__xludf.DUMMYFUNCTION("""COMPUTED_VALUE"""),"")</f>
        <v/>
      </c>
      <c r="S220" s="36" t="str">
        <f ca="1">IFERROR(__xludf.DUMMYFUNCTION("""COMPUTED_VALUE"""),"")</f>
        <v/>
      </c>
      <c r="T220" s="36" t="str">
        <f ca="1">IFERROR(__xludf.DUMMYFUNCTION("""COMPUTED_VALUE"""),"")</f>
        <v/>
      </c>
      <c r="U220" s="36" t="str">
        <f ca="1">IFERROR(__xludf.DUMMYFUNCTION("""COMPUTED_VALUE"""),"")</f>
        <v/>
      </c>
      <c r="V220" s="36" t="str">
        <f ca="1">IFERROR(__xludf.DUMMYFUNCTION("""COMPUTED_VALUE"""),"")</f>
        <v/>
      </c>
      <c r="W220" s="36" t="str">
        <f ca="1">IFERROR(__xludf.DUMMYFUNCTION("""COMPUTED_VALUE"""),"")</f>
        <v/>
      </c>
      <c r="X220" s="36"/>
      <c r="Y220" s="36"/>
      <c r="Z220" s="36"/>
    </row>
    <row r="221" spans="1:26" ht="12.75" hidden="1">
      <c r="A221" s="36" t="str">
        <f ca="1">IFERROR(__xludf.DUMMYFUNCTION("""COMPUTED_VALUE"""),"")</f>
        <v/>
      </c>
      <c r="B221" s="36" t="str">
        <f ca="1">IFERROR(__xludf.DUMMYFUNCTION("""COMPUTED_VALUE"""),"")</f>
        <v/>
      </c>
      <c r="C221" s="36" t="str">
        <f ca="1">IFERROR(__xludf.DUMMYFUNCTION("""COMPUTED_VALUE"""),"")</f>
        <v/>
      </c>
      <c r="D221" s="36" t="str">
        <f ca="1">IFERROR(__xludf.DUMMYFUNCTION("""COMPUTED_VALUE"""),"")</f>
        <v/>
      </c>
      <c r="E221" s="36" t="str">
        <f ca="1">IFERROR(__xludf.DUMMYFUNCTION("""COMPUTED_VALUE"""),"")</f>
        <v/>
      </c>
      <c r="F221" s="36" t="str">
        <f ca="1">IFERROR(__xludf.DUMMYFUNCTION("""COMPUTED_VALUE"""),"")</f>
        <v/>
      </c>
      <c r="G221" s="36" t="str">
        <f ca="1">IFERROR(__xludf.DUMMYFUNCTION("""COMPUTED_VALUE"""),"")</f>
        <v/>
      </c>
      <c r="H221" s="36" t="str">
        <f ca="1">IFERROR(__xludf.DUMMYFUNCTION("""COMPUTED_VALUE"""),"")</f>
        <v/>
      </c>
      <c r="I221" s="36" t="str">
        <f ca="1">IFERROR(__xludf.DUMMYFUNCTION("""COMPUTED_VALUE"""),"")</f>
        <v/>
      </c>
      <c r="J221" s="36" t="str">
        <f ca="1">IFERROR(__xludf.DUMMYFUNCTION("""COMPUTED_VALUE"""),"")</f>
        <v/>
      </c>
      <c r="K221" s="36" t="str">
        <f ca="1">IFERROR(__xludf.DUMMYFUNCTION("""COMPUTED_VALUE"""),"")</f>
        <v/>
      </c>
      <c r="L221" s="36" t="str">
        <f ca="1">IFERROR(__xludf.DUMMYFUNCTION("""COMPUTED_VALUE"""),"")</f>
        <v/>
      </c>
      <c r="M221" s="36" t="str">
        <f ca="1">IFERROR(__xludf.DUMMYFUNCTION("""COMPUTED_VALUE"""),"")</f>
        <v/>
      </c>
      <c r="N221" s="36" t="str">
        <f ca="1">IFERROR(__xludf.DUMMYFUNCTION("""COMPUTED_VALUE"""),"")</f>
        <v/>
      </c>
      <c r="O221" s="36" t="str">
        <f ca="1">IFERROR(__xludf.DUMMYFUNCTION("""COMPUTED_VALUE"""),"")</f>
        <v/>
      </c>
      <c r="P221" s="36" t="str">
        <f ca="1">IFERROR(__xludf.DUMMYFUNCTION("""COMPUTED_VALUE"""),"")</f>
        <v/>
      </c>
      <c r="Q221" s="36" t="str">
        <f ca="1">IFERROR(__xludf.DUMMYFUNCTION("""COMPUTED_VALUE"""),"")</f>
        <v/>
      </c>
      <c r="R221" s="36" t="str">
        <f ca="1">IFERROR(__xludf.DUMMYFUNCTION("""COMPUTED_VALUE"""),"")</f>
        <v/>
      </c>
      <c r="S221" s="36" t="str">
        <f ca="1">IFERROR(__xludf.DUMMYFUNCTION("""COMPUTED_VALUE"""),"")</f>
        <v/>
      </c>
      <c r="T221" s="36" t="str">
        <f ca="1">IFERROR(__xludf.DUMMYFUNCTION("""COMPUTED_VALUE"""),"")</f>
        <v/>
      </c>
      <c r="U221" s="36" t="str">
        <f ca="1">IFERROR(__xludf.DUMMYFUNCTION("""COMPUTED_VALUE"""),"")</f>
        <v/>
      </c>
      <c r="V221" s="36" t="str">
        <f ca="1">IFERROR(__xludf.DUMMYFUNCTION("""COMPUTED_VALUE"""),"")</f>
        <v/>
      </c>
      <c r="W221" s="36" t="str">
        <f ca="1">IFERROR(__xludf.DUMMYFUNCTION("""COMPUTED_VALUE"""),"")</f>
        <v/>
      </c>
      <c r="X221" s="36"/>
      <c r="Y221" s="36"/>
      <c r="Z221" s="36"/>
    </row>
    <row r="222" spans="1:26" ht="12.75" hidden="1">
      <c r="A222" s="36" t="str">
        <f ca="1">IFERROR(__xludf.DUMMYFUNCTION("""COMPUTED_VALUE"""),"")</f>
        <v/>
      </c>
      <c r="B222" s="36" t="str">
        <f ca="1">IFERROR(__xludf.DUMMYFUNCTION("""COMPUTED_VALUE"""),"")</f>
        <v/>
      </c>
      <c r="C222" s="36" t="str">
        <f ca="1">IFERROR(__xludf.DUMMYFUNCTION("""COMPUTED_VALUE"""),"")</f>
        <v/>
      </c>
      <c r="D222" s="36" t="str">
        <f ca="1">IFERROR(__xludf.DUMMYFUNCTION("""COMPUTED_VALUE"""),"")</f>
        <v/>
      </c>
      <c r="E222" s="36" t="str">
        <f ca="1">IFERROR(__xludf.DUMMYFUNCTION("""COMPUTED_VALUE"""),"")</f>
        <v/>
      </c>
      <c r="F222" s="36" t="str">
        <f ca="1">IFERROR(__xludf.DUMMYFUNCTION("""COMPUTED_VALUE"""),"")</f>
        <v/>
      </c>
      <c r="G222" s="36" t="str">
        <f ca="1">IFERROR(__xludf.DUMMYFUNCTION("""COMPUTED_VALUE"""),"")</f>
        <v/>
      </c>
      <c r="H222" s="36" t="str">
        <f ca="1">IFERROR(__xludf.DUMMYFUNCTION("""COMPUTED_VALUE"""),"")</f>
        <v/>
      </c>
      <c r="I222" s="36" t="str">
        <f ca="1">IFERROR(__xludf.DUMMYFUNCTION("""COMPUTED_VALUE"""),"")</f>
        <v/>
      </c>
      <c r="J222" s="36" t="str">
        <f ca="1">IFERROR(__xludf.DUMMYFUNCTION("""COMPUTED_VALUE"""),"")</f>
        <v/>
      </c>
      <c r="K222" s="36" t="str">
        <f ca="1">IFERROR(__xludf.DUMMYFUNCTION("""COMPUTED_VALUE"""),"")</f>
        <v/>
      </c>
      <c r="L222" s="36" t="str">
        <f ca="1">IFERROR(__xludf.DUMMYFUNCTION("""COMPUTED_VALUE"""),"")</f>
        <v/>
      </c>
      <c r="M222" s="36" t="str">
        <f ca="1">IFERROR(__xludf.DUMMYFUNCTION("""COMPUTED_VALUE"""),"")</f>
        <v/>
      </c>
      <c r="N222" s="36" t="str">
        <f ca="1">IFERROR(__xludf.DUMMYFUNCTION("""COMPUTED_VALUE"""),"")</f>
        <v/>
      </c>
      <c r="O222" s="36" t="str">
        <f ca="1">IFERROR(__xludf.DUMMYFUNCTION("""COMPUTED_VALUE"""),"")</f>
        <v/>
      </c>
      <c r="P222" s="36" t="str">
        <f ca="1">IFERROR(__xludf.DUMMYFUNCTION("""COMPUTED_VALUE"""),"")</f>
        <v/>
      </c>
      <c r="Q222" s="36" t="str">
        <f ca="1">IFERROR(__xludf.DUMMYFUNCTION("""COMPUTED_VALUE"""),"")</f>
        <v/>
      </c>
      <c r="R222" s="36" t="str">
        <f ca="1">IFERROR(__xludf.DUMMYFUNCTION("""COMPUTED_VALUE"""),"")</f>
        <v/>
      </c>
      <c r="S222" s="36" t="str">
        <f ca="1">IFERROR(__xludf.DUMMYFUNCTION("""COMPUTED_VALUE"""),"")</f>
        <v/>
      </c>
      <c r="T222" s="36" t="str">
        <f ca="1">IFERROR(__xludf.DUMMYFUNCTION("""COMPUTED_VALUE"""),"")</f>
        <v/>
      </c>
      <c r="U222" s="36" t="str">
        <f ca="1">IFERROR(__xludf.DUMMYFUNCTION("""COMPUTED_VALUE"""),"")</f>
        <v/>
      </c>
      <c r="V222" s="36" t="str">
        <f ca="1">IFERROR(__xludf.DUMMYFUNCTION("""COMPUTED_VALUE"""),"")</f>
        <v/>
      </c>
      <c r="W222" s="36" t="str">
        <f ca="1">IFERROR(__xludf.DUMMYFUNCTION("""COMPUTED_VALUE"""),"")</f>
        <v/>
      </c>
      <c r="X222" s="36"/>
      <c r="Y222" s="36"/>
      <c r="Z222" s="36"/>
    </row>
    <row r="223" spans="1:26" ht="12.75" hidden="1">
      <c r="A223" s="36" t="str">
        <f ca="1">IFERROR(__xludf.DUMMYFUNCTION("""COMPUTED_VALUE"""),"")</f>
        <v/>
      </c>
      <c r="B223" s="36" t="str">
        <f ca="1">IFERROR(__xludf.DUMMYFUNCTION("""COMPUTED_VALUE"""),"")</f>
        <v/>
      </c>
      <c r="C223" s="36" t="str">
        <f ca="1">IFERROR(__xludf.DUMMYFUNCTION("""COMPUTED_VALUE"""),"")</f>
        <v/>
      </c>
      <c r="D223" s="36" t="str">
        <f ca="1">IFERROR(__xludf.DUMMYFUNCTION("""COMPUTED_VALUE"""),"")</f>
        <v/>
      </c>
      <c r="E223" s="36" t="str">
        <f ca="1">IFERROR(__xludf.DUMMYFUNCTION("""COMPUTED_VALUE"""),"")</f>
        <v/>
      </c>
      <c r="F223" s="36" t="str">
        <f ca="1">IFERROR(__xludf.DUMMYFUNCTION("""COMPUTED_VALUE"""),"")</f>
        <v/>
      </c>
      <c r="G223" s="36" t="str">
        <f ca="1">IFERROR(__xludf.DUMMYFUNCTION("""COMPUTED_VALUE"""),"")</f>
        <v/>
      </c>
      <c r="H223" s="36" t="str">
        <f ca="1">IFERROR(__xludf.DUMMYFUNCTION("""COMPUTED_VALUE"""),"")</f>
        <v/>
      </c>
      <c r="I223" s="36" t="str">
        <f ca="1">IFERROR(__xludf.DUMMYFUNCTION("""COMPUTED_VALUE"""),"")</f>
        <v/>
      </c>
      <c r="J223" s="36" t="str">
        <f ca="1">IFERROR(__xludf.DUMMYFUNCTION("""COMPUTED_VALUE"""),"")</f>
        <v/>
      </c>
      <c r="K223" s="36" t="str">
        <f ca="1">IFERROR(__xludf.DUMMYFUNCTION("""COMPUTED_VALUE"""),"")</f>
        <v/>
      </c>
      <c r="L223" s="36" t="str">
        <f ca="1">IFERROR(__xludf.DUMMYFUNCTION("""COMPUTED_VALUE"""),"")</f>
        <v/>
      </c>
      <c r="M223" s="36" t="str">
        <f ca="1">IFERROR(__xludf.DUMMYFUNCTION("""COMPUTED_VALUE"""),"")</f>
        <v/>
      </c>
      <c r="N223" s="36" t="str">
        <f ca="1">IFERROR(__xludf.DUMMYFUNCTION("""COMPUTED_VALUE"""),"")</f>
        <v/>
      </c>
      <c r="O223" s="36" t="str">
        <f ca="1">IFERROR(__xludf.DUMMYFUNCTION("""COMPUTED_VALUE"""),"")</f>
        <v/>
      </c>
      <c r="P223" s="36" t="str">
        <f ca="1">IFERROR(__xludf.DUMMYFUNCTION("""COMPUTED_VALUE"""),"")</f>
        <v/>
      </c>
      <c r="Q223" s="36" t="str">
        <f ca="1">IFERROR(__xludf.DUMMYFUNCTION("""COMPUTED_VALUE"""),"")</f>
        <v/>
      </c>
      <c r="R223" s="36" t="str">
        <f ca="1">IFERROR(__xludf.DUMMYFUNCTION("""COMPUTED_VALUE"""),"")</f>
        <v/>
      </c>
      <c r="S223" s="36" t="str">
        <f ca="1">IFERROR(__xludf.DUMMYFUNCTION("""COMPUTED_VALUE"""),"")</f>
        <v/>
      </c>
      <c r="T223" s="36" t="str">
        <f ca="1">IFERROR(__xludf.DUMMYFUNCTION("""COMPUTED_VALUE"""),"")</f>
        <v/>
      </c>
      <c r="U223" s="36" t="str">
        <f ca="1">IFERROR(__xludf.DUMMYFUNCTION("""COMPUTED_VALUE"""),"")</f>
        <v/>
      </c>
      <c r="V223" s="36" t="str">
        <f ca="1">IFERROR(__xludf.DUMMYFUNCTION("""COMPUTED_VALUE"""),"")</f>
        <v/>
      </c>
      <c r="W223" s="36" t="str">
        <f ca="1">IFERROR(__xludf.DUMMYFUNCTION("""COMPUTED_VALUE"""),"")</f>
        <v/>
      </c>
      <c r="X223" s="36"/>
      <c r="Y223" s="36"/>
      <c r="Z223" s="36"/>
    </row>
    <row r="224" spans="1:26" ht="12.75" hidden="1">
      <c r="A224" s="36" t="str">
        <f ca="1">IFERROR(__xludf.DUMMYFUNCTION("""COMPUTED_VALUE"""),"")</f>
        <v/>
      </c>
      <c r="B224" s="36" t="str">
        <f ca="1">IFERROR(__xludf.DUMMYFUNCTION("""COMPUTED_VALUE"""),"")</f>
        <v/>
      </c>
      <c r="C224" s="36" t="str">
        <f ca="1">IFERROR(__xludf.DUMMYFUNCTION("""COMPUTED_VALUE"""),"")</f>
        <v/>
      </c>
      <c r="D224" s="36" t="str">
        <f ca="1">IFERROR(__xludf.DUMMYFUNCTION("""COMPUTED_VALUE"""),"")</f>
        <v/>
      </c>
      <c r="E224" s="36" t="str">
        <f ca="1">IFERROR(__xludf.DUMMYFUNCTION("""COMPUTED_VALUE"""),"")</f>
        <v/>
      </c>
      <c r="F224" s="36" t="str">
        <f ca="1">IFERROR(__xludf.DUMMYFUNCTION("""COMPUTED_VALUE"""),"")</f>
        <v/>
      </c>
      <c r="G224" s="36" t="str">
        <f ca="1">IFERROR(__xludf.DUMMYFUNCTION("""COMPUTED_VALUE"""),"")</f>
        <v/>
      </c>
      <c r="H224" s="36" t="str">
        <f ca="1">IFERROR(__xludf.DUMMYFUNCTION("""COMPUTED_VALUE"""),"")</f>
        <v/>
      </c>
      <c r="I224" s="36" t="str">
        <f ca="1">IFERROR(__xludf.DUMMYFUNCTION("""COMPUTED_VALUE"""),"")</f>
        <v/>
      </c>
      <c r="J224" s="36" t="str">
        <f ca="1">IFERROR(__xludf.DUMMYFUNCTION("""COMPUTED_VALUE"""),"")</f>
        <v/>
      </c>
      <c r="K224" s="36" t="str">
        <f ca="1">IFERROR(__xludf.DUMMYFUNCTION("""COMPUTED_VALUE"""),"")</f>
        <v/>
      </c>
      <c r="L224" s="36" t="str">
        <f ca="1">IFERROR(__xludf.DUMMYFUNCTION("""COMPUTED_VALUE"""),"")</f>
        <v/>
      </c>
      <c r="M224" s="36" t="str">
        <f ca="1">IFERROR(__xludf.DUMMYFUNCTION("""COMPUTED_VALUE"""),"")</f>
        <v/>
      </c>
      <c r="N224" s="36" t="str">
        <f ca="1">IFERROR(__xludf.DUMMYFUNCTION("""COMPUTED_VALUE"""),"")</f>
        <v/>
      </c>
      <c r="O224" s="36" t="str">
        <f ca="1">IFERROR(__xludf.DUMMYFUNCTION("""COMPUTED_VALUE"""),"")</f>
        <v/>
      </c>
      <c r="P224" s="36" t="str">
        <f ca="1">IFERROR(__xludf.DUMMYFUNCTION("""COMPUTED_VALUE"""),"")</f>
        <v/>
      </c>
      <c r="Q224" s="36" t="str">
        <f ca="1">IFERROR(__xludf.DUMMYFUNCTION("""COMPUTED_VALUE"""),"")</f>
        <v/>
      </c>
      <c r="R224" s="36" t="str">
        <f ca="1">IFERROR(__xludf.DUMMYFUNCTION("""COMPUTED_VALUE"""),"")</f>
        <v/>
      </c>
      <c r="S224" s="36" t="str">
        <f ca="1">IFERROR(__xludf.DUMMYFUNCTION("""COMPUTED_VALUE"""),"")</f>
        <v/>
      </c>
      <c r="T224" s="36" t="str">
        <f ca="1">IFERROR(__xludf.DUMMYFUNCTION("""COMPUTED_VALUE"""),"")</f>
        <v/>
      </c>
      <c r="U224" s="36" t="str">
        <f ca="1">IFERROR(__xludf.DUMMYFUNCTION("""COMPUTED_VALUE"""),"")</f>
        <v/>
      </c>
      <c r="V224" s="36" t="str">
        <f ca="1">IFERROR(__xludf.DUMMYFUNCTION("""COMPUTED_VALUE"""),"")</f>
        <v/>
      </c>
      <c r="W224" s="36" t="str">
        <f ca="1">IFERROR(__xludf.DUMMYFUNCTION("""COMPUTED_VALUE"""),"")</f>
        <v/>
      </c>
      <c r="X224" s="36"/>
      <c r="Y224" s="36"/>
      <c r="Z224" s="36"/>
    </row>
    <row r="225" spans="1:26" ht="12.75" hidden="1">
      <c r="A225" s="36" t="str">
        <f ca="1">IFERROR(__xludf.DUMMYFUNCTION("""COMPUTED_VALUE"""),"")</f>
        <v/>
      </c>
      <c r="B225" s="36" t="str">
        <f ca="1">IFERROR(__xludf.DUMMYFUNCTION("""COMPUTED_VALUE"""),"")</f>
        <v/>
      </c>
      <c r="C225" s="36" t="str">
        <f ca="1">IFERROR(__xludf.DUMMYFUNCTION("""COMPUTED_VALUE"""),"")</f>
        <v/>
      </c>
      <c r="D225" s="36" t="str">
        <f ca="1">IFERROR(__xludf.DUMMYFUNCTION("""COMPUTED_VALUE"""),"")</f>
        <v/>
      </c>
      <c r="E225" s="36" t="str">
        <f ca="1">IFERROR(__xludf.DUMMYFUNCTION("""COMPUTED_VALUE"""),"")</f>
        <v/>
      </c>
      <c r="F225" s="36" t="str">
        <f ca="1">IFERROR(__xludf.DUMMYFUNCTION("""COMPUTED_VALUE"""),"")</f>
        <v/>
      </c>
      <c r="G225" s="36" t="str">
        <f ca="1">IFERROR(__xludf.DUMMYFUNCTION("""COMPUTED_VALUE"""),"")</f>
        <v/>
      </c>
      <c r="H225" s="36" t="str">
        <f ca="1">IFERROR(__xludf.DUMMYFUNCTION("""COMPUTED_VALUE"""),"")</f>
        <v/>
      </c>
      <c r="I225" s="36" t="str">
        <f ca="1">IFERROR(__xludf.DUMMYFUNCTION("""COMPUTED_VALUE"""),"")</f>
        <v/>
      </c>
      <c r="J225" s="36" t="str">
        <f ca="1">IFERROR(__xludf.DUMMYFUNCTION("""COMPUTED_VALUE"""),"")</f>
        <v/>
      </c>
      <c r="K225" s="36" t="str">
        <f ca="1">IFERROR(__xludf.DUMMYFUNCTION("""COMPUTED_VALUE"""),"")</f>
        <v/>
      </c>
      <c r="L225" s="36" t="str">
        <f ca="1">IFERROR(__xludf.DUMMYFUNCTION("""COMPUTED_VALUE"""),"")</f>
        <v/>
      </c>
      <c r="M225" s="36" t="str">
        <f ca="1">IFERROR(__xludf.DUMMYFUNCTION("""COMPUTED_VALUE"""),"")</f>
        <v/>
      </c>
      <c r="N225" s="36" t="str">
        <f ca="1">IFERROR(__xludf.DUMMYFUNCTION("""COMPUTED_VALUE"""),"")</f>
        <v/>
      </c>
      <c r="O225" s="36" t="str">
        <f ca="1">IFERROR(__xludf.DUMMYFUNCTION("""COMPUTED_VALUE"""),"")</f>
        <v/>
      </c>
      <c r="P225" s="36" t="str">
        <f ca="1">IFERROR(__xludf.DUMMYFUNCTION("""COMPUTED_VALUE"""),"")</f>
        <v/>
      </c>
      <c r="Q225" s="36" t="str">
        <f ca="1">IFERROR(__xludf.DUMMYFUNCTION("""COMPUTED_VALUE"""),"")</f>
        <v/>
      </c>
      <c r="R225" s="36" t="str">
        <f ca="1">IFERROR(__xludf.DUMMYFUNCTION("""COMPUTED_VALUE"""),"")</f>
        <v/>
      </c>
      <c r="S225" s="36" t="str">
        <f ca="1">IFERROR(__xludf.DUMMYFUNCTION("""COMPUTED_VALUE"""),"")</f>
        <v/>
      </c>
      <c r="T225" s="36" t="str">
        <f ca="1">IFERROR(__xludf.DUMMYFUNCTION("""COMPUTED_VALUE"""),"")</f>
        <v/>
      </c>
      <c r="U225" s="36" t="str">
        <f ca="1">IFERROR(__xludf.DUMMYFUNCTION("""COMPUTED_VALUE"""),"")</f>
        <v/>
      </c>
      <c r="V225" s="36" t="str">
        <f ca="1">IFERROR(__xludf.DUMMYFUNCTION("""COMPUTED_VALUE"""),"")</f>
        <v/>
      </c>
      <c r="W225" s="36" t="str">
        <f ca="1">IFERROR(__xludf.DUMMYFUNCTION("""COMPUTED_VALUE"""),"")</f>
        <v/>
      </c>
      <c r="X225" s="36"/>
      <c r="Y225" s="36"/>
      <c r="Z225" s="36"/>
    </row>
    <row r="226" spans="1:26" ht="12.75" hidden="1">
      <c r="A226" s="36" t="str">
        <f ca="1">IFERROR(__xludf.DUMMYFUNCTION("""COMPUTED_VALUE"""),"")</f>
        <v/>
      </c>
      <c r="B226" s="36" t="str">
        <f ca="1">IFERROR(__xludf.DUMMYFUNCTION("""COMPUTED_VALUE"""),"")</f>
        <v/>
      </c>
      <c r="C226" s="36" t="str">
        <f ca="1">IFERROR(__xludf.DUMMYFUNCTION("""COMPUTED_VALUE"""),"")</f>
        <v/>
      </c>
      <c r="D226" s="36" t="str">
        <f ca="1">IFERROR(__xludf.DUMMYFUNCTION("""COMPUTED_VALUE"""),"")</f>
        <v/>
      </c>
      <c r="E226" s="36" t="str">
        <f ca="1">IFERROR(__xludf.DUMMYFUNCTION("""COMPUTED_VALUE"""),"")</f>
        <v/>
      </c>
      <c r="F226" s="36" t="str">
        <f ca="1">IFERROR(__xludf.DUMMYFUNCTION("""COMPUTED_VALUE"""),"")</f>
        <v/>
      </c>
      <c r="G226" s="36" t="str">
        <f ca="1">IFERROR(__xludf.DUMMYFUNCTION("""COMPUTED_VALUE"""),"")</f>
        <v/>
      </c>
      <c r="H226" s="36" t="str">
        <f ca="1">IFERROR(__xludf.DUMMYFUNCTION("""COMPUTED_VALUE"""),"")</f>
        <v/>
      </c>
      <c r="I226" s="36" t="str">
        <f ca="1">IFERROR(__xludf.DUMMYFUNCTION("""COMPUTED_VALUE"""),"")</f>
        <v/>
      </c>
      <c r="J226" s="36" t="str">
        <f ca="1">IFERROR(__xludf.DUMMYFUNCTION("""COMPUTED_VALUE"""),"")</f>
        <v/>
      </c>
      <c r="K226" s="36" t="str">
        <f ca="1">IFERROR(__xludf.DUMMYFUNCTION("""COMPUTED_VALUE"""),"")</f>
        <v/>
      </c>
      <c r="L226" s="36" t="str">
        <f ca="1">IFERROR(__xludf.DUMMYFUNCTION("""COMPUTED_VALUE"""),"")</f>
        <v/>
      </c>
      <c r="M226" s="36" t="str">
        <f ca="1">IFERROR(__xludf.DUMMYFUNCTION("""COMPUTED_VALUE"""),"")</f>
        <v/>
      </c>
      <c r="N226" s="36" t="str">
        <f ca="1">IFERROR(__xludf.DUMMYFUNCTION("""COMPUTED_VALUE"""),"")</f>
        <v/>
      </c>
      <c r="O226" s="36" t="str">
        <f ca="1">IFERROR(__xludf.DUMMYFUNCTION("""COMPUTED_VALUE"""),"")</f>
        <v/>
      </c>
      <c r="P226" s="36" t="str">
        <f ca="1">IFERROR(__xludf.DUMMYFUNCTION("""COMPUTED_VALUE"""),"")</f>
        <v/>
      </c>
      <c r="Q226" s="36" t="str">
        <f ca="1">IFERROR(__xludf.DUMMYFUNCTION("""COMPUTED_VALUE"""),"")</f>
        <v/>
      </c>
      <c r="R226" s="36" t="str">
        <f ca="1">IFERROR(__xludf.DUMMYFUNCTION("""COMPUTED_VALUE"""),"")</f>
        <v/>
      </c>
      <c r="S226" s="36" t="str">
        <f ca="1">IFERROR(__xludf.DUMMYFUNCTION("""COMPUTED_VALUE"""),"")</f>
        <v/>
      </c>
      <c r="T226" s="36" t="str">
        <f ca="1">IFERROR(__xludf.DUMMYFUNCTION("""COMPUTED_VALUE"""),"")</f>
        <v/>
      </c>
      <c r="U226" s="36" t="str">
        <f ca="1">IFERROR(__xludf.DUMMYFUNCTION("""COMPUTED_VALUE"""),"")</f>
        <v/>
      </c>
      <c r="V226" s="36" t="str">
        <f ca="1">IFERROR(__xludf.DUMMYFUNCTION("""COMPUTED_VALUE"""),"")</f>
        <v/>
      </c>
      <c r="W226" s="36" t="str">
        <f ca="1">IFERROR(__xludf.DUMMYFUNCTION("""COMPUTED_VALUE"""),"")</f>
        <v/>
      </c>
      <c r="X226" s="36"/>
      <c r="Y226" s="36"/>
      <c r="Z226" s="36"/>
    </row>
    <row r="227" spans="1:26" ht="12.75" hidden="1">
      <c r="A227" s="36" t="str">
        <f ca="1">IFERROR(__xludf.DUMMYFUNCTION("""COMPUTED_VALUE"""),"")</f>
        <v/>
      </c>
      <c r="B227" s="36" t="str">
        <f ca="1">IFERROR(__xludf.DUMMYFUNCTION("""COMPUTED_VALUE"""),"")</f>
        <v/>
      </c>
      <c r="C227" s="36" t="str">
        <f ca="1">IFERROR(__xludf.DUMMYFUNCTION("""COMPUTED_VALUE"""),"")</f>
        <v/>
      </c>
      <c r="D227" s="36" t="str">
        <f ca="1">IFERROR(__xludf.DUMMYFUNCTION("""COMPUTED_VALUE"""),"")</f>
        <v/>
      </c>
      <c r="E227" s="36" t="str">
        <f ca="1">IFERROR(__xludf.DUMMYFUNCTION("""COMPUTED_VALUE"""),"")</f>
        <v/>
      </c>
      <c r="F227" s="36" t="str">
        <f ca="1">IFERROR(__xludf.DUMMYFUNCTION("""COMPUTED_VALUE"""),"")</f>
        <v/>
      </c>
      <c r="G227" s="36" t="str">
        <f ca="1">IFERROR(__xludf.DUMMYFUNCTION("""COMPUTED_VALUE"""),"")</f>
        <v/>
      </c>
      <c r="H227" s="36" t="str">
        <f ca="1">IFERROR(__xludf.DUMMYFUNCTION("""COMPUTED_VALUE"""),"")</f>
        <v/>
      </c>
      <c r="I227" s="36" t="str">
        <f ca="1">IFERROR(__xludf.DUMMYFUNCTION("""COMPUTED_VALUE"""),"")</f>
        <v/>
      </c>
      <c r="J227" s="36" t="str">
        <f ca="1">IFERROR(__xludf.DUMMYFUNCTION("""COMPUTED_VALUE"""),"")</f>
        <v/>
      </c>
      <c r="K227" s="36" t="str">
        <f ca="1">IFERROR(__xludf.DUMMYFUNCTION("""COMPUTED_VALUE"""),"")</f>
        <v/>
      </c>
      <c r="L227" s="36" t="str">
        <f ca="1">IFERROR(__xludf.DUMMYFUNCTION("""COMPUTED_VALUE"""),"")</f>
        <v/>
      </c>
      <c r="M227" s="36" t="str">
        <f ca="1">IFERROR(__xludf.DUMMYFUNCTION("""COMPUTED_VALUE"""),"")</f>
        <v/>
      </c>
      <c r="N227" s="36" t="str">
        <f ca="1">IFERROR(__xludf.DUMMYFUNCTION("""COMPUTED_VALUE"""),"")</f>
        <v/>
      </c>
      <c r="O227" s="36" t="str">
        <f ca="1">IFERROR(__xludf.DUMMYFUNCTION("""COMPUTED_VALUE"""),"")</f>
        <v/>
      </c>
      <c r="P227" s="36" t="str">
        <f ca="1">IFERROR(__xludf.DUMMYFUNCTION("""COMPUTED_VALUE"""),"")</f>
        <v/>
      </c>
      <c r="Q227" s="36" t="str">
        <f ca="1">IFERROR(__xludf.DUMMYFUNCTION("""COMPUTED_VALUE"""),"")</f>
        <v/>
      </c>
      <c r="R227" s="36" t="str">
        <f ca="1">IFERROR(__xludf.DUMMYFUNCTION("""COMPUTED_VALUE"""),"")</f>
        <v/>
      </c>
      <c r="S227" s="36" t="str">
        <f ca="1">IFERROR(__xludf.DUMMYFUNCTION("""COMPUTED_VALUE"""),"")</f>
        <v/>
      </c>
      <c r="T227" s="36" t="str">
        <f ca="1">IFERROR(__xludf.DUMMYFUNCTION("""COMPUTED_VALUE"""),"")</f>
        <v/>
      </c>
      <c r="U227" s="36" t="str">
        <f ca="1">IFERROR(__xludf.DUMMYFUNCTION("""COMPUTED_VALUE"""),"")</f>
        <v/>
      </c>
      <c r="V227" s="36" t="str">
        <f ca="1">IFERROR(__xludf.DUMMYFUNCTION("""COMPUTED_VALUE"""),"")</f>
        <v/>
      </c>
      <c r="W227" s="36" t="str">
        <f ca="1">IFERROR(__xludf.DUMMYFUNCTION("""COMPUTED_VALUE"""),"")</f>
        <v/>
      </c>
      <c r="X227" s="36"/>
      <c r="Y227" s="36"/>
      <c r="Z227" s="36"/>
    </row>
    <row r="228" spans="1:26" ht="12.75" hidden="1">
      <c r="A228" s="36" t="str">
        <f ca="1">IFERROR(__xludf.DUMMYFUNCTION("""COMPUTED_VALUE"""),"")</f>
        <v/>
      </c>
      <c r="B228" s="36" t="str">
        <f ca="1">IFERROR(__xludf.DUMMYFUNCTION("""COMPUTED_VALUE"""),"")</f>
        <v/>
      </c>
      <c r="C228" s="36" t="str">
        <f ca="1">IFERROR(__xludf.DUMMYFUNCTION("""COMPUTED_VALUE"""),"")</f>
        <v/>
      </c>
      <c r="D228" s="36" t="str">
        <f ca="1">IFERROR(__xludf.DUMMYFUNCTION("""COMPUTED_VALUE"""),"")</f>
        <v/>
      </c>
      <c r="E228" s="36" t="str">
        <f ca="1">IFERROR(__xludf.DUMMYFUNCTION("""COMPUTED_VALUE"""),"")</f>
        <v/>
      </c>
      <c r="F228" s="36" t="str">
        <f ca="1">IFERROR(__xludf.DUMMYFUNCTION("""COMPUTED_VALUE"""),"")</f>
        <v/>
      </c>
      <c r="G228" s="36" t="str">
        <f ca="1">IFERROR(__xludf.DUMMYFUNCTION("""COMPUTED_VALUE"""),"")</f>
        <v/>
      </c>
      <c r="H228" s="36" t="str">
        <f ca="1">IFERROR(__xludf.DUMMYFUNCTION("""COMPUTED_VALUE"""),"")</f>
        <v/>
      </c>
      <c r="I228" s="36" t="str">
        <f ca="1">IFERROR(__xludf.DUMMYFUNCTION("""COMPUTED_VALUE"""),"")</f>
        <v/>
      </c>
      <c r="J228" s="36" t="str">
        <f ca="1">IFERROR(__xludf.DUMMYFUNCTION("""COMPUTED_VALUE"""),"")</f>
        <v/>
      </c>
      <c r="K228" s="36" t="str">
        <f ca="1">IFERROR(__xludf.DUMMYFUNCTION("""COMPUTED_VALUE"""),"")</f>
        <v/>
      </c>
      <c r="L228" s="36" t="str">
        <f ca="1">IFERROR(__xludf.DUMMYFUNCTION("""COMPUTED_VALUE"""),"")</f>
        <v/>
      </c>
      <c r="M228" s="36" t="str">
        <f ca="1">IFERROR(__xludf.DUMMYFUNCTION("""COMPUTED_VALUE"""),"")</f>
        <v/>
      </c>
      <c r="N228" s="36" t="str">
        <f ca="1">IFERROR(__xludf.DUMMYFUNCTION("""COMPUTED_VALUE"""),"")</f>
        <v/>
      </c>
      <c r="O228" s="36" t="str">
        <f ca="1">IFERROR(__xludf.DUMMYFUNCTION("""COMPUTED_VALUE"""),"")</f>
        <v/>
      </c>
      <c r="P228" s="36" t="str">
        <f ca="1">IFERROR(__xludf.DUMMYFUNCTION("""COMPUTED_VALUE"""),"")</f>
        <v/>
      </c>
      <c r="Q228" s="36" t="str">
        <f ca="1">IFERROR(__xludf.DUMMYFUNCTION("""COMPUTED_VALUE"""),"")</f>
        <v/>
      </c>
      <c r="R228" s="36" t="str">
        <f ca="1">IFERROR(__xludf.DUMMYFUNCTION("""COMPUTED_VALUE"""),"")</f>
        <v/>
      </c>
      <c r="S228" s="36" t="str">
        <f ca="1">IFERROR(__xludf.DUMMYFUNCTION("""COMPUTED_VALUE"""),"")</f>
        <v/>
      </c>
      <c r="T228" s="36" t="str">
        <f ca="1">IFERROR(__xludf.DUMMYFUNCTION("""COMPUTED_VALUE"""),"")</f>
        <v/>
      </c>
      <c r="U228" s="36" t="str">
        <f ca="1">IFERROR(__xludf.DUMMYFUNCTION("""COMPUTED_VALUE"""),"")</f>
        <v/>
      </c>
      <c r="V228" s="36" t="str">
        <f ca="1">IFERROR(__xludf.DUMMYFUNCTION("""COMPUTED_VALUE"""),"")</f>
        <v/>
      </c>
      <c r="W228" s="36" t="str">
        <f ca="1">IFERROR(__xludf.DUMMYFUNCTION("""COMPUTED_VALUE"""),"")</f>
        <v/>
      </c>
      <c r="X228" s="36"/>
      <c r="Y228" s="36"/>
      <c r="Z228" s="36"/>
    </row>
    <row r="229" spans="1:26" ht="12.75" hidden="1">
      <c r="A229" s="36" t="str">
        <f ca="1">IFERROR(__xludf.DUMMYFUNCTION("""COMPUTED_VALUE"""),"")</f>
        <v/>
      </c>
      <c r="B229" s="36" t="str">
        <f ca="1">IFERROR(__xludf.DUMMYFUNCTION("""COMPUTED_VALUE"""),"")</f>
        <v/>
      </c>
      <c r="C229" s="36" t="str">
        <f ca="1">IFERROR(__xludf.DUMMYFUNCTION("""COMPUTED_VALUE"""),"")</f>
        <v/>
      </c>
      <c r="D229" s="36" t="str">
        <f ca="1">IFERROR(__xludf.DUMMYFUNCTION("""COMPUTED_VALUE"""),"")</f>
        <v/>
      </c>
      <c r="E229" s="36" t="str">
        <f ca="1">IFERROR(__xludf.DUMMYFUNCTION("""COMPUTED_VALUE"""),"")</f>
        <v/>
      </c>
      <c r="F229" s="36" t="str">
        <f ca="1">IFERROR(__xludf.DUMMYFUNCTION("""COMPUTED_VALUE"""),"")</f>
        <v/>
      </c>
      <c r="G229" s="36" t="str">
        <f ca="1">IFERROR(__xludf.DUMMYFUNCTION("""COMPUTED_VALUE"""),"")</f>
        <v/>
      </c>
      <c r="H229" s="36" t="str">
        <f ca="1">IFERROR(__xludf.DUMMYFUNCTION("""COMPUTED_VALUE"""),"")</f>
        <v/>
      </c>
      <c r="I229" s="36" t="str">
        <f ca="1">IFERROR(__xludf.DUMMYFUNCTION("""COMPUTED_VALUE"""),"")</f>
        <v/>
      </c>
      <c r="J229" s="36" t="str">
        <f ca="1">IFERROR(__xludf.DUMMYFUNCTION("""COMPUTED_VALUE"""),"")</f>
        <v/>
      </c>
      <c r="K229" s="36" t="str">
        <f ca="1">IFERROR(__xludf.DUMMYFUNCTION("""COMPUTED_VALUE"""),"")</f>
        <v/>
      </c>
      <c r="L229" s="36" t="str">
        <f ca="1">IFERROR(__xludf.DUMMYFUNCTION("""COMPUTED_VALUE"""),"")</f>
        <v/>
      </c>
      <c r="M229" s="36" t="str">
        <f ca="1">IFERROR(__xludf.DUMMYFUNCTION("""COMPUTED_VALUE"""),"")</f>
        <v/>
      </c>
      <c r="N229" s="36" t="str">
        <f ca="1">IFERROR(__xludf.DUMMYFUNCTION("""COMPUTED_VALUE"""),"")</f>
        <v/>
      </c>
      <c r="O229" s="36" t="str">
        <f ca="1">IFERROR(__xludf.DUMMYFUNCTION("""COMPUTED_VALUE"""),"")</f>
        <v/>
      </c>
      <c r="P229" s="36" t="str">
        <f ca="1">IFERROR(__xludf.DUMMYFUNCTION("""COMPUTED_VALUE"""),"")</f>
        <v/>
      </c>
      <c r="Q229" s="36" t="str">
        <f ca="1">IFERROR(__xludf.DUMMYFUNCTION("""COMPUTED_VALUE"""),"")</f>
        <v/>
      </c>
      <c r="R229" s="36" t="str">
        <f ca="1">IFERROR(__xludf.DUMMYFUNCTION("""COMPUTED_VALUE"""),"")</f>
        <v/>
      </c>
      <c r="S229" s="36" t="str">
        <f ca="1">IFERROR(__xludf.DUMMYFUNCTION("""COMPUTED_VALUE"""),"")</f>
        <v/>
      </c>
      <c r="T229" s="36" t="str">
        <f ca="1">IFERROR(__xludf.DUMMYFUNCTION("""COMPUTED_VALUE"""),"")</f>
        <v/>
      </c>
      <c r="U229" s="36" t="str">
        <f ca="1">IFERROR(__xludf.DUMMYFUNCTION("""COMPUTED_VALUE"""),"")</f>
        <v/>
      </c>
      <c r="V229" s="36" t="str">
        <f ca="1">IFERROR(__xludf.DUMMYFUNCTION("""COMPUTED_VALUE"""),"")</f>
        <v/>
      </c>
      <c r="W229" s="36" t="str">
        <f ca="1">IFERROR(__xludf.DUMMYFUNCTION("""COMPUTED_VALUE"""),"")</f>
        <v/>
      </c>
      <c r="X229" s="36"/>
      <c r="Y229" s="36"/>
      <c r="Z229" s="36"/>
    </row>
    <row r="230" spans="1:26" ht="12.75" hidden="1">
      <c r="A230" s="36" t="str">
        <f ca="1">IFERROR(__xludf.DUMMYFUNCTION("""COMPUTED_VALUE"""),"")</f>
        <v/>
      </c>
      <c r="B230" s="36" t="str">
        <f ca="1">IFERROR(__xludf.DUMMYFUNCTION("""COMPUTED_VALUE"""),"")</f>
        <v/>
      </c>
      <c r="C230" s="36" t="str">
        <f ca="1">IFERROR(__xludf.DUMMYFUNCTION("""COMPUTED_VALUE"""),"")</f>
        <v/>
      </c>
      <c r="D230" s="36" t="str">
        <f ca="1">IFERROR(__xludf.DUMMYFUNCTION("""COMPUTED_VALUE"""),"")</f>
        <v/>
      </c>
      <c r="E230" s="36" t="str">
        <f ca="1">IFERROR(__xludf.DUMMYFUNCTION("""COMPUTED_VALUE"""),"")</f>
        <v/>
      </c>
      <c r="F230" s="36" t="str">
        <f ca="1">IFERROR(__xludf.DUMMYFUNCTION("""COMPUTED_VALUE"""),"")</f>
        <v/>
      </c>
      <c r="G230" s="36" t="str">
        <f ca="1">IFERROR(__xludf.DUMMYFUNCTION("""COMPUTED_VALUE"""),"")</f>
        <v/>
      </c>
      <c r="H230" s="36" t="str">
        <f ca="1">IFERROR(__xludf.DUMMYFUNCTION("""COMPUTED_VALUE"""),"")</f>
        <v/>
      </c>
      <c r="I230" s="36" t="str">
        <f ca="1">IFERROR(__xludf.DUMMYFUNCTION("""COMPUTED_VALUE"""),"")</f>
        <v/>
      </c>
      <c r="J230" s="36" t="str">
        <f ca="1">IFERROR(__xludf.DUMMYFUNCTION("""COMPUTED_VALUE"""),"")</f>
        <v/>
      </c>
      <c r="K230" s="36" t="str">
        <f ca="1">IFERROR(__xludf.DUMMYFUNCTION("""COMPUTED_VALUE"""),"")</f>
        <v/>
      </c>
      <c r="L230" s="36" t="str">
        <f ca="1">IFERROR(__xludf.DUMMYFUNCTION("""COMPUTED_VALUE"""),"")</f>
        <v/>
      </c>
      <c r="M230" s="36" t="str">
        <f ca="1">IFERROR(__xludf.DUMMYFUNCTION("""COMPUTED_VALUE"""),"")</f>
        <v/>
      </c>
      <c r="N230" s="36" t="str">
        <f ca="1">IFERROR(__xludf.DUMMYFUNCTION("""COMPUTED_VALUE"""),"")</f>
        <v/>
      </c>
      <c r="O230" s="36" t="str">
        <f ca="1">IFERROR(__xludf.DUMMYFUNCTION("""COMPUTED_VALUE"""),"")</f>
        <v/>
      </c>
      <c r="P230" s="36" t="str">
        <f ca="1">IFERROR(__xludf.DUMMYFUNCTION("""COMPUTED_VALUE"""),"")</f>
        <v/>
      </c>
      <c r="Q230" s="36" t="str">
        <f ca="1">IFERROR(__xludf.DUMMYFUNCTION("""COMPUTED_VALUE"""),"")</f>
        <v/>
      </c>
      <c r="R230" s="36" t="str">
        <f ca="1">IFERROR(__xludf.DUMMYFUNCTION("""COMPUTED_VALUE"""),"")</f>
        <v/>
      </c>
      <c r="S230" s="36" t="str">
        <f ca="1">IFERROR(__xludf.DUMMYFUNCTION("""COMPUTED_VALUE"""),"")</f>
        <v/>
      </c>
      <c r="T230" s="36" t="str">
        <f ca="1">IFERROR(__xludf.DUMMYFUNCTION("""COMPUTED_VALUE"""),"")</f>
        <v/>
      </c>
      <c r="U230" s="36" t="str">
        <f ca="1">IFERROR(__xludf.DUMMYFUNCTION("""COMPUTED_VALUE"""),"")</f>
        <v/>
      </c>
      <c r="V230" s="36" t="str">
        <f ca="1">IFERROR(__xludf.DUMMYFUNCTION("""COMPUTED_VALUE"""),"")</f>
        <v/>
      </c>
      <c r="W230" s="36" t="str">
        <f ca="1">IFERROR(__xludf.DUMMYFUNCTION("""COMPUTED_VALUE"""),"")</f>
        <v/>
      </c>
      <c r="X230" s="36"/>
      <c r="Y230" s="36"/>
      <c r="Z230" s="36"/>
    </row>
    <row r="231" spans="1:26" ht="12.75" hidden="1">
      <c r="A231" s="36" t="str">
        <f ca="1">IFERROR(__xludf.DUMMYFUNCTION("""COMPUTED_VALUE"""),"")</f>
        <v/>
      </c>
      <c r="B231" s="36" t="str">
        <f ca="1">IFERROR(__xludf.DUMMYFUNCTION("""COMPUTED_VALUE"""),"")</f>
        <v/>
      </c>
      <c r="C231" s="36" t="str">
        <f ca="1">IFERROR(__xludf.DUMMYFUNCTION("""COMPUTED_VALUE"""),"")</f>
        <v/>
      </c>
      <c r="D231" s="36" t="str">
        <f ca="1">IFERROR(__xludf.DUMMYFUNCTION("""COMPUTED_VALUE"""),"")</f>
        <v/>
      </c>
      <c r="E231" s="36" t="str">
        <f ca="1">IFERROR(__xludf.DUMMYFUNCTION("""COMPUTED_VALUE"""),"")</f>
        <v/>
      </c>
      <c r="F231" s="36" t="str">
        <f ca="1">IFERROR(__xludf.DUMMYFUNCTION("""COMPUTED_VALUE"""),"")</f>
        <v/>
      </c>
      <c r="G231" s="36" t="str">
        <f ca="1">IFERROR(__xludf.DUMMYFUNCTION("""COMPUTED_VALUE"""),"")</f>
        <v/>
      </c>
      <c r="H231" s="36" t="str">
        <f ca="1">IFERROR(__xludf.DUMMYFUNCTION("""COMPUTED_VALUE"""),"")</f>
        <v/>
      </c>
      <c r="I231" s="36" t="str">
        <f ca="1">IFERROR(__xludf.DUMMYFUNCTION("""COMPUTED_VALUE"""),"")</f>
        <v/>
      </c>
      <c r="J231" s="36" t="str">
        <f ca="1">IFERROR(__xludf.DUMMYFUNCTION("""COMPUTED_VALUE"""),"")</f>
        <v/>
      </c>
      <c r="K231" s="36" t="str">
        <f ca="1">IFERROR(__xludf.DUMMYFUNCTION("""COMPUTED_VALUE"""),"")</f>
        <v/>
      </c>
      <c r="L231" s="36" t="str">
        <f ca="1">IFERROR(__xludf.DUMMYFUNCTION("""COMPUTED_VALUE"""),"")</f>
        <v/>
      </c>
      <c r="M231" s="36" t="str">
        <f ca="1">IFERROR(__xludf.DUMMYFUNCTION("""COMPUTED_VALUE"""),"")</f>
        <v/>
      </c>
      <c r="N231" s="36" t="str">
        <f ca="1">IFERROR(__xludf.DUMMYFUNCTION("""COMPUTED_VALUE"""),"")</f>
        <v/>
      </c>
      <c r="O231" s="36" t="str">
        <f ca="1">IFERROR(__xludf.DUMMYFUNCTION("""COMPUTED_VALUE"""),"")</f>
        <v/>
      </c>
      <c r="P231" s="36" t="str">
        <f ca="1">IFERROR(__xludf.DUMMYFUNCTION("""COMPUTED_VALUE"""),"")</f>
        <v/>
      </c>
      <c r="Q231" s="36" t="str">
        <f ca="1">IFERROR(__xludf.DUMMYFUNCTION("""COMPUTED_VALUE"""),"")</f>
        <v/>
      </c>
      <c r="R231" s="36" t="str">
        <f ca="1">IFERROR(__xludf.DUMMYFUNCTION("""COMPUTED_VALUE"""),"")</f>
        <v/>
      </c>
      <c r="S231" s="36" t="str">
        <f ca="1">IFERROR(__xludf.DUMMYFUNCTION("""COMPUTED_VALUE"""),"")</f>
        <v/>
      </c>
      <c r="T231" s="36" t="str">
        <f ca="1">IFERROR(__xludf.DUMMYFUNCTION("""COMPUTED_VALUE"""),"")</f>
        <v/>
      </c>
      <c r="U231" s="36" t="str">
        <f ca="1">IFERROR(__xludf.DUMMYFUNCTION("""COMPUTED_VALUE"""),"")</f>
        <v/>
      </c>
      <c r="V231" s="36" t="str">
        <f ca="1">IFERROR(__xludf.DUMMYFUNCTION("""COMPUTED_VALUE"""),"")</f>
        <v/>
      </c>
      <c r="W231" s="36" t="str">
        <f ca="1">IFERROR(__xludf.DUMMYFUNCTION("""COMPUTED_VALUE"""),"")</f>
        <v/>
      </c>
      <c r="X231" s="36"/>
      <c r="Y231" s="36"/>
      <c r="Z231" s="36"/>
    </row>
    <row r="232" spans="1:26" ht="12.75" hidden="1">
      <c r="A232" s="36" t="str">
        <f ca="1">IFERROR(__xludf.DUMMYFUNCTION("""COMPUTED_VALUE"""),"")</f>
        <v/>
      </c>
      <c r="B232" s="36" t="str">
        <f ca="1">IFERROR(__xludf.DUMMYFUNCTION("""COMPUTED_VALUE"""),"")</f>
        <v/>
      </c>
      <c r="C232" s="36" t="str">
        <f ca="1">IFERROR(__xludf.DUMMYFUNCTION("""COMPUTED_VALUE"""),"")</f>
        <v/>
      </c>
      <c r="D232" s="36" t="str">
        <f ca="1">IFERROR(__xludf.DUMMYFUNCTION("""COMPUTED_VALUE"""),"")</f>
        <v/>
      </c>
      <c r="E232" s="36" t="str">
        <f ca="1">IFERROR(__xludf.DUMMYFUNCTION("""COMPUTED_VALUE"""),"")</f>
        <v/>
      </c>
      <c r="F232" s="36" t="str">
        <f ca="1">IFERROR(__xludf.DUMMYFUNCTION("""COMPUTED_VALUE"""),"")</f>
        <v/>
      </c>
      <c r="G232" s="36" t="str">
        <f ca="1">IFERROR(__xludf.DUMMYFUNCTION("""COMPUTED_VALUE"""),"")</f>
        <v/>
      </c>
      <c r="H232" s="36" t="str">
        <f ca="1">IFERROR(__xludf.DUMMYFUNCTION("""COMPUTED_VALUE"""),"")</f>
        <v/>
      </c>
      <c r="I232" s="36" t="str">
        <f ca="1">IFERROR(__xludf.DUMMYFUNCTION("""COMPUTED_VALUE"""),"")</f>
        <v/>
      </c>
      <c r="J232" s="36" t="str">
        <f ca="1">IFERROR(__xludf.DUMMYFUNCTION("""COMPUTED_VALUE"""),"")</f>
        <v/>
      </c>
      <c r="K232" s="36" t="str">
        <f ca="1">IFERROR(__xludf.DUMMYFUNCTION("""COMPUTED_VALUE"""),"")</f>
        <v/>
      </c>
      <c r="L232" s="36" t="str">
        <f ca="1">IFERROR(__xludf.DUMMYFUNCTION("""COMPUTED_VALUE"""),"")</f>
        <v/>
      </c>
      <c r="M232" s="36" t="str">
        <f ca="1">IFERROR(__xludf.DUMMYFUNCTION("""COMPUTED_VALUE"""),"")</f>
        <v/>
      </c>
      <c r="N232" s="36" t="str">
        <f ca="1">IFERROR(__xludf.DUMMYFUNCTION("""COMPUTED_VALUE"""),"")</f>
        <v/>
      </c>
      <c r="O232" s="36" t="str">
        <f ca="1">IFERROR(__xludf.DUMMYFUNCTION("""COMPUTED_VALUE"""),"")</f>
        <v/>
      </c>
      <c r="P232" s="36" t="str">
        <f ca="1">IFERROR(__xludf.DUMMYFUNCTION("""COMPUTED_VALUE"""),"")</f>
        <v/>
      </c>
      <c r="Q232" s="36" t="str">
        <f ca="1">IFERROR(__xludf.DUMMYFUNCTION("""COMPUTED_VALUE"""),"")</f>
        <v/>
      </c>
      <c r="R232" s="36" t="str">
        <f ca="1">IFERROR(__xludf.DUMMYFUNCTION("""COMPUTED_VALUE"""),"")</f>
        <v/>
      </c>
      <c r="S232" s="36" t="str">
        <f ca="1">IFERROR(__xludf.DUMMYFUNCTION("""COMPUTED_VALUE"""),"")</f>
        <v/>
      </c>
      <c r="T232" s="36" t="str">
        <f ca="1">IFERROR(__xludf.DUMMYFUNCTION("""COMPUTED_VALUE"""),"")</f>
        <v/>
      </c>
      <c r="U232" s="36" t="str">
        <f ca="1">IFERROR(__xludf.DUMMYFUNCTION("""COMPUTED_VALUE"""),"")</f>
        <v/>
      </c>
      <c r="V232" s="36" t="str">
        <f ca="1">IFERROR(__xludf.DUMMYFUNCTION("""COMPUTED_VALUE"""),"")</f>
        <v/>
      </c>
      <c r="W232" s="36" t="str">
        <f ca="1">IFERROR(__xludf.DUMMYFUNCTION("""COMPUTED_VALUE"""),"")</f>
        <v/>
      </c>
      <c r="X232" s="36"/>
      <c r="Y232" s="36"/>
      <c r="Z232" s="36"/>
    </row>
    <row r="233" spans="1:26" ht="12.75" hidden="1">
      <c r="A233" s="36" t="str">
        <f ca="1">IFERROR(__xludf.DUMMYFUNCTION("""COMPUTED_VALUE"""),"")</f>
        <v/>
      </c>
      <c r="B233" s="36" t="str">
        <f ca="1">IFERROR(__xludf.DUMMYFUNCTION("""COMPUTED_VALUE"""),"")</f>
        <v/>
      </c>
      <c r="C233" s="36" t="str">
        <f ca="1">IFERROR(__xludf.DUMMYFUNCTION("""COMPUTED_VALUE"""),"")</f>
        <v/>
      </c>
      <c r="D233" s="36" t="str">
        <f ca="1">IFERROR(__xludf.DUMMYFUNCTION("""COMPUTED_VALUE"""),"")</f>
        <v/>
      </c>
      <c r="E233" s="36" t="str">
        <f ca="1">IFERROR(__xludf.DUMMYFUNCTION("""COMPUTED_VALUE"""),"")</f>
        <v/>
      </c>
      <c r="F233" s="36" t="str">
        <f ca="1">IFERROR(__xludf.DUMMYFUNCTION("""COMPUTED_VALUE"""),"")</f>
        <v/>
      </c>
      <c r="G233" s="36" t="str">
        <f ca="1">IFERROR(__xludf.DUMMYFUNCTION("""COMPUTED_VALUE"""),"")</f>
        <v/>
      </c>
      <c r="H233" s="36" t="str">
        <f ca="1">IFERROR(__xludf.DUMMYFUNCTION("""COMPUTED_VALUE"""),"")</f>
        <v/>
      </c>
      <c r="I233" s="36" t="str">
        <f ca="1">IFERROR(__xludf.DUMMYFUNCTION("""COMPUTED_VALUE"""),"")</f>
        <v/>
      </c>
      <c r="J233" s="36" t="str">
        <f ca="1">IFERROR(__xludf.DUMMYFUNCTION("""COMPUTED_VALUE"""),"")</f>
        <v/>
      </c>
      <c r="K233" s="36" t="str">
        <f ca="1">IFERROR(__xludf.DUMMYFUNCTION("""COMPUTED_VALUE"""),"")</f>
        <v/>
      </c>
      <c r="L233" s="36" t="str">
        <f ca="1">IFERROR(__xludf.DUMMYFUNCTION("""COMPUTED_VALUE"""),"")</f>
        <v/>
      </c>
      <c r="M233" s="36" t="str">
        <f ca="1">IFERROR(__xludf.DUMMYFUNCTION("""COMPUTED_VALUE"""),"")</f>
        <v/>
      </c>
      <c r="N233" s="36" t="str">
        <f ca="1">IFERROR(__xludf.DUMMYFUNCTION("""COMPUTED_VALUE"""),"")</f>
        <v/>
      </c>
      <c r="O233" s="36" t="str">
        <f ca="1">IFERROR(__xludf.DUMMYFUNCTION("""COMPUTED_VALUE"""),"")</f>
        <v/>
      </c>
      <c r="P233" s="36" t="str">
        <f ca="1">IFERROR(__xludf.DUMMYFUNCTION("""COMPUTED_VALUE"""),"")</f>
        <v/>
      </c>
      <c r="Q233" s="36" t="str">
        <f ca="1">IFERROR(__xludf.DUMMYFUNCTION("""COMPUTED_VALUE"""),"")</f>
        <v/>
      </c>
      <c r="R233" s="36" t="str">
        <f ca="1">IFERROR(__xludf.DUMMYFUNCTION("""COMPUTED_VALUE"""),"")</f>
        <v/>
      </c>
      <c r="S233" s="36" t="str">
        <f ca="1">IFERROR(__xludf.DUMMYFUNCTION("""COMPUTED_VALUE"""),"")</f>
        <v/>
      </c>
      <c r="T233" s="36" t="str">
        <f ca="1">IFERROR(__xludf.DUMMYFUNCTION("""COMPUTED_VALUE"""),"")</f>
        <v/>
      </c>
      <c r="U233" s="36" t="str">
        <f ca="1">IFERROR(__xludf.DUMMYFUNCTION("""COMPUTED_VALUE"""),"")</f>
        <v/>
      </c>
      <c r="V233" s="36" t="str">
        <f ca="1">IFERROR(__xludf.DUMMYFUNCTION("""COMPUTED_VALUE"""),"")</f>
        <v/>
      </c>
      <c r="W233" s="36" t="str">
        <f ca="1">IFERROR(__xludf.DUMMYFUNCTION("""COMPUTED_VALUE"""),"")</f>
        <v/>
      </c>
      <c r="X233" s="36"/>
      <c r="Y233" s="36"/>
      <c r="Z233" s="36"/>
    </row>
    <row r="234" spans="1:26" ht="12.75" hidden="1">
      <c r="A234" s="36" t="str">
        <f ca="1">IFERROR(__xludf.DUMMYFUNCTION("""COMPUTED_VALUE"""),"")</f>
        <v/>
      </c>
      <c r="B234" s="36" t="str">
        <f ca="1">IFERROR(__xludf.DUMMYFUNCTION("""COMPUTED_VALUE"""),"")</f>
        <v/>
      </c>
      <c r="C234" s="36" t="str">
        <f ca="1">IFERROR(__xludf.DUMMYFUNCTION("""COMPUTED_VALUE"""),"")</f>
        <v/>
      </c>
      <c r="D234" s="36" t="str">
        <f ca="1">IFERROR(__xludf.DUMMYFUNCTION("""COMPUTED_VALUE"""),"")</f>
        <v/>
      </c>
      <c r="E234" s="36" t="str">
        <f ca="1">IFERROR(__xludf.DUMMYFUNCTION("""COMPUTED_VALUE"""),"")</f>
        <v/>
      </c>
      <c r="F234" s="36" t="str">
        <f ca="1">IFERROR(__xludf.DUMMYFUNCTION("""COMPUTED_VALUE"""),"")</f>
        <v/>
      </c>
      <c r="G234" s="36" t="str">
        <f ca="1">IFERROR(__xludf.DUMMYFUNCTION("""COMPUTED_VALUE"""),"")</f>
        <v/>
      </c>
      <c r="H234" s="36" t="str">
        <f ca="1">IFERROR(__xludf.DUMMYFUNCTION("""COMPUTED_VALUE"""),"")</f>
        <v/>
      </c>
      <c r="I234" s="36" t="str">
        <f ca="1">IFERROR(__xludf.DUMMYFUNCTION("""COMPUTED_VALUE"""),"")</f>
        <v/>
      </c>
      <c r="J234" s="36" t="str">
        <f ca="1">IFERROR(__xludf.DUMMYFUNCTION("""COMPUTED_VALUE"""),"")</f>
        <v/>
      </c>
      <c r="K234" s="36" t="str">
        <f ca="1">IFERROR(__xludf.DUMMYFUNCTION("""COMPUTED_VALUE"""),"")</f>
        <v/>
      </c>
      <c r="L234" s="36" t="str">
        <f ca="1">IFERROR(__xludf.DUMMYFUNCTION("""COMPUTED_VALUE"""),"")</f>
        <v/>
      </c>
      <c r="M234" s="36" t="str">
        <f ca="1">IFERROR(__xludf.DUMMYFUNCTION("""COMPUTED_VALUE"""),"")</f>
        <v/>
      </c>
      <c r="N234" s="36" t="str">
        <f ca="1">IFERROR(__xludf.DUMMYFUNCTION("""COMPUTED_VALUE"""),"")</f>
        <v/>
      </c>
      <c r="O234" s="36" t="str">
        <f ca="1">IFERROR(__xludf.DUMMYFUNCTION("""COMPUTED_VALUE"""),"")</f>
        <v/>
      </c>
      <c r="P234" s="36" t="str">
        <f ca="1">IFERROR(__xludf.DUMMYFUNCTION("""COMPUTED_VALUE"""),"")</f>
        <v/>
      </c>
      <c r="Q234" s="36" t="str">
        <f ca="1">IFERROR(__xludf.DUMMYFUNCTION("""COMPUTED_VALUE"""),"")</f>
        <v/>
      </c>
      <c r="R234" s="36" t="str">
        <f ca="1">IFERROR(__xludf.DUMMYFUNCTION("""COMPUTED_VALUE"""),"")</f>
        <v/>
      </c>
      <c r="S234" s="36" t="str">
        <f ca="1">IFERROR(__xludf.DUMMYFUNCTION("""COMPUTED_VALUE"""),"")</f>
        <v/>
      </c>
      <c r="T234" s="36" t="str">
        <f ca="1">IFERROR(__xludf.DUMMYFUNCTION("""COMPUTED_VALUE"""),"")</f>
        <v/>
      </c>
      <c r="U234" s="36" t="str">
        <f ca="1">IFERROR(__xludf.DUMMYFUNCTION("""COMPUTED_VALUE"""),"")</f>
        <v/>
      </c>
      <c r="V234" s="36" t="str">
        <f ca="1">IFERROR(__xludf.DUMMYFUNCTION("""COMPUTED_VALUE"""),"")</f>
        <v/>
      </c>
      <c r="W234" s="36" t="str">
        <f ca="1">IFERROR(__xludf.DUMMYFUNCTION("""COMPUTED_VALUE"""),"")</f>
        <v/>
      </c>
      <c r="X234" s="36"/>
      <c r="Y234" s="36"/>
      <c r="Z234" s="36"/>
    </row>
    <row r="235" spans="1:26" ht="12.75" hidden="1">
      <c r="A235" s="36" t="str">
        <f ca="1">IFERROR(__xludf.DUMMYFUNCTION("""COMPUTED_VALUE"""),"")</f>
        <v/>
      </c>
      <c r="B235" s="36" t="str">
        <f ca="1">IFERROR(__xludf.DUMMYFUNCTION("""COMPUTED_VALUE"""),"")</f>
        <v/>
      </c>
      <c r="C235" s="36" t="str">
        <f ca="1">IFERROR(__xludf.DUMMYFUNCTION("""COMPUTED_VALUE"""),"")</f>
        <v/>
      </c>
      <c r="D235" s="36" t="str">
        <f ca="1">IFERROR(__xludf.DUMMYFUNCTION("""COMPUTED_VALUE"""),"")</f>
        <v/>
      </c>
      <c r="E235" s="36" t="str">
        <f ca="1">IFERROR(__xludf.DUMMYFUNCTION("""COMPUTED_VALUE"""),"")</f>
        <v/>
      </c>
      <c r="F235" s="36" t="str">
        <f ca="1">IFERROR(__xludf.DUMMYFUNCTION("""COMPUTED_VALUE"""),"")</f>
        <v/>
      </c>
      <c r="G235" s="36" t="str">
        <f ca="1">IFERROR(__xludf.DUMMYFUNCTION("""COMPUTED_VALUE"""),"")</f>
        <v/>
      </c>
      <c r="H235" s="36" t="str">
        <f ca="1">IFERROR(__xludf.DUMMYFUNCTION("""COMPUTED_VALUE"""),"")</f>
        <v/>
      </c>
      <c r="I235" s="36" t="str">
        <f ca="1">IFERROR(__xludf.DUMMYFUNCTION("""COMPUTED_VALUE"""),"")</f>
        <v/>
      </c>
      <c r="J235" s="36" t="str">
        <f ca="1">IFERROR(__xludf.DUMMYFUNCTION("""COMPUTED_VALUE"""),"")</f>
        <v/>
      </c>
      <c r="K235" s="36" t="str">
        <f ca="1">IFERROR(__xludf.DUMMYFUNCTION("""COMPUTED_VALUE"""),"")</f>
        <v/>
      </c>
      <c r="L235" s="36" t="str">
        <f ca="1">IFERROR(__xludf.DUMMYFUNCTION("""COMPUTED_VALUE"""),"")</f>
        <v/>
      </c>
      <c r="M235" s="36" t="str">
        <f ca="1">IFERROR(__xludf.DUMMYFUNCTION("""COMPUTED_VALUE"""),"")</f>
        <v/>
      </c>
      <c r="N235" s="36" t="str">
        <f ca="1">IFERROR(__xludf.DUMMYFUNCTION("""COMPUTED_VALUE"""),"")</f>
        <v/>
      </c>
      <c r="O235" s="36" t="str">
        <f ca="1">IFERROR(__xludf.DUMMYFUNCTION("""COMPUTED_VALUE"""),"")</f>
        <v/>
      </c>
      <c r="P235" s="36" t="str">
        <f ca="1">IFERROR(__xludf.DUMMYFUNCTION("""COMPUTED_VALUE"""),"")</f>
        <v/>
      </c>
      <c r="Q235" s="36" t="str">
        <f ca="1">IFERROR(__xludf.DUMMYFUNCTION("""COMPUTED_VALUE"""),"")</f>
        <v/>
      </c>
      <c r="R235" s="36" t="str">
        <f ca="1">IFERROR(__xludf.DUMMYFUNCTION("""COMPUTED_VALUE"""),"")</f>
        <v/>
      </c>
      <c r="S235" s="36" t="str">
        <f ca="1">IFERROR(__xludf.DUMMYFUNCTION("""COMPUTED_VALUE"""),"")</f>
        <v/>
      </c>
      <c r="T235" s="36" t="str">
        <f ca="1">IFERROR(__xludf.DUMMYFUNCTION("""COMPUTED_VALUE"""),"")</f>
        <v/>
      </c>
      <c r="U235" s="36" t="str">
        <f ca="1">IFERROR(__xludf.DUMMYFUNCTION("""COMPUTED_VALUE"""),"")</f>
        <v/>
      </c>
      <c r="V235" s="36" t="str">
        <f ca="1">IFERROR(__xludf.DUMMYFUNCTION("""COMPUTED_VALUE"""),"")</f>
        <v/>
      </c>
      <c r="W235" s="36" t="str">
        <f ca="1">IFERROR(__xludf.DUMMYFUNCTION("""COMPUTED_VALUE"""),"")</f>
        <v/>
      </c>
      <c r="X235" s="36"/>
      <c r="Y235" s="36"/>
      <c r="Z235" s="36"/>
    </row>
    <row r="236" spans="1:26" ht="12.75" hidden="1">
      <c r="A236" s="36" t="str">
        <f ca="1">IFERROR(__xludf.DUMMYFUNCTION("""COMPUTED_VALUE"""),"")</f>
        <v/>
      </c>
      <c r="B236" s="36" t="str">
        <f ca="1">IFERROR(__xludf.DUMMYFUNCTION("""COMPUTED_VALUE"""),"")</f>
        <v/>
      </c>
      <c r="C236" s="36" t="str">
        <f ca="1">IFERROR(__xludf.DUMMYFUNCTION("""COMPUTED_VALUE"""),"")</f>
        <v/>
      </c>
      <c r="D236" s="36" t="str">
        <f ca="1">IFERROR(__xludf.DUMMYFUNCTION("""COMPUTED_VALUE"""),"")</f>
        <v/>
      </c>
      <c r="E236" s="36" t="str">
        <f ca="1">IFERROR(__xludf.DUMMYFUNCTION("""COMPUTED_VALUE"""),"")</f>
        <v/>
      </c>
      <c r="F236" s="36" t="str">
        <f ca="1">IFERROR(__xludf.DUMMYFUNCTION("""COMPUTED_VALUE"""),"")</f>
        <v/>
      </c>
      <c r="G236" s="36" t="str">
        <f ca="1">IFERROR(__xludf.DUMMYFUNCTION("""COMPUTED_VALUE"""),"")</f>
        <v/>
      </c>
      <c r="H236" s="36" t="str">
        <f ca="1">IFERROR(__xludf.DUMMYFUNCTION("""COMPUTED_VALUE"""),"")</f>
        <v/>
      </c>
      <c r="I236" s="36" t="str">
        <f ca="1">IFERROR(__xludf.DUMMYFUNCTION("""COMPUTED_VALUE"""),"")</f>
        <v/>
      </c>
      <c r="J236" s="36" t="str">
        <f ca="1">IFERROR(__xludf.DUMMYFUNCTION("""COMPUTED_VALUE"""),"")</f>
        <v/>
      </c>
      <c r="K236" s="36" t="str">
        <f ca="1">IFERROR(__xludf.DUMMYFUNCTION("""COMPUTED_VALUE"""),"")</f>
        <v/>
      </c>
      <c r="L236" s="36" t="str">
        <f ca="1">IFERROR(__xludf.DUMMYFUNCTION("""COMPUTED_VALUE"""),"")</f>
        <v/>
      </c>
      <c r="M236" s="36" t="str">
        <f ca="1">IFERROR(__xludf.DUMMYFUNCTION("""COMPUTED_VALUE"""),"")</f>
        <v/>
      </c>
      <c r="N236" s="36" t="str">
        <f ca="1">IFERROR(__xludf.DUMMYFUNCTION("""COMPUTED_VALUE"""),"")</f>
        <v/>
      </c>
      <c r="O236" s="36" t="str">
        <f ca="1">IFERROR(__xludf.DUMMYFUNCTION("""COMPUTED_VALUE"""),"")</f>
        <v/>
      </c>
      <c r="P236" s="36" t="str">
        <f ca="1">IFERROR(__xludf.DUMMYFUNCTION("""COMPUTED_VALUE"""),"")</f>
        <v/>
      </c>
      <c r="Q236" s="36" t="str">
        <f ca="1">IFERROR(__xludf.DUMMYFUNCTION("""COMPUTED_VALUE"""),"")</f>
        <v/>
      </c>
      <c r="R236" s="36" t="str">
        <f ca="1">IFERROR(__xludf.DUMMYFUNCTION("""COMPUTED_VALUE"""),"")</f>
        <v/>
      </c>
      <c r="S236" s="36" t="str">
        <f ca="1">IFERROR(__xludf.DUMMYFUNCTION("""COMPUTED_VALUE"""),"")</f>
        <v/>
      </c>
      <c r="T236" s="36" t="str">
        <f ca="1">IFERROR(__xludf.DUMMYFUNCTION("""COMPUTED_VALUE"""),"")</f>
        <v/>
      </c>
      <c r="U236" s="36" t="str">
        <f ca="1">IFERROR(__xludf.DUMMYFUNCTION("""COMPUTED_VALUE"""),"")</f>
        <v/>
      </c>
      <c r="V236" s="36" t="str">
        <f ca="1">IFERROR(__xludf.DUMMYFUNCTION("""COMPUTED_VALUE"""),"")</f>
        <v/>
      </c>
      <c r="W236" s="36" t="str">
        <f ca="1">IFERROR(__xludf.DUMMYFUNCTION("""COMPUTED_VALUE"""),"")</f>
        <v/>
      </c>
      <c r="X236" s="36"/>
      <c r="Y236" s="36"/>
      <c r="Z236" s="36"/>
    </row>
    <row r="237" spans="1:26" ht="12.75" hidden="1">
      <c r="A237" s="36" t="str">
        <f ca="1">IFERROR(__xludf.DUMMYFUNCTION("""COMPUTED_VALUE"""),"")</f>
        <v/>
      </c>
      <c r="B237" s="36" t="str">
        <f ca="1">IFERROR(__xludf.DUMMYFUNCTION("""COMPUTED_VALUE"""),"")</f>
        <v/>
      </c>
      <c r="C237" s="36" t="str">
        <f ca="1">IFERROR(__xludf.DUMMYFUNCTION("""COMPUTED_VALUE"""),"")</f>
        <v/>
      </c>
      <c r="D237" s="36" t="str">
        <f ca="1">IFERROR(__xludf.DUMMYFUNCTION("""COMPUTED_VALUE"""),"")</f>
        <v/>
      </c>
      <c r="E237" s="36" t="str">
        <f ca="1">IFERROR(__xludf.DUMMYFUNCTION("""COMPUTED_VALUE"""),"")</f>
        <v/>
      </c>
      <c r="F237" s="36" t="str">
        <f ca="1">IFERROR(__xludf.DUMMYFUNCTION("""COMPUTED_VALUE"""),"")</f>
        <v/>
      </c>
      <c r="G237" s="36" t="str">
        <f ca="1">IFERROR(__xludf.DUMMYFUNCTION("""COMPUTED_VALUE"""),"")</f>
        <v/>
      </c>
      <c r="H237" s="36" t="str">
        <f ca="1">IFERROR(__xludf.DUMMYFUNCTION("""COMPUTED_VALUE"""),"")</f>
        <v/>
      </c>
      <c r="I237" s="36" t="str">
        <f ca="1">IFERROR(__xludf.DUMMYFUNCTION("""COMPUTED_VALUE"""),"")</f>
        <v/>
      </c>
      <c r="J237" s="36" t="str">
        <f ca="1">IFERROR(__xludf.DUMMYFUNCTION("""COMPUTED_VALUE"""),"")</f>
        <v/>
      </c>
      <c r="K237" s="36" t="str">
        <f ca="1">IFERROR(__xludf.DUMMYFUNCTION("""COMPUTED_VALUE"""),"")</f>
        <v/>
      </c>
      <c r="L237" s="36" t="str">
        <f ca="1">IFERROR(__xludf.DUMMYFUNCTION("""COMPUTED_VALUE"""),"")</f>
        <v/>
      </c>
      <c r="M237" s="36" t="str">
        <f ca="1">IFERROR(__xludf.DUMMYFUNCTION("""COMPUTED_VALUE"""),"")</f>
        <v/>
      </c>
      <c r="N237" s="36" t="str">
        <f ca="1">IFERROR(__xludf.DUMMYFUNCTION("""COMPUTED_VALUE"""),"")</f>
        <v/>
      </c>
      <c r="O237" s="36" t="str">
        <f ca="1">IFERROR(__xludf.DUMMYFUNCTION("""COMPUTED_VALUE"""),"")</f>
        <v/>
      </c>
      <c r="P237" s="36" t="str">
        <f ca="1">IFERROR(__xludf.DUMMYFUNCTION("""COMPUTED_VALUE"""),"")</f>
        <v/>
      </c>
      <c r="Q237" s="36" t="str">
        <f ca="1">IFERROR(__xludf.DUMMYFUNCTION("""COMPUTED_VALUE"""),"")</f>
        <v/>
      </c>
      <c r="R237" s="36" t="str">
        <f ca="1">IFERROR(__xludf.DUMMYFUNCTION("""COMPUTED_VALUE"""),"")</f>
        <v/>
      </c>
      <c r="S237" s="36" t="str">
        <f ca="1">IFERROR(__xludf.DUMMYFUNCTION("""COMPUTED_VALUE"""),"")</f>
        <v/>
      </c>
      <c r="T237" s="36" t="str">
        <f ca="1">IFERROR(__xludf.DUMMYFUNCTION("""COMPUTED_VALUE"""),"")</f>
        <v/>
      </c>
      <c r="U237" s="36" t="str">
        <f ca="1">IFERROR(__xludf.DUMMYFUNCTION("""COMPUTED_VALUE"""),"")</f>
        <v/>
      </c>
      <c r="V237" s="36" t="str">
        <f ca="1">IFERROR(__xludf.DUMMYFUNCTION("""COMPUTED_VALUE"""),"")</f>
        <v/>
      </c>
      <c r="W237" s="36" t="str">
        <f ca="1">IFERROR(__xludf.DUMMYFUNCTION("""COMPUTED_VALUE"""),"")</f>
        <v/>
      </c>
      <c r="X237" s="36"/>
      <c r="Y237" s="36"/>
      <c r="Z237" s="36"/>
    </row>
    <row r="238" spans="1:26" ht="12.75" hidden="1">
      <c r="A238" s="36" t="str">
        <f ca="1">IFERROR(__xludf.DUMMYFUNCTION("""COMPUTED_VALUE"""),"")</f>
        <v/>
      </c>
      <c r="B238" s="36" t="str">
        <f ca="1">IFERROR(__xludf.DUMMYFUNCTION("""COMPUTED_VALUE"""),"")</f>
        <v/>
      </c>
      <c r="C238" s="36" t="str">
        <f ca="1">IFERROR(__xludf.DUMMYFUNCTION("""COMPUTED_VALUE"""),"")</f>
        <v/>
      </c>
      <c r="D238" s="36" t="str">
        <f ca="1">IFERROR(__xludf.DUMMYFUNCTION("""COMPUTED_VALUE"""),"")</f>
        <v/>
      </c>
      <c r="E238" s="36" t="str">
        <f ca="1">IFERROR(__xludf.DUMMYFUNCTION("""COMPUTED_VALUE"""),"")</f>
        <v/>
      </c>
      <c r="F238" s="36" t="str">
        <f ca="1">IFERROR(__xludf.DUMMYFUNCTION("""COMPUTED_VALUE"""),"")</f>
        <v/>
      </c>
      <c r="G238" s="36" t="str">
        <f ca="1">IFERROR(__xludf.DUMMYFUNCTION("""COMPUTED_VALUE"""),"")</f>
        <v/>
      </c>
      <c r="H238" s="36" t="str">
        <f ca="1">IFERROR(__xludf.DUMMYFUNCTION("""COMPUTED_VALUE"""),"")</f>
        <v/>
      </c>
      <c r="I238" s="36" t="str">
        <f ca="1">IFERROR(__xludf.DUMMYFUNCTION("""COMPUTED_VALUE"""),"")</f>
        <v/>
      </c>
      <c r="J238" s="36" t="str">
        <f ca="1">IFERROR(__xludf.DUMMYFUNCTION("""COMPUTED_VALUE"""),"")</f>
        <v/>
      </c>
      <c r="K238" s="36" t="str">
        <f ca="1">IFERROR(__xludf.DUMMYFUNCTION("""COMPUTED_VALUE"""),"")</f>
        <v/>
      </c>
      <c r="L238" s="36" t="str">
        <f ca="1">IFERROR(__xludf.DUMMYFUNCTION("""COMPUTED_VALUE"""),"")</f>
        <v/>
      </c>
      <c r="M238" s="36" t="str">
        <f ca="1">IFERROR(__xludf.DUMMYFUNCTION("""COMPUTED_VALUE"""),"")</f>
        <v/>
      </c>
      <c r="N238" s="36" t="str">
        <f ca="1">IFERROR(__xludf.DUMMYFUNCTION("""COMPUTED_VALUE"""),"")</f>
        <v/>
      </c>
      <c r="O238" s="36" t="str">
        <f ca="1">IFERROR(__xludf.DUMMYFUNCTION("""COMPUTED_VALUE"""),"")</f>
        <v/>
      </c>
      <c r="P238" s="36" t="str">
        <f ca="1">IFERROR(__xludf.DUMMYFUNCTION("""COMPUTED_VALUE"""),"")</f>
        <v/>
      </c>
      <c r="Q238" s="36" t="str">
        <f ca="1">IFERROR(__xludf.DUMMYFUNCTION("""COMPUTED_VALUE"""),"")</f>
        <v/>
      </c>
      <c r="R238" s="36" t="str">
        <f ca="1">IFERROR(__xludf.DUMMYFUNCTION("""COMPUTED_VALUE"""),"")</f>
        <v/>
      </c>
      <c r="S238" s="36" t="str">
        <f ca="1">IFERROR(__xludf.DUMMYFUNCTION("""COMPUTED_VALUE"""),"")</f>
        <v/>
      </c>
      <c r="T238" s="36" t="str">
        <f ca="1">IFERROR(__xludf.DUMMYFUNCTION("""COMPUTED_VALUE"""),"")</f>
        <v/>
      </c>
      <c r="U238" s="36" t="str">
        <f ca="1">IFERROR(__xludf.DUMMYFUNCTION("""COMPUTED_VALUE"""),"")</f>
        <v/>
      </c>
      <c r="V238" s="36" t="str">
        <f ca="1">IFERROR(__xludf.DUMMYFUNCTION("""COMPUTED_VALUE"""),"")</f>
        <v/>
      </c>
      <c r="W238" s="36" t="str">
        <f ca="1">IFERROR(__xludf.DUMMYFUNCTION("""COMPUTED_VALUE"""),"")</f>
        <v/>
      </c>
      <c r="X238" s="36"/>
      <c r="Y238" s="36"/>
      <c r="Z238" s="36"/>
    </row>
    <row r="239" spans="1:26" ht="12.75" hidden="1">
      <c r="A239" s="36" t="str">
        <f ca="1">IFERROR(__xludf.DUMMYFUNCTION("""COMPUTED_VALUE"""),"")</f>
        <v/>
      </c>
      <c r="B239" s="36" t="str">
        <f ca="1">IFERROR(__xludf.DUMMYFUNCTION("""COMPUTED_VALUE"""),"")</f>
        <v/>
      </c>
      <c r="C239" s="36" t="str">
        <f ca="1">IFERROR(__xludf.DUMMYFUNCTION("""COMPUTED_VALUE"""),"")</f>
        <v/>
      </c>
      <c r="D239" s="36" t="str">
        <f ca="1">IFERROR(__xludf.DUMMYFUNCTION("""COMPUTED_VALUE"""),"")</f>
        <v/>
      </c>
      <c r="E239" s="36" t="str">
        <f ca="1">IFERROR(__xludf.DUMMYFUNCTION("""COMPUTED_VALUE"""),"")</f>
        <v/>
      </c>
      <c r="F239" s="36" t="str">
        <f ca="1">IFERROR(__xludf.DUMMYFUNCTION("""COMPUTED_VALUE"""),"")</f>
        <v/>
      </c>
      <c r="G239" s="36" t="str">
        <f ca="1">IFERROR(__xludf.DUMMYFUNCTION("""COMPUTED_VALUE"""),"")</f>
        <v/>
      </c>
      <c r="H239" s="36" t="str">
        <f ca="1">IFERROR(__xludf.DUMMYFUNCTION("""COMPUTED_VALUE"""),"")</f>
        <v/>
      </c>
      <c r="I239" s="36" t="str">
        <f ca="1">IFERROR(__xludf.DUMMYFUNCTION("""COMPUTED_VALUE"""),"")</f>
        <v/>
      </c>
      <c r="J239" s="36" t="str">
        <f ca="1">IFERROR(__xludf.DUMMYFUNCTION("""COMPUTED_VALUE"""),"")</f>
        <v/>
      </c>
      <c r="K239" s="36" t="str">
        <f ca="1">IFERROR(__xludf.DUMMYFUNCTION("""COMPUTED_VALUE"""),"")</f>
        <v/>
      </c>
      <c r="L239" s="36" t="str">
        <f ca="1">IFERROR(__xludf.DUMMYFUNCTION("""COMPUTED_VALUE"""),"")</f>
        <v/>
      </c>
      <c r="M239" s="36" t="str">
        <f ca="1">IFERROR(__xludf.DUMMYFUNCTION("""COMPUTED_VALUE"""),"")</f>
        <v/>
      </c>
      <c r="N239" s="36" t="str">
        <f ca="1">IFERROR(__xludf.DUMMYFUNCTION("""COMPUTED_VALUE"""),"")</f>
        <v/>
      </c>
      <c r="O239" s="36" t="str">
        <f ca="1">IFERROR(__xludf.DUMMYFUNCTION("""COMPUTED_VALUE"""),"")</f>
        <v/>
      </c>
      <c r="P239" s="36" t="str">
        <f ca="1">IFERROR(__xludf.DUMMYFUNCTION("""COMPUTED_VALUE"""),"")</f>
        <v/>
      </c>
      <c r="Q239" s="36" t="str">
        <f ca="1">IFERROR(__xludf.DUMMYFUNCTION("""COMPUTED_VALUE"""),"")</f>
        <v/>
      </c>
      <c r="R239" s="36" t="str">
        <f ca="1">IFERROR(__xludf.DUMMYFUNCTION("""COMPUTED_VALUE"""),"")</f>
        <v/>
      </c>
      <c r="S239" s="36" t="str">
        <f ca="1">IFERROR(__xludf.DUMMYFUNCTION("""COMPUTED_VALUE"""),"")</f>
        <v/>
      </c>
      <c r="T239" s="36" t="str">
        <f ca="1">IFERROR(__xludf.DUMMYFUNCTION("""COMPUTED_VALUE"""),"")</f>
        <v/>
      </c>
      <c r="U239" s="36" t="str">
        <f ca="1">IFERROR(__xludf.DUMMYFUNCTION("""COMPUTED_VALUE"""),"")</f>
        <v/>
      </c>
      <c r="V239" s="36" t="str">
        <f ca="1">IFERROR(__xludf.DUMMYFUNCTION("""COMPUTED_VALUE"""),"")</f>
        <v/>
      </c>
      <c r="W239" s="36" t="str">
        <f ca="1">IFERROR(__xludf.DUMMYFUNCTION("""COMPUTED_VALUE"""),"")</f>
        <v/>
      </c>
      <c r="X239" s="36"/>
      <c r="Y239" s="36"/>
      <c r="Z239" s="36"/>
    </row>
    <row r="240" spans="1:26" ht="12.75" hidden="1">
      <c r="A240" s="36" t="str">
        <f ca="1">IFERROR(__xludf.DUMMYFUNCTION("""COMPUTED_VALUE"""),"")</f>
        <v/>
      </c>
      <c r="B240" s="36" t="str">
        <f ca="1">IFERROR(__xludf.DUMMYFUNCTION("""COMPUTED_VALUE"""),"")</f>
        <v/>
      </c>
      <c r="C240" s="36" t="str">
        <f ca="1">IFERROR(__xludf.DUMMYFUNCTION("""COMPUTED_VALUE"""),"")</f>
        <v/>
      </c>
      <c r="D240" s="36" t="str">
        <f ca="1">IFERROR(__xludf.DUMMYFUNCTION("""COMPUTED_VALUE"""),"")</f>
        <v/>
      </c>
      <c r="E240" s="36" t="str">
        <f ca="1">IFERROR(__xludf.DUMMYFUNCTION("""COMPUTED_VALUE"""),"")</f>
        <v/>
      </c>
      <c r="F240" s="36" t="str">
        <f ca="1">IFERROR(__xludf.DUMMYFUNCTION("""COMPUTED_VALUE"""),"")</f>
        <v/>
      </c>
      <c r="G240" s="36" t="str">
        <f ca="1">IFERROR(__xludf.DUMMYFUNCTION("""COMPUTED_VALUE"""),"")</f>
        <v/>
      </c>
      <c r="H240" s="36" t="str">
        <f ca="1">IFERROR(__xludf.DUMMYFUNCTION("""COMPUTED_VALUE"""),"")</f>
        <v/>
      </c>
      <c r="I240" s="36" t="str">
        <f ca="1">IFERROR(__xludf.DUMMYFUNCTION("""COMPUTED_VALUE"""),"")</f>
        <v/>
      </c>
      <c r="J240" s="36" t="str">
        <f ca="1">IFERROR(__xludf.DUMMYFUNCTION("""COMPUTED_VALUE"""),"")</f>
        <v/>
      </c>
      <c r="K240" s="36" t="str">
        <f ca="1">IFERROR(__xludf.DUMMYFUNCTION("""COMPUTED_VALUE"""),"")</f>
        <v/>
      </c>
      <c r="L240" s="36" t="str">
        <f ca="1">IFERROR(__xludf.DUMMYFUNCTION("""COMPUTED_VALUE"""),"")</f>
        <v/>
      </c>
      <c r="M240" s="36" t="str">
        <f ca="1">IFERROR(__xludf.DUMMYFUNCTION("""COMPUTED_VALUE"""),"")</f>
        <v/>
      </c>
      <c r="N240" s="36" t="str">
        <f ca="1">IFERROR(__xludf.DUMMYFUNCTION("""COMPUTED_VALUE"""),"")</f>
        <v/>
      </c>
      <c r="O240" s="36" t="str">
        <f ca="1">IFERROR(__xludf.DUMMYFUNCTION("""COMPUTED_VALUE"""),"")</f>
        <v/>
      </c>
      <c r="P240" s="36" t="str">
        <f ca="1">IFERROR(__xludf.DUMMYFUNCTION("""COMPUTED_VALUE"""),"")</f>
        <v/>
      </c>
      <c r="Q240" s="36" t="str">
        <f ca="1">IFERROR(__xludf.DUMMYFUNCTION("""COMPUTED_VALUE"""),"")</f>
        <v/>
      </c>
      <c r="R240" s="36" t="str">
        <f ca="1">IFERROR(__xludf.DUMMYFUNCTION("""COMPUTED_VALUE"""),"")</f>
        <v/>
      </c>
      <c r="S240" s="36" t="str">
        <f ca="1">IFERROR(__xludf.DUMMYFUNCTION("""COMPUTED_VALUE"""),"")</f>
        <v/>
      </c>
      <c r="T240" s="36" t="str">
        <f ca="1">IFERROR(__xludf.DUMMYFUNCTION("""COMPUTED_VALUE"""),"")</f>
        <v/>
      </c>
      <c r="U240" s="36" t="str">
        <f ca="1">IFERROR(__xludf.DUMMYFUNCTION("""COMPUTED_VALUE"""),"")</f>
        <v/>
      </c>
      <c r="V240" s="36" t="str">
        <f ca="1">IFERROR(__xludf.DUMMYFUNCTION("""COMPUTED_VALUE"""),"")</f>
        <v/>
      </c>
      <c r="W240" s="36" t="str">
        <f ca="1">IFERROR(__xludf.DUMMYFUNCTION("""COMPUTED_VALUE"""),"")</f>
        <v/>
      </c>
      <c r="X240" s="36"/>
      <c r="Y240" s="36"/>
      <c r="Z240" s="36"/>
    </row>
    <row r="241" spans="1:26" ht="12.75" hidden="1">
      <c r="A241" s="36" t="str">
        <f ca="1">IFERROR(__xludf.DUMMYFUNCTION("""COMPUTED_VALUE"""),"")</f>
        <v/>
      </c>
      <c r="B241" s="36" t="str">
        <f ca="1">IFERROR(__xludf.DUMMYFUNCTION("""COMPUTED_VALUE"""),"")</f>
        <v/>
      </c>
      <c r="C241" s="36" t="str">
        <f ca="1">IFERROR(__xludf.DUMMYFUNCTION("""COMPUTED_VALUE"""),"")</f>
        <v/>
      </c>
      <c r="D241" s="36" t="str">
        <f ca="1">IFERROR(__xludf.DUMMYFUNCTION("""COMPUTED_VALUE"""),"")</f>
        <v/>
      </c>
      <c r="E241" s="36" t="str">
        <f ca="1">IFERROR(__xludf.DUMMYFUNCTION("""COMPUTED_VALUE"""),"")</f>
        <v/>
      </c>
      <c r="F241" s="36" t="str">
        <f ca="1">IFERROR(__xludf.DUMMYFUNCTION("""COMPUTED_VALUE"""),"")</f>
        <v/>
      </c>
      <c r="G241" s="36" t="str">
        <f ca="1">IFERROR(__xludf.DUMMYFUNCTION("""COMPUTED_VALUE"""),"")</f>
        <v/>
      </c>
      <c r="H241" s="36" t="str">
        <f ca="1">IFERROR(__xludf.DUMMYFUNCTION("""COMPUTED_VALUE"""),"")</f>
        <v/>
      </c>
      <c r="I241" s="36" t="str">
        <f ca="1">IFERROR(__xludf.DUMMYFUNCTION("""COMPUTED_VALUE"""),"")</f>
        <v/>
      </c>
      <c r="J241" s="36" t="str">
        <f ca="1">IFERROR(__xludf.DUMMYFUNCTION("""COMPUTED_VALUE"""),"")</f>
        <v/>
      </c>
      <c r="K241" s="36" t="str">
        <f ca="1">IFERROR(__xludf.DUMMYFUNCTION("""COMPUTED_VALUE"""),"")</f>
        <v/>
      </c>
      <c r="L241" s="36" t="str">
        <f ca="1">IFERROR(__xludf.DUMMYFUNCTION("""COMPUTED_VALUE"""),"")</f>
        <v/>
      </c>
      <c r="M241" s="36" t="str">
        <f ca="1">IFERROR(__xludf.DUMMYFUNCTION("""COMPUTED_VALUE"""),"")</f>
        <v/>
      </c>
      <c r="N241" s="36" t="str">
        <f ca="1">IFERROR(__xludf.DUMMYFUNCTION("""COMPUTED_VALUE"""),"")</f>
        <v/>
      </c>
      <c r="O241" s="36" t="str">
        <f ca="1">IFERROR(__xludf.DUMMYFUNCTION("""COMPUTED_VALUE"""),"")</f>
        <v/>
      </c>
      <c r="P241" s="36" t="str">
        <f ca="1">IFERROR(__xludf.DUMMYFUNCTION("""COMPUTED_VALUE"""),"")</f>
        <v/>
      </c>
      <c r="Q241" s="36" t="str">
        <f ca="1">IFERROR(__xludf.DUMMYFUNCTION("""COMPUTED_VALUE"""),"")</f>
        <v/>
      </c>
      <c r="R241" s="36" t="str">
        <f ca="1">IFERROR(__xludf.DUMMYFUNCTION("""COMPUTED_VALUE"""),"")</f>
        <v/>
      </c>
      <c r="S241" s="36" t="str">
        <f ca="1">IFERROR(__xludf.DUMMYFUNCTION("""COMPUTED_VALUE"""),"")</f>
        <v/>
      </c>
      <c r="T241" s="36" t="str">
        <f ca="1">IFERROR(__xludf.DUMMYFUNCTION("""COMPUTED_VALUE"""),"")</f>
        <v/>
      </c>
      <c r="U241" s="36" t="str">
        <f ca="1">IFERROR(__xludf.DUMMYFUNCTION("""COMPUTED_VALUE"""),"")</f>
        <v/>
      </c>
      <c r="V241" s="36" t="str">
        <f ca="1">IFERROR(__xludf.DUMMYFUNCTION("""COMPUTED_VALUE"""),"")</f>
        <v/>
      </c>
      <c r="W241" s="36" t="str">
        <f ca="1">IFERROR(__xludf.DUMMYFUNCTION("""COMPUTED_VALUE"""),"")</f>
        <v/>
      </c>
      <c r="X241" s="36"/>
      <c r="Y241" s="36"/>
      <c r="Z241" s="36"/>
    </row>
    <row r="242" spans="1:26" ht="12.75" hidden="1">
      <c r="A242" s="36" t="str">
        <f ca="1">IFERROR(__xludf.DUMMYFUNCTION("""COMPUTED_VALUE"""),"")</f>
        <v/>
      </c>
      <c r="B242" s="36" t="str">
        <f ca="1">IFERROR(__xludf.DUMMYFUNCTION("""COMPUTED_VALUE"""),"")</f>
        <v/>
      </c>
      <c r="C242" s="36" t="str">
        <f ca="1">IFERROR(__xludf.DUMMYFUNCTION("""COMPUTED_VALUE"""),"")</f>
        <v/>
      </c>
      <c r="D242" s="36" t="str">
        <f ca="1">IFERROR(__xludf.DUMMYFUNCTION("""COMPUTED_VALUE"""),"")</f>
        <v/>
      </c>
      <c r="E242" s="36" t="str">
        <f ca="1">IFERROR(__xludf.DUMMYFUNCTION("""COMPUTED_VALUE"""),"")</f>
        <v/>
      </c>
      <c r="F242" s="36" t="str">
        <f ca="1">IFERROR(__xludf.DUMMYFUNCTION("""COMPUTED_VALUE"""),"")</f>
        <v/>
      </c>
      <c r="G242" s="36" t="str">
        <f ca="1">IFERROR(__xludf.DUMMYFUNCTION("""COMPUTED_VALUE"""),"")</f>
        <v/>
      </c>
      <c r="H242" s="36" t="str">
        <f ca="1">IFERROR(__xludf.DUMMYFUNCTION("""COMPUTED_VALUE"""),"")</f>
        <v/>
      </c>
      <c r="I242" s="36" t="str">
        <f ca="1">IFERROR(__xludf.DUMMYFUNCTION("""COMPUTED_VALUE"""),"")</f>
        <v/>
      </c>
      <c r="J242" s="36" t="str">
        <f ca="1">IFERROR(__xludf.DUMMYFUNCTION("""COMPUTED_VALUE"""),"")</f>
        <v/>
      </c>
      <c r="K242" s="36" t="str">
        <f ca="1">IFERROR(__xludf.DUMMYFUNCTION("""COMPUTED_VALUE"""),"")</f>
        <v/>
      </c>
      <c r="L242" s="36" t="str">
        <f ca="1">IFERROR(__xludf.DUMMYFUNCTION("""COMPUTED_VALUE"""),"")</f>
        <v/>
      </c>
      <c r="M242" s="36" t="str">
        <f ca="1">IFERROR(__xludf.DUMMYFUNCTION("""COMPUTED_VALUE"""),"")</f>
        <v/>
      </c>
      <c r="N242" s="36" t="str">
        <f ca="1">IFERROR(__xludf.DUMMYFUNCTION("""COMPUTED_VALUE"""),"")</f>
        <v/>
      </c>
      <c r="O242" s="36" t="str">
        <f ca="1">IFERROR(__xludf.DUMMYFUNCTION("""COMPUTED_VALUE"""),"")</f>
        <v/>
      </c>
      <c r="P242" s="36" t="str">
        <f ca="1">IFERROR(__xludf.DUMMYFUNCTION("""COMPUTED_VALUE"""),"")</f>
        <v/>
      </c>
      <c r="Q242" s="36" t="str">
        <f ca="1">IFERROR(__xludf.DUMMYFUNCTION("""COMPUTED_VALUE"""),"")</f>
        <v/>
      </c>
      <c r="R242" s="36" t="str">
        <f ca="1">IFERROR(__xludf.DUMMYFUNCTION("""COMPUTED_VALUE"""),"")</f>
        <v/>
      </c>
      <c r="S242" s="36" t="str">
        <f ca="1">IFERROR(__xludf.DUMMYFUNCTION("""COMPUTED_VALUE"""),"")</f>
        <v/>
      </c>
      <c r="T242" s="36" t="str">
        <f ca="1">IFERROR(__xludf.DUMMYFUNCTION("""COMPUTED_VALUE"""),"")</f>
        <v/>
      </c>
      <c r="U242" s="36" t="str">
        <f ca="1">IFERROR(__xludf.DUMMYFUNCTION("""COMPUTED_VALUE"""),"")</f>
        <v/>
      </c>
      <c r="V242" s="36" t="str">
        <f ca="1">IFERROR(__xludf.DUMMYFUNCTION("""COMPUTED_VALUE"""),"")</f>
        <v/>
      </c>
      <c r="W242" s="36" t="str">
        <f ca="1">IFERROR(__xludf.DUMMYFUNCTION("""COMPUTED_VALUE"""),"")</f>
        <v/>
      </c>
      <c r="X242" s="36"/>
      <c r="Y242" s="36"/>
      <c r="Z242" s="36"/>
    </row>
    <row r="243" spans="1:26" ht="12.75" hidden="1">
      <c r="A243" s="36" t="str">
        <f ca="1">IFERROR(__xludf.DUMMYFUNCTION("""COMPUTED_VALUE"""),"")</f>
        <v/>
      </c>
      <c r="B243" s="36" t="str">
        <f ca="1">IFERROR(__xludf.DUMMYFUNCTION("""COMPUTED_VALUE"""),"")</f>
        <v/>
      </c>
      <c r="C243" s="36" t="str">
        <f ca="1">IFERROR(__xludf.DUMMYFUNCTION("""COMPUTED_VALUE"""),"")</f>
        <v/>
      </c>
      <c r="D243" s="36" t="str">
        <f ca="1">IFERROR(__xludf.DUMMYFUNCTION("""COMPUTED_VALUE"""),"")</f>
        <v/>
      </c>
      <c r="E243" s="36" t="str">
        <f ca="1">IFERROR(__xludf.DUMMYFUNCTION("""COMPUTED_VALUE"""),"")</f>
        <v/>
      </c>
      <c r="F243" s="36" t="str">
        <f ca="1">IFERROR(__xludf.DUMMYFUNCTION("""COMPUTED_VALUE"""),"")</f>
        <v/>
      </c>
      <c r="G243" s="36" t="str">
        <f ca="1">IFERROR(__xludf.DUMMYFUNCTION("""COMPUTED_VALUE"""),"")</f>
        <v/>
      </c>
      <c r="H243" s="36" t="str">
        <f ca="1">IFERROR(__xludf.DUMMYFUNCTION("""COMPUTED_VALUE"""),"")</f>
        <v/>
      </c>
      <c r="I243" s="36" t="str">
        <f ca="1">IFERROR(__xludf.DUMMYFUNCTION("""COMPUTED_VALUE"""),"")</f>
        <v/>
      </c>
      <c r="J243" s="36" t="str">
        <f ca="1">IFERROR(__xludf.DUMMYFUNCTION("""COMPUTED_VALUE"""),"")</f>
        <v/>
      </c>
      <c r="K243" s="36" t="str">
        <f ca="1">IFERROR(__xludf.DUMMYFUNCTION("""COMPUTED_VALUE"""),"")</f>
        <v/>
      </c>
      <c r="L243" s="36" t="str">
        <f ca="1">IFERROR(__xludf.DUMMYFUNCTION("""COMPUTED_VALUE"""),"")</f>
        <v/>
      </c>
      <c r="M243" s="36" t="str">
        <f ca="1">IFERROR(__xludf.DUMMYFUNCTION("""COMPUTED_VALUE"""),"")</f>
        <v/>
      </c>
      <c r="N243" s="36" t="str">
        <f ca="1">IFERROR(__xludf.DUMMYFUNCTION("""COMPUTED_VALUE"""),"")</f>
        <v/>
      </c>
      <c r="O243" s="36" t="str">
        <f ca="1">IFERROR(__xludf.DUMMYFUNCTION("""COMPUTED_VALUE"""),"")</f>
        <v/>
      </c>
      <c r="P243" s="36" t="str">
        <f ca="1">IFERROR(__xludf.DUMMYFUNCTION("""COMPUTED_VALUE"""),"")</f>
        <v/>
      </c>
      <c r="Q243" s="36" t="str">
        <f ca="1">IFERROR(__xludf.DUMMYFUNCTION("""COMPUTED_VALUE"""),"")</f>
        <v/>
      </c>
      <c r="R243" s="36" t="str">
        <f ca="1">IFERROR(__xludf.DUMMYFUNCTION("""COMPUTED_VALUE"""),"")</f>
        <v/>
      </c>
      <c r="S243" s="36" t="str">
        <f ca="1">IFERROR(__xludf.DUMMYFUNCTION("""COMPUTED_VALUE"""),"")</f>
        <v/>
      </c>
      <c r="T243" s="36" t="str">
        <f ca="1">IFERROR(__xludf.DUMMYFUNCTION("""COMPUTED_VALUE"""),"")</f>
        <v/>
      </c>
      <c r="U243" s="36" t="str">
        <f ca="1">IFERROR(__xludf.DUMMYFUNCTION("""COMPUTED_VALUE"""),"")</f>
        <v/>
      </c>
      <c r="V243" s="36" t="str">
        <f ca="1">IFERROR(__xludf.DUMMYFUNCTION("""COMPUTED_VALUE"""),"")</f>
        <v/>
      </c>
      <c r="W243" s="36" t="str">
        <f ca="1">IFERROR(__xludf.DUMMYFUNCTION("""COMPUTED_VALUE"""),"")</f>
        <v/>
      </c>
      <c r="X243" s="36"/>
      <c r="Y243" s="36"/>
      <c r="Z243" s="36"/>
    </row>
    <row r="244" spans="1:26" ht="12.75" hidden="1">
      <c r="A244" s="36" t="str">
        <f ca="1">IFERROR(__xludf.DUMMYFUNCTION("""COMPUTED_VALUE"""),"")</f>
        <v/>
      </c>
      <c r="B244" s="36" t="str">
        <f ca="1">IFERROR(__xludf.DUMMYFUNCTION("""COMPUTED_VALUE"""),"")</f>
        <v/>
      </c>
      <c r="C244" s="36" t="str">
        <f ca="1">IFERROR(__xludf.DUMMYFUNCTION("""COMPUTED_VALUE"""),"")</f>
        <v/>
      </c>
      <c r="D244" s="36" t="str">
        <f ca="1">IFERROR(__xludf.DUMMYFUNCTION("""COMPUTED_VALUE"""),"")</f>
        <v/>
      </c>
      <c r="E244" s="36" t="str">
        <f ca="1">IFERROR(__xludf.DUMMYFUNCTION("""COMPUTED_VALUE"""),"")</f>
        <v/>
      </c>
      <c r="F244" s="36" t="str">
        <f ca="1">IFERROR(__xludf.DUMMYFUNCTION("""COMPUTED_VALUE"""),"")</f>
        <v/>
      </c>
      <c r="G244" s="36" t="str">
        <f ca="1">IFERROR(__xludf.DUMMYFUNCTION("""COMPUTED_VALUE"""),"")</f>
        <v/>
      </c>
      <c r="H244" s="36" t="str">
        <f ca="1">IFERROR(__xludf.DUMMYFUNCTION("""COMPUTED_VALUE"""),"")</f>
        <v/>
      </c>
      <c r="I244" s="36" t="str">
        <f ca="1">IFERROR(__xludf.DUMMYFUNCTION("""COMPUTED_VALUE"""),"")</f>
        <v/>
      </c>
      <c r="J244" s="36" t="str">
        <f ca="1">IFERROR(__xludf.DUMMYFUNCTION("""COMPUTED_VALUE"""),"")</f>
        <v/>
      </c>
      <c r="K244" s="36" t="str">
        <f ca="1">IFERROR(__xludf.DUMMYFUNCTION("""COMPUTED_VALUE"""),"")</f>
        <v/>
      </c>
      <c r="L244" s="36" t="str">
        <f ca="1">IFERROR(__xludf.DUMMYFUNCTION("""COMPUTED_VALUE"""),"")</f>
        <v/>
      </c>
      <c r="M244" s="36" t="str">
        <f ca="1">IFERROR(__xludf.DUMMYFUNCTION("""COMPUTED_VALUE"""),"")</f>
        <v/>
      </c>
      <c r="N244" s="36" t="str">
        <f ca="1">IFERROR(__xludf.DUMMYFUNCTION("""COMPUTED_VALUE"""),"")</f>
        <v/>
      </c>
      <c r="O244" s="36" t="str">
        <f ca="1">IFERROR(__xludf.DUMMYFUNCTION("""COMPUTED_VALUE"""),"")</f>
        <v/>
      </c>
      <c r="P244" s="36" t="str">
        <f ca="1">IFERROR(__xludf.DUMMYFUNCTION("""COMPUTED_VALUE"""),"")</f>
        <v/>
      </c>
      <c r="Q244" s="36" t="str">
        <f ca="1">IFERROR(__xludf.DUMMYFUNCTION("""COMPUTED_VALUE"""),"")</f>
        <v/>
      </c>
      <c r="R244" s="36" t="str">
        <f ca="1">IFERROR(__xludf.DUMMYFUNCTION("""COMPUTED_VALUE"""),"")</f>
        <v/>
      </c>
      <c r="S244" s="36" t="str">
        <f ca="1">IFERROR(__xludf.DUMMYFUNCTION("""COMPUTED_VALUE"""),"")</f>
        <v/>
      </c>
      <c r="T244" s="36" t="str">
        <f ca="1">IFERROR(__xludf.DUMMYFUNCTION("""COMPUTED_VALUE"""),"")</f>
        <v/>
      </c>
      <c r="U244" s="36" t="str">
        <f ca="1">IFERROR(__xludf.DUMMYFUNCTION("""COMPUTED_VALUE"""),"")</f>
        <v/>
      </c>
      <c r="V244" s="36" t="str">
        <f ca="1">IFERROR(__xludf.DUMMYFUNCTION("""COMPUTED_VALUE"""),"")</f>
        <v/>
      </c>
      <c r="W244" s="36" t="str">
        <f ca="1">IFERROR(__xludf.DUMMYFUNCTION("""COMPUTED_VALUE"""),"")</f>
        <v/>
      </c>
      <c r="X244" s="36"/>
      <c r="Y244" s="36"/>
      <c r="Z244" s="36"/>
    </row>
    <row r="245" spans="1:26" ht="12.75" hidden="1">
      <c r="A245" s="36" t="str">
        <f ca="1">IFERROR(__xludf.DUMMYFUNCTION("""COMPUTED_VALUE"""),"")</f>
        <v/>
      </c>
      <c r="B245" s="36" t="str">
        <f ca="1">IFERROR(__xludf.DUMMYFUNCTION("""COMPUTED_VALUE"""),"")</f>
        <v/>
      </c>
      <c r="C245" s="36" t="str">
        <f ca="1">IFERROR(__xludf.DUMMYFUNCTION("""COMPUTED_VALUE"""),"")</f>
        <v/>
      </c>
      <c r="D245" s="36" t="str">
        <f ca="1">IFERROR(__xludf.DUMMYFUNCTION("""COMPUTED_VALUE"""),"")</f>
        <v/>
      </c>
      <c r="E245" s="36" t="str">
        <f ca="1">IFERROR(__xludf.DUMMYFUNCTION("""COMPUTED_VALUE"""),"")</f>
        <v/>
      </c>
      <c r="F245" s="36" t="str">
        <f ca="1">IFERROR(__xludf.DUMMYFUNCTION("""COMPUTED_VALUE"""),"")</f>
        <v/>
      </c>
      <c r="G245" s="36" t="str">
        <f ca="1">IFERROR(__xludf.DUMMYFUNCTION("""COMPUTED_VALUE"""),"")</f>
        <v/>
      </c>
      <c r="H245" s="36" t="str">
        <f ca="1">IFERROR(__xludf.DUMMYFUNCTION("""COMPUTED_VALUE"""),"")</f>
        <v/>
      </c>
      <c r="I245" s="36" t="str">
        <f ca="1">IFERROR(__xludf.DUMMYFUNCTION("""COMPUTED_VALUE"""),"")</f>
        <v/>
      </c>
      <c r="J245" s="36" t="str">
        <f ca="1">IFERROR(__xludf.DUMMYFUNCTION("""COMPUTED_VALUE"""),"")</f>
        <v/>
      </c>
      <c r="K245" s="36" t="str">
        <f ca="1">IFERROR(__xludf.DUMMYFUNCTION("""COMPUTED_VALUE"""),"")</f>
        <v/>
      </c>
      <c r="L245" s="36" t="str">
        <f ca="1">IFERROR(__xludf.DUMMYFUNCTION("""COMPUTED_VALUE"""),"")</f>
        <v/>
      </c>
      <c r="M245" s="36" t="str">
        <f ca="1">IFERROR(__xludf.DUMMYFUNCTION("""COMPUTED_VALUE"""),"")</f>
        <v/>
      </c>
      <c r="N245" s="36" t="str">
        <f ca="1">IFERROR(__xludf.DUMMYFUNCTION("""COMPUTED_VALUE"""),"")</f>
        <v/>
      </c>
      <c r="O245" s="36" t="str">
        <f ca="1">IFERROR(__xludf.DUMMYFUNCTION("""COMPUTED_VALUE"""),"")</f>
        <v/>
      </c>
      <c r="P245" s="36" t="str">
        <f ca="1">IFERROR(__xludf.DUMMYFUNCTION("""COMPUTED_VALUE"""),"")</f>
        <v/>
      </c>
      <c r="Q245" s="36" t="str">
        <f ca="1">IFERROR(__xludf.DUMMYFUNCTION("""COMPUTED_VALUE"""),"")</f>
        <v/>
      </c>
      <c r="R245" s="36" t="str">
        <f ca="1">IFERROR(__xludf.DUMMYFUNCTION("""COMPUTED_VALUE"""),"")</f>
        <v/>
      </c>
      <c r="S245" s="36" t="str">
        <f ca="1">IFERROR(__xludf.DUMMYFUNCTION("""COMPUTED_VALUE"""),"")</f>
        <v/>
      </c>
      <c r="T245" s="36" t="str">
        <f ca="1">IFERROR(__xludf.DUMMYFUNCTION("""COMPUTED_VALUE"""),"")</f>
        <v/>
      </c>
      <c r="U245" s="36" t="str">
        <f ca="1">IFERROR(__xludf.DUMMYFUNCTION("""COMPUTED_VALUE"""),"")</f>
        <v/>
      </c>
      <c r="V245" s="36" t="str">
        <f ca="1">IFERROR(__xludf.DUMMYFUNCTION("""COMPUTED_VALUE"""),"")</f>
        <v/>
      </c>
      <c r="W245" s="36" t="str">
        <f ca="1">IFERROR(__xludf.DUMMYFUNCTION("""COMPUTED_VALUE"""),"")</f>
        <v/>
      </c>
      <c r="X245" s="36"/>
      <c r="Y245" s="36"/>
      <c r="Z245" s="36"/>
    </row>
    <row r="246" spans="1:26" ht="12.75" hidden="1">
      <c r="A246" s="36" t="str">
        <f ca="1">IFERROR(__xludf.DUMMYFUNCTION("""COMPUTED_VALUE"""),"")</f>
        <v/>
      </c>
      <c r="B246" s="36" t="str">
        <f ca="1">IFERROR(__xludf.DUMMYFUNCTION("""COMPUTED_VALUE"""),"")</f>
        <v/>
      </c>
      <c r="C246" s="36" t="str">
        <f ca="1">IFERROR(__xludf.DUMMYFUNCTION("""COMPUTED_VALUE"""),"")</f>
        <v/>
      </c>
      <c r="D246" s="36" t="str">
        <f ca="1">IFERROR(__xludf.DUMMYFUNCTION("""COMPUTED_VALUE"""),"")</f>
        <v/>
      </c>
      <c r="E246" s="36" t="str">
        <f ca="1">IFERROR(__xludf.DUMMYFUNCTION("""COMPUTED_VALUE"""),"")</f>
        <v/>
      </c>
      <c r="F246" s="36" t="str">
        <f ca="1">IFERROR(__xludf.DUMMYFUNCTION("""COMPUTED_VALUE"""),"")</f>
        <v/>
      </c>
      <c r="G246" s="36" t="str">
        <f ca="1">IFERROR(__xludf.DUMMYFUNCTION("""COMPUTED_VALUE"""),"")</f>
        <v/>
      </c>
      <c r="H246" s="36" t="str">
        <f ca="1">IFERROR(__xludf.DUMMYFUNCTION("""COMPUTED_VALUE"""),"")</f>
        <v/>
      </c>
      <c r="I246" s="36" t="str">
        <f ca="1">IFERROR(__xludf.DUMMYFUNCTION("""COMPUTED_VALUE"""),"")</f>
        <v/>
      </c>
      <c r="J246" s="36" t="str">
        <f ca="1">IFERROR(__xludf.DUMMYFUNCTION("""COMPUTED_VALUE"""),"")</f>
        <v/>
      </c>
      <c r="K246" s="36" t="str">
        <f ca="1">IFERROR(__xludf.DUMMYFUNCTION("""COMPUTED_VALUE"""),"")</f>
        <v/>
      </c>
      <c r="L246" s="36" t="str">
        <f ca="1">IFERROR(__xludf.DUMMYFUNCTION("""COMPUTED_VALUE"""),"")</f>
        <v/>
      </c>
      <c r="M246" s="36" t="str">
        <f ca="1">IFERROR(__xludf.DUMMYFUNCTION("""COMPUTED_VALUE"""),"")</f>
        <v/>
      </c>
      <c r="N246" s="36" t="str">
        <f ca="1">IFERROR(__xludf.DUMMYFUNCTION("""COMPUTED_VALUE"""),"")</f>
        <v/>
      </c>
      <c r="O246" s="36" t="str">
        <f ca="1">IFERROR(__xludf.DUMMYFUNCTION("""COMPUTED_VALUE"""),"")</f>
        <v/>
      </c>
      <c r="P246" s="36" t="str">
        <f ca="1">IFERROR(__xludf.DUMMYFUNCTION("""COMPUTED_VALUE"""),"")</f>
        <v/>
      </c>
      <c r="Q246" s="36" t="str">
        <f ca="1">IFERROR(__xludf.DUMMYFUNCTION("""COMPUTED_VALUE"""),"")</f>
        <v/>
      </c>
      <c r="R246" s="36" t="str">
        <f ca="1">IFERROR(__xludf.DUMMYFUNCTION("""COMPUTED_VALUE"""),"")</f>
        <v/>
      </c>
      <c r="S246" s="36" t="str">
        <f ca="1">IFERROR(__xludf.DUMMYFUNCTION("""COMPUTED_VALUE"""),"")</f>
        <v/>
      </c>
      <c r="T246" s="36" t="str">
        <f ca="1">IFERROR(__xludf.DUMMYFUNCTION("""COMPUTED_VALUE"""),"")</f>
        <v/>
      </c>
      <c r="U246" s="36" t="str">
        <f ca="1">IFERROR(__xludf.DUMMYFUNCTION("""COMPUTED_VALUE"""),"")</f>
        <v/>
      </c>
      <c r="V246" s="36" t="str">
        <f ca="1">IFERROR(__xludf.DUMMYFUNCTION("""COMPUTED_VALUE"""),"")</f>
        <v/>
      </c>
      <c r="W246" s="36" t="str">
        <f ca="1">IFERROR(__xludf.DUMMYFUNCTION("""COMPUTED_VALUE"""),"")</f>
        <v/>
      </c>
      <c r="X246" s="36"/>
      <c r="Y246" s="36"/>
      <c r="Z246" s="36"/>
    </row>
    <row r="247" spans="1:26" ht="12.75" hidden="1">
      <c r="A247" s="36" t="str">
        <f ca="1">IFERROR(__xludf.DUMMYFUNCTION("""COMPUTED_VALUE"""),"")</f>
        <v/>
      </c>
      <c r="B247" s="36" t="str">
        <f ca="1">IFERROR(__xludf.DUMMYFUNCTION("""COMPUTED_VALUE"""),"")</f>
        <v/>
      </c>
      <c r="C247" s="36" t="str">
        <f ca="1">IFERROR(__xludf.DUMMYFUNCTION("""COMPUTED_VALUE"""),"")</f>
        <v/>
      </c>
      <c r="D247" s="36" t="str">
        <f ca="1">IFERROR(__xludf.DUMMYFUNCTION("""COMPUTED_VALUE"""),"")</f>
        <v/>
      </c>
      <c r="E247" s="36" t="str">
        <f ca="1">IFERROR(__xludf.DUMMYFUNCTION("""COMPUTED_VALUE"""),"")</f>
        <v/>
      </c>
      <c r="F247" s="36" t="str">
        <f ca="1">IFERROR(__xludf.DUMMYFUNCTION("""COMPUTED_VALUE"""),"")</f>
        <v/>
      </c>
      <c r="G247" s="36" t="str">
        <f ca="1">IFERROR(__xludf.DUMMYFUNCTION("""COMPUTED_VALUE"""),"")</f>
        <v/>
      </c>
      <c r="H247" s="36" t="str">
        <f ca="1">IFERROR(__xludf.DUMMYFUNCTION("""COMPUTED_VALUE"""),"")</f>
        <v/>
      </c>
      <c r="I247" s="36" t="str">
        <f ca="1">IFERROR(__xludf.DUMMYFUNCTION("""COMPUTED_VALUE"""),"")</f>
        <v/>
      </c>
      <c r="J247" s="36" t="str">
        <f ca="1">IFERROR(__xludf.DUMMYFUNCTION("""COMPUTED_VALUE"""),"")</f>
        <v/>
      </c>
      <c r="K247" s="36" t="str">
        <f ca="1">IFERROR(__xludf.DUMMYFUNCTION("""COMPUTED_VALUE"""),"")</f>
        <v/>
      </c>
      <c r="L247" s="36" t="str">
        <f ca="1">IFERROR(__xludf.DUMMYFUNCTION("""COMPUTED_VALUE"""),"")</f>
        <v/>
      </c>
      <c r="M247" s="36" t="str">
        <f ca="1">IFERROR(__xludf.DUMMYFUNCTION("""COMPUTED_VALUE"""),"")</f>
        <v/>
      </c>
      <c r="N247" s="36" t="str">
        <f ca="1">IFERROR(__xludf.DUMMYFUNCTION("""COMPUTED_VALUE"""),"")</f>
        <v/>
      </c>
      <c r="O247" s="36" t="str">
        <f ca="1">IFERROR(__xludf.DUMMYFUNCTION("""COMPUTED_VALUE"""),"")</f>
        <v/>
      </c>
      <c r="P247" s="36" t="str">
        <f ca="1">IFERROR(__xludf.DUMMYFUNCTION("""COMPUTED_VALUE"""),"")</f>
        <v/>
      </c>
      <c r="Q247" s="36" t="str">
        <f ca="1">IFERROR(__xludf.DUMMYFUNCTION("""COMPUTED_VALUE"""),"")</f>
        <v/>
      </c>
      <c r="R247" s="36" t="str">
        <f ca="1">IFERROR(__xludf.DUMMYFUNCTION("""COMPUTED_VALUE"""),"")</f>
        <v/>
      </c>
      <c r="S247" s="36" t="str">
        <f ca="1">IFERROR(__xludf.DUMMYFUNCTION("""COMPUTED_VALUE"""),"")</f>
        <v/>
      </c>
      <c r="T247" s="36" t="str">
        <f ca="1">IFERROR(__xludf.DUMMYFUNCTION("""COMPUTED_VALUE"""),"")</f>
        <v/>
      </c>
      <c r="U247" s="36" t="str">
        <f ca="1">IFERROR(__xludf.DUMMYFUNCTION("""COMPUTED_VALUE"""),"")</f>
        <v/>
      </c>
      <c r="V247" s="36" t="str">
        <f ca="1">IFERROR(__xludf.DUMMYFUNCTION("""COMPUTED_VALUE"""),"")</f>
        <v/>
      </c>
      <c r="W247" s="36" t="str">
        <f ca="1">IFERROR(__xludf.DUMMYFUNCTION("""COMPUTED_VALUE"""),"")</f>
        <v/>
      </c>
      <c r="X247" s="36"/>
      <c r="Y247" s="36"/>
      <c r="Z247" s="36"/>
    </row>
    <row r="248" spans="1:26" ht="12.75" hidden="1">
      <c r="A248" s="36" t="str">
        <f ca="1">IFERROR(__xludf.DUMMYFUNCTION("""COMPUTED_VALUE"""),"")</f>
        <v/>
      </c>
      <c r="B248" s="36" t="str">
        <f ca="1">IFERROR(__xludf.DUMMYFUNCTION("""COMPUTED_VALUE"""),"")</f>
        <v/>
      </c>
      <c r="C248" s="36" t="str">
        <f ca="1">IFERROR(__xludf.DUMMYFUNCTION("""COMPUTED_VALUE"""),"")</f>
        <v/>
      </c>
      <c r="D248" s="36" t="str">
        <f ca="1">IFERROR(__xludf.DUMMYFUNCTION("""COMPUTED_VALUE"""),"")</f>
        <v/>
      </c>
      <c r="E248" s="36" t="str">
        <f ca="1">IFERROR(__xludf.DUMMYFUNCTION("""COMPUTED_VALUE"""),"")</f>
        <v/>
      </c>
      <c r="F248" s="36" t="str">
        <f ca="1">IFERROR(__xludf.DUMMYFUNCTION("""COMPUTED_VALUE"""),"")</f>
        <v/>
      </c>
      <c r="G248" s="36" t="str">
        <f ca="1">IFERROR(__xludf.DUMMYFUNCTION("""COMPUTED_VALUE"""),"")</f>
        <v/>
      </c>
      <c r="H248" s="36" t="str">
        <f ca="1">IFERROR(__xludf.DUMMYFUNCTION("""COMPUTED_VALUE"""),"")</f>
        <v/>
      </c>
      <c r="I248" s="36" t="str">
        <f ca="1">IFERROR(__xludf.DUMMYFUNCTION("""COMPUTED_VALUE"""),"")</f>
        <v/>
      </c>
      <c r="J248" s="36" t="str">
        <f ca="1">IFERROR(__xludf.DUMMYFUNCTION("""COMPUTED_VALUE"""),"")</f>
        <v/>
      </c>
      <c r="K248" s="36" t="str">
        <f ca="1">IFERROR(__xludf.DUMMYFUNCTION("""COMPUTED_VALUE"""),"")</f>
        <v/>
      </c>
      <c r="L248" s="36" t="str">
        <f ca="1">IFERROR(__xludf.DUMMYFUNCTION("""COMPUTED_VALUE"""),"")</f>
        <v/>
      </c>
      <c r="M248" s="36" t="str">
        <f ca="1">IFERROR(__xludf.DUMMYFUNCTION("""COMPUTED_VALUE"""),"")</f>
        <v/>
      </c>
      <c r="N248" s="36" t="str">
        <f ca="1">IFERROR(__xludf.DUMMYFUNCTION("""COMPUTED_VALUE"""),"")</f>
        <v/>
      </c>
      <c r="O248" s="36" t="str">
        <f ca="1">IFERROR(__xludf.DUMMYFUNCTION("""COMPUTED_VALUE"""),"")</f>
        <v/>
      </c>
      <c r="P248" s="36" t="str">
        <f ca="1">IFERROR(__xludf.DUMMYFUNCTION("""COMPUTED_VALUE"""),"")</f>
        <v/>
      </c>
      <c r="Q248" s="36" t="str">
        <f ca="1">IFERROR(__xludf.DUMMYFUNCTION("""COMPUTED_VALUE"""),"")</f>
        <v/>
      </c>
      <c r="R248" s="36" t="str">
        <f ca="1">IFERROR(__xludf.DUMMYFUNCTION("""COMPUTED_VALUE"""),"")</f>
        <v/>
      </c>
      <c r="S248" s="36" t="str">
        <f ca="1">IFERROR(__xludf.DUMMYFUNCTION("""COMPUTED_VALUE"""),"")</f>
        <v/>
      </c>
      <c r="T248" s="36" t="str">
        <f ca="1">IFERROR(__xludf.DUMMYFUNCTION("""COMPUTED_VALUE"""),"")</f>
        <v/>
      </c>
      <c r="U248" s="36" t="str">
        <f ca="1">IFERROR(__xludf.DUMMYFUNCTION("""COMPUTED_VALUE"""),"")</f>
        <v/>
      </c>
      <c r="V248" s="36" t="str">
        <f ca="1">IFERROR(__xludf.DUMMYFUNCTION("""COMPUTED_VALUE"""),"")</f>
        <v/>
      </c>
      <c r="W248" s="36" t="str">
        <f ca="1">IFERROR(__xludf.DUMMYFUNCTION("""COMPUTED_VALUE"""),"")</f>
        <v/>
      </c>
      <c r="X248" s="36"/>
      <c r="Y248" s="36"/>
      <c r="Z248" s="36"/>
    </row>
    <row r="249" spans="1:26" ht="12.75" hidden="1">
      <c r="A249" s="36" t="str">
        <f ca="1">IFERROR(__xludf.DUMMYFUNCTION("""COMPUTED_VALUE"""),"")</f>
        <v/>
      </c>
      <c r="B249" s="36" t="str">
        <f ca="1">IFERROR(__xludf.DUMMYFUNCTION("""COMPUTED_VALUE"""),"")</f>
        <v/>
      </c>
      <c r="C249" s="36" t="str">
        <f ca="1">IFERROR(__xludf.DUMMYFUNCTION("""COMPUTED_VALUE"""),"")</f>
        <v/>
      </c>
      <c r="D249" s="36" t="str">
        <f ca="1">IFERROR(__xludf.DUMMYFUNCTION("""COMPUTED_VALUE"""),"")</f>
        <v/>
      </c>
      <c r="E249" s="36" t="str">
        <f ca="1">IFERROR(__xludf.DUMMYFUNCTION("""COMPUTED_VALUE"""),"")</f>
        <v/>
      </c>
      <c r="F249" s="36" t="str">
        <f ca="1">IFERROR(__xludf.DUMMYFUNCTION("""COMPUTED_VALUE"""),"")</f>
        <v/>
      </c>
      <c r="G249" s="36" t="str">
        <f ca="1">IFERROR(__xludf.DUMMYFUNCTION("""COMPUTED_VALUE"""),"")</f>
        <v/>
      </c>
      <c r="H249" s="36" t="str">
        <f ca="1">IFERROR(__xludf.DUMMYFUNCTION("""COMPUTED_VALUE"""),"")</f>
        <v/>
      </c>
      <c r="I249" s="36" t="str">
        <f ca="1">IFERROR(__xludf.DUMMYFUNCTION("""COMPUTED_VALUE"""),"")</f>
        <v/>
      </c>
      <c r="J249" s="36" t="str">
        <f ca="1">IFERROR(__xludf.DUMMYFUNCTION("""COMPUTED_VALUE"""),"")</f>
        <v/>
      </c>
      <c r="K249" s="36" t="str">
        <f ca="1">IFERROR(__xludf.DUMMYFUNCTION("""COMPUTED_VALUE"""),"")</f>
        <v/>
      </c>
      <c r="L249" s="36" t="str">
        <f ca="1">IFERROR(__xludf.DUMMYFUNCTION("""COMPUTED_VALUE"""),"")</f>
        <v/>
      </c>
      <c r="M249" s="36" t="str">
        <f ca="1">IFERROR(__xludf.DUMMYFUNCTION("""COMPUTED_VALUE"""),"")</f>
        <v/>
      </c>
      <c r="N249" s="36" t="str">
        <f ca="1">IFERROR(__xludf.DUMMYFUNCTION("""COMPUTED_VALUE"""),"")</f>
        <v/>
      </c>
      <c r="O249" s="36" t="str">
        <f ca="1">IFERROR(__xludf.DUMMYFUNCTION("""COMPUTED_VALUE"""),"")</f>
        <v/>
      </c>
      <c r="P249" s="36" t="str">
        <f ca="1">IFERROR(__xludf.DUMMYFUNCTION("""COMPUTED_VALUE"""),"")</f>
        <v/>
      </c>
      <c r="Q249" s="36" t="str">
        <f ca="1">IFERROR(__xludf.DUMMYFUNCTION("""COMPUTED_VALUE"""),"")</f>
        <v/>
      </c>
      <c r="R249" s="36" t="str">
        <f ca="1">IFERROR(__xludf.DUMMYFUNCTION("""COMPUTED_VALUE"""),"")</f>
        <v/>
      </c>
      <c r="S249" s="36" t="str">
        <f ca="1">IFERROR(__xludf.DUMMYFUNCTION("""COMPUTED_VALUE"""),"")</f>
        <v/>
      </c>
      <c r="T249" s="36" t="str">
        <f ca="1">IFERROR(__xludf.DUMMYFUNCTION("""COMPUTED_VALUE"""),"")</f>
        <v/>
      </c>
      <c r="U249" s="36" t="str">
        <f ca="1">IFERROR(__xludf.DUMMYFUNCTION("""COMPUTED_VALUE"""),"")</f>
        <v/>
      </c>
      <c r="V249" s="36" t="str">
        <f ca="1">IFERROR(__xludf.DUMMYFUNCTION("""COMPUTED_VALUE"""),"")</f>
        <v/>
      </c>
      <c r="W249" s="36" t="str">
        <f ca="1">IFERROR(__xludf.DUMMYFUNCTION("""COMPUTED_VALUE"""),"")</f>
        <v/>
      </c>
      <c r="X249" s="36"/>
      <c r="Y249" s="36"/>
      <c r="Z249" s="36"/>
    </row>
    <row r="250" spans="1:26" ht="12.75" hidden="1">
      <c r="A250" s="36" t="str">
        <f ca="1">IFERROR(__xludf.DUMMYFUNCTION("""COMPUTED_VALUE"""),"")</f>
        <v/>
      </c>
      <c r="B250" s="36" t="str">
        <f ca="1">IFERROR(__xludf.DUMMYFUNCTION("""COMPUTED_VALUE"""),"")</f>
        <v/>
      </c>
      <c r="C250" s="36" t="str">
        <f ca="1">IFERROR(__xludf.DUMMYFUNCTION("""COMPUTED_VALUE"""),"")</f>
        <v/>
      </c>
      <c r="D250" s="36" t="str">
        <f ca="1">IFERROR(__xludf.DUMMYFUNCTION("""COMPUTED_VALUE"""),"")</f>
        <v/>
      </c>
      <c r="E250" s="36" t="str">
        <f ca="1">IFERROR(__xludf.DUMMYFUNCTION("""COMPUTED_VALUE"""),"")</f>
        <v/>
      </c>
      <c r="F250" s="36" t="str">
        <f ca="1">IFERROR(__xludf.DUMMYFUNCTION("""COMPUTED_VALUE"""),"")</f>
        <v/>
      </c>
      <c r="G250" s="36" t="str">
        <f ca="1">IFERROR(__xludf.DUMMYFUNCTION("""COMPUTED_VALUE"""),"")</f>
        <v/>
      </c>
      <c r="H250" s="36" t="str">
        <f ca="1">IFERROR(__xludf.DUMMYFUNCTION("""COMPUTED_VALUE"""),"")</f>
        <v/>
      </c>
      <c r="I250" s="36" t="str">
        <f ca="1">IFERROR(__xludf.DUMMYFUNCTION("""COMPUTED_VALUE"""),"")</f>
        <v/>
      </c>
      <c r="J250" s="36" t="str">
        <f ca="1">IFERROR(__xludf.DUMMYFUNCTION("""COMPUTED_VALUE"""),"")</f>
        <v/>
      </c>
      <c r="K250" s="36" t="str">
        <f ca="1">IFERROR(__xludf.DUMMYFUNCTION("""COMPUTED_VALUE"""),"")</f>
        <v/>
      </c>
      <c r="L250" s="36" t="str">
        <f ca="1">IFERROR(__xludf.DUMMYFUNCTION("""COMPUTED_VALUE"""),"")</f>
        <v/>
      </c>
      <c r="M250" s="36" t="str">
        <f ca="1">IFERROR(__xludf.DUMMYFUNCTION("""COMPUTED_VALUE"""),"")</f>
        <v/>
      </c>
      <c r="N250" s="36" t="str">
        <f ca="1">IFERROR(__xludf.DUMMYFUNCTION("""COMPUTED_VALUE"""),"")</f>
        <v/>
      </c>
      <c r="O250" s="36" t="str">
        <f ca="1">IFERROR(__xludf.DUMMYFUNCTION("""COMPUTED_VALUE"""),"")</f>
        <v/>
      </c>
      <c r="P250" s="36" t="str">
        <f ca="1">IFERROR(__xludf.DUMMYFUNCTION("""COMPUTED_VALUE"""),"")</f>
        <v/>
      </c>
      <c r="Q250" s="36" t="str">
        <f ca="1">IFERROR(__xludf.DUMMYFUNCTION("""COMPUTED_VALUE"""),"")</f>
        <v/>
      </c>
      <c r="R250" s="36" t="str">
        <f ca="1">IFERROR(__xludf.DUMMYFUNCTION("""COMPUTED_VALUE"""),"")</f>
        <v/>
      </c>
      <c r="S250" s="36" t="str">
        <f ca="1">IFERROR(__xludf.DUMMYFUNCTION("""COMPUTED_VALUE"""),"")</f>
        <v/>
      </c>
      <c r="T250" s="36" t="str">
        <f ca="1">IFERROR(__xludf.DUMMYFUNCTION("""COMPUTED_VALUE"""),"")</f>
        <v/>
      </c>
      <c r="U250" s="36" t="str">
        <f ca="1">IFERROR(__xludf.DUMMYFUNCTION("""COMPUTED_VALUE"""),"")</f>
        <v/>
      </c>
      <c r="V250" s="36" t="str">
        <f ca="1">IFERROR(__xludf.DUMMYFUNCTION("""COMPUTED_VALUE"""),"")</f>
        <v/>
      </c>
      <c r="W250" s="36" t="str">
        <f ca="1">IFERROR(__xludf.DUMMYFUNCTION("""COMPUTED_VALUE"""),"")</f>
        <v/>
      </c>
      <c r="X250" s="36"/>
      <c r="Y250" s="36"/>
      <c r="Z250" s="36"/>
    </row>
    <row r="251" spans="1:26" ht="12.75" hidden="1">
      <c r="A251" s="36" t="str">
        <f ca="1">IFERROR(__xludf.DUMMYFUNCTION("""COMPUTED_VALUE"""),"")</f>
        <v/>
      </c>
      <c r="B251" s="36" t="str">
        <f ca="1">IFERROR(__xludf.DUMMYFUNCTION("""COMPUTED_VALUE"""),"")</f>
        <v/>
      </c>
      <c r="C251" s="36" t="str">
        <f ca="1">IFERROR(__xludf.DUMMYFUNCTION("""COMPUTED_VALUE"""),"")</f>
        <v/>
      </c>
      <c r="D251" s="36" t="str">
        <f ca="1">IFERROR(__xludf.DUMMYFUNCTION("""COMPUTED_VALUE"""),"")</f>
        <v/>
      </c>
      <c r="E251" s="36" t="str">
        <f ca="1">IFERROR(__xludf.DUMMYFUNCTION("""COMPUTED_VALUE"""),"")</f>
        <v/>
      </c>
      <c r="F251" s="36" t="str">
        <f ca="1">IFERROR(__xludf.DUMMYFUNCTION("""COMPUTED_VALUE"""),"")</f>
        <v/>
      </c>
      <c r="G251" s="36" t="str">
        <f ca="1">IFERROR(__xludf.DUMMYFUNCTION("""COMPUTED_VALUE"""),"")</f>
        <v/>
      </c>
      <c r="H251" s="36" t="str">
        <f ca="1">IFERROR(__xludf.DUMMYFUNCTION("""COMPUTED_VALUE"""),"")</f>
        <v/>
      </c>
      <c r="I251" s="36" t="str">
        <f ca="1">IFERROR(__xludf.DUMMYFUNCTION("""COMPUTED_VALUE"""),"")</f>
        <v/>
      </c>
      <c r="J251" s="36" t="str">
        <f ca="1">IFERROR(__xludf.DUMMYFUNCTION("""COMPUTED_VALUE"""),"")</f>
        <v/>
      </c>
      <c r="K251" s="36" t="str">
        <f ca="1">IFERROR(__xludf.DUMMYFUNCTION("""COMPUTED_VALUE"""),"")</f>
        <v/>
      </c>
      <c r="L251" s="36" t="str">
        <f ca="1">IFERROR(__xludf.DUMMYFUNCTION("""COMPUTED_VALUE"""),"")</f>
        <v/>
      </c>
      <c r="M251" s="36" t="str">
        <f ca="1">IFERROR(__xludf.DUMMYFUNCTION("""COMPUTED_VALUE"""),"")</f>
        <v/>
      </c>
      <c r="N251" s="36" t="str">
        <f ca="1">IFERROR(__xludf.DUMMYFUNCTION("""COMPUTED_VALUE"""),"")</f>
        <v/>
      </c>
      <c r="O251" s="36" t="str">
        <f ca="1">IFERROR(__xludf.DUMMYFUNCTION("""COMPUTED_VALUE"""),"")</f>
        <v/>
      </c>
      <c r="P251" s="36" t="str">
        <f ca="1">IFERROR(__xludf.DUMMYFUNCTION("""COMPUTED_VALUE"""),"")</f>
        <v/>
      </c>
      <c r="Q251" s="36" t="str">
        <f ca="1">IFERROR(__xludf.DUMMYFUNCTION("""COMPUTED_VALUE"""),"")</f>
        <v/>
      </c>
      <c r="R251" s="36" t="str">
        <f ca="1">IFERROR(__xludf.DUMMYFUNCTION("""COMPUTED_VALUE"""),"")</f>
        <v/>
      </c>
      <c r="S251" s="36" t="str">
        <f ca="1">IFERROR(__xludf.DUMMYFUNCTION("""COMPUTED_VALUE"""),"")</f>
        <v/>
      </c>
      <c r="T251" s="36" t="str">
        <f ca="1">IFERROR(__xludf.DUMMYFUNCTION("""COMPUTED_VALUE"""),"")</f>
        <v/>
      </c>
      <c r="U251" s="36" t="str">
        <f ca="1">IFERROR(__xludf.DUMMYFUNCTION("""COMPUTED_VALUE"""),"")</f>
        <v/>
      </c>
      <c r="V251" s="36" t="str">
        <f ca="1">IFERROR(__xludf.DUMMYFUNCTION("""COMPUTED_VALUE"""),"")</f>
        <v/>
      </c>
      <c r="W251" s="36" t="str">
        <f ca="1">IFERROR(__xludf.DUMMYFUNCTION("""COMPUTED_VALUE"""),"")</f>
        <v/>
      </c>
      <c r="X251" s="36"/>
      <c r="Y251" s="36"/>
      <c r="Z251" s="36"/>
    </row>
    <row r="252" spans="1:26" ht="12.75" hidden="1">
      <c r="A252" s="36" t="str">
        <f ca="1">IFERROR(__xludf.DUMMYFUNCTION("""COMPUTED_VALUE"""),"")</f>
        <v/>
      </c>
      <c r="B252" s="36" t="str">
        <f ca="1">IFERROR(__xludf.DUMMYFUNCTION("""COMPUTED_VALUE"""),"")</f>
        <v/>
      </c>
      <c r="C252" s="36" t="str">
        <f ca="1">IFERROR(__xludf.DUMMYFUNCTION("""COMPUTED_VALUE"""),"")</f>
        <v/>
      </c>
      <c r="D252" s="36" t="str">
        <f ca="1">IFERROR(__xludf.DUMMYFUNCTION("""COMPUTED_VALUE"""),"")</f>
        <v/>
      </c>
      <c r="E252" s="36" t="str">
        <f ca="1">IFERROR(__xludf.DUMMYFUNCTION("""COMPUTED_VALUE"""),"")</f>
        <v/>
      </c>
      <c r="F252" s="36" t="str">
        <f ca="1">IFERROR(__xludf.DUMMYFUNCTION("""COMPUTED_VALUE"""),"")</f>
        <v/>
      </c>
      <c r="G252" s="36" t="str">
        <f ca="1">IFERROR(__xludf.DUMMYFUNCTION("""COMPUTED_VALUE"""),"")</f>
        <v/>
      </c>
      <c r="H252" s="36" t="str">
        <f ca="1">IFERROR(__xludf.DUMMYFUNCTION("""COMPUTED_VALUE"""),"")</f>
        <v/>
      </c>
      <c r="I252" s="36" t="str">
        <f ca="1">IFERROR(__xludf.DUMMYFUNCTION("""COMPUTED_VALUE"""),"")</f>
        <v/>
      </c>
      <c r="J252" s="36" t="str">
        <f ca="1">IFERROR(__xludf.DUMMYFUNCTION("""COMPUTED_VALUE"""),"")</f>
        <v/>
      </c>
      <c r="K252" s="36" t="str">
        <f ca="1">IFERROR(__xludf.DUMMYFUNCTION("""COMPUTED_VALUE"""),"")</f>
        <v/>
      </c>
      <c r="L252" s="36" t="str">
        <f ca="1">IFERROR(__xludf.DUMMYFUNCTION("""COMPUTED_VALUE"""),"")</f>
        <v/>
      </c>
      <c r="M252" s="36" t="str">
        <f ca="1">IFERROR(__xludf.DUMMYFUNCTION("""COMPUTED_VALUE"""),"")</f>
        <v/>
      </c>
      <c r="N252" s="36" t="str">
        <f ca="1">IFERROR(__xludf.DUMMYFUNCTION("""COMPUTED_VALUE"""),"")</f>
        <v/>
      </c>
      <c r="O252" s="36" t="str">
        <f ca="1">IFERROR(__xludf.DUMMYFUNCTION("""COMPUTED_VALUE"""),"")</f>
        <v/>
      </c>
      <c r="P252" s="36" t="str">
        <f ca="1">IFERROR(__xludf.DUMMYFUNCTION("""COMPUTED_VALUE"""),"")</f>
        <v/>
      </c>
      <c r="Q252" s="36" t="str">
        <f ca="1">IFERROR(__xludf.DUMMYFUNCTION("""COMPUTED_VALUE"""),"")</f>
        <v/>
      </c>
      <c r="R252" s="36" t="str">
        <f ca="1">IFERROR(__xludf.DUMMYFUNCTION("""COMPUTED_VALUE"""),"")</f>
        <v/>
      </c>
      <c r="S252" s="36" t="str">
        <f ca="1">IFERROR(__xludf.DUMMYFUNCTION("""COMPUTED_VALUE"""),"")</f>
        <v/>
      </c>
      <c r="T252" s="36" t="str">
        <f ca="1">IFERROR(__xludf.DUMMYFUNCTION("""COMPUTED_VALUE"""),"")</f>
        <v/>
      </c>
      <c r="U252" s="36" t="str">
        <f ca="1">IFERROR(__xludf.DUMMYFUNCTION("""COMPUTED_VALUE"""),"")</f>
        <v/>
      </c>
      <c r="V252" s="36" t="str">
        <f ca="1">IFERROR(__xludf.DUMMYFUNCTION("""COMPUTED_VALUE"""),"")</f>
        <v/>
      </c>
      <c r="W252" s="36" t="str">
        <f ca="1">IFERROR(__xludf.DUMMYFUNCTION("""COMPUTED_VALUE"""),"")</f>
        <v/>
      </c>
      <c r="X252" s="36"/>
      <c r="Y252" s="36"/>
      <c r="Z252" s="36"/>
    </row>
    <row r="253" spans="1:26" ht="12.75" hidden="1">
      <c r="A253" s="36" t="str">
        <f ca="1">IFERROR(__xludf.DUMMYFUNCTION("""COMPUTED_VALUE"""),"")</f>
        <v/>
      </c>
      <c r="B253" s="36" t="str">
        <f ca="1">IFERROR(__xludf.DUMMYFUNCTION("""COMPUTED_VALUE"""),"")</f>
        <v/>
      </c>
      <c r="C253" s="36" t="str">
        <f ca="1">IFERROR(__xludf.DUMMYFUNCTION("""COMPUTED_VALUE"""),"")</f>
        <v/>
      </c>
      <c r="D253" s="36" t="str">
        <f ca="1">IFERROR(__xludf.DUMMYFUNCTION("""COMPUTED_VALUE"""),"")</f>
        <v/>
      </c>
      <c r="E253" s="36" t="str">
        <f ca="1">IFERROR(__xludf.DUMMYFUNCTION("""COMPUTED_VALUE"""),"")</f>
        <v/>
      </c>
      <c r="F253" s="36" t="str">
        <f ca="1">IFERROR(__xludf.DUMMYFUNCTION("""COMPUTED_VALUE"""),"")</f>
        <v/>
      </c>
      <c r="G253" s="36" t="str">
        <f ca="1">IFERROR(__xludf.DUMMYFUNCTION("""COMPUTED_VALUE"""),"")</f>
        <v/>
      </c>
      <c r="H253" s="36" t="str">
        <f ca="1">IFERROR(__xludf.DUMMYFUNCTION("""COMPUTED_VALUE"""),"")</f>
        <v/>
      </c>
      <c r="I253" s="36" t="str">
        <f ca="1">IFERROR(__xludf.DUMMYFUNCTION("""COMPUTED_VALUE"""),"")</f>
        <v/>
      </c>
      <c r="J253" s="36" t="str">
        <f ca="1">IFERROR(__xludf.DUMMYFUNCTION("""COMPUTED_VALUE"""),"")</f>
        <v/>
      </c>
      <c r="K253" s="36" t="str">
        <f ca="1">IFERROR(__xludf.DUMMYFUNCTION("""COMPUTED_VALUE"""),"")</f>
        <v/>
      </c>
      <c r="L253" s="36" t="str">
        <f ca="1">IFERROR(__xludf.DUMMYFUNCTION("""COMPUTED_VALUE"""),"")</f>
        <v/>
      </c>
      <c r="M253" s="36" t="str">
        <f ca="1">IFERROR(__xludf.DUMMYFUNCTION("""COMPUTED_VALUE"""),"")</f>
        <v/>
      </c>
      <c r="N253" s="36" t="str">
        <f ca="1">IFERROR(__xludf.DUMMYFUNCTION("""COMPUTED_VALUE"""),"")</f>
        <v/>
      </c>
      <c r="O253" s="36" t="str">
        <f ca="1">IFERROR(__xludf.DUMMYFUNCTION("""COMPUTED_VALUE"""),"")</f>
        <v/>
      </c>
      <c r="P253" s="36" t="str">
        <f ca="1">IFERROR(__xludf.DUMMYFUNCTION("""COMPUTED_VALUE"""),"")</f>
        <v/>
      </c>
      <c r="Q253" s="36" t="str">
        <f ca="1">IFERROR(__xludf.DUMMYFUNCTION("""COMPUTED_VALUE"""),"")</f>
        <v/>
      </c>
      <c r="R253" s="36" t="str">
        <f ca="1">IFERROR(__xludf.DUMMYFUNCTION("""COMPUTED_VALUE"""),"")</f>
        <v/>
      </c>
      <c r="S253" s="36" t="str">
        <f ca="1">IFERROR(__xludf.DUMMYFUNCTION("""COMPUTED_VALUE"""),"")</f>
        <v/>
      </c>
      <c r="T253" s="36" t="str">
        <f ca="1">IFERROR(__xludf.DUMMYFUNCTION("""COMPUTED_VALUE"""),"")</f>
        <v/>
      </c>
      <c r="U253" s="36" t="str">
        <f ca="1">IFERROR(__xludf.DUMMYFUNCTION("""COMPUTED_VALUE"""),"")</f>
        <v/>
      </c>
      <c r="V253" s="36" t="str">
        <f ca="1">IFERROR(__xludf.DUMMYFUNCTION("""COMPUTED_VALUE"""),"")</f>
        <v/>
      </c>
      <c r="W253" s="36" t="str">
        <f ca="1">IFERROR(__xludf.DUMMYFUNCTION("""COMPUTED_VALUE"""),"")</f>
        <v/>
      </c>
      <c r="X253" s="36"/>
      <c r="Y253" s="36"/>
      <c r="Z253" s="36"/>
    </row>
    <row r="254" spans="1:26" ht="12.75" hidden="1">
      <c r="A254" s="36" t="str">
        <f ca="1">IFERROR(__xludf.DUMMYFUNCTION("""COMPUTED_VALUE"""),"")</f>
        <v/>
      </c>
      <c r="B254" s="36" t="str">
        <f ca="1">IFERROR(__xludf.DUMMYFUNCTION("""COMPUTED_VALUE"""),"")</f>
        <v/>
      </c>
      <c r="C254" s="36" t="str">
        <f ca="1">IFERROR(__xludf.DUMMYFUNCTION("""COMPUTED_VALUE"""),"")</f>
        <v/>
      </c>
      <c r="D254" s="36" t="str">
        <f ca="1">IFERROR(__xludf.DUMMYFUNCTION("""COMPUTED_VALUE"""),"")</f>
        <v/>
      </c>
      <c r="E254" s="36" t="str">
        <f ca="1">IFERROR(__xludf.DUMMYFUNCTION("""COMPUTED_VALUE"""),"")</f>
        <v/>
      </c>
      <c r="F254" s="36" t="str">
        <f ca="1">IFERROR(__xludf.DUMMYFUNCTION("""COMPUTED_VALUE"""),"")</f>
        <v/>
      </c>
      <c r="G254" s="36" t="str">
        <f ca="1">IFERROR(__xludf.DUMMYFUNCTION("""COMPUTED_VALUE"""),"")</f>
        <v/>
      </c>
      <c r="H254" s="36" t="str">
        <f ca="1">IFERROR(__xludf.DUMMYFUNCTION("""COMPUTED_VALUE"""),"")</f>
        <v/>
      </c>
      <c r="I254" s="36" t="str">
        <f ca="1">IFERROR(__xludf.DUMMYFUNCTION("""COMPUTED_VALUE"""),"")</f>
        <v/>
      </c>
      <c r="J254" s="36" t="str">
        <f ca="1">IFERROR(__xludf.DUMMYFUNCTION("""COMPUTED_VALUE"""),"")</f>
        <v/>
      </c>
      <c r="K254" s="36" t="str">
        <f ca="1">IFERROR(__xludf.DUMMYFUNCTION("""COMPUTED_VALUE"""),"")</f>
        <v/>
      </c>
      <c r="L254" s="36" t="str">
        <f ca="1">IFERROR(__xludf.DUMMYFUNCTION("""COMPUTED_VALUE"""),"")</f>
        <v/>
      </c>
      <c r="M254" s="36" t="str">
        <f ca="1">IFERROR(__xludf.DUMMYFUNCTION("""COMPUTED_VALUE"""),"")</f>
        <v/>
      </c>
      <c r="N254" s="36" t="str">
        <f ca="1">IFERROR(__xludf.DUMMYFUNCTION("""COMPUTED_VALUE"""),"")</f>
        <v/>
      </c>
      <c r="O254" s="36" t="str">
        <f ca="1">IFERROR(__xludf.DUMMYFUNCTION("""COMPUTED_VALUE"""),"")</f>
        <v/>
      </c>
      <c r="P254" s="36" t="str">
        <f ca="1">IFERROR(__xludf.DUMMYFUNCTION("""COMPUTED_VALUE"""),"")</f>
        <v/>
      </c>
      <c r="Q254" s="36" t="str">
        <f ca="1">IFERROR(__xludf.DUMMYFUNCTION("""COMPUTED_VALUE"""),"")</f>
        <v/>
      </c>
      <c r="R254" s="36" t="str">
        <f ca="1">IFERROR(__xludf.DUMMYFUNCTION("""COMPUTED_VALUE"""),"")</f>
        <v/>
      </c>
      <c r="S254" s="36" t="str">
        <f ca="1">IFERROR(__xludf.DUMMYFUNCTION("""COMPUTED_VALUE"""),"")</f>
        <v/>
      </c>
      <c r="T254" s="36" t="str">
        <f ca="1">IFERROR(__xludf.DUMMYFUNCTION("""COMPUTED_VALUE"""),"")</f>
        <v/>
      </c>
      <c r="U254" s="36" t="str">
        <f ca="1">IFERROR(__xludf.DUMMYFUNCTION("""COMPUTED_VALUE"""),"")</f>
        <v/>
      </c>
      <c r="V254" s="36" t="str">
        <f ca="1">IFERROR(__xludf.DUMMYFUNCTION("""COMPUTED_VALUE"""),"")</f>
        <v/>
      </c>
      <c r="W254" s="36" t="str">
        <f ca="1">IFERROR(__xludf.DUMMYFUNCTION("""COMPUTED_VALUE"""),"")</f>
        <v/>
      </c>
      <c r="X254" s="36"/>
      <c r="Y254" s="36"/>
      <c r="Z254" s="36"/>
    </row>
    <row r="255" spans="1:26" ht="12.75" hidden="1">
      <c r="A255" s="36" t="str">
        <f ca="1">IFERROR(__xludf.DUMMYFUNCTION("""COMPUTED_VALUE"""),"")</f>
        <v/>
      </c>
      <c r="B255" s="36" t="str">
        <f ca="1">IFERROR(__xludf.DUMMYFUNCTION("""COMPUTED_VALUE"""),"")</f>
        <v/>
      </c>
      <c r="C255" s="36" t="str">
        <f ca="1">IFERROR(__xludf.DUMMYFUNCTION("""COMPUTED_VALUE"""),"")</f>
        <v/>
      </c>
      <c r="D255" s="36" t="str">
        <f ca="1">IFERROR(__xludf.DUMMYFUNCTION("""COMPUTED_VALUE"""),"")</f>
        <v/>
      </c>
      <c r="E255" s="36" t="str">
        <f ca="1">IFERROR(__xludf.DUMMYFUNCTION("""COMPUTED_VALUE"""),"")</f>
        <v/>
      </c>
      <c r="F255" s="36" t="str">
        <f ca="1">IFERROR(__xludf.DUMMYFUNCTION("""COMPUTED_VALUE"""),"")</f>
        <v/>
      </c>
      <c r="G255" s="36" t="str">
        <f ca="1">IFERROR(__xludf.DUMMYFUNCTION("""COMPUTED_VALUE"""),"")</f>
        <v/>
      </c>
      <c r="H255" s="36" t="str">
        <f ca="1">IFERROR(__xludf.DUMMYFUNCTION("""COMPUTED_VALUE"""),"")</f>
        <v/>
      </c>
      <c r="I255" s="36" t="str">
        <f ca="1">IFERROR(__xludf.DUMMYFUNCTION("""COMPUTED_VALUE"""),"")</f>
        <v/>
      </c>
      <c r="J255" s="36" t="str">
        <f ca="1">IFERROR(__xludf.DUMMYFUNCTION("""COMPUTED_VALUE"""),"")</f>
        <v/>
      </c>
      <c r="K255" s="36" t="str">
        <f ca="1">IFERROR(__xludf.DUMMYFUNCTION("""COMPUTED_VALUE"""),"")</f>
        <v/>
      </c>
      <c r="L255" s="36" t="str">
        <f ca="1">IFERROR(__xludf.DUMMYFUNCTION("""COMPUTED_VALUE"""),"")</f>
        <v/>
      </c>
      <c r="M255" s="36" t="str">
        <f ca="1">IFERROR(__xludf.DUMMYFUNCTION("""COMPUTED_VALUE"""),"")</f>
        <v/>
      </c>
      <c r="N255" s="36" t="str">
        <f ca="1">IFERROR(__xludf.DUMMYFUNCTION("""COMPUTED_VALUE"""),"")</f>
        <v/>
      </c>
      <c r="O255" s="36" t="str">
        <f ca="1">IFERROR(__xludf.DUMMYFUNCTION("""COMPUTED_VALUE"""),"")</f>
        <v/>
      </c>
      <c r="P255" s="36" t="str">
        <f ca="1">IFERROR(__xludf.DUMMYFUNCTION("""COMPUTED_VALUE"""),"")</f>
        <v/>
      </c>
      <c r="Q255" s="36" t="str">
        <f ca="1">IFERROR(__xludf.DUMMYFUNCTION("""COMPUTED_VALUE"""),"")</f>
        <v/>
      </c>
      <c r="R255" s="36" t="str">
        <f ca="1">IFERROR(__xludf.DUMMYFUNCTION("""COMPUTED_VALUE"""),"")</f>
        <v/>
      </c>
      <c r="S255" s="36" t="str">
        <f ca="1">IFERROR(__xludf.DUMMYFUNCTION("""COMPUTED_VALUE"""),"")</f>
        <v/>
      </c>
      <c r="T255" s="36" t="str">
        <f ca="1">IFERROR(__xludf.DUMMYFUNCTION("""COMPUTED_VALUE"""),"")</f>
        <v/>
      </c>
      <c r="U255" s="36" t="str">
        <f ca="1">IFERROR(__xludf.DUMMYFUNCTION("""COMPUTED_VALUE"""),"")</f>
        <v/>
      </c>
      <c r="V255" s="36" t="str">
        <f ca="1">IFERROR(__xludf.DUMMYFUNCTION("""COMPUTED_VALUE"""),"")</f>
        <v/>
      </c>
      <c r="W255" s="36" t="str">
        <f ca="1">IFERROR(__xludf.DUMMYFUNCTION("""COMPUTED_VALUE"""),"")</f>
        <v/>
      </c>
      <c r="X255" s="36"/>
      <c r="Y255" s="36"/>
      <c r="Z255" s="36"/>
    </row>
    <row r="256" spans="1:26" ht="12.75" hidden="1">
      <c r="A256" s="36" t="str">
        <f ca="1">IFERROR(__xludf.DUMMYFUNCTION("""COMPUTED_VALUE"""),"")</f>
        <v/>
      </c>
      <c r="B256" s="36" t="str">
        <f ca="1">IFERROR(__xludf.DUMMYFUNCTION("""COMPUTED_VALUE"""),"")</f>
        <v/>
      </c>
      <c r="C256" s="36" t="str">
        <f ca="1">IFERROR(__xludf.DUMMYFUNCTION("""COMPUTED_VALUE"""),"")</f>
        <v/>
      </c>
      <c r="D256" s="36" t="str">
        <f ca="1">IFERROR(__xludf.DUMMYFUNCTION("""COMPUTED_VALUE"""),"")</f>
        <v/>
      </c>
      <c r="E256" s="36" t="str">
        <f ca="1">IFERROR(__xludf.DUMMYFUNCTION("""COMPUTED_VALUE"""),"")</f>
        <v/>
      </c>
      <c r="F256" s="36" t="str">
        <f ca="1">IFERROR(__xludf.DUMMYFUNCTION("""COMPUTED_VALUE"""),"")</f>
        <v/>
      </c>
      <c r="G256" s="36" t="str">
        <f ca="1">IFERROR(__xludf.DUMMYFUNCTION("""COMPUTED_VALUE"""),"")</f>
        <v/>
      </c>
      <c r="H256" s="36" t="str">
        <f ca="1">IFERROR(__xludf.DUMMYFUNCTION("""COMPUTED_VALUE"""),"")</f>
        <v/>
      </c>
      <c r="I256" s="36" t="str">
        <f ca="1">IFERROR(__xludf.DUMMYFUNCTION("""COMPUTED_VALUE"""),"")</f>
        <v/>
      </c>
      <c r="J256" s="36" t="str">
        <f ca="1">IFERROR(__xludf.DUMMYFUNCTION("""COMPUTED_VALUE"""),"")</f>
        <v/>
      </c>
      <c r="K256" s="36" t="str">
        <f ca="1">IFERROR(__xludf.DUMMYFUNCTION("""COMPUTED_VALUE"""),"")</f>
        <v/>
      </c>
      <c r="L256" s="36" t="str">
        <f ca="1">IFERROR(__xludf.DUMMYFUNCTION("""COMPUTED_VALUE"""),"")</f>
        <v/>
      </c>
      <c r="M256" s="36" t="str">
        <f ca="1">IFERROR(__xludf.DUMMYFUNCTION("""COMPUTED_VALUE"""),"")</f>
        <v/>
      </c>
      <c r="N256" s="36" t="str">
        <f ca="1">IFERROR(__xludf.DUMMYFUNCTION("""COMPUTED_VALUE"""),"")</f>
        <v/>
      </c>
      <c r="O256" s="36" t="str">
        <f ca="1">IFERROR(__xludf.DUMMYFUNCTION("""COMPUTED_VALUE"""),"")</f>
        <v/>
      </c>
      <c r="P256" s="36" t="str">
        <f ca="1">IFERROR(__xludf.DUMMYFUNCTION("""COMPUTED_VALUE"""),"")</f>
        <v/>
      </c>
      <c r="Q256" s="36" t="str">
        <f ca="1">IFERROR(__xludf.DUMMYFUNCTION("""COMPUTED_VALUE"""),"")</f>
        <v/>
      </c>
      <c r="R256" s="36" t="str">
        <f ca="1">IFERROR(__xludf.DUMMYFUNCTION("""COMPUTED_VALUE"""),"")</f>
        <v/>
      </c>
      <c r="S256" s="36" t="str">
        <f ca="1">IFERROR(__xludf.DUMMYFUNCTION("""COMPUTED_VALUE"""),"")</f>
        <v/>
      </c>
      <c r="T256" s="36" t="str">
        <f ca="1">IFERROR(__xludf.DUMMYFUNCTION("""COMPUTED_VALUE"""),"")</f>
        <v/>
      </c>
      <c r="U256" s="36" t="str">
        <f ca="1">IFERROR(__xludf.DUMMYFUNCTION("""COMPUTED_VALUE"""),"")</f>
        <v/>
      </c>
      <c r="V256" s="36" t="str">
        <f ca="1">IFERROR(__xludf.DUMMYFUNCTION("""COMPUTED_VALUE"""),"")</f>
        <v/>
      </c>
      <c r="W256" s="36" t="str">
        <f ca="1">IFERROR(__xludf.DUMMYFUNCTION("""COMPUTED_VALUE"""),"")</f>
        <v/>
      </c>
      <c r="X256" s="36"/>
      <c r="Y256" s="36"/>
      <c r="Z256" s="36"/>
    </row>
    <row r="257" spans="1:26" ht="12.75" hidden="1">
      <c r="A257" s="36" t="str">
        <f ca="1">IFERROR(__xludf.DUMMYFUNCTION("""COMPUTED_VALUE"""),"")</f>
        <v/>
      </c>
      <c r="B257" s="36" t="str">
        <f ca="1">IFERROR(__xludf.DUMMYFUNCTION("""COMPUTED_VALUE"""),"")</f>
        <v/>
      </c>
      <c r="C257" s="36" t="str">
        <f ca="1">IFERROR(__xludf.DUMMYFUNCTION("""COMPUTED_VALUE"""),"")</f>
        <v/>
      </c>
      <c r="D257" s="36" t="str">
        <f ca="1">IFERROR(__xludf.DUMMYFUNCTION("""COMPUTED_VALUE"""),"")</f>
        <v/>
      </c>
      <c r="E257" s="36" t="str">
        <f ca="1">IFERROR(__xludf.DUMMYFUNCTION("""COMPUTED_VALUE"""),"")</f>
        <v/>
      </c>
      <c r="F257" s="36" t="str">
        <f ca="1">IFERROR(__xludf.DUMMYFUNCTION("""COMPUTED_VALUE"""),"")</f>
        <v/>
      </c>
      <c r="G257" s="36" t="str">
        <f ca="1">IFERROR(__xludf.DUMMYFUNCTION("""COMPUTED_VALUE"""),"")</f>
        <v/>
      </c>
      <c r="H257" s="36" t="str">
        <f ca="1">IFERROR(__xludf.DUMMYFUNCTION("""COMPUTED_VALUE"""),"")</f>
        <v/>
      </c>
      <c r="I257" s="36" t="str">
        <f ca="1">IFERROR(__xludf.DUMMYFUNCTION("""COMPUTED_VALUE"""),"")</f>
        <v/>
      </c>
      <c r="J257" s="36" t="str">
        <f ca="1">IFERROR(__xludf.DUMMYFUNCTION("""COMPUTED_VALUE"""),"")</f>
        <v/>
      </c>
      <c r="K257" s="36" t="str">
        <f ca="1">IFERROR(__xludf.DUMMYFUNCTION("""COMPUTED_VALUE"""),"")</f>
        <v/>
      </c>
      <c r="L257" s="36" t="str">
        <f ca="1">IFERROR(__xludf.DUMMYFUNCTION("""COMPUTED_VALUE"""),"")</f>
        <v/>
      </c>
      <c r="M257" s="36" t="str">
        <f ca="1">IFERROR(__xludf.DUMMYFUNCTION("""COMPUTED_VALUE"""),"")</f>
        <v/>
      </c>
      <c r="N257" s="36" t="str">
        <f ca="1">IFERROR(__xludf.DUMMYFUNCTION("""COMPUTED_VALUE"""),"")</f>
        <v/>
      </c>
      <c r="O257" s="36" t="str">
        <f ca="1">IFERROR(__xludf.DUMMYFUNCTION("""COMPUTED_VALUE"""),"")</f>
        <v/>
      </c>
      <c r="P257" s="36" t="str">
        <f ca="1">IFERROR(__xludf.DUMMYFUNCTION("""COMPUTED_VALUE"""),"")</f>
        <v/>
      </c>
      <c r="Q257" s="36" t="str">
        <f ca="1">IFERROR(__xludf.DUMMYFUNCTION("""COMPUTED_VALUE"""),"")</f>
        <v/>
      </c>
      <c r="R257" s="36" t="str">
        <f ca="1">IFERROR(__xludf.DUMMYFUNCTION("""COMPUTED_VALUE"""),"")</f>
        <v/>
      </c>
      <c r="S257" s="36" t="str">
        <f ca="1">IFERROR(__xludf.DUMMYFUNCTION("""COMPUTED_VALUE"""),"")</f>
        <v/>
      </c>
      <c r="T257" s="36" t="str">
        <f ca="1">IFERROR(__xludf.DUMMYFUNCTION("""COMPUTED_VALUE"""),"")</f>
        <v/>
      </c>
      <c r="U257" s="36" t="str">
        <f ca="1">IFERROR(__xludf.DUMMYFUNCTION("""COMPUTED_VALUE"""),"")</f>
        <v/>
      </c>
      <c r="V257" s="36" t="str">
        <f ca="1">IFERROR(__xludf.DUMMYFUNCTION("""COMPUTED_VALUE"""),"")</f>
        <v/>
      </c>
      <c r="W257" s="36" t="str">
        <f ca="1">IFERROR(__xludf.DUMMYFUNCTION("""COMPUTED_VALUE"""),"")</f>
        <v/>
      </c>
      <c r="X257" s="36"/>
      <c r="Y257" s="36"/>
      <c r="Z257" s="36"/>
    </row>
    <row r="258" spans="1:26" ht="12.75" hidden="1">
      <c r="A258" s="36" t="str">
        <f ca="1">IFERROR(__xludf.DUMMYFUNCTION("""COMPUTED_VALUE"""),"")</f>
        <v/>
      </c>
      <c r="B258" s="36" t="str">
        <f ca="1">IFERROR(__xludf.DUMMYFUNCTION("""COMPUTED_VALUE"""),"")</f>
        <v/>
      </c>
      <c r="C258" s="36" t="str">
        <f ca="1">IFERROR(__xludf.DUMMYFUNCTION("""COMPUTED_VALUE"""),"")</f>
        <v/>
      </c>
      <c r="D258" s="36" t="str">
        <f ca="1">IFERROR(__xludf.DUMMYFUNCTION("""COMPUTED_VALUE"""),"")</f>
        <v/>
      </c>
      <c r="E258" s="36" t="str">
        <f ca="1">IFERROR(__xludf.DUMMYFUNCTION("""COMPUTED_VALUE"""),"")</f>
        <v/>
      </c>
      <c r="F258" s="36" t="str">
        <f ca="1">IFERROR(__xludf.DUMMYFUNCTION("""COMPUTED_VALUE"""),"")</f>
        <v/>
      </c>
      <c r="G258" s="36" t="str">
        <f ca="1">IFERROR(__xludf.DUMMYFUNCTION("""COMPUTED_VALUE"""),"")</f>
        <v/>
      </c>
      <c r="H258" s="36" t="str">
        <f ca="1">IFERROR(__xludf.DUMMYFUNCTION("""COMPUTED_VALUE"""),"")</f>
        <v/>
      </c>
      <c r="I258" s="36" t="str">
        <f ca="1">IFERROR(__xludf.DUMMYFUNCTION("""COMPUTED_VALUE"""),"")</f>
        <v/>
      </c>
      <c r="J258" s="36" t="str">
        <f ca="1">IFERROR(__xludf.DUMMYFUNCTION("""COMPUTED_VALUE"""),"")</f>
        <v/>
      </c>
      <c r="K258" s="36" t="str">
        <f ca="1">IFERROR(__xludf.DUMMYFUNCTION("""COMPUTED_VALUE"""),"")</f>
        <v/>
      </c>
      <c r="L258" s="36" t="str">
        <f ca="1">IFERROR(__xludf.DUMMYFUNCTION("""COMPUTED_VALUE"""),"")</f>
        <v/>
      </c>
      <c r="M258" s="36" t="str">
        <f ca="1">IFERROR(__xludf.DUMMYFUNCTION("""COMPUTED_VALUE"""),"")</f>
        <v/>
      </c>
      <c r="N258" s="36" t="str">
        <f ca="1">IFERROR(__xludf.DUMMYFUNCTION("""COMPUTED_VALUE"""),"")</f>
        <v/>
      </c>
      <c r="O258" s="36" t="str">
        <f ca="1">IFERROR(__xludf.DUMMYFUNCTION("""COMPUTED_VALUE"""),"")</f>
        <v/>
      </c>
      <c r="P258" s="36" t="str">
        <f ca="1">IFERROR(__xludf.DUMMYFUNCTION("""COMPUTED_VALUE"""),"")</f>
        <v/>
      </c>
      <c r="Q258" s="36" t="str">
        <f ca="1">IFERROR(__xludf.DUMMYFUNCTION("""COMPUTED_VALUE"""),"")</f>
        <v/>
      </c>
      <c r="R258" s="36" t="str">
        <f ca="1">IFERROR(__xludf.DUMMYFUNCTION("""COMPUTED_VALUE"""),"")</f>
        <v/>
      </c>
      <c r="S258" s="36" t="str">
        <f ca="1">IFERROR(__xludf.DUMMYFUNCTION("""COMPUTED_VALUE"""),"")</f>
        <v/>
      </c>
      <c r="T258" s="36" t="str">
        <f ca="1">IFERROR(__xludf.DUMMYFUNCTION("""COMPUTED_VALUE"""),"")</f>
        <v/>
      </c>
      <c r="U258" s="36" t="str">
        <f ca="1">IFERROR(__xludf.DUMMYFUNCTION("""COMPUTED_VALUE"""),"")</f>
        <v/>
      </c>
      <c r="V258" s="36" t="str">
        <f ca="1">IFERROR(__xludf.DUMMYFUNCTION("""COMPUTED_VALUE"""),"")</f>
        <v/>
      </c>
      <c r="W258" s="36" t="str">
        <f ca="1">IFERROR(__xludf.DUMMYFUNCTION("""COMPUTED_VALUE"""),"")</f>
        <v/>
      </c>
      <c r="X258" s="36"/>
      <c r="Y258" s="36"/>
      <c r="Z258" s="36"/>
    </row>
    <row r="259" spans="1:26" ht="12.75" hidden="1">
      <c r="A259" s="36" t="str">
        <f ca="1">IFERROR(__xludf.DUMMYFUNCTION("""COMPUTED_VALUE"""),"")</f>
        <v/>
      </c>
      <c r="B259" s="36" t="str">
        <f ca="1">IFERROR(__xludf.DUMMYFUNCTION("""COMPUTED_VALUE"""),"")</f>
        <v/>
      </c>
      <c r="C259" s="36" t="str">
        <f ca="1">IFERROR(__xludf.DUMMYFUNCTION("""COMPUTED_VALUE"""),"")</f>
        <v/>
      </c>
      <c r="D259" s="36" t="str">
        <f ca="1">IFERROR(__xludf.DUMMYFUNCTION("""COMPUTED_VALUE"""),"")</f>
        <v/>
      </c>
      <c r="E259" s="36" t="str">
        <f ca="1">IFERROR(__xludf.DUMMYFUNCTION("""COMPUTED_VALUE"""),"")</f>
        <v/>
      </c>
      <c r="F259" s="36" t="str">
        <f ca="1">IFERROR(__xludf.DUMMYFUNCTION("""COMPUTED_VALUE"""),"")</f>
        <v/>
      </c>
      <c r="G259" s="36" t="str">
        <f ca="1">IFERROR(__xludf.DUMMYFUNCTION("""COMPUTED_VALUE"""),"")</f>
        <v/>
      </c>
      <c r="H259" s="36" t="str">
        <f ca="1">IFERROR(__xludf.DUMMYFUNCTION("""COMPUTED_VALUE"""),"")</f>
        <v/>
      </c>
      <c r="I259" s="36" t="str">
        <f ca="1">IFERROR(__xludf.DUMMYFUNCTION("""COMPUTED_VALUE"""),"")</f>
        <v/>
      </c>
      <c r="J259" s="36" t="str">
        <f ca="1">IFERROR(__xludf.DUMMYFUNCTION("""COMPUTED_VALUE"""),"")</f>
        <v/>
      </c>
      <c r="K259" s="36" t="str">
        <f ca="1">IFERROR(__xludf.DUMMYFUNCTION("""COMPUTED_VALUE"""),"")</f>
        <v/>
      </c>
      <c r="L259" s="36" t="str">
        <f ca="1">IFERROR(__xludf.DUMMYFUNCTION("""COMPUTED_VALUE"""),"")</f>
        <v/>
      </c>
      <c r="M259" s="36" t="str">
        <f ca="1">IFERROR(__xludf.DUMMYFUNCTION("""COMPUTED_VALUE"""),"")</f>
        <v/>
      </c>
      <c r="N259" s="36" t="str">
        <f ca="1">IFERROR(__xludf.DUMMYFUNCTION("""COMPUTED_VALUE"""),"")</f>
        <v/>
      </c>
      <c r="O259" s="36" t="str">
        <f ca="1">IFERROR(__xludf.DUMMYFUNCTION("""COMPUTED_VALUE"""),"")</f>
        <v/>
      </c>
      <c r="P259" s="36" t="str">
        <f ca="1">IFERROR(__xludf.DUMMYFUNCTION("""COMPUTED_VALUE"""),"")</f>
        <v/>
      </c>
      <c r="Q259" s="36" t="str">
        <f ca="1">IFERROR(__xludf.DUMMYFUNCTION("""COMPUTED_VALUE"""),"")</f>
        <v/>
      </c>
      <c r="R259" s="36" t="str">
        <f ca="1">IFERROR(__xludf.DUMMYFUNCTION("""COMPUTED_VALUE"""),"")</f>
        <v/>
      </c>
      <c r="S259" s="36" t="str">
        <f ca="1">IFERROR(__xludf.DUMMYFUNCTION("""COMPUTED_VALUE"""),"")</f>
        <v/>
      </c>
      <c r="T259" s="36" t="str">
        <f ca="1">IFERROR(__xludf.DUMMYFUNCTION("""COMPUTED_VALUE"""),"")</f>
        <v/>
      </c>
      <c r="U259" s="36" t="str">
        <f ca="1">IFERROR(__xludf.DUMMYFUNCTION("""COMPUTED_VALUE"""),"")</f>
        <v/>
      </c>
      <c r="V259" s="36" t="str">
        <f ca="1">IFERROR(__xludf.DUMMYFUNCTION("""COMPUTED_VALUE"""),"")</f>
        <v/>
      </c>
      <c r="W259" s="36" t="str">
        <f ca="1">IFERROR(__xludf.DUMMYFUNCTION("""COMPUTED_VALUE"""),"")</f>
        <v/>
      </c>
      <c r="X259" s="36"/>
      <c r="Y259" s="36"/>
      <c r="Z259" s="36"/>
    </row>
    <row r="260" spans="1:26" ht="12.75" hidden="1">
      <c r="A260" s="36" t="str">
        <f ca="1">IFERROR(__xludf.DUMMYFUNCTION("""COMPUTED_VALUE"""),"")</f>
        <v/>
      </c>
      <c r="B260" s="36" t="str">
        <f ca="1">IFERROR(__xludf.DUMMYFUNCTION("""COMPUTED_VALUE"""),"")</f>
        <v/>
      </c>
      <c r="C260" s="36" t="str">
        <f ca="1">IFERROR(__xludf.DUMMYFUNCTION("""COMPUTED_VALUE"""),"")</f>
        <v/>
      </c>
      <c r="D260" s="36" t="str">
        <f ca="1">IFERROR(__xludf.DUMMYFUNCTION("""COMPUTED_VALUE"""),"")</f>
        <v/>
      </c>
      <c r="E260" s="36" t="str">
        <f ca="1">IFERROR(__xludf.DUMMYFUNCTION("""COMPUTED_VALUE"""),"")</f>
        <v/>
      </c>
      <c r="F260" s="36" t="str">
        <f ca="1">IFERROR(__xludf.DUMMYFUNCTION("""COMPUTED_VALUE"""),"")</f>
        <v/>
      </c>
      <c r="G260" s="36" t="str">
        <f ca="1">IFERROR(__xludf.DUMMYFUNCTION("""COMPUTED_VALUE"""),"")</f>
        <v/>
      </c>
      <c r="H260" s="36" t="str">
        <f ca="1">IFERROR(__xludf.DUMMYFUNCTION("""COMPUTED_VALUE"""),"")</f>
        <v/>
      </c>
      <c r="I260" s="36" t="str">
        <f ca="1">IFERROR(__xludf.DUMMYFUNCTION("""COMPUTED_VALUE"""),"")</f>
        <v/>
      </c>
      <c r="J260" s="36" t="str">
        <f ca="1">IFERROR(__xludf.DUMMYFUNCTION("""COMPUTED_VALUE"""),"")</f>
        <v/>
      </c>
      <c r="K260" s="36" t="str">
        <f ca="1">IFERROR(__xludf.DUMMYFUNCTION("""COMPUTED_VALUE"""),"")</f>
        <v/>
      </c>
      <c r="L260" s="36" t="str">
        <f ca="1">IFERROR(__xludf.DUMMYFUNCTION("""COMPUTED_VALUE"""),"")</f>
        <v/>
      </c>
      <c r="M260" s="36" t="str">
        <f ca="1">IFERROR(__xludf.DUMMYFUNCTION("""COMPUTED_VALUE"""),"")</f>
        <v/>
      </c>
      <c r="N260" s="36" t="str">
        <f ca="1">IFERROR(__xludf.DUMMYFUNCTION("""COMPUTED_VALUE"""),"")</f>
        <v/>
      </c>
      <c r="O260" s="36" t="str">
        <f ca="1">IFERROR(__xludf.DUMMYFUNCTION("""COMPUTED_VALUE"""),"")</f>
        <v/>
      </c>
      <c r="P260" s="36" t="str">
        <f ca="1">IFERROR(__xludf.DUMMYFUNCTION("""COMPUTED_VALUE"""),"")</f>
        <v/>
      </c>
      <c r="Q260" s="36" t="str">
        <f ca="1">IFERROR(__xludf.DUMMYFUNCTION("""COMPUTED_VALUE"""),"")</f>
        <v/>
      </c>
      <c r="R260" s="36" t="str">
        <f ca="1">IFERROR(__xludf.DUMMYFUNCTION("""COMPUTED_VALUE"""),"")</f>
        <v/>
      </c>
      <c r="S260" s="36" t="str">
        <f ca="1">IFERROR(__xludf.DUMMYFUNCTION("""COMPUTED_VALUE"""),"")</f>
        <v/>
      </c>
      <c r="T260" s="36" t="str">
        <f ca="1">IFERROR(__xludf.DUMMYFUNCTION("""COMPUTED_VALUE"""),"")</f>
        <v/>
      </c>
      <c r="U260" s="36" t="str">
        <f ca="1">IFERROR(__xludf.DUMMYFUNCTION("""COMPUTED_VALUE"""),"")</f>
        <v/>
      </c>
      <c r="V260" s="36" t="str">
        <f ca="1">IFERROR(__xludf.DUMMYFUNCTION("""COMPUTED_VALUE"""),"")</f>
        <v/>
      </c>
      <c r="W260" s="36" t="str">
        <f ca="1">IFERROR(__xludf.DUMMYFUNCTION("""COMPUTED_VALUE"""),"")</f>
        <v/>
      </c>
      <c r="X260" s="36"/>
      <c r="Y260" s="36"/>
      <c r="Z260" s="36"/>
    </row>
    <row r="261" spans="1:26" ht="12.75" hidden="1">
      <c r="A261" s="36" t="str">
        <f ca="1">IFERROR(__xludf.DUMMYFUNCTION("""COMPUTED_VALUE"""),"")</f>
        <v/>
      </c>
      <c r="B261" s="36" t="str">
        <f ca="1">IFERROR(__xludf.DUMMYFUNCTION("""COMPUTED_VALUE"""),"")</f>
        <v/>
      </c>
      <c r="C261" s="36" t="str">
        <f ca="1">IFERROR(__xludf.DUMMYFUNCTION("""COMPUTED_VALUE"""),"")</f>
        <v/>
      </c>
      <c r="D261" s="36" t="str">
        <f ca="1">IFERROR(__xludf.DUMMYFUNCTION("""COMPUTED_VALUE"""),"")</f>
        <v/>
      </c>
      <c r="E261" s="36" t="str">
        <f ca="1">IFERROR(__xludf.DUMMYFUNCTION("""COMPUTED_VALUE"""),"")</f>
        <v/>
      </c>
      <c r="F261" s="36" t="str">
        <f ca="1">IFERROR(__xludf.DUMMYFUNCTION("""COMPUTED_VALUE"""),"")</f>
        <v/>
      </c>
      <c r="G261" s="36" t="str">
        <f ca="1">IFERROR(__xludf.DUMMYFUNCTION("""COMPUTED_VALUE"""),"")</f>
        <v/>
      </c>
      <c r="H261" s="36" t="str">
        <f ca="1">IFERROR(__xludf.DUMMYFUNCTION("""COMPUTED_VALUE"""),"")</f>
        <v/>
      </c>
      <c r="I261" s="36" t="str">
        <f ca="1">IFERROR(__xludf.DUMMYFUNCTION("""COMPUTED_VALUE"""),"")</f>
        <v/>
      </c>
      <c r="J261" s="36" t="str">
        <f ca="1">IFERROR(__xludf.DUMMYFUNCTION("""COMPUTED_VALUE"""),"")</f>
        <v/>
      </c>
      <c r="K261" s="36" t="str">
        <f ca="1">IFERROR(__xludf.DUMMYFUNCTION("""COMPUTED_VALUE"""),"")</f>
        <v/>
      </c>
      <c r="L261" s="36" t="str">
        <f ca="1">IFERROR(__xludf.DUMMYFUNCTION("""COMPUTED_VALUE"""),"")</f>
        <v/>
      </c>
      <c r="M261" s="36" t="str">
        <f ca="1">IFERROR(__xludf.DUMMYFUNCTION("""COMPUTED_VALUE"""),"")</f>
        <v/>
      </c>
      <c r="N261" s="36" t="str">
        <f ca="1">IFERROR(__xludf.DUMMYFUNCTION("""COMPUTED_VALUE"""),"")</f>
        <v/>
      </c>
      <c r="O261" s="36" t="str">
        <f ca="1">IFERROR(__xludf.DUMMYFUNCTION("""COMPUTED_VALUE"""),"")</f>
        <v/>
      </c>
      <c r="P261" s="36" t="str">
        <f ca="1">IFERROR(__xludf.DUMMYFUNCTION("""COMPUTED_VALUE"""),"")</f>
        <v/>
      </c>
      <c r="Q261" s="36" t="str">
        <f ca="1">IFERROR(__xludf.DUMMYFUNCTION("""COMPUTED_VALUE"""),"")</f>
        <v/>
      </c>
      <c r="R261" s="36" t="str">
        <f ca="1">IFERROR(__xludf.DUMMYFUNCTION("""COMPUTED_VALUE"""),"")</f>
        <v/>
      </c>
      <c r="S261" s="36" t="str">
        <f ca="1">IFERROR(__xludf.DUMMYFUNCTION("""COMPUTED_VALUE"""),"")</f>
        <v/>
      </c>
      <c r="T261" s="36" t="str">
        <f ca="1">IFERROR(__xludf.DUMMYFUNCTION("""COMPUTED_VALUE"""),"")</f>
        <v/>
      </c>
      <c r="U261" s="36" t="str">
        <f ca="1">IFERROR(__xludf.DUMMYFUNCTION("""COMPUTED_VALUE"""),"")</f>
        <v/>
      </c>
      <c r="V261" s="36" t="str">
        <f ca="1">IFERROR(__xludf.DUMMYFUNCTION("""COMPUTED_VALUE"""),"")</f>
        <v/>
      </c>
      <c r="W261" s="36" t="str">
        <f ca="1">IFERROR(__xludf.DUMMYFUNCTION("""COMPUTED_VALUE"""),"")</f>
        <v/>
      </c>
      <c r="X261" s="36"/>
      <c r="Y261" s="36"/>
      <c r="Z261" s="36"/>
    </row>
    <row r="262" spans="1:26" ht="12.75" hidden="1">
      <c r="A262" s="36" t="str">
        <f ca="1">IFERROR(__xludf.DUMMYFUNCTION("""COMPUTED_VALUE"""),"")</f>
        <v/>
      </c>
      <c r="B262" s="36" t="str">
        <f ca="1">IFERROR(__xludf.DUMMYFUNCTION("""COMPUTED_VALUE"""),"")</f>
        <v/>
      </c>
      <c r="C262" s="36" t="str">
        <f ca="1">IFERROR(__xludf.DUMMYFUNCTION("""COMPUTED_VALUE"""),"")</f>
        <v/>
      </c>
      <c r="D262" s="36" t="str">
        <f ca="1">IFERROR(__xludf.DUMMYFUNCTION("""COMPUTED_VALUE"""),"")</f>
        <v/>
      </c>
      <c r="E262" s="36" t="str">
        <f ca="1">IFERROR(__xludf.DUMMYFUNCTION("""COMPUTED_VALUE"""),"")</f>
        <v/>
      </c>
      <c r="F262" s="36" t="str">
        <f ca="1">IFERROR(__xludf.DUMMYFUNCTION("""COMPUTED_VALUE"""),"")</f>
        <v/>
      </c>
      <c r="G262" s="36" t="str">
        <f ca="1">IFERROR(__xludf.DUMMYFUNCTION("""COMPUTED_VALUE"""),"")</f>
        <v/>
      </c>
      <c r="H262" s="36" t="str">
        <f ca="1">IFERROR(__xludf.DUMMYFUNCTION("""COMPUTED_VALUE"""),"")</f>
        <v/>
      </c>
      <c r="I262" s="36" t="str">
        <f ca="1">IFERROR(__xludf.DUMMYFUNCTION("""COMPUTED_VALUE"""),"")</f>
        <v/>
      </c>
      <c r="J262" s="36" t="str">
        <f ca="1">IFERROR(__xludf.DUMMYFUNCTION("""COMPUTED_VALUE"""),"")</f>
        <v/>
      </c>
      <c r="K262" s="36" t="str">
        <f ca="1">IFERROR(__xludf.DUMMYFUNCTION("""COMPUTED_VALUE"""),"")</f>
        <v/>
      </c>
      <c r="L262" s="36" t="str">
        <f ca="1">IFERROR(__xludf.DUMMYFUNCTION("""COMPUTED_VALUE"""),"")</f>
        <v/>
      </c>
      <c r="M262" s="36" t="str">
        <f ca="1">IFERROR(__xludf.DUMMYFUNCTION("""COMPUTED_VALUE"""),"")</f>
        <v/>
      </c>
      <c r="N262" s="36" t="str">
        <f ca="1">IFERROR(__xludf.DUMMYFUNCTION("""COMPUTED_VALUE"""),"")</f>
        <v/>
      </c>
      <c r="O262" s="36" t="str">
        <f ca="1">IFERROR(__xludf.DUMMYFUNCTION("""COMPUTED_VALUE"""),"")</f>
        <v/>
      </c>
      <c r="P262" s="36" t="str">
        <f ca="1">IFERROR(__xludf.DUMMYFUNCTION("""COMPUTED_VALUE"""),"")</f>
        <v/>
      </c>
      <c r="Q262" s="36" t="str">
        <f ca="1">IFERROR(__xludf.DUMMYFUNCTION("""COMPUTED_VALUE"""),"")</f>
        <v/>
      </c>
      <c r="R262" s="36" t="str">
        <f ca="1">IFERROR(__xludf.DUMMYFUNCTION("""COMPUTED_VALUE"""),"")</f>
        <v/>
      </c>
      <c r="S262" s="36" t="str">
        <f ca="1">IFERROR(__xludf.DUMMYFUNCTION("""COMPUTED_VALUE"""),"")</f>
        <v/>
      </c>
      <c r="T262" s="36" t="str">
        <f ca="1">IFERROR(__xludf.DUMMYFUNCTION("""COMPUTED_VALUE"""),"")</f>
        <v/>
      </c>
      <c r="U262" s="36" t="str">
        <f ca="1">IFERROR(__xludf.DUMMYFUNCTION("""COMPUTED_VALUE"""),"")</f>
        <v/>
      </c>
      <c r="V262" s="36" t="str">
        <f ca="1">IFERROR(__xludf.DUMMYFUNCTION("""COMPUTED_VALUE"""),"")</f>
        <v/>
      </c>
      <c r="W262" s="36" t="str">
        <f ca="1">IFERROR(__xludf.DUMMYFUNCTION("""COMPUTED_VALUE"""),"")</f>
        <v/>
      </c>
      <c r="X262" s="36"/>
      <c r="Y262" s="36"/>
      <c r="Z262" s="36"/>
    </row>
    <row r="263" spans="1:26" ht="12.75" hidden="1">
      <c r="A263" s="36" t="str">
        <f ca="1">IFERROR(__xludf.DUMMYFUNCTION("""COMPUTED_VALUE"""),"")</f>
        <v/>
      </c>
      <c r="B263" s="36" t="str">
        <f ca="1">IFERROR(__xludf.DUMMYFUNCTION("""COMPUTED_VALUE"""),"")</f>
        <v/>
      </c>
      <c r="C263" s="36" t="str">
        <f ca="1">IFERROR(__xludf.DUMMYFUNCTION("""COMPUTED_VALUE"""),"")</f>
        <v/>
      </c>
      <c r="D263" s="36" t="str">
        <f ca="1">IFERROR(__xludf.DUMMYFUNCTION("""COMPUTED_VALUE"""),"")</f>
        <v/>
      </c>
      <c r="E263" s="36" t="str">
        <f ca="1">IFERROR(__xludf.DUMMYFUNCTION("""COMPUTED_VALUE"""),"")</f>
        <v/>
      </c>
      <c r="F263" s="36" t="str">
        <f ca="1">IFERROR(__xludf.DUMMYFUNCTION("""COMPUTED_VALUE"""),"")</f>
        <v/>
      </c>
      <c r="G263" s="36" t="str">
        <f ca="1">IFERROR(__xludf.DUMMYFUNCTION("""COMPUTED_VALUE"""),"")</f>
        <v/>
      </c>
      <c r="H263" s="36" t="str">
        <f ca="1">IFERROR(__xludf.DUMMYFUNCTION("""COMPUTED_VALUE"""),"")</f>
        <v/>
      </c>
      <c r="I263" s="36" t="str">
        <f ca="1">IFERROR(__xludf.DUMMYFUNCTION("""COMPUTED_VALUE"""),"")</f>
        <v/>
      </c>
      <c r="J263" s="36" t="str">
        <f ca="1">IFERROR(__xludf.DUMMYFUNCTION("""COMPUTED_VALUE"""),"")</f>
        <v/>
      </c>
      <c r="K263" s="36" t="str">
        <f ca="1">IFERROR(__xludf.DUMMYFUNCTION("""COMPUTED_VALUE"""),"")</f>
        <v/>
      </c>
      <c r="L263" s="36" t="str">
        <f ca="1">IFERROR(__xludf.DUMMYFUNCTION("""COMPUTED_VALUE"""),"")</f>
        <v/>
      </c>
      <c r="M263" s="36" t="str">
        <f ca="1">IFERROR(__xludf.DUMMYFUNCTION("""COMPUTED_VALUE"""),"")</f>
        <v/>
      </c>
      <c r="N263" s="36" t="str">
        <f ca="1">IFERROR(__xludf.DUMMYFUNCTION("""COMPUTED_VALUE"""),"")</f>
        <v/>
      </c>
      <c r="O263" s="36" t="str">
        <f ca="1">IFERROR(__xludf.DUMMYFUNCTION("""COMPUTED_VALUE"""),"")</f>
        <v/>
      </c>
      <c r="P263" s="36" t="str">
        <f ca="1">IFERROR(__xludf.DUMMYFUNCTION("""COMPUTED_VALUE"""),"")</f>
        <v/>
      </c>
      <c r="Q263" s="36" t="str">
        <f ca="1">IFERROR(__xludf.DUMMYFUNCTION("""COMPUTED_VALUE"""),"")</f>
        <v/>
      </c>
      <c r="R263" s="36" t="str">
        <f ca="1">IFERROR(__xludf.DUMMYFUNCTION("""COMPUTED_VALUE"""),"")</f>
        <v/>
      </c>
      <c r="S263" s="36" t="str">
        <f ca="1">IFERROR(__xludf.DUMMYFUNCTION("""COMPUTED_VALUE"""),"")</f>
        <v/>
      </c>
      <c r="T263" s="36" t="str">
        <f ca="1">IFERROR(__xludf.DUMMYFUNCTION("""COMPUTED_VALUE"""),"")</f>
        <v/>
      </c>
      <c r="U263" s="36" t="str">
        <f ca="1">IFERROR(__xludf.DUMMYFUNCTION("""COMPUTED_VALUE"""),"")</f>
        <v/>
      </c>
      <c r="V263" s="36" t="str">
        <f ca="1">IFERROR(__xludf.DUMMYFUNCTION("""COMPUTED_VALUE"""),"")</f>
        <v/>
      </c>
      <c r="W263" s="36" t="str">
        <f ca="1">IFERROR(__xludf.DUMMYFUNCTION("""COMPUTED_VALUE"""),"")</f>
        <v/>
      </c>
      <c r="X263" s="36"/>
      <c r="Y263" s="36"/>
      <c r="Z263" s="36"/>
    </row>
    <row r="264" spans="1:26" ht="12.75" hidden="1">
      <c r="A264" s="36" t="str">
        <f ca="1">IFERROR(__xludf.DUMMYFUNCTION("""COMPUTED_VALUE"""),"")</f>
        <v/>
      </c>
      <c r="B264" s="36" t="str">
        <f ca="1">IFERROR(__xludf.DUMMYFUNCTION("""COMPUTED_VALUE"""),"")</f>
        <v/>
      </c>
      <c r="C264" s="36" t="str">
        <f ca="1">IFERROR(__xludf.DUMMYFUNCTION("""COMPUTED_VALUE"""),"")</f>
        <v/>
      </c>
      <c r="D264" s="36" t="str">
        <f ca="1">IFERROR(__xludf.DUMMYFUNCTION("""COMPUTED_VALUE"""),"")</f>
        <v/>
      </c>
      <c r="E264" s="36" t="str">
        <f ca="1">IFERROR(__xludf.DUMMYFUNCTION("""COMPUTED_VALUE"""),"")</f>
        <v/>
      </c>
      <c r="F264" s="36" t="str">
        <f ca="1">IFERROR(__xludf.DUMMYFUNCTION("""COMPUTED_VALUE"""),"")</f>
        <v/>
      </c>
      <c r="G264" s="36" t="str">
        <f ca="1">IFERROR(__xludf.DUMMYFUNCTION("""COMPUTED_VALUE"""),"")</f>
        <v/>
      </c>
      <c r="H264" s="36" t="str">
        <f ca="1">IFERROR(__xludf.DUMMYFUNCTION("""COMPUTED_VALUE"""),"")</f>
        <v/>
      </c>
      <c r="I264" s="36" t="str">
        <f ca="1">IFERROR(__xludf.DUMMYFUNCTION("""COMPUTED_VALUE"""),"")</f>
        <v/>
      </c>
      <c r="J264" s="36" t="str">
        <f ca="1">IFERROR(__xludf.DUMMYFUNCTION("""COMPUTED_VALUE"""),"")</f>
        <v/>
      </c>
      <c r="K264" s="36" t="str">
        <f ca="1">IFERROR(__xludf.DUMMYFUNCTION("""COMPUTED_VALUE"""),"")</f>
        <v/>
      </c>
      <c r="L264" s="36" t="str">
        <f ca="1">IFERROR(__xludf.DUMMYFUNCTION("""COMPUTED_VALUE"""),"")</f>
        <v/>
      </c>
      <c r="M264" s="36" t="str">
        <f ca="1">IFERROR(__xludf.DUMMYFUNCTION("""COMPUTED_VALUE"""),"")</f>
        <v/>
      </c>
      <c r="N264" s="36" t="str">
        <f ca="1">IFERROR(__xludf.DUMMYFUNCTION("""COMPUTED_VALUE"""),"")</f>
        <v/>
      </c>
      <c r="O264" s="36" t="str">
        <f ca="1">IFERROR(__xludf.DUMMYFUNCTION("""COMPUTED_VALUE"""),"")</f>
        <v/>
      </c>
      <c r="P264" s="36" t="str">
        <f ca="1">IFERROR(__xludf.DUMMYFUNCTION("""COMPUTED_VALUE"""),"")</f>
        <v/>
      </c>
      <c r="Q264" s="36" t="str">
        <f ca="1">IFERROR(__xludf.DUMMYFUNCTION("""COMPUTED_VALUE"""),"")</f>
        <v/>
      </c>
      <c r="R264" s="36" t="str">
        <f ca="1">IFERROR(__xludf.DUMMYFUNCTION("""COMPUTED_VALUE"""),"")</f>
        <v/>
      </c>
      <c r="S264" s="36" t="str">
        <f ca="1">IFERROR(__xludf.DUMMYFUNCTION("""COMPUTED_VALUE"""),"")</f>
        <v/>
      </c>
      <c r="T264" s="36" t="str">
        <f ca="1">IFERROR(__xludf.DUMMYFUNCTION("""COMPUTED_VALUE"""),"")</f>
        <v/>
      </c>
      <c r="U264" s="36" t="str">
        <f ca="1">IFERROR(__xludf.DUMMYFUNCTION("""COMPUTED_VALUE"""),"")</f>
        <v/>
      </c>
      <c r="V264" s="36" t="str">
        <f ca="1">IFERROR(__xludf.DUMMYFUNCTION("""COMPUTED_VALUE"""),"")</f>
        <v/>
      </c>
      <c r="W264" s="36" t="str">
        <f ca="1">IFERROR(__xludf.DUMMYFUNCTION("""COMPUTED_VALUE"""),"")</f>
        <v/>
      </c>
      <c r="X264" s="36"/>
      <c r="Y264" s="36"/>
      <c r="Z264" s="36"/>
    </row>
    <row r="265" spans="1:26" ht="12.75" hidden="1">
      <c r="A265" s="36" t="str">
        <f ca="1">IFERROR(__xludf.DUMMYFUNCTION("""COMPUTED_VALUE"""),"")</f>
        <v/>
      </c>
      <c r="B265" s="36" t="str">
        <f ca="1">IFERROR(__xludf.DUMMYFUNCTION("""COMPUTED_VALUE"""),"")</f>
        <v/>
      </c>
      <c r="C265" s="36" t="str">
        <f ca="1">IFERROR(__xludf.DUMMYFUNCTION("""COMPUTED_VALUE"""),"")</f>
        <v/>
      </c>
      <c r="D265" s="36" t="str">
        <f ca="1">IFERROR(__xludf.DUMMYFUNCTION("""COMPUTED_VALUE"""),"")</f>
        <v/>
      </c>
      <c r="E265" s="36" t="str">
        <f ca="1">IFERROR(__xludf.DUMMYFUNCTION("""COMPUTED_VALUE"""),"")</f>
        <v/>
      </c>
      <c r="F265" s="36" t="str">
        <f ca="1">IFERROR(__xludf.DUMMYFUNCTION("""COMPUTED_VALUE"""),"")</f>
        <v/>
      </c>
      <c r="G265" s="36" t="str">
        <f ca="1">IFERROR(__xludf.DUMMYFUNCTION("""COMPUTED_VALUE"""),"")</f>
        <v/>
      </c>
      <c r="H265" s="36" t="str">
        <f ca="1">IFERROR(__xludf.DUMMYFUNCTION("""COMPUTED_VALUE"""),"")</f>
        <v/>
      </c>
      <c r="I265" s="36" t="str">
        <f ca="1">IFERROR(__xludf.DUMMYFUNCTION("""COMPUTED_VALUE"""),"")</f>
        <v/>
      </c>
      <c r="J265" s="36" t="str">
        <f ca="1">IFERROR(__xludf.DUMMYFUNCTION("""COMPUTED_VALUE"""),"")</f>
        <v/>
      </c>
      <c r="K265" s="36" t="str">
        <f ca="1">IFERROR(__xludf.DUMMYFUNCTION("""COMPUTED_VALUE"""),"")</f>
        <v/>
      </c>
      <c r="L265" s="36" t="str">
        <f ca="1">IFERROR(__xludf.DUMMYFUNCTION("""COMPUTED_VALUE"""),"")</f>
        <v/>
      </c>
      <c r="M265" s="36" t="str">
        <f ca="1">IFERROR(__xludf.DUMMYFUNCTION("""COMPUTED_VALUE"""),"")</f>
        <v/>
      </c>
      <c r="N265" s="36" t="str">
        <f ca="1">IFERROR(__xludf.DUMMYFUNCTION("""COMPUTED_VALUE"""),"")</f>
        <v/>
      </c>
      <c r="O265" s="36" t="str">
        <f ca="1">IFERROR(__xludf.DUMMYFUNCTION("""COMPUTED_VALUE"""),"")</f>
        <v/>
      </c>
      <c r="P265" s="36" t="str">
        <f ca="1">IFERROR(__xludf.DUMMYFUNCTION("""COMPUTED_VALUE"""),"")</f>
        <v/>
      </c>
      <c r="Q265" s="36" t="str">
        <f ca="1">IFERROR(__xludf.DUMMYFUNCTION("""COMPUTED_VALUE"""),"")</f>
        <v/>
      </c>
      <c r="R265" s="36" t="str">
        <f ca="1">IFERROR(__xludf.DUMMYFUNCTION("""COMPUTED_VALUE"""),"")</f>
        <v/>
      </c>
      <c r="S265" s="36" t="str">
        <f ca="1">IFERROR(__xludf.DUMMYFUNCTION("""COMPUTED_VALUE"""),"")</f>
        <v/>
      </c>
      <c r="T265" s="36" t="str">
        <f ca="1">IFERROR(__xludf.DUMMYFUNCTION("""COMPUTED_VALUE"""),"")</f>
        <v/>
      </c>
      <c r="U265" s="36" t="str">
        <f ca="1">IFERROR(__xludf.DUMMYFUNCTION("""COMPUTED_VALUE"""),"")</f>
        <v/>
      </c>
      <c r="V265" s="36" t="str">
        <f ca="1">IFERROR(__xludf.DUMMYFUNCTION("""COMPUTED_VALUE"""),"")</f>
        <v/>
      </c>
      <c r="W265" s="36" t="str">
        <f ca="1">IFERROR(__xludf.DUMMYFUNCTION("""COMPUTED_VALUE"""),"")</f>
        <v/>
      </c>
      <c r="X265" s="36"/>
      <c r="Y265" s="36"/>
      <c r="Z265" s="36"/>
    </row>
    <row r="266" spans="1:26" ht="12.75" hidden="1">
      <c r="A266" s="36" t="str">
        <f ca="1">IFERROR(__xludf.DUMMYFUNCTION("""COMPUTED_VALUE"""),"")</f>
        <v/>
      </c>
      <c r="B266" s="36" t="str">
        <f ca="1">IFERROR(__xludf.DUMMYFUNCTION("""COMPUTED_VALUE"""),"")</f>
        <v/>
      </c>
      <c r="C266" s="36" t="str">
        <f ca="1">IFERROR(__xludf.DUMMYFUNCTION("""COMPUTED_VALUE"""),"")</f>
        <v/>
      </c>
      <c r="D266" s="36" t="str">
        <f ca="1">IFERROR(__xludf.DUMMYFUNCTION("""COMPUTED_VALUE"""),"")</f>
        <v/>
      </c>
      <c r="E266" s="36" t="str">
        <f ca="1">IFERROR(__xludf.DUMMYFUNCTION("""COMPUTED_VALUE"""),"")</f>
        <v/>
      </c>
      <c r="F266" s="36" t="str">
        <f ca="1">IFERROR(__xludf.DUMMYFUNCTION("""COMPUTED_VALUE"""),"")</f>
        <v/>
      </c>
      <c r="G266" s="36" t="str">
        <f ca="1">IFERROR(__xludf.DUMMYFUNCTION("""COMPUTED_VALUE"""),"")</f>
        <v/>
      </c>
      <c r="H266" s="36" t="str">
        <f ca="1">IFERROR(__xludf.DUMMYFUNCTION("""COMPUTED_VALUE"""),"")</f>
        <v/>
      </c>
      <c r="I266" s="36" t="str">
        <f ca="1">IFERROR(__xludf.DUMMYFUNCTION("""COMPUTED_VALUE"""),"")</f>
        <v/>
      </c>
      <c r="J266" s="36" t="str">
        <f ca="1">IFERROR(__xludf.DUMMYFUNCTION("""COMPUTED_VALUE"""),"")</f>
        <v/>
      </c>
      <c r="K266" s="36" t="str">
        <f ca="1">IFERROR(__xludf.DUMMYFUNCTION("""COMPUTED_VALUE"""),"")</f>
        <v/>
      </c>
      <c r="L266" s="36" t="str">
        <f ca="1">IFERROR(__xludf.DUMMYFUNCTION("""COMPUTED_VALUE"""),"")</f>
        <v/>
      </c>
      <c r="M266" s="36" t="str">
        <f ca="1">IFERROR(__xludf.DUMMYFUNCTION("""COMPUTED_VALUE"""),"")</f>
        <v/>
      </c>
      <c r="N266" s="36" t="str">
        <f ca="1">IFERROR(__xludf.DUMMYFUNCTION("""COMPUTED_VALUE"""),"")</f>
        <v/>
      </c>
      <c r="O266" s="36" t="str">
        <f ca="1">IFERROR(__xludf.DUMMYFUNCTION("""COMPUTED_VALUE"""),"")</f>
        <v/>
      </c>
      <c r="P266" s="36" t="str">
        <f ca="1">IFERROR(__xludf.DUMMYFUNCTION("""COMPUTED_VALUE"""),"")</f>
        <v/>
      </c>
      <c r="Q266" s="36" t="str">
        <f ca="1">IFERROR(__xludf.DUMMYFUNCTION("""COMPUTED_VALUE"""),"")</f>
        <v/>
      </c>
      <c r="R266" s="36" t="str">
        <f ca="1">IFERROR(__xludf.DUMMYFUNCTION("""COMPUTED_VALUE"""),"")</f>
        <v/>
      </c>
      <c r="S266" s="36" t="str">
        <f ca="1">IFERROR(__xludf.DUMMYFUNCTION("""COMPUTED_VALUE"""),"")</f>
        <v/>
      </c>
      <c r="T266" s="36" t="str">
        <f ca="1">IFERROR(__xludf.DUMMYFUNCTION("""COMPUTED_VALUE"""),"")</f>
        <v/>
      </c>
      <c r="U266" s="36" t="str">
        <f ca="1">IFERROR(__xludf.DUMMYFUNCTION("""COMPUTED_VALUE"""),"")</f>
        <v/>
      </c>
      <c r="V266" s="36" t="str">
        <f ca="1">IFERROR(__xludf.DUMMYFUNCTION("""COMPUTED_VALUE"""),"")</f>
        <v/>
      </c>
      <c r="W266" s="36" t="str">
        <f ca="1">IFERROR(__xludf.DUMMYFUNCTION("""COMPUTED_VALUE"""),"")</f>
        <v/>
      </c>
      <c r="X266" s="36"/>
      <c r="Y266" s="36"/>
      <c r="Z266" s="36"/>
    </row>
    <row r="267" spans="1:26" ht="12.75" hidden="1">
      <c r="A267" s="36" t="str">
        <f ca="1">IFERROR(__xludf.DUMMYFUNCTION("""COMPUTED_VALUE"""),"")</f>
        <v/>
      </c>
      <c r="B267" s="36" t="str">
        <f ca="1">IFERROR(__xludf.DUMMYFUNCTION("""COMPUTED_VALUE"""),"")</f>
        <v/>
      </c>
      <c r="C267" s="36" t="str">
        <f ca="1">IFERROR(__xludf.DUMMYFUNCTION("""COMPUTED_VALUE"""),"")</f>
        <v/>
      </c>
      <c r="D267" s="36" t="str">
        <f ca="1">IFERROR(__xludf.DUMMYFUNCTION("""COMPUTED_VALUE"""),"")</f>
        <v/>
      </c>
      <c r="E267" s="36" t="str">
        <f ca="1">IFERROR(__xludf.DUMMYFUNCTION("""COMPUTED_VALUE"""),"")</f>
        <v/>
      </c>
      <c r="F267" s="36" t="str">
        <f ca="1">IFERROR(__xludf.DUMMYFUNCTION("""COMPUTED_VALUE"""),"")</f>
        <v/>
      </c>
      <c r="G267" s="36" t="str">
        <f ca="1">IFERROR(__xludf.DUMMYFUNCTION("""COMPUTED_VALUE"""),"")</f>
        <v/>
      </c>
      <c r="H267" s="36" t="str">
        <f ca="1">IFERROR(__xludf.DUMMYFUNCTION("""COMPUTED_VALUE"""),"")</f>
        <v/>
      </c>
      <c r="I267" s="36" t="str">
        <f ca="1">IFERROR(__xludf.DUMMYFUNCTION("""COMPUTED_VALUE"""),"")</f>
        <v/>
      </c>
      <c r="J267" s="36" t="str">
        <f ca="1">IFERROR(__xludf.DUMMYFUNCTION("""COMPUTED_VALUE"""),"")</f>
        <v/>
      </c>
      <c r="K267" s="36" t="str">
        <f ca="1">IFERROR(__xludf.DUMMYFUNCTION("""COMPUTED_VALUE"""),"")</f>
        <v/>
      </c>
      <c r="L267" s="36" t="str">
        <f ca="1">IFERROR(__xludf.DUMMYFUNCTION("""COMPUTED_VALUE"""),"")</f>
        <v/>
      </c>
      <c r="M267" s="36" t="str">
        <f ca="1">IFERROR(__xludf.DUMMYFUNCTION("""COMPUTED_VALUE"""),"")</f>
        <v/>
      </c>
      <c r="N267" s="36" t="str">
        <f ca="1">IFERROR(__xludf.DUMMYFUNCTION("""COMPUTED_VALUE"""),"")</f>
        <v/>
      </c>
      <c r="O267" s="36" t="str">
        <f ca="1">IFERROR(__xludf.DUMMYFUNCTION("""COMPUTED_VALUE"""),"")</f>
        <v/>
      </c>
      <c r="P267" s="36" t="str">
        <f ca="1">IFERROR(__xludf.DUMMYFUNCTION("""COMPUTED_VALUE"""),"")</f>
        <v/>
      </c>
      <c r="Q267" s="36" t="str">
        <f ca="1">IFERROR(__xludf.DUMMYFUNCTION("""COMPUTED_VALUE"""),"")</f>
        <v/>
      </c>
      <c r="R267" s="36" t="str">
        <f ca="1">IFERROR(__xludf.DUMMYFUNCTION("""COMPUTED_VALUE"""),"")</f>
        <v/>
      </c>
      <c r="S267" s="36" t="str">
        <f ca="1">IFERROR(__xludf.DUMMYFUNCTION("""COMPUTED_VALUE"""),"")</f>
        <v/>
      </c>
      <c r="T267" s="36" t="str">
        <f ca="1">IFERROR(__xludf.DUMMYFUNCTION("""COMPUTED_VALUE"""),"")</f>
        <v/>
      </c>
      <c r="U267" s="36" t="str">
        <f ca="1">IFERROR(__xludf.DUMMYFUNCTION("""COMPUTED_VALUE"""),"")</f>
        <v/>
      </c>
      <c r="V267" s="36" t="str">
        <f ca="1">IFERROR(__xludf.DUMMYFUNCTION("""COMPUTED_VALUE"""),"")</f>
        <v/>
      </c>
      <c r="W267" s="36" t="str">
        <f ca="1">IFERROR(__xludf.DUMMYFUNCTION("""COMPUTED_VALUE"""),"")</f>
        <v/>
      </c>
      <c r="X267" s="36"/>
      <c r="Y267" s="36"/>
      <c r="Z267" s="36"/>
    </row>
    <row r="268" spans="1:26" ht="12.75" hidden="1">
      <c r="A268" s="36" t="str">
        <f ca="1">IFERROR(__xludf.DUMMYFUNCTION("""COMPUTED_VALUE"""),"")</f>
        <v/>
      </c>
      <c r="B268" s="36" t="str">
        <f ca="1">IFERROR(__xludf.DUMMYFUNCTION("""COMPUTED_VALUE"""),"")</f>
        <v/>
      </c>
      <c r="C268" s="36" t="str">
        <f ca="1">IFERROR(__xludf.DUMMYFUNCTION("""COMPUTED_VALUE"""),"")</f>
        <v/>
      </c>
      <c r="D268" s="36" t="str">
        <f ca="1">IFERROR(__xludf.DUMMYFUNCTION("""COMPUTED_VALUE"""),"")</f>
        <v/>
      </c>
      <c r="E268" s="36" t="str">
        <f ca="1">IFERROR(__xludf.DUMMYFUNCTION("""COMPUTED_VALUE"""),"")</f>
        <v/>
      </c>
      <c r="F268" s="36" t="str">
        <f ca="1">IFERROR(__xludf.DUMMYFUNCTION("""COMPUTED_VALUE"""),"")</f>
        <v/>
      </c>
      <c r="G268" s="36" t="str">
        <f ca="1">IFERROR(__xludf.DUMMYFUNCTION("""COMPUTED_VALUE"""),"")</f>
        <v/>
      </c>
      <c r="H268" s="36" t="str">
        <f ca="1">IFERROR(__xludf.DUMMYFUNCTION("""COMPUTED_VALUE"""),"")</f>
        <v/>
      </c>
      <c r="I268" s="36" t="str">
        <f ca="1">IFERROR(__xludf.DUMMYFUNCTION("""COMPUTED_VALUE"""),"")</f>
        <v/>
      </c>
      <c r="J268" s="36" t="str">
        <f ca="1">IFERROR(__xludf.DUMMYFUNCTION("""COMPUTED_VALUE"""),"")</f>
        <v/>
      </c>
      <c r="K268" s="36" t="str">
        <f ca="1">IFERROR(__xludf.DUMMYFUNCTION("""COMPUTED_VALUE"""),"")</f>
        <v/>
      </c>
      <c r="L268" s="36" t="str">
        <f ca="1">IFERROR(__xludf.DUMMYFUNCTION("""COMPUTED_VALUE"""),"")</f>
        <v/>
      </c>
      <c r="M268" s="36" t="str">
        <f ca="1">IFERROR(__xludf.DUMMYFUNCTION("""COMPUTED_VALUE"""),"")</f>
        <v/>
      </c>
      <c r="N268" s="36" t="str">
        <f ca="1">IFERROR(__xludf.DUMMYFUNCTION("""COMPUTED_VALUE"""),"")</f>
        <v/>
      </c>
      <c r="O268" s="36" t="str">
        <f ca="1">IFERROR(__xludf.DUMMYFUNCTION("""COMPUTED_VALUE"""),"")</f>
        <v/>
      </c>
      <c r="P268" s="36" t="str">
        <f ca="1">IFERROR(__xludf.DUMMYFUNCTION("""COMPUTED_VALUE"""),"")</f>
        <v/>
      </c>
      <c r="Q268" s="36" t="str">
        <f ca="1">IFERROR(__xludf.DUMMYFUNCTION("""COMPUTED_VALUE"""),"")</f>
        <v/>
      </c>
      <c r="R268" s="36" t="str">
        <f ca="1">IFERROR(__xludf.DUMMYFUNCTION("""COMPUTED_VALUE"""),"")</f>
        <v/>
      </c>
      <c r="S268" s="36" t="str">
        <f ca="1">IFERROR(__xludf.DUMMYFUNCTION("""COMPUTED_VALUE"""),"")</f>
        <v/>
      </c>
      <c r="T268" s="36" t="str">
        <f ca="1">IFERROR(__xludf.DUMMYFUNCTION("""COMPUTED_VALUE"""),"")</f>
        <v/>
      </c>
      <c r="U268" s="36" t="str">
        <f ca="1">IFERROR(__xludf.DUMMYFUNCTION("""COMPUTED_VALUE"""),"")</f>
        <v/>
      </c>
      <c r="V268" s="36" t="str">
        <f ca="1">IFERROR(__xludf.DUMMYFUNCTION("""COMPUTED_VALUE"""),"")</f>
        <v/>
      </c>
      <c r="W268" s="36" t="str">
        <f ca="1">IFERROR(__xludf.DUMMYFUNCTION("""COMPUTED_VALUE"""),"")</f>
        <v/>
      </c>
      <c r="X268" s="36"/>
      <c r="Y268" s="36"/>
      <c r="Z268" s="36"/>
    </row>
    <row r="269" spans="1:26" ht="12.75" hidden="1">
      <c r="A269" s="36" t="str">
        <f ca="1">IFERROR(__xludf.DUMMYFUNCTION("""COMPUTED_VALUE"""),"")</f>
        <v/>
      </c>
      <c r="B269" s="36" t="str">
        <f ca="1">IFERROR(__xludf.DUMMYFUNCTION("""COMPUTED_VALUE"""),"")</f>
        <v/>
      </c>
      <c r="C269" s="36" t="str">
        <f ca="1">IFERROR(__xludf.DUMMYFUNCTION("""COMPUTED_VALUE"""),"")</f>
        <v/>
      </c>
      <c r="D269" s="36" t="str">
        <f ca="1">IFERROR(__xludf.DUMMYFUNCTION("""COMPUTED_VALUE"""),"")</f>
        <v/>
      </c>
      <c r="E269" s="36" t="str">
        <f ca="1">IFERROR(__xludf.DUMMYFUNCTION("""COMPUTED_VALUE"""),"")</f>
        <v/>
      </c>
      <c r="F269" s="36" t="str">
        <f ca="1">IFERROR(__xludf.DUMMYFUNCTION("""COMPUTED_VALUE"""),"")</f>
        <v/>
      </c>
      <c r="G269" s="36" t="str">
        <f ca="1">IFERROR(__xludf.DUMMYFUNCTION("""COMPUTED_VALUE"""),"")</f>
        <v/>
      </c>
      <c r="H269" s="36" t="str">
        <f ca="1">IFERROR(__xludf.DUMMYFUNCTION("""COMPUTED_VALUE"""),"")</f>
        <v/>
      </c>
      <c r="I269" s="36" t="str">
        <f ca="1">IFERROR(__xludf.DUMMYFUNCTION("""COMPUTED_VALUE"""),"")</f>
        <v/>
      </c>
      <c r="J269" s="36" t="str">
        <f ca="1">IFERROR(__xludf.DUMMYFUNCTION("""COMPUTED_VALUE"""),"")</f>
        <v/>
      </c>
      <c r="K269" s="36" t="str">
        <f ca="1">IFERROR(__xludf.DUMMYFUNCTION("""COMPUTED_VALUE"""),"")</f>
        <v/>
      </c>
      <c r="L269" s="36" t="str">
        <f ca="1">IFERROR(__xludf.DUMMYFUNCTION("""COMPUTED_VALUE"""),"")</f>
        <v/>
      </c>
      <c r="M269" s="36" t="str">
        <f ca="1">IFERROR(__xludf.DUMMYFUNCTION("""COMPUTED_VALUE"""),"")</f>
        <v/>
      </c>
      <c r="N269" s="36" t="str">
        <f ca="1">IFERROR(__xludf.DUMMYFUNCTION("""COMPUTED_VALUE"""),"")</f>
        <v/>
      </c>
      <c r="O269" s="36" t="str">
        <f ca="1">IFERROR(__xludf.DUMMYFUNCTION("""COMPUTED_VALUE"""),"")</f>
        <v/>
      </c>
      <c r="P269" s="36" t="str">
        <f ca="1">IFERROR(__xludf.DUMMYFUNCTION("""COMPUTED_VALUE"""),"")</f>
        <v/>
      </c>
      <c r="Q269" s="36" t="str">
        <f ca="1">IFERROR(__xludf.DUMMYFUNCTION("""COMPUTED_VALUE"""),"")</f>
        <v/>
      </c>
      <c r="R269" s="36" t="str">
        <f ca="1">IFERROR(__xludf.DUMMYFUNCTION("""COMPUTED_VALUE"""),"")</f>
        <v/>
      </c>
      <c r="S269" s="36" t="str">
        <f ca="1">IFERROR(__xludf.DUMMYFUNCTION("""COMPUTED_VALUE"""),"")</f>
        <v/>
      </c>
      <c r="T269" s="36" t="str">
        <f ca="1">IFERROR(__xludf.DUMMYFUNCTION("""COMPUTED_VALUE"""),"")</f>
        <v/>
      </c>
      <c r="U269" s="36" t="str">
        <f ca="1">IFERROR(__xludf.DUMMYFUNCTION("""COMPUTED_VALUE"""),"")</f>
        <v/>
      </c>
      <c r="V269" s="36" t="str">
        <f ca="1">IFERROR(__xludf.DUMMYFUNCTION("""COMPUTED_VALUE"""),"")</f>
        <v/>
      </c>
      <c r="W269" s="36" t="str">
        <f ca="1">IFERROR(__xludf.DUMMYFUNCTION("""COMPUTED_VALUE"""),"")</f>
        <v/>
      </c>
      <c r="X269" s="36"/>
      <c r="Y269" s="36"/>
      <c r="Z269" s="36"/>
    </row>
    <row r="270" spans="1:26" ht="12.75" hidden="1">
      <c r="A270" s="36" t="str">
        <f ca="1">IFERROR(__xludf.DUMMYFUNCTION("""COMPUTED_VALUE"""),"")</f>
        <v/>
      </c>
      <c r="B270" s="36" t="str">
        <f ca="1">IFERROR(__xludf.DUMMYFUNCTION("""COMPUTED_VALUE"""),"")</f>
        <v/>
      </c>
      <c r="C270" s="36" t="str">
        <f ca="1">IFERROR(__xludf.DUMMYFUNCTION("""COMPUTED_VALUE"""),"")</f>
        <v/>
      </c>
      <c r="D270" s="36" t="str">
        <f ca="1">IFERROR(__xludf.DUMMYFUNCTION("""COMPUTED_VALUE"""),"")</f>
        <v/>
      </c>
      <c r="E270" s="36" t="str">
        <f ca="1">IFERROR(__xludf.DUMMYFUNCTION("""COMPUTED_VALUE"""),"")</f>
        <v/>
      </c>
      <c r="F270" s="36" t="str">
        <f ca="1">IFERROR(__xludf.DUMMYFUNCTION("""COMPUTED_VALUE"""),"")</f>
        <v/>
      </c>
      <c r="G270" s="36" t="str">
        <f ca="1">IFERROR(__xludf.DUMMYFUNCTION("""COMPUTED_VALUE"""),"")</f>
        <v/>
      </c>
      <c r="H270" s="36" t="str">
        <f ca="1">IFERROR(__xludf.DUMMYFUNCTION("""COMPUTED_VALUE"""),"")</f>
        <v/>
      </c>
      <c r="I270" s="36" t="str">
        <f ca="1">IFERROR(__xludf.DUMMYFUNCTION("""COMPUTED_VALUE"""),"")</f>
        <v/>
      </c>
      <c r="J270" s="36" t="str">
        <f ca="1">IFERROR(__xludf.DUMMYFUNCTION("""COMPUTED_VALUE"""),"")</f>
        <v/>
      </c>
      <c r="K270" s="36" t="str">
        <f ca="1">IFERROR(__xludf.DUMMYFUNCTION("""COMPUTED_VALUE"""),"")</f>
        <v/>
      </c>
      <c r="L270" s="36" t="str">
        <f ca="1">IFERROR(__xludf.DUMMYFUNCTION("""COMPUTED_VALUE"""),"")</f>
        <v/>
      </c>
      <c r="M270" s="36" t="str">
        <f ca="1">IFERROR(__xludf.DUMMYFUNCTION("""COMPUTED_VALUE"""),"")</f>
        <v/>
      </c>
      <c r="N270" s="36" t="str">
        <f ca="1">IFERROR(__xludf.DUMMYFUNCTION("""COMPUTED_VALUE"""),"")</f>
        <v/>
      </c>
      <c r="O270" s="36" t="str">
        <f ca="1">IFERROR(__xludf.DUMMYFUNCTION("""COMPUTED_VALUE"""),"")</f>
        <v/>
      </c>
      <c r="P270" s="36" t="str">
        <f ca="1">IFERROR(__xludf.DUMMYFUNCTION("""COMPUTED_VALUE"""),"")</f>
        <v/>
      </c>
      <c r="Q270" s="36" t="str">
        <f ca="1">IFERROR(__xludf.DUMMYFUNCTION("""COMPUTED_VALUE"""),"")</f>
        <v/>
      </c>
      <c r="R270" s="36" t="str">
        <f ca="1">IFERROR(__xludf.DUMMYFUNCTION("""COMPUTED_VALUE"""),"")</f>
        <v/>
      </c>
      <c r="S270" s="36" t="str">
        <f ca="1">IFERROR(__xludf.DUMMYFUNCTION("""COMPUTED_VALUE"""),"")</f>
        <v/>
      </c>
      <c r="T270" s="36" t="str">
        <f ca="1">IFERROR(__xludf.DUMMYFUNCTION("""COMPUTED_VALUE"""),"")</f>
        <v/>
      </c>
      <c r="U270" s="36" t="str">
        <f ca="1">IFERROR(__xludf.DUMMYFUNCTION("""COMPUTED_VALUE"""),"")</f>
        <v/>
      </c>
      <c r="V270" s="36" t="str">
        <f ca="1">IFERROR(__xludf.DUMMYFUNCTION("""COMPUTED_VALUE"""),"")</f>
        <v/>
      </c>
      <c r="W270" s="36" t="str">
        <f ca="1">IFERROR(__xludf.DUMMYFUNCTION("""COMPUTED_VALUE"""),"")</f>
        <v/>
      </c>
      <c r="X270" s="36"/>
      <c r="Y270" s="36"/>
      <c r="Z270" s="36"/>
    </row>
    <row r="271" spans="1:26" ht="12.75" hidden="1">
      <c r="A271" s="36" t="str">
        <f ca="1">IFERROR(__xludf.DUMMYFUNCTION("""COMPUTED_VALUE"""),"")</f>
        <v/>
      </c>
      <c r="B271" s="36" t="str">
        <f ca="1">IFERROR(__xludf.DUMMYFUNCTION("""COMPUTED_VALUE"""),"")</f>
        <v/>
      </c>
      <c r="C271" s="36" t="str">
        <f ca="1">IFERROR(__xludf.DUMMYFUNCTION("""COMPUTED_VALUE"""),"")</f>
        <v/>
      </c>
      <c r="D271" s="36" t="str">
        <f ca="1">IFERROR(__xludf.DUMMYFUNCTION("""COMPUTED_VALUE"""),"")</f>
        <v/>
      </c>
      <c r="E271" s="36" t="str">
        <f ca="1">IFERROR(__xludf.DUMMYFUNCTION("""COMPUTED_VALUE"""),"")</f>
        <v/>
      </c>
      <c r="F271" s="36" t="str">
        <f ca="1">IFERROR(__xludf.DUMMYFUNCTION("""COMPUTED_VALUE"""),"")</f>
        <v/>
      </c>
      <c r="G271" s="36" t="str">
        <f ca="1">IFERROR(__xludf.DUMMYFUNCTION("""COMPUTED_VALUE"""),"")</f>
        <v/>
      </c>
      <c r="H271" s="36" t="str">
        <f ca="1">IFERROR(__xludf.DUMMYFUNCTION("""COMPUTED_VALUE"""),"")</f>
        <v/>
      </c>
      <c r="I271" s="36" t="str">
        <f ca="1">IFERROR(__xludf.DUMMYFUNCTION("""COMPUTED_VALUE"""),"")</f>
        <v/>
      </c>
      <c r="J271" s="36" t="str">
        <f ca="1">IFERROR(__xludf.DUMMYFUNCTION("""COMPUTED_VALUE"""),"")</f>
        <v/>
      </c>
      <c r="K271" s="36" t="str">
        <f ca="1">IFERROR(__xludf.DUMMYFUNCTION("""COMPUTED_VALUE"""),"")</f>
        <v/>
      </c>
      <c r="L271" s="36" t="str">
        <f ca="1">IFERROR(__xludf.DUMMYFUNCTION("""COMPUTED_VALUE"""),"")</f>
        <v/>
      </c>
      <c r="M271" s="36" t="str">
        <f ca="1">IFERROR(__xludf.DUMMYFUNCTION("""COMPUTED_VALUE"""),"")</f>
        <v/>
      </c>
      <c r="N271" s="36" t="str">
        <f ca="1">IFERROR(__xludf.DUMMYFUNCTION("""COMPUTED_VALUE"""),"")</f>
        <v/>
      </c>
      <c r="O271" s="36" t="str">
        <f ca="1">IFERROR(__xludf.DUMMYFUNCTION("""COMPUTED_VALUE"""),"")</f>
        <v/>
      </c>
      <c r="P271" s="36" t="str">
        <f ca="1">IFERROR(__xludf.DUMMYFUNCTION("""COMPUTED_VALUE"""),"")</f>
        <v/>
      </c>
      <c r="Q271" s="36" t="str">
        <f ca="1">IFERROR(__xludf.DUMMYFUNCTION("""COMPUTED_VALUE"""),"")</f>
        <v/>
      </c>
      <c r="R271" s="36" t="str">
        <f ca="1">IFERROR(__xludf.DUMMYFUNCTION("""COMPUTED_VALUE"""),"")</f>
        <v/>
      </c>
      <c r="S271" s="36" t="str">
        <f ca="1">IFERROR(__xludf.DUMMYFUNCTION("""COMPUTED_VALUE"""),"")</f>
        <v/>
      </c>
      <c r="T271" s="36" t="str">
        <f ca="1">IFERROR(__xludf.DUMMYFUNCTION("""COMPUTED_VALUE"""),"")</f>
        <v/>
      </c>
      <c r="U271" s="36" t="str">
        <f ca="1">IFERROR(__xludf.DUMMYFUNCTION("""COMPUTED_VALUE"""),"")</f>
        <v/>
      </c>
      <c r="V271" s="36" t="str">
        <f ca="1">IFERROR(__xludf.DUMMYFUNCTION("""COMPUTED_VALUE"""),"")</f>
        <v/>
      </c>
      <c r="W271" s="36" t="str">
        <f ca="1">IFERROR(__xludf.DUMMYFUNCTION("""COMPUTED_VALUE"""),"")</f>
        <v/>
      </c>
      <c r="X271" s="36"/>
      <c r="Y271" s="36"/>
      <c r="Z271" s="36"/>
    </row>
    <row r="272" spans="1:26" ht="12.75" hidden="1">
      <c r="A272" s="36" t="str">
        <f ca="1">IFERROR(__xludf.DUMMYFUNCTION("""COMPUTED_VALUE"""),"")</f>
        <v/>
      </c>
      <c r="B272" s="36" t="str">
        <f ca="1">IFERROR(__xludf.DUMMYFUNCTION("""COMPUTED_VALUE"""),"")</f>
        <v/>
      </c>
      <c r="C272" s="36" t="str">
        <f ca="1">IFERROR(__xludf.DUMMYFUNCTION("""COMPUTED_VALUE"""),"")</f>
        <v/>
      </c>
      <c r="D272" s="36" t="str">
        <f ca="1">IFERROR(__xludf.DUMMYFUNCTION("""COMPUTED_VALUE"""),"")</f>
        <v/>
      </c>
      <c r="E272" s="36" t="str">
        <f ca="1">IFERROR(__xludf.DUMMYFUNCTION("""COMPUTED_VALUE"""),"")</f>
        <v/>
      </c>
      <c r="F272" s="36" t="str">
        <f ca="1">IFERROR(__xludf.DUMMYFUNCTION("""COMPUTED_VALUE"""),"")</f>
        <v/>
      </c>
      <c r="G272" s="36" t="str">
        <f ca="1">IFERROR(__xludf.DUMMYFUNCTION("""COMPUTED_VALUE"""),"")</f>
        <v/>
      </c>
      <c r="H272" s="36" t="str">
        <f ca="1">IFERROR(__xludf.DUMMYFUNCTION("""COMPUTED_VALUE"""),"")</f>
        <v/>
      </c>
      <c r="I272" s="36" t="str">
        <f ca="1">IFERROR(__xludf.DUMMYFUNCTION("""COMPUTED_VALUE"""),"")</f>
        <v/>
      </c>
      <c r="J272" s="36" t="str">
        <f ca="1">IFERROR(__xludf.DUMMYFUNCTION("""COMPUTED_VALUE"""),"")</f>
        <v/>
      </c>
      <c r="K272" s="36" t="str">
        <f ca="1">IFERROR(__xludf.DUMMYFUNCTION("""COMPUTED_VALUE"""),"")</f>
        <v/>
      </c>
      <c r="L272" s="36" t="str">
        <f ca="1">IFERROR(__xludf.DUMMYFUNCTION("""COMPUTED_VALUE"""),"")</f>
        <v/>
      </c>
      <c r="M272" s="36" t="str">
        <f ca="1">IFERROR(__xludf.DUMMYFUNCTION("""COMPUTED_VALUE"""),"")</f>
        <v/>
      </c>
      <c r="N272" s="36" t="str">
        <f ca="1">IFERROR(__xludf.DUMMYFUNCTION("""COMPUTED_VALUE"""),"")</f>
        <v/>
      </c>
      <c r="O272" s="36" t="str">
        <f ca="1">IFERROR(__xludf.DUMMYFUNCTION("""COMPUTED_VALUE"""),"")</f>
        <v/>
      </c>
      <c r="P272" s="36" t="str">
        <f ca="1">IFERROR(__xludf.DUMMYFUNCTION("""COMPUTED_VALUE"""),"")</f>
        <v/>
      </c>
      <c r="Q272" s="36" t="str">
        <f ca="1">IFERROR(__xludf.DUMMYFUNCTION("""COMPUTED_VALUE"""),"")</f>
        <v/>
      </c>
      <c r="R272" s="36" t="str">
        <f ca="1">IFERROR(__xludf.DUMMYFUNCTION("""COMPUTED_VALUE"""),"")</f>
        <v/>
      </c>
      <c r="S272" s="36" t="str">
        <f ca="1">IFERROR(__xludf.DUMMYFUNCTION("""COMPUTED_VALUE"""),"")</f>
        <v/>
      </c>
      <c r="T272" s="36" t="str">
        <f ca="1">IFERROR(__xludf.DUMMYFUNCTION("""COMPUTED_VALUE"""),"")</f>
        <v/>
      </c>
      <c r="U272" s="36" t="str">
        <f ca="1">IFERROR(__xludf.DUMMYFUNCTION("""COMPUTED_VALUE"""),"")</f>
        <v/>
      </c>
      <c r="V272" s="36" t="str">
        <f ca="1">IFERROR(__xludf.DUMMYFUNCTION("""COMPUTED_VALUE"""),"")</f>
        <v/>
      </c>
      <c r="W272" s="36" t="str">
        <f ca="1">IFERROR(__xludf.DUMMYFUNCTION("""COMPUTED_VALUE"""),"")</f>
        <v/>
      </c>
      <c r="X272" s="36"/>
      <c r="Y272" s="36"/>
      <c r="Z272" s="36"/>
    </row>
    <row r="273" spans="1:26" ht="12.75" hidden="1">
      <c r="A273" s="36" t="str">
        <f ca="1">IFERROR(__xludf.DUMMYFUNCTION("""COMPUTED_VALUE"""),"")</f>
        <v/>
      </c>
      <c r="B273" s="36" t="str">
        <f ca="1">IFERROR(__xludf.DUMMYFUNCTION("""COMPUTED_VALUE"""),"")</f>
        <v/>
      </c>
      <c r="C273" s="36" t="str">
        <f ca="1">IFERROR(__xludf.DUMMYFUNCTION("""COMPUTED_VALUE"""),"")</f>
        <v/>
      </c>
      <c r="D273" s="36" t="str">
        <f ca="1">IFERROR(__xludf.DUMMYFUNCTION("""COMPUTED_VALUE"""),"")</f>
        <v/>
      </c>
      <c r="E273" s="36" t="str">
        <f ca="1">IFERROR(__xludf.DUMMYFUNCTION("""COMPUTED_VALUE"""),"")</f>
        <v/>
      </c>
      <c r="F273" s="36" t="str">
        <f ca="1">IFERROR(__xludf.DUMMYFUNCTION("""COMPUTED_VALUE"""),"")</f>
        <v/>
      </c>
      <c r="G273" s="36" t="str">
        <f ca="1">IFERROR(__xludf.DUMMYFUNCTION("""COMPUTED_VALUE"""),"")</f>
        <v/>
      </c>
      <c r="H273" s="36" t="str">
        <f ca="1">IFERROR(__xludf.DUMMYFUNCTION("""COMPUTED_VALUE"""),"")</f>
        <v/>
      </c>
      <c r="I273" s="36" t="str">
        <f ca="1">IFERROR(__xludf.DUMMYFUNCTION("""COMPUTED_VALUE"""),"")</f>
        <v/>
      </c>
      <c r="J273" s="36" t="str">
        <f ca="1">IFERROR(__xludf.DUMMYFUNCTION("""COMPUTED_VALUE"""),"")</f>
        <v/>
      </c>
      <c r="K273" s="36" t="str">
        <f ca="1">IFERROR(__xludf.DUMMYFUNCTION("""COMPUTED_VALUE"""),"")</f>
        <v/>
      </c>
      <c r="L273" s="36" t="str">
        <f ca="1">IFERROR(__xludf.DUMMYFUNCTION("""COMPUTED_VALUE"""),"")</f>
        <v/>
      </c>
      <c r="M273" s="36" t="str">
        <f ca="1">IFERROR(__xludf.DUMMYFUNCTION("""COMPUTED_VALUE"""),"")</f>
        <v/>
      </c>
      <c r="N273" s="36" t="str">
        <f ca="1">IFERROR(__xludf.DUMMYFUNCTION("""COMPUTED_VALUE"""),"")</f>
        <v/>
      </c>
      <c r="O273" s="36" t="str">
        <f ca="1">IFERROR(__xludf.DUMMYFUNCTION("""COMPUTED_VALUE"""),"")</f>
        <v/>
      </c>
      <c r="P273" s="36" t="str">
        <f ca="1">IFERROR(__xludf.DUMMYFUNCTION("""COMPUTED_VALUE"""),"")</f>
        <v/>
      </c>
      <c r="Q273" s="36" t="str">
        <f ca="1">IFERROR(__xludf.DUMMYFUNCTION("""COMPUTED_VALUE"""),"")</f>
        <v/>
      </c>
      <c r="R273" s="36" t="str">
        <f ca="1">IFERROR(__xludf.DUMMYFUNCTION("""COMPUTED_VALUE"""),"")</f>
        <v/>
      </c>
      <c r="S273" s="36" t="str">
        <f ca="1">IFERROR(__xludf.DUMMYFUNCTION("""COMPUTED_VALUE"""),"")</f>
        <v/>
      </c>
      <c r="T273" s="36" t="str">
        <f ca="1">IFERROR(__xludf.DUMMYFUNCTION("""COMPUTED_VALUE"""),"")</f>
        <v/>
      </c>
      <c r="U273" s="36" t="str">
        <f ca="1">IFERROR(__xludf.DUMMYFUNCTION("""COMPUTED_VALUE"""),"")</f>
        <v/>
      </c>
      <c r="V273" s="36" t="str">
        <f ca="1">IFERROR(__xludf.DUMMYFUNCTION("""COMPUTED_VALUE"""),"")</f>
        <v/>
      </c>
      <c r="W273" s="36" t="str">
        <f ca="1">IFERROR(__xludf.DUMMYFUNCTION("""COMPUTED_VALUE"""),"")</f>
        <v/>
      </c>
      <c r="X273" s="36"/>
      <c r="Y273" s="36"/>
      <c r="Z273" s="36"/>
    </row>
    <row r="274" spans="1:26" ht="12.75" hidden="1">
      <c r="A274" s="36" t="str">
        <f ca="1">IFERROR(__xludf.DUMMYFUNCTION("""COMPUTED_VALUE"""),"")</f>
        <v/>
      </c>
      <c r="B274" s="36" t="str">
        <f ca="1">IFERROR(__xludf.DUMMYFUNCTION("""COMPUTED_VALUE"""),"")</f>
        <v/>
      </c>
      <c r="C274" s="36" t="str">
        <f ca="1">IFERROR(__xludf.DUMMYFUNCTION("""COMPUTED_VALUE"""),"")</f>
        <v/>
      </c>
      <c r="D274" s="36" t="str">
        <f ca="1">IFERROR(__xludf.DUMMYFUNCTION("""COMPUTED_VALUE"""),"")</f>
        <v/>
      </c>
      <c r="E274" s="36" t="str">
        <f ca="1">IFERROR(__xludf.DUMMYFUNCTION("""COMPUTED_VALUE"""),"")</f>
        <v/>
      </c>
      <c r="F274" s="36" t="str">
        <f ca="1">IFERROR(__xludf.DUMMYFUNCTION("""COMPUTED_VALUE"""),"")</f>
        <v/>
      </c>
      <c r="G274" s="36" t="str">
        <f ca="1">IFERROR(__xludf.DUMMYFUNCTION("""COMPUTED_VALUE"""),"")</f>
        <v/>
      </c>
      <c r="H274" s="36" t="str">
        <f ca="1">IFERROR(__xludf.DUMMYFUNCTION("""COMPUTED_VALUE"""),"")</f>
        <v/>
      </c>
      <c r="I274" s="36" t="str">
        <f ca="1">IFERROR(__xludf.DUMMYFUNCTION("""COMPUTED_VALUE"""),"")</f>
        <v/>
      </c>
      <c r="J274" s="36" t="str">
        <f ca="1">IFERROR(__xludf.DUMMYFUNCTION("""COMPUTED_VALUE"""),"")</f>
        <v/>
      </c>
      <c r="K274" s="36" t="str">
        <f ca="1">IFERROR(__xludf.DUMMYFUNCTION("""COMPUTED_VALUE"""),"")</f>
        <v/>
      </c>
      <c r="L274" s="36" t="str">
        <f ca="1">IFERROR(__xludf.DUMMYFUNCTION("""COMPUTED_VALUE"""),"")</f>
        <v/>
      </c>
      <c r="M274" s="36" t="str">
        <f ca="1">IFERROR(__xludf.DUMMYFUNCTION("""COMPUTED_VALUE"""),"")</f>
        <v/>
      </c>
      <c r="N274" s="36" t="str">
        <f ca="1">IFERROR(__xludf.DUMMYFUNCTION("""COMPUTED_VALUE"""),"")</f>
        <v/>
      </c>
      <c r="O274" s="36" t="str">
        <f ca="1">IFERROR(__xludf.DUMMYFUNCTION("""COMPUTED_VALUE"""),"")</f>
        <v/>
      </c>
      <c r="P274" s="36" t="str">
        <f ca="1">IFERROR(__xludf.DUMMYFUNCTION("""COMPUTED_VALUE"""),"")</f>
        <v/>
      </c>
      <c r="Q274" s="36" t="str">
        <f ca="1">IFERROR(__xludf.DUMMYFUNCTION("""COMPUTED_VALUE"""),"")</f>
        <v/>
      </c>
      <c r="R274" s="36" t="str">
        <f ca="1">IFERROR(__xludf.DUMMYFUNCTION("""COMPUTED_VALUE"""),"")</f>
        <v/>
      </c>
      <c r="S274" s="36" t="str">
        <f ca="1">IFERROR(__xludf.DUMMYFUNCTION("""COMPUTED_VALUE"""),"")</f>
        <v/>
      </c>
      <c r="T274" s="36" t="str">
        <f ca="1">IFERROR(__xludf.DUMMYFUNCTION("""COMPUTED_VALUE"""),"")</f>
        <v/>
      </c>
      <c r="U274" s="36" t="str">
        <f ca="1">IFERROR(__xludf.DUMMYFUNCTION("""COMPUTED_VALUE"""),"")</f>
        <v/>
      </c>
      <c r="V274" s="36" t="str">
        <f ca="1">IFERROR(__xludf.DUMMYFUNCTION("""COMPUTED_VALUE"""),"")</f>
        <v/>
      </c>
      <c r="W274" s="36" t="str">
        <f ca="1">IFERROR(__xludf.DUMMYFUNCTION("""COMPUTED_VALUE"""),"")</f>
        <v/>
      </c>
      <c r="X274" s="36"/>
      <c r="Y274" s="36"/>
      <c r="Z274" s="36"/>
    </row>
    <row r="275" spans="1:26" ht="12.75" hidden="1">
      <c r="A275" s="36" t="str">
        <f ca="1">IFERROR(__xludf.DUMMYFUNCTION("""COMPUTED_VALUE"""),"")</f>
        <v/>
      </c>
      <c r="B275" s="36" t="str">
        <f ca="1">IFERROR(__xludf.DUMMYFUNCTION("""COMPUTED_VALUE"""),"")</f>
        <v/>
      </c>
      <c r="C275" s="36" t="str">
        <f ca="1">IFERROR(__xludf.DUMMYFUNCTION("""COMPUTED_VALUE"""),"")</f>
        <v/>
      </c>
      <c r="D275" s="36" t="str">
        <f ca="1">IFERROR(__xludf.DUMMYFUNCTION("""COMPUTED_VALUE"""),"")</f>
        <v/>
      </c>
      <c r="E275" s="36" t="str">
        <f ca="1">IFERROR(__xludf.DUMMYFUNCTION("""COMPUTED_VALUE"""),"")</f>
        <v/>
      </c>
      <c r="F275" s="36" t="str">
        <f ca="1">IFERROR(__xludf.DUMMYFUNCTION("""COMPUTED_VALUE"""),"")</f>
        <v/>
      </c>
      <c r="G275" s="36" t="str">
        <f ca="1">IFERROR(__xludf.DUMMYFUNCTION("""COMPUTED_VALUE"""),"")</f>
        <v/>
      </c>
      <c r="H275" s="36" t="str">
        <f ca="1">IFERROR(__xludf.DUMMYFUNCTION("""COMPUTED_VALUE"""),"")</f>
        <v/>
      </c>
      <c r="I275" s="36" t="str">
        <f ca="1">IFERROR(__xludf.DUMMYFUNCTION("""COMPUTED_VALUE"""),"")</f>
        <v/>
      </c>
      <c r="J275" s="36" t="str">
        <f ca="1">IFERROR(__xludf.DUMMYFUNCTION("""COMPUTED_VALUE"""),"")</f>
        <v/>
      </c>
      <c r="K275" s="36" t="str">
        <f ca="1">IFERROR(__xludf.DUMMYFUNCTION("""COMPUTED_VALUE"""),"")</f>
        <v/>
      </c>
      <c r="L275" s="36" t="str">
        <f ca="1">IFERROR(__xludf.DUMMYFUNCTION("""COMPUTED_VALUE"""),"")</f>
        <v/>
      </c>
      <c r="M275" s="36" t="str">
        <f ca="1">IFERROR(__xludf.DUMMYFUNCTION("""COMPUTED_VALUE"""),"")</f>
        <v/>
      </c>
      <c r="N275" s="36" t="str">
        <f ca="1">IFERROR(__xludf.DUMMYFUNCTION("""COMPUTED_VALUE"""),"")</f>
        <v/>
      </c>
      <c r="O275" s="36" t="str">
        <f ca="1">IFERROR(__xludf.DUMMYFUNCTION("""COMPUTED_VALUE"""),"")</f>
        <v/>
      </c>
      <c r="P275" s="36" t="str">
        <f ca="1">IFERROR(__xludf.DUMMYFUNCTION("""COMPUTED_VALUE"""),"")</f>
        <v/>
      </c>
      <c r="Q275" s="36" t="str">
        <f ca="1">IFERROR(__xludf.DUMMYFUNCTION("""COMPUTED_VALUE"""),"")</f>
        <v/>
      </c>
      <c r="R275" s="36" t="str">
        <f ca="1">IFERROR(__xludf.DUMMYFUNCTION("""COMPUTED_VALUE"""),"")</f>
        <v/>
      </c>
      <c r="S275" s="36" t="str">
        <f ca="1">IFERROR(__xludf.DUMMYFUNCTION("""COMPUTED_VALUE"""),"")</f>
        <v/>
      </c>
      <c r="T275" s="36" t="str">
        <f ca="1">IFERROR(__xludf.DUMMYFUNCTION("""COMPUTED_VALUE"""),"")</f>
        <v/>
      </c>
      <c r="U275" s="36" t="str">
        <f ca="1">IFERROR(__xludf.DUMMYFUNCTION("""COMPUTED_VALUE"""),"")</f>
        <v/>
      </c>
      <c r="V275" s="36" t="str">
        <f ca="1">IFERROR(__xludf.DUMMYFUNCTION("""COMPUTED_VALUE"""),"")</f>
        <v/>
      </c>
      <c r="W275" s="36" t="str">
        <f ca="1">IFERROR(__xludf.DUMMYFUNCTION("""COMPUTED_VALUE"""),"")</f>
        <v/>
      </c>
      <c r="X275" s="36"/>
      <c r="Y275" s="36"/>
      <c r="Z275" s="36"/>
    </row>
    <row r="276" spans="1:26" ht="12.75" hidden="1">
      <c r="A276" s="36" t="str">
        <f ca="1">IFERROR(__xludf.DUMMYFUNCTION("""COMPUTED_VALUE"""),"")</f>
        <v/>
      </c>
      <c r="B276" s="36" t="str">
        <f ca="1">IFERROR(__xludf.DUMMYFUNCTION("""COMPUTED_VALUE"""),"")</f>
        <v/>
      </c>
      <c r="C276" s="36" t="str">
        <f ca="1">IFERROR(__xludf.DUMMYFUNCTION("""COMPUTED_VALUE"""),"")</f>
        <v/>
      </c>
      <c r="D276" s="36" t="str">
        <f ca="1">IFERROR(__xludf.DUMMYFUNCTION("""COMPUTED_VALUE"""),"")</f>
        <v/>
      </c>
      <c r="E276" s="36" t="str">
        <f ca="1">IFERROR(__xludf.DUMMYFUNCTION("""COMPUTED_VALUE"""),"")</f>
        <v/>
      </c>
      <c r="F276" s="36" t="str">
        <f ca="1">IFERROR(__xludf.DUMMYFUNCTION("""COMPUTED_VALUE"""),"")</f>
        <v/>
      </c>
      <c r="G276" s="36" t="str">
        <f ca="1">IFERROR(__xludf.DUMMYFUNCTION("""COMPUTED_VALUE"""),"")</f>
        <v/>
      </c>
      <c r="H276" s="36" t="str">
        <f ca="1">IFERROR(__xludf.DUMMYFUNCTION("""COMPUTED_VALUE"""),"")</f>
        <v/>
      </c>
      <c r="I276" s="36" t="str">
        <f ca="1">IFERROR(__xludf.DUMMYFUNCTION("""COMPUTED_VALUE"""),"")</f>
        <v/>
      </c>
      <c r="J276" s="36" t="str">
        <f ca="1">IFERROR(__xludf.DUMMYFUNCTION("""COMPUTED_VALUE"""),"")</f>
        <v/>
      </c>
      <c r="K276" s="36" t="str">
        <f ca="1">IFERROR(__xludf.DUMMYFUNCTION("""COMPUTED_VALUE"""),"")</f>
        <v/>
      </c>
      <c r="L276" s="36" t="str">
        <f ca="1">IFERROR(__xludf.DUMMYFUNCTION("""COMPUTED_VALUE"""),"")</f>
        <v/>
      </c>
      <c r="M276" s="36" t="str">
        <f ca="1">IFERROR(__xludf.DUMMYFUNCTION("""COMPUTED_VALUE"""),"")</f>
        <v/>
      </c>
      <c r="N276" s="36" t="str">
        <f ca="1">IFERROR(__xludf.DUMMYFUNCTION("""COMPUTED_VALUE"""),"")</f>
        <v/>
      </c>
      <c r="O276" s="36" t="str">
        <f ca="1">IFERROR(__xludf.DUMMYFUNCTION("""COMPUTED_VALUE"""),"")</f>
        <v/>
      </c>
      <c r="P276" s="36" t="str">
        <f ca="1">IFERROR(__xludf.DUMMYFUNCTION("""COMPUTED_VALUE"""),"")</f>
        <v/>
      </c>
      <c r="Q276" s="36" t="str">
        <f ca="1">IFERROR(__xludf.DUMMYFUNCTION("""COMPUTED_VALUE"""),"")</f>
        <v/>
      </c>
      <c r="R276" s="36" t="str">
        <f ca="1">IFERROR(__xludf.DUMMYFUNCTION("""COMPUTED_VALUE"""),"")</f>
        <v/>
      </c>
      <c r="S276" s="36" t="str">
        <f ca="1">IFERROR(__xludf.DUMMYFUNCTION("""COMPUTED_VALUE"""),"")</f>
        <v/>
      </c>
      <c r="T276" s="36" t="str">
        <f ca="1">IFERROR(__xludf.DUMMYFUNCTION("""COMPUTED_VALUE"""),"")</f>
        <v/>
      </c>
      <c r="U276" s="36" t="str">
        <f ca="1">IFERROR(__xludf.DUMMYFUNCTION("""COMPUTED_VALUE"""),"")</f>
        <v/>
      </c>
      <c r="V276" s="36" t="str">
        <f ca="1">IFERROR(__xludf.DUMMYFUNCTION("""COMPUTED_VALUE"""),"")</f>
        <v/>
      </c>
      <c r="W276" s="36" t="str">
        <f ca="1">IFERROR(__xludf.DUMMYFUNCTION("""COMPUTED_VALUE"""),"")</f>
        <v/>
      </c>
      <c r="X276" s="36"/>
      <c r="Y276" s="36"/>
      <c r="Z276" s="36"/>
    </row>
    <row r="277" spans="1:26" ht="12.75" hidden="1">
      <c r="A277" s="36" t="str">
        <f ca="1">IFERROR(__xludf.DUMMYFUNCTION("""COMPUTED_VALUE"""),"")</f>
        <v/>
      </c>
      <c r="B277" s="36" t="str">
        <f ca="1">IFERROR(__xludf.DUMMYFUNCTION("""COMPUTED_VALUE"""),"")</f>
        <v/>
      </c>
      <c r="C277" s="36" t="str">
        <f ca="1">IFERROR(__xludf.DUMMYFUNCTION("""COMPUTED_VALUE"""),"")</f>
        <v/>
      </c>
      <c r="D277" s="36" t="str">
        <f ca="1">IFERROR(__xludf.DUMMYFUNCTION("""COMPUTED_VALUE"""),"")</f>
        <v/>
      </c>
      <c r="E277" s="36" t="str">
        <f ca="1">IFERROR(__xludf.DUMMYFUNCTION("""COMPUTED_VALUE"""),"")</f>
        <v/>
      </c>
      <c r="F277" s="36" t="str">
        <f ca="1">IFERROR(__xludf.DUMMYFUNCTION("""COMPUTED_VALUE"""),"")</f>
        <v/>
      </c>
      <c r="G277" s="36" t="str">
        <f ca="1">IFERROR(__xludf.DUMMYFUNCTION("""COMPUTED_VALUE"""),"")</f>
        <v/>
      </c>
      <c r="H277" s="36" t="str">
        <f ca="1">IFERROR(__xludf.DUMMYFUNCTION("""COMPUTED_VALUE"""),"")</f>
        <v/>
      </c>
      <c r="I277" s="36" t="str">
        <f ca="1">IFERROR(__xludf.DUMMYFUNCTION("""COMPUTED_VALUE"""),"")</f>
        <v/>
      </c>
      <c r="J277" s="36" t="str">
        <f ca="1">IFERROR(__xludf.DUMMYFUNCTION("""COMPUTED_VALUE"""),"")</f>
        <v/>
      </c>
      <c r="K277" s="36" t="str">
        <f ca="1">IFERROR(__xludf.DUMMYFUNCTION("""COMPUTED_VALUE"""),"")</f>
        <v/>
      </c>
      <c r="L277" s="36" t="str">
        <f ca="1">IFERROR(__xludf.DUMMYFUNCTION("""COMPUTED_VALUE"""),"")</f>
        <v/>
      </c>
      <c r="M277" s="36" t="str">
        <f ca="1">IFERROR(__xludf.DUMMYFUNCTION("""COMPUTED_VALUE"""),"")</f>
        <v/>
      </c>
      <c r="N277" s="36" t="str">
        <f ca="1">IFERROR(__xludf.DUMMYFUNCTION("""COMPUTED_VALUE"""),"")</f>
        <v/>
      </c>
      <c r="O277" s="36" t="str">
        <f ca="1">IFERROR(__xludf.DUMMYFUNCTION("""COMPUTED_VALUE"""),"")</f>
        <v/>
      </c>
      <c r="P277" s="36" t="str">
        <f ca="1">IFERROR(__xludf.DUMMYFUNCTION("""COMPUTED_VALUE"""),"")</f>
        <v/>
      </c>
      <c r="Q277" s="36" t="str">
        <f ca="1">IFERROR(__xludf.DUMMYFUNCTION("""COMPUTED_VALUE"""),"")</f>
        <v/>
      </c>
      <c r="R277" s="36" t="str">
        <f ca="1">IFERROR(__xludf.DUMMYFUNCTION("""COMPUTED_VALUE"""),"")</f>
        <v/>
      </c>
      <c r="S277" s="36" t="str">
        <f ca="1">IFERROR(__xludf.DUMMYFUNCTION("""COMPUTED_VALUE"""),"")</f>
        <v/>
      </c>
      <c r="T277" s="36" t="str">
        <f ca="1">IFERROR(__xludf.DUMMYFUNCTION("""COMPUTED_VALUE"""),"")</f>
        <v/>
      </c>
      <c r="U277" s="36" t="str">
        <f ca="1">IFERROR(__xludf.DUMMYFUNCTION("""COMPUTED_VALUE"""),"")</f>
        <v/>
      </c>
      <c r="V277" s="36" t="str">
        <f ca="1">IFERROR(__xludf.DUMMYFUNCTION("""COMPUTED_VALUE"""),"")</f>
        <v/>
      </c>
      <c r="W277" s="36" t="str">
        <f ca="1">IFERROR(__xludf.DUMMYFUNCTION("""COMPUTED_VALUE"""),"")</f>
        <v/>
      </c>
      <c r="X277" s="36"/>
      <c r="Y277" s="36"/>
      <c r="Z277" s="36"/>
    </row>
    <row r="278" spans="1:26" ht="12.75" hidden="1">
      <c r="A278" s="36" t="str">
        <f ca="1">IFERROR(__xludf.DUMMYFUNCTION("""COMPUTED_VALUE"""),"")</f>
        <v/>
      </c>
      <c r="B278" s="36" t="str">
        <f ca="1">IFERROR(__xludf.DUMMYFUNCTION("""COMPUTED_VALUE"""),"")</f>
        <v/>
      </c>
      <c r="C278" s="36" t="str">
        <f ca="1">IFERROR(__xludf.DUMMYFUNCTION("""COMPUTED_VALUE"""),"")</f>
        <v/>
      </c>
      <c r="D278" s="36" t="str">
        <f ca="1">IFERROR(__xludf.DUMMYFUNCTION("""COMPUTED_VALUE"""),"")</f>
        <v/>
      </c>
      <c r="E278" s="36" t="str">
        <f ca="1">IFERROR(__xludf.DUMMYFUNCTION("""COMPUTED_VALUE"""),"")</f>
        <v/>
      </c>
      <c r="F278" s="36" t="str">
        <f ca="1">IFERROR(__xludf.DUMMYFUNCTION("""COMPUTED_VALUE"""),"")</f>
        <v/>
      </c>
      <c r="G278" s="36" t="str">
        <f ca="1">IFERROR(__xludf.DUMMYFUNCTION("""COMPUTED_VALUE"""),"")</f>
        <v/>
      </c>
      <c r="H278" s="36" t="str">
        <f ca="1">IFERROR(__xludf.DUMMYFUNCTION("""COMPUTED_VALUE"""),"")</f>
        <v/>
      </c>
      <c r="I278" s="36" t="str">
        <f ca="1">IFERROR(__xludf.DUMMYFUNCTION("""COMPUTED_VALUE"""),"")</f>
        <v/>
      </c>
      <c r="J278" s="36" t="str">
        <f ca="1">IFERROR(__xludf.DUMMYFUNCTION("""COMPUTED_VALUE"""),"")</f>
        <v/>
      </c>
      <c r="K278" s="36" t="str">
        <f ca="1">IFERROR(__xludf.DUMMYFUNCTION("""COMPUTED_VALUE"""),"")</f>
        <v/>
      </c>
      <c r="L278" s="36" t="str">
        <f ca="1">IFERROR(__xludf.DUMMYFUNCTION("""COMPUTED_VALUE"""),"")</f>
        <v/>
      </c>
      <c r="M278" s="36" t="str">
        <f ca="1">IFERROR(__xludf.DUMMYFUNCTION("""COMPUTED_VALUE"""),"")</f>
        <v/>
      </c>
      <c r="N278" s="36" t="str">
        <f ca="1">IFERROR(__xludf.DUMMYFUNCTION("""COMPUTED_VALUE"""),"")</f>
        <v/>
      </c>
      <c r="O278" s="36" t="str">
        <f ca="1">IFERROR(__xludf.DUMMYFUNCTION("""COMPUTED_VALUE"""),"")</f>
        <v/>
      </c>
      <c r="P278" s="36" t="str">
        <f ca="1">IFERROR(__xludf.DUMMYFUNCTION("""COMPUTED_VALUE"""),"")</f>
        <v/>
      </c>
      <c r="Q278" s="36" t="str">
        <f ca="1">IFERROR(__xludf.DUMMYFUNCTION("""COMPUTED_VALUE"""),"")</f>
        <v/>
      </c>
      <c r="R278" s="36" t="str">
        <f ca="1">IFERROR(__xludf.DUMMYFUNCTION("""COMPUTED_VALUE"""),"")</f>
        <v/>
      </c>
      <c r="S278" s="36" t="str">
        <f ca="1">IFERROR(__xludf.DUMMYFUNCTION("""COMPUTED_VALUE"""),"")</f>
        <v/>
      </c>
      <c r="T278" s="36" t="str">
        <f ca="1">IFERROR(__xludf.DUMMYFUNCTION("""COMPUTED_VALUE"""),"")</f>
        <v/>
      </c>
      <c r="U278" s="36" t="str">
        <f ca="1">IFERROR(__xludf.DUMMYFUNCTION("""COMPUTED_VALUE"""),"")</f>
        <v/>
      </c>
      <c r="V278" s="36" t="str">
        <f ca="1">IFERROR(__xludf.DUMMYFUNCTION("""COMPUTED_VALUE"""),"")</f>
        <v/>
      </c>
      <c r="W278" s="36" t="str">
        <f ca="1">IFERROR(__xludf.DUMMYFUNCTION("""COMPUTED_VALUE"""),"")</f>
        <v/>
      </c>
      <c r="X278" s="36"/>
      <c r="Y278" s="36"/>
      <c r="Z278" s="36"/>
    </row>
    <row r="279" spans="1:26" ht="12.75" hidden="1">
      <c r="A279" s="36" t="str">
        <f ca="1">IFERROR(__xludf.DUMMYFUNCTION("""COMPUTED_VALUE"""),"")</f>
        <v/>
      </c>
      <c r="B279" s="36" t="str">
        <f ca="1">IFERROR(__xludf.DUMMYFUNCTION("""COMPUTED_VALUE"""),"")</f>
        <v/>
      </c>
      <c r="C279" s="36" t="str">
        <f ca="1">IFERROR(__xludf.DUMMYFUNCTION("""COMPUTED_VALUE"""),"")</f>
        <v/>
      </c>
      <c r="D279" s="36" t="str">
        <f ca="1">IFERROR(__xludf.DUMMYFUNCTION("""COMPUTED_VALUE"""),"")</f>
        <v/>
      </c>
      <c r="E279" s="36" t="str">
        <f ca="1">IFERROR(__xludf.DUMMYFUNCTION("""COMPUTED_VALUE"""),"")</f>
        <v/>
      </c>
      <c r="F279" s="36" t="str">
        <f ca="1">IFERROR(__xludf.DUMMYFUNCTION("""COMPUTED_VALUE"""),"")</f>
        <v/>
      </c>
      <c r="G279" s="36" t="str">
        <f ca="1">IFERROR(__xludf.DUMMYFUNCTION("""COMPUTED_VALUE"""),"")</f>
        <v/>
      </c>
      <c r="H279" s="36" t="str">
        <f ca="1">IFERROR(__xludf.DUMMYFUNCTION("""COMPUTED_VALUE"""),"")</f>
        <v/>
      </c>
      <c r="I279" s="36" t="str">
        <f ca="1">IFERROR(__xludf.DUMMYFUNCTION("""COMPUTED_VALUE"""),"")</f>
        <v/>
      </c>
      <c r="J279" s="36" t="str">
        <f ca="1">IFERROR(__xludf.DUMMYFUNCTION("""COMPUTED_VALUE"""),"")</f>
        <v/>
      </c>
      <c r="K279" s="36" t="str">
        <f ca="1">IFERROR(__xludf.DUMMYFUNCTION("""COMPUTED_VALUE"""),"")</f>
        <v/>
      </c>
      <c r="L279" s="36" t="str">
        <f ca="1">IFERROR(__xludf.DUMMYFUNCTION("""COMPUTED_VALUE"""),"")</f>
        <v/>
      </c>
      <c r="M279" s="36" t="str">
        <f ca="1">IFERROR(__xludf.DUMMYFUNCTION("""COMPUTED_VALUE"""),"")</f>
        <v/>
      </c>
      <c r="N279" s="36" t="str">
        <f ca="1">IFERROR(__xludf.DUMMYFUNCTION("""COMPUTED_VALUE"""),"")</f>
        <v/>
      </c>
      <c r="O279" s="36" t="str">
        <f ca="1">IFERROR(__xludf.DUMMYFUNCTION("""COMPUTED_VALUE"""),"")</f>
        <v/>
      </c>
      <c r="P279" s="36" t="str">
        <f ca="1">IFERROR(__xludf.DUMMYFUNCTION("""COMPUTED_VALUE"""),"")</f>
        <v/>
      </c>
      <c r="Q279" s="36" t="str">
        <f ca="1">IFERROR(__xludf.DUMMYFUNCTION("""COMPUTED_VALUE"""),"")</f>
        <v/>
      </c>
      <c r="R279" s="36" t="str">
        <f ca="1">IFERROR(__xludf.DUMMYFUNCTION("""COMPUTED_VALUE"""),"")</f>
        <v/>
      </c>
      <c r="S279" s="36" t="str">
        <f ca="1">IFERROR(__xludf.DUMMYFUNCTION("""COMPUTED_VALUE"""),"")</f>
        <v/>
      </c>
      <c r="T279" s="36" t="str">
        <f ca="1">IFERROR(__xludf.DUMMYFUNCTION("""COMPUTED_VALUE"""),"")</f>
        <v/>
      </c>
      <c r="U279" s="36" t="str">
        <f ca="1">IFERROR(__xludf.DUMMYFUNCTION("""COMPUTED_VALUE"""),"")</f>
        <v/>
      </c>
      <c r="V279" s="36" t="str">
        <f ca="1">IFERROR(__xludf.DUMMYFUNCTION("""COMPUTED_VALUE"""),"")</f>
        <v/>
      </c>
      <c r="W279" s="36" t="str">
        <f ca="1">IFERROR(__xludf.DUMMYFUNCTION("""COMPUTED_VALUE"""),"")</f>
        <v/>
      </c>
      <c r="X279" s="36"/>
      <c r="Y279" s="36"/>
      <c r="Z279" s="36"/>
    </row>
    <row r="280" spans="1:26" ht="12.75" hidden="1">
      <c r="A280" s="36" t="str">
        <f ca="1">IFERROR(__xludf.DUMMYFUNCTION("""COMPUTED_VALUE"""),"")</f>
        <v/>
      </c>
      <c r="B280" s="36" t="str">
        <f ca="1">IFERROR(__xludf.DUMMYFUNCTION("""COMPUTED_VALUE"""),"")</f>
        <v/>
      </c>
      <c r="C280" s="36" t="str">
        <f ca="1">IFERROR(__xludf.DUMMYFUNCTION("""COMPUTED_VALUE"""),"")</f>
        <v/>
      </c>
      <c r="D280" s="36" t="str">
        <f ca="1">IFERROR(__xludf.DUMMYFUNCTION("""COMPUTED_VALUE"""),"")</f>
        <v/>
      </c>
      <c r="E280" s="36" t="str">
        <f ca="1">IFERROR(__xludf.DUMMYFUNCTION("""COMPUTED_VALUE"""),"")</f>
        <v/>
      </c>
      <c r="F280" s="36" t="str">
        <f ca="1">IFERROR(__xludf.DUMMYFUNCTION("""COMPUTED_VALUE"""),"")</f>
        <v/>
      </c>
      <c r="G280" s="36" t="str">
        <f ca="1">IFERROR(__xludf.DUMMYFUNCTION("""COMPUTED_VALUE"""),"")</f>
        <v/>
      </c>
      <c r="H280" s="36" t="str">
        <f ca="1">IFERROR(__xludf.DUMMYFUNCTION("""COMPUTED_VALUE"""),"")</f>
        <v/>
      </c>
      <c r="I280" s="36" t="str">
        <f ca="1">IFERROR(__xludf.DUMMYFUNCTION("""COMPUTED_VALUE"""),"")</f>
        <v/>
      </c>
      <c r="J280" s="36" t="str">
        <f ca="1">IFERROR(__xludf.DUMMYFUNCTION("""COMPUTED_VALUE"""),"")</f>
        <v/>
      </c>
      <c r="K280" s="36" t="str">
        <f ca="1">IFERROR(__xludf.DUMMYFUNCTION("""COMPUTED_VALUE"""),"")</f>
        <v/>
      </c>
      <c r="L280" s="36" t="str">
        <f ca="1">IFERROR(__xludf.DUMMYFUNCTION("""COMPUTED_VALUE"""),"")</f>
        <v/>
      </c>
      <c r="M280" s="36" t="str">
        <f ca="1">IFERROR(__xludf.DUMMYFUNCTION("""COMPUTED_VALUE"""),"")</f>
        <v/>
      </c>
      <c r="N280" s="36" t="str">
        <f ca="1">IFERROR(__xludf.DUMMYFUNCTION("""COMPUTED_VALUE"""),"")</f>
        <v/>
      </c>
      <c r="O280" s="36" t="str">
        <f ca="1">IFERROR(__xludf.DUMMYFUNCTION("""COMPUTED_VALUE"""),"")</f>
        <v/>
      </c>
      <c r="P280" s="36" t="str">
        <f ca="1">IFERROR(__xludf.DUMMYFUNCTION("""COMPUTED_VALUE"""),"")</f>
        <v/>
      </c>
      <c r="Q280" s="36" t="str">
        <f ca="1">IFERROR(__xludf.DUMMYFUNCTION("""COMPUTED_VALUE"""),"")</f>
        <v/>
      </c>
      <c r="R280" s="36" t="str">
        <f ca="1">IFERROR(__xludf.DUMMYFUNCTION("""COMPUTED_VALUE"""),"")</f>
        <v/>
      </c>
      <c r="S280" s="36" t="str">
        <f ca="1">IFERROR(__xludf.DUMMYFUNCTION("""COMPUTED_VALUE"""),"")</f>
        <v/>
      </c>
      <c r="T280" s="36" t="str">
        <f ca="1">IFERROR(__xludf.DUMMYFUNCTION("""COMPUTED_VALUE"""),"")</f>
        <v/>
      </c>
      <c r="U280" s="36" t="str">
        <f ca="1">IFERROR(__xludf.DUMMYFUNCTION("""COMPUTED_VALUE"""),"")</f>
        <v/>
      </c>
      <c r="V280" s="36" t="str">
        <f ca="1">IFERROR(__xludf.DUMMYFUNCTION("""COMPUTED_VALUE"""),"")</f>
        <v/>
      </c>
      <c r="W280" s="36" t="str">
        <f ca="1">IFERROR(__xludf.DUMMYFUNCTION("""COMPUTED_VALUE"""),"")</f>
        <v/>
      </c>
      <c r="X280" s="36"/>
      <c r="Y280" s="36"/>
      <c r="Z280" s="36"/>
    </row>
    <row r="281" spans="1:26" ht="12.75" hidden="1">
      <c r="A281" s="36" t="str">
        <f ca="1">IFERROR(__xludf.DUMMYFUNCTION("""COMPUTED_VALUE"""),"")</f>
        <v/>
      </c>
      <c r="B281" s="36" t="str">
        <f ca="1">IFERROR(__xludf.DUMMYFUNCTION("""COMPUTED_VALUE"""),"")</f>
        <v/>
      </c>
      <c r="C281" s="36" t="str">
        <f ca="1">IFERROR(__xludf.DUMMYFUNCTION("""COMPUTED_VALUE"""),"")</f>
        <v/>
      </c>
      <c r="D281" s="36" t="str">
        <f ca="1">IFERROR(__xludf.DUMMYFUNCTION("""COMPUTED_VALUE"""),"")</f>
        <v/>
      </c>
      <c r="E281" s="36" t="str">
        <f ca="1">IFERROR(__xludf.DUMMYFUNCTION("""COMPUTED_VALUE"""),"")</f>
        <v/>
      </c>
      <c r="F281" s="36" t="str">
        <f ca="1">IFERROR(__xludf.DUMMYFUNCTION("""COMPUTED_VALUE"""),"")</f>
        <v/>
      </c>
      <c r="G281" s="36" t="str">
        <f ca="1">IFERROR(__xludf.DUMMYFUNCTION("""COMPUTED_VALUE"""),"")</f>
        <v/>
      </c>
      <c r="H281" s="36" t="str">
        <f ca="1">IFERROR(__xludf.DUMMYFUNCTION("""COMPUTED_VALUE"""),"")</f>
        <v/>
      </c>
      <c r="I281" s="36" t="str">
        <f ca="1">IFERROR(__xludf.DUMMYFUNCTION("""COMPUTED_VALUE"""),"")</f>
        <v/>
      </c>
      <c r="J281" s="36" t="str">
        <f ca="1">IFERROR(__xludf.DUMMYFUNCTION("""COMPUTED_VALUE"""),"")</f>
        <v/>
      </c>
      <c r="K281" s="36" t="str">
        <f ca="1">IFERROR(__xludf.DUMMYFUNCTION("""COMPUTED_VALUE"""),"")</f>
        <v/>
      </c>
      <c r="L281" s="36" t="str">
        <f ca="1">IFERROR(__xludf.DUMMYFUNCTION("""COMPUTED_VALUE"""),"")</f>
        <v/>
      </c>
      <c r="M281" s="36" t="str">
        <f ca="1">IFERROR(__xludf.DUMMYFUNCTION("""COMPUTED_VALUE"""),"")</f>
        <v/>
      </c>
      <c r="N281" s="36" t="str">
        <f ca="1">IFERROR(__xludf.DUMMYFUNCTION("""COMPUTED_VALUE"""),"")</f>
        <v/>
      </c>
      <c r="O281" s="36" t="str">
        <f ca="1">IFERROR(__xludf.DUMMYFUNCTION("""COMPUTED_VALUE"""),"")</f>
        <v/>
      </c>
      <c r="P281" s="36" t="str">
        <f ca="1">IFERROR(__xludf.DUMMYFUNCTION("""COMPUTED_VALUE"""),"")</f>
        <v/>
      </c>
      <c r="Q281" s="36" t="str">
        <f ca="1">IFERROR(__xludf.DUMMYFUNCTION("""COMPUTED_VALUE"""),"")</f>
        <v/>
      </c>
      <c r="R281" s="36" t="str">
        <f ca="1">IFERROR(__xludf.DUMMYFUNCTION("""COMPUTED_VALUE"""),"")</f>
        <v/>
      </c>
      <c r="S281" s="36" t="str">
        <f ca="1">IFERROR(__xludf.DUMMYFUNCTION("""COMPUTED_VALUE"""),"")</f>
        <v/>
      </c>
      <c r="T281" s="36" t="str">
        <f ca="1">IFERROR(__xludf.DUMMYFUNCTION("""COMPUTED_VALUE"""),"")</f>
        <v/>
      </c>
      <c r="U281" s="36" t="str">
        <f ca="1">IFERROR(__xludf.DUMMYFUNCTION("""COMPUTED_VALUE"""),"")</f>
        <v/>
      </c>
      <c r="V281" s="36" t="str">
        <f ca="1">IFERROR(__xludf.DUMMYFUNCTION("""COMPUTED_VALUE"""),"")</f>
        <v/>
      </c>
      <c r="W281" s="36" t="str">
        <f ca="1">IFERROR(__xludf.DUMMYFUNCTION("""COMPUTED_VALUE"""),"")</f>
        <v/>
      </c>
      <c r="X281" s="36"/>
      <c r="Y281" s="36"/>
      <c r="Z281" s="36"/>
    </row>
    <row r="282" spans="1:26" ht="12.75" hidden="1">
      <c r="A282" s="36" t="str">
        <f ca="1">IFERROR(__xludf.DUMMYFUNCTION("""COMPUTED_VALUE"""),"")</f>
        <v/>
      </c>
      <c r="B282" s="36" t="str">
        <f ca="1">IFERROR(__xludf.DUMMYFUNCTION("""COMPUTED_VALUE"""),"")</f>
        <v/>
      </c>
      <c r="C282" s="36" t="str">
        <f ca="1">IFERROR(__xludf.DUMMYFUNCTION("""COMPUTED_VALUE"""),"")</f>
        <v/>
      </c>
      <c r="D282" s="36" t="str">
        <f ca="1">IFERROR(__xludf.DUMMYFUNCTION("""COMPUTED_VALUE"""),"")</f>
        <v/>
      </c>
      <c r="E282" s="36" t="str">
        <f ca="1">IFERROR(__xludf.DUMMYFUNCTION("""COMPUTED_VALUE"""),"")</f>
        <v/>
      </c>
      <c r="F282" s="36" t="str">
        <f ca="1">IFERROR(__xludf.DUMMYFUNCTION("""COMPUTED_VALUE"""),"")</f>
        <v/>
      </c>
      <c r="G282" s="36" t="str">
        <f ca="1">IFERROR(__xludf.DUMMYFUNCTION("""COMPUTED_VALUE"""),"")</f>
        <v/>
      </c>
      <c r="H282" s="36" t="str">
        <f ca="1">IFERROR(__xludf.DUMMYFUNCTION("""COMPUTED_VALUE"""),"")</f>
        <v/>
      </c>
      <c r="I282" s="36" t="str">
        <f ca="1">IFERROR(__xludf.DUMMYFUNCTION("""COMPUTED_VALUE"""),"")</f>
        <v/>
      </c>
      <c r="J282" s="36" t="str">
        <f ca="1">IFERROR(__xludf.DUMMYFUNCTION("""COMPUTED_VALUE"""),"")</f>
        <v/>
      </c>
      <c r="K282" s="36" t="str">
        <f ca="1">IFERROR(__xludf.DUMMYFUNCTION("""COMPUTED_VALUE"""),"")</f>
        <v/>
      </c>
      <c r="L282" s="36" t="str">
        <f ca="1">IFERROR(__xludf.DUMMYFUNCTION("""COMPUTED_VALUE"""),"")</f>
        <v/>
      </c>
      <c r="M282" s="36" t="str">
        <f ca="1">IFERROR(__xludf.DUMMYFUNCTION("""COMPUTED_VALUE"""),"")</f>
        <v/>
      </c>
      <c r="N282" s="36" t="str">
        <f ca="1">IFERROR(__xludf.DUMMYFUNCTION("""COMPUTED_VALUE"""),"")</f>
        <v/>
      </c>
      <c r="O282" s="36" t="str">
        <f ca="1">IFERROR(__xludf.DUMMYFUNCTION("""COMPUTED_VALUE"""),"")</f>
        <v/>
      </c>
      <c r="P282" s="36" t="str">
        <f ca="1">IFERROR(__xludf.DUMMYFUNCTION("""COMPUTED_VALUE"""),"")</f>
        <v/>
      </c>
      <c r="Q282" s="36" t="str">
        <f ca="1">IFERROR(__xludf.DUMMYFUNCTION("""COMPUTED_VALUE"""),"")</f>
        <v/>
      </c>
      <c r="R282" s="36" t="str">
        <f ca="1">IFERROR(__xludf.DUMMYFUNCTION("""COMPUTED_VALUE"""),"")</f>
        <v/>
      </c>
      <c r="S282" s="36" t="str">
        <f ca="1">IFERROR(__xludf.DUMMYFUNCTION("""COMPUTED_VALUE"""),"")</f>
        <v/>
      </c>
      <c r="T282" s="36" t="str">
        <f ca="1">IFERROR(__xludf.DUMMYFUNCTION("""COMPUTED_VALUE"""),"")</f>
        <v/>
      </c>
      <c r="U282" s="36" t="str">
        <f ca="1">IFERROR(__xludf.DUMMYFUNCTION("""COMPUTED_VALUE"""),"")</f>
        <v/>
      </c>
      <c r="V282" s="36" t="str">
        <f ca="1">IFERROR(__xludf.DUMMYFUNCTION("""COMPUTED_VALUE"""),"")</f>
        <v/>
      </c>
      <c r="W282" s="36" t="str">
        <f ca="1">IFERROR(__xludf.DUMMYFUNCTION("""COMPUTED_VALUE"""),"")</f>
        <v/>
      </c>
      <c r="X282" s="36"/>
      <c r="Y282" s="36"/>
      <c r="Z282" s="36"/>
    </row>
    <row r="283" spans="1:26" ht="12.75" hidden="1">
      <c r="A283" s="36" t="str">
        <f ca="1">IFERROR(__xludf.DUMMYFUNCTION("""COMPUTED_VALUE"""),"")</f>
        <v/>
      </c>
      <c r="B283" s="36" t="str">
        <f ca="1">IFERROR(__xludf.DUMMYFUNCTION("""COMPUTED_VALUE"""),"")</f>
        <v/>
      </c>
      <c r="C283" s="36" t="str">
        <f ca="1">IFERROR(__xludf.DUMMYFUNCTION("""COMPUTED_VALUE"""),"")</f>
        <v/>
      </c>
      <c r="D283" s="36" t="str">
        <f ca="1">IFERROR(__xludf.DUMMYFUNCTION("""COMPUTED_VALUE"""),"")</f>
        <v/>
      </c>
      <c r="E283" s="36" t="str">
        <f ca="1">IFERROR(__xludf.DUMMYFUNCTION("""COMPUTED_VALUE"""),"")</f>
        <v/>
      </c>
      <c r="F283" s="36" t="str">
        <f ca="1">IFERROR(__xludf.DUMMYFUNCTION("""COMPUTED_VALUE"""),"")</f>
        <v/>
      </c>
      <c r="G283" s="36" t="str">
        <f ca="1">IFERROR(__xludf.DUMMYFUNCTION("""COMPUTED_VALUE"""),"")</f>
        <v/>
      </c>
      <c r="H283" s="36" t="str">
        <f ca="1">IFERROR(__xludf.DUMMYFUNCTION("""COMPUTED_VALUE"""),"")</f>
        <v/>
      </c>
      <c r="I283" s="36" t="str">
        <f ca="1">IFERROR(__xludf.DUMMYFUNCTION("""COMPUTED_VALUE"""),"")</f>
        <v/>
      </c>
      <c r="J283" s="36" t="str">
        <f ca="1">IFERROR(__xludf.DUMMYFUNCTION("""COMPUTED_VALUE"""),"")</f>
        <v/>
      </c>
      <c r="K283" s="36" t="str">
        <f ca="1">IFERROR(__xludf.DUMMYFUNCTION("""COMPUTED_VALUE"""),"")</f>
        <v/>
      </c>
      <c r="L283" s="36" t="str">
        <f ca="1">IFERROR(__xludf.DUMMYFUNCTION("""COMPUTED_VALUE"""),"")</f>
        <v/>
      </c>
      <c r="M283" s="36" t="str">
        <f ca="1">IFERROR(__xludf.DUMMYFUNCTION("""COMPUTED_VALUE"""),"")</f>
        <v/>
      </c>
      <c r="N283" s="36" t="str">
        <f ca="1">IFERROR(__xludf.DUMMYFUNCTION("""COMPUTED_VALUE"""),"")</f>
        <v/>
      </c>
      <c r="O283" s="36" t="str">
        <f ca="1">IFERROR(__xludf.DUMMYFUNCTION("""COMPUTED_VALUE"""),"")</f>
        <v/>
      </c>
      <c r="P283" s="36" t="str">
        <f ca="1">IFERROR(__xludf.DUMMYFUNCTION("""COMPUTED_VALUE"""),"")</f>
        <v/>
      </c>
      <c r="Q283" s="36" t="str">
        <f ca="1">IFERROR(__xludf.DUMMYFUNCTION("""COMPUTED_VALUE"""),"")</f>
        <v/>
      </c>
      <c r="R283" s="36" t="str">
        <f ca="1">IFERROR(__xludf.DUMMYFUNCTION("""COMPUTED_VALUE"""),"")</f>
        <v/>
      </c>
      <c r="S283" s="36" t="str">
        <f ca="1">IFERROR(__xludf.DUMMYFUNCTION("""COMPUTED_VALUE"""),"")</f>
        <v/>
      </c>
      <c r="T283" s="36" t="str">
        <f ca="1">IFERROR(__xludf.DUMMYFUNCTION("""COMPUTED_VALUE"""),"")</f>
        <v/>
      </c>
      <c r="U283" s="36" t="str">
        <f ca="1">IFERROR(__xludf.DUMMYFUNCTION("""COMPUTED_VALUE"""),"")</f>
        <v/>
      </c>
      <c r="V283" s="36" t="str">
        <f ca="1">IFERROR(__xludf.DUMMYFUNCTION("""COMPUTED_VALUE"""),"")</f>
        <v/>
      </c>
      <c r="W283" s="36" t="str">
        <f ca="1">IFERROR(__xludf.DUMMYFUNCTION("""COMPUTED_VALUE"""),"")</f>
        <v/>
      </c>
      <c r="X283" s="36"/>
      <c r="Y283" s="36"/>
      <c r="Z283" s="36"/>
    </row>
    <row r="284" spans="1:26" ht="12.75" hidden="1">
      <c r="A284" s="36" t="str">
        <f ca="1">IFERROR(__xludf.DUMMYFUNCTION("""COMPUTED_VALUE"""),"")</f>
        <v/>
      </c>
      <c r="B284" s="36" t="str">
        <f ca="1">IFERROR(__xludf.DUMMYFUNCTION("""COMPUTED_VALUE"""),"")</f>
        <v/>
      </c>
      <c r="C284" s="36" t="str">
        <f ca="1">IFERROR(__xludf.DUMMYFUNCTION("""COMPUTED_VALUE"""),"")</f>
        <v/>
      </c>
      <c r="D284" s="36" t="str">
        <f ca="1">IFERROR(__xludf.DUMMYFUNCTION("""COMPUTED_VALUE"""),"")</f>
        <v/>
      </c>
      <c r="E284" s="36" t="str">
        <f ca="1">IFERROR(__xludf.DUMMYFUNCTION("""COMPUTED_VALUE"""),"")</f>
        <v/>
      </c>
      <c r="F284" s="36" t="str">
        <f ca="1">IFERROR(__xludf.DUMMYFUNCTION("""COMPUTED_VALUE"""),"")</f>
        <v/>
      </c>
      <c r="G284" s="36" t="str">
        <f ca="1">IFERROR(__xludf.DUMMYFUNCTION("""COMPUTED_VALUE"""),"")</f>
        <v/>
      </c>
      <c r="H284" s="36" t="str">
        <f ca="1">IFERROR(__xludf.DUMMYFUNCTION("""COMPUTED_VALUE"""),"")</f>
        <v/>
      </c>
      <c r="I284" s="36" t="str">
        <f ca="1">IFERROR(__xludf.DUMMYFUNCTION("""COMPUTED_VALUE"""),"")</f>
        <v/>
      </c>
      <c r="J284" s="36" t="str">
        <f ca="1">IFERROR(__xludf.DUMMYFUNCTION("""COMPUTED_VALUE"""),"")</f>
        <v/>
      </c>
      <c r="K284" s="36" t="str">
        <f ca="1">IFERROR(__xludf.DUMMYFUNCTION("""COMPUTED_VALUE"""),"")</f>
        <v/>
      </c>
      <c r="L284" s="36" t="str">
        <f ca="1">IFERROR(__xludf.DUMMYFUNCTION("""COMPUTED_VALUE"""),"")</f>
        <v/>
      </c>
      <c r="M284" s="36" t="str">
        <f ca="1">IFERROR(__xludf.DUMMYFUNCTION("""COMPUTED_VALUE"""),"")</f>
        <v/>
      </c>
      <c r="N284" s="36" t="str">
        <f ca="1">IFERROR(__xludf.DUMMYFUNCTION("""COMPUTED_VALUE"""),"")</f>
        <v/>
      </c>
      <c r="O284" s="36" t="str">
        <f ca="1">IFERROR(__xludf.DUMMYFUNCTION("""COMPUTED_VALUE"""),"")</f>
        <v/>
      </c>
      <c r="P284" s="36" t="str">
        <f ca="1">IFERROR(__xludf.DUMMYFUNCTION("""COMPUTED_VALUE"""),"")</f>
        <v/>
      </c>
      <c r="Q284" s="36" t="str">
        <f ca="1">IFERROR(__xludf.DUMMYFUNCTION("""COMPUTED_VALUE"""),"")</f>
        <v/>
      </c>
      <c r="R284" s="36" t="str">
        <f ca="1">IFERROR(__xludf.DUMMYFUNCTION("""COMPUTED_VALUE"""),"")</f>
        <v/>
      </c>
      <c r="S284" s="36" t="str">
        <f ca="1">IFERROR(__xludf.DUMMYFUNCTION("""COMPUTED_VALUE"""),"")</f>
        <v/>
      </c>
      <c r="T284" s="36" t="str">
        <f ca="1">IFERROR(__xludf.DUMMYFUNCTION("""COMPUTED_VALUE"""),"")</f>
        <v/>
      </c>
      <c r="U284" s="36" t="str">
        <f ca="1">IFERROR(__xludf.DUMMYFUNCTION("""COMPUTED_VALUE"""),"")</f>
        <v/>
      </c>
      <c r="V284" s="36" t="str">
        <f ca="1">IFERROR(__xludf.DUMMYFUNCTION("""COMPUTED_VALUE"""),"")</f>
        <v/>
      </c>
      <c r="W284" s="36" t="str">
        <f ca="1">IFERROR(__xludf.DUMMYFUNCTION("""COMPUTED_VALUE"""),"")</f>
        <v/>
      </c>
      <c r="X284" s="36"/>
      <c r="Y284" s="36"/>
      <c r="Z284" s="36"/>
    </row>
    <row r="285" spans="1:26" ht="12.75" hidden="1">
      <c r="A285" s="36" t="str">
        <f ca="1">IFERROR(__xludf.DUMMYFUNCTION("""COMPUTED_VALUE"""),"")</f>
        <v/>
      </c>
      <c r="B285" s="36" t="str">
        <f ca="1">IFERROR(__xludf.DUMMYFUNCTION("""COMPUTED_VALUE"""),"")</f>
        <v/>
      </c>
      <c r="C285" s="36" t="str">
        <f ca="1">IFERROR(__xludf.DUMMYFUNCTION("""COMPUTED_VALUE"""),"")</f>
        <v/>
      </c>
      <c r="D285" s="36" t="str">
        <f ca="1">IFERROR(__xludf.DUMMYFUNCTION("""COMPUTED_VALUE"""),"")</f>
        <v/>
      </c>
      <c r="E285" s="36" t="str">
        <f ca="1">IFERROR(__xludf.DUMMYFUNCTION("""COMPUTED_VALUE"""),"")</f>
        <v/>
      </c>
      <c r="F285" s="36" t="str">
        <f ca="1">IFERROR(__xludf.DUMMYFUNCTION("""COMPUTED_VALUE"""),"")</f>
        <v/>
      </c>
      <c r="G285" s="36" t="str">
        <f ca="1">IFERROR(__xludf.DUMMYFUNCTION("""COMPUTED_VALUE"""),"")</f>
        <v/>
      </c>
      <c r="H285" s="36" t="str">
        <f ca="1">IFERROR(__xludf.DUMMYFUNCTION("""COMPUTED_VALUE"""),"")</f>
        <v/>
      </c>
      <c r="I285" s="36" t="str">
        <f ca="1">IFERROR(__xludf.DUMMYFUNCTION("""COMPUTED_VALUE"""),"")</f>
        <v/>
      </c>
      <c r="J285" s="36" t="str">
        <f ca="1">IFERROR(__xludf.DUMMYFUNCTION("""COMPUTED_VALUE"""),"")</f>
        <v/>
      </c>
      <c r="K285" s="36" t="str">
        <f ca="1">IFERROR(__xludf.DUMMYFUNCTION("""COMPUTED_VALUE"""),"")</f>
        <v/>
      </c>
      <c r="L285" s="36" t="str">
        <f ca="1">IFERROR(__xludf.DUMMYFUNCTION("""COMPUTED_VALUE"""),"")</f>
        <v/>
      </c>
      <c r="M285" s="36" t="str">
        <f ca="1">IFERROR(__xludf.DUMMYFUNCTION("""COMPUTED_VALUE"""),"")</f>
        <v/>
      </c>
      <c r="N285" s="36" t="str">
        <f ca="1">IFERROR(__xludf.DUMMYFUNCTION("""COMPUTED_VALUE"""),"")</f>
        <v/>
      </c>
      <c r="O285" s="36" t="str">
        <f ca="1">IFERROR(__xludf.DUMMYFUNCTION("""COMPUTED_VALUE"""),"")</f>
        <v/>
      </c>
      <c r="P285" s="36" t="str">
        <f ca="1">IFERROR(__xludf.DUMMYFUNCTION("""COMPUTED_VALUE"""),"")</f>
        <v/>
      </c>
      <c r="Q285" s="36" t="str">
        <f ca="1">IFERROR(__xludf.DUMMYFUNCTION("""COMPUTED_VALUE"""),"")</f>
        <v/>
      </c>
      <c r="R285" s="36" t="str">
        <f ca="1">IFERROR(__xludf.DUMMYFUNCTION("""COMPUTED_VALUE"""),"")</f>
        <v/>
      </c>
      <c r="S285" s="36" t="str">
        <f ca="1">IFERROR(__xludf.DUMMYFUNCTION("""COMPUTED_VALUE"""),"")</f>
        <v/>
      </c>
      <c r="T285" s="36" t="str">
        <f ca="1">IFERROR(__xludf.DUMMYFUNCTION("""COMPUTED_VALUE"""),"")</f>
        <v/>
      </c>
      <c r="U285" s="36" t="str">
        <f ca="1">IFERROR(__xludf.DUMMYFUNCTION("""COMPUTED_VALUE"""),"")</f>
        <v/>
      </c>
      <c r="V285" s="36" t="str">
        <f ca="1">IFERROR(__xludf.DUMMYFUNCTION("""COMPUTED_VALUE"""),"")</f>
        <v/>
      </c>
      <c r="W285" s="36" t="str">
        <f ca="1">IFERROR(__xludf.DUMMYFUNCTION("""COMPUTED_VALUE"""),"")</f>
        <v/>
      </c>
      <c r="X285" s="36"/>
      <c r="Y285" s="36"/>
      <c r="Z285" s="36"/>
    </row>
    <row r="286" spans="1:26" ht="12.75" hidden="1">
      <c r="A286" s="36" t="str">
        <f ca="1">IFERROR(__xludf.DUMMYFUNCTION("""COMPUTED_VALUE"""),"")</f>
        <v/>
      </c>
      <c r="B286" s="36" t="str">
        <f ca="1">IFERROR(__xludf.DUMMYFUNCTION("""COMPUTED_VALUE"""),"")</f>
        <v/>
      </c>
      <c r="C286" s="36" t="str">
        <f ca="1">IFERROR(__xludf.DUMMYFUNCTION("""COMPUTED_VALUE"""),"")</f>
        <v/>
      </c>
      <c r="D286" s="36" t="str">
        <f ca="1">IFERROR(__xludf.DUMMYFUNCTION("""COMPUTED_VALUE"""),"")</f>
        <v/>
      </c>
      <c r="E286" s="36" t="str">
        <f ca="1">IFERROR(__xludf.DUMMYFUNCTION("""COMPUTED_VALUE"""),"")</f>
        <v/>
      </c>
      <c r="F286" s="36" t="str">
        <f ca="1">IFERROR(__xludf.DUMMYFUNCTION("""COMPUTED_VALUE"""),"")</f>
        <v/>
      </c>
      <c r="G286" s="36" t="str">
        <f ca="1">IFERROR(__xludf.DUMMYFUNCTION("""COMPUTED_VALUE"""),"")</f>
        <v/>
      </c>
      <c r="H286" s="36" t="str">
        <f ca="1">IFERROR(__xludf.DUMMYFUNCTION("""COMPUTED_VALUE"""),"")</f>
        <v/>
      </c>
      <c r="I286" s="36" t="str">
        <f ca="1">IFERROR(__xludf.DUMMYFUNCTION("""COMPUTED_VALUE"""),"")</f>
        <v/>
      </c>
      <c r="J286" s="36" t="str">
        <f ca="1">IFERROR(__xludf.DUMMYFUNCTION("""COMPUTED_VALUE"""),"")</f>
        <v/>
      </c>
      <c r="K286" s="36" t="str">
        <f ca="1">IFERROR(__xludf.DUMMYFUNCTION("""COMPUTED_VALUE"""),"")</f>
        <v/>
      </c>
      <c r="L286" s="36" t="str">
        <f ca="1">IFERROR(__xludf.DUMMYFUNCTION("""COMPUTED_VALUE"""),"")</f>
        <v/>
      </c>
      <c r="M286" s="36" t="str">
        <f ca="1">IFERROR(__xludf.DUMMYFUNCTION("""COMPUTED_VALUE"""),"")</f>
        <v/>
      </c>
      <c r="N286" s="36" t="str">
        <f ca="1">IFERROR(__xludf.DUMMYFUNCTION("""COMPUTED_VALUE"""),"")</f>
        <v/>
      </c>
      <c r="O286" s="36" t="str">
        <f ca="1">IFERROR(__xludf.DUMMYFUNCTION("""COMPUTED_VALUE"""),"")</f>
        <v/>
      </c>
      <c r="P286" s="36" t="str">
        <f ca="1">IFERROR(__xludf.DUMMYFUNCTION("""COMPUTED_VALUE"""),"")</f>
        <v/>
      </c>
      <c r="Q286" s="36" t="str">
        <f ca="1">IFERROR(__xludf.DUMMYFUNCTION("""COMPUTED_VALUE"""),"")</f>
        <v/>
      </c>
      <c r="R286" s="36" t="str">
        <f ca="1">IFERROR(__xludf.DUMMYFUNCTION("""COMPUTED_VALUE"""),"")</f>
        <v/>
      </c>
      <c r="S286" s="36" t="str">
        <f ca="1">IFERROR(__xludf.DUMMYFUNCTION("""COMPUTED_VALUE"""),"")</f>
        <v/>
      </c>
      <c r="T286" s="36" t="str">
        <f ca="1">IFERROR(__xludf.DUMMYFUNCTION("""COMPUTED_VALUE"""),"")</f>
        <v/>
      </c>
      <c r="U286" s="36" t="str">
        <f ca="1">IFERROR(__xludf.DUMMYFUNCTION("""COMPUTED_VALUE"""),"")</f>
        <v/>
      </c>
      <c r="V286" s="36" t="str">
        <f ca="1">IFERROR(__xludf.DUMMYFUNCTION("""COMPUTED_VALUE"""),"")</f>
        <v/>
      </c>
      <c r="W286" s="36" t="str">
        <f ca="1">IFERROR(__xludf.DUMMYFUNCTION("""COMPUTED_VALUE"""),"")</f>
        <v/>
      </c>
      <c r="X286" s="36"/>
      <c r="Y286" s="36"/>
      <c r="Z286" s="36"/>
    </row>
    <row r="287" spans="1:26" ht="12.75" hidden="1">
      <c r="A287" s="36" t="str">
        <f ca="1">IFERROR(__xludf.DUMMYFUNCTION("""COMPUTED_VALUE"""),"")</f>
        <v/>
      </c>
      <c r="B287" s="36" t="str">
        <f ca="1">IFERROR(__xludf.DUMMYFUNCTION("""COMPUTED_VALUE"""),"")</f>
        <v/>
      </c>
      <c r="C287" s="36" t="str">
        <f ca="1">IFERROR(__xludf.DUMMYFUNCTION("""COMPUTED_VALUE"""),"")</f>
        <v/>
      </c>
      <c r="D287" s="36" t="str">
        <f ca="1">IFERROR(__xludf.DUMMYFUNCTION("""COMPUTED_VALUE"""),"")</f>
        <v/>
      </c>
      <c r="E287" s="36" t="str">
        <f ca="1">IFERROR(__xludf.DUMMYFUNCTION("""COMPUTED_VALUE"""),"")</f>
        <v/>
      </c>
      <c r="F287" s="36" t="str">
        <f ca="1">IFERROR(__xludf.DUMMYFUNCTION("""COMPUTED_VALUE"""),"")</f>
        <v/>
      </c>
      <c r="G287" s="36" t="str">
        <f ca="1">IFERROR(__xludf.DUMMYFUNCTION("""COMPUTED_VALUE"""),"")</f>
        <v/>
      </c>
      <c r="H287" s="36" t="str">
        <f ca="1">IFERROR(__xludf.DUMMYFUNCTION("""COMPUTED_VALUE"""),"")</f>
        <v/>
      </c>
      <c r="I287" s="36" t="str">
        <f ca="1">IFERROR(__xludf.DUMMYFUNCTION("""COMPUTED_VALUE"""),"")</f>
        <v/>
      </c>
      <c r="J287" s="36" t="str">
        <f ca="1">IFERROR(__xludf.DUMMYFUNCTION("""COMPUTED_VALUE"""),"")</f>
        <v/>
      </c>
      <c r="K287" s="36" t="str">
        <f ca="1">IFERROR(__xludf.DUMMYFUNCTION("""COMPUTED_VALUE"""),"")</f>
        <v/>
      </c>
      <c r="L287" s="36" t="str">
        <f ca="1">IFERROR(__xludf.DUMMYFUNCTION("""COMPUTED_VALUE"""),"")</f>
        <v/>
      </c>
      <c r="M287" s="36" t="str">
        <f ca="1">IFERROR(__xludf.DUMMYFUNCTION("""COMPUTED_VALUE"""),"")</f>
        <v/>
      </c>
      <c r="N287" s="36" t="str">
        <f ca="1">IFERROR(__xludf.DUMMYFUNCTION("""COMPUTED_VALUE"""),"")</f>
        <v/>
      </c>
      <c r="O287" s="36" t="str">
        <f ca="1">IFERROR(__xludf.DUMMYFUNCTION("""COMPUTED_VALUE"""),"")</f>
        <v/>
      </c>
      <c r="P287" s="36" t="str">
        <f ca="1">IFERROR(__xludf.DUMMYFUNCTION("""COMPUTED_VALUE"""),"")</f>
        <v/>
      </c>
      <c r="Q287" s="36" t="str">
        <f ca="1">IFERROR(__xludf.DUMMYFUNCTION("""COMPUTED_VALUE"""),"")</f>
        <v/>
      </c>
      <c r="R287" s="36" t="str">
        <f ca="1">IFERROR(__xludf.DUMMYFUNCTION("""COMPUTED_VALUE"""),"")</f>
        <v/>
      </c>
      <c r="S287" s="36" t="str">
        <f ca="1">IFERROR(__xludf.DUMMYFUNCTION("""COMPUTED_VALUE"""),"")</f>
        <v/>
      </c>
      <c r="T287" s="36" t="str">
        <f ca="1">IFERROR(__xludf.DUMMYFUNCTION("""COMPUTED_VALUE"""),"")</f>
        <v/>
      </c>
      <c r="U287" s="36" t="str">
        <f ca="1">IFERROR(__xludf.DUMMYFUNCTION("""COMPUTED_VALUE"""),"")</f>
        <v/>
      </c>
      <c r="V287" s="36" t="str">
        <f ca="1">IFERROR(__xludf.DUMMYFUNCTION("""COMPUTED_VALUE"""),"")</f>
        <v/>
      </c>
      <c r="W287" s="36" t="str">
        <f ca="1">IFERROR(__xludf.DUMMYFUNCTION("""COMPUTED_VALUE"""),"")</f>
        <v/>
      </c>
      <c r="X287" s="36"/>
      <c r="Y287" s="36"/>
      <c r="Z287" s="36"/>
    </row>
    <row r="288" spans="1:26" ht="12.75" hidden="1">
      <c r="A288" s="36" t="str">
        <f ca="1">IFERROR(__xludf.DUMMYFUNCTION("""COMPUTED_VALUE"""),"")</f>
        <v/>
      </c>
      <c r="B288" s="36" t="str">
        <f ca="1">IFERROR(__xludf.DUMMYFUNCTION("""COMPUTED_VALUE"""),"")</f>
        <v/>
      </c>
      <c r="C288" s="36" t="str">
        <f ca="1">IFERROR(__xludf.DUMMYFUNCTION("""COMPUTED_VALUE"""),"")</f>
        <v/>
      </c>
      <c r="D288" s="36" t="str">
        <f ca="1">IFERROR(__xludf.DUMMYFUNCTION("""COMPUTED_VALUE"""),"")</f>
        <v/>
      </c>
      <c r="E288" s="36" t="str">
        <f ca="1">IFERROR(__xludf.DUMMYFUNCTION("""COMPUTED_VALUE"""),"")</f>
        <v/>
      </c>
      <c r="F288" s="36" t="str">
        <f ca="1">IFERROR(__xludf.DUMMYFUNCTION("""COMPUTED_VALUE"""),"")</f>
        <v/>
      </c>
      <c r="G288" s="36" t="str">
        <f ca="1">IFERROR(__xludf.DUMMYFUNCTION("""COMPUTED_VALUE"""),"")</f>
        <v/>
      </c>
      <c r="H288" s="36" t="str">
        <f ca="1">IFERROR(__xludf.DUMMYFUNCTION("""COMPUTED_VALUE"""),"")</f>
        <v/>
      </c>
      <c r="I288" s="36" t="str">
        <f ca="1">IFERROR(__xludf.DUMMYFUNCTION("""COMPUTED_VALUE"""),"")</f>
        <v/>
      </c>
      <c r="J288" s="36" t="str">
        <f ca="1">IFERROR(__xludf.DUMMYFUNCTION("""COMPUTED_VALUE"""),"")</f>
        <v/>
      </c>
      <c r="K288" s="36" t="str">
        <f ca="1">IFERROR(__xludf.DUMMYFUNCTION("""COMPUTED_VALUE"""),"")</f>
        <v/>
      </c>
      <c r="L288" s="36" t="str">
        <f ca="1">IFERROR(__xludf.DUMMYFUNCTION("""COMPUTED_VALUE"""),"")</f>
        <v/>
      </c>
      <c r="M288" s="36" t="str">
        <f ca="1">IFERROR(__xludf.DUMMYFUNCTION("""COMPUTED_VALUE"""),"")</f>
        <v/>
      </c>
      <c r="N288" s="36" t="str">
        <f ca="1">IFERROR(__xludf.DUMMYFUNCTION("""COMPUTED_VALUE"""),"")</f>
        <v/>
      </c>
      <c r="O288" s="36" t="str">
        <f ca="1">IFERROR(__xludf.DUMMYFUNCTION("""COMPUTED_VALUE"""),"")</f>
        <v/>
      </c>
      <c r="P288" s="36" t="str">
        <f ca="1">IFERROR(__xludf.DUMMYFUNCTION("""COMPUTED_VALUE"""),"")</f>
        <v/>
      </c>
      <c r="Q288" s="36" t="str">
        <f ca="1">IFERROR(__xludf.DUMMYFUNCTION("""COMPUTED_VALUE"""),"")</f>
        <v/>
      </c>
      <c r="R288" s="36" t="str">
        <f ca="1">IFERROR(__xludf.DUMMYFUNCTION("""COMPUTED_VALUE"""),"")</f>
        <v/>
      </c>
      <c r="S288" s="36" t="str">
        <f ca="1">IFERROR(__xludf.DUMMYFUNCTION("""COMPUTED_VALUE"""),"")</f>
        <v/>
      </c>
      <c r="T288" s="36" t="str">
        <f ca="1">IFERROR(__xludf.DUMMYFUNCTION("""COMPUTED_VALUE"""),"")</f>
        <v/>
      </c>
      <c r="U288" s="36" t="str">
        <f ca="1">IFERROR(__xludf.DUMMYFUNCTION("""COMPUTED_VALUE"""),"")</f>
        <v/>
      </c>
      <c r="V288" s="36" t="str">
        <f ca="1">IFERROR(__xludf.DUMMYFUNCTION("""COMPUTED_VALUE"""),"")</f>
        <v/>
      </c>
      <c r="W288" s="36" t="str">
        <f ca="1">IFERROR(__xludf.DUMMYFUNCTION("""COMPUTED_VALUE"""),"")</f>
        <v/>
      </c>
      <c r="X288" s="36"/>
      <c r="Y288" s="36"/>
      <c r="Z288" s="36"/>
    </row>
    <row r="289" spans="1:26" ht="12.75" hidden="1">
      <c r="A289" s="36" t="str">
        <f ca="1">IFERROR(__xludf.DUMMYFUNCTION("""COMPUTED_VALUE"""),"")</f>
        <v/>
      </c>
      <c r="B289" s="36" t="str">
        <f ca="1">IFERROR(__xludf.DUMMYFUNCTION("""COMPUTED_VALUE"""),"")</f>
        <v/>
      </c>
      <c r="C289" s="36" t="str">
        <f ca="1">IFERROR(__xludf.DUMMYFUNCTION("""COMPUTED_VALUE"""),"")</f>
        <v/>
      </c>
      <c r="D289" s="36" t="str">
        <f ca="1">IFERROR(__xludf.DUMMYFUNCTION("""COMPUTED_VALUE"""),"")</f>
        <v/>
      </c>
      <c r="E289" s="36" t="str">
        <f ca="1">IFERROR(__xludf.DUMMYFUNCTION("""COMPUTED_VALUE"""),"")</f>
        <v/>
      </c>
      <c r="F289" s="36" t="str">
        <f ca="1">IFERROR(__xludf.DUMMYFUNCTION("""COMPUTED_VALUE"""),"")</f>
        <v/>
      </c>
      <c r="G289" s="36" t="str">
        <f ca="1">IFERROR(__xludf.DUMMYFUNCTION("""COMPUTED_VALUE"""),"")</f>
        <v/>
      </c>
      <c r="H289" s="36" t="str">
        <f ca="1">IFERROR(__xludf.DUMMYFUNCTION("""COMPUTED_VALUE"""),"")</f>
        <v/>
      </c>
      <c r="I289" s="36" t="str">
        <f ca="1">IFERROR(__xludf.DUMMYFUNCTION("""COMPUTED_VALUE"""),"")</f>
        <v/>
      </c>
      <c r="J289" s="36" t="str">
        <f ca="1">IFERROR(__xludf.DUMMYFUNCTION("""COMPUTED_VALUE"""),"")</f>
        <v/>
      </c>
      <c r="K289" s="36" t="str">
        <f ca="1">IFERROR(__xludf.DUMMYFUNCTION("""COMPUTED_VALUE"""),"")</f>
        <v/>
      </c>
      <c r="L289" s="36" t="str">
        <f ca="1">IFERROR(__xludf.DUMMYFUNCTION("""COMPUTED_VALUE"""),"")</f>
        <v/>
      </c>
      <c r="M289" s="36" t="str">
        <f ca="1">IFERROR(__xludf.DUMMYFUNCTION("""COMPUTED_VALUE"""),"")</f>
        <v/>
      </c>
      <c r="N289" s="36" t="str">
        <f ca="1">IFERROR(__xludf.DUMMYFUNCTION("""COMPUTED_VALUE"""),"")</f>
        <v/>
      </c>
      <c r="O289" s="36" t="str">
        <f ca="1">IFERROR(__xludf.DUMMYFUNCTION("""COMPUTED_VALUE"""),"")</f>
        <v/>
      </c>
      <c r="P289" s="36" t="str">
        <f ca="1">IFERROR(__xludf.DUMMYFUNCTION("""COMPUTED_VALUE"""),"")</f>
        <v/>
      </c>
      <c r="Q289" s="36" t="str">
        <f ca="1">IFERROR(__xludf.DUMMYFUNCTION("""COMPUTED_VALUE"""),"")</f>
        <v/>
      </c>
      <c r="R289" s="36" t="str">
        <f ca="1">IFERROR(__xludf.DUMMYFUNCTION("""COMPUTED_VALUE"""),"")</f>
        <v/>
      </c>
      <c r="S289" s="36" t="str">
        <f ca="1">IFERROR(__xludf.DUMMYFUNCTION("""COMPUTED_VALUE"""),"")</f>
        <v/>
      </c>
      <c r="T289" s="36" t="str">
        <f ca="1">IFERROR(__xludf.DUMMYFUNCTION("""COMPUTED_VALUE"""),"")</f>
        <v/>
      </c>
      <c r="U289" s="36" t="str">
        <f ca="1">IFERROR(__xludf.DUMMYFUNCTION("""COMPUTED_VALUE"""),"")</f>
        <v/>
      </c>
      <c r="V289" s="36" t="str">
        <f ca="1">IFERROR(__xludf.DUMMYFUNCTION("""COMPUTED_VALUE"""),"")</f>
        <v/>
      </c>
      <c r="W289" s="36" t="str">
        <f ca="1">IFERROR(__xludf.DUMMYFUNCTION("""COMPUTED_VALUE"""),"")</f>
        <v/>
      </c>
      <c r="X289" s="36"/>
      <c r="Y289" s="36"/>
      <c r="Z289" s="36"/>
    </row>
    <row r="290" spans="1:26" ht="12.75" hidden="1">
      <c r="A290" s="36" t="str">
        <f ca="1">IFERROR(__xludf.DUMMYFUNCTION("""COMPUTED_VALUE"""),"")</f>
        <v/>
      </c>
      <c r="B290" s="36" t="str">
        <f ca="1">IFERROR(__xludf.DUMMYFUNCTION("""COMPUTED_VALUE"""),"")</f>
        <v/>
      </c>
      <c r="C290" s="36" t="str">
        <f ca="1">IFERROR(__xludf.DUMMYFUNCTION("""COMPUTED_VALUE"""),"")</f>
        <v/>
      </c>
      <c r="D290" s="36" t="str">
        <f ca="1">IFERROR(__xludf.DUMMYFUNCTION("""COMPUTED_VALUE"""),"")</f>
        <v/>
      </c>
      <c r="E290" s="36" t="str">
        <f ca="1">IFERROR(__xludf.DUMMYFUNCTION("""COMPUTED_VALUE"""),"")</f>
        <v/>
      </c>
      <c r="F290" s="36" t="str">
        <f ca="1">IFERROR(__xludf.DUMMYFUNCTION("""COMPUTED_VALUE"""),"")</f>
        <v/>
      </c>
      <c r="G290" s="36" t="str">
        <f ca="1">IFERROR(__xludf.DUMMYFUNCTION("""COMPUTED_VALUE"""),"")</f>
        <v/>
      </c>
      <c r="H290" s="36" t="str">
        <f ca="1">IFERROR(__xludf.DUMMYFUNCTION("""COMPUTED_VALUE"""),"")</f>
        <v/>
      </c>
      <c r="I290" s="36" t="str">
        <f ca="1">IFERROR(__xludf.DUMMYFUNCTION("""COMPUTED_VALUE"""),"")</f>
        <v/>
      </c>
      <c r="J290" s="36" t="str">
        <f ca="1">IFERROR(__xludf.DUMMYFUNCTION("""COMPUTED_VALUE"""),"")</f>
        <v/>
      </c>
      <c r="K290" s="36" t="str">
        <f ca="1">IFERROR(__xludf.DUMMYFUNCTION("""COMPUTED_VALUE"""),"")</f>
        <v/>
      </c>
      <c r="L290" s="36" t="str">
        <f ca="1">IFERROR(__xludf.DUMMYFUNCTION("""COMPUTED_VALUE"""),"")</f>
        <v/>
      </c>
      <c r="M290" s="36" t="str">
        <f ca="1">IFERROR(__xludf.DUMMYFUNCTION("""COMPUTED_VALUE"""),"")</f>
        <v/>
      </c>
      <c r="N290" s="36" t="str">
        <f ca="1">IFERROR(__xludf.DUMMYFUNCTION("""COMPUTED_VALUE"""),"")</f>
        <v/>
      </c>
      <c r="O290" s="36" t="str">
        <f ca="1">IFERROR(__xludf.DUMMYFUNCTION("""COMPUTED_VALUE"""),"")</f>
        <v/>
      </c>
      <c r="P290" s="36" t="str">
        <f ca="1">IFERROR(__xludf.DUMMYFUNCTION("""COMPUTED_VALUE"""),"")</f>
        <v/>
      </c>
      <c r="Q290" s="36" t="str">
        <f ca="1">IFERROR(__xludf.DUMMYFUNCTION("""COMPUTED_VALUE"""),"")</f>
        <v/>
      </c>
      <c r="R290" s="36" t="str">
        <f ca="1">IFERROR(__xludf.DUMMYFUNCTION("""COMPUTED_VALUE"""),"")</f>
        <v/>
      </c>
      <c r="S290" s="36" t="str">
        <f ca="1">IFERROR(__xludf.DUMMYFUNCTION("""COMPUTED_VALUE"""),"")</f>
        <v/>
      </c>
      <c r="T290" s="36" t="str">
        <f ca="1">IFERROR(__xludf.DUMMYFUNCTION("""COMPUTED_VALUE"""),"")</f>
        <v/>
      </c>
      <c r="U290" s="36" t="str">
        <f ca="1">IFERROR(__xludf.DUMMYFUNCTION("""COMPUTED_VALUE"""),"")</f>
        <v/>
      </c>
      <c r="V290" s="36" t="str">
        <f ca="1">IFERROR(__xludf.DUMMYFUNCTION("""COMPUTED_VALUE"""),"")</f>
        <v/>
      </c>
      <c r="W290" s="36" t="str">
        <f ca="1">IFERROR(__xludf.DUMMYFUNCTION("""COMPUTED_VALUE"""),"")</f>
        <v/>
      </c>
      <c r="X290" s="36"/>
      <c r="Y290" s="36"/>
      <c r="Z290" s="36"/>
    </row>
    <row r="291" spans="1:26" ht="12.75" hidden="1">
      <c r="A291" s="36" t="str">
        <f ca="1">IFERROR(__xludf.DUMMYFUNCTION("""COMPUTED_VALUE"""),"")</f>
        <v/>
      </c>
      <c r="B291" s="36" t="str">
        <f ca="1">IFERROR(__xludf.DUMMYFUNCTION("""COMPUTED_VALUE"""),"")</f>
        <v/>
      </c>
      <c r="C291" s="36" t="str">
        <f ca="1">IFERROR(__xludf.DUMMYFUNCTION("""COMPUTED_VALUE"""),"")</f>
        <v/>
      </c>
      <c r="D291" s="36" t="str">
        <f ca="1">IFERROR(__xludf.DUMMYFUNCTION("""COMPUTED_VALUE"""),"")</f>
        <v/>
      </c>
      <c r="E291" s="36" t="str">
        <f ca="1">IFERROR(__xludf.DUMMYFUNCTION("""COMPUTED_VALUE"""),"")</f>
        <v/>
      </c>
      <c r="F291" s="36" t="str">
        <f ca="1">IFERROR(__xludf.DUMMYFUNCTION("""COMPUTED_VALUE"""),"")</f>
        <v/>
      </c>
      <c r="G291" s="36" t="str">
        <f ca="1">IFERROR(__xludf.DUMMYFUNCTION("""COMPUTED_VALUE"""),"")</f>
        <v/>
      </c>
      <c r="H291" s="36" t="str">
        <f ca="1">IFERROR(__xludf.DUMMYFUNCTION("""COMPUTED_VALUE"""),"")</f>
        <v/>
      </c>
      <c r="I291" s="36" t="str">
        <f ca="1">IFERROR(__xludf.DUMMYFUNCTION("""COMPUTED_VALUE"""),"")</f>
        <v/>
      </c>
      <c r="J291" s="36" t="str">
        <f ca="1">IFERROR(__xludf.DUMMYFUNCTION("""COMPUTED_VALUE"""),"")</f>
        <v/>
      </c>
      <c r="K291" s="36" t="str">
        <f ca="1">IFERROR(__xludf.DUMMYFUNCTION("""COMPUTED_VALUE"""),"")</f>
        <v/>
      </c>
      <c r="L291" s="36" t="str">
        <f ca="1">IFERROR(__xludf.DUMMYFUNCTION("""COMPUTED_VALUE"""),"")</f>
        <v/>
      </c>
      <c r="M291" s="36" t="str">
        <f ca="1">IFERROR(__xludf.DUMMYFUNCTION("""COMPUTED_VALUE"""),"")</f>
        <v/>
      </c>
      <c r="N291" s="36" t="str">
        <f ca="1">IFERROR(__xludf.DUMMYFUNCTION("""COMPUTED_VALUE"""),"")</f>
        <v/>
      </c>
      <c r="O291" s="36" t="str">
        <f ca="1">IFERROR(__xludf.DUMMYFUNCTION("""COMPUTED_VALUE"""),"")</f>
        <v/>
      </c>
      <c r="P291" s="36" t="str">
        <f ca="1">IFERROR(__xludf.DUMMYFUNCTION("""COMPUTED_VALUE"""),"")</f>
        <v/>
      </c>
      <c r="Q291" s="36" t="str">
        <f ca="1">IFERROR(__xludf.DUMMYFUNCTION("""COMPUTED_VALUE"""),"")</f>
        <v/>
      </c>
      <c r="R291" s="36" t="str">
        <f ca="1">IFERROR(__xludf.DUMMYFUNCTION("""COMPUTED_VALUE"""),"")</f>
        <v/>
      </c>
      <c r="S291" s="36" t="str">
        <f ca="1">IFERROR(__xludf.DUMMYFUNCTION("""COMPUTED_VALUE"""),"")</f>
        <v/>
      </c>
      <c r="T291" s="36" t="str">
        <f ca="1">IFERROR(__xludf.DUMMYFUNCTION("""COMPUTED_VALUE"""),"")</f>
        <v/>
      </c>
      <c r="U291" s="36" t="str">
        <f ca="1">IFERROR(__xludf.DUMMYFUNCTION("""COMPUTED_VALUE"""),"")</f>
        <v/>
      </c>
      <c r="V291" s="36" t="str">
        <f ca="1">IFERROR(__xludf.DUMMYFUNCTION("""COMPUTED_VALUE"""),"")</f>
        <v/>
      </c>
      <c r="W291" s="36" t="str">
        <f ca="1">IFERROR(__xludf.DUMMYFUNCTION("""COMPUTED_VALUE"""),"")</f>
        <v/>
      </c>
      <c r="X291" s="36"/>
      <c r="Y291" s="36"/>
      <c r="Z291" s="36"/>
    </row>
    <row r="292" spans="1:26" ht="12.75" hidden="1">
      <c r="A292" s="36" t="str">
        <f ca="1">IFERROR(__xludf.DUMMYFUNCTION("""COMPUTED_VALUE"""),"")</f>
        <v/>
      </c>
      <c r="B292" s="36" t="str">
        <f ca="1">IFERROR(__xludf.DUMMYFUNCTION("""COMPUTED_VALUE"""),"")</f>
        <v/>
      </c>
      <c r="C292" s="36" t="str">
        <f ca="1">IFERROR(__xludf.DUMMYFUNCTION("""COMPUTED_VALUE"""),"")</f>
        <v/>
      </c>
      <c r="D292" s="36" t="str">
        <f ca="1">IFERROR(__xludf.DUMMYFUNCTION("""COMPUTED_VALUE"""),"")</f>
        <v/>
      </c>
      <c r="E292" s="36" t="str">
        <f ca="1">IFERROR(__xludf.DUMMYFUNCTION("""COMPUTED_VALUE"""),"")</f>
        <v/>
      </c>
      <c r="F292" s="36" t="str">
        <f ca="1">IFERROR(__xludf.DUMMYFUNCTION("""COMPUTED_VALUE"""),"")</f>
        <v/>
      </c>
      <c r="G292" s="36" t="str">
        <f ca="1">IFERROR(__xludf.DUMMYFUNCTION("""COMPUTED_VALUE"""),"")</f>
        <v/>
      </c>
      <c r="H292" s="36" t="str">
        <f ca="1">IFERROR(__xludf.DUMMYFUNCTION("""COMPUTED_VALUE"""),"")</f>
        <v/>
      </c>
      <c r="I292" s="36" t="str">
        <f ca="1">IFERROR(__xludf.DUMMYFUNCTION("""COMPUTED_VALUE"""),"")</f>
        <v/>
      </c>
      <c r="J292" s="36" t="str">
        <f ca="1">IFERROR(__xludf.DUMMYFUNCTION("""COMPUTED_VALUE"""),"")</f>
        <v/>
      </c>
      <c r="K292" s="36" t="str">
        <f ca="1">IFERROR(__xludf.DUMMYFUNCTION("""COMPUTED_VALUE"""),"")</f>
        <v/>
      </c>
      <c r="L292" s="36" t="str">
        <f ca="1">IFERROR(__xludf.DUMMYFUNCTION("""COMPUTED_VALUE"""),"")</f>
        <v/>
      </c>
      <c r="M292" s="36" t="str">
        <f ca="1">IFERROR(__xludf.DUMMYFUNCTION("""COMPUTED_VALUE"""),"")</f>
        <v/>
      </c>
      <c r="N292" s="36" t="str">
        <f ca="1">IFERROR(__xludf.DUMMYFUNCTION("""COMPUTED_VALUE"""),"")</f>
        <v/>
      </c>
      <c r="O292" s="36" t="str">
        <f ca="1">IFERROR(__xludf.DUMMYFUNCTION("""COMPUTED_VALUE"""),"")</f>
        <v/>
      </c>
      <c r="P292" s="36" t="str">
        <f ca="1">IFERROR(__xludf.DUMMYFUNCTION("""COMPUTED_VALUE"""),"")</f>
        <v/>
      </c>
      <c r="Q292" s="36" t="str">
        <f ca="1">IFERROR(__xludf.DUMMYFUNCTION("""COMPUTED_VALUE"""),"")</f>
        <v/>
      </c>
      <c r="R292" s="36" t="str">
        <f ca="1">IFERROR(__xludf.DUMMYFUNCTION("""COMPUTED_VALUE"""),"")</f>
        <v/>
      </c>
      <c r="S292" s="36" t="str">
        <f ca="1">IFERROR(__xludf.DUMMYFUNCTION("""COMPUTED_VALUE"""),"")</f>
        <v/>
      </c>
      <c r="T292" s="36" t="str">
        <f ca="1">IFERROR(__xludf.DUMMYFUNCTION("""COMPUTED_VALUE"""),"")</f>
        <v/>
      </c>
      <c r="U292" s="36" t="str">
        <f ca="1">IFERROR(__xludf.DUMMYFUNCTION("""COMPUTED_VALUE"""),"")</f>
        <v/>
      </c>
      <c r="V292" s="36" t="str">
        <f ca="1">IFERROR(__xludf.DUMMYFUNCTION("""COMPUTED_VALUE"""),"")</f>
        <v/>
      </c>
      <c r="W292" s="36" t="str">
        <f ca="1">IFERROR(__xludf.DUMMYFUNCTION("""COMPUTED_VALUE"""),"")</f>
        <v/>
      </c>
      <c r="X292" s="36"/>
      <c r="Y292" s="36"/>
      <c r="Z292" s="36"/>
    </row>
    <row r="293" spans="1:26" ht="12.75" hidden="1">
      <c r="A293" s="36" t="str">
        <f ca="1">IFERROR(__xludf.DUMMYFUNCTION("""COMPUTED_VALUE"""),"")</f>
        <v/>
      </c>
      <c r="B293" s="36" t="str">
        <f ca="1">IFERROR(__xludf.DUMMYFUNCTION("""COMPUTED_VALUE"""),"")</f>
        <v/>
      </c>
      <c r="C293" s="36" t="str">
        <f ca="1">IFERROR(__xludf.DUMMYFUNCTION("""COMPUTED_VALUE"""),"")</f>
        <v/>
      </c>
      <c r="D293" s="36" t="str">
        <f ca="1">IFERROR(__xludf.DUMMYFUNCTION("""COMPUTED_VALUE"""),"")</f>
        <v/>
      </c>
      <c r="E293" s="36" t="str">
        <f ca="1">IFERROR(__xludf.DUMMYFUNCTION("""COMPUTED_VALUE"""),"")</f>
        <v/>
      </c>
      <c r="F293" s="36" t="str">
        <f ca="1">IFERROR(__xludf.DUMMYFUNCTION("""COMPUTED_VALUE"""),"")</f>
        <v/>
      </c>
      <c r="G293" s="36" t="str">
        <f ca="1">IFERROR(__xludf.DUMMYFUNCTION("""COMPUTED_VALUE"""),"")</f>
        <v/>
      </c>
      <c r="H293" s="36" t="str">
        <f ca="1">IFERROR(__xludf.DUMMYFUNCTION("""COMPUTED_VALUE"""),"")</f>
        <v/>
      </c>
      <c r="I293" s="36" t="str">
        <f ca="1">IFERROR(__xludf.DUMMYFUNCTION("""COMPUTED_VALUE"""),"")</f>
        <v/>
      </c>
      <c r="J293" s="36" t="str">
        <f ca="1">IFERROR(__xludf.DUMMYFUNCTION("""COMPUTED_VALUE"""),"")</f>
        <v/>
      </c>
      <c r="K293" s="36" t="str">
        <f ca="1">IFERROR(__xludf.DUMMYFUNCTION("""COMPUTED_VALUE"""),"")</f>
        <v/>
      </c>
      <c r="L293" s="36" t="str">
        <f ca="1">IFERROR(__xludf.DUMMYFUNCTION("""COMPUTED_VALUE"""),"")</f>
        <v/>
      </c>
      <c r="M293" s="36" t="str">
        <f ca="1">IFERROR(__xludf.DUMMYFUNCTION("""COMPUTED_VALUE"""),"")</f>
        <v/>
      </c>
      <c r="N293" s="36" t="str">
        <f ca="1">IFERROR(__xludf.DUMMYFUNCTION("""COMPUTED_VALUE"""),"")</f>
        <v/>
      </c>
      <c r="O293" s="36" t="str">
        <f ca="1">IFERROR(__xludf.DUMMYFUNCTION("""COMPUTED_VALUE"""),"")</f>
        <v/>
      </c>
      <c r="P293" s="36" t="str">
        <f ca="1">IFERROR(__xludf.DUMMYFUNCTION("""COMPUTED_VALUE"""),"")</f>
        <v/>
      </c>
      <c r="Q293" s="36" t="str">
        <f ca="1">IFERROR(__xludf.DUMMYFUNCTION("""COMPUTED_VALUE"""),"")</f>
        <v/>
      </c>
      <c r="R293" s="36" t="str">
        <f ca="1">IFERROR(__xludf.DUMMYFUNCTION("""COMPUTED_VALUE"""),"")</f>
        <v/>
      </c>
      <c r="S293" s="36" t="str">
        <f ca="1">IFERROR(__xludf.DUMMYFUNCTION("""COMPUTED_VALUE"""),"")</f>
        <v/>
      </c>
      <c r="T293" s="36" t="str">
        <f ca="1">IFERROR(__xludf.DUMMYFUNCTION("""COMPUTED_VALUE"""),"")</f>
        <v/>
      </c>
      <c r="U293" s="36" t="str">
        <f ca="1">IFERROR(__xludf.DUMMYFUNCTION("""COMPUTED_VALUE"""),"")</f>
        <v/>
      </c>
      <c r="V293" s="36" t="str">
        <f ca="1">IFERROR(__xludf.DUMMYFUNCTION("""COMPUTED_VALUE"""),"")</f>
        <v/>
      </c>
      <c r="W293" s="36" t="str">
        <f ca="1">IFERROR(__xludf.DUMMYFUNCTION("""COMPUTED_VALUE"""),"")</f>
        <v/>
      </c>
      <c r="X293" s="36"/>
      <c r="Y293" s="36"/>
      <c r="Z293" s="36"/>
    </row>
    <row r="294" spans="1:26" ht="12.75" hidden="1">
      <c r="A294" s="36" t="str">
        <f ca="1">IFERROR(__xludf.DUMMYFUNCTION("""COMPUTED_VALUE"""),"")</f>
        <v/>
      </c>
      <c r="B294" s="36" t="str">
        <f ca="1">IFERROR(__xludf.DUMMYFUNCTION("""COMPUTED_VALUE"""),"")</f>
        <v/>
      </c>
      <c r="C294" s="36" t="str">
        <f ca="1">IFERROR(__xludf.DUMMYFUNCTION("""COMPUTED_VALUE"""),"")</f>
        <v/>
      </c>
      <c r="D294" s="36" t="str">
        <f ca="1">IFERROR(__xludf.DUMMYFUNCTION("""COMPUTED_VALUE"""),"")</f>
        <v/>
      </c>
      <c r="E294" s="36" t="str">
        <f ca="1">IFERROR(__xludf.DUMMYFUNCTION("""COMPUTED_VALUE"""),"")</f>
        <v/>
      </c>
      <c r="F294" s="36" t="str">
        <f ca="1">IFERROR(__xludf.DUMMYFUNCTION("""COMPUTED_VALUE"""),"")</f>
        <v/>
      </c>
      <c r="G294" s="36" t="str">
        <f ca="1">IFERROR(__xludf.DUMMYFUNCTION("""COMPUTED_VALUE"""),"")</f>
        <v/>
      </c>
      <c r="H294" s="36" t="str">
        <f ca="1">IFERROR(__xludf.DUMMYFUNCTION("""COMPUTED_VALUE"""),"")</f>
        <v/>
      </c>
      <c r="I294" s="36" t="str">
        <f ca="1">IFERROR(__xludf.DUMMYFUNCTION("""COMPUTED_VALUE"""),"")</f>
        <v/>
      </c>
      <c r="J294" s="36" t="str">
        <f ca="1">IFERROR(__xludf.DUMMYFUNCTION("""COMPUTED_VALUE"""),"")</f>
        <v/>
      </c>
      <c r="K294" s="36" t="str">
        <f ca="1">IFERROR(__xludf.DUMMYFUNCTION("""COMPUTED_VALUE"""),"")</f>
        <v/>
      </c>
      <c r="L294" s="36" t="str">
        <f ca="1">IFERROR(__xludf.DUMMYFUNCTION("""COMPUTED_VALUE"""),"")</f>
        <v/>
      </c>
      <c r="M294" s="36" t="str">
        <f ca="1">IFERROR(__xludf.DUMMYFUNCTION("""COMPUTED_VALUE"""),"")</f>
        <v/>
      </c>
      <c r="N294" s="36" t="str">
        <f ca="1">IFERROR(__xludf.DUMMYFUNCTION("""COMPUTED_VALUE"""),"")</f>
        <v/>
      </c>
      <c r="O294" s="36" t="str">
        <f ca="1">IFERROR(__xludf.DUMMYFUNCTION("""COMPUTED_VALUE"""),"")</f>
        <v/>
      </c>
      <c r="P294" s="36" t="str">
        <f ca="1">IFERROR(__xludf.DUMMYFUNCTION("""COMPUTED_VALUE"""),"")</f>
        <v/>
      </c>
      <c r="Q294" s="36" t="str">
        <f ca="1">IFERROR(__xludf.DUMMYFUNCTION("""COMPUTED_VALUE"""),"")</f>
        <v/>
      </c>
      <c r="R294" s="36" t="str">
        <f ca="1">IFERROR(__xludf.DUMMYFUNCTION("""COMPUTED_VALUE"""),"")</f>
        <v/>
      </c>
      <c r="S294" s="36" t="str">
        <f ca="1">IFERROR(__xludf.DUMMYFUNCTION("""COMPUTED_VALUE"""),"")</f>
        <v/>
      </c>
      <c r="T294" s="36" t="str">
        <f ca="1">IFERROR(__xludf.DUMMYFUNCTION("""COMPUTED_VALUE"""),"")</f>
        <v/>
      </c>
      <c r="U294" s="36" t="str">
        <f ca="1">IFERROR(__xludf.DUMMYFUNCTION("""COMPUTED_VALUE"""),"")</f>
        <v/>
      </c>
      <c r="V294" s="36" t="str">
        <f ca="1">IFERROR(__xludf.DUMMYFUNCTION("""COMPUTED_VALUE"""),"")</f>
        <v/>
      </c>
      <c r="W294" s="36" t="str">
        <f ca="1">IFERROR(__xludf.DUMMYFUNCTION("""COMPUTED_VALUE"""),"")</f>
        <v/>
      </c>
      <c r="X294" s="36"/>
      <c r="Y294" s="36"/>
      <c r="Z294" s="36"/>
    </row>
    <row r="295" spans="1:26" ht="12.75" hidden="1">
      <c r="A295" s="36" t="str">
        <f ca="1">IFERROR(__xludf.DUMMYFUNCTION("""COMPUTED_VALUE"""),"")</f>
        <v/>
      </c>
      <c r="B295" s="36" t="str">
        <f ca="1">IFERROR(__xludf.DUMMYFUNCTION("""COMPUTED_VALUE"""),"")</f>
        <v/>
      </c>
      <c r="C295" s="36" t="str">
        <f ca="1">IFERROR(__xludf.DUMMYFUNCTION("""COMPUTED_VALUE"""),"")</f>
        <v/>
      </c>
      <c r="D295" s="36" t="str">
        <f ca="1">IFERROR(__xludf.DUMMYFUNCTION("""COMPUTED_VALUE"""),"")</f>
        <v/>
      </c>
      <c r="E295" s="36" t="str">
        <f ca="1">IFERROR(__xludf.DUMMYFUNCTION("""COMPUTED_VALUE"""),"")</f>
        <v/>
      </c>
      <c r="F295" s="36" t="str">
        <f ca="1">IFERROR(__xludf.DUMMYFUNCTION("""COMPUTED_VALUE"""),"")</f>
        <v/>
      </c>
      <c r="G295" s="36" t="str">
        <f ca="1">IFERROR(__xludf.DUMMYFUNCTION("""COMPUTED_VALUE"""),"")</f>
        <v/>
      </c>
      <c r="H295" s="36" t="str">
        <f ca="1">IFERROR(__xludf.DUMMYFUNCTION("""COMPUTED_VALUE"""),"")</f>
        <v/>
      </c>
      <c r="I295" s="36" t="str">
        <f ca="1">IFERROR(__xludf.DUMMYFUNCTION("""COMPUTED_VALUE"""),"")</f>
        <v/>
      </c>
      <c r="J295" s="36" t="str">
        <f ca="1">IFERROR(__xludf.DUMMYFUNCTION("""COMPUTED_VALUE"""),"")</f>
        <v/>
      </c>
      <c r="K295" s="36" t="str">
        <f ca="1">IFERROR(__xludf.DUMMYFUNCTION("""COMPUTED_VALUE"""),"")</f>
        <v/>
      </c>
      <c r="L295" s="36" t="str">
        <f ca="1">IFERROR(__xludf.DUMMYFUNCTION("""COMPUTED_VALUE"""),"")</f>
        <v/>
      </c>
      <c r="M295" s="36" t="str">
        <f ca="1">IFERROR(__xludf.DUMMYFUNCTION("""COMPUTED_VALUE"""),"")</f>
        <v/>
      </c>
      <c r="N295" s="36" t="str">
        <f ca="1">IFERROR(__xludf.DUMMYFUNCTION("""COMPUTED_VALUE"""),"")</f>
        <v/>
      </c>
      <c r="O295" s="36" t="str">
        <f ca="1">IFERROR(__xludf.DUMMYFUNCTION("""COMPUTED_VALUE"""),"")</f>
        <v/>
      </c>
      <c r="P295" s="36" t="str">
        <f ca="1">IFERROR(__xludf.DUMMYFUNCTION("""COMPUTED_VALUE"""),"")</f>
        <v/>
      </c>
      <c r="Q295" s="36" t="str">
        <f ca="1">IFERROR(__xludf.DUMMYFUNCTION("""COMPUTED_VALUE"""),"")</f>
        <v/>
      </c>
      <c r="R295" s="36" t="str">
        <f ca="1">IFERROR(__xludf.DUMMYFUNCTION("""COMPUTED_VALUE"""),"")</f>
        <v/>
      </c>
      <c r="S295" s="36" t="str">
        <f ca="1">IFERROR(__xludf.DUMMYFUNCTION("""COMPUTED_VALUE"""),"")</f>
        <v/>
      </c>
      <c r="T295" s="36" t="str">
        <f ca="1">IFERROR(__xludf.DUMMYFUNCTION("""COMPUTED_VALUE"""),"")</f>
        <v/>
      </c>
      <c r="U295" s="36" t="str">
        <f ca="1">IFERROR(__xludf.DUMMYFUNCTION("""COMPUTED_VALUE"""),"")</f>
        <v/>
      </c>
      <c r="V295" s="36" t="str">
        <f ca="1">IFERROR(__xludf.DUMMYFUNCTION("""COMPUTED_VALUE"""),"")</f>
        <v/>
      </c>
      <c r="W295" s="36" t="str">
        <f ca="1">IFERROR(__xludf.DUMMYFUNCTION("""COMPUTED_VALUE"""),"")</f>
        <v/>
      </c>
      <c r="X295" s="36"/>
      <c r="Y295" s="36"/>
      <c r="Z295" s="36"/>
    </row>
    <row r="296" spans="1:26" ht="12.75" hidden="1">
      <c r="A296" s="36" t="str">
        <f ca="1">IFERROR(__xludf.DUMMYFUNCTION("""COMPUTED_VALUE"""),"")</f>
        <v/>
      </c>
      <c r="B296" s="36" t="str">
        <f ca="1">IFERROR(__xludf.DUMMYFUNCTION("""COMPUTED_VALUE"""),"")</f>
        <v/>
      </c>
      <c r="C296" s="36" t="str">
        <f ca="1">IFERROR(__xludf.DUMMYFUNCTION("""COMPUTED_VALUE"""),"")</f>
        <v/>
      </c>
      <c r="D296" s="36" t="str">
        <f ca="1">IFERROR(__xludf.DUMMYFUNCTION("""COMPUTED_VALUE"""),"")</f>
        <v/>
      </c>
      <c r="E296" s="36" t="str">
        <f ca="1">IFERROR(__xludf.DUMMYFUNCTION("""COMPUTED_VALUE"""),"")</f>
        <v/>
      </c>
      <c r="F296" s="36" t="str">
        <f ca="1">IFERROR(__xludf.DUMMYFUNCTION("""COMPUTED_VALUE"""),"")</f>
        <v/>
      </c>
      <c r="G296" s="36" t="str">
        <f ca="1">IFERROR(__xludf.DUMMYFUNCTION("""COMPUTED_VALUE"""),"")</f>
        <v/>
      </c>
      <c r="H296" s="36" t="str">
        <f ca="1">IFERROR(__xludf.DUMMYFUNCTION("""COMPUTED_VALUE"""),"")</f>
        <v/>
      </c>
      <c r="I296" s="36" t="str">
        <f ca="1">IFERROR(__xludf.DUMMYFUNCTION("""COMPUTED_VALUE"""),"")</f>
        <v/>
      </c>
      <c r="J296" s="36" t="str">
        <f ca="1">IFERROR(__xludf.DUMMYFUNCTION("""COMPUTED_VALUE"""),"")</f>
        <v/>
      </c>
      <c r="K296" s="36" t="str">
        <f ca="1">IFERROR(__xludf.DUMMYFUNCTION("""COMPUTED_VALUE"""),"")</f>
        <v/>
      </c>
      <c r="L296" s="36" t="str">
        <f ca="1">IFERROR(__xludf.DUMMYFUNCTION("""COMPUTED_VALUE"""),"")</f>
        <v/>
      </c>
      <c r="M296" s="36" t="str">
        <f ca="1">IFERROR(__xludf.DUMMYFUNCTION("""COMPUTED_VALUE"""),"")</f>
        <v/>
      </c>
      <c r="N296" s="36" t="str">
        <f ca="1">IFERROR(__xludf.DUMMYFUNCTION("""COMPUTED_VALUE"""),"")</f>
        <v/>
      </c>
      <c r="O296" s="36" t="str">
        <f ca="1">IFERROR(__xludf.DUMMYFUNCTION("""COMPUTED_VALUE"""),"")</f>
        <v/>
      </c>
      <c r="P296" s="36" t="str">
        <f ca="1">IFERROR(__xludf.DUMMYFUNCTION("""COMPUTED_VALUE"""),"")</f>
        <v/>
      </c>
      <c r="Q296" s="36" t="str">
        <f ca="1">IFERROR(__xludf.DUMMYFUNCTION("""COMPUTED_VALUE"""),"")</f>
        <v/>
      </c>
      <c r="R296" s="36" t="str">
        <f ca="1">IFERROR(__xludf.DUMMYFUNCTION("""COMPUTED_VALUE"""),"")</f>
        <v/>
      </c>
      <c r="S296" s="36" t="str">
        <f ca="1">IFERROR(__xludf.DUMMYFUNCTION("""COMPUTED_VALUE"""),"")</f>
        <v/>
      </c>
      <c r="T296" s="36" t="str">
        <f ca="1">IFERROR(__xludf.DUMMYFUNCTION("""COMPUTED_VALUE"""),"")</f>
        <v/>
      </c>
      <c r="U296" s="36" t="str">
        <f ca="1">IFERROR(__xludf.DUMMYFUNCTION("""COMPUTED_VALUE"""),"")</f>
        <v/>
      </c>
      <c r="V296" s="36" t="str">
        <f ca="1">IFERROR(__xludf.DUMMYFUNCTION("""COMPUTED_VALUE"""),"")</f>
        <v/>
      </c>
      <c r="W296" s="36" t="str">
        <f ca="1">IFERROR(__xludf.DUMMYFUNCTION("""COMPUTED_VALUE"""),"")</f>
        <v/>
      </c>
      <c r="X296" s="36"/>
      <c r="Y296" s="36"/>
      <c r="Z296" s="36"/>
    </row>
    <row r="297" spans="1:26" ht="12.75" hidden="1">
      <c r="A297" s="36" t="str">
        <f ca="1">IFERROR(__xludf.DUMMYFUNCTION("""COMPUTED_VALUE"""),"")</f>
        <v/>
      </c>
      <c r="B297" s="36" t="str">
        <f ca="1">IFERROR(__xludf.DUMMYFUNCTION("""COMPUTED_VALUE"""),"")</f>
        <v/>
      </c>
      <c r="C297" s="36" t="str">
        <f ca="1">IFERROR(__xludf.DUMMYFUNCTION("""COMPUTED_VALUE"""),"")</f>
        <v/>
      </c>
      <c r="D297" s="36" t="str">
        <f ca="1">IFERROR(__xludf.DUMMYFUNCTION("""COMPUTED_VALUE"""),"")</f>
        <v/>
      </c>
      <c r="E297" s="36" t="str">
        <f ca="1">IFERROR(__xludf.DUMMYFUNCTION("""COMPUTED_VALUE"""),"")</f>
        <v/>
      </c>
      <c r="F297" s="36" t="str">
        <f ca="1">IFERROR(__xludf.DUMMYFUNCTION("""COMPUTED_VALUE"""),"")</f>
        <v/>
      </c>
      <c r="G297" s="36" t="str">
        <f ca="1">IFERROR(__xludf.DUMMYFUNCTION("""COMPUTED_VALUE"""),"")</f>
        <v/>
      </c>
      <c r="H297" s="36" t="str">
        <f ca="1">IFERROR(__xludf.DUMMYFUNCTION("""COMPUTED_VALUE"""),"")</f>
        <v/>
      </c>
      <c r="I297" s="36" t="str">
        <f ca="1">IFERROR(__xludf.DUMMYFUNCTION("""COMPUTED_VALUE"""),"")</f>
        <v/>
      </c>
      <c r="J297" s="36" t="str">
        <f ca="1">IFERROR(__xludf.DUMMYFUNCTION("""COMPUTED_VALUE"""),"")</f>
        <v/>
      </c>
      <c r="K297" s="36" t="str">
        <f ca="1">IFERROR(__xludf.DUMMYFUNCTION("""COMPUTED_VALUE"""),"")</f>
        <v/>
      </c>
      <c r="L297" s="36" t="str">
        <f ca="1">IFERROR(__xludf.DUMMYFUNCTION("""COMPUTED_VALUE"""),"")</f>
        <v/>
      </c>
      <c r="M297" s="36" t="str">
        <f ca="1">IFERROR(__xludf.DUMMYFUNCTION("""COMPUTED_VALUE"""),"")</f>
        <v/>
      </c>
      <c r="N297" s="36" t="str">
        <f ca="1">IFERROR(__xludf.DUMMYFUNCTION("""COMPUTED_VALUE"""),"")</f>
        <v/>
      </c>
      <c r="O297" s="36" t="str">
        <f ca="1">IFERROR(__xludf.DUMMYFUNCTION("""COMPUTED_VALUE"""),"")</f>
        <v/>
      </c>
      <c r="P297" s="36" t="str">
        <f ca="1">IFERROR(__xludf.DUMMYFUNCTION("""COMPUTED_VALUE"""),"")</f>
        <v/>
      </c>
      <c r="Q297" s="36" t="str">
        <f ca="1">IFERROR(__xludf.DUMMYFUNCTION("""COMPUTED_VALUE"""),"")</f>
        <v/>
      </c>
      <c r="R297" s="36" t="str">
        <f ca="1">IFERROR(__xludf.DUMMYFUNCTION("""COMPUTED_VALUE"""),"")</f>
        <v/>
      </c>
      <c r="S297" s="36" t="str">
        <f ca="1">IFERROR(__xludf.DUMMYFUNCTION("""COMPUTED_VALUE"""),"")</f>
        <v/>
      </c>
      <c r="T297" s="36" t="str">
        <f ca="1">IFERROR(__xludf.DUMMYFUNCTION("""COMPUTED_VALUE"""),"")</f>
        <v/>
      </c>
      <c r="U297" s="36" t="str">
        <f ca="1">IFERROR(__xludf.DUMMYFUNCTION("""COMPUTED_VALUE"""),"")</f>
        <v/>
      </c>
      <c r="V297" s="36" t="str">
        <f ca="1">IFERROR(__xludf.DUMMYFUNCTION("""COMPUTED_VALUE"""),"")</f>
        <v/>
      </c>
      <c r="W297" s="36" t="str">
        <f ca="1">IFERROR(__xludf.DUMMYFUNCTION("""COMPUTED_VALUE"""),"")</f>
        <v/>
      </c>
      <c r="X297" s="36"/>
      <c r="Y297" s="36"/>
      <c r="Z297" s="36"/>
    </row>
    <row r="298" spans="1:26" ht="12.75" hidden="1">
      <c r="A298" s="36" t="str">
        <f ca="1">IFERROR(__xludf.DUMMYFUNCTION("""COMPUTED_VALUE"""),"")</f>
        <v/>
      </c>
      <c r="B298" s="36" t="str">
        <f ca="1">IFERROR(__xludf.DUMMYFUNCTION("""COMPUTED_VALUE"""),"")</f>
        <v/>
      </c>
      <c r="C298" s="36" t="str">
        <f ca="1">IFERROR(__xludf.DUMMYFUNCTION("""COMPUTED_VALUE"""),"")</f>
        <v/>
      </c>
      <c r="D298" s="36" t="str">
        <f ca="1">IFERROR(__xludf.DUMMYFUNCTION("""COMPUTED_VALUE"""),"")</f>
        <v/>
      </c>
      <c r="E298" s="36" t="str">
        <f ca="1">IFERROR(__xludf.DUMMYFUNCTION("""COMPUTED_VALUE"""),"")</f>
        <v/>
      </c>
      <c r="F298" s="36" t="str">
        <f ca="1">IFERROR(__xludf.DUMMYFUNCTION("""COMPUTED_VALUE"""),"")</f>
        <v/>
      </c>
      <c r="G298" s="36" t="str">
        <f ca="1">IFERROR(__xludf.DUMMYFUNCTION("""COMPUTED_VALUE"""),"")</f>
        <v/>
      </c>
      <c r="H298" s="36" t="str">
        <f ca="1">IFERROR(__xludf.DUMMYFUNCTION("""COMPUTED_VALUE"""),"")</f>
        <v/>
      </c>
      <c r="I298" s="36" t="str">
        <f ca="1">IFERROR(__xludf.DUMMYFUNCTION("""COMPUTED_VALUE"""),"")</f>
        <v/>
      </c>
      <c r="J298" s="36" t="str">
        <f ca="1">IFERROR(__xludf.DUMMYFUNCTION("""COMPUTED_VALUE"""),"")</f>
        <v/>
      </c>
      <c r="K298" s="36" t="str">
        <f ca="1">IFERROR(__xludf.DUMMYFUNCTION("""COMPUTED_VALUE"""),"")</f>
        <v/>
      </c>
      <c r="L298" s="36" t="str">
        <f ca="1">IFERROR(__xludf.DUMMYFUNCTION("""COMPUTED_VALUE"""),"")</f>
        <v/>
      </c>
      <c r="M298" s="36" t="str">
        <f ca="1">IFERROR(__xludf.DUMMYFUNCTION("""COMPUTED_VALUE"""),"")</f>
        <v/>
      </c>
      <c r="N298" s="36" t="str">
        <f ca="1">IFERROR(__xludf.DUMMYFUNCTION("""COMPUTED_VALUE"""),"")</f>
        <v/>
      </c>
      <c r="O298" s="36" t="str">
        <f ca="1">IFERROR(__xludf.DUMMYFUNCTION("""COMPUTED_VALUE"""),"")</f>
        <v/>
      </c>
      <c r="P298" s="36" t="str">
        <f ca="1">IFERROR(__xludf.DUMMYFUNCTION("""COMPUTED_VALUE"""),"")</f>
        <v/>
      </c>
      <c r="Q298" s="36" t="str">
        <f ca="1">IFERROR(__xludf.DUMMYFUNCTION("""COMPUTED_VALUE"""),"")</f>
        <v/>
      </c>
      <c r="R298" s="36" t="str">
        <f ca="1">IFERROR(__xludf.DUMMYFUNCTION("""COMPUTED_VALUE"""),"")</f>
        <v/>
      </c>
      <c r="S298" s="36" t="str">
        <f ca="1">IFERROR(__xludf.DUMMYFUNCTION("""COMPUTED_VALUE"""),"")</f>
        <v/>
      </c>
      <c r="T298" s="36" t="str">
        <f ca="1">IFERROR(__xludf.DUMMYFUNCTION("""COMPUTED_VALUE"""),"")</f>
        <v/>
      </c>
      <c r="U298" s="36" t="str">
        <f ca="1">IFERROR(__xludf.DUMMYFUNCTION("""COMPUTED_VALUE"""),"")</f>
        <v/>
      </c>
      <c r="V298" s="36" t="str">
        <f ca="1">IFERROR(__xludf.DUMMYFUNCTION("""COMPUTED_VALUE"""),"")</f>
        <v/>
      </c>
      <c r="W298" s="36" t="str">
        <f ca="1">IFERROR(__xludf.DUMMYFUNCTION("""COMPUTED_VALUE"""),"")</f>
        <v/>
      </c>
      <c r="X298" s="36"/>
      <c r="Y298" s="36"/>
      <c r="Z298" s="36"/>
    </row>
    <row r="299" spans="1:26" ht="12.75" hidden="1">
      <c r="A299" s="36" t="str">
        <f ca="1">IFERROR(__xludf.DUMMYFUNCTION("""COMPUTED_VALUE"""),"")</f>
        <v/>
      </c>
      <c r="B299" s="36" t="str">
        <f ca="1">IFERROR(__xludf.DUMMYFUNCTION("""COMPUTED_VALUE"""),"")</f>
        <v/>
      </c>
      <c r="C299" s="36" t="str">
        <f ca="1">IFERROR(__xludf.DUMMYFUNCTION("""COMPUTED_VALUE"""),"")</f>
        <v/>
      </c>
      <c r="D299" s="36" t="str">
        <f ca="1">IFERROR(__xludf.DUMMYFUNCTION("""COMPUTED_VALUE"""),"")</f>
        <v/>
      </c>
      <c r="E299" s="36" t="str">
        <f ca="1">IFERROR(__xludf.DUMMYFUNCTION("""COMPUTED_VALUE"""),"")</f>
        <v/>
      </c>
      <c r="F299" s="36" t="str">
        <f ca="1">IFERROR(__xludf.DUMMYFUNCTION("""COMPUTED_VALUE"""),"")</f>
        <v/>
      </c>
      <c r="G299" s="36" t="str">
        <f ca="1">IFERROR(__xludf.DUMMYFUNCTION("""COMPUTED_VALUE"""),"")</f>
        <v/>
      </c>
      <c r="H299" s="36" t="str">
        <f ca="1">IFERROR(__xludf.DUMMYFUNCTION("""COMPUTED_VALUE"""),"")</f>
        <v/>
      </c>
      <c r="I299" s="36" t="str">
        <f ca="1">IFERROR(__xludf.DUMMYFUNCTION("""COMPUTED_VALUE"""),"")</f>
        <v/>
      </c>
      <c r="J299" s="36" t="str">
        <f ca="1">IFERROR(__xludf.DUMMYFUNCTION("""COMPUTED_VALUE"""),"")</f>
        <v/>
      </c>
      <c r="K299" s="36" t="str">
        <f ca="1">IFERROR(__xludf.DUMMYFUNCTION("""COMPUTED_VALUE"""),"")</f>
        <v/>
      </c>
      <c r="L299" s="36" t="str">
        <f ca="1">IFERROR(__xludf.DUMMYFUNCTION("""COMPUTED_VALUE"""),"")</f>
        <v/>
      </c>
      <c r="M299" s="36" t="str">
        <f ca="1">IFERROR(__xludf.DUMMYFUNCTION("""COMPUTED_VALUE"""),"")</f>
        <v/>
      </c>
      <c r="N299" s="36" t="str">
        <f ca="1">IFERROR(__xludf.DUMMYFUNCTION("""COMPUTED_VALUE"""),"")</f>
        <v/>
      </c>
      <c r="O299" s="36" t="str">
        <f ca="1">IFERROR(__xludf.DUMMYFUNCTION("""COMPUTED_VALUE"""),"")</f>
        <v/>
      </c>
      <c r="P299" s="36" t="str">
        <f ca="1">IFERROR(__xludf.DUMMYFUNCTION("""COMPUTED_VALUE"""),"")</f>
        <v/>
      </c>
      <c r="Q299" s="36" t="str">
        <f ca="1">IFERROR(__xludf.DUMMYFUNCTION("""COMPUTED_VALUE"""),"")</f>
        <v/>
      </c>
      <c r="R299" s="36" t="str">
        <f ca="1">IFERROR(__xludf.DUMMYFUNCTION("""COMPUTED_VALUE"""),"")</f>
        <v/>
      </c>
      <c r="S299" s="36" t="str">
        <f ca="1">IFERROR(__xludf.DUMMYFUNCTION("""COMPUTED_VALUE"""),"")</f>
        <v/>
      </c>
      <c r="T299" s="36" t="str">
        <f ca="1">IFERROR(__xludf.DUMMYFUNCTION("""COMPUTED_VALUE"""),"")</f>
        <v/>
      </c>
      <c r="U299" s="36" t="str">
        <f ca="1">IFERROR(__xludf.DUMMYFUNCTION("""COMPUTED_VALUE"""),"")</f>
        <v/>
      </c>
      <c r="V299" s="36" t="str">
        <f ca="1">IFERROR(__xludf.DUMMYFUNCTION("""COMPUTED_VALUE"""),"")</f>
        <v/>
      </c>
      <c r="W299" s="36" t="str">
        <f ca="1">IFERROR(__xludf.DUMMYFUNCTION("""COMPUTED_VALUE"""),"")</f>
        <v/>
      </c>
      <c r="X299" s="36"/>
      <c r="Y299" s="36"/>
      <c r="Z299" s="36"/>
    </row>
    <row r="300" spans="1:26" ht="12.75" hidden="1">
      <c r="A300" s="36" t="str">
        <f ca="1">IFERROR(__xludf.DUMMYFUNCTION("""COMPUTED_VALUE"""),"")</f>
        <v/>
      </c>
      <c r="B300" s="36" t="str">
        <f ca="1">IFERROR(__xludf.DUMMYFUNCTION("""COMPUTED_VALUE"""),"")</f>
        <v/>
      </c>
      <c r="C300" s="36" t="str">
        <f ca="1">IFERROR(__xludf.DUMMYFUNCTION("""COMPUTED_VALUE"""),"")</f>
        <v/>
      </c>
      <c r="D300" s="36" t="str">
        <f ca="1">IFERROR(__xludf.DUMMYFUNCTION("""COMPUTED_VALUE"""),"")</f>
        <v/>
      </c>
      <c r="E300" s="36" t="str">
        <f ca="1">IFERROR(__xludf.DUMMYFUNCTION("""COMPUTED_VALUE"""),"")</f>
        <v/>
      </c>
      <c r="F300" s="36" t="str">
        <f ca="1">IFERROR(__xludf.DUMMYFUNCTION("""COMPUTED_VALUE"""),"")</f>
        <v/>
      </c>
      <c r="G300" s="36" t="str">
        <f ca="1">IFERROR(__xludf.DUMMYFUNCTION("""COMPUTED_VALUE"""),"")</f>
        <v/>
      </c>
      <c r="H300" s="36" t="str">
        <f ca="1">IFERROR(__xludf.DUMMYFUNCTION("""COMPUTED_VALUE"""),"")</f>
        <v/>
      </c>
      <c r="I300" s="36" t="str">
        <f ca="1">IFERROR(__xludf.DUMMYFUNCTION("""COMPUTED_VALUE"""),"")</f>
        <v/>
      </c>
      <c r="J300" s="36" t="str">
        <f ca="1">IFERROR(__xludf.DUMMYFUNCTION("""COMPUTED_VALUE"""),"")</f>
        <v/>
      </c>
      <c r="K300" s="36" t="str">
        <f ca="1">IFERROR(__xludf.DUMMYFUNCTION("""COMPUTED_VALUE"""),"")</f>
        <v/>
      </c>
      <c r="L300" s="36" t="str">
        <f ca="1">IFERROR(__xludf.DUMMYFUNCTION("""COMPUTED_VALUE"""),"")</f>
        <v/>
      </c>
      <c r="M300" s="36" t="str">
        <f ca="1">IFERROR(__xludf.DUMMYFUNCTION("""COMPUTED_VALUE"""),"")</f>
        <v/>
      </c>
      <c r="N300" s="36" t="str">
        <f ca="1">IFERROR(__xludf.DUMMYFUNCTION("""COMPUTED_VALUE"""),"")</f>
        <v/>
      </c>
      <c r="O300" s="36" t="str">
        <f ca="1">IFERROR(__xludf.DUMMYFUNCTION("""COMPUTED_VALUE"""),"")</f>
        <v/>
      </c>
      <c r="P300" s="36" t="str">
        <f ca="1">IFERROR(__xludf.DUMMYFUNCTION("""COMPUTED_VALUE"""),"")</f>
        <v/>
      </c>
      <c r="Q300" s="36" t="str">
        <f ca="1">IFERROR(__xludf.DUMMYFUNCTION("""COMPUTED_VALUE"""),"")</f>
        <v/>
      </c>
      <c r="R300" s="36" t="str">
        <f ca="1">IFERROR(__xludf.DUMMYFUNCTION("""COMPUTED_VALUE"""),"")</f>
        <v/>
      </c>
      <c r="S300" s="36" t="str">
        <f ca="1">IFERROR(__xludf.DUMMYFUNCTION("""COMPUTED_VALUE"""),"")</f>
        <v/>
      </c>
      <c r="T300" s="36" t="str">
        <f ca="1">IFERROR(__xludf.DUMMYFUNCTION("""COMPUTED_VALUE"""),"")</f>
        <v/>
      </c>
      <c r="U300" s="36" t="str">
        <f ca="1">IFERROR(__xludf.DUMMYFUNCTION("""COMPUTED_VALUE"""),"")</f>
        <v/>
      </c>
      <c r="V300" s="36" t="str">
        <f ca="1">IFERROR(__xludf.DUMMYFUNCTION("""COMPUTED_VALUE"""),"")</f>
        <v/>
      </c>
      <c r="W300" s="36" t="str">
        <f ca="1">IFERROR(__xludf.DUMMYFUNCTION("""COMPUTED_VALUE"""),"")</f>
        <v/>
      </c>
      <c r="X300" s="36"/>
      <c r="Y300" s="36"/>
      <c r="Z300" s="36"/>
    </row>
    <row r="301" spans="1:26" ht="12.75" hidden="1">
      <c r="A301" s="36" t="str">
        <f ca="1">IFERROR(__xludf.DUMMYFUNCTION("""COMPUTED_VALUE"""),"")</f>
        <v/>
      </c>
      <c r="B301" s="36" t="str">
        <f ca="1">IFERROR(__xludf.DUMMYFUNCTION("""COMPUTED_VALUE"""),"")</f>
        <v/>
      </c>
      <c r="C301" s="36" t="str">
        <f ca="1">IFERROR(__xludf.DUMMYFUNCTION("""COMPUTED_VALUE"""),"")</f>
        <v/>
      </c>
      <c r="D301" s="36" t="str">
        <f ca="1">IFERROR(__xludf.DUMMYFUNCTION("""COMPUTED_VALUE"""),"")</f>
        <v/>
      </c>
      <c r="E301" s="36" t="str">
        <f ca="1">IFERROR(__xludf.DUMMYFUNCTION("""COMPUTED_VALUE"""),"")</f>
        <v/>
      </c>
      <c r="F301" s="36" t="str">
        <f ca="1">IFERROR(__xludf.DUMMYFUNCTION("""COMPUTED_VALUE"""),"")</f>
        <v/>
      </c>
      <c r="G301" s="36" t="str">
        <f ca="1">IFERROR(__xludf.DUMMYFUNCTION("""COMPUTED_VALUE"""),"")</f>
        <v/>
      </c>
      <c r="H301" s="36" t="str">
        <f ca="1">IFERROR(__xludf.DUMMYFUNCTION("""COMPUTED_VALUE"""),"")</f>
        <v/>
      </c>
      <c r="I301" s="36" t="str">
        <f ca="1">IFERROR(__xludf.DUMMYFUNCTION("""COMPUTED_VALUE"""),"")</f>
        <v/>
      </c>
      <c r="J301" s="36" t="str">
        <f ca="1">IFERROR(__xludf.DUMMYFUNCTION("""COMPUTED_VALUE"""),"")</f>
        <v/>
      </c>
      <c r="K301" s="36" t="str">
        <f ca="1">IFERROR(__xludf.DUMMYFUNCTION("""COMPUTED_VALUE"""),"")</f>
        <v/>
      </c>
      <c r="L301" s="36" t="str">
        <f ca="1">IFERROR(__xludf.DUMMYFUNCTION("""COMPUTED_VALUE"""),"")</f>
        <v/>
      </c>
      <c r="M301" s="36" t="str">
        <f ca="1">IFERROR(__xludf.DUMMYFUNCTION("""COMPUTED_VALUE"""),"")</f>
        <v/>
      </c>
      <c r="N301" s="36" t="str">
        <f ca="1">IFERROR(__xludf.DUMMYFUNCTION("""COMPUTED_VALUE"""),"")</f>
        <v/>
      </c>
      <c r="O301" s="36" t="str">
        <f ca="1">IFERROR(__xludf.DUMMYFUNCTION("""COMPUTED_VALUE"""),"")</f>
        <v/>
      </c>
      <c r="P301" s="36" t="str">
        <f ca="1">IFERROR(__xludf.DUMMYFUNCTION("""COMPUTED_VALUE"""),"")</f>
        <v/>
      </c>
      <c r="Q301" s="36" t="str">
        <f ca="1">IFERROR(__xludf.DUMMYFUNCTION("""COMPUTED_VALUE"""),"")</f>
        <v/>
      </c>
      <c r="R301" s="36" t="str">
        <f ca="1">IFERROR(__xludf.DUMMYFUNCTION("""COMPUTED_VALUE"""),"")</f>
        <v/>
      </c>
      <c r="S301" s="36" t="str">
        <f ca="1">IFERROR(__xludf.DUMMYFUNCTION("""COMPUTED_VALUE"""),"")</f>
        <v/>
      </c>
      <c r="T301" s="36" t="str">
        <f ca="1">IFERROR(__xludf.DUMMYFUNCTION("""COMPUTED_VALUE"""),"")</f>
        <v/>
      </c>
      <c r="U301" s="36" t="str">
        <f ca="1">IFERROR(__xludf.DUMMYFUNCTION("""COMPUTED_VALUE"""),"")</f>
        <v/>
      </c>
      <c r="V301" s="36" t="str">
        <f ca="1">IFERROR(__xludf.DUMMYFUNCTION("""COMPUTED_VALUE"""),"")</f>
        <v/>
      </c>
      <c r="W301" s="36" t="str">
        <f ca="1">IFERROR(__xludf.DUMMYFUNCTION("""COMPUTED_VALUE"""),"")</f>
        <v/>
      </c>
      <c r="X301" s="36"/>
      <c r="Y301" s="36"/>
      <c r="Z301" s="36"/>
    </row>
    <row r="302" spans="1:26" ht="12.75" hidden="1">
      <c r="A302" s="36" t="str">
        <f ca="1">IFERROR(__xludf.DUMMYFUNCTION("""COMPUTED_VALUE"""),"")</f>
        <v/>
      </c>
      <c r="B302" s="36" t="str">
        <f ca="1">IFERROR(__xludf.DUMMYFUNCTION("""COMPUTED_VALUE"""),"")</f>
        <v/>
      </c>
      <c r="C302" s="36" t="str">
        <f ca="1">IFERROR(__xludf.DUMMYFUNCTION("""COMPUTED_VALUE"""),"")</f>
        <v/>
      </c>
      <c r="D302" s="36" t="str">
        <f ca="1">IFERROR(__xludf.DUMMYFUNCTION("""COMPUTED_VALUE"""),"")</f>
        <v/>
      </c>
      <c r="E302" s="36" t="str">
        <f ca="1">IFERROR(__xludf.DUMMYFUNCTION("""COMPUTED_VALUE"""),"")</f>
        <v/>
      </c>
      <c r="F302" s="36" t="str">
        <f ca="1">IFERROR(__xludf.DUMMYFUNCTION("""COMPUTED_VALUE"""),"")</f>
        <v/>
      </c>
      <c r="G302" s="36" t="str">
        <f ca="1">IFERROR(__xludf.DUMMYFUNCTION("""COMPUTED_VALUE"""),"")</f>
        <v/>
      </c>
      <c r="H302" s="36" t="str">
        <f ca="1">IFERROR(__xludf.DUMMYFUNCTION("""COMPUTED_VALUE"""),"")</f>
        <v/>
      </c>
      <c r="I302" s="36" t="str">
        <f ca="1">IFERROR(__xludf.DUMMYFUNCTION("""COMPUTED_VALUE"""),"")</f>
        <v/>
      </c>
      <c r="J302" s="36" t="str">
        <f ca="1">IFERROR(__xludf.DUMMYFUNCTION("""COMPUTED_VALUE"""),"")</f>
        <v/>
      </c>
      <c r="K302" s="36" t="str">
        <f ca="1">IFERROR(__xludf.DUMMYFUNCTION("""COMPUTED_VALUE"""),"")</f>
        <v/>
      </c>
      <c r="L302" s="36" t="str">
        <f ca="1">IFERROR(__xludf.DUMMYFUNCTION("""COMPUTED_VALUE"""),"")</f>
        <v/>
      </c>
      <c r="M302" s="36" t="str">
        <f ca="1">IFERROR(__xludf.DUMMYFUNCTION("""COMPUTED_VALUE"""),"")</f>
        <v/>
      </c>
      <c r="N302" s="36" t="str">
        <f ca="1">IFERROR(__xludf.DUMMYFUNCTION("""COMPUTED_VALUE"""),"")</f>
        <v/>
      </c>
      <c r="O302" s="36" t="str">
        <f ca="1">IFERROR(__xludf.DUMMYFUNCTION("""COMPUTED_VALUE"""),"")</f>
        <v/>
      </c>
      <c r="P302" s="36" t="str">
        <f ca="1">IFERROR(__xludf.DUMMYFUNCTION("""COMPUTED_VALUE"""),"")</f>
        <v/>
      </c>
      <c r="Q302" s="36" t="str">
        <f ca="1">IFERROR(__xludf.DUMMYFUNCTION("""COMPUTED_VALUE"""),"")</f>
        <v/>
      </c>
      <c r="R302" s="36" t="str">
        <f ca="1">IFERROR(__xludf.DUMMYFUNCTION("""COMPUTED_VALUE"""),"")</f>
        <v/>
      </c>
      <c r="S302" s="36" t="str">
        <f ca="1">IFERROR(__xludf.DUMMYFUNCTION("""COMPUTED_VALUE"""),"")</f>
        <v/>
      </c>
      <c r="T302" s="36" t="str">
        <f ca="1">IFERROR(__xludf.DUMMYFUNCTION("""COMPUTED_VALUE"""),"")</f>
        <v/>
      </c>
      <c r="U302" s="36" t="str">
        <f ca="1">IFERROR(__xludf.DUMMYFUNCTION("""COMPUTED_VALUE"""),"")</f>
        <v/>
      </c>
      <c r="V302" s="36" t="str">
        <f ca="1">IFERROR(__xludf.DUMMYFUNCTION("""COMPUTED_VALUE"""),"")</f>
        <v/>
      </c>
      <c r="W302" s="36" t="str">
        <f ca="1">IFERROR(__xludf.DUMMYFUNCTION("""COMPUTED_VALUE"""),"")</f>
        <v/>
      </c>
      <c r="X302" s="36"/>
      <c r="Y302" s="36"/>
      <c r="Z302" s="36"/>
    </row>
    <row r="303" spans="1:26" ht="12.75" hidden="1">
      <c r="A303" s="36" t="str">
        <f ca="1">IFERROR(__xludf.DUMMYFUNCTION("""COMPUTED_VALUE"""),"")</f>
        <v/>
      </c>
      <c r="B303" s="36" t="str">
        <f ca="1">IFERROR(__xludf.DUMMYFUNCTION("""COMPUTED_VALUE"""),"")</f>
        <v/>
      </c>
      <c r="C303" s="36" t="str">
        <f ca="1">IFERROR(__xludf.DUMMYFUNCTION("""COMPUTED_VALUE"""),"")</f>
        <v/>
      </c>
      <c r="D303" s="36" t="str">
        <f ca="1">IFERROR(__xludf.DUMMYFUNCTION("""COMPUTED_VALUE"""),"")</f>
        <v/>
      </c>
      <c r="E303" s="36" t="str">
        <f ca="1">IFERROR(__xludf.DUMMYFUNCTION("""COMPUTED_VALUE"""),"")</f>
        <v/>
      </c>
      <c r="F303" s="36" t="str">
        <f ca="1">IFERROR(__xludf.DUMMYFUNCTION("""COMPUTED_VALUE"""),"")</f>
        <v/>
      </c>
      <c r="G303" s="36" t="str">
        <f ca="1">IFERROR(__xludf.DUMMYFUNCTION("""COMPUTED_VALUE"""),"")</f>
        <v/>
      </c>
      <c r="H303" s="36" t="str">
        <f ca="1">IFERROR(__xludf.DUMMYFUNCTION("""COMPUTED_VALUE"""),"")</f>
        <v/>
      </c>
      <c r="I303" s="36" t="str">
        <f ca="1">IFERROR(__xludf.DUMMYFUNCTION("""COMPUTED_VALUE"""),"")</f>
        <v/>
      </c>
      <c r="J303" s="36" t="str">
        <f ca="1">IFERROR(__xludf.DUMMYFUNCTION("""COMPUTED_VALUE"""),"")</f>
        <v/>
      </c>
      <c r="K303" s="36" t="str">
        <f ca="1">IFERROR(__xludf.DUMMYFUNCTION("""COMPUTED_VALUE"""),"")</f>
        <v/>
      </c>
      <c r="L303" s="36" t="str">
        <f ca="1">IFERROR(__xludf.DUMMYFUNCTION("""COMPUTED_VALUE"""),"")</f>
        <v/>
      </c>
      <c r="M303" s="36" t="str">
        <f ca="1">IFERROR(__xludf.DUMMYFUNCTION("""COMPUTED_VALUE"""),"")</f>
        <v/>
      </c>
      <c r="N303" s="36" t="str">
        <f ca="1">IFERROR(__xludf.DUMMYFUNCTION("""COMPUTED_VALUE"""),"")</f>
        <v/>
      </c>
      <c r="O303" s="36" t="str">
        <f ca="1">IFERROR(__xludf.DUMMYFUNCTION("""COMPUTED_VALUE"""),"")</f>
        <v/>
      </c>
      <c r="P303" s="36" t="str">
        <f ca="1">IFERROR(__xludf.DUMMYFUNCTION("""COMPUTED_VALUE"""),"")</f>
        <v/>
      </c>
      <c r="Q303" s="36" t="str">
        <f ca="1">IFERROR(__xludf.DUMMYFUNCTION("""COMPUTED_VALUE"""),"")</f>
        <v/>
      </c>
      <c r="R303" s="36" t="str">
        <f ca="1">IFERROR(__xludf.DUMMYFUNCTION("""COMPUTED_VALUE"""),"")</f>
        <v/>
      </c>
      <c r="S303" s="36" t="str">
        <f ca="1">IFERROR(__xludf.DUMMYFUNCTION("""COMPUTED_VALUE"""),"")</f>
        <v/>
      </c>
      <c r="T303" s="36" t="str">
        <f ca="1">IFERROR(__xludf.DUMMYFUNCTION("""COMPUTED_VALUE"""),"")</f>
        <v/>
      </c>
      <c r="U303" s="36" t="str">
        <f ca="1">IFERROR(__xludf.DUMMYFUNCTION("""COMPUTED_VALUE"""),"")</f>
        <v/>
      </c>
      <c r="V303" s="36" t="str">
        <f ca="1">IFERROR(__xludf.DUMMYFUNCTION("""COMPUTED_VALUE"""),"")</f>
        <v/>
      </c>
      <c r="W303" s="36" t="str">
        <f ca="1">IFERROR(__xludf.DUMMYFUNCTION("""COMPUTED_VALUE"""),"")</f>
        <v/>
      </c>
      <c r="X303" s="36"/>
      <c r="Y303" s="36"/>
      <c r="Z303" s="36"/>
    </row>
    <row r="304" spans="1:26" ht="12.75" hidden="1">
      <c r="A304" s="36" t="str">
        <f ca="1">IFERROR(__xludf.DUMMYFUNCTION("""COMPUTED_VALUE"""),"")</f>
        <v/>
      </c>
      <c r="B304" s="36" t="str">
        <f ca="1">IFERROR(__xludf.DUMMYFUNCTION("""COMPUTED_VALUE"""),"")</f>
        <v/>
      </c>
      <c r="C304" s="36" t="str">
        <f ca="1">IFERROR(__xludf.DUMMYFUNCTION("""COMPUTED_VALUE"""),"")</f>
        <v/>
      </c>
      <c r="D304" s="36" t="str">
        <f ca="1">IFERROR(__xludf.DUMMYFUNCTION("""COMPUTED_VALUE"""),"")</f>
        <v/>
      </c>
      <c r="E304" s="36" t="str">
        <f ca="1">IFERROR(__xludf.DUMMYFUNCTION("""COMPUTED_VALUE"""),"")</f>
        <v/>
      </c>
      <c r="F304" s="36" t="str">
        <f ca="1">IFERROR(__xludf.DUMMYFUNCTION("""COMPUTED_VALUE"""),"")</f>
        <v/>
      </c>
      <c r="G304" s="36" t="str">
        <f ca="1">IFERROR(__xludf.DUMMYFUNCTION("""COMPUTED_VALUE"""),"")</f>
        <v/>
      </c>
      <c r="H304" s="36" t="str">
        <f ca="1">IFERROR(__xludf.DUMMYFUNCTION("""COMPUTED_VALUE"""),"")</f>
        <v/>
      </c>
      <c r="I304" s="36" t="str">
        <f ca="1">IFERROR(__xludf.DUMMYFUNCTION("""COMPUTED_VALUE"""),"")</f>
        <v/>
      </c>
      <c r="J304" s="36" t="str">
        <f ca="1">IFERROR(__xludf.DUMMYFUNCTION("""COMPUTED_VALUE"""),"")</f>
        <v/>
      </c>
      <c r="K304" s="36" t="str">
        <f ca="1">IFERROR(__xludf.DUMMYFUNCTION("""COMPUTED_VALUE"""),"")</f>
        <v/>
      </c>
      <c r="L304" s="36" t="str">
        <f ca="1">IFERROR(__xludf.DUMMYFUNCTION("""COMPUTED_VALUE"""),"")</f>
        <v/>
      </c>
      <c r="M304" s="36" t="str">
        <f ca="1">IFERROR(__xludf.DUMMYFUNCTION("""COMPUTED_VALUE"""),"")</f>
        <v/>
      </c>
      <c r="N304" s="36" t="str">
        <f ca="1">IFERROR(__xludf.DUMMYFUNCTION("""COMPUTED_VALUE"""),"")</f>
        <v/>
      </c>
      <c r="O304" s="36" t="str">
        <f ca="1">IFERROR(__xludf.DUMMYFUNCTION("""COMPUTED_VALUE"""),"")</f>
        <v/>
      </c>
      <c r="P304" s="36" t="str">
        <f ca="1">IFERROR(__xludf.DUMMYFUNCTION("""COMPUTED_VALUE"""),"")</f>
        <v/>
      </c>
      <c r="Q304" s="36" t="str">
        <f ca="1">IFERROR(__xludf.DUMMYFUNCTION("""COMPUTED_VALUE"""),"")</f>
        <v/>
      </c>
      <c r="R304" s="36" t="str">
        <f ca="1">IFERROR(__xludf.DUMMYFUNCTION("""COMPUTED_VALUE"""),"")</f>
        <v/>
      </c>
      <c r="S304" s="36" t="str">
        <f ca="1">IFERROR(__xludf.DUMMYFUNCTION("""COMPUTED_VALUE"""),"")</f>
        <v/>
      </c>
      <c r="T304" s="36" t="str">
        <f ca="1">IFERROR(__xludf.DUMMYFUNCTION("""COMPUTED_VALUE"""),"")</f>
        <v/>
      </c>
      <c r="U304" s="36" t="str">
        <f ca="1">IFERROR(__xludf.DUMMYFUNCTION("""COMPUTED_VALUE"""),"")</f>
        <v/>
      </c>
      <c r="V304" s="36" t="str">
        <f ca="1">IFERROR(__xludf.DUMMYFUNCTION("""COMPUTED_VALUE"""),"")</f>
        <v/>
      </c>
      <c r="W304" s="36" t="str">
        <f ca="1">IFERROR(__xludf.DUMMYFUNCTION("""COMPUTED_VALUE"""),"")</f>
        <v/>
      </c>
      <c r="X304" s="36"/>
      <c r="Y304" s="36"/>
      <c r="Z304" s="36"/>
    </row>
    <row r="305" spans="1:26" ht="12.75" hidden="1">
      <c r="A305" s="36" t="str">
        <f ca="1">IFERROR(__xludf.DUMMYFUNCTION("""COMPUTED_VALUE"""),"")</f>
        <v/>
      </c>
      <c r="B305" s="36" t="str">
        <f ca="1">IFERROR(__xludf.DUMMYFUNCTION("""COMPUTED_VALUE"""),"")</f>
        <v/>
      </c>
      <c r="C305" s="36" t="str">
        <f ca="1">IFERROR(__xludf.DUMMYFUNCTION("""COMPUTED_VALUE"""),"")</f>
        <v/>
      </c>
      <c r="D305" s="36" t="str">
        <f ca="1">IFERROR(__xludf.DUMMYFUNCTION("""COMPUTED_VALUE"""),"")</f>
        <v/>
      </c>
      <c r="E305" s="36" t="str">
        <f ca="1">IFERROR(__xludf.DUMMYFUNCTION("""COMPUTED_VALUE"""),"")</f>
        <v/>
      </c>
      <c r="F305" s="36" t="str">
        <f ca="1">IFERROR(__xludf.DUMMYFUNCTION("""COMPUTED_VALUE"""),"")</f>
        <v/>
      </c>
      <c r="G305" s="36" t="str">
        <f ca="1">IFERROR(__xludf.DUMMYFUNCTION("""COMPUTED_VALUE"""),"")</f>
        <v/>
      </c>
      <c r="H305" s="36" t="str">
        <f ca="1">IFERROR(__xludf.DUMMYFUNCTION("""COMPUTED_VALUE"""),"")</f>
        <v/>
      </c>
      <c r="I305" s="36" t="str">
        <f ca="1">IFERROR(__xludf.DUMMYFUNCTION("""COMPUTED_VALUE"""),"")</f>
        <v/>
      </c>
      <c r="J305" s="36" t="str">
        <f ca="1">IFERROR(__xludf.DUMMYFUNCTION("""COMPUTED_VALUE"""),"")</f>
        <v/>
      </c>
      <c r="K305" s="36" t="str">
        <f ca="1">IFERROR(__xludf.DUMMYFUNCTION("""COMPUTED_VALUE"""),"")</f>
        <v/>
      </c>
      <c r="L305" s="36" t="str">
        <f ca="1">IFERROR(__xludf.DUMMYFUNCTION("""COMPUTED_VALUE"""),"")</f>
        <v/>
      </c>
      <c r="M305" s="36" t="str">
        <f ca="1">IFERROR(__xludf.DUMMYFUNCTION("""COMPUTED_VALUE"""),"")</f>
        <v/>
      </c>
      <c r="N305" s="36" t="str">
        <f ca="1">IFERROR(__xludf.DUMMYFUNCTION("""COMPUTED_VALUE"""),"")</f>
        <v/>
      </c>
      <c r="O305" s="36" t="str">
        <f ca="1">IFERROR(__xludf.DUMMYFUNCTION("""COMPUTED_VALUE"""),"")</f>
        <v/>
      </c>
      <c r="P305" s="36" t="str">
        <f ca="1">IFERROR(__xludf.DUMMYFUNCTION("""COMPUTED_VALUE"""),"")</f>
        <v/>
      </c>
      <c r="Q305" s="36" t="str">
        <f ca="1">IFERROR(__xludf.DUMMYFUNCTION("""COMPUTED_VALUE"""),"")</f>
        <v/>
      </c>
      <c r="R305" s="36" t="str">
        <f ca="1">IFERROR(__xludf.DUMMYFUNCTION("""COMPUTED_VALUE"""),"")</f>
        <v/>
      </c>
      <c r="S305" s="36" t="str">
        <f ca="1">IFERROR(__xludf.DUMMYFUNCTION("""COMPUTED_VALUE"""),"")</f>
        <v/>
      </c>
      <c r="T305" s="36" t="str">
        <f ca="1">IFERROR(__xludf.DUMMYFUNCTION("""COMPUTED_VALUE"""),"")</f>
        <v/>
      </c>
      <c r="U305" s="36" t="str">
        <f ca="1">IFERROR(__xludf.DUMMYFUNCTION("""COMPUTED_VALUE"""),"")</f>
        <v/>
      </c>
      <c r="V305" s="36" t="str">
        <f ca="1">IFERROR(__xludf.DUMMYFUNCTION("""COMPUTED_VALUE"""),"")</f>
        <v/>
      </c>
      <c r="W305" s="36" t="str">
        <f ca="1">IFERROR(__xludf.DUMMYFUNCTION("""COMPUTED_VALUE"""),"")</f>
        <v/>
      </c>
      <c r="X305" s="36"/>
      <c r="Y305" s="36"/>
      <c r="Z305" s="36"/>
    </row>
    <row r="306" spans="1:26" ht="12.75" hidden="1">
      <c r="A306" s="36" t="str">
        <f ca="1">IFERROR(__xludf.DUMMYFUNCTION("""COMPUTED_VALUE"""),"")</f>
        <v/>
      </c>
      <c r="B306" s="36" t="str">
        <f ca="1">IFERROR(__xludf.DUMMYFUNCTION("""COMPUTED_VALUE"""),"")</f>
        <v/>
      </c>
      <c r="C306" s="36" t="str">
        <f ca="1">IFERROR(__xludf.DUMMYFUNCTION("""COMPUTED_VALUE"""),"")</f>
        <v/>
      </c>
      <c r="D306" s="36" t="str">
        <f ca="1">IFERROR(__xludf.DUMMYFUNCTION("""COMPUTED_VALUE"""),"")</f>
        <v/>
      </c>
      <c r="E306" s="36" t="str">
        <f ca="1">IFERROR(__xludf.DUMMYFUNCTION("""COMPUTED_VALUE"""),"")</f>
        <v/>
      </c>
      <c r="F306" s="36" t="str">
        <f ca="1">IFERROR(__xludf.DUMMYFUNCTION("""COMPUTED_VALUE"""),"")</f>
        <v/>
      </c>
      <c r="G306" s="36" t="str">
        <f ca="1">IFERROR(__xludf.DUMMYFUNCTION("""COMPUTED_VALUE"""),"")</f>
        <v/>
      </c>
      <c r="H306" s="36" t="str">
        <f ca="1">IFERROR(__xludf.DUMMYFUNCTION("""COMPUTED_VALUE"""),"")</f>
        <v/>
      </c>
      <c r="I306" s="36" t="str">
        <f ca="1">IFERROR(__xludf.DUMMYFUNCTION("""COMPUTED_VALUE"""),"")</f>
        <v/>
      </c>
      <c r="J306" s="36" t="str">
        <f ca="1">IFERROR(__xludf.DUMMYFUNCTION("""COMPUTED_VALUE"""),"")</f>
        <v/>
      </c>
      <c r="K306" s="36" t="str">
        <f ca="1">IFERROR(__xludf.DUMMYFUNCTION("""COMPUTED_VALUE"""),"")</f>
        <v/>
      </c>
      <c r="L306" s="36" t="str">
        <f ca="1">IFERROR(__xludf.DUMMYFUNCTION("""COMPUTED_VALUE"""),"")</f>
        <v/>
      </c>
      <c r="M306" s="36" t="str">
        <f ca="1">IFERROR(__xludf.DUMMYFUNCTION("""COMPUTED_VALUE"""),"")</f>
        <v/>
      </c>
      <c r="N306" s="36" t="str">
        <f ca="1">IFERROR(__xludf.DUMMYFUNCTION("""COMPUTED_VALUE"""),"")</f>
        <v/>
      </c>
      <c r="O306" s="36" t="str">
        <f ca="1">IFERROR(__xludf.DUMMYFUNCTION("""COMPUTED_VALUE"""),"")</f>
        <v/>
      </c>
      <c r="P306" s="36" t="str">
        <f ca="1">IFERROR(__xludf.DUMMYFUNCTION("""COMPUTED_VALUE"""),"")</f>
        <v/>
      </c>
      <c r="Q306" s="36" t="str">
        <f ca="1">IFERROR(__xludf.DUMMYFUNCTION("""COMPUTED_VALUE"""),"")</f>
        <v/>
      </c>
      <c r="R306" s="36" t="str">
        <f ca="1">IFERROR(__xludf.DUMMYFUNCTION("""COMPUTED_VALUE"""),"")</f>
        <v/>
      </c>
      <c r="S306" s="36" t="str">
        <f ca="1">IFERROR(__xludf.DUMMYFUNCTION("""COMPUTED_VALUE"""),"")</f>
        <v/>
      </c>
      <c r="T306" s="36" t="str">
        <f ca="1">IFERROR(__xludf.DUMMYFUNCTION("""COMPUTED_VALUE"""),"")</f>
        <v/>
      </c>
      <c r="U306" s="36" t="str">
        <f ca="1">IFERROR(__xludf.DUMMYFUNCTION("""COMPUTED_VALUE"""),"")</f>
        <v/>
      </c>
      <c r="V306" s="36" t="str">
        <f ca="1">IFERROR(__xludf.DUMMYFUNCTION("""COMPUTED_VALUE"""),"")</f>
        <v/>
      </c>
      <c r="W306" s="36" t="str">
        <f ca="1">IFERROR(__xludf.DUMMYFUNCTION("""COMPUTED_VALUE"""),"")</f>
        <v/>
      </c>
      <c r="X306" s="36"/>
      <c r="Y306" s="36"/>
      <c r="Z306" s="36"/>
    </row>
    <row r="307" spans="1:26" ht="12.75" hidden="1">
      <c r="A307" s="36" t="str">
        <f ca="1">IFERROR(__xludf.DUMMYFUNCTION("""COMPUTED_VALUE"""),"")</f>
        <v/>
      </c>
      <c r="B307" s="36" t="str">
        <f ca="1">IFERROR(__xludf.DUMMYFUNCTION("""COMPUTED_VALUE"""),"")</f>
        <v/>
      </c>
      <c r="C307" s="36" t="str">
        <f ca="1">IFERROR(__xludf.DUMMYFUNCTION("""COMPUTED_VALUE"""),"")</f>
        <v/>
      </c>
      <c r="D307" s="36" t="str">
        <f ca="1">IFERROR(__xludf.DUMMYFUNCTION("""COMPUTED_VALUE"""),"")</f>
        <v/>
      </c>
      <c r="E307" s="36" t="str">
        <f ca="1">IFERROR(__xludf.DUMMYFUNCTION("""COMPUTED_VALUE"""),"")</f>
        <v/>
      </c>
      <c r="F307" s="36" t="str">
        <f ca="1">IFERROR(__xludf.DUMMYFUNCTION("""COMPUTED_VALUE"""),"")</f>
        <v/>
      </c>
      <c r="G307" s="36" t="str">
        <f ca="1">IFERROR(__xludf.DUMMYFUNCTION("""COMPUTED_VALUE"""),"")</f>
        <v/>
      </c>
      <c r="H307" s="36" t="str">
        <f ca="1">IFERROR(__xludf.DUMMYFUNCTION("""COMPUTED_VALUE"""),"")</f>
        <v/>
      </c>
      <c r="I307" s="36" t="str">
        <f ca="1">IFERROR(__xludf.DUMMYFUNCTION("""COMPUTED_VALUE"""),"")</f>
        <v/>
      </c>
      <c r="J307" s="36" t="str">
        <f ca="1">IFERROR(__xludf.DUMMYFUNCTION("""COMPUTED_VALUE"""),"")</f>
        <v/>
      </c>
      <c r="K307" s="36" t="str">
        <f ca="1">IFERROR(__xludf.DUMMYFUNCTION("""COMPUTED_VALUE"""),"")</f>
        <v/>
      </c>
      <c r="L307" s="36" t="str">
        <f ca="1">IFERROR(__xludf.DUMMYFUNCTION("""COMPUTED_VALUE"""),"")</f>
        <v/>
      </c>
      <c r="M307" s="36" t="str">
        <f ca="1">IFERROR(__xludf.DUMMYFUNCTION("""COMPUTED_VALUE"""),"")</f>
        <v/>
      </c>
      <c r="N307" s="36" t="str">
        <f ca="1">IFERROR(__xludf.DUMMYFUNCTION("""COMPUTED_VALUE"""),"")</f>
        <v/>
      </c>
      <c r="O307" s="36" t="str">
        <f ca="1">IFERROR(__xludf.DUMMYFUNCTION("""COMPUTED_VALUE"""),"")</f>
        <v/>
      </c>
      <c r="P307" s="36" t="str">
        <f ca="1">IFERROR(__xludf.DUMMYFUNCTION("""COMPUTED_VALUE"""),"")</f>
        <v/>
      </c>
      <c r="Q307" s="36" t="str">
        <f ca="1">IFERROR(__xludf.DUMMYFUNCTION("""COMPUTED_VALUE"""),"")</f>
        <v/>
      </c>
      <c r="R307" s="36" t="str">
        <f ca="1">IFERROR(__xludf.DUMMYFUNCTION("""COMPUTED_VALUE"""),"")</f>
        <v/>
      </c>
      <c r="S307" s="36" t="str">
        <f ca="1">IFERROR(__xludf.DUMMYFUNCTION("""COMPUTED_VALUE"""),"")</f>
        <v/>
      </c>
      <c r="T307" s="36" t="str">
        <f ca="1">IFERROR(__xludf.DUMMYFUNCTION("""COMPUTED_VALUE"""),"")</f>
        <v/>
      </c>
      <c r="U307" s="36" t="str">
        <f ca="1">IFERROR(__xludf.DUMMYFUNCTION("""COMPUTED_VALUE"""),"")</f>
        <v/>
      </c>
      <c r="V307" s="36" t="str">
        <f ca="1">IFERROR(__xludf.DUMMYFUNCTION("""COMPUTED_VALUE"""),"")</f>
        <v/>
      </c>
      <c r="W307" s="36" t="str">
        <f ca="1">IFERROR(__xludf.DUMMYFUNCTION("""COMPUTED_VALUE"""),"")</f>
        <v/>
      </c>
      <c r="X307" s="36"/>
      <c r="Y307" s="36"/>
      <c r="Z307" s="36"/>
    </row>
    <row r="308" spans="1:26" ht="12.75" hidden="1">
      <c r="A308" s="36" t="str">
        <f ca="1">IFERROR(__xludf.DUMMYFUNCTION("""COMPUTED_VALUE"""),"")</f>
        <v/>
      </c>
      <c r="B308" s="36" t="str">
        <f ca="1">IFERROR(__xludf.DUMMYFUNCTION("""COMPUTED_VALUE"""),"")</f>
        <v/>
      </c>
      <c r="C308" s="36" t="str">
        <f ca="1">IFERROR(__xludf.DUMMYFUNCTION("""COMPUTED_VALUE"""),"")</f>
        <v/>
      </c>
      <c r="D308" s="36" t="str">
        <f ca="1">IFERROR(__xludf.DUMMYFUNCTION("""COMPUTED_VALUE"""),"")</f>
        <v/>
      </c>
      <c r="E308" s="36" t="str">
        <f ca="1">IFERROR(__xludf.DUMMYFUNCTION("""COMPUTED_VALUE"""),"")</f>
        <v/>
      </c>
      <c r="F308" s="36" t="str">
        <f ca="1">IFERROR(__xludf.DUMMYFUNCTION("""COMPUTED_VALUE"""),"")</f>
        <v/>
      </c>
      <c r="G308" s="36" t="str">
        <f ca="1">IFERROR(__xludf.DUMMYFUNCTION("""COMPUTED_VALUE"""),"")</f>
        <v/>
      </c>
      <c r="H308" s="36" t="str">
        <f ca="1">IFERROR(__xludf.DUMMYFUNCTION("""COMPUTED_VALUE"""),"")</f>
        <v/>
      </c>
      <c r="I308" s="36" t="str">
        <f ca="1">IFERROR(__xludf.DUMMYFUNCTION("""COMPUTED_VALUE"""),"")</f>
        <v/>
      </c>
      <c r="J308" s="36" t="str">
        <f ca="1">IFERROR(__xludf.DUMMYFUNCTION("""COMPUTED_VALUE"""),"")</f>
        <v/>
      </c>
      <c r="K308" s="36" t="str">
        <f ca="1">IFERROR(__xludf.DUMMYFUNCTION("""COMPUTED_VALUE"""),"")</f>
        <v/>
      </c>
      <c r="L308" s="36" t="str">
        <f ca="1">IFERROR(__xludf.DUMMYFUNCTION("""COMPUTED_VALUE"""),"")</f>
        <v/>
      </c>
      <c r="M308" s="36" t="str">
        <f ca="1">IFERROR(__xludf.DUMMYFUNCTION("""COMPUTED_VALUE"""),"")</f>
        <v/>
      </c>
      <c r="N308" s="36" t="str">
        <f ca="1">IFERROR(__xludf.DUMMYFUNCTION("""COMPUTED_VALUE"""),"")</f>
        <v/>
      </c>
      <c r="O308" s="36" t="str">
        <f ca="1">IFERROR(__xludf.DUMMYFUNCTION("""COMPUTED_VALUE"""),"")</f>
        <v/>
      </c>
      <c r="P308" s="36" t="str">
        <f ca="1">IFERROR(__xludf.DUMMYFUNCTION("""COMPUTED_VALUE"""),"")</f>
        <v/>
      </c>
      <c r="Q308" s="36" t="str">
        <f ca="1">IFERROR(__xludf.DUMMYFUNCTION("""COMPUTED_VALUE"""),"")</f>
        <v/>
      </c>
      <c r="R308" s="36" t="str">
        <f ca="1">IFERROR(__xludf.DUMMYFUNCTION("""COMPUTED_VALUE"""),"")</f>
        <v/>
      </c>
      <c r="S308" s="36" t="str">
        <f ca="1">IFERROR(__xludf.DUMMYFUNCTION("""COMPUTED_VALUE"""),"")</f>
        <v/>
      </c>
      <c r="T308" s="36" t="str">
        <f ca="1">IFERROR(__xludf.DUMMYFUNCTION("""COMPUTED_VALUE"""),"")</f>
        <v/>
      </c>
      <c r="U308" s="36" t="str">
        <f ca="1">IFERROR(__xludf.DUMMYFUNCTION("""COMPUTED_VALUE"""),"")</f>
        <v/>
      </c>
      <c r="V308" s="36" t="str">
        <f ca="1">IFERROR(__xludf.DUMMYFUNCTION("""COMPUTED_VALUE"""),"")</f>
        <v/>
      </c>
      <c r="W308" s="36" t="str">
        <f ca="1">IFERROR(__xludf.DUMMYFUNCTION("""COMPUTED_VALUE"""),"")</f>
        <v/>
      </c>
      <c r="X308" s="36"/>
      <c r="Y308" s="36"/>
      <c r="Z308" s="36"/>
    </row>
    <row r="309" spans="1:26" ht="12.75" hidden="1">
      <c r="A309" s="36" t="str">
        <f ca="1">IFERROR(__xludf.DUMMYFUNCTION("""COMPUTED_VALUE"""),"")</f>
        <v/>
      </c>
      <c r="B309" s="36" t="str">
        <f ca="1">IFERROR(__xludf.DUMMYFUNCTION("""COMPUTED_VALUE"""),"")</f>
        <v/>
      </c>
      <c r="C309" s="36" t="str">
        <f ca="1">IFERROR(__xludf.DUMMYFUNCTION("""COMPUTED_VALUE"""),"")</f>
        <v/>
      </c>
      <c r="D309" s="36" t="str">
        <f ca="1">IFERROR(__xludf.DUMMYFUNCTION("""COMPUTED_VALUE"""),"")</f>
        <v/>
      </c>
      <c r="E309" s="36" t="str">
        <f ca="1">IFERROR(__xludf.DUMMYFUNCTION("""COMPUTED_VALUE"""),"")</f>
        <v/>
      </c>
      <c r="F309" s="36" t="str">
        <f ca="1">IFERROR(__xludf.DUMMYFUNCTION("""COMPUTED_VALUE"""),"")</f>
        <v/>
      </c>
      <c r="G309" s="36" t="str">
        <f ca="1">IFERROR(__xludf.DUMMYFUNCTION("""COMPUTED_VALUE"""),"")</f>
        <v/>
      </c>
      <c r="H309" s="36" t="str">
        <f ca="1">IFERROR(__xludf.DUMMYFUNCTION("""COMPUTED_VALUE"""),"")</f>
        <v/>
      </c>
      <c r="I309" s="36" t="str">
        <f ca="1">IFERROR(__xludf.DUMMYFUNCTION("""COMPUTED_VALUE"""),"")</f>
        <v/>
      </c>
      <c r="J309" s="36" t="str">
        <f ca="1">IFERROR(__xludf.DUMMYFUNCTION("""COMPUTED_VALUE"""),"")</f>
        <v/>
      </c>
      <c r="K309" s="36" t="str">
        <f ca="1">IFERROR(__xludf.DUMMYFUNCTION("""COMPUTED_VALUE"""),"")</f>
        <v/>
      </c>
      <c r="L309" s="36" t="str">
        <f ca="1">IFERROR(__xludf.DUMMYFUNCTION("""COMPUTED_VALUE"""),"")</f>
        <v/>
      </c>
      <c r="M309" s="36" t="str">
        <f ca="1">IFERROR(__xludf.DUMMYFUNCTION("""COMPUTED_VALUE"""),"")</f>
        <v/>
      </c>
      <c r="N309" s="36" t="str">
        <f ca="1">IFERROR(__xludf.DUMMYFUNCTION("""COMPUTED_VALUE"""),"")</f>
        <v/>
      </c>
      <c r="O309" s="36" t="str">
        <f ca="1">IFERROR(__xludf.DUMMYFUNCTION("""COMPUTED_VALUE"""),"")</f>
        <v/>
      </c>
      <c r="P309" s="36" t="str">
        <f ca="1">IFERROR(__xludf.DUMMYFUNCTION("""COMPUTED_VALUE"""),"")</f>
        <v/>
      </c>
      <c r="Q309" s="36" t="str">
        <f ca="1">IFERROR(__xludf.DUMMYFUNCTION("""COMPUTED_VALUE"""),"")</f>
        <v/>
      </c>
      <c r="R309" s="36" t="str">
        <f ca="1">IFERROR(__xludf.DUMMYFUNCTION("""COMPUTED_VALUE"""),"")</f>
        <v/>
      </c>
      <c r="S309" s="36" t="str">
        <f ca="1">IFERROR(__xludf.DUMMYFUNCTION("""COMPUTED_VALUE"""),"")</f>
        <v/>
      </c>
      <c r="T309" s="36" t="str">
        <f ca="1">IFERROR(__xludf.DUMMYFUNCTION("""COMPUTED_VALUE"""),"")</f>
        <v/>
      </c>
      <c r="U309" s="36" t="str">
        <f ca="1">IFERROR(__xludf.DUMMYFUNCTION("""COMPUTED_VALUE"""),"")</f>
        <v/>
      </c>
      <c r="V309" s="36" t="str">
        <f ca="1">IFERROR(__xludf.DUMMYFUNCTION("""COMPUTED_VALUE"""),"")</f>
        <v/>
      </c>
      <c r="W309" s="36" t="str">
        <f ca="1">IFERROR(__xludf.DUMMYFUNCTION("""COMPUTED_VALUE"""),"")</f>
        <v/>
      </c>
      <c r="X309" s="36"/>
      <c r="Y309" s="36"/>
      <c r="Z309" s="36"/>
    </row>
    <row r="310" spans="1:26" ht="12.75" hidden="1">
      <c r="A310" s="36" t="str">
        <f ca="1">IFERROR(__xludf.DUMMYFUNCTION("""COMPUTED_VALUE"""),"")</f>
        <v/>
      </c>
      <c r="B310" s="36" t="str">
        <f ca="1">IFERROR(__xludf.DUMMYFUNCTION("""COMPUTED_VALUE"""),"")</f>
        <v/>
      </c>
      <c r="C310" s="36" t="str">
        <f ca="1">IFERROR(__xludf.DUMMYFUNCTION("""COMPUTED_VALUE"""),"")</f>
        <v/>
      </c>
      <c r="D310" s="36" t="str">
        <f ca="1">IFERROR(__xludf.DUMMYFUNCTION("""COMPUTED_VALUE"""),"")</f>
        <v/>
      </c>
      <c r="E310" s="36" t="str">
        <f ca="1">IFERROR(__xludf.DUMMYFUNCTION("""COMPUTED_VALUE"""),"")</f>
        <v/>
      </c>
      <c r="F310" s="36" t="str">
        <f ca="1">IFERROR(__xludf.DUMMYFUNCTION("""COMPUTED_VALUE"""),"")</f>
        <v/>
      </c>
      <c r="G310" s="36" t="str">
        <f ca="1">IFERROR(__xludf.DUMMYFUNCTION("""COMPUTED_VALUE"""),"")</f>
        <v/>
      </c>
      <c r="H310" s="36" t="str">
        <f ca="1">IFERROR(__xludf.DUMMYFUNCTION("""COMPUTED_VALUE"""),"")</f>
        <v/>
      </c>
      <c r="I310" s="36" t="str">
        <f ca="1">IFERROR(__xludf.DUMMYFUNCTION("""COMPUTED_VALUE"""),"")</f>
        <v/>
      </c>
      <c r="J310" s="36" t="str">
        <f ca="1">IFERROR(__xludf.DUMMYFUNCTION("""COMPUTED_VALUE"""),"")</f>
        <v/>
      </c>
      <c r="K310" s="36" t="str">
        <f ca="1">IFERROR(__xludf.DUMMYFUNCTION("""COMPUTED_VALUE"""),"")</f>
        <v/>
      </c>
      <c r="L310" s="36" t="str">
        <f ca="1">IFERROR(__xludf.DUMMYFUNCTION("""COMPUTED_VALUE"""),"")</f>
        <v/>
      </c>
      <c r="M310" s="36" t="str">
        <f ca="1">IFERROR(__xludf.DUMMYFUNCTION("""COMPUTED_VALUE"""),"")</f>
        <v/>
      </c>
      <c r="N310" s="36" t="str">
        <f ca="1">IFERROR(__xludf.DUMMYFUNCTION("""COMPUTED_VALUE"""),"")</f>
        <v/>
      </c>
      <c r="O310" s="36" t="str">
        <f ca="1">IFERROR(__xludf.DUMMYFUNCTION("""COMPUTED_VALUE"""),"")</f>
        <v/>
      </c>
      <c r="P310" s="36" t="str">
        <f ca="1">IFERROR(__xludf.DUMMYFUNCTION("""COMPUTED_VALUE"""),"")</f>
        <v/>
      </c>
      <c r="Q310" s="36" t="str">
        <f ca="1">IFERROR(__xludf.DUMMYFUNCTION("""COMPUTED_VALUE"""),"")</f>
        <v/>
      </c>
      <c r="R310" s="36" t="str">
        <f ca="1">IFERROR(__xludf.DUMMYFUNCTION("""COMPUTED_VALUE"""),"")</f>
        <v/>
      </c>
      <c r="S310" s="36" t="str">
        <f ca="1">IFERROR(__xludf.DUMMYFUNCTION("""COMPUTED_VALUE"""),"")</f>
        <v/>
      </c>
      <c r="T310" s="36" t="str">
        <f ca="1">IFERROR(__xludf.DUMMYFUNCTION("""COMPUTED_VALUE"""),"")</f>
        <v/>
      </c>
      <c r="U310" s="36" t="str">
        <f ca="1">IFERROR(__xludf.DUMMYFUNCTION("""COMPUTED_VALUE"""),"")</f>
        <v/>
      </c>
      <c r="V310" s="36" t="str">
        <f ca="1">IFERROR(__xludf.DUMMYFUNCTION("""COMPUTED_VALUE"""),"")</f>
        <v/>
      </c>
      <c r="W310" s="36" t="str">
        <f ca="1">IFERROR(__xludf.DUMMYFUNCTION("""COMPUTED_VALUE"""),"")</f>
        <v/>
      </c>
      <c r="X310" s="36"/>
      <c r="Y310" s="36"/>
      <c r="Z310" s="36"/>
    </row>
    <row r="311" spans="1:26" ht="12.75" hidden="1">
      <c r="A311" s="36" t="str">
        <f ca="1">IFERROR(__xludf.DUMMYFUNCTION("""COMPUTED_VALUE"""),"")</f>
        <v/>
      </c>
      <c r="B311" s="36" t="str">
        <f ca="1">IFERROR(__xludf.DUMMYFUNCTION("""COMPUTED_VALUE"""),"")</f>
        <v/>
      </c>
      <c r="C311" s="36" t="str">
        <f ca="1">IFERROR(__xludf.DUMMYFUNCTION("""COMPUTED_VALUE"""),"")</f>
        <v/>
      </c>
      <c r="D311" s="36" t="str">
        <f ca="1">IFERROR(__xludf.DUMMYFUNCTION("""COMPUTED_VALUE"""),"")</f>
        <v/>
      </c>
      <c r="E311" s="36" t="str">
        <f ca="1">IFERROR(__xludf.DUMMYFUNCTION("""COMPUTED_VALUE"""),"")</f>
        <v/>
      </c>
      <c r="F311" s="36" t="str">
        <f ca="1">IFERROR(__xludf.DUMMYFUNCTION("""COMPUTED_VALUE"""),"")</f>
        <v/>
      </c>
      <c r="G311" s="36" t="str">
        <f ca="1">IFERROR(__xludf.DUMMYFUNCTION("""COMPUTED_VALUE"""),"")</f>
        <v/>
      </c>
      <c r="H311" s="36" t="str">
        <f ca="1">IFERROR(__xludf.DUMMYFUNCTION("""COMPUTED_VALUE"""),"")</f>
        <v/>
      </c>
      <c r="I311" s="36" t="str">
        <f ca="1">IFERROR(__xludf.DUMMYFUNCTION("""COMPUTED_VALUE"""),"")</f>
        <v/>
      </c>
      <c r="J311" s="36" t="str">
        <f ca="1">IFERROR(__xludf.DUMMYFUNCTION("""COMPUTED_VALUE"""),"")</f>
        <v/>
      </c>
      <c r="K311" s="36" t="str">
        <f ca="1">IFERROR(__xludf.DUMMYFUNCTION("""COMPUTED_VALUE"""),"")</f>
        <v/>
      </c>
      <c r="L311" s="36" t="str">
        <f ca="1">IFERROR(__xludf.DUMMYFUNCTION("""COMPUTED_VALUE"""),"")</f>
        <v/>
      </c>
      <c r="M311" s="36" t="str">
        <f ca="1">IFERROR(__xludf.DUMMYFUNCTION("""COMPUTED_VALUE"""),"")</f>
        <v/>
      </c>
      <c r="N311" s="36" t="str">
        <f ca="1">IFERROR(__xludf.DUMMYFUNCTION("""COMPUTED_VALUE"""),"")</f>
        <v/>
      </c>
      <c r="O311" s="36" t="str">
        <f ca="1">IFERROR(__xludf.DUMMYFUNCTION("""COMPUTED_VALUE"""),"")</f>
        <v/>
      </c>
      <c r="P311" s="36" t="str">
        <f ca="1">IFERROR(__xludf.DUMMYFUNCTION("""COMPUTED_VALUE"""),"")</f>
        <v/>
      </c>
      <c r="Q311" s="36" t="str">
        <f ca="1">IFERROR(__xludf.DUMMYFUNCTION("""COMPUTED_VALUE"""),"")</f>
        <v/>
      </c>
      <c r="R311" s="36" t="str">
        <f ca="1">IFERROR(__xludf.DUMMYFUNCTION("""COMPUTED_VALUE"""),"")</f>
        <v/>
      </c>
      <c r="S311" s="36" t="str">
        <f ca="1">IFERROR(__xludf.DUMMYFUNCTION("""COMPUTED_VALUE"""),"")</f>
        <v/>
      </c>
      <c r="T311" s="36" t="str">
        <f ca="1">IFERROR(__xludf.DUMMYFUNCTION("""COMPUTED_VALUE"""),"")</f>
        <v/>
      </c>
      <c r="U311" s="36" t="str">
        <f ca="1">IFERROR(__xludf.DUMMYFUNCTION("""COMPUTED_VALUE"""),"")</f>
        <v/>
      </c>
      <c r="V311" s="36" t="str">
        <f ca="1">IFERROR(__xludf.DUMMYFUNCTION("""COMPUTED_VALUE"""),"")</f>
        <v/>
      </c>
      <c r="W311" s="36" t="str">
        <f ca="1">IFERROR(__xludf.DUMMYFUNCTION("""COMPUTED_VALUE"""),"")</f>
        <v/>
      </c>
      <c r="X311" s="36"/>
      <c r="Y311" s="36"/>
      <c r="Z311" s="36"/>
    </row>
    <row r="312" spans="1:26" ht="12.75" hidden="1">
      <c r="A312" s="36" t="str">
        <f ca="1">IFERROR(__xludf.DUMMYFUNCTION("""COMPUTED_VALUE"""),"")</f>
        <v/>
      </c>
      <c r="B312" s="36" t="str">
        <f ca="1">IFERROR(__xludf.DUMMYFUNCTION("""COMPUTED_VALUE"""),"")</f>
        <v/>
      </c>
      <c r="C312" s="36" t="str">
        <f ca="1">IFERROR(__xludf.DUMMYFUNCTION("""COMPUTED_VALUE"""),"")</f>
        <v/>
      </c>
      <c r="D312" s="36" t="str">
        <f ca="1">IFERROR(__xludf.DUMMYFUNCTION("""COMPUTED_VALUE"""),"")</f>
        <v/>
      </c>
      <c r="E312" s="36" t="str">
        <f ca="1">IFERROR(__xludf.DUMMYFUNCTION("""COMPUTED_VALUE"""),"")</f>
        <v/>
      </c>
      <c r="F312" s="36" t="str">
        <f ca="1">IFERROR(__xludf.DUMMYFUNCTION("""COMPUTED_VALUE"""),"")</f>
        <v/>
      </c>
      <c r="G312" s="36" t="str">
        <f ca="1">IFERROR(__xludf.DUMMYFUNCTION("""COMPUTED_VALUE"""),"")</f>
        <v/>
      </c>
      <c r="H312" s="36" t="str">
        <f ca="1">IFERROR(__xludf.DUMMYFUNCTION("""COMPUTED_VALUE"""),"")</f>
        <v/>
      </c>
      <c r="I312" s="36" t="str">
        <f ca="1">IFERROR(__xludf.DUMMYFUNCTION("""COMPUTED_VALUE"""),"")</f>
        <v/>
      </c>
      <c r="J312" s="36" t="str">
        <f ca="1">IFERROR(__xludf.DUMMYFUNCTION("""COMPUTED_VALUE"""),"")</f>
        <v/>
      </c>
      <c r="K312" s="36" t="str">
        <f ca="1">IFERROR(__xludf.DUMMYFUNCTION("""COMPUTED_VALUE"""),"")</f>
        <v/>
      </c>
      <c r="L312" s="36" t="str">
        <f ca="1">IFERROR(__xludf.DUMMYFUNCTION("""COMPUTED_VALUE"""),"")</f>
        <v/>
      </c>
      <c r="M312" s="36" t="str">
        <f ca="1">IFERROR(__xludf.DUMMYFUNCTION("""COMPUTED_VALUE"""),"")</f>
        <v/>
      </c>
      <c r="N312" s="36" t="str">
        <f ca="1">IFERROR(__xludf.DUMMYFUNCTION("""COMPUTED_VALUE"""),"")</f>
        <v/>
      </c>
      <c r="O312" s="36" t="str">
        <f ca="1">IFERROR(__xludf.DUMMYFUNCTION("""COMPUTED_VALUE"""),"")</f>
        <v/>
      </c>
      <c r="P312" s="36" t="str">
        <f ca="1">IFERROR(__xludf.DUMMYFUNCTION("""COMPUTED_VALUE"""),"")</f>
        <v/>
      </c>
      <c r="Q312" s="36" t="str">
        <f ca="1">IFERROR(__xludf.DUMMYFUNCTION("""COMPUTED_VALUE"""),"")</f>
        <v/>
      </c>
      <c r="R312" s="36" t="str">
        <f ca="1">IFERROR(__xludf.DUMMYFUNCTION("""COMPUTED_VALUE"""),"")</f>
        <v/>
      </c>
      <c r="S312" s="36" t="str">
        <f ca="1">IFERROR(__xludf.DUMMYFUNCTION("""COMPUTED_VALUE"""),"")</f>
        <v/>
      </c>
      <c r="T312" s="36" t="str">
        <f ca="1">IFERROR(__xludf.DUMMYFUNCTION("""COMPUTED_VALUE"""),"")</f>
        <v/>
      </c>
      <c r="U312" s="36" t="str">
        <f ca="1">IFERROR(__xludf.DUMMYFUNCTION("""COMPUTED_VALUE"""),"")</f>
        <v/>
      </c>
      <c r="V312" s="36" t="str">
        <f ca="1">IFERROR(__xludf.DUMMYFUNCTION("""COMPUTED_VALUE"""),"")</f>
        <v/>
      </c>
      <c r="W312" s="36" t="str">
        <f ca="1">IFERROR(__xludf.DUMMYFUNCTION("""COMPUTED_VALUE"""),"")</f>
        <v/>
      </c>
      <c r="X312" s="36"/>
      <c r="Y312" s="36"/>
      <c r="Z312" s="36"/>
    </row>
    <row r="313" spans="1:26" ht="12.75" hidden="1">
      <c r="A313" s="36" t="str">
        <f ca="1">IFERROR(__xludf.DUMMYFUNCTION("""COMPUTED_VALUE"""),"")</f>
        <v/>
      </c>
      <c r="B313" s="36" t="str">
        <f ca="1">IFERROR(__xludf.DUMMYFUNCTION("""COMPUTED_VALUE"""),"")</f>
        <v/>
      </c>
      <c r="C313" s="36" t="str">
        <f ca="1">IFERROR(__xludf.DUMMYFUNCTION("""COMPUTED_VALUE"""),"")</f>
        <v/>
      </c>
      <c r="D313" s="36" t="str">
        <f ca="1">IFERROR(__xludf.DUMMYFUNCTION("""COMPUTED_VALUE"""),"")</f>
        <v/>
      </c>
      <c r="E313" s="36" t="str">
        <f ca="1">IFERROR(__xludf.DUMMYFUNCTION("""COMPUTED_VALUE"""),"")</f>
        <v/>
      </c>
      <c r="F313" s="36" t="str">
        <f ca="1">IFERROR(__xludf.DUMMYFUNCTION("""COMPUTED_VALUE"""),"")</f>
        <v/>
      </c>
      <c r="G313" s="36" t="str">
        <f ca="1">IFERROR(__xludf.DUMMYFUNCTION("""COMPUTED_VALUE"""),"")</f>
        <v/>
      </c>
      <c r="H313" s="36" t="str">
        <f ca="1">IFERROR(__xludf.DUMMYFUNCTION("""COMPUTED_VALUE"""),"")</f>
        <v/>
      </c>
      <c r="I313" s="36" t="str">
        <f ca="1">IFERROR(__xludf.DUMMYFUNCTION("""COMPUTED_VALUE"""),"")</f>
        <v/>
      </c>
      <c r="J313" s="36" t="str">
        <f ca="1">IFERROR(__xludf.DUMMYFUNCTION("""COMPUTED_VALUE"""),"")</f>
        <v/>
      </c>
      <c r="K313" s="36" t="str">
        <f ca="1">IFERROR(__xludf.DUMMYFUNCTION("""COMPUTED_VALUE"""),"")</f>
        <v/>
      </c>
      <c r="L313" s="36" t="str">
        <f ca="1">IFERROR(__xludf.DUMMYFUNCTION("""COMPUTED_VALUE"""),"")</f>
        <v/>
      </c>
      <c r="M313" s="36" t="str">
        <f ca="1">IFERROR(__xludf.DUMMYFUNCTION("""COMPUTED_VALUE"""),"")</f>
        <v/>
      </c>
      <c r="N313" s="36" t="str">
        <f ca="1">IFERROR(__xludf.DUMMYFUNCTION("""COMPUTED_VALUE"""),"")</f>
        <v/>
      </c>
      <c r="O313" s="36" t="str">
        <f ca="1">IFERROR(__xludf.DUMMYFUNCTION("""COMPUTED_VALUE"""),"")</f>
        <v/>
      </c>
      <c r="P313" s="36" t="str">
        <f ca="1">IFERROR(__xludf.DUMMYFUNCTION("""COMPUTED_VALUE"""),"")</f>
        <v/>
      </c>
      <c r="Q313" s="36" t="str">
        <f ca="1">IFERROR(__xludf.DUMMYFUNCTION("""COMPUTED_VALUE"""),"")</f>
        <v/>
      </c>
      <c r="R313" s="36" t="str">
        <f ca="1">IFERROR(__xludf.DUMMYFUNCTION("""COMPUTED_VALUE"""),"")</f>
        <v/>
      </c>
      <c r="S313" s="36" t="str">
        <f ca="1">IFERROR(__xludf.DUMMYFUNCTION("""COMPUTED_VALUE"""),"")</f>
        <v/>
      </c>
      <c r="T313" s="36" t="str">
        <f ca="1">IFERROR(__xludf.DUMMYFUNCTION("""COMPUTED_VALUE"""),"")</f>
        <v/>
      </c>
      <c r="U313" s="36" t="str">
        <f ca="1">IFERROR(__xludf.DUMMYFUNCTION("""COMPUTED_VALUE"""),"")</f>
        <v/>
      </c>
      <c r="V313" s="36" t="str">
        <f ca="1">IFERROR(__xludf.DUMMYFUNCTION("""COMPUTED_VALUE"""),"")</f>
        <v/>
      </c>
      <c r="W313" s="36" t="str">
        <f ca="1">IFERROR(__xludf.DUMMYFUNCTION("""COMPUTED_VALUE"""),"")</f>
        <v/>
      </c>
      <c r="X313" s="36"/>
      <c r="Y313" s="36"/>
      <c r="Z313" s="36"/>
    </row>
    <row r="314" spans="1:26" ht="12.75" hidden="1">
      <c r="A314" s="36" t="str">
        <f ca="1">IFERROR(__xludf.DUMMYFUNCTION("""COMPUTED_VALUE"""),"")</f>
        <v/>
      </c>
      <c r="B314" s="36" t="str">
        <f ca="1">IFERROR(__xludf.DUMMYFUNCTION("""COMPUTED_VALUE"""),"")</f>
        <v/>
      </c>
      <c r="C314" s="36" t="str">
        <f ca="1">IFERROR(__xludf.DUMMYFUNCTION("""COMPUTED_VALUE"""),"")</f>
        <v/>
      </c>
      <c r="D314" s="36" t="str">
        <f ca="1">IFERROR(__xludf.DUMMYFUNCTION("""COMPUTED_VALUE"""),"")</f>
        <v/>
      </c>
      <c r="E314" s="36" t="str">
        <f ca="1">IFERROR(__xludf.DUMMYFUNCTION("""COMPUTED_VALUE"""),"")</f>
        <v/>
      </c>
      <c r="F314" s="36" t="str">
        <f ca="1">IFERROR(__xludf.DUMMYFUNCTION("""COMPUTED_VALUE"""),"")</f>
        <v/>
      </c>
      <c r="G314" s="36" t="str">
        <f ca="1">IFERROR(__xludf.DUMMYFUNCTION("""COMPUTED_VALUE"""),"")</f>
        <v/>
      </c>
      <c r="H314" s="36" t="str">
        <f ca="1">IFERROR(__xludf.DUMMYFUNCTION("""COMPUTED_VALUE"""),"")</f>
        <v/>
      </c>
      <c r="I314" s="36" t="str">
        <f ca="1">IFERROR(__xludf.DUMMYFUNCTION("""COMPUTED_VALUE"""),"")</f>
        <v/>
      </c>
      <c r="J314" s="36" t="str">
        <f ca="1">IFERROR(__xludf.DUMMYFUNCTION("""COMPUTED_VALUE"""),"")</f>
        <v/>
      </c>
      <c r="K314" s="36" t="str">
        <f ca="1">IFERROR(__xludf.DUMMYFUNCTION("""COMPUTED_VALUE"""),"")</f>
        <v/>
      </c>
      <c r="L314" s="36" t="str">
        <f ca="1">IFERROR(__xludf.DUMMYFUNCTION("""COMPUTED_VALUE"""),"")</f>
        <v/>
      </c>
      <c r="M314" s="36" t="str">
        <f ca="1">IFERROR(__xludf.DUMMYFUNCTION("""COMPUTED_VALUE"""),"")</f>
        <v/>
      </c>
      <c r="N314" s="36" t="str">
        <f ca="1">IFERROR(__xludf.DUMMYFUNCTION("""COMPUTED_VALUE"""),"")</f>
        <v/>
      </c>
      <c r="O314" s="36" t="str">
        <f ca="1">IFERROR(__xludf.DUMMYFUNCTION("""COMPUTED_VALUE"""),"")</f>
        <v/>
      </c>
      <c r="P314" s="36" t="str">
        <f ca="1">IFERROR(__xludf.DUMMYFUNCTION("""COMPUTED_VALUE"""),"")</f>
        <v/>
      </c>
      <c r="Q314" s="36" t="str">
        <f ca="1">IFERROR(__xludf.DUMMYFUNCTION("""COMPUTED_VALUE"""),"")</f>
        <v/>
      </c>
      <c r="R314" s="36" t="str">
        <f ca="1">IFERROR(__xludf.DUMMYFUNCTION("""COMPUTED_VALUE"""),"")</f>
        <v/>
      </c>
      <c r="S314" s="36" t="str">
        <f ca="1">IFERROR(__xludf.DUMMYFUNCTION("""COMPUTED_VALUE"""),"")</f>
        <v/>
      </c>
      <c r="T314" s="36" t="str">
        <f ca="1">IFERROR(__xludf.DUMMYFUNCTION("""COMPUTED_VALUE"""),"")</f>
        <v/>
      </c>
      <c r="U314" s="36" t="str">
        <f ca="1">IFERROR(__xludf.DUMMYFUNCTION("""COMPUTED_VALUE"""),"")</f>
        <v/>
      </c>
      <c r="V314" s="36" t="str">
        <f ca="1">IFERROR(__xludf.DUMMYFUNCTION("""COMPUTED_VALUE"""),"")</f>
        <v/>
      </c>
      <c r="W314" s="36" t="str">
        <f ca="1">IFERROR(__xludf.DUMMYFUNCTION("""COMPUTED_VALUE"""),"")</f>
        <v/>
      </c>
      <c r="X314" s="36"/>
      <c r="Y314" s="36"/>
      <c r="Z314" s="36"/>
    </row>
    <row r="315" spans="1:26" ht="12.75" hidden="1">
      <c r="A315" s="36" t="str">
        <f ca="1">IFERROR(__xludf.DUMMYFUNCTION("""COMPUTED_VALUE"""),"")</f>
        <v/>
      </c>
      <c r="B315" s="36" t="str">
        <f ca="1">IFERROR(__xludf.DUMMYFUNCTION("""COMPUTED_VALUE"""),"")</f>
        <v/>
      </c>
      <c r="C315" s="36" t="str">
        <f ca="1">IFERROR(__xludf.DUMMYFUNCTION("""COMPUTED_VALUE"""),"")</f>
        <v/>
      </c>
      <c r="D315" s="36" t="str">
        <f ca="1">IFERROR(__xludf.DUMMYFUNCTION("""COMPUTED_VALUE"""),"")</f>
        <v/>
      </c>
      <c r="E315" s="36" t="str">
        <f ca="1">IFERROR(__xludf.DUMMYFUNCTION("""COMPUTED_VALUE"""),"")</f>
        <v/>
      </c>
      <c r="F315" s="36" t="str">
        <f ca="1">IFERROR(__xludf.DUMMYFUNCTION("""COMPUTED_VALUE"""),"")</f>
        <v/>
      </c>
      <c r="G315" s="36" t="str">
        <f ca="1">IFERROR(__xludf.DUMMYFUNCTION("""COMPUTED_VALUE"""),"")</f>
        <v/>
      </c>
      <c r="H315" s="36" t="str">
        <f ca="1">IFERROR(__xludf.DUMMYFUNCTION("""COMPUTED_VALUE"""),"")</f>
        <v/>
      </c>
      <c r="I315" s="36" t="str">
        <f ca="1">IFERROR(__xludf.DUMMYFUNCTION("""COMPUTED_VALUE"""),"")</f>
        <v/>
      </c>
      <c r="J315" s="36" t="str">
        <f ca="1">IFERROR(__xludf.DUMMYFUNCTION("""COMPUTED_VALUE"""),"")</f>
        <v/>
      </c>
      <c r="K315" s="36" t="str">
        <f ca="1">IFERROR(__xludf.DUMMYFUNCTION("""COMPUTED_VALUE"""),"")</f>
        <v/>
      </c>
      <c r="L315" s="36" t="str">
        <f ca="1">IFERROR(__xludf.DUMMYFUNCTION("""COMPUTED_VALUE"""),"")</f>
        <v/>
      </c>
      <c r="M315" s="36" t="str">
        <f ca="1">IFERROR(__xludf.DUMMYFUNCTION("""COMPUTED_VALUE"""),"")</f>
        <v/>
      </c>
      <c r="N315" s="36" t="str">
        <f ca="1">IFERROR(__xludf.DUMMYFUNCTION("""COMPUTED_VALUE"""),"")</f>
        <v/>
      </c>
      <c r="O315" s="36" t="str">
        <f ca="1">IFERROR(__xludf.DUMMYFUNCTION("""COMPUTED_VALUE"""),"")</f>
        <v/>
      </c>
      <c r="P315" s="36" t="str">
        <f ca="1">IFERROR(__xludf.DUMMYFUNCTION("""COMPUTED_VALUE"""),"")</f>
        <v/>
      </c>
      <c r="Q315" s="36" t="str">
        <f ca="1">IFERROR(__xludf.DUMMYFUNCTION("""COMPUTED_VALUE"""),"")</f>
        <v/>
      </c>
      <c r="R315" s="36" t="str">
        <f ca="1">IFERROR(__xludf.DUMMYFUNCTION("""COMPUTED_VALUE"""),"")</f>
        <v/>
      </c>
      <c r="S315" s="36" t="str">
        <f ca="1">IFERROR(__xludf.DUMMYFUNCTION("""COMPUTED_VALUE"""),"")</f>
        <v/>
      </c>
      <c r="T315" s="36" t="str">
        <f ca="1">IFERROR(__xludf.DUMMYFUNCTION("""COMPUTED_VALUE"""),"")</f>
        <v/>
      </c>
      <c r="U315" s="36" t="str">
        <f ca="1">IFERROR(__xludf.DUMMYFUNCTION("""COMPUTED_VALUE"""),"")</f>
        <v/>
      </c>
      <c r="V315" s="36" t="str">
        <f ca="1">IFERROR(__xludf.DUMMYFUNCTION("""COMPUTED_VALUE"""),"")</f>
        <v/>
      </c>
      <c r="W315" s="36" t="str">
        <f ca="1">IFERROR(__xludf.DUMMYFUNCTION("""COMPUTED_VALUE"""),"")</f>
        <v/>
      </c>
      <c r="X315" s="36"/>
      <c r="Y315" s="36"/>
      <c r="Z315" s="36"/>
    </row>
    <row r="316" spans="1:26" ht="12.75" hidden="1">
      <c r="A316" s="36" t="str">
        <f ca="1">IFERROR(__xludf.DUMMYFUNCTION("""COMPUTED_VALUE"""),"")</f>
        <v/>
      </c>
      <c r="B316" s="36" t="str">
        <f ca="1">IFERROR(__xludf.DUMMYFUNCTION("""COMPUTED_VALUE"""),"")</f>
        <v/>
      </c>
      <c r="C316" s="36" t="str">
        <f ca="1">IFERROR(__xludf.DUMMYFUNCTION("""COMPUTED_VALUE"""),"")</f>
        <v/>
      </c>
      <c r="D316" s="36" t="str">
        <f ca="1">IFERROR(__xludf.DUMMYFUNCTION("""COMPUTED_VALUE"""),"")</f>
        <v/>
      </c>
      <c r="E316" s="36" t="str">
        <f ca="1">IFERROR(__xludf.DUMMYFUNCTION("""COMPUTED_VALUE"""),"")</f>
        <v/>
      </c>
      <c r="F316" s="36" t="str">
        <f ca="1">IFERROR(__xludf.DUMMYFUNCTION("""COMPUTED_VALUE"""),"")</f>
        <v/>
      </c>
      <c r="G316" s="36" t="str">
        <f ca="1">IFERROR(__xludf.DUMMYFUNCTION("""COMPUTED_VALUE"""),"")</f>
        <v/>
      </c>
      <c r="H316" s="36" t="str">
        <f ca="1">IFERROR(__xludf.DUMMYFUNCTION("""COMPUTED_VALUE"""),"")</f>
        <v/>
      </c>
      <c r="I316" s="36" t="str">
        <f ca="1">IFERROR(__xludf.DUMMYFUNCTION("""COMPUTED_VALUE"""),"")</f>
        <v/>
      </c>
      <c r="J316" s="36" t="str">
        <f ca="1">IFERROR(__xludf.DUMMYFUNCTION("""COMPUTED_VALUE"""),"")</f>
        <v/>
      </c>
      <c r="K316" s="36" t="str">
        <f ca="1">IFERROR(__xludf.DUMMYFUNCTION("""COMPUTED_VALUE"""),"")</f>
        <v/>
      </c>
      <c r="L316" s="36" t="str">
        <f ca="1">IFERROR(__xludf.DUMMYFUNCTION("""COMPUTED_VALUE"""),"")</f>
        <v/>
      </c>
      <c r="M316" s="36" t="str">
        <f ca="1">IFERROR(__xludf.DUMMYFUNCTION("""COMPUTED_VALUE"""),"")</f>
        <v/>
      </c>
      <c r="N316" s="36" t="str">
        <f ca="1">IFERROR(__xludf.DUMMYFUNCTION("""COMPUTED_VALUE"""),"")</f>
        <v/>
      </c>
      <c r="O316" s="36" t="str">
        <f ca="1">IFERROR(__xludf.DUMMYFUNCTION("""COMPUTED_VALUE"""),"")</f>
        <v/>
      </c>
      <c r="P316" s="36" t="str">
        <f ca="1">IFERROR(__xludf.DUMMYFUNCTION("""COMPUTED_VALUE"""),"")</f>
        <v/>
      </c>
      <c r="Q316" s="36" t="str">
        <f ca="1">IFERROR(__xludf.DUMMYFUNCTION("""COMPUTED_VALUE"""),"")</f>
        <v/>
      </c>
      <c r="R316" s="36" t="str">
        <f ca="1">IFERROR(__xludf.DUMMYFUNCTION("""COMPUTED_VALUE"""),"")</f>
        <v/>
      </c>
      <c r="S316" s="36" t="str">
        <f ca="1">IFERROR(__xludf.DUMMYFUNCTION("""COMPUTED_VALUE"""),"")</f>
        <v/>
      </c>
      <c r="T316" s="36" t="str">
        <f ca="1">IFERROR(__xludf.DUMMYFUNCTION("""COMPUTED_VALUE"""),"")</f>
        <v/>
      </c>
      <c r="U316" s="36" t="str">
        <f ca="1">IFERROR(__xludf.DUMMYFUNCTION("""COMPUTED_VALUE"""),"")</f>
        <v/>
      </c>
      <c r="V316" s="36" t="str">
        <f ca="1">IFERROR(__xludf.DUMMYFUNCTION("""COMPUTED_VALUE"""),"")</f>
        <v/>
      </c>
      <c r="W316" s="36" t="str">
        <f ca="1">IFERROR(__xludf.DUMMYFUNCTION("""COMPUTED_VALUE"""),"")</f>
        <v/>
      </c>
      <c r="X316" s="36"/>
      <c r="Y316" s="36"/>
      <c r="Z316" s="36"/>
    </row>
    <row r="317" spans="1:26" ht="12.75" hidden="1">
      <c r="A317" s="36" t="str">
        <f ca="1">IFERROR(__xludf.DUMMYFUNCTION("""COMPUTED_VALUE"""),"")</f>
        <v/>
      </c>
      <c r="B317" s="36" t="str">
        <f ca="1">IFERROR(__xludf.DUMMYFUNCTION("""COMPUTED_VALUE"""),"")</f>
        <v/>
      </c>
      <c r="C317" s="36" t="str">
        <f ca="1">IFERROR(__xludf.DUMMYFUNCTION("""COMPUTED_VALUE"""),"")</f>
        <v/>
      </c>
      <c r="D317" s="36" t="str">
        <f ca="1">IFERROR(__xludf.DUMMYFUNCTION("""COMPUTED_VALUE"""),"")</f>
        <v/>
      </c>
      <c r="E317" s="36" t="str">
        <f ca="1">IFERROR(__xludf.DUMMYFUNCTION("""COMPUTED_VALUE"""),"")</f>
        <v/>
      </c>
      <c r="F317" s="36" t="str">
        <f ca="1">IFERROR(__xludf.DUMMYFUNCTION("""COMPUTED_VALUE"""),"")</f>
        <v/>
      </c>
      <c r="G317" s="36" t="str">
        <f ca="1">IFERROR(__xludf.DUMMYFUNCTION("""COMPUTED_VALUE"""),"")</f>
        <v/>
      </c>
      <c r="H317" s="36" t="str">
        <f ca="1">IFERROR(__xludf.DUMMYFUNCTION("""COMPUTED_VALUE"""),"")</f>
        <v/>
      </c>
      <c r="I317" s="36" t="str">
        <f ca="1">IFERROR(__xludf.DUMMYFUNCTION("""COMPUTED_VALUE"""),"")</f>
        <v/>
      </c>
      <c r="J317" s="36" t="str">
        <f ca="1">IFERROR(__xludf.DUMMYFUNCTION("""COMPUTED_VALUE"""),"")</f>
        <v/>
      </c>
      <c r="K317" s="36" t="str">
        <f ca="1">IFERROR(__xludf.DUMMYFUNCTION("""COMPUTED_VALUE"""),"")</f>
        <v/>
      </c>
      <c r="L317" s="36" t="str">
        <f ca="1">IFERROR(__xludf.DUMMYFUNCTION("""COMPUTED_VALUE"""),"")</f>
        <v/>
      </c>
      <c r="M317" s="36" t="str">
        <f ca="1">IFERROR(__xludf.DUMMYFUNCTION("""COMPUTED_VALUE"""),"")</f>
        <v/>
      </c>
      <c r="N317" s="36" t="str">
        <f ca="1">IFERROR(__xludf.DUMMYFUNCTION("""COMPUTED_VALUE"""),"")</f>
        <v/>
      </c>
      <c r="O317" s="36" t="str">
        <f ca="1">IFERROR(__xludf.DUMMYFUNCTION("""COMPUTED_VALUE"""),"")</f>
        <v/>
      </c>
      <c r="P317" s="36" t="str">
        <f ca="1">IFERROR(__xludf.DUMMYFUNCTION("""COMPUTED_VALUE"""),"")</f>
        <v/>
      </c>
      <c r="Q317" s="36" t="str">
        <f ca="1">IFERROR(__xludf.DUMMYFUNCTION("""COMPUTED_VALUE"""),"")</f>
        <v/>
      </c>
      <c r="R317" s="36" t="str">
        <f ca="1">IFERROR(__xludf.DUMMYFUNCTION("""COMPUTED_VALUE"""),"")</f>
        <v/>
      </c>
      <c r="S317" s="36" t="str">
        <f ca="1">IFERROR(__xludf.DUMMYFUNCTION("""COMPUTED_VALUE"""),"")</f>
        <v/>
      </c>
      <c r="T317" s="36" t="str">
        <f ca="1">IFERROR(__xludf.DUMMYFUNCTION("""COMPUTED_VALUE"""),"")</f>
        <v/>
      </c>
      <c r="U317" s="36" t="str">
        <f ca="1">IFERROR(__xludf.DUMMYFUNCTION("""COMPUTED_VALUE"""),"")</f>
        <v/>
      </c>
      <c r="V317" s="36" t="str">
        <f ca="1">IFERROR(__xludf.DUMMYFUNCTION("""COMPUTED_VALUE"""),"")</f>
        <v/>
      </c>
      <c r="W317" s="36" t="str">
        <f ca="1">IFERROR(__xludf.DUMMYFUNCTION("""COMPUTED_VALUE"""),"")</f>
        <v/>
      </c>
      <c r="X317" s="36"/>
      <c r="Y317" s="36"/>
      <c r="Z317" s="36"/>
    </row>
    <row r="318" spans="1:26" ht="12.75" hidden="1">
      <c r="A318" s="36" t="str">
        <f ca="1">IFERROR(__xludf.DUMMYFUNCTION("""COMPUTED_VALUE"""),"")</f>
        <v/>
      </c>
      <c r="B318" s="36" t="str">
        <f ca="1">IFERROR(__xludf.DUMMYFUNCTION("""COMPUTED_VALUE"""),"")</f>
        <v/>
      </c>
      <c r="C318" s="36" t="str">
        <f ca="1">IFERROR(__xludf.DUMMYFUNCTION("""COMPUTED_VALUE"""),"")</f>
        <v/>
      </c>
      <c r="D318" s="36" t="str">
        <f ca="1">IFERROR(__xludf.DUMMYFUNCTION("""COMPUTED_VALUE"""),"")</f>
        <v/>
      </c>
      <c r="E318" s="36" t="str">
        <f ca="1">IFERROR(__xludf.DUMMYFUNCTION("""COMPUTED_VALUE"""),"")</f>
        <v/>
      </c>
      <c r="F318" s="36" t="str">
        <f ca="1">IFERROR(__xludf.DUMMYFUNCTION("""COMPUTED_VALUE"""),"")</f>
        <v/>
      </c>
      <c r="G318" s="36" t="str">
        <f ca="1">IFERROR(__xludf.DUMMYFUNCTION("""COMPUTED_VALUE"""),"")</f>
        <v/>
      </c>
      <c r="H318" s="36" t="str">
        <f ca="1">IFERROR(__xludf.DUMMYFUNCTION("""COMPUTED_VALUE"""),"")</f>
        <v/>
      </c>
      <c r="I318" s="36" t="str">
        <f ca="1">IFERROR(__xludf.DUMMYFUNCTION("""COMPUTED_VALUE"""),"")</f>
        <v/>
      </c>
      <c r="J318" s="36" t="str">
        <f ca="1">IFERROR(__xludf.DUMMYFUNCTION("""COMPUTED_VALUE"""),"")</f>
        <v/>
      </c>
      <c r="K318" s="36" t="str">
        <f ca="1">IFERROR(__xludf.DUMMYFUNCTION("""COMPUTED_VALUE"""),"")</f>
        <v/>
      </c>
      <c r="L318" s="36" t="str">
        <f ca="1">IFERROR(__xludf.DUMMYFUNCTION("""COMPUTED_VALUE"""),"")</f>
        <v/>
      </c>
      <c r="M318" s="36" t="str">
        <f ca="1">IFERROR(__xludf.DUMMYFUNCTION("""COMPUTED_VALUE"""),"")</f>
        <v/>
      </c>
      <c r="N318" s="36" t="str">
        <f ca="1">IFERROR(__xludf.DUMMYFUNCTION("""COMPUTED_VALUE"""),"")</f>
        <v/>
      </c>
      <c r="O318" s="36" t="str">
        <f ca="1">IFERROR(__xludf.DUMMYFUNCTION("""COMPUTED_VALUE"""),"")</f>
        <v/>
      </c>
      <c r="P318" s="36" t="str">
        <f ca="1">IFERROR(__xludf.DUMMYFUNCTION("""COMPUTED_VALUE"""),"")</f>
        <v/>
      </c>
      <c r="Q318" s="36" t="str">
        <f ca="1">IFERROR(__xludf.DUMMYFUNCTION("""COMPUTED_VALUE"""),"")</f>
        <v/>
      </c>
      <c r="R318" s="36" t="str">
        <f ca="1">IFERROR(__xludf.DUMMYFUNCTION("""COMPUTED_VALUE"""),"")</f>
        <v/>
      </c>
      <c r="S318" s="36" t="str">
        <f ca="1">IFERROR(__xludf.DUMMYFUNCTION("""COMPUTED_VALUE"""),"")</f>
        <v/>
      </c>
      <c r="T318" s="36" t="str">
        <f ca="1">IFERROR(__xludf.DUMMYFUNCTION("""COMPUTED_VALUE"""),"")</f>
        <v/>
      </c>
      <c r="U318" s="36" t="str">
        <f ca="1">IFERROR(__xludf.DUMMYFUNCTION("""COMPUTED_VALUE"""),"")</f>
        <v/>
      </c>
      <c r="V318" s="36" t="str">
        <f ca="1">IFERROR(__xludf.DUMMYFUNCTION("""COMPUTED_VALUE"""),"")</f>
        <v/>
      </c>
      <c r="W318" s="36" t="str">
        <f ca="1">IFERROR(__xludf.DUMMYFUNCTION("""COMPUTED_VALUE"""),"")</f>
        <v/>
      </c>
      <c r="X318" s="36"/>
      <c r="Y318" s="36"/>
      <c r="Z318" s="36"/>
    </row>
    <row r="319" spans="1:26" ht="12.75" hidden="1">
      <c r="A319" s="36" t="str">
        <f ca="1">IFERROR(__xludf.DUMMYFUNCTION("""COMPUTED_VALUE"""),"")</f>
        <v/>
      </c>
      <c r="B319" s="36" t="str">
        <f ca="1">IFERROR(__xludf.DUMMYFUNCTION("""COMPUTED_VALUE"""),"")</f>
        <v/>
      </c>
      <c r="C319" s="36" t="str">
        <f ca="1">IFERROR(__xludf.DUMMYFUNCTION("""COMPUTED_VALUE"""),"")</f>
        <v/>
      </c>
      <c r="D319" s="36" t="str">
        <f ca="1">IFERROR(__xludf.DUMMYFUNCTION("""COMPUTED_VALUE"""),"")</f>
        <v/>
      </c>
      <c r="E319" s="36" t="str">
        <f ca="1">IFERROR(__xludf.DUMMYFUNCTION("""COMPUTED_VALUE"""),"")</f>
        <v/>
      </c>
      <c r="F319" s="36" t="str">
        <f ca="1">IFERROR(__xludf.DUMMYFUNCTION("""COMPUTED_VALUE"""),"")</f>
        <v/>
      </c>
      <c r="G319" s="36" t="str">
        <f ca="1">IFERROR(__xludf.DUMMYFUNCTION("""COMPUTED_VALUE"""),"")</f>
        <v/>
      </c>
      <c r="H319" s="36" t="str">
        <f ca="1">IFERROR(__xludf.DUMMYFUNCTION("""COMPUTED_VALUE"""),"")</f>
        <v/>
      </c>
      <c r="I319" s="36" t="str">
        <f ca="1">IFERROR(__xludf.DUMMYFUNCTION("""COMPUTED_VALUE"""),"")</f>
        <v/>
      </c>
      <c r="J319" s="36" t="str">
        <f ca="1">IFERROR(__xludf.DUMMYFUNCTION("""COMPUTED_VALUE"""),"")</f>
        <v/>
      </c>
      <c r="K319" s="36" t="str">
        <f ca="1">IFERROR(__xludf.DUMMYFUNCTION("""COMPUTED_VALUE"""),"")</f>
        <v/>
      </c>
      <c r="L319" s="36" t="str">
        <f ca="1">IFERROR(__xludf.DUMMYFUNCTION("""COMPUTED_VALUE"""),"")</f>
        <v/>
      </c>
      <c r="M319" s="36" t="str">
        <f ca="1">IFERROR(__xludf.DUMMYFUNCTION("""COMPUTED_VALUE"""),"")</f>
        <v/>
      </c>
      <c r="N319" s="36" t="str">
        <f ca="1">IFERROR(__xludf.DUMMYFUNCTION("""COMPUTED_VALUE"""),"")</f>
        <v/>
      </c>
      <c r="O319" s="36" t="str">
        <f ca="1">IFERROR(__xludf.DUMMYFUNCTION("""COMPUTED_VALUE"""),"")</f>
        <v/>
      </c>
      <c r="P319" s="36" t="str">
        <f ca="1">IFERROR(__xludf.DUMMYFUNCTION("""COMPUTED_VALUE"""),"")</f>
        <v/>
      </c>
      <c r="Q319" s="36" t="str">
        <f ca="1">IFERROR(__xludf.DUMMYFUNCTION("""COMPUTED_VALUE"""),"")</f>
        <v/>
      </c>
      <c r="R319" s="36" t="str">
        <f ca="1">IFERROR(__xludf.DUMMYFUNCTION("""COMPUTED_VALUE"""),"")</f>
        <v/>
      </c>
      <c r="S319" s="36" t="str">
        <f ca="1">IFERROR(__xludf.DUMMYFUNCTION("""COMPUTED_VALUE"""),"")</f>
        <v/>
      </c>
      <c r="T319" s="36" t="str">
        <f ca="1">IFERROR(__xludf.DUMMYFUNCTION("""COMPUTED_VALUE"""),"")</f>
        <v/>
      </c>
      <c r="U319" s="36" t="str">
        <f ca="1">IFERROR(__xludf.DUMMYFUNCTION("""COMPUTED_VALUE"""),"")</f>
        <v/>
      </c>
      <c r="V319" s="36" t="str">
        <f ca="1">IFERROR(__xludf.DUMMYFUNCTION("""COMPUTED_VALUE"""),"")</f>
        <v/>
      </c>
      <c r="W319" s="36" t="str">
        <f ca="1">IFERROR(__xludf.DUMMYFUNCTION("""COMPUTED_VALUE"""),"")</f>
        <v/>
      </c>
      <c r="X319" s="36"/>
      <c r="Y319" s="36"/>
      <c r="Z319" s="36"/>
    </row>
    <row r="320" spans="1:26" ht="12.75" hidden="1">
      <c r="A320" s="36" t="str">
        <f ca="1">IFERROR(__xludf.DUMMYFUNCTION("""COMPUTED_VALUE"""),"")</f>
        <v/>
      </c>
      <c r="B320" s="36" t="str">
        <f ca="1">IFERROR(__xludf.DUMMYFUNCTION("""COMPUTED_VALUE"""),"")</f>
        <v/>
      </c>
      <c r="C320" s="36" t="str">
        <f ca="1">IFERROR(__xludf.DUMMYFUNCTION("""COMPUTED_VALUE"""),"")</f>
        <v/>
      </c>
      <c r="D320" s="36" t="str">
        <f ca="1">IFERROR(__xludf.DUMMYFUNCTION("""COMPUTED_VALUE"""),"")</f>
        <v/>
      </c>
      <c r="E320" s="36" t="str">
        <f ca="1">IFERROR(__xludf.DUMMYFUNCTION("""COMPUTED_VALUE"""),"")</f>
        <v/>
      </c>
      <c r="F320" s="36" t="str">
        <f ca="1">IFERROR(__xludf.DUMMYFUNCTION("""COMPUTED_VALUE"""),"")</f>
        <v/>
      </c>
      <c r="G320" s="36" t="str">
        <f ca="1">IFERROR(__xludf.DUMMYFUNCTION("""COMPUTED_VALUE"""),"")</f>
        <v/>
      </c>
      <c r="H320" s="36" t="str">
        <f ca="1">IFERROR(__xludf.DUMMYFUNCTION("""COMPUTED_VALUE"""),"")</f>
        <v/>
      </c>
      <c r="I320" s="36" t="str">
        <f ca="1">IFERROR(__xludf.DUMMYFUNCTION("""COMPUTED_VALUE"""),"")</f>
        <v/>
      </c>
      <c r="J320" s="36" t="str">
        <f ca="1">IFERROR(__xludf.DUMMYFUNCTION("""COMPUTED_VALUE"""),"")</f>
        <v/>
      </c>
      <c r="K320" s="36" t="str">
        <f ca="1">IFERROR(__xludf.DUMMYFUNCTION("""COMPUTED_VALUE"""),"")</f>
        <v/>
      </c>
      <c r="L320" s="36" t="str">
        <f ca="1">IFERROR(__xludf.DUMMYFUNCTION("""COMPUTED_VALUE"""),"")</f>
        <v/>
      </c>
      <c r="M320" s="36" t="str">
        <f ca="1">IFERROR(__xludf.DUMMYFUNCTION("""COMPUTED_VALUE"""),"")</f>
        <v/>
      </c>
      <c r="N320" s="36" t="str">
        <f ca="1">IFERROR(__xludf.DUMMYFUNCTION("""COMPUTED_VALUE"""),"")</f>
        <v/>
      </c>
      <c r="O320" s="36" t="str">
        <f ca="1">IFERROR(__xludf.DUMMYFUNCTION("""COMPUTED_VALUE"""),"")</f>
        <v/>
      </c>
      <c r="P320" s="36" t="str">
        <f ca="1">IFERROR(__xludf.DUMMYFUNCTION("""COMPUTED_VALUE"""),"")</f>
        <v/>
      </c>
      <c r="Q320" s="36" t="str">
        <f ca="1">IFERROR(__xludf.DUMMYFUNCTION("""COMPUTED_VALUE"""),"")</f>
        <v/>
      </c>
      <c r="R320" s="36" t="str">
        <f ca="1">IFERROR(__xludf.DUMMYFUNCTION("""COMPUTED_VALUE"""),"")</f>
        <v/>
      </c>
      <c r="S320" s="36" t="str">
        <f ca="1">IFERROR(__xludf.DUMMYFUNCTION("""COMPUTED_VALUE"""),"")</f>
        <v/>
      </c>
      <c r="T320" s="36" t="str">
        <f ca="1">IFERROR(__xludf.DUMMYFUNCTION("""COMPUTED_VALUE"""),"")</f>
        <v/>
      </c>
      <c r="U320" s="36" t="str">
        <f ca="1">IFERROR(__xludf.DUMMYFUNCTION("""COMPUTED_VALUE"""),"")</f>
        <v/>
      </c>
      <c r="V320" s="36" t="str">
        <f ca="1">IFERROR(__xludf.DUMMYFUNCTION("""COMPUTED_VALUE"""),"")</f>
        <v/>
      </c>
      <c r="W320" s="36" t="str">
        <f ca="1">IFERROR(__xludf.DUMMYFUNCTION("""COMPUTED_VALUE"""),"")</f>
        <v/>
      </c>
      <c r="X320" s="36"/>
      <c r="Y320" s="36"/>
      <c r="Z320" s="36"/>
    </row>
    <row r="321" spans="1:26" ht="12.75" hidden="1">
      <c r="A321" s="36" t="str">
        <f ca="1">IFERROR(__xludf.DUMMYFUNCTION("""COMPUTED_VALUE"""),"")</f>
        <v/>
      </c>
      <c r="B321" s="36" t="str">
        <f ca="1">IFERROR(__xludf.DUMMYFUNCTION("""COMPUTED_VALUE"""),"")</f>
        <v/>
      </c>
      <c r="C321" s="36" t="str">
        <f ca="1">IFERROR(__xludf.DUMMYFUNCTION("""COMPUTED_VALUE"""),"")</f>
        <v/>
      </c>
      <c r="D321" s="36" t="str">
        <f ca="1">IFERROR(__xludf.DUMMYFUNCTION("""COMPUTED_VALUE"""),"")</f>
        <v/>
      </c>
      <c r="E321" s="36" t="str">
        <f ca="1">IFERROR(__xludf.DUMMYFUNCTION("""COMPUTED_VALUE"""),"")</f>
        <v/>
      </c>
      <c r="F321" s="36" t="str">
        <f ca="1">IFERROR(__xludf.DUMMYFUNCTION("""COMPUTED_VALUE"""),"")</f>
        <v/>
      </c>
      <c r="G321" s="36" t="str">
        <f ca="1">IFERROR(__xludf.DUMMYFUNCTION("""COMPUTED_VALUE"""),"")</f>
        <v/>
      </c>
      <c r="H321" s="36" t="str">
        <f ca="1">IFERROR(__xludf.DUMMYFUNCTION("""COMPUTED_VALUE"""),"")</f>
        <v/>
      </c>
      <c r="I321" s="36" t="str">
        <f ca="1">IFERROR(__xludf.DUMMYFUNCTION("""COMPUTED_VALUE"""),"")</f>
        <v/>
      </c>
      <c r="J321" s="36" t="str">
        <f ca="1">IFERROR(__xludf.DUMMYFUNCTION("""COMPUTED_VALUE"""),"")</f>
        <v/>
      </c>
      <c r="K321" s="36" t="str">
        <f ca="1">IFERROR(__xludf.DUMMYFUNCTION("""COMPUTED_VALUE"""),"")</f>
        <v/>
      </c>
      <c r="L321" s="36" t="str">
        <f ca="1">IFERROR(__xludf.DUMMYFUNCTION("""COMPUTED_VALUE"""),"")</f>
        <v/>
      </c>
      <c r="M321" s="36" t="str">
        <f ca="1">IFERROR(__xludf.DUMMYFUNCTION("""COMPUTED_VALUE"""),"")</f>
        <v/>
      </c>
      <c r="N321" s="36" t="str">
        <f ca="1">IFERROR(__xludf.DUMMYFUNCTION("""COMPUTED_VALUE"""),"")</f>
        <v/>
      </c>
      <c r="O321" s="36" t="str">
        <f ca="1">IFERROR(__xludf.DUMMYFUNCTION("""COMPUTED_VALUE"""),"")</f>
        <v/>
      </c>
      <c r="P321" s="36" t="str">
        <f ca="1">IFERROR(__xludf.DUMMYFUNCTION("""COMPUTED_VALUE"""),"")</f>
        <v/>
      </c>
      <c r="Q321" s="36" t="str">
        <f ca="1">IFERROR(__xludf.DUMMYFUNCTION("""COMPUTED_VALUE"""),"")</f>
        <v/>
      </c>
      <c r="R321" s="36" t="str">
        <f ca="1">IFERROR(__xludf.DUMMYFUNCTION("""COMPUTED_VALUE"""),"")</f>
        <v/>
      </c>
      <c r="S321" s="36" t="str">
        <f ca="1">IFERROR(__xludf.DUMMYFUNCTION("""COMPUTED_VALUE"""),"")</f>
        <v/>
      </c>
      <c r="T321" s="36" t="str">
        <f ca="1">IFERROR(__xludf.DUMMYFUNCTION("""COMPUTED_VALUE"""),"")</f>
        <v/>
      </c>
      <c r="U321" s="36" t="str">
        <f ca="1">IFERROR(__xludf.DUMMYFUNCTION("""COMPUTED_VALUE"""),"")</f>
        <v/>
      </c>
      <c r="V321" s="36" t="str">
        <f ca="1">IFERROR(__xludf.DUMMYFUNCTION("""COMPUTED_VALUE"""),"")</f>
        <v/>
      </c>
      <c r="W321" s="36" t="str">
        <f ca="1">IFERROR(__xludf.DUMMYFUNCTION("""COMPUTED_VALUE"""),"")</f>
        <v/>
      </c>
      <c r="X321" s="36"/>
      <c r="Y321" s="36"/>
      <c r="Z321" s="36"/>
    </row>
    <row r="322" spans="1:26" ht="12.75" hidden="1">
      <c r="A322" s="36" t="str">
        <f ca="1">IFERROR(__xludf.DUMMYFUNCTION("""COMPUTED_VALUE"""),"")</f>
        <v/>
      </c>
      <c r="B322" s="36" t="str">
        <f ca="1">IFERROR(__xludf.DUMMYFUNCTION("""COMPUTED_VALUE"""),"")</f>
        <v/>
      </c>
      <c r="C322" s="36" t="str">
        <f ca="1">IFERROR(__xludf.DUMMYFUNCTION("""COMPUTED_VALUE"""),"")</f>
        <v/>
      </c>
      <c r="D322" s="36" t="str">
        <f ca="1">IFERROR(__xludf.DUMMYFUNCTION("""COMPUTED_VALUE"""),"")</f>
        <v/>
      </c>
      <c r="E322" s="36" t="str">
        <f ca="1">IFERROR(__xludf.DUMMYFUNCTION("""COMPUTED_VALUE"""),"")</f>
        <v/>
      </c>
      <c r="F322" s="36" t="str">
        <f ca="1">IFERROR(__xludf.DUMMYFUNCTION("""COMPUTED_VALUE"""),"")</f>
        <v/>
      </c>
      <c r="G322" s="36" t="str">
        <f ca="1">IFERROR(__xludf.DUMMYFUNCTION("""COMPUTED_VALUE"""),"")</f>
        <v/>
      </c>
      <c r="H322" s="36" t="str">
        <f ca="1">IFERROR(__xludf.DUMMYFUNCTION("""COMPUTED_VALUE"""),"")</f>
        <v/>
      </c>
      <c r="I322" s="36" t="str">
        <f ca="1">IFERROR(__xludf.DUMMYFUNCTION("""COMPUTED_VALUE"""),"")</f>
        <v/>
      </c>
      <c r="J322" s="36" t="str">
        <f ca="1">IFERROR(__xludf.DUMMYFUNCTION("""COMPUTED_VALUE"""),"")</f>
        <v/>
      </c>
      <c r="K322" s="36" t="str">
        <f ca="1">IFERROR(__xludf.DUMMYFUNCTION("""COMPUTED_VALUE"""),"")</f>
        <v/>
      </c>
      <c r="L322" s="36" t="str">
        <f ca="1">IFERROR(__xludf.DUMMYFUNCTION("""COMPUTED_VALUE"""),"")</f>
        <v/>
      </c>
      <c r="M322" s="36" t="str">
        <f ca="1">IFERROR(__xludf.DUMMYFUNCTION("""COMPUTED_VALUE"""),"")</f>
        <v/>
      </c>
      <c r="N322" s="36" t="str">
        <f ca="1">IFERROR(__xludf.DUMMYFUNCTION("""COMPUTED_VALUE"""),"")</f>
        <v/>
      </c>
      <c r="O322" s="36" t="str">
        <f ca="1">IFERROR(__xludf.DUMMYFUNCTION("""COMPUTED_VALUE"""),"")</f>
        <v/>
      </c>
      <c r="P322" s="36" t="str">
        <f ca="1">IFERROR(__xludf.DUMMYFUNCTION("""COMPUTED_VALUE"""),"")</f>
        <v/>
      </c>
      <c r="Q322" s="36" t="str">
        <f ca="1">IFERROR(__xludf.DUMMYFUNCTION("""COMPUTED_VALUE"""),"")</f>
        <v/>
      </c>
      <c r="R322" s="36" t="str">
        <f ca="1">IFERROR(__xludf.DUMMYFUNCTION("""COMPUTED_VALUE"""),"")</f>
        <v/>
      </c>
      <c r="S322" s="36" t="str">
        <f ca="1">IFERROR(__xludf.DUMMYFUNCTION("""COMPUTED_VALUE"""),"")</f>
        <v/>
      </c>
      <c r="T322" s="36" t="str">
        <f ca="1">IFERROR(__xludf.DUMMYFUNCTION("""COMPUTED_VALUE"""),"")</f>
        <v/>
      </c>
      <c r="U322" s="36" t="str">
        <f ca="1">IFERROR(__xludf.DUMMYFUNCTION("""COMPUTED_VALUE"""),"")</f>
        <v/>
      </c>
      <c r="V322" s="36" t="str">
        <f ca="1">IFERROR(__xludf.DUMMYFUNCTION("""COMPUTED_VALUE"""),"")</f>
        <v/>
      </c>
      <c r="W322" s="36" t="str">
        <f ca="1">IFERROR(__xludf.DUMMYFUNCTION("""COMPUTED_VALUE"""),"")</f>
        <v/>
      </c>
      <c r="X322" s="36"/>
      <c r="Y322" s="36"/>
      <c r="Z322" s="36"/>
    </row>
    <row r="323" spans="1:26" ht="12.75" hidden="1">
      <c r="A323" s="36" t="str">
        <f ca="1">IFERROR(__xludf.DUMMYFUNCTION("""COMPUTED_VALUE"""),"")</f>
        <v/>
      </c>
      <c r="B323" s="36" t="str">
        <f ca="1">IFERROR(__xludf.DUMMYFUNCTION("""COMPUTED_VALUE"""),"")</f>
        <v/>
      </c>
      <c r="C323" s="36" t="str">
        <f ca="1">IFERROR(__xludf.DUMMYFUNCTION("""COMPUTED_VALUE"""),"")</f>
        <v/>
      </c>
      <c r="D323" s="36" t="str">
        <f ca="1">IFERROR(__xludf.DUMMYFUNCTION("""COMPUTED_VALUE"""),"")</f>
        <v/>
      </c>
      <c r="E323" s="36" t="str">
        <f ca="1">IFERROR(__xludf.DUMMYFUNCTION("""COMPUTED_VALUE"""),"")</f>
        <v/>
      </c>
      <c r="F323" s="36" t="str">
        <f ca="1">IFERROR(__xludf.DUMMYFUNCTION("""COMPUTED_VALUE"""),"")</f>
        <v/>
      </c>
      <c r="G323" s="36" t="str">
        <f ca="1">IFERROR(__xludf.DUMMYFUNCTION("""COMPUTED_VALUE"""),"")</f>
        <v/>
      </c>
      <c r="H323" s="36" t="str">
        <f ca="1">IFERROR(__xludf.DUMMYFUNCTION("""COMPUTED_VALUE"""),"")</f>
        <v/>
      </c>
      <c r="I323" s="36" t="str">
        <f ca="1">IFERROR(__xludf.DUMMYFUNCTION("""COMPUTED_VALUE"""),"")</f>
        <v/>
      </c>
      <c r="J323" s="36" t="str">
        <f ca="1">IFERROR(__xludf.DUMMYFUNCTION("""COMPUTED_VALUE"""),"")</f>
        <v/>
      </c>
      <c r="K323" s="36" t="str">
        <f ca="1">IFERROR(__xludf.DUMMYFUNCTION("""COMPUTED_VALUE"""),"")</f>
        <v/>
      </c>
      <c r="L323" s="36" t="str">
        <f ca="1">IFERROR(__xludf.DUMMYFUNCTION("""COMPUTED_VALUE"""),"")</f>
        <v/>
      </c>
      <c r="M323" s="36" t="str">
        <f ca="1">IFERROR(__xludf.DUMMYFUNCTION("""COMPUTED_VALUE"""),"")</f>
        <v/>
      </c>
      <c r="N323" s="36" t="str">
        <f ca="1">IFERROR(__xludf.DUMMYFUNCTION("""COMPUTED_VALUE"""),"")</f>
        <v/>
      </c>
      <c r="O323" s="36" t="str">
        <f ca="1">IFERROR(__xludf.DUMMYFUNCTION("""COMPUTED_VALUE"""),"")</f>
        <v/>
      </c>
      <c r="P323" s="36" t="str">
        <f ca="1">IFERROR(__xludf.DUMMYFUNCTION("""COMPUTED_VALUE"""),"")</f>
        <v/>
      </c>
      <c r="Q323" s="36" t="str">
        <f ca="1">IFERROR(__xludf.DUMMYFUNCTION("""COMPUTED_VALUE"""),"")</f>
        <v/>
      </c>
      <c r="R323" s="36" t="str">
        <f ca="1">IFERROR(__xludf.DUMMYFUNCTION("""COMPUTED_VALUE"""),"")</f>
        <v/>
      </c>
      <c r="S323" s="36" t="str">
        <f ca="1">IFERROR(__xludf.DUMMYFUNCTION("""COMPUTED_VALUE"""),"")</f>
        <v/>
      </c>
      <c r="T323" s="36" t="str">
        <f ca="1">IFERROR(__xludf.DUMMYFUNCTION("""COMPUTED_VALUE"""),"")</f>
        <v/>
      </c>
      <c r="U323" s="36" t="str">
        <f ca="1">IFERROR(__xludf.DUMMYFUNCTION("""COMPUTED_VALUE"""),"")</f>
        <v/>
      </c>
      <c r="V323" s="36" t="str">
        <f ca="1">IFERROR(__xludf.DUMMYFUNCTION("""COMPUTED_VALUE"""),"")</f>
        <v/>
      </c>
      <c r="W323" s="36" t="str">
        <f ca="1">IFERROR(__xludf.DUMMYFUNCTION("""COMPUTED_VALUE"""),"")</f>
        <v/>
      </c>
      <c r="X323" s="36"/>
      <c r="Y323" s="36"/>
      <c r="Z323" s="36"/>
    </row>
    <row r="324" spans="1:26" ht="12.75" hidden="1">
      <c r="A324" s="36" t="str">
        <f ca="1">IFERROR(__xludf.DUMMYFUNCTION("""COMPUTED_VALUE"""),"")</f>
        <v/>
      </c>
      <c r="B324" s="36" t="str">
        <f ca="1">IFERROR(__xludf.DUMMYFUNCTION("""COMPUTED_VALUE"""),"")</f>
        <v/>
      </c>
      <c r="C324" s="36" t="str">
        <f ca="1">IFERROR(__xludf.DUMMYFUNCTION("""COMPUTED_VALUE"""),"")</f>
        <v/>
      </c>
      <c r="D324" s="36" t="str">
        <f ca="1">IFERROR(__xludf.DUMMYFUNCTION("""COMPUTED_VALUE"""),"")</f>
        <v/>
      </c>
      <c r="E324" s="36" t="str">
        <f ca="1">IFERROR(__xludf.DUMMYFUNCTION("""COMPUTED_VALUE"""),"")</f>
        <v/>
      </c>
      <c r="F324" s="36" t="str">
        <f ca="1">IFERROR(__xludf.DUMMYFUNCTION("""COMPUTED_VALUE"""),"")</f>
        <v/>
      </c>
      <c r="G324" s="36" t="str">
        <f ca="1">IFERROR(__xludf.DUMMYFUNCTION("""COMPUTED_VALUE"""),"")</f>
        <v/>
      </c>
      <c r="H324" s="36" t="str">
        <f ca="1">IFERROR(__xludf.DUMMYFUNCTION("""COMPUTED_VALUE"""),"")</f>
        <v/>
      </c>
      <c r="I324" s="36" t="str">
        <f ca="1">IFERROR(__xludf.DUMMYFUNCTION("""COMPUTED_VALUE"""),"")</f>
        <v/>
      </c>
      <c r="J324" s="36" t="str">
        <f ca="1">IFERROR(__xludf.DUMMYFUNCTION("""COMPUTED_VALUE"""),"")</f>
        <v/>
      </c>
      <c r="K324" s="36" t="str">
        <f ca="1">IFERROR(__xludf.DUMMYFUNCTION("""COMPUTED_VALUE"""),"")</f>
        <v/>
      </c>
      <c r="L324" s="36" t="str">
        <f ca="1">IFERROR(__xludf.DUMMYFUNCTION("""COMPUTED_VALUE"""),"")</f>
        <v/>
      </c>
      <c r="M324" s="36" t="str">
        <f ca="1">IFERROR(__xludf.DUMMYFUNCTION("""COMPUTED_VALUE"""),"")</f>
        <v/>
      </c>
      <c r="N324" s="36" t="str">
        <f ca="1">IFERROR(__xludf.DUMMYFUNCTION("""COMPUTED_VALUE"""),"")</f>
        <v/>
      </c>
      <c r="O324" s="36" t="str">
        <f ca="1">IFERROR(__xludf.DUMMYFUNCTION("""COMPUTED_VALUE"""),"")</f>
        <v/>
      </c>
      <c r="P324" s="36" t="str">
        <f ca="1">IFERROR(__xludf.DUMMYFUNCTION("""COMPUTED_VALUE"""),"")</f>
        <v/>
      </c>
      <c r="Q324" s="36" t="str">
        <f ca="1">IFERROR(__xludf.DUMMYFUNCTION("""COMPUTED_VALUE"""),"")</f>
        <v/>
      </c>
      <c r="R324" s="36" t="str">
        <f ca="1">IFERROR(__xludf.DUMMYFUNCTION("""COMPUTED_VALUE"""),"")</f>
        <v/>
      </c>
      <c r="S324" s="36" t="str">
        <f ca="1">IFERROR(__xludf.DUMMYFUNCTION("""COMPUTED_VALUE"""),"")</f>
        <v/>
      </c>
      <c r="T324" s="36" t="str">
        <f ca="1">IFERROR(__xludf.DUMMYFUNCTION("""COMPUTED_VALUE"""),"")</f>
        <v/>
      </c>
      <c r="U324" s="36" t="str">
        <f ca="1">IFERROR(__xludf.DUMMYFUNCTION("""COMPUTED_VALUE"""),"")</f>
        <v/>
      </c>
      <c r="V324" s="36" t="str">
        <f ca="1">IFERROR(__xludf.DUMMYFUNCTION("""COMPUTED_VALUE"""),"")</f>
        <v/>
      </c>
      <c r="W324" s="36" t="str">
        <f ca="1">IFERROR(__xludf.DUMMYFUNCTION("""COMPUTED_VALUE"""),"")</f>
        <v/>
      </c>
      <c r="X324" s="36"/>
      <c r="Y324" s="36"/>
      <c r="Z324" s="36"/>
    </row>
    <row r="325" spans="1:26" ht="12.75" hidden="1">
      <c r="A325" s="36" t="str">
        <f ca="1">IFERROR(__xludf.DUMMYFUNCTION("""COMPUTED_VALUE"""),"")</f>
        <v/>
      </c>
      <c r="B325" s="36" t="str">
        <f ca="1">IFERROR(__xludf.DUMMYFUNCTION("""COMPUTED_VALUE"""),"")</f>
        <v/>
      </c>
      <c r="C325" s="36" t="str">
        <f ca="1">IFERROR(__xludf.DUMMYFUNCTION("""COMPUTED_VALUE"""),"")</f>
        <v/>
      </c>
      <c r="D325" s="36" t="str">
        <f ca="1">IFERROR(__xludf.DUMMYFUNCTION("""COMPUTED_VALUE"""),"")</f>
        <v/>
      </c>
      <c r="E325" s="36" t="str">
        <f ca="1">IFERROR(__xludf.DUMMYFUNCTION("""COMPUTED_VALUE"""),"")</f>
        <v/>
      </c>
      <c r="F325" s="36" t="str">
        <f ca="1">IFERROR(__xludf.DUMMYFUNCTION("""COMPUTED_VALUE"""),"")</f>
        <v/>
      </c>
      <c r="G325" s="36" t="str">
        <f ca="1">IFERROR(__xludf.DUMMYFUNCTION("""COMPUTED_VALUE"""),"")</f>
        <v/>
      </c>
      <c r="H325" s="36" t="str">
        <f ca="1">IFERROR(__xludf.DUMMYFUNCTION("""COMPUTED_VALUE"""),"")</f>
        <v/>
      </c>
      <c r="I325" s="36" t="str">
        <f ca="1">IFERROR(__xludf.DUMMYFUNCTION("""COMPUTED_VALUE"""),"")</f>
        <v/>
      </c>
      <c r="J325" s="36" t="str">
        <f ca="1">IFERROR(__xludf.DUMMYFUNCTION("""COMPUTED_VALUE"""),"")</f>
        <v/>
      </c>
      <c r="K325" s="36" t="str">
        <f ca="1">IFERROR(__xludf.DUMMYFUNCTION("""COMPUTED_VALUE"""),"")</f>
        <v/>
      </c>
      <c r="L325" s="36" t="str">
        <f ca="1">IFERROR(__xludf.DUMMYFUNCTION("""COMPUTED_VALUE"""),"")</f>
        <v/>
      </c>
      <c r="M325" s="36" t="str">
        <f ca="1">IFERROR(__xludf.DUMMYFUNCTION("""COMPUTED_VALUE"""),"")</f>
        <v/>
      </c>
      <c r="N325" s="36" t="str">
        <f ca="1">IFERROR(__xludf.DUMMYFUNCTION("""COMPUTED_VALUE"""),"")</f>
        <v/>
      </c>
      <c r="O325" s="36" t="str">
        <f ca="1">IFERROR(__xludf.DUMMYFUNCTION("""COMPUTED_VALUE"""),"")</f>
        <v/>
      </c>
      <c r="P325" s="36" t="str">
        <f ca="1">IFERROR(__xludf.DUMMYFUNCTION("""COMPUTED_VALUE"""),"")</f>
        <v/>
      </c>
      <c r="Q325" s="36" t="str">
        <f ca="1">IFERROR(__xludf.DUMMYFUNCTION("""COMPUTED_VALUE"""),"")</f>
        <v/>
      </c>
      <c r="R325" s="36" t="str">
        <f ca="1">IFERROR(__xludf.DUMMYFUNCTION("""COMPUTED_VALUE"""),"")</f>
        <v/>
      </c>
      <c r="S325" s="36" t="str">
        <f ca="1">IFERROR(__xludf.DUMMYFUNCTION("""COMPUTED_VALUE"""),"")</f>
        <v/>
      </c>
      <c r="T325" s="36" t="str">
        <f ca="1">IFERROR(__xludf.DUMMYFUNCTION("""COMPUTED_VALUE"""),"")</f>
        <v/>
      </c>
      <c r="U325" s="36" t="str">
        <f ca="1">IFERROR(__xludf.DUMMYFUNCTION("""COMPUTED_VALUE"""),"")</f>
        <v/>
      </c>
      <c r="V325" s="36" t="str">
        <f ca="1">IFERROR(__xludf.DUMMYFUNCTION("""COMPUTED_VALUE"""),"")</f>
        <v/>
      </c>
      <c r="W325" s="36" t="str">
        <f ca="1">IFERROR(__xludf.DUMMYFUNCTION("""COMPUTED_VALUE"""),"")</f>
        <v/>
      </c>
      <c r="X325" s="36"/>
      <c r="Y325" s="36"/>
      <c r="Z325" s="36"/>
    </row>
    <row r="326" spans="1:26" ht="12.75" hidden="1">
      <c r="A326" s="36" t="str">
        <f ca="1">IFERROR(__xludf.DUMMYFUNCTION("""COMPUTED_VALUE"""),"")</f>
        <v/>
      </c>
      <c r="B326" s="36" t="str">
        <f ca="1">IFERROR(__xludf.DUMMYFUNCTION("""COMPUTED_VALUE"""),"")</f>
        <v/>
      </c>
      <c r="C326" s="36" t="str">
        <f ca="1">IFERROR(__xludf.DUMMYFUNCTION("""COMPUTED_VALUE"""),"")</f>
        <v/>
      </c>
      <c r="D326" s="36" t="str">
        <f ca="1">IFERROR(__xludf.DUMMYFUNCTION("""COMPUTED_VALUE"""),"")</f>
        <v/>
      </c>
      <c r="E326" s="36" t="str">
        <f ca="1">IFERROR(__xludf.DUMMYFUNCTION("""COMPUTED_VALUE"""),"")</f>
        <v/>
      </c>
      <c r="F326" s="36" t="str">
        <f ca="1">IFERROR(__xludf.DUMMYFUNCTION("""COMPUTED_VALUE"""),"")</f>
        <v/>
      </c>
      <c r="G326" s="36" t="str">
        <f ca="1">IFERROR(__xludf.DUMMYFUNCTION("""COMPUTED_VALUE"""),"")</f>
        <v/>
      </c>
      <c r="H326" s="36" t="str">
        <f ca="1">IFERROR(__xludf.DUMMYFUNCTION("""COMPUTED_VALUE"""),"")</f>
        <v/>
      </c>
      <c r="I326" s="36" t="str">
        <f ca="1">IFERROR(__xludf.DUMMYFUNCTION("""COMPUTED_VALUE"""),"")</f>
        <v/>
      </c>
      <c r="J326" s="36" t="str">
        <f ca="1">IFERROR(__xludf.DUMMYFUNCTION("""COMPUTED_VALUE"""),"")</f>
        <v/>
      </c>
      <c r="K326" s="36" t="str">
        <f ca="1">IFERROR(__xludf.DUMMYFUNCTION("""COMPUTED_VALUE"""),"")</f>
        <v/>
      </c>
      <c r="L326" s="36" t="str">
        <f ca="1">IFERROR(__xludf.DUMMYFUNCTION("""COMPUTED_VALUE"""),"")</f>
        <v/>
      </c>
      <c r="M326" s="36" t="str">
        <f ca="1">IFERROR(__xludf.DUMMYFUNCTION("""COMPUTED_VALUE"""),"")</f>
        <v/>
      </c>
      <c r="N326" s="36" t="str">
        <f ca="1">IFERROR(__xludf.DUMMYFUNCTION("""COMPUTED_VALUE"""),"")</f>
        <v/>
      </c>
      <c r="O326" s="36" t="str">
        <f ca="1">IFERROR(__xludf.DUMMYFUNCTION("""COMPUTED_VALUE"""),"")</f>
        <v/>
      </c>
      <c r="P326" s="36" t="str">
        <f ca="1">IFERROR(__xludf.DUMMYFUNCTION("""COMPUTED_VALUE"""),"")</f>
        <v/>
      </c>
      <c r="Q326" s="36" t="str">
        <f ca="1">IFERROR(__xludf.DUMMYFUNCTION("""COMPUTED_VALUE"""),"")</f>
        <v/>
      </c>
      <c r="R326" s="36" t="str">
        <f ca="1">IFERROR(__xludf.DUMMYFUNCTION("""COMPUTED_VALUE"""),"")</f>
        <v/>
      </c>
      <c r="S326" s="36" t="str">
        <f ca="1">IFERROR(__xludf.DUMMYFUNCTION("""COMPUTED_VALUE"""),"")</f>
        <v/>
      </c>
      <c r="T326" s="36" t="str">
        <f ca="1">IFERROR(__xludf.DUMMYFUNCTION("""COMPUTED_VALUE"""),"")</f>
        <v/>
      </c>
      <c r="U326" s="36" t="str">
        <f ca="1">IFERROR(__xludf.DUMMYFUNCTION("""COMPUTED_VALUE"""),"")</f>
        <v/>
      </c>
      <c r="V326" s="36" t="str">
        <f ca="1">IFERROR(__xludf.DUMMYFUNCTION("""COMPUTED_VALUE"""),"")</f>
        <v/>
      </c>
      <c r="W326" s="36" t="str">
        <f ca="1">IFERROR(__xludf.DUMMYFUNCTION("""COMPUTED_VALUE"""),"")</f>
        <v/>
      </c>
      <c r="X326" s="36"/>
      <c r="Y326" s="36"/>
      <c r="Z326" s="36"/>
    </row>
    <row r="327" spans="1:26" ht="12.75" hidden="1">
      <c r="A327" s="36" t="str">
        <f ca="1">IFERROR(__xludf.DUMMYFUNCTION("""COMPUTED_VALUE"""),"")</f>
        <v/>
      </c>
      <c r="B327" s="36" t="str">
        <f ca="1">IFERROR(__xludf.DUMMYFUNCTION("""COMPUTED_VALUE"""),"")</f>
        <v/>
      </c>
      <c r="C327" s="36" t="str">
        <f ca="1">IFERROR(__xludf.DUMMYFUNCTION("""COMPUTED_VALUE"""),"")</f>
        <v/>
      </c>
      <c r="D327" s="36" t="str">
        <f ca="1">IFERROR(__xludf.DUMMYFUNCTION("""COMPUTED_VALUE"""),"")</f>
        <v/>
      </c>
      <c r="E327" s="36" t="str">
        <f ca="1">IFERROR(__xludf.DUMMYFUNCTION("""COMPUTED_VALUE"""),"")</f>
        <v/>
      </c>
      <c r="F327" s="36" t="str">
        <f ca="1">IFERROR(__xludf.DUMMYFUNCTION("""COMPUTED_VALUE"""),"")</f>
        <v/>
      </c>
      <c r="G327" s="36" t="str">
        <f ca="1">IFERROR(__xludf.DUMMYFUNCTION("""COMPUTED_VALUE"""),"")</f>
        <v/>
      </c>
      <c r="H327" s="36" t="str">
        <f ca="1">IFERROR(__xludf.DUMMYFUNCTION("""COMPUTED_VALUE"""),"")</f>
        <v/>
      </c>
      <c r="I327" s="36" t="str">
        <f ca="1">IFERROR(__xludf.DUMMYFUNCTION("""COMPUTED_VALUE"""),"")</f>
        <v/>
      </c>
      <c r="J327" s="36" t="str">
        <f ca="1">IFERROR(__xludf.DUMMYFUNCTION("""COMPUTED_VALUE"""),"")</f>
        <v/>
      </c>
      <c r="K327" s="36" t="str">
        <f ca="1">IFERROR(__xludf.DUMMYFUNCTION("""COMPUTED_VALUE"""),"")</f>
        <v/>
      </c>
      <c r="L327" s="36" t="str">
        <f ca="1">IFERROR(__xludf.DUMMYFUNCTION("""COMPUTED_VALUE"""),"")</f>
        <v/>
      </c>
      <c r="M327" s="36" t="str">
        <f ca="1">IFERROR(__xludf.DUMMYFUNCTION("""COMPUTED_VALUE"""),"")</f>
        <v/>
      </c>
      <c r="N327" s="36" t="str">
        <f ca="1">IFERROR(__xludf.DUMMYFUNCTION("""COMPUTED_VALUE"""),"")</f>
        <v/>
      </c>
      <c r="O327" s="36" t="str">
        <f ca="1">IFERROR(__xludf.DUMMYFUNCTION("""COMPUTED_VALUE"""),"")</f>
        <v/>
      </c>
      <c r="P327" s="36" t="str">
        <f ca="1">IFERROR(__xludf.DUMMYFUNCTION("""COMPUTED_VALUE"""),"")</f>
        <v/>
      </c>
      <c r="Q327" s="36" t="str">
        <f ca="1">IFERROR(__xludf.DUMMYFUNCTION("""COMPUTED_VALUE"""),"")</f>
        <v/>
      </c>
      <c r="R327" s="36" t="str">
        <f ca="1">IFERROR(__xludf.DUMMYFUNCTION("""COMPUTED_VALUE"""),"")</f>
        <v/>
      </c>
      <c r="S327" s="36" t="str">
        <f ca="1">IFERROR(__xludf.DUMMYFUNCTION("""COMPUTED_VALUE"""),"")</f>
        <v/>
      </c>
      <c r="T327" s="36" t="str">
        <f ca="1">IFERROR(__xludf.DUMMYFUNCTION("""COMPUTED_VALUE"""),"")</f>
        <v/>
      </c>
      <c r="U327" s="36" t="str">
        <f ca="1">IFERROR(__xludf.DUMMYFUNCTION("""COMPUTED_VALUE"""),"")</f>
        <v/>
      </c>
      <c r="V327" s="36" t="str">
        <f ca="1">IFERROR(__xludf.DUMMYFUNCTION("""COMPUTED_VALUE"""),"")</f>
        <v/>
      </c>
      <c r="W327" s="36" t="str">
        <f ca="1">IFERROR(__xludf.DUMMYFUNCTION("""COMPUTED_VALUE"""),"")</f>
        <v/>
      </c>
      <c r="X327" s="36"/>
      <c r="Y327" s="36"/>
      <c r="Z327" s="36"/>
    </row>
    <row r="328" spans="1:26" ht="12.75" hidden="1">
      <c r="A328" s="36" t="str">
        <f ca="1">IFERROR(__xludf.DUMMYFUNCTION("""COMPUTED_VALUE"""),"")</f>
        <v/>
      </c>
      <c r="B328" s="36" t="str">
        <f ca="1">IFERROR(__xludf.DUMMYFUNCTION("""COMPUTED_VALUE"""),"")</f>
        <v/>
      </c>
      <c r="C328" s="36" t="str">
        <f ca="1">IFERROR(__xludf.DUMMYFUNCTION("""COMPUTED_VALUE"""),"")</f>
        <v/>
      </c>
      <c r="D328" s="36" t="str">
        <f ca="1">IFERROR(__xludf.DUMMYFUNCTION("""COMPUTED_VALUE"""),"")</f>
        <v/>
      </c>
      <c r="E328" s="36" t="str">
        <f ca="1">IFERROR(__xludf.DUMMYFUNCTION("""COMPUTED_VALUE"""),"")</f>
        <v/>
      </c>
      <c r="F328" s="36" t="str">
        <f ca="1">IFERROR(__xludf.DUMMYFUNCTION("""COMPUTED_VALUE"""),"")</f>
        <v/>
      </c>
      <c r="G328" s="36" t="str">
        <f ca="1">IFERROR(__xludf.DUMMYFUNCTION("""COMPUTED_VALUE"""),"")</f>
        <v/>
      </c>
      <c r="H328" s="36" t="str">
        <f ca="1">IFERROR(__xludf.DUMMYFUNCTION("""COMPUTED_VALUE"""),"")</f>
        <v/>
      </c>
      <c r="I328" s="36" t="str">
        <f ca="1">IFERROR(__xludf.DUMMYFUNCTION("""COMPUTED_VALUE"""),"")</f>
        <v/>
      </c>
      <c r="J328" s="36" t="str">
        <f ca="1">IFERROR(__xludf.DUMMYFUNCTION("""COMPUTED_VALUE"""),"")</f>
        <v/>
      </c>
      <c r="K328" s="36" t="str">
        <f ca="1">IFERROR(__xludf.DUMMYFUNCTION("""COMPUTED_VALUE"""),"")</f>
        <v/>
      </c>
      <c r="L328" s="36" t="str">
        <f ca="1">IFERROR(__xludf.DUMMYFUNCTION("""COMPUTED_VALUE"""),"")</f>
        <v/>
      </c>
      <c r="M328" s="36" t="str">
        <f ca="1">IFERROR(__xludf.DUMMYFUNCTION("""COMPUTED_VALUE"""),"")</f>
        <v/>
      </c>
      <c r="N328" s="36" t="str">
        <f ca="1">IFERROR(__xludf.DUMMYFUNCTION("""COMPUTED_VALUE"""),"")</f>
        <v/>
      </c>
      <c r="O328" s="36" t="str">
        <f ca="1">IFERROR(__xludf.DUMMYFUNCTION("""COMPUTED_VALUE"""),"")</f>
        <v/>
      </c>
      <c r="P328" s="36" t="str">
        <f ca="1">IFERROR(__xludf.DUMMYFUNCTION("""COMPUTED_VALUE"""),"")</f>
        <v/>
      </c>
      <c r="Q328" s="36" t="str">
        <f ca="1">IFERROR(__xludf.DUMMYFUNCTION("""COMPUTED_VALUE"""),"")</f>
        <v/>
      </c>
      <c r="R328" s="36" t="str">
        <f ca="1">IFERROR(__xludf.DUMMYFUNCTION("""COMPUTED_VALUE"""),"")</f>
        <v/>
      </c>
      <c r="S328" s="36" t="str">
        <f ca="1">IFERROR(__xludf.DUMMYFUNCTION("""COMPUTED_VALUE"""),"")</f>
        <v/>
      </c>
      <c r="T328" s="36" t="str">
        <f ca="1">IFERROR(__xludf.DUMMYFUNCTION("""COMPUTED_VALUE"""),"")</f>
        <v/>
      </c>
      <c r="U328" s="36" t="str">
        <f ca="1">IFERROR(__xludf.DUMMYFUNCTION("""COMPUTED_VALUE"""),"")</f>
        <v/>
      </c>
      <c r="V328" s="36" t="str">
        <f ca="1">IFERROR(__xludf.DUMMYFUNCTION("""COMPUTED_VALUE"""),"")</f>
        <v/>
      </c>
      <c r="W328" s="36" t="str">
        <f ca="1">IFERROR(__xludf.DUMMYFUNCTION("""COMPUTED_VALUE"""),"")</f>
        <v/>
      </c>
      <c r="X328" s="36"/>
      <c r="Y328" s="36"/>
      <c r="Z328" s="36"/>
    </row>
    <row r="329" spans="1:26" ht="12.75" hidden="1">
      <c r="A329" s="36" t="str">
        <f ca="1">IFERROR(__xludf.DUMMYFUNCTION("""COMPUTED_VALUE"""),"")</f>
        <v/>
      </c>
      <c r="B329" s="36" t="str">
        <f ca="1">IFERROR(__xludf.DUMMYFUNCTION("""COMPUTED_VALUE"""),"")</f>
        <v/>
      </c>
      <c r="C329" s="36" t="str">
        <f ca="1">IFERROR(__xludf.DUMMYFUNCTION("""COMPUTED_VALUE"""),"")</f>
        <v/>
      </c>
      <c r="D329" s="36" t="str">
        <f ca="1">IFERROR(__xludf.DUMMYFUNCTION("""COMPUTED_VALUE"""),"")</f>
        <v/>
      </c>
      <c r="E329" s="36" t="str">
        <f ca="1">IFERROR(__xludf.DUMMYFUNCTION("""COMPUTED_VALUE"""),"")</f>
        <v/>
      </c>
      <c r="F329" s="36" t="str">
        <f ca="1">IFERROR(__xludf.DUMMYFUNCTION("""COMPUTED_VALUE"""),"")</f>
        <v/>
      </c>
      <c r="G329" s="36" t="str">
        <f ca="1">IFERROR(__xludf.DUMMYFUNCTION("""COMPUTED_VALUE"""),"")</f>
        <v/>
      </c>
      <c r="H329" s="36" t="str">
        <f ca="1">IFERROR(__xludf.DUMMYFUNCTION("""COMPUTED_VALUE"""),"")</f>
        <v/>
      </c>
      <c r="I329" s="36" t="str">
        <f ca="1">IFERROR(__xludf.DUMMYFUNCTION("""COMPUTED_VALUE"""),"")</f>
        <v/>
      </c>
      <c r="J329" s="36" t="str">
        <f ca="1">IFERROR(__xludf.DUMMYFUNCTION("""COMPUTED_VALUE"""),"")</f>
        <v/>
      </c>
      <c r="K329" s="36" t="str">
        <f ca="1">IFERROR(__xludf.DUMMYFUNCTION("""COMPUTED_VALUE"""),"")</f>
        <v/>
      </c>
      <c r="L329" s="36" t="str">
        <f ca="1">IFERROR(__xludf.DUMMYFUNCTION("""COMPUTED_VALUE"""),"")</f>
        <v/>
      </c>
      <c r="M329" s="36" t="str">
        <f ca="1">IFERROR(__xludf.DUMMYFUNCTION("""COMPUTED_VALUE"""),"")</f>
        <v/>
      </c>
      <c r="N329" s="36" t="str">
        <f ca="1">IFERROR(__xludf.DUMMYFUNCTION("""COMPUTED_VALUE"""),"")</f>
        <v/>
      </c>
      <c r="O329" s="36" t="str">
        <f ca="1">IFERROR(__xludf.DUMMYFUNCTION("""COMPUTED_VALUE"""),"")</f>
        <v/>
      </c>
      <c r="P329" s="36" t="str">
        <f ca="1">IFERROR(__xludf.DUMMYFUNCTION("""COMPUTED_VALUE"""),"")</f>
        <v/>
      </c>
      <c r="Q329" s="36" t="str">
        <f ca="1">IFERROR(__xludf.DUMMYFUNCTION("""COMPUTED_VALUE"""),"")</f>
        <v/>
      </c>
      <c r="R329" s="36" t="str">
        <f ca="1">IFERROR(__xludf.DUMMYFUNCTION("""COMPUTED_VALUE"""),"")</f>
        <v/>
      </c>
      <c r="S329" s="36" t="str">
        <f ca="1">IFERROR(__xludf.DUMMYFUNCTION("""COMPUTED_VALUE"""),"")</f>
        <v/>
      </c>
      <c r="T329" s="36" t="str">
        <f ca="1">IFERROR(__xludf.DUMMYFUNCTION("""COMPUTED_VALUE"""),"")</f>
        <v/>
      </c>
      <c r="U329" s="36" t="str">
        <f ca="1">IFERROR(__xludf.DUMMYFUNCTION("""COMPUTED_VALUE"""),"")</f>
        <v/>
      </c>
      <c r="V329" s="36" t="str">
        <f ca="1">IFERROR(__xludf.DUMMYFUNCTION("""COMPUTED_VALUE"""),"")</f>
        <v/>
      </c>
      <c r="W329" s="36" t="str">
        <f ca="1">IFERROR(__xludf.DUMMYFUNCTION("""COMPUTED_VALUE"""),"")</f>
        <v/>
      </c>
      <c r="X329" s="36"/>
      <c r="Y329" s="36"/>
      <c r="Z329" s="36"/>
    </row>
    <row r="330" spans="1:26" ht="12.75" hidden="1">
      <c r="A330" s="36" t="str">
        <f ca="1">IFERROR(__xludf.DUMMYFUNCTION("""COMPUTED_VALUE"""),"")</f>
        <v/>
      </c>
      <c r="B330" s="36" t="str">
        <f ca="1">IFERROR(__xludf.DUMMYFUNCTION("""COMPUTED_VALUE"""),"")</f>
        <v/>
      </c>
      <c r="C330" s="36" t="str">
        <f ca="1">IFERROR(__xludf.DUMMYFUNCTION("""COMPUTED_VALUE"""),"")</f>
        <v/>
      </c>
      <c r="D330" s="36" t="str">
        <f ca="1">IFERROR(__xludf.DUMMYFUNCTION("""COMPUTED_VALUE"""),"")</f>
        <v/>
      </c>
      <c r="E330" s="36" t="str">
        <f ca="1">IFERROR(__xludf.DUMMYFUNCTION("""COMPUTED_VALUE"""),"")</f>
        <v/>
      </c>
      <c r="F330" s="36" t="str">
        <f ca="1">IFERROR(__xludf.DUMMYFUNCTION("""COMPUTED_VALUE"""),"")</f>
        <v/>
      </c>
      <c r="G330" s="36" t="str">
        <f ca="1">IFERROR(__xludf.DUMMYFUNCTION("""COMPUTED_VALUE"""),"")</f>
        <v/>
      </c>
      <c r="H330" s="36" t="str">
        <f ca="1">IFERROR(__xludf.DUMMYFUNCTION("""COMPUTED_VALUE"""),"")</f>
        <v/>
      </c>
      <c r="I330" s="36" t="str">
        <f ca="1">IFERROR(__xludf.DUMMYFUNCTION("""COMPUTED_VALUE"""),"")</f>
        <v/>
      </c>
      <c r="J330" s="36" t="str">
        <f ca="1">IFERROR(__xludf.DUMMYFUNCTION("""COMPUTED_VALUE"""),"")</f>
        <v/>
      </c>
      <c r="K330" s="36" t="str">
        <f ca="1">IFERROR(__xludf.DUMMYFUNCTION("""COMPUTED_VALUE"""),"")</f>
        <v/>
      </c>
      <c r="L330" s="36" t="str">
        <f ca="1">IFERROR(__xludf.DUMMYFUNCTION("""COMPUTED_VALUE"""),"")</f>
        <v/>
      </c>
      <c r="M330" s="36" t="str">
        <f ca="1">IFERROR(__xludf.DUMMYFUNCTION("""COMPUTED_VALUE"""),"")</f>
        <v/>
      </c>
      <c r="N330" s="36" t="str">
        <f ca="1">IFERROR(__xludf.DUMMYFUNCTION("""COMPUTED_VALUE"""),"")</f>
        <v/>
      </c>
      <c r="O330" s="36" t="str">
        <f ca="1">IFERROR(__xludf.DUMMYFUNCTION("""COMPUTED_VALUE"""),"")</f>
        <v/>
      </c>
      <c r="P330" s="36" t="str">
        <f ca="1">IFERROR(__xludf.DUMMYFUNCTION("""COMPUTED_VALUE"""),"")</f>
        <v/>
      </c>
      <c r="Q330" s="36" t="str">
        <f ca="1">IFERROR(__xludf.DUMMYFUNCTION("""COMPUTED_VALUE"""),"")</f>
        <v/>
      </c>
      <c r="R330" s="36" t="str">
        <f ca="1">IFERROR(__xludf.DUMMYFUNCTION("""COMPUTED_VALUE"""),"")</f>
        <v/>
      </c>
      <c r="S330" s="36" t="str">
        <f ca="1">IFERROR(__xludf.DUMMYFUNCTION("""COMPUTED_VALUE"""),"")</f>
        <v/>
      </c>
      <c r="T330" s="36" t="str">
        <f ca="1">IFERROR(__xludf.DUMMYFUNCTION("""COMPUTED_VALUE"""),"")</f>
        <v/>
      </c>
      <c r="U330" s="36" t="str">
        <f ca="1">IFERROR(__xludf.DUMMYFUNCTION("""COMPUTED_VALUE"""),"")</f>
        <v/>
      </c>
      <c r="V330" s="36" t="str">
        <f ca="1">IFERROR(__xludf.DUMMYFUNCTION("""COMPUTED_VALUE"""),"")</f>
        <v/>
      </c>
      <c r="W330" s="36" t="str">
        <f ca="1">IFERROR(__xludf.DUMMYFUNCTION("""COMPUTED_VALUE"""),"")</f>
        <v/>
      </c>
      <c r="X330" s="36"/>
      <c r="Y330" s="36"/>
      <c r="Z330" s="36"/>
    </row>
    <row r="331" spans="1:26" ht="12.75" hidden="1">
      <c r="A331" s="36" t="str">
        <f ca="1">IFERROR(__xludf.DUMMYFUNCTION("""COMPUTED_VALUE"""),"")</f>
        <v/>
      </c>
      <c r="B331" s="36" t="str">
        <f ca="1">IFERROR(__xludf.DUMMYFUNCTION("""COMPUTED_VALUE"""),"")</f>
        <v/>
      </c>
      <c r="C331" s="36" t="str">
        <f ca="1">IFERROR(__xludf.DUMMYFUNCTION("""COMPUTED_VALUE"""),"")</f>
        <v/>
      </c>
      <c r="D331" s="36" t="str">
        <f ca="1">IFERROR(__xludf.DUMMYFUNCTION("""COMPUTED_VALUE"""),"")</f>
        <v/>
      </c>
      <c r="E331" s="36" t="str">
        <f ca="1">IFERROR(__xludf.DUMMYFUNCTION("""COMPUTED_VALUE"""),"")</f>
        <v/>
      </c>
      <c r="F331" s="36" t="str">
        <f ca="1">IFERROR(__xludf.DUMMYFUNCTION("""COMPUTED_VALUE"""),"")</f>
        <v/>
      </c>
      <c r="G331" s="36" t="str">
        <f ca="1">IFERROR(__xludf.DUMMYFUNCTION("""COMPUTED_VALUE"""),"")</f>
        <v/>
      </c>
      <c r="H331" s="36" t="str">
        <f ca="1">IFERROR(__xludf.DUMMYFUNCTION("""COMPUTED_VALUE"""),"")</f>
        <v/>
      </c>
      <c r="I331" s="36" t="str">
        <f ca="1">IFERROR(__xludf.DUMMYFUNCTION("""COMPUTED_VALUE"""),"")</f>
        <v/>
      </c>
      <c r="J331" s="36" t="str">
        <f ca="1">IFERROR(__xludf.DUMMYFUNCTION("""COMPUTED_VALUE"""),"")</f>
        <v/>
      </c>
      <c r="K331" s="36" t="str">
        <f ca="1">IFERROR(__xludf.DUMMYFUNCTION("""COMPUTED_VALUE"""),"")</f>
        <v/>
      </c>
      <c r="L331" s="36" t="str">
        <f ca="1">IFERROR(__xludf.DUMMYFUNCTION("""COMPUTED_VALUE"""),"")</f>
        <v/>
      </c>
      <c r="M331" s="36" t="str">
        <f ca="1">IFERROR(__xludf.DUMMYFUNCTION("""COMPUTED_VALUE"""),"")</f>
        <v/>
      </c>
      <c r="N331" s="36" t="str">
        <f ca="1">IFERROR(__xludf.DUMMYFUNCTION("""COMPUTED_VALUE"""),"")</f>
        <v/>
      </c>
      <c r="O331" s="36" t="str">
        <f ca="1">IFERROR(__xludf.DUMMYFUNCTION("""COMPUTED_VALUE"""),"")</f>
        <v/>
      </c>
      <c r="P331" s="36" t="str">
        <f ca="1">IFERROR(__xludf.DUMMYFUNCTION("""COMPUTED_VALUE"""),"")</f>
        <v/>
      </c>
      <c r="Q331" s="36" t="str">
        <f ca="1">IFERROR(__xludf.DUMMYFUNCTION("""COMPUTED_VALUE"""),"")</f>
        <v/>
      </c>
      <c r="R331" s="36" t="str">
        <f ca="1">IFERROR(__xludf.DUMMYFUNCTION("""COMPUTED_VALUE"""),"")</f>
        <v/>
      </c>
      <c r="S331" s="36" t="str">
        <f ca="1">IFERROR(__xludf.DUMMYFUNCTION("""COMPUTED_VALUE"""),"")</f>
        <v/>
      </c>
      <c r="T331" s="36" t="str">
        <f ca="1">IFERROR(__xludf.DUMMYFUNCTION("""COMPUTED_VALUE"""),"")</f>
        <v/>
      </c>
      <c r="U331" s="36" t="str">
        <f ca="1">IFERROR(__xludf.DUMMYFUNCTION("""COMPUTED_VALUE"""),"")</f>
        <v/>
      </c>
      <c r="V331" s="36" t="str">
        <f ca="1">IFERROR(__xludf.DUMMYFUNCTION("""COMPUTED_VALUE"""),"")</f>
        <v/>
      </c>
      <c r="W331" s="36" t="str">
        <f ca="1">IFERROR(__xludf.DUMMYFUNCTION("""COMPUTED_VALUE"""),"")</f>
        <v/>
      </c>
      <c r="X331" s="36"/>
      <c r="Y331" s="36"/>
      <c r="Z331" s="36"/>
    </row>
    <row r="332" spans="1:26" ht="12.75" hidden="1">
      <c r="A332" s="36" t="str">
        <f ca="1">IFERROR(__xludf.DUMMYFUNCTION("""COMPUTED_VALUE"""),"")</f>
        <v/>
      </c>
      <c r="B332" s="36" t="str">
        <f ca="1">IFERROR(__xludf.DUMMYFUNCTION("""COMPUTED_VALUE"""),"")</f>
        <v/>
      </c>
      <c r="C332" s="36" t="str">
        <f ca="1">IFERROR(__xludf.DUMMYFUNCTION("""COMPUTED_VALUE"""),"")</f>
        <v/>
      </c>
      <c r="D332" s="36" t="str">
        <f ca="1">IFERROR(__xludf.DUMMYFUNCTION("""COMPUTED_VALUE"""),"")</f>
        <v/>
      </c>
      <c r="E332" s="36" t="str">
        <f ca="1">IFERROR(__xludf.DUMMYFUNCTION("""COMPUTED_VALUE"""),"")</f>
        <v/>
      </c>
      <c r="F332" s="36" t="str">
        <f ca="1">IFERROR(__xludf.DUMMYFUNCTION("""COMPUTED_VALUE"""),"")</f>
        <v/>
      </c>
      <c r="G332" s="36" t="str">
        <f ca="1">IFERROR(__xludf.DUMMYFUNCTION("""COMPUTED_VALUE"""),"")</f>
        <v/>
      </c>
      <c r="H332" s="36" t="str">
        <f ca="1">IFERROR(__xludf.DUMMYFUNCTION("""COMPUTED_VALUE"""),"")</f>
        <v/>
      </c>
      <c r="I332" s="36" t="str">
        <f ca="1">IFERROR(__xludf.DUMMYFUNCTION("""COMPUTED_VALUE"""),"")</f>
        <v/>
      </c>
      <c r="J332" s="36" t="str">
        <f ca="1">IFERROR(__xludf.DUMMYFUNCTION("""COMPUTED_VALUE"""),"")</f>
        <v/>
      </c>
      <c r="K332" s="36" t="str">
        <f ca="1">IFERROR(__xludf.DUMMYFUNCTION("""COMPUTED_VALUE"""),"")</f>
        <v/>
      </c>
      <c r="L332" s="36" t="str">
        <f ca="1">IFERROR(__xludf.DUMMYFUNCTION("""COMPUTED_VALUE"""),"")</f>
        <v/>
      </c>
      <c r="M332" s="36" t="str">
        <f ca="1">IFERROR(__xludf.DUMMYFUNCTION("""COMPUTED_VALUE"""),"")</f>
        <v/>
      </c>
      <c r="N332" s="36" t="str">
        <f ca="1">IFERROR(__xludf.DUMMYFUNCTION("""COMPUTED_VALUE"""),"")</f>
        <v/>
      </c>
      <c r="O332" s="36" t="str">
        <f ca="1">IFERROR(__xludf.DUMMYFUNCTION("""COMPUTED_VALUE"""),"")</f>
        <v/>
      </c>
      <c r="P332" s="36" t="str">
        <f ca="1">IFERROR(__xludf.DUMMYFUNCTION("""COMPUTED_VALUE"""),"")</f>
        <v/>
      </c>
      <c r="Q332" s="36" t="str">
        <f ca="1">IFERROR(__xludf.DUMMYFUNCTION("""COMPUTED_VALUE"""),"")</f>
        <v/>
      </c>
      <c r="R332" s="36" t="str">
        <f ca="1">IFERROR(__xludf.DUMMYFUNCTION("""COMPUTED_VALUE"""),"")</f>
        <v/>
      </c>
      <c r="S332" s="36" t="str">
        <f ca="1">IFERROR(__xludf.DUMMYFUNCTION("""COMPUTED_VALUE"""),"")</f>
        <v/>
      </c>
      <c r="T332" s="36" t="str">
        <f ca="1">IFERROR(__xludf.DUMMYFUNCTION("""COMPUTED_VALUE"""),"")</f>
        <v/>
      </c>
      <c r="U332" s="36" t="str">
        <f ca="1">IFERROR(__xludf.DUMMYFUNCTION("""COMPUTED_VALUE"""),"")</f>
        <v/>
      </c>
      <c r="V332" s="36" t="str">
        <f ca="1">IFERROR(__xludf.DUMMYFUNCTION("""COMPUTED_VALUE"""),"")</f>
        <v/>
      </c>
      <c r="W332" s="36" t="str">
        <f ca="1">IFERROR(__xludf.DUMMYFUNCTION("""COMPUTED_VALUE"""),"")</f>
        <v/>
      </c>
      <c r="X332" s="36"/>
      <c r="Y332" s="36"/>
      <c r="Z332" s="36"/>
    </row>
    <row r="333" spans="1:26" ht="12.75" hidden="1">
      <c r="A333" s="36" t="str">
        <f ca="1">IFERROR(__xludf.DUMMYFUNCTION("""COMPUTED_VALUE"""),"")</f>
        <v/>
      </c>
      <c r="B333" s="36" t="str">
        <f ca="1">IFERROR(__xludf.DUMMYFUNCTION("""COMPUTED_VALUE"""),"")</f>
        <v/>
      </c>
      <c r="C333" s="36" t="str">
        <f ca="1">IFERROR(__xludf.DUMMYFUNCTION("""COMPUTED_VALUE"""),"")</f>
        <v/>
      </c>
      <c r="D333" s="36" t="str">
        <f ca="1">IFERROR(__xludf.DUMMYFUNCTION("""COMPUTED_VALUE"""),"")</f>
        <v/>
      </c>
      <c r="E333" s="36" t="str">
        <f ca="1">IFERROR(__xludf.DUMMYFUNCTION("""COMPUTED_VALUE"""),"")</f>
        <v/>
      </c>
      <c r="F333" s="36" t="str">
        <f ca="1">IFERROR(__xludf.DUMMYFUNCTION("""COMPUTED_VALUE"""),"")</f>
        <v/>
      </c>
      <c r="G333" s="36" t="str">
        <f ca="1">IFERROR(__xludf.DUMMYFUNCTION("""COMPUTED_VALUE"""),"")</f>
        <v/>
      </c>
      <c r="H333" s="36" t="str">
        <f ca="1">IFERROR(__xludf.DUMMYFUNCTION("""COMPUTED_VALUE"""),"")</f>
        <v/>
      </c>
      <c r="I333" s="36" t="str">
        <f ca="1">IFERROR(__xludf.DUMMYFUNCTION("""COMPUTED_VALUE"""),"")</f>
        <v/>
      </c>
      <c r="J333" s="36" t="str">
        <f ca="1">IFERROR(__xludf.DUMMYFUNCTION("""COMPUTED_VALUE"""),"")</f>
        <v/>
      </c>
      <c r="K333" s="36" t="str">
        <f ca="1">IFERROR(__xludf.DUMMYFUNCTION("""COMPUTED_VALUE"""),"")</f>
        <v/>
      </c>
      <c r="L333" s="36" t="str">
        <f ca="1">IFERROR(__xludf.DUMMYFUNCTION("""COMPUTED_VALUE"""),"")</f>
        <v/>
      </c>
      <c r="M333" s="36" t="str">
        <f ca="1">IFERROR(__xludf.DUMMYFUNCTION("""COMPUTED_VALUE"""),"")</f>
        <v/>
      </c>
      <c r="N333" s="36" t="str">
        <f ca="1">IFERROR(__xludf.DUMMYFUNCTION("""COMPUTED_VALUE"""),"")</f>
        <v/>
      </c>
      <c r="O333" s="36" t="str">
        <f ca="1">IFERROR(__xludf.DUMMYFUNCTION("""COMPUTED_VALUE"""),"")</f>
        <v/>
      </c>
      <c r="P333" s="36" t="str">
        <f ca="1">IFERROR(__xludf.DUMMYFUNCTION("""COMPUTED_VALUE"""),"")</f>
        <v/>
      </c>
      <c r="Q333" s="36" t="str">
        <f ca="1">IFERROR(__xludf.DUMMYFUNCTION("""COMPUTED_VALUE"""),"")</f>
        <v/>
      </c>
      <c r="R333" s="36" t="str">
        <f ca="1">IFERROR(__xludf.DUMMYFUNCTION("""COMPUTED_VALUE"""),"")</f>
        <v/>
      </c>
      <c r="S333" s="36" t="str">
        <f ca="1">IFERROR(__xludf.DUMMYFUNCTION("""COMPUTED_VALUE"""),"")</f>
        <v/>
      </c>
      <c r="T333" s="36" t="str">
        <f ca="1">IFERROR(__xludf.DUMMYFUNCTION("""COMPUTED_VALUE"""),"")</f>
        <v/>
      </c>
      <c r="U333" s="36" t="str">
        <f ca="1">IFERROR(__xludf.DUMMYFUNCTION("""COMPUTED_VALUE"""),"")</f>
        <v/>
      </c>
      <c r="V333" s="36" t="str">
        <f ca="1">IFERROR(__xludf.DUMMYFUNCTION("""COMPUTED_VALUE"""),"")</f>
        <v/>
      </c>
      <c r="W333" s="36" t="str">
        <f ca="1">IFERROR(__xludf.DUMMYFUNCTION("""COMPUTED_VALUE"""),"")</f>
        <v/>
      </c>
      <c r="X333" s="36"/>
      <c r="Y333" s="36"/>
      <c r="Z333" s="36"/>
    </row>
    <row r="334" spans="1:26" ht="12.75" hidden="1">
      <c r="A334" s="36" t="str">
        <f ca="1">IFERROR(__xludf.DUMMYFUNCTION("""COMPUTED_VALUE"""),"")</f>
        <v/>
      </c>
      <c r="B334" s="36" t="str">
        <f ca="1">IFERROR(__xludf.DUMMYFUNCTION("""COMPUTED_VALUE"""),"")</f>
        <v/>
      </c>
      <c r="C334" s="36" t="str">
        <f ca="1">IFERROR(__xludf.DUMMYFUNCTION("""COMPUTED_VALUE"""),"")</f>
        <v/>
      </c>
      <c r="D334" s="36" t="str">
        <f ca="1">IFERROR(__xludf.DUMMYFUNCTION("""COMPUTED_VALUE"""),"")</f>
        <v/>
      </c>
      <c r="E334" s="36" t="str">
        <f ca="1">IFERROR(__xludf.DUMMYFUNCTION("""COMPUTED_VALUE"""),"")</f>
        <v/>
      </c>
      <c r="F334" s="36" t="str">
        <f ca="1">IFERROR(__xludf.DUMMYFUNCTION("""COMPUTED_VALUE"""),"")</f>
        <v/>
      </c>
      <c r="G334" s="36" t="str">
        <f ca="1">IFERROR(__xludf.DUMMYFUNCTION("""COMPUTED_VALUE"""),"")</f>
        <v/>
      </c>
      <c r="H334" s="36" t="str">
        <f ca="1">IFERROR(__xludf.DUMMYFUNCTION("""COMPUTED_VALUE"""),"")</f>
        <v/>
      </c>
      <c r="I334" s="36" t="str">
        <f ca="1">IFERROR(__xludf.DUMMYFUNCTION("""COMPUTED_VALUE"""),"")</f>
        <v/>
      </c>
      <c r="J334" s="36" t="str">
        <f ca="1">IFERROR(__xludf.DUMMYFUNCTION("""COMPUTED_VALUE"""),"")</f>
        <v/>
      </c>
      <c r="K334" s="36" t="str">
        <f ca="1">IFERROR(__xludf.DUMMYFUNCTION("""COMPUTED_VALUE"""),"")</f>
        <v/>
      </c>
      <c r="L334" s="36" t="str">
        <f ca="1">IFERROR(__xludf.DUMMYFUNCTION("""COMPUTED_VALUE"""),"")</f>
        <v/>
      </c>
      <c r="M334" s="36" t="str">
        <f ca="1">IFERROR(__xludf.DUMMYFUNCTION("""COMPUTED_VALUE"""),"")</f>
        <v/>
      </c>
      <c r="N334" s="36" t="str">
        <f ca="1">IFERROR(__xludf.DUMMYFUNCTION("""COMPUTED_VALUE"""),"")</f>
        <v/>
      </c>
      <c r="O334" s="36" t="str">
        <f ca="1">IFERROR(__xludf.DUMMYFUNCTION("""COMPUTED_VALUE"""),"")</f>
        <v/>
      </c>
      <c r="P334" s="36" t="str">
        <f ca="1">IFERROR(__xludf.DUMMYFUNCTION("""COMPUTED_VALUE"""),"")</f>
        <v/>
      </c>
      <c r="Q334" s="36" t="str">
        <f ca="1">IFERROR(__xludf.DUMMYFUNCTION("""COMPUTED_VALUE"""),"")</f>
        <v/>
      </c>
      <c r="R334" s="36" t="str">
        <f ca="1">IFERROR(__xludf.DUMMYFUNCTION("""COMPUTED_VALUE"""),"")</f>
        <v/>
      </c>
      <c r="S334" s="36" t="str">
        <f ca="1">IFERROR(__xludf.DUMMYFUNCTION("""COMPUTED_VALUE"""),"")</f>
        <v/>
      </c>
      <c r="T334" s="36" t="str">
        <f ca="1">IFERROR(__xludf.DUMMYFUNCTION("""COMPUTED_VALUE"""),"")</f>
        <v/>
      </c>
      <c r="U334" s="36" t="str">
        <f ca="1">IFERROR(__xludf.DUMMYFUNCTION("""COMPUTED_VALUE"""),"")</f>
        <v/>
      </c>
      <c r="V334" s="36" t="str">
        <f ca="1">IFERROR(__xludf.DUMMYFUNCTION("""COMPUTED_VALUE"""),"")</f>
        <v/>
      </c>
      <c r="W334" s="36" t="str">
        <f ca="1">IFERROR(__xludf.DUMMYFUNCTION("""COMPUTED_VALUE"""),"")</f>
        <v/>
      </c>
      <c r="X334" s="36"/>
      <c r="Y334" s="36"/>
      <c r="Z334" s="36"/>
    </row>
    <row r="335" spans="1:26" ht="12.75" hidden="1">
      <c r="A335" s="36" t="str">
        <f ca="1">IFERROR(__xludf.DUMMYFUNCTION("""COMPUTED_VALUE"""),"")</f>
        <v/>
      </c>
      <c r="B335" s="36" t="str">
        <f ca="1">IFERROR(__xludf.DUMMYFUNCTION("""COMPUTED_VALUE"""),"")</f>
        <v/>
      </c>
      <c r="C335" s="36" t="str">
        <f ca="1">IFERROR(__xludf.DUMMYFUNCTION("""COMPUTED_VALUE"""),"")</f>
        <v/>
      </c>
      <c r="D335" s="36" t="str">
        <f ca="1">IFERROR(__xludf.DUMMYFUNCTION("""COMPUTED_VALUE"""),"")</f>
        <v/>
      </c>
      <c r="E335" s="36" t="str">
        <f ca="1">IFERROR(__xludf.DUMMYFUNCTION("""COMPUTED_VALUE"""),"")</f>
        <v/>
      </c>
      <c r="F335" s="36" t="str">
        <f ca="1">IFERROR(__xludf.DUMMYFUNCTION("""COMPUTED_VALUE"""),"")</f>
        <v/>
      </c>
      <c r="G335" s="36" t="str">
        <f ca="1">IFERROR(__xludf.DUMMYFUNCTION("""COMPUTED_VALUE"""),"")</f>
        <v/>
      </c>
      <c r="H335" s="36" t="str">
        <f ca="1">IFERROR(__xludf.DUMMYFUNCTION("""COMPUTED_VALUE"""),"")</f>
        <v/>
      </c>
      <c r="I335" s="36" t="str">
        <f ca="1">IFERROR(__xludf.DUMMYFUNCTION("""COMPUTED_VALUE"""),"")</f>
        <v/>
      </c>
      <c r="J335" s="36" t="str">
        <f ca="1">IFERROR(__xludf.DUMMYFUNCTION("""COMPUTED_VALUE"""),"")</f>
        <v/>
      </c>
      <c r="K335" s="36" t="str">
        <f ca="1">IFERROR(__xludf.DUMMYFUNCTION("""COMPUTED_VALUE"""),"")</f>
        <v/>
      </c>
      <c r="L335" s="36" t="str">
        <f ca="1">IFERROR(__xludf.DUMMYFUNCTION("""COMPUTED_VALUE"""),"")</f>
        <v/>
      </c>
      <c r="M335" s="36" t="str">
        <f ca="1">IFERROR(__xludf.DUMMYFUNCTION("""COMPUTED_VALUE"""),"")</f>
        <v/>
      </c>
      <c r="N335" s="36" t="str">
        <f ca="1">IFERROR(__xludf.DUMMYFUNCTION("""COMPUTED_VALUE"""),"")</f>
        <v/>
      </c>
      <c r="O335" s="36" t="str">
        <f ca="1">IFERROR(__xludf.DUMMYFUNCTION("""COMPUTED_VALUE"""),"")</f>
        <v/>
      </c>
      <c r="P335" s="36" t="str">
        <f ca="1">IFERROR(__xludf.DUMMYFUNCTION("""COMPUTED_VALUE"""),"")</f>
        <v/>
      </c>
      <c r="Q335" s="36" t="str">
        <f ca="1">IFERROR(__xludf.DUMMYFUNCTION("""COMPUTED_VALUE"""),"")</f>
        <v/>
      </c>
      <c r="R335" s="36" t="str">
        <f ca="1">IFERROR(__xludf.DUMMYFUNCTION("""COMPUTED_VALUE"""),"")</f>
        <v/>
      </c>
      <c r="S335" s="36" t="str">
        <f ca="1">IFERROR(__xludf.DUMMYFUNCTION("""COMPUTED_VALUE"""),"")</f>
        <v/>
      </c>
      <c r="T335" s="36" t="str">
        <f ca="1">IFERROR(__xludf.DUMMYFUNCTION("""COMPUTED_VALUE"""),"")</f>
        <v/>
      </c>
      <c r="U335" s="36" t="str">
        <f ca="1">IFERROR(__xludf.DUMMYFUNCTION("""COMPUTED_VALUE"""),"")</f>
        <v/>
      </c>
      <c r="V335" s="36" t="str">
        <f ca="1">IFERROR(__xludf.DUMMYFUNCTION("""COMPUTED_VALUE"""),"")</f>
        <v/>
      </c>
      <c r="W335" s="36" t="str">
        <f ca="1">IFERROR(__xludf.DUMMYFUNCTION("""COMPUTED_VALUE"""),"")</f>
        <v/>
      </c>
      <c r="X335" s="36"/>
      <c r="Y335" s="36"/>
      <c r="Z335" s="36"/>
    </row>
    <row r="336" spans="1:26" ht="12.75" hidden="1">
      <c r="A336" s="36" t="str">
        <f ca="1">IFERROR(__xludf.DUMMYFUNCTION("""COMPUTED_VALUE"""),"")</f>
        <v/>
      </c>
      <c r="B336" s="36" t="str">
        <f ca="1">IFERROR(__xludf.DUMMYFUNCTION("""COMPUTED_VALUE"""),"")</f>
        <v/>
      </c>
      <c r="C336" s="36" t="str">
        <f ca="1">IFERROR(__xludf.DUMMYFUNCTION("""COMPUTED_VALUE"""),"")</f>
        <v/>
      </c>
      <c r="D336" s="36" t="str">
        <f ca="1">IFERROR(__xludf.DUMMYFUNCTION("""COMPUTED_VALUE"""),"")</f>
        <v/>
      </c>
      <c r="E336" s="36" t="str">
        <f ca="1">IFERROR(__xludf.DUMMYFUNCTION("""COMPUTED_VALUE"""),"")</f>
        <v/>
      </c>
      <c r="F336" s="36" t="str">
        <f ca="1">IFERROR(__xludf.DUMMYFUNCTION("""COMPUTED_VALUE"""),"")</f>
        <v/>
      </c>
      <c r="G336" s="36" t="str">
        <f ca="1">IFERROR(__xludf.DUMMYFUNCTION("""COMPUTED_VALUE"""),"")</f>
        <v/>
      </c>
      <c r="H336" s="36" t="str">
        <f ca="1">IFERROR(__xludf.DUMMYFUNCTION("""COMPUTED_VALUE"""),"")</f>
        <v/>
      </c>
      <c r="I336" s="36" t="str">
        <f ca="1">IFERROR(__xludf.DUMMYFUNCTION("""COMPUTED_VALUE"""),"")</f>
        <v/>
      </c>
      <c r="J336" s="36" t="str">
        <f ca="1">IFERROR(__xludf.DUMMYFUNCTION("""COMPUTED_VALUE"""),"")</f>
        <v/>
      </c>
      <c r="K336" s="36" t="str">
        <f ca="1">IFERROR(__xludf.DUMMYFUNCTION("""COMPUTED_VALUE"""),"")</f>
        <v/>
      </c>
      <c r="L336" s="36" t="str">
        <f ca="1">IFERROR(__xludf.DUMMYFUNCTION("""COMPUTED_VALUE"""),"")</f>
        <v/>
      </c>
      <c r="M336" s="36" t="str">
        <f ca="1">IFERROR(__xludf.DUMMYFUNCTION("""COMPUTED_VALUE"""),"")</f>
        <v/>
      </c>
      <c r="N336" s="36" t="str">
        <f ca="1">IFERROR(__xludf.DUMMYFUNCTION("""COMPUTED_VALUE"""),"")</f>
        <v/>
      </c>
      <c r="O336" s="36" t="str">
        <f ca="1">IFERROR(__xludf.DUMMYFUNCTION("""COMPUTED_VALUE"""),"")</f>
        <v/>
      </c>
      <c r="P336" s="36" t="str">
        <f ca="1">IFERROR(__xludf.DUMMYFUNCTION("""COMPUTED_VALUE"""),"")</f>
        <v/>
      </c>
      <c r="Q336" s="36" t="str">
        <f ca="1">IFERROR(__xludf.DUMMYFUNCTION("""COMPUTED_VALUE"""),"")</f>
        <v/>
      </c>
      <c r="R336" s="36" t="str">
        <f ca="1">IFERROR(__xludf.DUMMYFUNCTION("""COMPUTED_VALUE"""),"")</f>
        <v/>
      </c>
      <c r="S336" s="36" t="str">
        <f ca="1">IFERROR(__xludf.DUMMYFUNCTION("""COMPUTED_VALUE"""),"")</f>
        <v/>
      </c>
      <c r="T336" s="36" t="str">
        <f ca="1">IFERROR(__xludf.DUMMYFUNCTION("""COMPUTED_VALUE"""),"")</f>
        <v/>
      </c>
      <c r="U336" s="36" t="str">
        <f ca="1">IFERROR(__xludf.DUMMYFUNCTION("""COMPUTED_VALUE"""),"")</f>
        <v/>
      </c>
      <c r="V336" s="36" t="str">
        <f ca="1">IFERROR(__xludf.DUMMYFUNCTION("""COMPUTED_VALUE"""),"")</f>
        <v/>
      </c>
      <c r="W336" s="36" t="str">
        <f ca="1">IFERROR(__xludf.DUMMYFUNCTION("""COMPUTED_VALUE"""),"")</f>
        <v/>
      </c>
      <c r="X336" s="36"/>
      <c r="Y336" s="36"/>
      <c r="Z336" s="36"/>
    </row>
    <row r="337" spans="1:26" ht="12.75" hidden="1">
      <c r="A337" s="36" t="str">
        <f ca="1">IFERROR(__xludf.DUMMYFUNCTION("""COMPUTED_VALUE"""),"")</f>
        <v/>
      </c>
      <c r="B337" s="36" t="str">
        <f ca="1">IFERROR(__xludf.DUMMYFUNCTION("""COMPUTED_VALUE"""),"")</f>
        <v/>
      </c>
      <c r="C337" s="36" t="str">
        <f ca="1">IFERROR(__xludf.DUMMYFUNCTION("""COMPUTED_VALUE"""),"")</f>
        <v/>
      </c>
      <c r="D337" s="36" t="str">
        <f ca="1">IFERROR(__xludf.DUMMYFUNCTION("""COMPUTED_VALUE"""),"")</f>
        <v/>
      </c>
      <c r="E337" s="36" t="str">
        <f ca="1">IFERROR(__xludf.DUMMYFUNCTION("""COMPUTED_VALUE"""),"")</f>
        <v/>
      </c>
      <c r="F337" s="36" t="str">
        <f ca="1">IFERROR(__xludf.DUMMYFUNCTION("""COMPUTED_VALUE"""),"")</f>
        <v/>
      </c>
      <c r="G337" s="36" t="str">
        <f ca="1">IFERROR(__xludf.DUMMYFUNCTION("""COMPUTED_VALUE"""),"")</f>
        <v/>
      </c>
      <c r="H337" s="36" t="str">
        <f ca="1">IFERROR(__xludf.DUMMYFUNCTION("""COMPUTED_VALUE"""),"")</f>
        <v/>
      </c>
      <c r="I337" s="36" t="str">
        <f ca="1">IFERROR(__xludf.DUMMYFUNCTION("""COMPUTED_VALUE"""),"")</f>
        <v/>
      </c>
      <c r="J337" s="36" t="str">
        <f ca="1">IFERROR(__xludf.DUMMYFUNCTION("""COMPUTED_VALUE"""),"")</f>
        <v/>
      </c>
      <c r="K337" s="36" t="str">
        <f ca="1">IFERROR(__xludf.DUMMYFUNCTION("""COMPUTED_VALUE"""),"")</f>
        <v/>
      </c>
      <c r="L337" s="36" t="str">
        <f ca="1">IFERROR(__xludf.DUMMYFUNCTION("""COMPUTED_VALUE"""),"")</f>
        <v/>
      </c>
      <c r="M337" s="36" t="str">
        <f ca="1">IFERROR(__xludf.DUMMYFUNCTION("""COMPUTED_VALUE"""),"")</f>
        <v/>
      </c>
      <c r="N337" s="36" t="str">
        <f ca="1">IFERROR(__xludf.DUMMYFUNCTION("""COMPUTED_VALUE"""),"")</f>
        <v/>
      </c>
      <c r="O337" s="36" t="str">
        <f ca="1">IFERROR(__xludf.DUMMYFUNCTION("""COMPUTED_VALUE"""),"")</f>
        <v/>
      </c>
      <c r="P337" s="36" t="str">
        <f ca="1">IFERROR(__xludf.DUMMYFUNCTION("""COMPUTED_VALUE"""),"")</f>
        <v/>
      </c>
      <c r="Q337" s="36" t="str">
        <f ca="1">IFERROR(__xludf.DUMMYFUNCTION("""COMPUTED_VALUE"""),"")</f>
        <v/>
      </c>
      <c r="R337" s="36" t="str">
        <f ca="1">IFERROR(__xludf.DUMMYFUNCTION("""COMPUTED_VALUE"""),"")</f>
        <v/>
      </c>
      <c r="S337" s="36" t="str">
        <f ca="1">IFERROR(__xludf.DUMMYFUNCTION("""COMPUTED_VALUE"""),"")</f>
        <v/>
      </c>
      <c r="T337" s="36" t="str">
        <f ca="1">IFERROR(__xludf.DUMMYFUNCTION("""COMPUTED_VALUE"""),"")</f>
        <v/>
      </c>
      <c r="U337" s="36" t="str">
        <f ca="1">IFERROR(__xludf.DUMMYFUNCTION("""COMPUTED_VALUE"""),"")</f>
        <v/>
      </c>
      <c r="V337" s="36" t="str">
        <f ca="1">IFERROR(__xludf.DUMMYFUNCTION("""COMPUTED_VALUE"""),"")</f>
        <v/>
      </c>
      <c r="W337" s="36" t="str">
        <f ca="1">IFERROR(__xludf.DUMMYFUNCTION("""COMPUTED_VALUE"""),"")</f>
        <v/>
      </c>
      <c r="X337" s="36"/>
      <c r="Y337" s="36"/>
      <c r="Z337" s="36"/>
    </row>
    <row r="338" spans="1:26" ht="12.75" hidden="1">
      <c r="A338" s="36" t="str">
        <f ca="1">IFERROR(__xludf.DUMMYFUNCTION("""COMPUTED_VALUE"""),"")</f>
        <v/>
      </c>
      <c r="B338" s="36" t="str">
        <f ca="1">IFERROR(__xludf.DUMMYFUNCTION("""COMPUTED_VALUE"""),"")</f>
        <v/>
      </c>
      <c r="C338" s="36" t="str">
        <f ca="1">IFERROR(__xludf.DUMMYFUNCTION("""COMPUTED_VALUE"""),"")</f>
        <v/>
      </c>
      <c r="D338" s="36" t="str">
        <f ca="1">IFERROR(__xludf.DUMMYFUNCTION("""COMPUTED_VALUE"""),"")</f>
        <v/>
      </c>
      <c r="E338" s="36" t="str">
        <f ca="1">IFERROR(__xludf.DUMMYFUNCTION("""COMPUTED_VALUE"""),"")</f>
        <v/>
      </c>
      <c r="F338" s="36" t="str">
        <f ca="1">IFERROR(__xludf.DUMMYFUNCTION("""COMPUTED_VALUE"""),"")</f>
        <v/>
      </c>
      <c r="G338" s="36" t="str">
        <f ca="1">IFERROR(__xludf.DUMMYFUNCTION("""COMPUTED_VALUE"""),"")</f>
        <v/>
      </c>
      <c r="H338" s="36" t="str">
        <f ca="1">IFERROR(__xludf.DUMMYFUNCTION("""COMPUTED_VALUE"""),"")</f>
        <v/>
      </c>
      <c r="I338" s="36" t="str">
        <f ca="1">IFERROR(__xludf.DUMMYFUNCTION("""COMPUTED_VALUE"""),"")</f>
        <v/>
      </c>
      <c r="J338" s="36" t="str">
        <f ca="1">IFERROR(__xludf.DUMMYFUNCTION("""COMPUTED_VALUE"""),"")</f>
        <v/>
      </c>
      <c r="K338" s="36" t="str">
        <f ca="1">IFERROR(__xludf.DUMMYFUNCTION("""COMPUTED_VALUE"""),"")</f>
        <v/>
      </c>
      <c r="L338" s="36" t="str">
        <f ca="1">IFERROR(__xludf.DUMMYFUNCTION("""COMPUTED_VALUE"""),"")</f>
        <v/>
      </c>
      <c r="M338" s="36" t="str">
        <f ca="1">IFERROR(__xludf.DUMMYFUNCTION("""COMPUTED_VALUE"""),"")</f>
        <v/>
      </c>
      <c r="N338" s="36" t="str">
        <f ca="1">IFERROR(__xludf.DUMMYFUNCTION("""COMPUTED_VALUE"""),"")</f>
        <v/>
      </c>
      <c r="O338" s="36" t="str">
        <f ca="1">IFERROR(__xludf.DUMMYFUNCTION("""COMPUTED_VALUE"""),"")</f>
        <v/>
      </c>
      <c r="P338" s="36" t="str">
        <f ca="1">IFERROR(__xludf.DUMMYFUNCTION("""COMPUTED_VALUE"""),"")</f>
        <v/>
      </c>
      <c r="Q338" s="36" t="str">
        <f ca="1">IFERROR(__xludf.DUMMYFUNCTION("""COMPUTED_VALUE"""),"")</f>
        <v/>
      </c>
      <c r="R338" s="36" t="str">
        <f ca="1">IFERROR(__xludf.DUMMYFUNCTION("""COMPUTED_VALUE"""),"")</f>
        <v/>
      </c>
      <c r="S338" s="36" t="str">
        <f ca="1">IFERROR(__xludf.DUMMYFUNCTION("""COMPUTED_VALUE"""),"")</f>
        <v/>
      </c>
      <c r="T338" s="36" t="str">
        <f ca="1">IFERROR(__xludf.DUMMYFUNCTION("""COMPUTED_VALUE"""),"")</f>
        <v/>
      </c>
      <c r="U338" s="36" t="str">
        <f ca="1">IFERROR(__xludf.DUMMYFUNCTION("""COMPUTED_VALUE"""),"")</f>
        <v/>
      </c>
      <c r="V338" s="36" t="str">
        <f ca="1">IFERROR(__xludf.DUMMYFUNCTION("""COMPUTED_VALUE"""),"")</f>
        <v/>
      </c>
      <c r="W338" s="36" t="str">
        <f ca="1">IFERROR(__xludf.DUMMYFUNCTION("""COMPUTED_VALUE"""),"")</f>
        <v/>
      </c>
      <c r="X338" s="36"/>
      <c r="Y338" s="36"/>
      <c r="Z338" s="36"/>
    </row>
    <row r="339" spans="1:26" ht="12.75" hidden="1">
      <c r="A339" s="36" t="str">
        <f ca="1">IFERROR(__xludf.DUMMYFUNCTION("""COMPUTED_VALUE"""),"")</f>
        <v/>
      </c>
      <c r="B339" s="36" t="str">
        <f ca="1">IFERROR(__xludf.DUMMYFUNCTION("""COMPUTED_VALUE"""),"")</f>
        <v/>
      </c>
      <c r="C339" s="36" t="str">
        <f ca="1">IFERROR(__xludf.DUMMYFUNCTION("""COMPUTED_VALUE"""),"")</f>
        <v/>
      </c>
      <c r="D339" s="36" t="str">
        <f ca="1">IFERROR(__xludf.DUMMYFUNCTION("""COMPUTED_VALUE"""),"")</f>
        <v/>
      </c>
      <c r="E339" s="36" t="str">
        <f ca="1">IFERROR(__xludf.DUMMYFUNCTION("""COMPUTED_VALUE"""),"")</f>
        <v/>
      </c>
      <c r="F339" s="36" t="str">
        <f ca="1">IFERROR(__xludf.DUMMYFUNCTION("""COMPUTED_VALUE"""),"")</f>
        <v/>
      </c>
      <c r="G339" s="36" t="str">
        <f ca="1">IFERROR(__xludf.DUMMYFUNCTION("""COMPUTED_VALUE"""),"")</f>
        <v/>
      </c>
      <c r="H339" s="36" t="str">
        <f ca="1">IFERROR(__xludf.DUMMYFUNCTION("""COMPUTED_VALUE"""),"")</f>
        <v/>
      </c>
      <c r="I339" s="36" t="str">
        <f ca="1">IFERROR(__xludf.DUMMYFUNCTION("""COMPUTED_VALUE"""),"")</f>
        <v/>
      </c>
      <c r="J339" s="36" t="str">
        <f ca="1">IFERROR(__xludf.DUMMYFUNCTION("""COMPUTED_VALUE"""),"")</f>
        <v/>
      </c>
      <c r="K339" s="36" t="str">
        <f ca="1">IFERROR(__xludf.DUMMYFUNCTION("""COMPUTED_VALUE"""),"")</f>
        <v/>
      </c>
      <c r="L339" s="36" t="str">
        <f ca="1">IFERROR(__xludf.DUMMYFUNCTION("""COMPUTED_VALUE"""),"")</f>
        <v/>
      </c>
      <c r="M339" s="36" t="str">
        <f ca="1">IFERROR(__xludf.DUMMYFUNCTION("""COMPUTED_VALUE"""),"")</f>
        <v/>
      </c>
      <c r="N339" s="36" t="str">
        <f ca="1">IFERROR(__xludf.DUMMYFUNCTION("""COMPUTED_VALUE"""),"")</f>
        <v/>
      </c>
      <c r="O339" s="36" t="str">
        <f ca="1">IFERROR(__xludf.DUMMYFUNCTION("""COMPUTED_VALUE"""),"")</f>
        <v/>
      </c>
      <c r="P339" s="36" t="str">
        <f ca="1">IFERROR(__xludf.DUMMYFUNCTION("""COMPUTED_VALUE"""),"")</f>
        <v/>
      </c>
      <c r="Q339" s="36" t="str">
        <f ca="1">IFERROR(__xludf.DUMMYFUNCTION("""COMPUTED_VALUE"""),"")</f>
        <v/>
      </c>
      <c r="R339" s="36" t="str">
        <f ca="1">IFERROR(__xludf.DUMMYFUNCTION("""COMPUTED_VALUE"""),"")</f>
        <v/>
      </c>
      <c r="S339" s="36" t="str">
        <f ca="1">IFERROR(__xludf.DUMMYFUNCTION("""COMPUTED_VALUE"""),"")</f>
        <v/>
      </c>
      <c r="T339" s="36" t="str">
        <f ca="1">IFERROR(__xludf.DUMMYFUNCTION("""COMPUTED_VALUE"""),"")</f>
        <v/>
      </c>
      <c r="U339" s="36" t="str">
        <f ca="1">IFERROR(__xludf.DUMMYFUNCTION("""COMPUTED_VALUE"""),"")</f>
        <v/>
      </c>
      <c r="V339" s="36" t="str">
        <f ca="1">IFERROR(__xludf.DUMMYFUNCTION("""COMPUTED_VALUE"""),"")</f>
        <v/>
      </c>
      <c r="W339" s="36" t="str">
        <f ca="1">IFERROR(__xludf.DUMMYFUNCTION("""COMPUTED_VALUE"""),"")</f>
        <v/>
      </c>
      <c r="X339" s="36"/>
      <c r="Y339" s="36"/>
      <c r="Z339" s="36"/>
    </row>
    <row r="340" spans="1:26" ht="12.75" hidden="1">
      <c r="A340" s="36" t="str">
        <f ca="1">IFERROR(__xludf.DUMMYFUNCTION("""COMPUTED_VALUE"""),"")</f>
        <v/>
      </c>
      <c r="B340" s="36" t="str">
        <f ca="1">IFERROR(__xludf.DUMMYFUNCTION("""COMPUTED_VALUE"""),"")</f>
        <v/>
      </c>
      <c r="C340" s="36" t="str">
        <f ca="1">IFERROR(__xludf.DUMMYFUNCTION("""COMPUTED_VALUE"""),"")</f>
        <v/>
      </c>
      <c r="D340" s="36" t="str">
        <f ca="1">IFERROR(__xludf.DUMMYFUNCTION("""COMPUTED_VALUE"""),"")</f>
        <v/>
      </c>
      <c r="E340" s="36" t="str">
        <f ca="1">IFERROR(__xludf.DUMMYFUNCTION("""COMPUTED_VALUE"""),"")</f>
        <v/>
      </c>
      <c r="F340" s="36" t="str">
        <f ca="1">IFERROR(__xludf.DUMMYFUNCTION("""COMPUTED_VALUE"""),"")</f>
        <v/>
      </c>
      <c r="G340" s="36" t="str">
        <f ca="1">IFERROR(__xludf.DUMMYFUNCTION("""COMPUTED_VALUE"""),"")</f>
        <v/>
      </c>
      <c r="H340" s="36" t="str">
        <f ca="1">IFERROR(__xludf.DUMMYFUNCTION("""COMPUTED_VALUE"""),"")</f>
        <v/>
      </c>
      <c r="I340" s="36" t="str">
        <f ca="1">IFERROR(__xludf.DUMMYFUNCTION("""COMPUTED_VALUE"""),"")</f>
        <v/>
      </c>
      <c r="J340" s="36" t="str">
        <f ca="1">IFERROR(__xludf.DUMMYFUNCTION("""COMPUTED_VALUE"""),"")</f>
        <v/>
      </c>
      <c r="K340" s="36" t="str">
        <f ca="1">IFERROR(__xludf.DUMMYFUNCTION("""COMPUTED_VALUE"""),"")</f>
        <v/>
      </c>
      <c r="L340" s="36" t="str">
        <f ca="1">IFERROR(__xludf.DUMMYFUNCTION("""COMPUTED_VALUE"""),"")</f>
        <v/>
      </c>
      <c r="M340" s="36" t="str">
        <f ca="1">IFERROR(__xludf.DUMMYFUNCTION("""COMPUTED_VALUE"""),"")</f>
        <v/>
      </c>
      <c r="N340" s="36" t="str">
        <f ca="1">IFERROR(__xludf.DUMMYFUNCTION("""COMPUTED_VALUE"""),"")</f>
        <v/>
      </c>
      <c r="O340" s="36" t="str">
        <f ca="1">IFERROR(__xludf.DUMMYFUNCTION("""COMPUTED_VALUE"""),"")</f>
        <v/>
      </c>
      <c r="P340" s="36" t="str">
        <f ca="1">IFERROR(__xludf.DUMMYFUNCTION("""COMPUTED_VALUE"""),"")</f>
        <v/>
      </c>
      <c r="Q340" s="36" t="str">
        <f ca="1">IFERROR(__xludf.DUMMYFUNCTION("""COMPUTED_VALUE"""),"")</f>
        <v/>
      </c>
      <c r="R340" s="36" t="str">
        <f ca="1">IFERROR(__xludf.DUMMYFUNCTION("""COMPUTED_VALUE"""),"")</f>
        <v/>
      </c>
      <c r="S340" s="36" t="str">
        <f ca="1">IFERROR(__xludf.DUMMYFUNCTION("""COMPUTED_VALUE"""),"")</f>
        <v/>
      </c>
      <c r="T340" s="36" t="str">
        <f ca="1">IFERROR(__xludf.DUMMYFUNCTION("""COMPUTED_VALUE"""),"")</f>
        <v/>
      </c>
      <c r="U340" s="36" t="str">
        <f ca="1">IFERROR(__xludf.DUMMYFUNCTION("""COMPUTED_VALUE"""),"")</f>
        <v/>
      </c>
      <c r="V340" s="36" t="str">
        <f ca="1">IFERROR(__xludf.DUMMYFUNCTION("""COMPUTED_VALUE"""),"")</f>
        <v/>
      </c>
      <c r="W340" s="36" t="str">
        <f ca="1">IFERROR(__xludf.DUMMYFUNCTION("""COMPUTED_VALUE"""),"")</f>
        <v/>
      </c>
      <c r="X340" s="36"/>
      <c r="Y340" s="36"/>
      <c r="Z340" s="36"/>
    </row>
    <row r="341" spans="1:26" ht="12.75" hidden="1">
      <c r="A341" s="36" t="str">
        <f ca="1">IFERROR(__xludf.DUMMYFUNCTION("""COMPUTED_VALUE"""),"")</f>
        <v/>
      </c>
      <c r="B341" s="36" t="str">
        <f ca="1">IFERROR(__xludf.DUMMYFUNCTION("""COMPUTED_VALUE"""),"")</f>
        <v/>
      </c>
      <c r="C341" s="36" t="str">
        <f ca="1">IFERROR(__xludf.DUMMYFUNCTION("""COMPUTED_VALUE"""),"")</f>
        <v/>
      </c>
      <c r="D341" s="36" t="str">
        <f ca="1">IFERROR(__xludf.DUMMYFUNCTION("""COMPUTED_VALUE"""),"")</f>
        <v/>
      </c>
      <c r="E341" s="36" t="str">
        <f ca="1">IFERROR(__xludf.DUMMYFUNCTION("""COMPUTED_VALUE"""),"")</f>
        <v/>
      </c>
      <c r="F341" s="36" t="str">
        <f ca="1">IFERROR(__xludf.DUMMYFUNCTION("""COMPUTED_VALUE"""),"")</f>
        <v/>
      </c>
      <c r="G341" s="36" t="str">
        <f ca="1">IFERROR(__xludf.DUMMYFUNCTION("""COMPUTED_VALUE"""),"")</f>
        <v/>
      </c>
      <c r="H341" s="36" t="str">
        <f ca="1">IFERROR(__xludf.DUMMYFUNCTION("""COMPUTED_VALUE"""),"")</f>
        <v/>
      </c>
      <c r="I341" s="36" t="str">
        <f ca="1">IFERROR(__xludf.DUMMYFUNCTION("""COMPUTED_VALUE"""),"")</f>
        <v/>
      </c>
      <c r="J341" s="36" t="str">
        <f ca="1">IFERROR(__xludf.DUMMYFUNCTION("""COMPUTED_VALUE"""),"")</f>
        <v/>
      </c>
      <c r="K341" s="36" t="str">
        <f ca="1">IFERROR(__xludf.DUMMYFUNCTION("""COMPUTED_VALUE"""),"")</f>
        <v/>
      </c>
      <c r="L341" s="36" t="str">
        <f ca="1">IFERROR(__xludf.DUMMYFUNCTION("""COMPUTED_VALUE"""),"")</f>
        <v/>
      </c>
      <c r="M341" s="36" t="str">
        <f ca="1">IFERROR(__xludf.DUMMYFUNCTION("""COMPUTED_VALUE"""),"")</f>
        <v/>
      </c>
      <c r="N341" s="36" t="str">
        <f ca="1">IFERROR(__xludf.DUMMYFUNCTION("""COMPUTED_VALUE"""),"")</f>
        <v/>
      </c>
      <c r="O341" s="36" t="str">
        <f ca="1">IFERROR(__xludf.DUMMYFUNCTION("""COMPUTED_VALUE"""),"")</f>
        <v/>
      </c>
      <c r="P341" s="36" t="str">
        <f ca="1">IFERROR(__xludf.DUMMYFUNCTION("""COMPUTED_VALUE"""),"")</f>
        <v/>
      </c>
      <c r="Q341" s="36" t="str">
        <f ca="1">IFERROR(__xludf.DUMMYFUNCTION("""COMPUTED_VALUE"""),"")</f>
        <v/>
      </c>
      <c r="R341" s="36" t="str">
        <f ca="1">IFERROR(__xludf.DUMMYFUNCTION("""COMPUTED_VALUE"""),"")</f>
        <v/>
      </c>
      <c r="S341" s="36" t="str">
        <f ca="1">IFERROR(__xludf.DUMMYFUNCTION("""COMPUTED_VALUE"""),"")</f>
        <v/>
      </c>
      <c r="T341" s="36" t="str">
        <f ca="1">IFERROR(__xludf.DUMMYFUNCTION("""COMPUTED_VALUE"""),"")</f>
        <v/>
      </c>
      <c r="U341" s="36" t="str">
        <f ca="1">IFERROR(__xludf.DUMMYFUNCTION("""COMPUTED_VALUE"""),"")</f>
        <v/>
      </c>
      <c r="V341" s="36" t="str">
        <f ca="1">IFERROR(__xludf.DUMMYFUNCTION("""COMPUTED_VALUE"""),"")</f>
        <v/>
      </c>
      <c r="W341" s="36" t="str">
        <f ca="1">IFERROR(__xludf.DUMMYFUNCTION("""COMPUTED_VALUE"""),"")</f>
        <v/>
      </c>
      <c r="X341" s="36"/>
      <c r="Y341" s="36"/>
      <c r="Z341" s="36"/>
    </row>
    <row r="342" spans="1:26" ht="12.75" hidden="1">
      <c r="A342" s="36" t="str">
        <f ca="1">IFERROR(__xludf.DUMMYFUNCTION("""COMPUTED_VALUE"""),"")</f>
        <v/>
      </c>
      <c r="B342" s="36" t="str">
        <f ca="1">IFERROR(__xludf.DUMMYFUNCTION("""COMPUTED_VALUE"""),"")</f>
        <v/>
      </c>
      <c r="C342" s="36" t="str">
        <f ca="1">IFERROR(__xludf.DUMMYFUNCTION("""COMPUTED_VALUE"""),"")</f>
        <v/>
      </c>
      <c r="D342" s="36" t="str">
        <f ca="1">IFERROR(__xludf.DUMMYFUNCTION("""COMPUTED_VALUE"""),"")</f>
        <v/>
      </c>
      <c r="E342" s="36" t="str">
        <f ca="1">IFERROR(__xludf.DUMMYFUNCTION("""COMPUTED_VALUE"""),"")</f>
        <v/>
      </c>
      <c r="F342" s="36" t="str">
        <f ca="1">IFERROR(__xludf.DUMMYFUNCTION("""COMPUTED_VALUE"""),"")</f>
        <v/>
      </c>
      <c r="G342" s="36" t="str">
        <f ca="1">IFERROR(__xludf.DUMMYFUNCTION("""COMPUTED_VALUE"""),"")</f>
        <v/>
      </c>
      <c r="H342" s="36" t="str">
        <f ca="1">IFERROR(__xludf.DUMMYFUNCTION("""COMPUTED_VALUE"""),"")</f>
        <v/>
      </c>
      <c r="I342" s="36" t="str">
        <f ca="1">IFERROR(__xludf.DUMMYFUNCTION("""COMPUTED_VALUE"""),"")</f>
        <v/>
      </c>
      <c r="J342" s="36" t="str">
        <f ca="1">IFERROR(__xludf.DUMMYFUNCTION("""COMPUTED_VALUE"""),"")</f>
        <v/>
      </c>
      <c r="K342" s="36" t="str">
        <f ca="1">IFERROR(__xludf.DUMMYFUNCTION("""COMPUTED_VALUE"""),"")</f>
        <v/>
      </c>
      <c r="L342" s="36" t="str">
        <f ca="1">IFERROR(__xludf.DUMMYFUNCTION("""COMPUTED_VALUE"""),"")</f>
        <v/>
      </c>
      <c r="M342" s="36" t="str">
        <f ca="1">IFERROR(__xludf.DUMMYFUNCTION("""COMPUTED_VALUE"""),"")</f>
        <v/>
      </c>
      <c r="N342" s="36" t="str">
        <f ca="1">IFERROR(__xludf.DUMMYFUNCTION("""COMPUTED_VALUE"""),"")</f>
        <v/>
      </c>
      <c r="O342" s="36" t="str">
        <f ca="1">IFERROR(__xludf.DUMMYFUNCTION("""COMPUTED_VALUE"""),"")</f>
        <v/>
      </c>
      <c r="P342" s="36" t="str">
        <f ca="1">IFERROR(__xludf.DUMMYFUNCTION("""COMPUTED_VALUE"""),"")</f>
        <v/>
      </c>
      <c r="Q342" s="36" t="str">
        <f ca="1">IFERROR(__xludf.DUMMYFUNCTION("""COMPUTED_VALUE"""),"")</f>
        <v/>
      </c>
      <c r="R342" s="36" t="str">
        <f ca="1">IFERROR(__xludf.DUMMYFUNCTION("""COMPUTED_VALUE"""),"")</f>
        <v/>
      </c>
      <c r="S342" s="36" t="str">
        <f ca="1">IFERROR(__xludf.DUMMYFUNCTION("""COMPUTED_VALUE"""),"")</f>
        <v/>
      </c>
      <c r="T342" s="36" t="str">
        <f ca="1">IFERROR(__xludf.DUMMYFUNCTION("""COMPUTED_VALUE"""),"")</f>
        <v/>
      </c>
      <c r="U342" s="36" t="str">
        <f ca="1">IFERROR(__xludf.DUMMYFUNCTION("""COMPUTED_VALUE"""),"")</f>
        <v/>
      </c>
      <c r="V342" s="36" t="str">
        <f ca="1">IFERROR(__xludf.DUMMYFUNCTION("""COMPUTED_VALUE"""),"")</f>
        <v/>
      </c>
      <c r="W342" s="36" t="str">
        <f ca="1">IFERROR(__xludf.DUMMYFUNCTION("""COMPUTED_VALUE"""),"")</f>
        <v/>
      </c>
      <c r="X342" s="36"/>
      <c r="Y342" s="36"/>
      <c r="Z342" s="36"/>
    </row>
    <row r="343" spans="1:26" ht="12.75" hidden="1">
      <c r="A343" s="36" t="str">
        <f ca="1">IFERROR(__xludf.DUMMYFUNCTION("""COMPUTED_VALUE"""),"")</f>
        <v/>
      </c>
      <c r="B343" s="36" t="str">
        <f ca="1">IFERROR(__xludf.DUMMYFUNCTION("""COMPUTED_VALUE"""),"")</f>
        <v/>
      </c>
      <c r="C343" s="36" t="str">
        <f ca="1">IFERROR(__xludf.DUMMYFUNCTION("""COMPUTED_VALUE"""),"")</f>
        <v/>
      </c>
      <c r="D343" s="36" t="str">
        <f ca="1">IFERROR(__xludf.DUMMYFUNCTION("""COMPUTED_VALUE"""),"")</f>
        <v/>
      </c>
      <c r="E343" s="36" t="str">
        <f ca="1">IFERROR(__xludf.DUMMYFUNCTION("""COMPUTED_VALUE"""),"")</f>
        <v/>
      </c>
      <c r="F343" s="36" t="str">
        <f ca="1">IFERROR(__xludf.DUMMYFUNCTION("""COMPUTED_VALUE"""),"")</f>
        <v/>
      </c>
      <c r="G343" s="36" t="str">
        <f ca="1">IFERROR(__xludf.DUMMYFUNCTION("""COMPUTED_VALUE"""),"")</f>
        <v/>
      </c>
      <c r="H343" s="36" t="str">
        <f ca="1">IFERROR(__xludf.DUMMYFUNCTION("""COMPUTED_VALUE"""),"")</f>
        <v/>
      </c>
      <c r="I343" s="36" t="str">
        <f ca="1">IFERROR(__xludf.DUMMYFUNCTION("""COMPUTED_VALUE"""),"")</f>
        <v/>
      </c>
      <c r="J343" s="36" t="str">
        <f ca="1">IFERROR(__xludf.DUMMYFUNCTION("""COMPUTED_VALUE"""),"")</f>
        <v/>
      </c>
      <c r="K343" s="36" t="str">
        <f ca="1">IFERROR(__xludf.DUMMYFUNCTION("""COMPUTED_VALUE"""),"")</f>
        <v/>
      </c>
      <c r="L343" s="36" t="str">
        <f ca="1">IFERROR(__xludf.DUMMYFUNCTION("""COMPUTED_VALUE"""),"")</f>
        <v/>
      </c>
      <c r="M343" s="36" t="str">
        <f ca="1">IFERROR(__xludf.DUMMYFUNCTION("""COMPUTED_VALUE"""),"")</f>
        <v/>
      </c>
      <c r="N343" s="36" t="str">
        <f ca="1">IFERROR(__xludf.DUMMYFUNCTION("""COMPUTED_VALUE"""),"")</f>
        <v/>
      </c>
      <c r="O343" s="36" t="str">
        <f ca="1">IFERROR(__xludf.DUMMYFUNCTION("""COMPUTED_VALUE"""),"")</f>
        <v/>
      </c>
      <c r="P343" s="36" t="str">
        <f ca="1">IFERROR(__xludf.DUMMYFUNCTION("""COMPUTED_VALUE"""),"")</f>
        <v/>
      </c>
      <c r="Q343" s="36" t="str">
        <f ca="1">IFERROR(__xludf.DUMMYFUNCTION("""COMPUTED_VALUE"""),"")</f>
        <v/>
      </c>
      <c r="R343" s="36" t="str">
        <f ca="1">IFERROR(__xludf.DUMMYFUNCTION("""COMPUTED_VALUE"""),"")</f>
        <v/>
      </c>
      <c r="S343" s="36" t="str">
        <f ca="1">IFERROR(__xludf.DUMMYFUNCTION("""COMPUTED_VALUE"""),"")</f>
        <v/>
      </c>
      <c r="T343" s="36" t="str">
        <f ca="1">IFERROR(__xludf.DUMMYFUNCTION("""COMPUTED_VALUE"""),"")</f>
        <v/>
      </c>
      <c r="U343" s="36" t="str">
        <f ca="1">IFERROR(__xludf.DUMMYFUNCTION("""COMPUTED_VALUE"""),"")</f>
        <v/>
      </c>
      <c r="V343" s="36" t="str">
        <f ca="1">IFERROR(__xludf.DUMMYFUNCTION("""COMPUTED_VALUE"""),"")</f>
        <v/>
      </c>
      <c r="W343" s="36" t="str">
        <f ca="1">IFERROR(__xludf.DUMMYFUNCTION("""COMPUTED_VALUE"""),"")</f>
        <v/>
      </c>
      <c r="X343" s="36"/>
      <c r="Y343" s="36"/>
      <c r="Z343" s="36"/>
    </row>
    <row r="344" spans="1:26" ht="12.75" hidden="1">
      <c r="A344" s="36" t="str">
        <f ca="1">IFERROR(__xludf.DUMMYFUNCTION("""COMPUTED_VALUE"""),"")</f>
        <v/>
      </c>
      <c r="B344" s="36" t="str">
        <f ca="1">IFERROR(__xludf.DUMMYFUNCTION("""COMPUTED_VALUE"""),"")</f>
        <v/>
      </c>
      <c r="C344" s="36" t="str">
        <f ca="1">IFERROR(__xludf.DUMMYFUNCTION("""COMPUTED_VALUE"""),"")</f>
        <v/>
      </c>
      <c r="D344" s="36" t="str">
        <f ca="1">IFERROR(__xludf.DUMMYFUNCTION("""COMPUTED_VALUE"""),"")</f>
        <v/>
      </c>
      <c r="E344" s="36" t="str">
        <f ca="1">IFERROR(__xludf.DUMMYFUNCTION("""COMPUTED_VALUE"""),"")</f>
        <v/>
      </c>
      <c r="F344" s="36" t="str">
        <f ca="1">IFERROR(__xludf.DUMMYFUNCTION("""COMPUTED_VALUE"""),"")</f>
        <v/>
      </c>
      <c r="G344" s="36" t="str">
        <f ca="1">IFERROR(__xludf.DUMMYFUNCTION("""COMPUTED_VALUE"""),"")</f>
        <v/>
      </c>
      <c r="H344" s="36" t="str">
        <f ca="1">IFERROR(__xludf.DUMMYFUNCTION("""COMPUTED_VALUE"""),"")</f>
        <v/>
      </c>
      <c r="I344" s="36" t="str">
        <f ca="1">IFERROR(__xludf.DUMMYFUNCTION("""COMPUTED_VALUE"""),"")</f>
        <v/>
      </c>
      <c r="J344" s="36" t="str">
        <f ca="1">IFERROR(__xludf.DUMMYFUNCTION("""COMPUTED_VALUE"""),"")</f>
        <v/>
      </c>
      <c r="K344" s="36" t="str">
        <f ca="1">IFERROR(__xludf.DUMMYFUNCTION("""COMPUTED_VALUE"""),"")</f>
        <v/>
      </c>
      <c r="L344" s="36" t="str">
        <f ca="1">IFERROR(__xludf.DUMMYFUNCTION("""COMPUTED_VALUE"""),"")</f>
        <v/>
      </c>
      <c r="M344" s="36" t="str">
        <f ca="1">IFERROR(__xludf.DUMMYFUNCTION("""COMPUTED_VALUE"""),"")</f>
        <v/>
      </c>
      <c r="N344" s="36" t="str">
        <f ca="1">IFERROR(__xludf.DUMMYFUNCTION("""COMPUTED_VALUE"""),"")</f>
        <v/>
      </c>
      <c r="O344" s="36" t="str">
        <f ca="1">IFERROR(__xludf.DUMMYFUNCTION("""COMPUTED_VALUE"""),"")</f>
        <v/>
      </c>
      <c r="P344" s="36" t="str">
        <f ca="1">IFERROR(__xludf.DUMMYFUNCTION("""COMPUTED_VALUE"""),"")</f>
        <v/>
      </c>
      <c r="Q344" s="36" t="str">
        <f ca="1">IFERROR(__xludf.DUMMYFUNCTION("""COMPUTED_VALUE"""),"")</f>
        <v/>
      </c>
      <c r="R344" s="36" t="str">
        <f ca="1">IFERROR(__xludf.DUMMYFUNCTION("""COMPUTED_VALUE"""),"")</f>
        <v/>
      </c>
      <c r="S344" s="36" t="str">
        <f ca="1">IFERROR(__xludf.DUMMYFUNCTION("""COMPUTED_VALUE"""),"")</f>
        <v/>
      </c>
      <c r="T344" s="36" t="str">
        <f ca="1">IFERROR(__xludf.DUMMYFUNCTION("""COMPUTED_VALUE"""),"")</f>
        <v/>
      </c>
      <c r="U344" s="36" t="str">
        <f ca="1">IFERROR(__xludf.DUMMYFUNCTION("""COMPUTED_VALUE"""),"")</f>
        <v/>
      </c>
      <c r="V344" s="36" t="str">
        <f ca="1">IFERROR(__xludf.DUMMYFUNCTION("""COMPUTED_VALUE"""),"")</f>
        <v/>
      </c>
      <c r="W344" s="36" t="str">
        <f ca="1">IFERROR(__xludf.DUMMYFUNCTION("""COMPUTED_VALUE"""),"")</f>
        <v/>
      </c>
      <c r="X344" s="36"/>
      <c r="Y344" s="36"/>
      <c r="Z344" s="36"/>
    </row>
    <row r="345" spans="1:26" ht="12.75" hidden="1">
      <c r="A345" s="36" t="str">
        <f ca="1">IFERROR(__xludf.DUMMYFUNCTION("""COMPUTED_VALUE"""),"")</f>
        <v/>
      </c>
      <c r="B345" s="36" t="str">
        <f ca="1">IFERROR(__xludf.DUMMYFUNCTION("""COMPUTED_VALUE"""),"")</f>
        <v/>
      </c>
      <c r="C345" s="36" t="str">
        <f ca="1">IFERROR(__xludf.DUMMYFUNCTION("""COMPUTED_VALUE"""),"")</f>
        <v/>
      </c>
      <c r="D345" s="36" t="str">
        <f ca="1">IFERROR(__xludf.DUMMYFUNCTION("""COMPUTED_VALUE"""),"")</f>
        <v/>
      </c>
      <c r="E345" s="36" t="str">
        <f ca="1">IFERROR(__xludf.DUMMYFUNCTION("""COMPUTED_VALUE"""),"")</f>
        <v/>
      </c>
      <c r="F345" s="36" t="str">
        <f ca="1">IFERROR(__xludf.DUMMYFUNCTION("""COMPUTED_VALUE"""),"")</f>
        <v/>
      </c>
      <c r="G345" s="36" t="str">
        <f ca="1">IFERROR(__xludf.DUMMYFUNCTION("""COMPUTED_VALUE"""),"")</f>
        <v/>
      </c>
      <c r="H345" s="36" t="str">
        <f ca="1">IFERROR(__xludf.DUMMYFUNCTION("""COMPUTED_VALUE"""),"")</f>
        <v/>
      </c>
      <c r="I345" s="36" t="str">
        <f ca="1">IFERROR(__xludf.DUMMYFUNCTION("""COMPUTED_VALUE"""),"")</f>
        <v/>
      </c>
      <c r="J345" s="36" t="str">
        <f ca="1">IFERROR(__xludf.DUMMYFUNCTION("""COMPUTED_VALUE"""),"")</f>
        <v/>
      </c>
      <c r="K345" s="36" t="str">
        <f ca="1">IFERROR(__xludf.DUMMYFUNCTION("""COMPUTED_VALUE"""),"")</f>
        <v/>
      </c>
      <c r="L345" s="36" t="str">
        <f ca="1">IFERROR(__xludf.DUMMYFUNCTION("""COMPUTED_VALUE"""),"")</f>
        <v/>
      </c>
      <c r="M345" s="36" t="str">
        <f ca="1">IFERROR(__xludf.DUMMYFUNCTION("""COMPUTED_VALUE"""),"")</f>
        <v/>
      </c>
      <c r="N345" s="36" t="str">
        <f ca="1">IFERROR(__xludf.DUMMYFUNCTION("""COMPUTED_VALUE"""),"")</f>
        <v/>
      </c>
      <c r="O345" s="36" t="str">
        <f ca="1">IFERROR(__xludf.DUMMYFUNCTION("""COMPUTED_VALUE"""),"")</f>
        <v/>
      </c>
      <c r="P345" s="36" t="str">
        <f ca="1">IFERROR(__xludf.DUMMYFUNCTION("""COMPUTED_VALUE"""),"")</f>
        <v/>
      </c>
      <c r="Q345" s="36" t="str">
        <f ca="1">IFERROR(__xludf.DUMMYFUNCTION("""COMPUTED_VALUE"""),"")</f>
        <v/>
      </c>
      <c r="R345" s="36" t="str">
        <f ca="1">IFERROR(__xludf.DUMMYFUNCTION("""COMPUTED_VALUE"""),"")</f>
        <v/>
      </c>
      <c r="S345" s="36" t="str">
        <f ca="1">IFERROR(__xludf.DUMMYFUNCTION("""COMPUTED_VALUE"""),"")</f>
        <v/>
      </c>
      <c r="T345" s="36" t="str">
        <f ca="1">IFERROR(__xludf.DUMMYFUNCTION("""COMPUTED_VALUE"""),"")</f>
        <v/>
      </c>
      <c r="U345" s="36" t="str">
        <f ca="1">IFERROR(__xludf.DUMMYFUNCTION("""COMPUTED_VALUE"""),"")</f>
        <v/>
      </c>
      <c r="V345" s="36" t="str">
        <f ca="1">IFERROR(__xludf.DUMMYFUNCTION("""COMPUTED_VALUE"""),"")</f>
        <v/>
      </c>
      <c r="W345" s="36" t="str">
        <f ca="1">IFERROR(__xludf.DUMMYFUNCTION("""COMPUTED_VALUE"""),"")</f>
        <v/>
      </c>
      <c r="X345" s="36"/>
      <c r="Y345" s="36"/>
      <c r="Z345" s="36"/>
    </row>
    <row r="346" spans="1:26" ht="12.75" hidden="1">
      <c r="A346" s="36" t="str">
        <f ca="1">IFERROR(__xludf.DUMMYFUNCTION("""COMPUTED_VALUE"""),"")</f>
        <v/>
      </c>
      <c r="B346" s="36" t="str">
        <f ca="1">IFERROR(__xludf.DUMMYFUNCTION("""COMPUTED_VALUE"""),"")</f>
        <v/>
      </c>
      <c r="C346" s="36" t="str">
        <f ca="1">IFERROR(__xludf.DUMMYFUNCTION("""COMPUTED_VALUE"""),"")</f>
        <v/>
      </c>
      <c r="D346" s="36" t="str">
        <f ca="1">IFERROR(__xludf.DUMMYFUNCTION("""COMPUTED_VALUE"""),"")</f>
        <v/>
      </c>
      <c r="E346" s="36" t="str">
        <f ca="1">IFERROR(__xludf.DUMMYFUNCTION("""COMPUTED_VALUE"""),"")</f>
        <v/>
      </c>
      <c r="F346" s="36" t="str">
        <f ca="1">IFERROR(__xludf.DUMMYFUNCTION("""COMPUTED_VALUE"""),"")</f>
        <v/>
      </c>
      <c r="G346" s="36" t="str">
        <f ca="1">IFERROR(__xludf.DUMMYFUNCTION("""COMPUTED_VALUE"""),"")</f>
        <v/>
      </c>
      <c r="H346" s="36" t="str">
        <f ca="1">IFERROR(__xludf.DUMMYFUNCTION("""COMPUTED_VALUE"""),"")</f>
        <v/>
      </c>
      <c r="I346" s="36" t="str">
        <f ca="1">IFERROR(__xludf.DUMMYFUNCTION("""COMPUTED_VALUE"""),"")</f>
        <v/>
      </c>
      <c r="J346" s="36" t="str">
        <f ca="1">IFERROR(__xludf.DUMMYFUNCTION("""COMPUTED_VALUE"""),"")</f>
        <v/>
      </c>
      <c r="K346" s="36" t="str">
        <f ca="1">IFERROR(__xludf.DUMMYFUNCTION("""COMPUTED_VALUE"""),"")</f>
        <v/>
      </c>
      <c r="L346" s="36" t="str">
        <f ca="1">IFERROR(__xludf.DUMMYFUNCTION("""COMPUTED_VALUE"""),"")</f>
        <v/>
      </c>
      <c r="M346" s="36" t="str">
        <f ca="1">IFERROR(__xludf.DUMMYFUNCTION("""COMPUTED_VALUE"""),"")</f>
        <v/>
      </c>
      <c r="N346" s="36" t="str">
        <f ca="1">IFERROR(__xludf.DUMMYFUNCTION("""COMPUTED_VALUE"""),"")</f>
        <v/>
      </c>
      <c r="O346" s="36" t="str">
        <f ca="1">IFERROR(__xludf.DUMMYFUNCTION("""COMPUTED_VALUE"""),"")</f>
        <v/>
      </c>
      <c r="P346" s="36" t="str">
        <f ca="1">IFERROR(__xludf.DUMMYFUNCTION("""COMPUTED_VALUE"""),"")</f>
        <v/>
      </c>
      <c r="Q346" s="36" t="str">
        <f ca="1">IFERROR(__xludf.DUMMYFUNCTION("""COMPUTED_VALUE"""),"")</f>
        <v/>
      </c>
      <c r="R346" s="36" t="str">
        <f ca="1">IFERROR(__xludf.DUMMYFUNCTION("""COMPUTED_VALUE"""),"")</f>
        <v/>
      </c>
      <c r="S346" s="36" t="str">
        <f ca="1">IFERROR(__xludf.DUMMYFUNCTION("""COMPUTED_VALUE"""),"")</f>
        <v/>
      </c>
      <c r="T346" s="36" t="str">
        <f ca="1">IFERROR(__xludf.DUMMYFUNCTION("""COMPUTED_VALUE"""),"")</f>
        <v/>
      </c>
      <c r="U346" s="36" t="str">
        <f ca="1">IFERROR(__xludf.DUMMYFUNCTION("""COMPUTED_VALUE"""),"")</f>
        <v/>
      </c>
      <c r="V346" s="36" t="str">
        <f ca="1">IFERROR(__xludf.DUMMYFUNCTION("""COMPUTED_VALUE"""),"")</f>
        <v/>
      </c>
      <c r="W346" s="36" t="str">
        <f ca="1">IFERROR(__xludf.DUMMYFUNCTION("""COMPUTED_VALUE"""),"")</f>
        <v/>
      </c>
      <c r="X346" s="36"/>
      <c r="Y346" s="36"/>
      <c r="Z346" s="36"/>
    </row>
    <row r="347" spans="1:26" ht="12.75" hidden="1">
      <c r="A347" s="36" t="str">
        <f ca="1">IFERROR(__xludf.DUMMYFUNCTION("""COMPUTED_VALUE"""),"")</f>
        <v/>
      </c>
      <c r="B347" s="36" t="str">
        <f ca="1">IFERROR(__xludf.DUMMYFUNCTION("""COMPUTED_VALUE"""),"")</f>
        <v/>
      </c>
      <c r="C347" s="36" t="str">
        <f ca="1">IFERROR(__xludf.DUMMYFUNCTION("""COMPUTED_VALUE"""),"")</f>
        <v/>
      </c>
      <c r="D347" s="36" t="str">
        <f ca="1">IFERROR(__xludf.DUMMYFUNCTION("""COMPUTED_VALUE"""),"")</f>
        <v/>
      </c>
      <c r="E347" s="36" t="str">
        <f ca="1">IFERROR(__xludf.DUMMYFUNCTION("""COMPUTED_VALUE"""),"")</f>
        <v/>
      </c>
      <c r="F347" s="36" t="str">
        <f ca="1">IFERROR(__xludf.DUMMYFUNCTION("""COMPUTED_VALUE"""),"")</f>
        <v/>
      </c>
      <c r="G347" s="36" t="str">
        <f ca="1">IFERROR(__xludf.DUMMYFUNCTION("""COMPUTED_VALUE"""),"")</f>
        <v/>
      </c>
      <c r="H347" s="36" t="str">
        <f ca="1">IFERROR(__xludf.DUMMYFUNCTION("""COMPUTED_VALUE"""),"")</f>
        <v/>
      </c>
      <c r="I347" s="36" t="str">
        <f ca="1">IFERROR(__xludf.DUMMYFUNCTION("""COMPUTED_VALUE"""),"")</f>
        <v/>
      </c>
      <c r="J347" s="36" t="str">
        <f ca="1">IFERROR(__xludf.DUMMYFUNCTION("""COMPUTED_VALUE"""),"")</f>
        <v/>
      </c>
      <c r="K347" s="36" t="str">
        <f ca="1">IFERROR(__xludf.DUMMYFUNCTION("""COMPUTED_VALUE"""),"")</f>
        <v/>
      </c>
      <c r="L347" s="36" t="str">
        <f ca="1">IFERROR(__xludf.DUMMYFUNCTION("""COMPUTED_VALUE"""),"")</f>
        <v/>
      </c>
      <c r="M347" s="36" t="str">
        <f ca="1">IFERROR(__xludf.DUMMYFUNCTION("""COMPUTED_VALUE"""),"")</f>
        <v/>
      </c>
      <c r="N347" s="36" t="str">
        <f ca="1">IFERROR(__xludf.DUMMYFUNCTION("""COMPUTED_VALUE"""),"")</f>
        <v/>
      </c>
      <c r="O347" s="36" t="str">
        <f ca="1">IFERROR(__xludf.DUMMYFUNCTION("""COMPUTED_VALUE"""),"")</f>
        <v/>
      </c>
      <c r="P347" s="36" t="str">
        <f ca="1">IFERROR(__xludf.DUMMYFUNCTION("""COMPUTED_VALUE"""),"")</f>
        <v/>
      </c>
      <c r="Q347" s="36" t="str">
        <f ca="1">IFERROR(__xludf.DUMMYFUNCTION("""COMPUTED_VALUE"""),"")</f>
        <v/>
      </c>
      <c r="R347" s="36" t="str">
        <f ca="1">IFERROR(__xludf.DUMMYFUNCTION("""COMPUTED_VALUE"""),"")</f>
        <v/>
      </c>
      <c r="S347" s="36" t="str">
        <f ca="1">IFERROR(__xludf.DUMMYFUNCTION("""COMPUTED_VALUE"""),"")</f>
        <v/>
      </c>
      <c r="T347" s="36" t="str">
        <f ca="1">IFERROR(__xludf.DUMMYFUNCTION("""COMPUTED_VALUE"""),"")</f>
        <v/>
      </c>
      <c r="U347" s="36" t="str">
        <f ca="1">IFERROR(__xludf.DUMMYFUNCTION("""COMPUTED_VALUE"""),"")</f>
        <v/>
      </c>
      <c r="V347" s="36" t="str">
        <f ca="1">IFERROR(__xludf.DUMMYFUNCTION("""COMPUTED_VALUE"""),"")</f>
        <v/>
      </c>
      <c r="W347" s="36" t="str">
        <f ca="1">IFERROR(__xludf.DUMMYFUNCTION("""COMPUTED_VALUE"""),"")</f>
        <v/>
      </c>
      <c r="X347" s="36"/>
      <c r="Y347" s="36"/>
      <c r="Z347" s="36"/>
    </row>
    <row r="348" spans="1:26" ht="12.75" hidden="1">
      <c r="A348" s="36" t="str">
        <f ca="1">IFERROR(__xludf.DUMMYFUNCTION("""COMPUTED_VALUE"""),"")</f>
        <v/>
      </c>
      <c r="B348" s="36" t="str">
        <f ca="1">IFERROR(__xludf.DUMMYFUNCTION("""COMPUTED_VALUE"""),"")</f>
        <v/>
      </c>
      <c r="C348" s="36" t="str">
        <f ca="1">IFERROR(__xludf.DUMMYFUNCTION("""COMPUTED_VALUE"""),"")</f>
        <v/>
      </c>
      <c r="D348" s="36" t="str">
        <f ca="1">IFERROR(__xludf.DUMMYFUNCTION("""COMPUTED_VALUE"""),"")</f>
        <v/>
      </c>
      <c r="E348" s="36" t="str">
        <f ca="1">IFERROR(__xludf.DUMMYFUNCTION("""COMPUTED_VALUE"""),"")</f>
        <v/>
      </c>
      <c r="F348" s="36" t="str">
        <f ca="1">IFERROR(__xludf.DUMMYFUNCTION("""COMPUTED_VALUE"""),"")</f>
        <v/>
      </c>
      <c r="G348" s="36" t="str">
        <f ca="1">IFERROR(__xludf.DUMMYFUNCTION("""COMPUTED_VALUE"""),"")</f>
        <v/>
      </c>
      <c r="H348" s="36" t="str">
        <f ca="1">IFERROR(__xludf.DUMMYFUNCTION("""COMPUTED_VALUE"""),"")</f>
        <v/>
      </c>
      <c r="I348" s="36" t="str">
        <f ca="1">IFERROR(__xludf.DUMMYFUNCTION("""COMPUTED_VALUE"""),"")</f>
        <v/>
      </c>
      <c r="J348" s="36" t="str">
        <f ca="1">IFERROR(__xludf.DUMMYFUNCTION("""COMPUTED_VALUE"""),"")</f>
        <v/>
      </c>
      <c r="K348" s="36" t="str">
        <f ca="1">IFERROR(__xludf.DUMMYFUNCTION("""COMPUTED_VALUE"""),"")</f>
        <v/>
      </c>
      <c r="L348" s="36" t="str">
        <f ca="1">IFERROR(__xludf.DUMMYFUNCTION("""COMPUTED_VALUE"""),"")</f>
        <v/>
      </c>
      <c r="M348" s="36" t="str">
        <f ca="1">IFERROR(__xludf.DUMMYFUNCTION("""COMPUTED_VALUE"""),"")</f>
        <v/>
      </c>
      <c r="N348" s="36" t="str">
        <f ca="1">IFERROR(__xludf.DUMMYFUNCTION("""COMPUTED_VALUE"""),"")</f>
        <v/>
      </c>
      <c r="O348" s="36" t="str">
        <f ca="1">IFERROR(__xludf.DUMMYFUNCTION("""COMPUTED_VALUE"""),"")</f>
        <v/>
      </c>
      <c r="P348" s="36" t="str">
        <f ca="1">IFERROR(__xludf.DUMMYFUNCTION("""COMPUTED_VALUE"""),"")</f>
        <v/>
      </c>
      <c r="Q348" s="36" t="str">
        <f ca="1">IFERROR(__xludf.DUMMYFUNCTION("""COMPUTED_VALUE"""),"")</f>
        <v/>
      </c>
      <c r="R348" s="36" t="str">
        <f ca="1">IFERROR(__xludf.DUMMYFUNCTION("""COMPUTED_VALUE"""),"")</f>
        <v/>
      </c>
      <c r="S348" s="36" t="str">
        <f ca="1">IFERROR(__xludf.DUMMYFUNCTION("""COMPUTED_VALUE"""),"")</f>
        <v/>
      </c>
      <c r="T348" s="36" t="str">
        <f ca="1">IFERROR(__xludf.DUMMYFUNCTION("""COMPUTED_VALUE"""),"")</f>
        <v/>
      </c>
      <c r="U348" s="36" t="str">
        <f ca="1">IFERROR(__xludf.DUMMYFUNCTION("""COMPUTED_VALUE"""),"")</f>
        <v/>
      </c>
      <c r="V348" s="36" t="str">
        <f ca="1">IFERROR(__xludf.DUMMYFUNCTION("""COMPUTED_VALUE"""),"")</f>
        <v/>
      </c>
      <c r="W348" s="36" t="str">
        <f ca="1">IFERROR(__xludf.DUMMYFUNCTION("""COMPUTED_VALUE"""),"")</f>
        <v/>
      </c>
      <c r="X348" s="36"/>
      <c r="Y348" s="36"/>
      <c r="Z348" s="36"/>
    </row>
    <row r="349" spans="1:26" ht="12.75" hidden="1">
      <c r="A349" s="36" t="str">
        <f ca="1">IFERROR(__xludf.DUMMYFUNCTION("""COMPUTED_VALUE"""),"")</f>
        <v/>
      </c>
      <c r="B349" s="36" t="str">
        <f ca="1">IFERROR(__xludf.DUMMYFUNCTION("""COMPUTED_VALUE"""),"")</f>
        <v/>
      </c>
      <c r="C349" s="36" t="str">
        <f ca="1">IFERROR(__xludf.DUMMYFUNCTION("""COMPUTED_VALUE"""),"")</f>
        <v/>
      </c>
      <c r="D349" s="36" t="str">
        <f ca="1">IFERROR(__xludf.DUMMYFUNCTION("""COMPUTED_VALUE"""),"")</f>
        <v/>
      </c>
      <c r="E349" s="36" t="str">
        <f ca="1">IFERROR(__xludf.DUMMYFUNCTION("""COMPUTED_VALUE"""),"")</f>
        <v/>
      </c>
      <c r="F349" s="36" t="str">
        <f ca="1">IFERROR(__xludf.DUMMYFUNCTION("""COMPUTED_VALUE"""),"")</f>
        <v/>
      </c>
      <c r="G349" s="36" t="str">
        <f ca="1">IFERROR(__xludf.DUMMYFUNCTION("""COMPUTED_VALUE"""),"")</f>
        <v/>
      </c>
      <c r="H349" s="36" t="str">
        <f ca="1">IFERROR(__xludf.DUMMYFUNCTION("""COMPUTED_VALUE"""),"")</f>
        <v/>
      </c>
      <c r="I349" s="36" t="str">
        <f ca="1">IFERROR(__xludf.DUMMYFUNCTION("""COMPUTED_VALUE"""),"")</f>
        <v/>
      </c>
      <c r="J349" s="36" t="str">
        <f ca="1">IFERROR(__xludf.DUMMYFUNCTION("""COMPUTED_VALUE"""),"")</f>
        <v/>
      </c>
      <c r="K349" s="36" t="str">
        <f ca="1">IFERROR(__xludf.DUMMYFUNCTION("""COMPUTED_VALUE"""),"")</f>
        <v/>
      </c>
      <c r="L349" s="36" t="str">
        <f ca="1">IFERROR(__xludf.DUMMYFUNCTION("""COMPUTED_VALUE"""),"")</f>
        <v/>
      </c>
      <c r="M349" s="36" t="str">
        <f ca="1">IFERROR(__xludf.DUMMYFUNCTION("""COMPUTED_VALUE"""),"")</f>
        <v/>
      </c>
      <c r="N349" s="36" t="str">
        <f ca="1">IFERROR(__xludf.DUMMYFUNCTION("""COMPUTED_VALUE"""),"")</f>
        <v/>
      </c>
      <c r="O349" s="36" t="str">
        <f ca="1">IFERROR(__xludf.DUMMYFUNCTION("""COMPUTED_VALUE"""),"")</f>
        <v/>
      </c>
      <c r="P349" s="36" t="str">
        <f ca="1">IFERROR(__xludf.DUMMYFUNCTION("""COMPUTED_VALUE"""),"")</f>
        <v/>
      </c>
      <c r="Q349" s="36" t="str">
        <f ca="1">IFERROR(__xludf.DUMMYFUNCTION("""COMPUTED_VALUE"""),"")</f>
        <v/>
      </c>
      <c r="R349" s="36" t="str">
        <f ca="1">IFERROR(__xludf.DUMMYFUNCTION("""COMPUTED_VALUE"""),"")</f>
        <v/>
      </c>
      <c r="S349" s="36" t="str">
        <f ca="1">IFERROR(__xludf.DUMMYFUNCTION("""COMPUTED_VALUE"""),"")</f>
        <v/>
      </c>
      <c r="T349" s="36" t="str">
        <f ca="1">IFERROR(__xludf.DUMMYFUNCTION("""COMPUTED_VALUE"""),"")</f>
        <v/>
      </c>
      <c r="U349" s="36" t="str">
        <f ca="1">IFERROR(__xludf.DUMMYFUNCTION("""COMPUTED_VALUE"""),"")</f>
        <v/>
      </c>
      <c r="V349" s="36" t="str">
        <f ca="1">IFERROR(__xludf.DUMMYFUNCTION("""COMPUTED_VALUE"""),"")</f>
        <v/>
      </c>
      <c r="W349" s="36" t="str">
        <f ca="1">IFERROR(__xludf.DUMMYFUNCTION("""COMPUTED_VALUE"""),"")</f>
        <v/>
      </c>
      <c r="X349" s="36"/>
      <c r="Y349" s="36"/>
      <c r="Z349" s="36"/>
    </row>
    <row r="350" spans="1:26" ht="12.75" hidden="1">
      <c r="A350" s="36" t="str">
        <f ca="1">IFERROR(__xludf.DUMMYFUNCTION("""COMPUTED_VALUE"""),"")</f>
        <v/>
      </c>
      <c r="B350" s="36" t="str">
        <f ca="1">IFERROR(__xludf.DUMMYFUNCTION("""COMPUTED_VALUE"""),"")</f>
        <v/>
      </c>
      <c r="C350" s="36" t="str">
        <f ca="1">IFERROR(__xludf.DUMMYFUNCTION("""COMPUTED_VALUE"""),"")</f>
        <v/>
      </c>
      <c r="D350" s="36" t="str">
        <f ca="1">IFERROR(__xludf.DUMMYFUNCTION("""COMPUTED_VALUE"""),"")</f>
        <v/>
      </c>
      <c r="E350" s="36" t="str">
        <f ca="1">IFERROR(__xludf.DUMMYFUNCTION("""COMPUTED_VALUE"""),"")</f>
        <v/>
      </c>
      <c r="F350" s="36" t="str">
        <f ca="1">IFERROR(__xludf.DUMMYFUNCTION("""COMPUTED_VALUE"""),"")</f>
        <v/>
      </c>
      <c r="G350" s="36" t="str">
        <f ca="1">IFERROR(__xludf.DUMMYFUNCTION("""COMPUTED_VALUE"""),"")</f>
        <v/>
      </c>
      <c r="H350" s="36" t="str">
        <f ca="1">IFERROR(__xludf.DUMMYFUNCTION("""COMPUTED_VALUE"""),"")</f>
        <v/>
      </c>
      <c r="I350" s="36" t="str">
        <f ca="1">IFERROR(__xludf.DUMMYFUNCTION("""COMPUTED_VALUE"""),"")</f>
        <v/>
      </c>
      <c r="J350" s="36" t="str">
        <f ca="1">IFERROR(__xludf.DUMMYFUNCTION("""COMPUTED_VALUE"""),"")</f>
        <v/>
      </c>
      <c r="K350" s="36" t="str">
        <f ca="1">IFERROR(__xludf.DUMMYFUNCTION("""COMPUTED_VALUE"""),"")</f>
        <v/>
      </c>
      <c r="L350" s="36" t="str">
        <f ca="1">IFERROR(__xludf.DUMMYFUNCTION("""COMPUTED_VALUE"""),"")</f>
        <v/>
      </c>
      <c r="M350" s="36" t="str">
        <f ca="1">IFERROR(__xludf.DUMMYFUNCTION("""COMPUTED_VALUE"""),"")</f>
        <v/>
      </c>
      <c r="N350" s="36" t="str">
        <f ca="1">IFERROR(__xludf.DUMMYFUNCTION("""COMPUTED_VALUE"""),"")</f>
        <v/>
      </c>
      <c r="O350" s="36" t="str">
        <f ca="1">IFERROR(__xludf.DUMMYFUNCTION("""COMPUTED_VALUE"""),"")</f>
        <v/>
      </c>
      <c r="P350" s="36" t="str">
        <f ca="1">IFERROR(__xludf.DUMMYFUNCTION("""COMPUTED_VALUE"""),"")</f>
        <v/>
      </c>
      <c r="Q350" s="36" t="str">
        <f ca="1">IFERROR(__xludf.DUMMYFUNCTION("""COMPUTED_VALUE"""),"")</f>
        <v/>
      </c>
      <c r="R350" s="36" t="str">
        <f ca="1">IFERROR(__xludf.DUMMYFUNCTION("""COMPUTED_VALUE"""),"")</f>
        <v/>
      </c>
      <c r="S350" s="36" t="str">
        <f ca="1">IFERROR(__xludf.DUMMYFUNCTION("""COMPUTED_VALUE"""),"")</f>
        <v/>
      </c>
      <c r="T350" s="36" t="str">
        <f ca="1">IFERROR(__xludf.DUMMYFUNCTION("""COMPUTED_VALUE"""),"")</f>
        <v/>
      </c>
      <c r="U350" s="36" t="str">
        <f ca="1">IFERROR(__xludf.DUMMYFUNCTION("""COMPUTED_VALUE"""),"")</f>
        <v/>
      </c>
      <c r="V350" s="36" t="str">
        <f ca="1">IFERROR(__xludf.DUMMYFUNCTION("""COMPUTED_VALUE"""),"")</f>
        <v/>
      </c>
      <c r="W350" s="36" t="str">
        <f ca="1">IFERROR(__xludf.DUMMYFUNCTION("""COMPUTED_VALUE"""),"")</f>
        <v/>
      </c>
      <c r="X350" s="36"/>
      <c r="Y350" s="36"/>
      <c r="Z350" s="36"/>
    </row>
    <row r="351" spans="1:26" ht="12.75" hidden="1">
      <c r="A351" s="36" t="str">
        <f ca="1">IFERROR(__xludf.DUMMYFUNCTION("""COMPUTED_VALUE"""),"")</f>
        <v/>
      </c>
      <c r="B351" s="36" t="str">
        <f ca="1">IFERROR(__xludf.DUMMYFUNCTION("""COMPUTED_VALUE"""),"")</f>
        <v/>
      </c>
      <c r="C351" s="36" t="str">
        <f ca="1">IFERROR(__xludf.DUMMYFUNCTION("""COMPUTED_VALUE"""),"")</f>
        <v/>
      </c>
      <c r="D351" s="36" t="str">
        <f ca="1">IFERROR(__xludf.DUMMYFUNCTION("""COMPUTED_VALUE"""),"")</f>
        <v/>
      </c>
      <c r="E351" s="36" t="str">
        <f ca="1">IFERROR(__xludf.DUMMYFUNCTION("""COMPUTED_VALUE"""),"")</f>
        <v/>
      </c>
      <c r="F351" s="36" t="str">
        <f ca="1">IFERROR(__xludf.DUMMYFUNCTION("""COMPUTED_VALUE"""),"")</f>
        <v/>
      </c>
      <c r="G351" s="36" t="str">
        <f ca="1">IFERROR(__xludf.DUMMYFUNCTION("""COMPUTED_VALUE"""),"")</f>
        <v/>
      </c>
      <c r="H351" s="36" t="str">
        <f ca="1">IFERROR(__xludf.DUMMYFUNCTION("""COMPUTED_VALUE"""),"")</f>
        <v/>
      </c>
      <c r="I351" s="36" t="str">
        <f ca="1">IFERROR(__xludf.DUMMYFUNCTION("""COMPUTED_VALUE"""),"")</f>
        <v/>
      </c>
      <c r="J351" s="36" t="str">
        <f ca="1">IFERROR(__xludf.DUMMYFUNCTION("""COMPUTED_VALUE"""),"")</f>
        <v/>
      </c>
      <c r="K351" s="36" t="str">
        <f ca="1">IFERROR(__xludf.DUMMYFUNCTION("""COMPUTED_VALUE"""),"")</f>
        <v/>
      </c>
      <c r="L351" s="36" t="str">
        <f ca="1">IFERROR(__xludf.DUMMYFUNCTION("""COMPUTED_VALUE"""),"")</f>
        <v/>
      </c>
      <c r="M351" s="36" t="str">
        <f ca="1">IFERROR(__xludf.DUMMYFUNCTION("""COMPUTED_VALUE"""),"")</f>
        <v/>
      </c>
      <c r="N351" s="36" t="str">
        <f ca="1">IFERROR(__xludf.DUMMYFUNCTION("""COMPUTED_VALUE"""),"")</f>
        <v/>
      </c>
      <c r="O351" s="36" t="str">
        <f ca="1">IFERROR(__xludf.DUMMYFUNCTION("""COMPUTED_VALUE"""),"")</f>
        <v/>
      </c>
      <c r="P351" s="36" t="str">
        <f ca="1">IFERROR(__xludf.DUMMYFUNCTION("""COMPUTED_VALUE"""),"")</f>
        <v/>
      </c>
      <c r="Q351" s="36" t="str">
        <f ca="1">IFERROR(__xludf.DUMMYFUNCTION("""COMPUTED_VALUE"""),"")</f>
        <v/>
      </c>
      <c r="R351" s="36" t="str">
        <f ca="1">IFERROR(__xludf.DUMMYFUNCTION("""COMPUTED_VALUE"""),"")</f>
        <v/>
      </c>
      <c r="S351" s="36" t="str">
        <f ca="1">IFERROR(__xludf.DUMMYFUNCTION("""COMPUTED_VALUE"""),"")</f>
        <v/>
      </c>
      <c r="T351" s="36" t="str">
        <f ca="1">IFERROR(__xludf.DUMMYFUNCTION("""COMPUTED_VALUE"""),"")</f>
        <v/>
      </c>
      <c r="U351" s="36" t="str">
        <f ca="1">IFERROR(__xludf.DUMMYFUNCTION("""COMPUTED_VALUE"""),"")</f>
        <v/>
      </c>
      <c r="V351" s="36" t="str">
        <f ca="1">IFERROR(__xludf.DUMMYFUNCTION("""COMPUTED_VALUE"""),"")</f>
        <v/>
      </c>
      <c r="W351" s="36" t="str">
        <f ca="1">IFERROR(__xludf.DUMMYFUNCTION("""COMPUTED_VALUE"""),"")</f>
        <v/>
      </c>
      <c r="X351" s="36"/>
      <c r="Y351" s="36"/>
      <c r="Z351" s="36"/>
    </row>
    <row r="352" spans="1:26" ht="12.75" hidden="1">
      <c r="A352" s="36" t="str">
        <f ca="1">IFERROR(__xludf.DUMMYFUNCTION("""COMPUTED_VALUE"""),"")</f>
        <v/>
      </c>
      <c r="B352" s="36" t="str">
        <f ca="1">IFERROR(__xludf.DUMMYFUNCTION("""COMPUTED_VALUE"""),"")</f>
        <v/>
      </c>
      <c r="C352" s="36" t="str">
        <f ca="1">IFERROR(__xludf.DUMMYFUNCTION("""COMPUTED_VALUE"""),"")</f>
        <v/>
      </c>
      <c r="D352" s="36" t="str">
        <f ca="1">IFERROR(__xludf.DUMMYFUNCTION("""COMPUTED_VALUE"""),"")</f>
        <v/>
      </c>
      <c r="E352" s="36" t="str">
        <f ca="1">IFERROR(__xludf.DUMMYFUNCTION("""COMPUTED_VALUE"""),"")</f>
        <v/>
      </c>
      <c r="F352" s="36" t="str">
        <f ca="1">IFERROR(__xludf.DUMMYFUNCTION("""COMPUTED_VALUE"""),"")</f>
        <v/>
      </c>
      <c r="G352" s="36" t="str">
        <f ca="1">IFERROR(__xludf.DUMMYFUNCTION("""COMPUTED_VALUE"""),"")</f>
        <v/>
      </c>
      <c r="H352" s="36" t="str">
        <f ca="1">IFERROR(__xludf.DUMMYFUNCTION("""COMPUTED_VALUE"""),"")</f>
        <v/>
      </c>
      <c r="I352" s="36" t="str">
        <f ca="1">IFERROR(__xludf.DUMMYFUNCTION("""COMPUTED_VALUE"""),"")</f>
        <v/>
      </c>
      <c r="J352" s="36" t="str">
        <f ca="1">IFERROR(__xludf.DUMMYFUNCTION("""COMPUTED_VALUE"""),"")</f>
        <v/>
      </c>
      <c r="K352" s="36" t="str">
        <f ca="1">IFERROR(__xludf.DUMMYFUNCTION("""COMPUTED_VALUE"""),"")</f>
        <v/>
      </c>
      <c r="L352" s="36" t="str">
        <f ca="1">IFERROR(__xludf.DUMMYFUNCTION("""COMPUTED_VALUE"""),"")</f>
        <v/>
      </c>
      <c r="M352" s="36" t="str">
        <f ca="1">IFERROR(__xludf.DUMMYFUNCTION("""COMPUTED_VALUE"""),"")</f>
        <v/>
      </c>
      <c r="N352" s="36" t="str">
        <f ca="1">IFERROR(__xludf.DUMMYFUNCTION("""COMPUTED_VALUE"""),"")</f>
        <v/>
      </c>
      <c r="O352" s="36" t="str">
        <f ca="1">IFERROR(__xludf.DUMMYFUNCTION("""COMPUTED_VALUE"""),"")</f>
        <v/>
      </c>
      <c r="P352" s="36" t="str">
        <f ca="1">IFERROR(__xludf.DUMMYFUNCTION("""COMPUTED_VALUE"""),"")</f>
        <v/>
      </c>
      <c r="Q352" s="36" t="str">
        <f ca="1">IFERROR(__xludf.DUMMYFUNCTION("""COMPUTED_VALUE"""),"")</f>
        <v/>
      </c>
      <c r="R352" s="36" t="str">
        <f ca="1">IFERROR(__xludf.DUMMYFUNCTION("""COMPUTED_VALUE"""),"")</f>
        <v/>
      </c>
      <c r="S352" s="36" t="str">
        <f ca="1">IFERROR(__xludf.DUMMYFUNCTION("""COMPUTED_VALUE"""),"")</f>
        <v/>
      </c>
      <c r="T352" s="36" t="str">
        <f ca="1">IFERROR(__xludf.DUMMYFUNCTION("""COMPUTED_VALUE"""),"")</f>
        <v/>
      </c>
      <c r="U352" s="36" t="str">
        <f ca="1">IFERROR(__xludf.DUMMYFUNCTION("""COMPUTED_VALUE"""),"")</f>
        <v/>
      </c>
      <c r="V352" s="36" t="str">
        <f ca="1">IFERROR(__xludf.DUMMYFUNCTION("""COMPUTED_VALUE"""),"")</f>
        <v/>
      </c>
      <c r="W352" s="36" t="str">
        <f ca="1">IFERROR(__xludf.DUMMYFUNCTION("""COMPUTED_VALUE"""),"")</f>
        <v/>
      </c>
      <c r="X352" s="36"/>
      <c r="Y352" s="36"/>
      <c r="Z352" s="36"/>
    </row>
    <row r="353" spans="1:26" ht="12.75" hidden="1">
      <c r="A353" s="36" t="str">
        <f ca="1">IFERROR(__xludf.DUMMYFUNCTION("""COMPUTED_VALUE"""),"")</f>
        <v/>
      </c>
      <c r="B353" s="36" t="str">
        <f ca="1">IFERROR(__xludf.DUMMYFUNCTION("""COMPUTED_VALUE"""),"")</f>
        <v/>
      </c>
      <c r="C353" s="36" t="str">
        <f ca="1">IFERROR(__xludf.DUMMYFUNCTION("""COMPUTED_VALUE"""),"")</f>
        <v/>
      </c>
      <c r="D353" s="36" t="str">
        <f ca="1">IFERROR(__xludf.DUMMYFUNCTION("""COMPUTED_VALUE"""),"")</f>
        <v/>
      </c>
      <c r="E353" s="36" t="str">
        <f ca="1">IFERROR(__xludf.DUMMYFUNCTION("""COMPUTED_VALUE"""),"")</f>
        <v/>
      </c>
      <c r="F353" s="36" t="str">
        <f ca="1">IFERROR(__xludf.DUMMYFUNCTION("""COMPUTED_VALUE"""),"")</f>
        <v/>
      </c>
      <c r="G353" s="36" t="str">
        <f ca="1">IFERROR(__xludf.DUMMYFUNCTION("""COMPUTED_VALUE"""),"")</f>
        <v/>
      </c>
      <c r="H353" s="36" t="str">
        <f ca="1">IFERROR(__xludf.DUMMYFUNCTION("""COMPUTED_VALUE"""),"")</f>
        <v/>
      </c>
      <c r="I353" s="36" t="str">
        <f ca="1">IFERROR(__xludf.DUMMYFUNCTION("""COMPUTED_VALUE"""),"")</f>
        <v/>
      </c>
      <c r="J353" s="36" t="str">
        <f ca="1">IFERROR(__xludf.DUMMYFUNCTION("""COMPUTED_VALUE"""),"")</f>
        <v/>
      </c>
      <c r="K353" s="36" t="str">
        <f ca="1">IFERROR(__xludf.DUMMYFUNCTION("""COMPUTED_VALUE"""),"")</f>
        <v/>
      </c>
      <c r="L353" s="36" t="str">
        <f ca="1">IFERROR(__xludf.DUMMYFUNCTION("""COMPUTED_VALUE"""),"")</f>
        <v/>
      </c>
      <c r="M353" s="36" t="str">
        <f ca="1">IFERROR(__xludf.DUMMYFUNCTION("""COMPUTED_VALUE"""),"")</f>
        <v/>
      </c>
      <c r="N353" s="36" t="str">
        <f ca="1">IFERROR(__xludf.DUMMYFUNCTION("""COMPUTED_VALUE"""),"")</f>
        <v/>
      </c>
      <c r="O353" s="36" t="str">
        <f ca="1">IFERROR(__xludf.DUMMYFUNCTION("""COMPUTED_VALUE"""),"")</f>
        <v/>
      </c>
      <c r="P353" s="36" t="str">
        <f ca="1">IFERROR(__xludf.DUMMYFUNCTION("""COMPUTED_VALUE"""),"")</f>
        <v/>
      </c>
      <c r="Q353" s="36" t="str">
        <f ca="1">IFERROR(__xludf.DUMMYFUNCTION("""COMPUTED_VALUE"""),"")</f>
        <v/>
      </c>
      <c r="R353" s="36" t="str">
        <f ca="1">IFERROR(__xludf.DUMMYFUNCTION("""COMPUTED_VALUE"""),"")</f>
        <v/>
      </c>
      <c r="S353" s="36" t="str">
        <f ca="1">IFERROR(__xludf.DUMMYFUNCTION("""COMPUTED_VALUE"""),"")</f>
        <v/>
      </c>
      <c r="T353" s="36" t="str">
        <f ca="1">IFERROR(__xludf.DUMMYFUNCTION("""COMPUTED_VALUE"""),"")</f>
        <v/>
      </c>
      <c r="U353" s="36" t="str">
        <f ca="1">IFERROR(__xludf.DUMMYFUNCTION("""COMPUTED_VALUE"""),"")</f>
        <v/>
      </c>
      <c r="V353" s="36" t="str">
        <f ca="1">IFERROR(__xludf.DUMMYFUNCTION("""COMPUTED_VALUE"""),"")</f>
        <v/>
      </c>
      <c r="W353" s="36" t="str">
        <f ca="1">IFERROR(__xludf.DUMMYFUNCTION("""COMPUTED_VALUE"""),"")</f>
        <v/>
      </c>
      <c r="X353" s="36"/>
      <c r="Y353" s="36"/>
      <c r="Z353" s="36"/>
    </row>
    <row r="354" spans="1:26" ht="12.75" hidden="1">
      <c r="A354" s="36" t="str">
        <f ca="1">IFERROR(__xludf.DUMMYFUNCTION("""COMPUTED_VALUE"""),"")</f>
        <v/>
      </c>
      <c r="B354" s="36" t="str">
        <f ca="1">IFERROR(__xludf.DUMMYFUNCTION("""COMPUTED_VALUE"""),"")</f>
        <v/>
      </c>
      <c r="C354" s="36" t="str">
        <f ca="1">IFERROR(__xludf.DUMMYFUNCTION("""COMPUTED_VALUE"""),"")</f>
        <v/>
      </c>
      <c r="D354" s="36" t="str">
        <f ca="1">IFERROR(__xludf.DUMMYFUNCTION("""COMPUTED_VALUE"""),"")</f>
        <v/>
      </c>
      <c r="E354" s="36" t="str">
        <f ca="1">IFERROR(__xludf.DUMMYFUNCTION("""COMPUTED_VALUE"""),"")</f>
        <v/>
      </c>
      <c r="F354" s="36" t="str">
        <f ca="1">IFERROR(__xludf.DUMMYFUNCTION("""COMPUTED_VALUE"""),"")</f>
        <v/>
      </c>
      <c r="G354" s="36" t="str">
        <f ca="1">IFERROR(__xludf.DUMMYFUNCTION("""COMPUTED_VALUE"""),"")</f>
        <v/>
      </c>
      <c r="H354" s="36" t="str">
        <f ca="1">IFERROR(__xludf.DUMMYFUNCTION("""COMPUTED_VALUE"""),"")</f>
        <v/>
      </c>
      <c r="I354" s="36" t="str">
        <f ca="1">IFERROR(__xludf.DUMMYFUNCTION("""COMPUTED_VALUE"""),"")</f>
        <v/>
      </c>
      <c r="J354" s="36" t="str">
        <f ca="1">IFERROR(__xludf.DUMMYFUNCTION("""COMPUTED_VALUE"""),"")</f>
        <v/>
      </c>
      <c r="K354" s="36" t="str">
        <f ca="1">IFERROR(__xludf.DUMMYFUNCTION("""COMPUTED_VALUE"""),"")</f>
        <v/>
      </c>
      <c r="L354" s="36" t="str">
        <f ca="1">IFERROR(__xludf.DUMMYFUNCTION("""COMPUTED_VALUE"""),"")</f>
        <v/>
      </c>
      <c r="M354" s="36" t="str">
        <f ca="1">IFERROR(__xludf.DUMMYFUNCTION("""COMPUTED_VALUE"""),"")</f>
        <v/>
      </c>
      <c r="N354" s="36" t="str">
        <f ca="1">IFERROR(__xludf.DUMMYFUNCTION("""COMPUTED_VALUE"""),"")</f>
        <v/>
      </c>
      <c r="O354" s="36" t="str">
        <f ca="1">IFERROR(__xludf.DUMMYFUNCTION("""COMPUTED_VALUE"""),"")</f>
        <v/>
      </c>
      <c r="P354" s="36" t="str">
        <f ca="1">IFERROR(__xludf.DUMMYFUNCTION("""COMPUTED_VALUE"""),"")</f>
        <v/>
      </c>
      <c r="Q354" s="36" t="str">
        <f ca="1">IFERROR(__xludf.DUMMYFUNCTION("""COMPUTED_VALUE"""),"")</f>
        <v/>
      </c>
      <c r="R354" s="36" t="str">
        <f ca="1">IFERROR(__xludf.DUMMYFUNCTION("""COMPUTED_VALUE"""),"")</f>
        <v/>
      </c>
      <c r="S354" s="36" t="str">
        <f ca="1">IFERROR(__xludf.DUMMYFUNCTION("""COMPUTED_VALUE"""),"")</f>
        <v/>
      </c>
      <c r="T354" s="36" t="str">
        <f ca="1">IFERROR(__xludf.DUMMYFUNCTION("""COMPUTED_VALUE"""),"")</f>
        <v/>
      </c>
      <c r="U354" s="36" t="str">
        <f ca="1">IFERROR(__xludf.DUMMYFUNCTION("""COMPUTED_VALUE"""),"")</f>
        <v/>
      </c>
      <c r="V354" s="36" t="str">
        <f ca="1">IFERROR(__xludf.DUMMYFUNCTION("""COMPUTED_VALUE"""),"")</f>
        <v/>
      </c>
      <c r="W354" s="36" t="str">
        <f ca="1">IFERROR(__xludf.DUMMYFUNCTION("""COMPUTED_VALUE"""),"")</f>
        <v/>
      </c>
      <c r="X354" s="36"/>
      <c r="Y354" s="36"/>
      <c r="Z354" s="36"/>
    </row>
    <row r="355" spans="1:26" ht="12.75" hidden="1">
      <c r="A355" s="36" t="str">
        <f ca="1">IFERROR(__xludf.DUMMYFUNCTION("""COMPUTED_VALUE"""),"")</f>
        <v/>
      </c>
      <c r="B355" s="36" t="str">
        <f ca="1">IFERROR(__xludf.DUMMYFUNCTION("""COMPUTED_VALUE"""),"")</f>
        <v/>
      </c>
      <c r="C355" s="36" t="str">
        <f ca="1">IFERROR(__xludf.DUMMYFUNCTION("""COMPUTED_VALUE"""),"")</f>
        <v/>
      </c>
      <c r="D355" s="36" t="str">
        <f ca="1">IFERROR(__xludf.DUMMYFUNCTION("""COMPUTED_VALUE"""),"")</f>
        <v/>
      </c>
      <c r="E355" s="36" t="str">
        <f ca="1">IFERROR(__xludf.DUMMYFUNCTION("""COMPUTED_VALUE"""),"")</f>
        <v/>
      </c>
      <c r="F355" s="36" t="str">
        <f ca="1">IFERROR(__xludf.DUMMYFUNCTION("""COMPUTED_VALUE"""),"")</f>
        <v/>
      </c>
      <c r="G355" s="36" t="str">
        <f ca="1">IFERROR(__xludf.DUMMYFUNCTION("""COMPUTED_VALUE"""),"")</f>
        <v/>
      </c>
      <c r="H355" s="36" t="str">
        <f ca="1">IFERROR(__xludf.DUMMYFUNCTION("""COMPUTED_VALUE"""),"")</f>
        <v/>
      </c>
      <c r="I355" s="36" t="str">
        <f ca="1">IFERROR(__xludf.DUMMYFUNCTION("""COMPUTED_VALUE"""),"")</f>
        <v/>
      </c>
      <c r="J355" s="36" t="str">
        <f ca="1">IFERROR(__xludf.DUMMYFUNCTION("""COMPUTED_VALUE"""),"")</f>
        <v/>
      </c>
      <c r="K355" s="36" t="str">
        <f ca="1">IFERROR(__xludf.DUMMYFUNCTION("""COMPUTED_VALUE"""),"")</f>
        <v/>
      </c>
      <c r="L355" s="36" t="str">
        <f ca="1">IFERROR(__xludf.DUMMYFUNCTION("""COMPUTED_VALUE"""),"")</f>
        <v/>
      </c>
      <c r="M355" s="36" t="str">
        <f ca="1">IFERROR(__xludf.DUMMYFUNCTION("""COMPUTED_VALUE"""),"")</f>
        <v/>
      </c>
      <c r="N355" s="36" t="str">
        <f ca="1">IFERROR(__xludf.DUMMYFUNCTION("""COMPUTED_VALUE"""),"")</f>
        <v/>
      </c>
      <c r="O355" s="36" t="str">
        <f ca="1">IFERROR(__xludf.DUMMYFUNCTION("""COMPUTED_VALUE"""),"")</f>
        <v/>
      </c>
      <c r="P355" s="36" t="str">
        <f ca="1">IFERROR(__xludf.DUMMYFUNCTION("""COMPUTED_VALUE"""),"")</f>
        <v/>
      </c>
      <c r="Q355" s="36" t="str">
        <f ca="1">IFERROR(__xludf.DUMMYFUNCTION("""COMPUTED_VALUE"""),"")</f>
        <v/>
      </c>
      <c r="R355" s="36" t="str">
        <f ca="1">IFERROR(__xludf.DUMMYFUNCTION("""COMPUTED_VALUE"""),"")</f>
        <v/>
      </c>
      <c r="S355" s="36" t="str">
        <f ca="1">IFERROR(__xludf.DUMMYFUNCTION("""COMPUTED_VALUE"""),"")</f>
        <v/>
      </c>
      <c r="T355" s="36" t="str">
        <f ca="1">IFERROR(__xludf.DUMMYFUNCTION("""COMPUTED_VALUE"""),"")</f>
        <v/>
      </c>
      <c r="U355" s="36" t="str">
        <f ca="1">IFERROR(__xludf.DUMMYFUNCTION("""COMPUTED_VALUE"""),"")</f>
        <v/>
      </c>
      <c r="V355" s="36" t="str">
        <f ca="1">IFERROR(__xludf.DUMMYFUNCTION("""COMPUTED_VALUE"""),"")</f>
        <v/>
      </c>
      <c r="W355" s="36" t="str">
        <f ca="1">IFERROR(__xludf.DUMMYFUNCTION("""COMPUTED_VALUE"""),"")</f>
        <v/>
      </c>
      <c r="X355" s="36"/>
      <c r="Y355" s="36"/>
      <c r="Z355" s="36"/>
    </row>
    <row r="356" spans="1:26" ht="12.75" hidden="1">
      <c r="A356" s="36" t="str">
        <f ca="1">IFERROR(__xludf.DUMMYFUNCTION("""COMPUTED_VALUE"""),"")</f>
        <v/>
      </c>
      <c r="B356" s="36" t="str">
        <f ca="1">IFERROR(__xludf.DUMMYFUNCTION("""COMPUTED_VALUE"""),"")</f>
        <v/>
      </c>
      <c r="C356" s="36" t="str">
        <f ca="1">IFERROR(__xludf.DUMMYFUNCTION("""COMPUTED_VALUE"""),"")</f>
        <v/>
      </c>
      <c r="D356" s="36" t="str">
        <f ca="1">IFERROR(__xludf.DUMMYFUNCTION("""COMPUTED_VALUE"""),"")</f>
        <v/>
      </c>
      <c r="E356" s="36" t="str">
        <f ca="1">IFERROR(__xludf.DUMMYFUNCTION("""COMPUTED_VALUE"""),"")</f>
        <v/>
      </c>
      <c r="F356" s="36" t="str">
        <f ca="1">IFERROR(__xludf.DUMMYFUNCTION("""COMPUTED_VALUE"""),"")</f>
        <v/>
      </c>
      <c r="G356" s="36" t="str">
        <f ca="1">IFERROR(__xludf.DUMMYFUNCTION("""COMPUTED_VALUE"""),"")</f>
        <v/>
      </c>
      <c r="H356" s="36" t="str">
        <f ca="1">IFERROR(__xludf.DUMMYFUNCTION("""COMPUTED_VALUE"""),"")</f>
        <v/>
      </c>
      <c r="I356" s="36" t="str">
        <f ca="1">IFERROR(__xludf.DUMMYFUNCTION("""COMPUTED_VALUE"""),"")</f>
        <v/>
      </c>
      <c r="J356" s="36" t="str">
        <f ca="1">IFERROR(__xludf.DUMMYFUNCTION("""COMPUTED_VALUE"""),"")</f>
        <v/>
      </c>
      <c r="K356" s="36" t="str">
        <f ca="1">IFERROR(__xludf.DUMMYFUNCTION("""COMPUTED_VALUE"""),"")</f>
        <v/>
      </c>
      <c r="L356" s="36" t="str">
        <f ca="1">IFERROR(__xludf.DUMMYFUNCTION("""COMPUTED_VALUE"""),"")</f>
        <v/>
      </c>
      <c r="M356" s="36" t="str">
        <f ca="1">IFERROR(__xludf.DUMMYFUNCTION("""COMPUTED_VALUE"""),"")</f>
        <v/>
      </c>
      <c r="N356" s="36" t="str">
        <f ca="1">IFERROR(__xludf.DUMMYFUNCTION("""COMPUTED_VALUE"""),"")</f>
        <v/>
      </c>
      <c r="O356" s="36" t="str">
        <f ca="1">IFERROR(__xludf.DUMMYFUNCTION("""COMPUTED_VALUE"""),"")</f>
        <v/>
      </c>
      <c r="P356" s="36" t="str">
        <f ca="1">IFERROR(__xludf.DUMMYFUNCTION("""COMPUTED_VALUE"""),"")</f>
        <v/>
      </c>
      <c r="Q356" s="36" t="str">
        <f ca="1">IFERROR(__xludf.DUMMYFUNCTION("""COMPUTED_VALUE"""),"")</f>
        <v/>
      </c>
      <c r="R356" s="36" t="str">
        <f ca="1">IFERROR(__xludf.DUMMYFUNCTION("""COMPUTED_VALUE"""),"")</f>
        <v/>
      </c>
      <c r="S356" s="36" t="str">
        <f ca="1">IFERROR(__xludf.DUMMYFUNCTION("""COMPUTED_VALUE"""),"")</f>
        <v/>
      </c>
      <c r="T356" s="36" t="str">
        <f ca="1">IFERROR(__xludf.DUMMYFUNCTION("""COMPUTED_VALUE"""),"")</f>
        <v/>
      </c>
      <c r="U356" s="36" t="str">
        <f ca="1">IFERROR(__xludf.DUMMYFUNCTION("""COMPUTED_VALUE"""),"")</f>
        <v/>
      </c>
      <c r="V356" s="36" t="str">
        <f ca="1">IFERROR(__xludf.DUMMYFUNCTION("""COMPUTED_VALUE"""),"")</f>
        <v/>
      </c>
      <c r="W356" s="36" t="str">
        <f ca="1">IFERROR(__xludf.DUMMYFUNCTION("""COMPUTED_VALUE"""),"")</f>
        <v/>
      </c>
      <c r="X356" s="36"/>
      <c r="Y356" s="36"/>
      <c r="Z356" s="36"/>
    </row>
    <row r="357" spans="1:26" ht="12.75" hidden="1">
      <c r="A357" s="36" t="str">
        <f ca="1">IFERROR(__xludf.DUMMYFUNCTION("""COMPUTED_VALUE"""),"")</f>
        <v/>
      </c>
      <c r="B357" s="36" t="str">
        <f ca="1">IFERROR(__xludf.DUMMYFUNCTION("""COMPUTED_VALUE"""),"")</f>
        <v/>
      </c>
      <c r="C357" s="36" t="str">
        <f ca="1">IFERROR(__xludf.DUMMYFUNCTION("""COMPUTED_VALUE"""),"")</f>
        <v/>
      </c>
      <c r="D357" s="36" t="str">
        <f ca="1">IFERROR(__xludf.DUMMYFUNCTION("""COMPUTED_VALUE"""),"")</f>
        <v/>
      </c>
      <c r="E357" s="36" t="str">
        <f ca="1">IFERROR(__xludf.DUMMYFUNCTION("""COMPUTED_VALUE"""),"")</f>
        <v/>
      </c>
      <c r="F357" s="36" t="str">
        <f ca="1">IFERROR(__xludf.DUMMYFUNCTION("""COMPUTED_VALUE"""),"")</f>
        <v/>
      </c>
      <c r="G357" s="36" t="str">
        <f ca="1">IFERROR(__xludf.DUMMYFUNCTION("""COMPUTED_VALUE"""),"")</f>
        <v/>
      </c>
      <c r="H357" s="36" t="str">
        <f ca="1">IFERROR(__xludf.DUMMYFUNCTION("""COMPUTED_VALUE"""),"")</f>
        <v/>
      </c>
      <c r="I357" s="36" t="str">
        <f ca="1">IFERROR(__xludf.DUMMYFUNCTION("""COMPUTED_VALUE"""),"")</f>
        <v/>
      </c>
      <c r="J357" s="36" t="str">
        <f ca="1">IFERROR(__xludf.DUMMYFUNCTION("""COMPUTED_VALUE"""),"")</f>
        <v/>
      </c>
      <c r="K357" s="36" t="str">
        <f ca="1">IFERROR(__xludf.DUMMYFUNCTION("""COMPUTED_VALUE"""),"")</f>
        <v/>
      </c>
      <c r="L357" s="36" t="str">
        <f ca="1">IFERROR(__xludf.DUMMYFUNCTION("""COMPUTED_VALUE"""),"")</f>
        <v/>
      </c>
      <c r="M357" s="36" t="str">
        <f ca="1">IFERROR(__xludf.DUMMYFUNCTION("""COMPUTED_VALUE"""),"")</f>
        <v/>
      </c>
      <c r="N357" s="36" t="str">
        <f ca="1">IFERROR(__xludf.DUMMYFUNCTION("""COMPUTED_VALUE"""),"")</f>
        <v/>
      </c>
      <c r="O357" s="36" t="str">
        <f ca="1">IFERROR(__xludf.DUMMYFUNCTION("""COMPUTED_VALUE"""),"")</f>
        <v/>
      </c>
      <c r="P357" s="36" t="str">
        <f ca="1">IFERROR(__xludf.DUMMYFUNCTION("""COMPUTED_VALUE"""),"")</f>
        <v/>
      </c>
      <c r="Q357" s="36" t="str">
        <f ca="1">IFERROR(__xludf.DUMMYFUNCTION("""COMPUTED_VALUE"""),"")</f>
        <v/>
      </c>
      <c r="R357" s="36" t="str">
        <f ca="1">IFERROR(__xludf.DUMMYFUNCTION("""COMPUTED_VALUE"""),"")</f>
        <v/>
      </c>
      <c r="S357" s="36" t="str">
        <f ca="1">IFERROR(__xludf.DUMMYFUNCTION("""COMPUTED_VALUE"""),"")</f>
        <v/>
      </c>
      <c r="T357" s="36" t="str">
        <f ca="1">IFERROR(__xludf.DUMMYFUNCTION("""COMPUTED_VALUE"""),"")</f>
        <v/>
      </c>
      <c r="U357" s="36" t="str">
        <f ca="1">IFERROR(__xludf.DUMMYFUNCTION("""COMPUTED_VALUE"""),"")</f>
        <v/>
      </c>
      <c r="V357" s="36" t="str">
        <f ca="1">IFERROR(__xludf.DUMMYFUNCTION("""COMPUTED_VALUE"""),"")</f>
        <v/>
      </c>
      <c r="W357" s="36" t="str">
        <f ca="1">IFERROR(__xludf.DUMMYFUNCTION("""COMPUTED_VALUE"""),"")</f>
        <v/>
      </c>
      <c r="X357" s="36"/>
      <c r="Y357" s="36"/>
      <c r="Z357" s="36"/>
    </row>
    <row r="358" spans="1:26" ht="12.75" hidden="1">
      <c r="A358" s="36" t="str">
        <f ca="1">IFERROR(__xludf.DUMMYFUNCTION("""COMPUTED_VALUE"""),"")</f>
        <v/>
      </c>
      <c r="B358" s="36" t="str">
        <f ca="1">IFERROR(__xludf.DUMMYFUNCTION("""COMPUTED_VALUE"""),"")</f>
        <v/>
      </c>
      <c r="C358" s="36" t="str">
        <f ca="1">IFERROR(__xludf.DUMMYFUNCTION("""COMPUTED_VALUE"""),"")</f>
        <v/>
      </c>
      <c r="D358" s="36" t="str">
        <f ca="1">IFERROR(__xludf.DUMMYFUNCTION("""COMPUTED_VALUE"""),"")</f>
        <v/>
      </c>
      <c r="E358" s="36" t="str">
        <f ca="1">IFERROR(__xludf.DUMMYFUNCTION("""COMPUTED_VALUE"""),"")</f>
        <v/>
      </c>
      <c r="F358" s="36" t="str">
        <f ca="1">IFERROR(__xludf.DUMMYFUNCTION("""COMPUTED_VALUE"""),"")</f>
        <v/>
      </c>
      <c r="G358" s="36" t="str">
        <f ca="1">IFERROR(__xludf.DUMMYFUNCTION("""COMPUTED_VALUE"""),"")</f>
        <v/>
      </c>
      <c r="H358" s="36" t="str">
        <f ca="1">IFERROR(__xludf.DUMMYFUNCTION("""COMPUTED_VALUE"""),"")</f>
        <v/>
      </c>
      <c r="I358" s="36" t="str">
        <f ca="1">IFERROR(__xludf.DUMMYFUNCTION("""COMPUTED_VALUE"""),"")</f>
        <v/>
      </c>
      <c r="J358" s="36" t="str">
        <f ca="1">IFERROR(__xludf.DUMMYFUNCTION("""COMPUTED_VALUE"""),"")</f>
        <v/>
      </c>
      <c r="K358" s="36" t="str">
        <f ca="1">IFERROR(__xludf.DUMMYFUNCTION("""COMPUTED_VALUE"""),"")</f>
        <v/>
      </c>
      <c r="L358" s="36" t="str">
        <f ca="1">IFERROR(__xludf.DUMMYFUNCTION("""COMPUTED_VALUE"""),"")</f>
        <v/>
      </c>
      <c r="M358" s="36" t="str">
        <f ca="1">IFERROR(__xludf.DUMMYFUNCTION("""COMPUTED_VALUE"""),"")</f>
        <v/>
      </c>
      <c r="N358" s="36" t="str">
        <f ca="1">IFERROR(__xludf.DUMMYFUNCTION("""COMPUTED_VALUE"""),"")</f>
        <v/>
      </c>
      <c r="O358" s="36" t="str">
        <f ca="1">IFERROR(__xludf.DUMMYFUNCTION("""COMPUTED_VALUE"""),"")</f>
        <v/>
      </c>
      <c r="P358" s="36" t="str">
        <f ca="1">IFERROR(__xludf.DUMMYFUNCTION("""COMPUTED_VALUE"""),"")</f>
        <v/>
      </c>
      <c r="Q358" s="36" t="str">
        <f ca="1">IFERROR(__xludf.DUMMYFUNCTION("""COMPUTED_VALUE"""),"")</f>
        <v/>
      </c>
      <c r="R358" s="36" t="str">
        <f ca="1">IFERROR(__xludf.DUMMYFUNCTION("""COMPUTED_VALUE"""),"")</f>
        <v/>
      </c>
      <c r="S358" s="36" t="str">
        <f ca="1">IFERROR(__xludf.DUMMYFUNCTION("""COMPUTED_VALUE"""),"")</f>
        <v/>
      </c>
      <c r="T358" s="36" t="str">
        <f ca="1">IFERROR(__xludf.DUMMYFUNCTION("""COMPUTED_VALUE"""),"")</f>
        <v/>
      </c>
      <c r="U358" s="36" t="str">
        <f ca="1">IFERROR(__xludf.DUMMYFUNCTION("""COMPUTED_VALUE"""),"")</f>
        <v/>
      </c>
      <c r="V358" s="36" t="str">
        <f ca="1">IFERROR(__xludf.DUMMYFUNCTION("""COMPUTED_VALUE"""),"")</f>
        <v/>
      </c>
      <c r="W358" s="36" t="str">
        <f ca="1">IFERROR(__xludf.DUMMYFUNCTION("""COMPUTED_VALUE"""),"")</f>
        <v/>
      </c>
      <c r="X358" s="36"/>
      <c r="Y358" s="36"/>
      <c r="Z358" s="36"/>
    </row>
    <row r="359" spans="1:26" ht="12.75" hidden="1">
      <c r="A359" s="36" t="str">
        <f ca="1">IFERROR(__xludf.DUMMYFUNCTION("""COMPUTED_VALUE"""),"")</f>
        <v/>
      </c>
      <c r="B359" s="36" t="str">
        <f ca="1">IFERROR(__xludf.DUMMYFUNCTION("""COMPUTED_VALUE"""),"")</f>
        <v/>
      </c>
      <c r="C359" s="36" t="str">
        <f ca="1">IFERROR(__xludf.DUMMYFUNCTION("""COMPUTED_VALUE"""),"")</f>
        <v/>
      </c>
      <c r="D359" s="36" t="str">
        <f ca="1">IFERROR(__xludf.DUMMYFUNCTION("""COMPUTED_VALUE"""),"")</f>
        <v/>
      </c>
      <c r="E359" s="36" t="str">
        <f ca="1">IFERROR(__xludf.DUMMYFUNCTION("""COMPUTED_VALUE"""),"")</f>
        <v/>
      </c>
      <c r="F359" s="36" t="str">
        <f ca="1">IFERROR(__xludf.DUMMYFUNCTION("""COMPUTED_VALUE"""),"")</f>
        <v/>
      </c>
      <c r="G359" s="36" t="str">
        <f ca="1">IFERROR(__xludf.DUMMYFUNCTION("""COMPUTED_VALUE"""),"")</f>
        <v/>
      </c>
      <c r="H359" s="36" t="str">
        <f ca="1">IFERROR(__xludf.DUMMYFUNCTION("""COMPUTED_VALUE"""),"")</f>
        <v/>
      </c>
      <c r="I359" s="36" t="str">
        <f ca="1">IFERROR(__xludf.DUMMYFUNCTION("""COMPUTED_VALUE"""),"")</f>
        <v/>
      </c>
      <c r="J359" s="36" t="str">
        <f ca="1">IFERROR(__xludf.DUMMYFUNCTION("""COMPUTED_VALUE"""),"")</f>
        <v/>
      </c>
      <c r="K359" s="36" t="str">
        <f ca="1">IFERROR(__xludf.DUMMYFUNCTION("""COMPUTED_VALUE"""),"")</f>
        <v/>
      </c>
      <c r="L359" s="36" t="str">
        <f ca="1">IFERROR(__xludf.DUMMYFUNCTION("""COMPUTED_VALUE"""),"")</f>
        <v/>
      </c>
      <c r="M359" s="36" t="str">
        <f ca="1">IFERROR(__xludf.DUMMYFUNCTION("""COMPUTED_VALUE"""),"")</f>
        <v/>
      </c>
      <c r="N359" s="36" t="str">
        <f ca="1">IFERROR(__xludf.DUMMYFUNCTION("""COMPUTED_VALUE"""),"")</f>
        <v/>
      </c>
      <c r="O359" s="36" t="str">
        <f ca="1">IFERROR(__xludf.DUMMYFUNCTION("""COMPUTED_VALUE"""),"")</f>
        <v/>
      </c>
      <c r="P359" s="36" t="str">
        <f ca="1">IFERROR(__xludf.DUMMYFUNCTION("""COMPUTED_VALUE"""),"")</f>
        <v/>
      </c>
      <c r="Q359" s="36" t="str">
        <f ca="1">IFERROR(__xludf.DUMMYFUNCTION("""COMPUTED_VALUE"""),"")</f>
        <v/>
      </c>
      <c r="R359" s="36" t="str">
        <f ca="1">IFERROR(__xludf.DUMMYFUNCTION("""COMPUTED_VALUE"""),"")</f>
        <v/>
      </c>
      <c r="S359" s="36" t="str">
        <f ca="1">IFERROR(__xludf.DUMMYFUNCTION("""COMPUTED_VALUE"""),"")</f>
        <v/>
      </c>
      <c r="T359" s="36" t="str">
        <f ca="1">IFERROR(__xludf.DUMMYFUNCTION("""COMPUTED_VALUE"""),"")</f>
        <v/>
      </c>
      <c r="U359" s="36" t="str">
        <f ca="1">IFERROR(__xludf.DUMMYFUNCTION("""COMPUTED_VALUE"""),"")</f>
        <v/>
      </c>
      <c r="V359" s="36" t="str">
        <f ca="1">IFERROR(__xludf.DUMMYFUNCTION("""COMPUTED_VALUE"""),"")</f>
        <v/>
      </c>
      <c r="W359" s="36" t="str">
        <f ca="1">IFERROR(__xludf.DUMMYFUNCTION("""COMPUTED_VALUE"""),"")</f>
        <v/>
      </c>
      <c r="X359" s="36"/>
      <c r="Y359" s="36"/>
      <c r="Z359" s="36"/>
    </row>
    <row r="360" spans="1:26" ht="12.75" hidden="1">
      <c r="A360" s="36" t="str">
        <f ca="1">IFERROR(__xludf.DUMMYFUNCTION("""COMPUTED_VALUE"""),"")</f>
        <v/>
      </c>
      <c r="B360" s="36" t="str">
        <f ca="1">IFERROR(__xludf.DUMMYFUNCTION("""COMPUTED_VALUE"""),"")</f>
        <v/>
      </c>
      <c r="C360" s="36" t="str">
        <f ca="1">IFERROR(__xludf.DUMMYFUNCTION("""COMPUTED_VALUE"""),"")</f>
        <v/>
      </c>
      <c r="D360" s="36" t="str">
        <f ca="1">IFERROR(__xludf.DUMMYFUNCTION("""COMPUTED_VALUE"""),"")</f>
        <v/>
      </c>
      <c r="E360" s="36" t="str">
        <f ca="1">IFERROR(__xludf.DUMMYFUNCTION("""COMPUTED_VALUE"""),"")</f>
        <v/>
      </c>
      <c r="F360" s="36" t="str">
        <f ca="1">IFERROR(__xludf.DUMMYFUNCTION("""COMPUTED_VALUE"""),"")</f>
        <v/>
      </c>
      <c r="G360" s="36" t="str">
        <f ca="1">IFERROR(__xludf.DUMMYFUNCTION("""COMPUTED_VALUE"""),"")</f>
        <v/>
      </c>
      <c r="H360" s="36" t="str">
        <f ca="1">IFERROR(__xludf.DUMMYFUNCTION("""COMPUTED_VALUE"""),"")</f>
        <v/>
      </c>
      <c r="I360" s="36" t="str">
        <f ca="1">IFERROR(__xludf.DUMMYFUNCTION("""COMPUTED_VALUE"""),"")</f>
        <v/>
      </c>
      <c r="J360" s="36" t="str">
        <f ca="1">IFERROR(__xludf.DUMMYFUNCTION("""COMPUTED_VALUE"""),"")</f>
        <v/>
      </c>
      <c r="K360" s="36" t="str">
        <f ca="1">IFERROR(__xludf.DUMMYFUNCTION("""COMPUTED_VALUE"""),"")</f>
        <v/>
      </c>
      <c r="L360" s="36" t="str">
        <f ca="1">IFERROR(__xludf.DUMMYFUNCTION("""COMPUTED_VALUE"""),"")</f>
        <v/>
      </c>
      <c r="M360" s="36" t="str">
        <f ca="1">IFERROR(__xludf.DUMMYFUNCTION("""COMPUTED_VALUE"""),"")</f>
        <v/>
      </c>
      <c r="N360" s="36" t="str">
        <f ca="1">IFERROR(__xludf.DUMMYFUNCTION("""COMPUTED_VALUE"""),"")</f>
        <v/>
      </c>
      <c r="O360" s="36" t="str">
        <f ca="1">IFERROR(__xludf.DUMMYFUNCTION("""COMPUTED_VALUE"""),"")</f>
        <v/>
      </c>
      <c r="P360" s="36" t="str">
        <f ca="1">IFERROR(__xludf.DUMMYFUNCTION("""COMPUTED_VALUE"""),"")</f>
        <v/>
      </c>
      <c r="Q360" s="36" t="str">
        <f ca="1">IFERROR(__xludf.DUMMYFUNCTION("""COMPUTED_VALUE"""),"")</f>
        <v/>
      </c>
      <c r="R360" s="36" t="str">
        <f ca="1">IFERROR(__xludf.DUMMYFUNCTION("""COMPUTED_VALUE"""),"")</f>
        <v/>
      </c>
      <c r="S360" s="36" t="str">
        <f ca="1">IFERROR(__xludf.DUMMYFUNCTION("""COMPUTED_VALUE"""),"")</f>
        <v/>
      </c>
      <c r="T360" s="36" t="str">
        <f ca="1">IFERROR(__xludf.DUMMYFUNCTION("""COMPUTED_VALUE"""),"")</f>
        <v/>
      </c>
      <c r="U360" s="36" t="str">
        <f ca="1">IFERROR(__xludf.DUMMYFUNCTION("""COMPUTED_VALUE"""),"")</f>
        <v/>
      </c>
      <c r="V360" s="36" t="str">
        <f ca="1">IFERROR(__xludf.DUMMYFUNCTION("""COMPUTED_VALUE"""),"")</f>
        <v/>
      </c>
      <c r="W360" s="36" t="str">
        <f ca="1">IFERROR(__xludf.DUMMYFUNCTION("""COMPUTED_VALUE"""),"")</f>
        <v/>
      </c>
      <c r="X360" s="36"/>
      <c r="Y360" s="36"/>
      <c r="Z360" s="36"/>
    </row>
    <row r="361" spans="1:26" ht="12.75" hidden="1">
      <c r="A361" s="36" t="str">
        <f ca="1">IFERROR(__xludf.DUMMYFUNCTION("""COMPUTED_VALUE"""),"")</f>
        <v/>
      </c>
      <c r="B361" s="36" t="str">
        <f ca="1">IFERROR(__xludf.DUMMYFUNCTION("""COMPUTED_VALUE"""),"")</f>
        <v/>
      </c>
      <c r="C361" s="36" t="str">
        <f ca="1">IFERROR(__xludf.DUMMYFUNCTION("""COMPUTED_VALUE"""),"")</f>
        <v/>
      </c>
      <c r="D361" s="36" t="str">
        <f ca="1">IFERROR(__xludf.DUMMYFUNCTION("""COMPUTED_VALUE"""),"")</f>
        <v/>
      </c>
      <c r="E361" s="36" t="str">
        <f ca="1">IFERROR(__xludf.DUMMYFUNCTION("""COMPUTED_VALUE"""),"")</f>
        <v/>
      </c>
      <c r="F361" s="36" t="str">
        <f ca="1">IFERROR(__xludf.DUMMYFUNCTION("""COMPUTED_VALUE"""),"")</f>
        <v/>
      </c>
      <c r="G361" s="36" t="str">
        <f ca="1">IFERROR(__xludf.DUMMYFUNCTION("""COMPUTED_VALUE"""),"")</f>
        <v/>
      </c>
      <c r="H361" s="36" t="str">
        <f ca="1">IFERROR(__xludf.DUMMYFUNCTION("""COMPUTED_VALUE"""),"")</f>
        <v/>
      </c>
      <c r="I361" s="36" t="str">
        <f ca="1">IFERROR(__xludf.DUMMYFUNCTION("""COMPUTED_VALUE"""),"")</f>
        <v/>
      </c>
      <c r="J361" s="36" t="str">
        <f ca="1">IFERROR(__xludf.DUMMYFUNCTION("""COMPUTED_VALUE"""),"")</f>
        <v/>
      </c>
      <c r="K361" s="36" t="str">
        <f ca="1">IFERROR(__xludf.DUMMYFUNCTION("""COMPUTED_VALUE"""),"")</f>
        <v/>
      </c>
      <c r="L361" s="36" t="str">
        <f ca="1">IFERROR(__xludf.DUMMYFUNCTION("""COMPUTED_VALUE"""),"")</f>
        <v/>
      </c>
      <c r="M361" s="36" t="str">
        <f ca="1">IFERROR(__xludf.DUMMYFUNCTION("""COMPUTED_VALUE"""),"")</f>
        <v/>
      </c>
      <c r="N361" s="36" t="str">
        <f ca="1">IFERROR(__xludf.DUMMYFUNCTION("""COMPUTED_VALUE"""),"")</f>
        <v/>
      </c>
      <c r="O361" s="36" t="str">
        <f ca="1">IFERROR(__xludf.DUMMYFUNCTION("""COMPUTED_VALUE"""),"")</f>
        <v/>
      </c>
      <c r="P361" s="36" t="str">
        <f ca="1">IFERROR(__xludf.DUMMYFUNCTION("""COMPUTED_VALUE"""),"")</f>
        <v/>
      </c>
      <c r="Q361" s="36" t="str">
        <f ca="1">IFERROR(__xludf.DUMMYFUNCTION("""COMPUTED_VALUE"""),"")</f>
        <v/>
      </c>
      <c r="R361" s="36" t="str">
        <f ca="1">IFERROR(__xludf.DUMMYFUNCTION("""COMPUTED_VALUE"""),"")</f>
        <v/>
      </c>
      <c r="S361" s="36" t="str">
        <f ca="1">IFERROR(__xludf.DUMMYFUNCTION("""COMPUTED_VALUE"""),"")</f>
        <v/>
      </c>
      <c r="T361" s="36" t="str">
        <f ca="1">IFERROR(__xludf.DUMMYFUNCTION("""COMPUTED_VALUE"""),"")</f>
        <v/>
      </c>
      <c r="U361" s="36" t="str">
        <f ca="1">IFERROR(__xludf.DUMMYFUNCTION("""COMPUTED_VALUE"""),"")</f>
        <v/>
      </c>
      <c r="V361" s="36" t="str">
        <f ca="1">IFERROR(__xludf.DUMMYFUNCTION("""COMPUTED_VALUE"""),"")</f>
        <v/>
      </c>
      <c r="W361" s="36" t="str">
        <f ca="1">IFERROR(__xludf.DUMMYFUNCTION("""COMPUTED_VALUE"""),"")</f>
        <v/>
      </c>
      <c r="X361" s="36"/>
      <c r="Y361" s="36"/>
      <c r="Z361" s="36"/>
    </row>
    <row r="362" spans="1:26" ht="12.75" hidden="1">
      <c r="A362" s="36" t="str">
        <f ca="1">IFERROR(__xludf.DUMMYFUNCTION("""COMPUTED_VALUE"""),"")</f>
        <v/>
      </c>
      <c r="B362" s="36" t="str">
        <f ca="1">IFERROR(__xludf.DUMMYFUNCTION("""COMPUTED_VALUE"""),"")</f>
        <v/>
      </c>
      <c r="C362" s="36" t="str">
        <f ca="1">IFERROR(__xludf.DUMMYFUNCTION("""COMPUTED_VALUE"""),"")</f>
        <v/>
      </c>
      <c r="D362" s="36" t="str">
        <f ca="1">IFERROR(__xludf.DUMMYFUNCTION("""COMPUTED_VALUE"""),"")</f>
        <v/>
      </c>
      <c r="E362" s="36" t="str">
        <f ca="1">IFERROR(__xludf.DUMMYFUNCTION("""COMPUTED_VALUE"""),"")</f>
        <v/>
      </c>
      <c r="F362" s="36" t="str">
        <f ca="1">IFERROR(__xludf.DUMMYFUNCTION("""COMPUTED_VALUE"""),"")</f>
        <v/>
      </c>
      <c r="G362" s="36" t="str">
        <f ca="1">IFERROR(__xludf.DUMMYFUNCTION("""COMPUTED_VALUE"""),"")</f>
        <v/>
      </c>
      <c r="H362" s="36" t="str">
        <f ca="1">IFERROR(__xludf.DUMMYFUNCTION("""COMPUTED_VALUE"""),"")</f>
        <v/>
      </c>
      <c r="I362" s="36" t="str">
        <f ca="1">IFERROR(__xludf.DUMMYFUNCTION("""COMPUTED_VALUE"""),"")</f>
        <v/>
      </c>
      <c r="J362" s="36" t="str">
        <f ca="1">IFERROR(__xludf.DUMMYFUNCTION("""COMPUTED_VALUE"""),"")</f>
        <v/>
      </c>
      <c r="K362" s="36" t="str">
        <f ca="1">IFERROR(__xludf.DUMMYFUNCTION("""COMPUTED_VALUE"""),"")</f>
        <v/>
      </c>
      <c r="L362" s="36" t="str">
        <f ca="1">IFERROR(__xludf.DUMMYFUNCTION("""COMPUTED_VALUE"""),"")</f>
        <v/>
      </c>
      <c r="M362" s="36" t="str">
        <f ca="1">IFERROR(__xludf.DUMMYFUNCTION("""COMPUTED_VALUE"""),"")</f>
        <v/>
      </c>
      <c r="N362" s="36" t="str">
        <f ca="1">IFERROR(__xludf.DUMMYFUNCTION("""COMPUTED_VALUE"""),"")</f>
        <v/>
      </c>
      <c r="O362" s="36" t="str">
        <f ca="1">IFERROR(__xludf.DUMMYFUNCTION("""COMPUTED_VALUE"""),"")</f>
        <v/>
      </c>
      <c r="P362" s="36" t="str">
        <f ca="1">IFERROR(__xludf.DUMMYFUNCTION("""COMPUTED_VALUE"""),"")</f>
        <v/>
      </c>
      <c r="Q362" s="36" t="str">
        <f ca="1">IFERROR(__xludf.DUMMYFUNCTION("""COMPUTED_VALUE"""),"")</f>
        <v/>
      </c>
      <c r="R362" s="36" t="str">
        <f ca="1">IFERROR(__xludf.DUMMYFUNCTION("""COMPUTED_VALUE"""),"")</f>
        <v/>
      </c>
      <c r="S362" s="36" t="str">
        <f ca="1">IFERROR(__xludf.DUMMYFUNCTION("""COMPUTED_VALUE"""),"")</f>
        <v/>
      </c>
      <c r="T362" s="36" t="str">
        <f ca="1">IFERROR(__xludf.DUMMYFUNCTION("""COMPUTED_VALUE"""),"")</f>
        <v/>
      </c>
      <c r="U362" s="36" t="str">
        <f ca="1">IFERROR(__xludf.DUMMYFUNCTION("""COMPUTED_VALUE"""),"")</f>
        <v/>
      </c>
      <c r="V362" s="36" t="str">
        <f ca="1">IFERROR(__xludf.DUMMYFUNCTION("""COMPUTED_VALUE"""),"")</f>
        <v/>
      </c>
      <c r="W362" s="36" t="str">
        <f ca="1">IFERROR(__xludf.DUMMYFUNCTION("""COMPUTED_VALUE"""),"")</f>
        <v/>
      </c>
      <c r="X362" s="36"/>
      <c r="Y362" s="36"/>
      <c r="Z362" s="36"/>
    </row>
    <row r="363" spans="1:26" ht="12.75" hidden="1">
      <c r="A363" s="36" t="str">
        <f ca="1">IFERROR(__xludf.DUMMYFUNCTION("""COMPUTED_VALUE"""),"")</f>
        <v/>
      </c>
      <c r="B363" s="36" t="str">
        <f ca="1">IFERROR(__xludf.DUMMYFUNCTION("""COMPUTED_VALUE"""),"")</f>
        <v/>
      </c>
      <c r="C363" s="36" t="str">
        <f ca="1">IFERROR(__xludf.DUMMYFUNCTION("""COMPUTED_VALUE"""),"")</f>
        <v/>
      </c>
      <c r="D363" s="36" t="str">
        <f ca="1">IFERROR(__xludf.DUMMYFUNCTION("""COMPUTED_VALUE"""),"")</f>
        <v/>
      </c>
      <c r="E363" s="36" t="str">
        <f ca="1">IFERROR(__xludf.DUMMYFUNCTION("""COMPUTED_VALUE"""),"")</f>
        <v/>
      </c>
      <c r="F363" s="36" t="str">
        <f ca="1">IFERROR(__xludf.DUMMYFUNCTION("""COMPUTED_VALUE"""),"")</f>
        <v/>
      </c>
      <c r="G363" s="36" t="str">
        <f ca="1">IFERROR(__xludf.DUMMYFUNCTION("""COMPUTED_VALUE"""),"")</f>
        <v/>
      </c>
      <c r="H363" s="36" t="str">
        <f ca="1">IFERROR(__xludf.DUMMYFUNCTION("""COMPUTED_VALUE"""),"")</f>
        <v/>
      </c>
      <c r="I363" s="36" t="str">
        <f ca="1">IFERROR(__xludf.DUMMYFUNCTION("""COMPUTED_VALUE"""),"")</f>
        <v/>
      </c>
      <c r="J363" s="36" t="str">
        <f ca="1">IFERROR(__xludf.DUMMYFUNCTION("""COMPUTED_VALUE"""),"")</f>
        <v/>
      </c>
      <c r="K363" s="36" t="str">
        <f ca="1">IFERROR(__xludf.DUMMYFUNCTION("""COMPUTED_VALUE"""),"")</f>
        <v/>
      </c>
      <c r="L363" s="36" t="str">
        <f ca="1">IFERROR(__xludf.DUMMYFUNCTION("""COMPUTED_VALUE"""),"")</f>
        <v/>
      </c>
      <c r="M363" s="36" t="str">
        <f ca="1">IFERROR(__xludf.DUMMYFUNCTION("""COMPUTED_VALUE"""),"")</f>
        <v/>
      </c>
      <c r="N363" s="36" t="str">
        <f ca="1">IFERROR(__xludf.DUMMYFUNCTION("""COMPUTED_VALUE"""),"")</f>
        <v/>
      </c>
      <c r="O363" s="36" t="str">
        <f ca="1">IFERROR(__xludf.DUMMYFUNCTION("""COMPUTED_VALUE"""),"")</f>
        <v/>
      </c>
      <c r="P363" s="36" t="str">
        <f ca="1">IFERROR(__xludf.DUMMYFUNCTION("""COMPUTED_VALUE"""),"")</f>
        <v/>
      </c>
      <c r="Q363" s="36" t="str">
        <f ca="1">IFERROR(__xludf.DUMMYFUNCTION("""COMPUTED_VALUE"""),"")</f>
        <v/>
      </c>
      <c r="R363" s="36" t="str">
        <f ca="1">IFERROR(__xludf.DUMMYFUNCTION("""COMPUTED_VALUE"""),"")</f>
        <v/>
      </c>
      <c r="S363" s="36" t="str">
        <f ca="1">IFERROR(__xludf.DUMMYFUNCTION("""COMPUTED_VALUE"""),"")</f>
        <v/>
      </c>
      <c r="T363" s="36" t="str">
        <f ca="1">IFERROR(__xludf.DUMMYFUNCTION("""COMPUTED_VALUE"""),"")</f>
        <v/>
      </c>
      <c r="U363" s="36" t="str">
        <f ca="1">IFERROR(__xludf.DUMMYFUNCTION("""COMPUTED_VALUE"""),"")</f>
        <v/>
      </c>
      <c r="V363" s="36" t="str">
        <f ca="1">IFERROR(__xludf.DUMMYFUNCTION("""COMPUTED_VALUE"""),"")</f>
        <v/>
      </c>
      <c r="W363" s="36" t="str">
        <f ca="1">IFERROR(__xludf.DUMMYFUNCTION("""COMPUTED_VALUE"""),"")</f>
        <v/>
      </c>
      <c r="X363" s="36"/>
      <c r="Y363" s="36"/>
      <c r="Z363" s="36"/>
    </row>
    <row r="364" spans="1:26" ht="12.75" hidden="1">
      <c r="A364" s="36" t="str">
        <f ca="1">IFERROR(__xludf.DUMMYFUNCTION("""COMPUTED_VALUE"""),"")</f>
        <v/>
      </c>
      <c r="B364" s="36" t="str">
        <f ca="1">IFERROR(__xludf.DUMMYFUNCTION("""COMPUTED_VALUE"""),"")</f>
        <v/>
      </c>
      <c r="C364" s="36" t="str">
        <f ca="1">IFERROR(__xludf.DUMMYFUNCTION("""COMPUTED_VALUE"""),"")</f>
        <v/>
      </c>
      <c r="D364" s="36" t="str">
        <f ca="1">IFERROR(__xludf.DUMMYFUNCTION("""COMPUTED_VALUE"""),"")</f>
        <v/>
      </c>
      <c r="E364" s="36" t="str">
        <f ca="1">IFERROR(__xludf.DUMMYFUNCTION("""COMPUTED_VALUE"""),"")</f>
        <v/>
      </c>
      <c r="F364" s="36" t="str">
        <f ca="1">IFERROR(__xludf.DUMMYFUNCTION("""COMPUTED_VALUE"""),"")</f>
        <v/>
      </c>
      <c r="G364" s="36" t="str">
        <f ca="1">IFERROR(__xludf.DUMMYFUNCTION("""COMPUTED_VALUE"""),"")</f>
        <v/>
      </c>
      <c r="H364" s="36" t="str">
        <f ca="1">IFERROR(__xludf.DUMMYFUNCTION("""COMPUTED_VALUE"""),"")</f>
        <v/>
      </c>
      <c r="I364" s="36" t="str">
        <f ca="1">IFERROR(__xludf.DUMMYFUNCTION("""COMPUTED_VALUE"""),"")</f>
        <v/>
      </c>
      <c r="J364" s="36" t="str">
        <f ca="1">IFERROR(__xludf.DUMMYFUNCTION("""COMPUTED_VALUE"""),"")</f>
        <v/>
      </c>
      <c r="K364" s="36" t="str">
        <f ca="1">IFERROR(__xludf.DUMMYFUNCTION("""COMPUTED_VALUE"""),"")</f>
        <v/>
      </c>
      <c r="L364" s="36" t="str">
        <f ca="1">IFERROR(__xludf.DUMMYFUNCTION("""COMPUTED_VALUE"""),"")</f>
        <v/>
      </c>
      <c r="M364" s="36" t="str">
        <f ca="1">IFERROR(__xludf.DUMMYFUNCTION("""COMPUTED_VALUE"""),"")</f>
        <v/>
      </c>
      <c r="N364" s="36" t="str">
        <f ca="1">IFERROR(__xludf.DUMMYFUNCTION("""COMPUTED_VALUE"""),"")</f>
        <v/>
      </c>
      <c r="O364" s="36" t="str">
        <f ca="1">IFERROR(__xludf.DUMMYFUNCTION("""COMPUTED_VALUE"""),"")</f>
        <v/>
      </c>
      <c r="P364" s="36" t="str">
        <f ca="1">IFERROR(__xludf.DUMMYFUNCTION("""COMPUTED_VALUE"""),"")</f>
        <v/>
      </c>
      <c r="Q364" s="36" t="str">
        <f ca="1">IFERROR(__xludf.DUMMYFUNCTION("""COMPUTED_VALUE"""),"")</f>
        <v/>
      </c>
      <c r="R364" s="36" t="str">
        <f ca="1">IFERROR(__xludf.DUMMYFUNCTION("""COMPUTED_VALUE"""),"")</f>
        <v/>
      </c>
      <c r="S364" s="36" t="str">
        <f ca="1">IFERROR(__xludf.DUMMYFUNCTION("""COMPUTED_VALUE"""),"")</f>
        <v/>
      </c>
      <c r="T364" s="36" t="str">
        <f ca="1">IFERROR(__xludf.DUMMYFUNCTION("""COMPUTED_VALUE"""),"")</f>
        <v/>
      </c>
      <c r="U364" s="36" t="str">
        <f ca="1">IFERROR(__xludf.DUMMYFUNCTION("""COMPUTED_VALUE"""),"")</f>
        <v/>
      </c>
      <c r="V364" s="36" t="str">
        <f ca="1">IFERROR(__xludf.DUMMYFUNCTION("""COMPUTED_VALUE"""),"")</f>
        <v/>
      </c>
      <c r="W364" s="36" t="str">
        <f ca="1">IFERROR(__xludf.DUMMYFUNCTION("""COMPUTED_VALUE"""),"")</f>
        <v/>
      </c>
      <c r="X364" s="36"/>
      <c r="Y364" s="36"/>
      <c r="Z364" s="36"/>
    </row>
    <row r="365" spans="1:26" ht="12.75" hidden="1">
      <c r="A365" s="36" t="str">
        <f ca="1">IFERROR(__xludf.DUMMYFUNCTION("""COMPUTED_VALUE"""),"")</f>
        <v/>
      </c>
      <c r="B365" s="36" t="str">
        <f ca="1">IFERROR(__xludf.DUMMYFUNCTION("""COMPUTED_VALUE"""),"")</f>
        <v/>
      </c>
      <c r="C365" s="36" t="str">
        <f ca="1">IFERROR(__xludf.DUMMYFUNCTION("""COMPUTED_VALUE"""),"")</f>
        <v/>
      </c>
      <c r="D365" s="36" t="str">
        <f ca="1">IFERROR(__xludf.DUMMYFUNCTION("""COMPUTED_VALUE"""),"")</f>
        <v/>
      </c>
      <c r="E365" s="36" t="str">
        <f ca="1">IFERROR(__xludf.DUMMYFUNCTION("""COMPUTED_VALUE"""),"")</f>
        <v/>
      </c>
      <c r="F365" s="36" t="str">
        <f ca="1">IFERROR(__xludf.DUMMYFUNCTION("""COMPUTED_VALUE"""),"")</f>
        <v/>
      </c>
      <c r="G365" s="36" t="str">
        <f ca="1">IFERROR(__xludf.DUMMYFUNCTION("""COMPUTED_VALUE"""),"")</f>
        <v/>
      </c>
      <c r="H365" s="36" t="str">
        <f ca="1">IFERROR(__xludf.DUMMYFUNCTION("""COMPUTED_VALUE"""),"")</f>
        <v/>
      </c>
      <c r="I365" s="36" t="str">
        <f ca="1">IFERROR(__xludf.DUMMYFUNCTION("""COMPUTED_VALUE"""),"")</f>
        <v/>
      </c>
      <c r="J365" s="36" t="str">
        <f ca="1">IFERROR(__xludf.DUMMYFUNCTION("""COMPUTED_VALUE"""),"")</f>
        <v/>
      </c>
      <c r="K365" s="36" t="str">
        <f ca="1">IFERROR(__xludf.DUMMYFUNCTION("""COMPUTED_VALUE"""),"")</f>
        <v/>
      </c>
      <c r="L365" s="36" t="str">
        <f ca="1">IFERROR(__xludf.DUMMYFUNCTION("""COMPUTED_VALUE"""),"")</f>
        <v/>
      </c>
      <c r="M365" s="36" t="str">
        <f ca="1">IFERROR(__xludf.DUMMYFUNCTION("""COMPUTED_VALUE"""),"")</f>
        <v/>
      </c>
      <c r="N365" s="36" t="str">
        <f ca="1">IFERROR(__xludf.DUMMYFUNCTION("""COMPUTED_VALUE"""),"")</f>
        <v/>
      </c>
      <c r="O365" s="36" t="str">
        <f ca="1">IFERROR(__xludf.DUMMYFUNCTION("""COMPUTED_VALUE"""),"")</f>
        <v/>
      </c>
      <c r="P365" s="36" t="str">
        <f ca="1">IFERROR(__xludf.DUMMYFUNCTION("""COMPUTED_VALUE"""),"")</f>
        <v/>
      </c>
      <c r="Q365" s="36" t="str">
        <f ca="1">IFERROR(__xludf.DUMMYFUNCTION("""COMPUTED_VALUE"""),"")</f>
        <v/>
      </c>
      <c r="R365" s="36" t="str">
        <f ca="1">IFERROR(__xludf.DUMMYFUNCTION("""COMPUTED_VALUE"""),"")</f>
        <v/>
      </c>
      <c r="S365" s="36" t="str">
        <f ca="1">IFERROR(__xludf.DUMMYFUNCTION("""COMPUTED_VALUE"""),"")</f>
        <v/>
      </c>
      <c r="T365" s="36" t="str">
        <f ca="1">IFERROR(__xludf.DUMMYFUNCTION("""COMPUTED_VALUE"""),"")</f>
        <v/>
      </c>
      <c r="U365" s="36" t="str">
        <f ca="1">IFERROR(__xludf.DUMMYFUNCTION("""COMPUTED_VALUE"""),"")</f>
        <v/>
      </c>
      <c r="V365" s="36" t="str">
        <f ca="1">IFERROR(__xludf.DUMMYFUNCTION("""COMPUTED_VALUE"""),"")</f>
        <v/>
      </c>
      <c r="W365" s="36" t="str">
        <f ca="1">IFERROR(__xludf.DUMMYFUNCTION("""COMPUTED_VALUE"""),"")</f>
        <v/>
      </c>
      <c r="X365" s="36"/>
      <c r="Y365" s="36"/>
      <c r="Z365" s="36"/>
    </row>
    <row r="366" spans="1:26" ht="12.75" hidden="1">
      <c r="A366" s="36" t="str">
        <f ca="1">IFERROR(__xludf.DUMMYFUNCTION("""COMPUTED_VALUE"""),"")</f>
        <v/>
      </c>
      <c r="B366" s="36" t="str">
        <f ca="1">IFERROR(__xludf.DUMMYFUNCTION("""COMPUTED_VALUE"""),"")</f>
        <v/>
      </c>
      <c r="C366" s="36" t="str">
        <f ca="1">IFERROR(__xludf.DUMMYFUNCTION("""COMPUTED_VALUE"""),"")</f>
        <v/>
      </c>
      <c r="D366" s="36" t="str">
        <f ca="1">IFERROR(__xludf.DUMMYFUNCTION("""COMPUTED_VALUE"""),"")</f>
        <v/>
      </c>
      <c r="E366" s="36" t="str">
        <f ca="1">IFERROR(__xludf.DUMMYFUNCTION("""COMPUTED_VALUE"""),"")</f>
        <v/>
      </c>
      <c r="F366" s="36" t="str">
        <f ca="1">IFERROR(__xludf.DUMMYFUNCTION("""COMPUTED_VALUE"""),"")</f>
        <v/>
      </c>
      <c r="G366" s="36" t="str">
        <f ca="1">IFERROR(__xludf.DUMMYFUNCTION("""COMPUTED_VALUE"""),"")</f>
        <v/>
      </c>
      <c r="H366" s="36" t="str">
        <f ca="1">IFERROR(__xludf.DUMMYFUNCTION("""COMPUTED_VALUE"""),"")</f>
        <v/>
      </c>
      <c r="I366" s="36" t="str">
        <f ca="1">IFERROR(__xludf.DUMMYFUNCTION("""COMPUTED_VALUE"""),"")</f>
        <v/>
      </c>
      <c r="J366" s="36" t="str">
        <f ca="1">IFERROR(__xludf.DUMMYFUNCTION("""COMPUTED_VALUE"""),"")</f>
        <v/>
      </c>
      <c r="K366" s="36" t="str">
        <f ca="1">IFERROR(__xludf.DUMMYFUNCTION("""COMPUTED_VALUE"""),"")</f>
        <v/>
      </c>
      <c r="L366" s="36" t="str">
        <f ca="1">IFERROR(__xludf.DUMMYFUNCTION("""COMPUTED_VALUE"""),"")</f>
        <v/>
      </c>
      <c r="M366" s="36" t="str">
        <f ca="1">IFERROR(__xludf.DUMMYFUNCTION("""COMPUTED_VALUE"""),"")</f>
        <v/>
      </c>
      <c r="N366" s="36" t="str">
        <f ca="1">IFERROR(__xludf.DUMMYFUNCTION("""COMPUTED_VALUE"""),"")</f>
        <v/>
      </c>
      <c r="O366" s="36" t="str">
        <f ca="1">IFERROR(__xludf.DUMMYFUNCTION("""COMPUTED_VALUE"""),"")</f>
        <v/>
      </c>
      <c r="P366" s="36" t="str">
        <f ca="1">IFERROR(__xludf.DUMMYFUNCTION("""COMPUTED_VALUE"""),"")</f>
        <v/>
      </c>
      <c r="Q366" s="36" t="str">
        <f ca="1">IFERROR(__xludf.DUMMYFUNCTION("""COMPUTED_VALUE"""),"")</f>
        <v/>
      </c>
      <c r="R366" s="36" t="str">
        <f ca="1">IFERROR(__xludf.DUMMYFUNCTION("""COMPUTED_VALUE"""),"")</f>
        <v/>
      </c>
      <c r="S366" s="36" t="str">
        <f ca="1">IFERROR(__xludf.DUMMYFUNCTION("""COMPUTED_VALUE"""),"")</f>
        <v/>
      </c>
      <c r="T366" s="36" t="str">
        <f ca="1">IFERROR(__xludf.DUMMYFUNCTION("""COMPUTED_VALUE"""),"")</f>
        <v/>
      </c>
      <c r="U366" s="36" t="str">
        <f ca="1">IFERROR(__xludf.DUMMYFUNCTION("""COMPUTED_VALUE"""),"")</f>
        <v/>
      </c>
      <c r="V366" s="36" t="str">
        <f ca="1">IFERROR(__xludf.DUMMYFUNCTION("""COMPUTED_VALUE"""),"")</f>
        <v/>
      </c>
      <c r="W366" s="36" t="str">
        <f ca="1">IFERROR(__xludf.DUMMYFUNCTION("""COMPUTED_VALUE"""),"")</f>
        <v/>
      </c>
      <c r="X366" s="36"/>
      <c r="Y366" s="36"/>
      <c r="Z366" s="36"/>
    </row>
    <row r="367" spans="1:26" ht="12.75" hidden="1">
      <c r="A367" s="36" t="str">
        <f ca="1">IFERROR(__xludf.DUMMYFUNCTION("""COMPUTED_VALUE"""),"")</f>
        <v/>
      </c>
      <c r="B367" s="36" t="str">
        <f ca="1">IFERROR(__xludf.DUMMYFUNCTION("""COMPUTED_VALUE"""),"")</f>
        <v/>
      </c>
      <c r="C367" s="36" t="str">
        <f ca="1">IFERROR(__xludf.DUMMYFUNCTION("""COMPUTED_VALUE"""),"")</f>
        <v/>
      </c>
      <c r="D367" s="36" t="str">
        <f ca="1">IFERROR(__xludf.DUMMYFUNCTION("""COMPUTED_VALUE"""),"")</f>
        <v/>
      </c>
      <c r="E367" s="36" t="str">
        <f ca="1">IFERROR(__xludf.DUMMYFUNCTION("""COMPUTED_VALUE"""),"")</f>
        <v/>
      </c>
      <c r="F367" s="36" t="str">
        <f ca="1">IFERROR(__xludf.DUMMYFUNCTION("""COMPUTED_VALUE"""),"")</f>
        <v/>
      </c>
      <c r="G367" s="36" t="str">
        <f ca="1">IFERROR(__xludf.DUMMYFUNCTION("""COMPUTED_VALUE"""),"")</f>
        <v/>
      </c>
      <c r="H367" s="36" t="str">
        <f ca="1">IFERROR(__xludf.DUMMYFUNCTION("""COMPUTED_VALUE"""),"")</f>
        <v/>
      </c>
      <c r="I367" s="36" t="str">
        <f ca="1">IFERROR(__xludf.DUMMYFUNCTION("""COMPUTED_VALUE"""),"")</f>
        <v/>
      </c>
      <c r="J367" s="36" t="str">
        <f ca="1">IFERROR(__xludf.DUMMYFUNCTION("""COMPUTED_VALUE"""),"")</f>
        <v/>
      </c>
      <c r="K367" s="36" t="str">
        <f ca="1">IFERROR(__xludf.DUMMYFUNCTION("""COMPUTED_VALUE"""),"")</f>
        <v/>
      </c>
      <c r="L367" s="36" t="str">
        <f ca="1">IFERROR(__xludf.DUMMYFUNCTION("""COMPUTED_VALUE"""),"")</f>
        <v/>
      </c>
      <c r="M367" s="36" t="str">
        <f ca="1">IFERROR(__xludf.DUMMYFUNCTION("""COMPUTED_VALUE"""),"")</f>
        <v/>
      </c>
      <c r="N367" s="36" t="str">
        <f ca="1">IFERROR(__xludf.DUMMYFUNCTION("""COMPUTED_VALUE"""),"")</f>
        <v/>
      </c>
      <c r="O367" s="36" t="str">
        <f ca="1">IFERROR(__xludf.DUMMYFUNCTION("""COMPUTED_VALUE"""),"")</f>
        <v/>
      </c>
      <c r="P367" s="36" t="str">
        <f ca="1">IFERROR(__xludf.DUMMYFUNCTION("""COMPUTED_VALUE"""),"")</f>
        <v/>
      </c>
      <c r="Q367" s="36" t="str">
        <f ca="1">IFERROR(__xludf.DUMMYFUNCTION("""COMPUTED_VALUE"""),"")</f>
        <v/>
      </c>
      <c r="R367" s="36" t="str">
        <f ca="1">IFERROR(__xludf.DUMMYFUNCTION("""COMPUTED_VALUE"""),"")</f>
        <v/>
      </c>
      <c r="S367" s="36" t="str">
        <f ca="1">IFERROR(__xludf.DUMMYFUNCTION("""COMPUTED_VALUE"""),"")</f>
        <v/>
      </c>
      <c r="T367" s="36" t="str">
        <f ca="1">IFERROR(__xludf.DUMMYFUNCTION("""COMPUTED_VALUE"""),"")</f>
        <v/>
      </c>
      <c r="U367" s="36" t="str">
        <f ca="1">IFERROR(__xludf.DUMMYFUNCTION("""COMPUTED_VALUE"""),"")</f>
        <v/>
      </c>
      <c r="V367" s="36" t="str">
        <f ca="1">IFERROR(__xludf.DUMMYFUNCTION("""COMPUTED_VALUE"""),"")</f>
        <v/>
      </c>
      <c r="W367" s="36" t="str">
        <f ca="1">IFERROR(__xludf.DUMMYFUNCTION("""COMPUTED_VALUE"""),"")</f>
        <v/>
      </c>
      <c r="X367" s="36"/>
      <c r="Y367" s="36"/>
      <c r="Z367" s="36"/>
    </row>
    <row r="368" spans="1:26" ht="12.75" hidden="1">
      <c r="A368" s="36" t="str">
        <f ca="1">IFERROR(__xludf.DUMMYFUNCTION("""COMPUTED_VALUE"""),"")</f>
        <v/>
      </c>
      <c r="B368" s="36" t="str">
        <f ca="1">IFERROR(__xludf.DUMMYFUNCTION("""COMPUTED_VALUE"""),"")</f>
        <v/>
      </c>
      <c r="C368" s="36" t="str">
        <f ca="1">IFERROR(__xludf.DUMMYFUNCTION("""COMPUTED_VALUE"""),"")</f>
        <v/>
      </c>
      <c r="D368" s="36" t="str">
        <f ca="1">IFERROR(__xludf.DUMMYFUNCTION("""COMPUTED_VALUE"""),"")</f>
        <v/>
      </c>
      <c r="E368" s="36" t="str">
        <f ca="1">IFERROR(__xludf.DUMMYFUNCTION("""COMPUTED_VALUE"""),"")</f>
        <v/>
      </c>
      <c r="F368" s="36" t="str">
        <f ca="1">IFERROR(__xludf.DUMMYFUNCTION("""COMPUTED_VALUE"""),"")</f>
        <v/>
      </c>
      <c r="G368" s="36" t="str">
        <f ca="1">IFERROR(__xludf.DUMMYFUNCTION("""COMPUTED_VALUE"""),"")</f>
        <v/>
      </c>
      <c r="H368" s="36" t="str">
        <f ca="1">IFERROR(__xludf.DUMMYFUNCTION("""COMPUTED_VALUE"""),"")</f>
        <v/>
      </c>
      <c r="I368" s="36" t="str">
        <f ca="1">IFERROR(__xludf.DUMMYFUNCTION("""COMPUTED_VALUE"""),"")</f>
        <v/>
      </c>
      <c r="J368" s="36" t="str">
        <f ca="1">IFERROR(__xludf.DUMMYFUNCTION("""COMPUTED_VALUE"""),"")</f>
        <v/>
      </c>
      <c r="K368" s="36" t="str">
        <f ca="1">IFERROR(__xludf.DUMMYFUNCTION("""COMPUTED_VALUE"""),"")</f>
        <v/>
      </c>
      <c r="L368" s="36" t="str">
        <f ca="1">IFERROR(__xludf.DUMMYFUNCTION("""COMPUTED_VALUE"""),"")</f>
        <v/>
      </c>
      <c r="M368" s="36" t="str">
        <f ca="1">IFERROR(__xludf.DUMMYFUNCTION("""COMPUTED_VALUE"""),"")</f>
        <v/>
      </c>
      <c r="N368" s="36" t="str">
        <f ca="1">IFERROR(__xludf.DUMMYFUNCTION("""COMPUTED_VALUE"""),"")</f>
        <v/>
      </c>
      <c r="O368" s="36" t="str">
        <f ca="1">IFERROR(__xludf.DUMMYFUNCTION("""COMPUTED_VALUE"""),"")</f>
        <v/>
      </c>
      <c r="P368" s="36" t="str">
        <f ca="1">IFERROR(__xludf.DUMMYFUNCTION("""COMPUTED_VALUE"""),"")</f>
        <v/>
      </c>
      <c r="Q368" s="36" t="str">
        <f ca="1">IFERROR(__xludf.DUMMYFUNCTION("""COMPUTED_VALUE"""),"")</f>
        <v/>
      </c>
      <c r="R368" s="36" t="str">
        <f ca="1">IFERROR(__xludf.DUMMYFUNCTION("""COMPUTED_VALUE"""),"")</f>
        <v/>
      </c>
      <c r="S368" s="36" t="str">
        <f ca="1">IFERROR(__xludf.DUMMYFUNCTION("""COMPUTED_VALUE"""),"")</f>
        <v/>
      </c>
      <c r="T368" s="36" t="str">
        <f ca="1">IFERROR(__xludf.DUMMYFUNCTION("""COMPUTED_VALUE"""),"")</f>
        <v/>
      </c>
      <c r="U368" s="36" t="str">
        <f ca="1">IFERROR(__xludf.DUMMYFUNCTION("""COMPUTED_VALUE"""),"")</f>
        <v/>
      </c>
      <c r="V368" s="36" t="str">
        <f ca="1">IFERROR(__xludf.DUMMYFUNCTION("""COMPUTED_VALUE"""),"")</f>
        <v/>
      </c>
      <c r="W368" s="36" t="str">
        <f ca="1">IFERROR(__xludf.DUMMYFUNCTION("""COMPUTED_VALUE"""),"")</f>
        <v/>
      </c>
      <c r="X368" s="36"/>
      <c r="Y368" s="36"/>
      <c r="Z368" s="36"/>
    </row>
    <row r="369" spans="1:26" ht="12.75" hidden="1">
      <c r="A369" s="36" t="str">
        <f ca="1">IFERROR(__xludf.DUMMYFUNCTION("""COMPUTED_VALUE"""),"")</f>
        <v/>
      </c>
      <c r="B369" s="36" t="str">
        <f ca="1">IFERROR(__xludf.DUMMYFUNCTION("""COMPUTED_VALUE"""),"")</f>
        <v/>
      </c>
      <c r="C369" s="36" t="str">
        <f ca="1">IFERROR(__xludf.DUMMYFUNCTION("""COMPUTED_VALUE"""),"")</f>
        <v/>
      </c>
      <c r="D369" s="36" t="str">
        <f ca="1">IFERROR(__xludf.DUMMYFUNCTION("""COMPUTED_VALUE"""),"")</f>
        <v/>
      </c>
      <c r="E369" s="36" t="str">
        <f ca="1">IFERROR(__xludf.DUMMYFUNCTION("""COMPUTED_VALUE"""),"")</f>
        <v/>
      </c>
      <c r="F369" s="36" t="str">
        <f ca="1">IFERROR(__xludf.DUMMYFUNCTION("""COMPUTED_VALUE"""),"")</f>
        <v/>
      </c>
      <c r="G369" s="36" t="str">
        <f ca="1">IFERROR(__xludf.DUMMYFUNCTION("""COMPUTED_VALUE"""),"")</f>
        <v/>
      </c>
      <c r="H369" s="36" t="str">
        <f ca="1">IFERROR(__xludf.DUMMYFUNCTION("""COMPUTED_VALUE"""),"")</f>
        <v/>
      </c>
      <c r="I369" s="36" t="str">
        <f ca="1">IFERROR(__xludf.DUMMYFUNCTION("""COMPUTED_VALUE"""),"")</f>
        <v/>
      </c>
      <c r="J369" s="36" t="str">
        <f ca="1">IFERROR(__xludf.DUMMYFUNCTION("""COMPUTED_VALUE"""),"")</f>
        <v/>
      </c>
      <c r="K369" s="36" t="str">
        <f ca="1">IFERROR(__xludf.DUMMYFUNCTION("""COMPUTED_VALUE"""),"")</f>
        <v/>
      </c>
      <c r="L369" s="36" t="str">
        <f ca="1">IFERROR(__xludf.DUMMYFUNCTION("""COMPUTED_VALUE"""),"")</f>
        <v/>
      </c>
      <c r="M369" s="36" t="str">
        <f ca="1">IFERROR(__xludf.DUMMYFUNCTION("""COMPUTED_VALUE"""),"")</f>
        <v/>
      </c>
      <c r="N369" s="36" t="str">
        <f ca="1">IFERROR(__xludf.DUMMYFUNCTION("""COMPUTED_VALUE"""),"")</f>
        <v/>
      </c>
      <c r="O369" s="36" t="str">
        <f ca="1">IFERROR(__xludf.DUMMYFUNCTION("""COMPUTED_VALUE"""),"")</f>
        <v/>
      </c>
      <c r="P369" s="36" t="str">
        <f ca="1">IFERROR(__xludf.DUMMYFUNCTION("""COMPUTED_VALUE"""),"")</f>
        <v/>
      </c>
      <c r="Q369" s="36" t="str">
        <f ca="1">IFERROR(__xludf.DUMMYFUNCTION("""COMPUTED_VALUE"""),"")</f>
        <v/>
      </c>
      <c r="R369" s="36" t="str">
        <f ca="1">IFERROR(__xludf.DUMMYFUNCTION("""COMPUTED_VALUE"""),"")</f>
        <v/>
      </c>
      <c r="S369" s="36" t="str">
        <f ca="1">IFERROR(__xludf.DUMMYFUNCTION("""COMPUTED_VALUE"""),"")</f>
        <v/>
      </c>
      <c r="T369" s="36" t="str">
        <f ca="1">IFERROR(__xludf.DUMMYFUNCTION("""COMPUTED_VALUE"""),"")</f>
        <v/>
      </c>
      <c r="U369" s="36" t="str">
        <f ca="1">IFERROR(__xludf.DUMMYFUNCTION("""COMPUTED_VALUE"""),"")</f>
        <v/>
      </c>
      <c r="V369" s="36" t="str">
        <f ca="1">IFERROR(__xludf.DUMMYFUNCTION("""COMPUTED_VALUE"""),"")</f>
        <v/>
      </c>
      <c r="W369" s="36" t="str">
        <f ca="1">IFERROR(__xludf.DUMMYFUNCTION("""COMPUTED_VALUE"""),"")</f>
        <v/>
      </c>
      <c r="X369" s="36"/>
      <c r="Y369" s="36"/>
      <c r="Z369" s="36"/>
    </row>
    <row r="370" spans="1:26" ht="12.75" hidden="1">
      <c r="A370" s="36" t="str">
        <f ca="1">IFERROR(__xludf.DUMMYFUNCTION("""COMPUTED_VALUE"""),"")</f>
        <v/>
      </c>
      <c r="B370" s="36" t="str">
        <f ca="1">IFERROR(__xludf.DUMMYFUNCTION("""COMPUTED_VALUE"""),"")</f>
        <v/>
      </c>
      <c r="C370" s="36" t="str">
        <f ca="1">IFERROR(__xludf.DUMMYFUNCTION("""COMPUTED_VALUE"""),"")</f>
        <v/>
      </c>
      <c r="D370" s="36" t="str">
        <f ca="1">IFERROR(__xludf.DUMMYFUNCTION("""COMPUTED_VALUE"""),"")</f>
        <v/>
      </c>
      <c r="E370" s="36" t="str">
        <f ca="1">IFERROR(__xludf.DUMMYFUNCTION("""COMPUTED_VALUE"""),"")</f>
        <v/>
      </c>
      <c r="F370" s="36" t="str">
        <f ca="1">IFERROR(__xludf.DUMMYFUNCTION("""COMPUTED_VALUE"""),"")</f>
        <v/>
      </c>
      <c r="G370" s="36" t="str">
        <f ca="1">IFERROR(__xludf.DUMMYFUNCTION("""COMPUTED_VALUE"""),"")</f>
        <v/>
      </c>
      <c r="H370" s="36" t="str">
        <f ca="1">IFERROR(__xludf.DUMMYFUNCTION("""COMPUTED_VALUE"""),"")</f>
        <v/>
      </c>
      <c r="I370" s="36" t="str">
        <f ca="1">IFERROR(__xludf.DUMMYFUNCTION("""COMPUTED_VALUE"""),"")</f>
        <v/>
      </c>
      <c r="J370" s="36" t="str">
        <f ca="1">IFERROR(__xludf.DUMMYFUNCTION("""COMPUTED_VALUE"""),"")</f>
        <v/>
      </c>
      <c r="K370" s="36" t="str">
        <f ca="1">IFERROR(__xludf.DUMMYFUNCTION("""COMPUTED_VALUE"""),"")</f>
        <v/>
      </c>
      <c r="L370" s="36" t="str">
        <f ca="1">IFERROR(__xludf.DUMMYFUNCTION("""COMPUTED_VALUE"""),"")</f>
        <v/>
      </c>
      <c r="M370" s="36" t="str">
        <f ca="1">IFERROR(__xludf.DUMMYFUNCTION("""COMPUTED_VALUE"""),"")</f>
        <v/>
      </c>
      <c r="N370" s="36" t="str">
        <f ca="1">IFERROR(__xludf.DUMMYFUNCTION("""COMPUTED_VALUE"""),"")</f>
        <v/>
      </c>
      <c r="O370" s="36" t="str">
        <f ca="1">IFERROR(__xludf.DUMMYFUNCTION("""COMPUTED_VALUE"""),"")</f>
        <v/>
      </c>
      <c r="P370" s="36" t="str">
        <f ca="1">IFERROR(__xludf.DUMMYFUNCTION("""COMPUTED_VALUE"""),"")</f>
        <v/>
      </c>
      <c r="Q370" s="36" t="str">
        <f ca="1">IFERROR(__xludf.DUMMYFUNCTION("""COMPUTED_VALUE"""),"")</f>
        <v/>
      </c>
      <c r="R370" s="36" t="str">
        <f ca="1">IFERROR(__xludf.DUMMYFUNCTION("""COMPUTED_VALUE"""),"")</f>
        <v/>
      </c>
      <c r="S370" s="36" t="str">
        <f ca="1">IFERROR(__xludf.DUMMYFUNCTION("""COMPUTED_VALUE"""),"")</f>
        <v/>
      </c>
      <c r="T370" s="36" t="str">
        <f ca="1">IFERROR(__xludf.DUMMYFUNCTION("""COMPUTED_VALUE"""),"")</f>
        <v/>
      </c>
      <c r="U370" s="36" t="str">
        <f ca="1">IFERROR(__xludf.DUMMYFUNCTION("""COMPUTED_VALUE"""),"")</f>
        <v/>
      </c>
      <c r="V370" s="36" t="str">
        <f ca="1">IFERROR(__xludf.DUMMYFUNCTION("""COMPUTED_VALUE"""),"")</f>
        <v/>
      </c>
      <c r="W370" s="36" t="str">
        <f ca="1">IFERROR(__xludf.DUMMYFUNCTION("""COMPUTED_VALUE"""),"")</f>
        <v/>
      </c>
      <c r="X370" s="36"/>
      <c r="Y370" s="36"/>
      <c r="Z370" s="36"/>
    </row>
    <row r="371" spans="1:26" ht="12.75" hidden="1">
      <c r="A371" s="36" t="str">
        <f ca="1">IFERROR(__xludf.DUMMYFUNCTION("""COMPUTED_VALUE"""),"")</f>
        <v/>
      </c>
      <c r="B371" s="36" t="str">
        <f ca="1">IFERROR(__xludf.DUMMYFUNCTION("""COMPUTED_VALUE"""),"")</f>
        <v/>
      </c>
      <c r="C371" s="36" t="str">
        <f ca="1">IFERROR(__xludf.DUMMYFUNCTION("""COMPUTED_VALUE"""),"")</f>
        <v/>
      </c>
      <c r="D371" s="36" t="str">
        <f ca="1">IFERROR(__xludf.DUMMYFUNCTION("""COMPUTED_VALUE"""),"")</f>
        <v/>
      </c>
      <c r="E371" s="36" t="str">
        <f ca="1">IFERROR(__xludf.DUMMYFUNCTION("""COMPUTED_VALUE"""),"")</f>
        <v/>
      </c>
      <c r="F371" s="36" t="str">
        <f ca="1">IFERROR(__xludf.DUMMYFUNCTION("""COMPUTED_VALUE"""),"")</f>
        <v/>
      </c>
      <c r="G371" s="36" t="str">
        <f ca="1">IFERROR(__xludf.DUMMYFUNCTION("""COMPUTED_VALUE"""),"")</f>
        <v/>
      </c>
      <c r="H371" s="36" t="str">
        <f ca="1">IFERROR(__xludf.DUMMYFUNCTION("""COMPUTED_VALUE"""),"")</f>
        <v/>
      </c>
      <c r="I371" s="36" t="str">
        <f ca="1">IFERROR(__xludf.DUMMYFUNCTION("""COMPUTED_VALUE"""),"")</f>
        <v/>
      </c>
      <c r="J371" s="36" t="str">
        <f ca="1">IFERROR(__xludf.DUMMYFUNCTION("""COMPUTED_VALUE"""),"")</f>
        <v/>
      </c>
      <c r="K371" s="36" t="str">
        <f ca="1">IFERROR(__xludf.DUMMYFUNCTION("""COMPUTED_VALUE"""),"")</f>
        <v/>
      </c>
      <c r="L371" s="36" t="str">
        <f ca="1">IFERROR(__xludf.DUMMYFUNCTION("""COMPUTED_VALUE"""),"")</f>
        <v/>
      </c>
      <c r="M371" s="36" t="str">
        <f ca="1">IFERROR(__xludf.DUMMYFUNCTION("""COMPUTED_VALUE"""),"")</f>
        <v/>
      </c>
      <c r="N371" s="36" t="str">
        <f ca="1">IFERROR(__xludf.DUMMYFUNCTION("""COMPUTED_VALUE"""),"")</f>
        <v/>
      </c>
      <c r="O371" s="36" t="str">
        <f ca="1">IFERROR(__xludf.DUMMYFUNCTION("""COMPUTED_VALUE"""),"")</f>
        <v/>
      </c>
      <c r="P371" s="36" t="str">
        <f ca="1">IFERROR(__xludf.DUMMYFUNCTION("""COMPUTED_VALUE"""),"")</f>
        <v/>
      </c>
      <c r="Q371" s="36" t="str">
        <f ca="1">IFERROR(__xludf.DUMMYFUNCTION("""COMPUTED_VALUE"""),"")</f>
        <v/>
      </c>
      <c r="R371" s="36" t="str">
        <f ca="1">IFERROR(__xludf.DUMMYFUNCTION("""COMPUTED_VALUE"""),"")</f>
        <v/>
      </c>
      <c r="S371" s="36" t="str">
        <f ca="1">IFERROR(__xludf.DUMMYFUNCTION("""COMPUTED_VALUE"""),"")</f>
        <v/>
      </c>
      <c r="T371" s="36" t="str">
        <f ca="1">IFERROR(__xludf.DUMMYFUNCTION("""COMPUTED_VALUE"""),"")</f>
        <v/>
      </c>
      <c r="U371" s="36" t="str">
        <f ca="1">IFERROR(__xludf.DUMMYFUNCTION("""COMPUTED_VALUE"""),"")</f>
        <v/>
      </c>
      <c r="V371" s="36" t="str">
        <f ca="1">IFERROR(__xludf.DUMMYFUNCTION("""COMPUTED_VALUE"""),"")</f>
        <v/>
      </c>
      <c r="W371" s="36" t="str">
        <f ca="1">IFERROR(__xludf.DUMMYFUNCTION("""COMPUTED_VALUE"""),"")</f>
        <v/>
      </c>
      <c r="X371" s="36"/>
      <c r="Y371" s="36"/>
      <c r="Z371" s="36"/>
    </row>
    <row r="372" spans="1:26" ht="12.75" hidden="1">
      <c r="A372" s="36" t="str">
        <f ca="1">IFERROR(__xludf.DUMMYFUNCTION("""COMPUTED_VALUE"""),"")</f>
        <v/>
      </c>
      <c r="B372" s="36" t="str">
        <f ca="1">IFERROR(__xludf.DUMMYFUNCTION("""COMPUTED_VALUE"""),"")</f>
        <v/>
      </c>
      <c r="C372" s="36" t="str">
        <f ca="1">IFERROR(__xludf.DUMMYFUNCTION("""COMPUTED_VALUE"""),"")</f>
        <v/>
      </c>
      <c r="D372" s="36" t="str">
        <f ca="1">IFERROR(__xludf.DUMMYFUNCTION("""COMPUTED_VALUE"""),"")</f>
        <v/>
      </c>
      <c r="E372" s="36" t="str">
        <f ca="1">IFERROR(__xludf.DUMMYFUNCTION("""COMPUTED_VALUE"""),"")</f>
        <v/>
      </c>
      <c r="F372" s="36" t="str">
        <f ca="1">IFERROR(__xludf.DUMMYFUNCTION("""COMPUTED_VALUE"""),"")</f>
        <v/>
      </c>
      <c r="G372" s="36" t="str">
        <f ca="1">IFERROR(__xludf.DUMMYFUNCTION("""COMPUTED_VALUE"""),"")</f>
        <v/>
      </c>
      <c r="H372" s="36" t="str">
        <f ca="1">IFERROR(__xludf.DUMMYFUNCTION("""COMPUTED_VALUE"""),"")</f>
        <v/>
      </c>
      <c r="I372" s="36" t="str">
        <f ca="1">IFERROR(__xludf.DUMMYFUNCTION("""COMPUTED_VALUE"""),"")</f>
        <v/>
      </c>
      <c r="J372" s="36" t="str">
        <f ca="1">IFERROR(__xludf.DUMMYFUNCTION("""COMPUTED_VALUE"""),"")</f>
        <v/>
      </c>
      <c r="K372" s="36" t="str">
        <f ca="1">IFERROR(__xludf.DUMMYFUNCTION("""COMPUTED_VALUE"""),"")</f>
        <v/>
      </c>
      <c r="L372" s="36" t="str">
        <f ca="1">IFERROR(__xludf.DUMMYFUNCTION("""COMPUTED_VALUE"""),"")</f>
        <v/>
      </c>
      <c r="M372" s="36" t="str">
        <f ca="1">IFERROR(__xludf.DUMMYFUNCTION("""COMPUTED_VALUE"""),"")</f>
        <v/>
      </c>
      <c r="N372" s="36" t="str">
        <f ca="1">IFERROR(__xludf.DUMMYFUNCTION("""COMPUTED_VALUE"""),"")</f>
        <v/>
      </c>
      <c r="O372" s="36" t="str">
        <f ca="1">IFERROR(__xludf.DUMMYFUNCTION("""COMPUTED_VALUE"""),"")</f>
        <v/>
      </c>
      <c r="P372" s="36" t="str">
        <f ca="1">IFERROR(__xludf.DUMMYFUNCTION("""COMPUTED_VALUE"""),"")</f>
        <v/>
      </c>
      <c r="Q372" s="36" t="str">
        <f ca="1">IFERROR(__xludf.DUMMYFUNCTION("""COMPUTED_VALUE"""),"")</f>
        <v/>
      </c>
      <c r="R372" s="36" t="str">
        <f ca="1">IFERROR(__xludf.DUMMYFUNCTION("""COMPUTED_VALUE"""),"")</f>
        <v/>
      </c>
      <c r="S372" s="36" t="str">
        <f ca="1">IFERROR(__xludf.DUMMYFUNCTION("""COMPUTED_VALUE"""),"")</f>
        <v/>
      </c>
      <c r="T372" s="36" t="str">
        <f ca="1">IFERROR(__xludf.DUMMYFUNCTION("""COMPUTED_VALUE"""),"")</f>
        <v/>
      </c>
      <c r="U372" s="36" t="str">
        <f ca="1">IFERROR(__xludf.DUMMYFUNCTION("""COMPUTED_VALUE"""),"")</f>
        <v/>
      </c>
      <c r="V372" s="36" t="str">
        <f ca="1">IFERROR(__xludf.DUMMYFUNCTION("""COMPUTED_VALUE"""),"")</f>
        <v/>
      </c>
      <c r="W372" s="36" t="str">
        <f ca="1">IFERROR(__xludf.DUMMYFUNCTION("""COMPUTED_VALUE"""),"")</f>
        <v/>
      </c>
      <c r="X372" s="36"/>
      <c r="Y372" s="36"/>
      <c r="Z372" s="36"/>
    </row>
    <row r="373" spans="1:26" ht="12.75" hidden="1">
      <c r="A373" s="36" t="str">
        <f ca="1">IFERROR(__xludf.DUMMYFUNCTION("""COMPUTED_VALUE"""),"")</f>
        <v/>
      </c>
      <c r="B373" s="36" t="str">
        <f ca="1">IFERROR(__xludf.DUMMYFUNCTION("""COMPUTED_VALUE"""),"")</f>
        <v/>
      </c>
      <c r="C373" s="36" t="str">
        <f ca="1">IFERROR(__xludf.DUMMYFUNCTION("""COMPUTED_VALUE"""),"")</f>
        <v/>
      </c>
      <c r="D373" s="36" t="str">
        <f ca="1">IFERROR(__xludf.DUMMYFUNCTION("""COMPUTED_VALUE"""),"")</f>
        <v/>
      </c>
      <c r="E373" s="36" t="str">
        <f ca="1">IFERROR(__xludf.DUMMYFUNCTION("""COMPUTED_VALUE"""),"")</f>
        <v/>
      </c>
      <c r="F373" s="36" t="str">
        <f ca="1">IFERROR(__xludf.DUMMYFUNCTION("""COMPUTED_VALUE"""),"")</f>
        <v/>
      </c>
      <c r="G373" s="36" t="str">
        <f ca="1">IFERROR(__xludf.DUMMYFUNCTION("""COMPUTED_VALUE"""),"")</f>
        <v/>
      </c>
      <c r="H373" s="36" t="str">
        <f ca="1">IFERROR(__xludf.DUMMYFUNCTION("""COMPUTED_VALUE"""),"")</f>
        <v/>
      </c>
      <c r="I373" s="36" t="str">
        <f ca="1">IFERROR(__xludf.DUMMYFUNCTION("""COMPUTED_VALUE"""),"")</f>
        <v/>
      </c>
      <c r="J373" s="36" t="str">
        <f ca="1">IFERROR(__xludf.DUMMYFUNCTION("""COMPUTED_VALUE"""),"")</f>
        <v/>
      </c>
      <c r="K373" s="36" t="str">
        <f ca="1">IFERROR(__xludf.DUMMYFUNCTION("""COMPUTED_VALUE"""),"")</f>
        <v/>
      </c>
      <c r="L373" s="36" t="str">
        <f ca="1">IFERROR(__xludf.DUMMYFUNCTION("""COMPUTED_VALUE"""),"")</f>
        <v/>
      </c>
      <c r="M373" s="36" t="str">
        <f ca="1">IFERROR(__xludf.DUMMYFUNCTION("""COMPUTED_VALUE"""),"")</f>
        <v/>
      </c>
      <c r="N373" s="36" t="str">
        <f ca="1">IFERROR(__xludf.DUMMYFUNCTION("""COMPUTED_VALUE"""),"")</f>
        <v/>
      </c>
      <c r="O373" s="36" t="str">
        <f ca="1">IFERROR(__xludf.DUMMYFUNCTION("""COMPUTED_VALUE"""),"")</f>
        <v/>
      </c>
      <c r="P373" s="36" t="str">
        <f ca="1">IFERROR(__xludf.DUMMYFUNCTION("""COMPUTED_VALUE"""),"")</f>
        <v/>
      </c>
      <c r="Q373" s="36" t="str">
        <f ca="1">IFERROR(__xludf.DUMMYFUNCTION("""COMPUTED_VALUE"""),"")</f>
        <v/>
      </c>
      <c r="R373" s="36" t="str">
        <f ca="1">IFERROR(__xludf.DUMMYFUNCTION("""COMPUTED_VALUE"""),"")</f>
        <v/>
      </c>
      <c r="S373" s="36" t="str">
        <f ca="1">IFERROR(__xludf.DUMMYFUNCTION("""COMPUTED_VALUE"""),"")</f>
        <v/>
      </c>
      <c r="T373" s="36" t="str">
        <f ca="1">IFERROR(__xludf.DUMMYFUNCTION("""COMPUTED_VALUE"""),"")</f>
        <v/>
      </c>
      <c r="U373" s="36" t="str">
        <f ca="1">IFERROR(__xludf.DUMMYFUNCTION("""COMPUTED_VALUE"""),"")</f>
        <v/>
      </c>
      <c r="V373" s="36" t="str">
        <f ca="1">IFERROR(__xludf.DUMMYFUNCTION("""COMPUTED_VALUE"""),"")</f>
        <v/>
      </c>
      <c r="W373" s="36" t="str">
        <f ca="1">IFERROR(__xludf.DUMMYFUNCTION("""COMPUTED_VALUE"""),"")</f>
        <v/>
      </c>
      <c r="X373" s="36"/>
      <c r="Y373" s="36"/>
      <c r="Z373" s="36"/>
    </row>
    <row r="374" spans="1:26" ht="12.75" hidden="1">
      <c r="A374" s="36" t="str">
        <f ca="1">IFERROR(__xludf.DUMMYFUNCTION("""COMPUTED_VALUE"""),"")</f>
        <v/>
      </c>
      <c r="B374" s="36" t="str">
        <f ca="1">IFERROR(__xludf.DUMMYFUNCTION("""COMPUTED_VALUE"""),"")</f>
        <v/>
      </c>
      <c r="C374" s="36" t="str">
        <f ca="1">IFERROR(__xludf.DUMMYFUNCTION("""COMPUTED_VALUE"""),"")</f>
        <v/>
      </c>
      <c r="D374" s="36" t="str">
        <f ca="1">IFERROR(__xludf.DUMMYFUNCTION("""COMPUTED_VALUE"""),"")</f>
        <v/>
      </c>
      <c r="E374" s="36" t="str">
        <f ca="1">IFERROR(__xludf.DUMMYFUNCTION("""COMPUTED_VALUE"""),"")</f>
        <v/>
      </c>
      <c r="F374" s="36" t="str">
        <f ca="1">IFERROR(__xludf.DUMMYFUNCTION("""COMPUTED_VALUE"""),"")</f>
        <v/>
      </c>
      <c r="G374" s="36" t="str">
        <f ca="1">IFERROR(__xludf.DUMMYFUNCTION("""COMPUTED_VALUE"""),"")</f>
        <v/>
      </c>
      <c r="H374" s="36" t="str">
        <f ca="1">IFERROR(__xludf.DUMMYFUNCTION("""COMPUTED_VALUE"""),"")</f>
        <v/>
      </c>
      <c r="I374" s="36" t="str">
        <f ca="1">IFERROR(__xludf.DUMMYFUNCTION("""COMPUTED_VALUE"""),"")</f>
        <v/>
      </c>
      <c r="J374" s="36" t="str">
        <f ca="1">IFERROR(__xludf.DUMMYFUNCTION("""COMPUTED_VALUE"""),"")</f>
        <v/>
      </c>
      <c r="K374" s="36" t="str">
        <f ca="1">IFERROR(__xludf.DUMMYFUNCTION("""COMPUTED_VALUE"""),"")</f>
        <v/>
      </c>
      <c r="L374" s="36" t="str">
        <f ca="1">IFERROR(__xludf.DUMMYFUNCTION("""COMPUTED_VALUE"""),"")</f>
        <v/>
      </c>
      <c r="M374" s="36" t="str">
        <f ca="1">IFERROR(__xludf.DUMMYFUNCTION("""COMPUTED_VALUE"""),"")</f>
        <v/>
      </c>
      <c r="N374" s="36" t="str">
        <f ca="1">IFERROR(__xludf.DUMMYFUNCTION("""COMPUTED_VALUE"""),"")</f>
        <v/>
      </c>
      <c r="O374" s="36" t="str">
        <f ca="1">IFERROR(__xludf.DUMMYFUNCTION("""COMPUTED_VALUE"""),"")</f>
        <v/>
      </c>
      <c r="P374" s="36" t="str">
        <f ca="1">IFERROR(__xludf.DUMMYFUNCTION("""COMPUTED_VALUE"""),"")</f>
        <v/>
      </c>
      <c r="Q374" s="36" t="str">
        <f ca="1">IFERROR(__xludf.DUMMYFUNCTION("""COMPUTED_VALUE"""),"")</f>
        <v/>
      </c>
      <c r="R374" s="36" t="str">
        <f ca="1">IFERROR(__xludf.DUMMYFUNCTION("""COMPUTED_VALUE"""),"")</f>
        <v/>
      </c>
      <c r="S374" s="36" t="str">
        <f ca="1">IFERROR(__xludf.DUMMYFUNCTION("""COMPUTED_VALUE"""),"")</f>
        <v/>
      </c>
      <c r="T374" s="36" t="str">
        <f ca="1">IFERROR(__xludf.DUMMYFUNCTION("""COMPUTED_VALUE"""),"")</f>
        <v/>
      </c>
      <c r="U374" s="36" t="str">
        <f ca="1">IFERROR(__xludf.DUMMYFUNCTION("""COMPUTED_VALUE"""),"")</f>
        <v/>
      </c>
      <c r="V374" s="36" t="str">
        <f ca="1">IFERROR(__xludf.DUMMYFUNCTION("""COMPUTED_VALUE"""),"")</f>
        <v/>
      </c>
      <c r="W374" s="36" t="str">
        <f ca="1">IFERROR(__xludf.DUMMYFUNCTION("""COMPUTED_VALUE"""),"")</f>
        <v/>
      </c>
      <c r="X374" s="36"/>
      <c r="Y374" s="36"/>
      <c r="Z374" s="36"/>
    </row>
    <row r="375" spans="1:26" ht="12.75" hidden="1">
      <c r="A375" s="36" t="str">
        <f ca="1">IFERROR(__xludf.DUMMYFUNCTION("""COMPUTED_VALUE"""),"")</f>
        <v/>
      </c>
      <c r="B375" s="36" t="str">
        <f ca="1">IFERROR(__xludf.DUMMYFUNCTION("""COMPUTED_VALUE"""),"")</f>
        <v/>
      </c>
      <c r="C375" s="36" t="str">
        <f ca="1">IFERROR(__xludf.DUMMYFUNCTION("""COMPUTED_VALUE"""),"")</f>
        <v/>
      </c>
      <c r="D375" s="36" t="str">
        <f ca="1">IFERROR(__xludf.DUMMYFUNCTION("""COMPUTED_VALUE"""),"")</f>
        <v/>
      </c>
      <c r="E375" s="36" t="str">
        <f ca="1">IFERROR(__xludf.DUMMYFUNCTION("""COMPUTED_VALUE"""),"")</f>
        <v/>
      </c>
      <c r="F375" s="36" t="str">
        <f ca="1">IFERROR(__xludf.DUMMYFUNCTION("""COMPUTED_VALUE"""),"")</f>
        <v/>
      </c>
      <c r="G375" s="36" t="str">
        <f ca="1">IFERROR(__xludf.DUMMYFUNCTION("""COMPUTED_VALUE"""),"")</f>
        <v/>
      </c>
      <c r="H375" s="36" t="str">
        <f ca="1">IFERROR(__xludf.DUMMYFUNCTION("""COMPUTED_VALUE"""),"")</f>
        <v/>
      </c>
      <c r="I375" s="36" t="str">
        <f ca="1">IFERROR(__xludf.DUMMYFUNCTION("""COMPUTED_VALUE"""),"")</f>
        <v/>
      </c>
      <c r="J375" s="36" t="str">
        <f ca="1">IFERROR(__xludf.DUMMYFUNCTION("""COMPUTED_VALUE"""),"")</f>
        <v/>
      </c>
      <c r="K375" s="36" t="str">
        <f ca="1">IFERROR(__xludf.DUMMYFUNCTION("""COMPUTED_VALUE"""),"")</f>
        <v/>
      </c>
      <c r="L375" s="36" t="str">
        <f ca="1">IFERROR(__xludf.DUMMYFUNCTION("""COMPUTED_VALUE"""),"")</f>
        <v/>
      </c>
      <c r="M375" s="36" t="str">
        <f ca="1">IFERROR(__xludf.DUMMYFUNCTION("""COMPUTED_VALUE"""),"")</f>
        <v/>
      </c>
      <c r="N375" s="36" t="str">
        <f ca="1">IFERROR(__xludf.DUMMYFUNCTION("""COMPUTED_VALUE"""),"")</f>
        <v/>
      </c>
      <c r="O375" s="36" t="str">
        <f ca="1">IFERROR(__xludf.DUMMYFUNCTION("""COMPUTED_VALUE"""),"")</f>
        <v/>
      </c>
      <c r="P375" s="36" t="str">
        <f ca="1">IFERROR(__xludf.DUMMYFUNCTION("""COMPUTED_VALUE"""),"")</f>
        <v/>
      </c>
      <c r="Q375" s="36" t="str">
        <f ca="1">IFERROR(__xludf.DUMMYFUNCTION("""COMPUTED_VALUE"""),"")</f>
        <v/>
      </c>
      <c r="R375" s="36" t="str">
        <f ca="1">IFERROR(__xludf.DUMMYFUNCTION("""COMPUTED_VALUE"""),"")</f>
        <v/>
      </c>
      <c r="S375" s="36" t="str">
        <f ca="1">IFERROR(__xludf.DUMMYFUNCTION("""COMPUTED_VALUE"""),"")</f>
        <v/>
      </c>
      <c r="T375" s="36" t="str">
        <f ca="1">IFERROR(__xludf.DUMMYFUNCTION("""COMPUTED_VALUE"""),"")</f>
        <v/>
      </c>
      <c r="U375" s="36" t="str">
        <f ca="1">IFERROR(__xludf.DUMMYFUNCTION("""COMPUTED_VALUE"""),"")</f>
        <v/>
      </c>
      <c r="V375" s="36" t="str">
        <f ca="1">IFERROR(__xludf.DUMMYFUNCTION("""COMPUTED_VALUE"""),"")</f>
        <v/>
      </c>
      <c r="W375" s="36" t="str">
        <f ca="1">IFERROR(__xludf.DUMMYFUNCTION("""COMPUTED_VALUE"""),"")</f>
        <v/>
      </c>
      <c r="X375" s="36"/>
      <c r="Y375" s="36"/>
      <c r="Z375" s="36"/>
    </row>
    <row r="376" spans="1:26" ht="12.75" hidden="1">
      <c r="A376" s="36" t="str">
        <f ca="1">IFERROR(__xludf.DUMMYFUNCTION("""COMPUTED_VALUE"""),"")</f>
        <v/>
      </c>
      <c r="B376" s="36" t="str">
        <f ca="1">IFERROR(__xludf.DUMMYFUNCTION("""COMPUTED_VALUE"""),"")</f>
        <v/>
      </c>
      <c r="C376" s="36" t="str">
        <f ca="1">IFERROR(__xludf.DUMMYFUNCTION("""COMPUTED_VALUE"""),"")</f>
        <v/>
      </c>
      <c r="D376" s="36" t="str">
        <f ca="1">IFERROR(__xludf.DUMMYFUNCTION("""COMPUTED_VALUE"""),"")</f>
        <v/>
      </c>
      <c r="E376" s="36" t="str">
        <f ca="1">IFERROR(__xludf.DUMMYFUNCTION("""COMPUTED_VALUE"""),"")</f>
        <v/>
      </c>
      <c r="F376" s="36" t="str">
        <f ca="1">IFERROR(__xludf.DUMMYFUNCTION("""COMPUTED_VALUE"""),"")</f>
        <v/>
      </c>
      <c r="G376" s="36" t="str">
        <f ca="1">IFERROR(__xludf.DUMMYFUNCTION("""COMPUTED_VALUE"""),"")</f>
        <v/>
      </c>
      <c r="H376" s="36" t="str">
        <f ca="1">IFERROR(__xludf.DUMMYFUNCTION("""COMPUTED_VALUE"""),"")</f>
        <v/>
      </c>
      <c r="I376" s="36" t="str">
        <f ca="1">IFERROR(__xludf.DUMMYFUNCTION("""COMPUTED_VALUE"""),"")</f>
        <v/>
      </c>
      <c r="J376" s="36" t="str">
        <f ca="1">IFERROR(__xludf.DUMMYFUNCTION("""COMPUTED_VALUE"""),"")</f>
        <v/>
      </c>
      <c r="K376" s="36" t="str">
        <f ca="1">IFERROR(__xludf.DUMMYFUNCTION("""COMPUTED_VALUE"""),"")</f>
        <v/>
      </c>
      <c r="L376" s="36" t="str">
        <f ca="1">IFERROR(__xludf.DUMMYFUNCTION("""COMPUTED_VALUE"""),"")</f>
        <v/>
      </c>
      <c r="M376" s="36" t="str">
        <f ca="1">IFERROR(__xludf.DUMMYFUNCTION("""COMPUTED_VALUE"""),"")</f>
        <v/>
      </c>
      <c r="N376" s="36" t="str">
        <f ca="1">IFERROR(__xludf.DUMMYFUNCTION("""COMPUTED_VALUE"""),"")</f>
        <v/>
      </c>
      <c r="O376" s="36" t="str">
        <f ca="1">IFERROR(__xludf.DUMMYFUNCTION("""COMPUTED_VALUE"""),"")</f>
        <v/>
      </c>
      <c r="P376" s="36" t="str">
        <f ca="1">IFERROR(__xludf.DUMMYFUNCTION("""COMPUTED_VALUE"""),"")</f>
        <v/>
      </c>
      <c r="Q376" s="36" t="str">
        <f ca="1">IFERROR(__xludf.DUMMYFUNCTION("""COMPUTED_VALUE"""),"")</f>
        <v/>
      </c>
      <c r="R376" s="36" t="str">
        <f ca="1">IFERROR(__xludf.DUMMYFUNCTION("""COMPUTED_VALUE"""),"")</f>
        <v/>
      </c>
      <c r="S376" s="36" t="str">
        <f ca="1">IFERROR(__xludf.DUMMYFUNCTION("""COMPUTED_VALUE"""),"")</f>
        <v/>
      </c>
      <c r="T376" s="36" t="str">
        <f ca="1">IFERROR(__xludf.DUMMYFUNCTION("""COMPUTED_VALUE"""),"")</f>
        <v/>
      </c>
      <c r="U376" s="36" t="str">
        <f ca="1">IFERROR(__xludf.DUMMYFUNCTION("""COMPUTED_VALUE"""),"")</f>
        <v/>
      </c>
      <c r="V376" s="36" t="str">
        <f ca="1">IFERROR(__xludf.DUMMYFUNCTION("""COMPUTED_VALUE"""),"")</f>
        <v/>
      </c>
      <c r="W376" s="36" t="str">
        <f ca="1">IFERROR(__xludf.DUMMYFUNCTION("""COMPUTED_VALUE"""),"")</f>
        <v/>
      </c>
      <c r="X376" s="36"/>
      <c r="Y376" s="36"/>
      <c r="Z376" s="36"/>
    </row>
    <row r="377" spans="1:26" ht="12.75" hidden="1">
      <c r="A377" s="36" t="str">
        <f ca="1">IFERROR(__xludf.DUMMYFUNCTION("""COMPUTED_VALUE"""),"")</f>
        <v/>
      </c>
      <c r="B377" s="36" t="str">
        <f ca="1">IFERROR(__xludf.DUMMYFUNCTION("""COMPUTED_VALUE"""),"")</f>
        <v/>
      </c>
      <c r="C377" s="36" t="str">
        <f ca="1">IFERROR(__xludf.DUMMYFUNCTION("""COMPUTED_VALUE"""),"")</f>
        <v/>
      </c>
      <c r="D377" s="36" t="str">
        <f ca="1">IFERROR(__xludf.DUMMYFUNCTION("""COMPUTED_VALUE"""),"")</f>
        <v/>
      </c>
      <c r="E377" s="36" t="str">
        <f ca="1">IFERROR(__xludf.DUMMYFUNCTION("""COMPUTED_VALUE"""),"")</f>
        <v/>
      </c>
      <c r="F377" s="36" t="str">
        <f ca="1">IFERROR(__xludf.DUMMYFUNCTION("""COMPUTED_VALUE"""),"")</f>
        <v/>
      </c>
      <c r="G377" s="36" t="str">
        <f ca="1">IFERROR(__xludf.DUMMYFUNCTION("""COMPUTED_VALUE"""),"")</f>
        <v/>
      </c>
      <c r="H377" s="36" t="str">
        <f ca="1">IFERROR(__xludf.DUMMYFUNCTION("""COMPUTED_VALUE"""),"")</f>
        <v/>
      </c>
      <c r="I377" s="36" t="str">
        <f ca="1">IFERROR(__xludf.DUMMYFUNCTION("""COMPUTED_VALUE"""),"")</f>
        <v/>
      </c>
      <c r="J377" s="36" t="str">
        <f ca="1">IFERROR(__xludf.DUMMYFUNCTION("""COMPUTED_VALUE"""),"")</f>
        <v/>
      </c>
      <c r="K377" s="36" t="str">
        <f ca="1">IFERROR(__xludf.DUMMYFUNCTION("""COMPUTED_VALUE"""),"")</f>
        <v/>
      </c>
      <c r="L377" s="36" t="str">
        <f ca="1">IFERROR(__xludf.DUMMYFUNCTION("""COMPUTED_VALUE"""),"")</f>
        <v/>
      </c>
      <c r="M377" s="36" t="str">
        <f ca="1">IFERROR(__xludf.DUMMYFUNCTION("""COMPUTED_VALUE"""),"")</f>
        <v/>
      </c>
      <c r="N377" s="36" t="str">
        <f ca="1">IFERROR(__xludf.DUMMYFUNCTION("""COMPUTED_VALUE"""),"")</f>
        <v/>
      </c>
      <c r="O377" s="36" t="str">
        <f ca="1">IFERROR(__xludf.DUMMYFUNCTION("""COMPUTED_VALUE"""),"")</f>
        <v/>
      </c>
      <c r="P377" s="36" t="str">
        <f ca="1">IFERROR(__xludf.DUMMYFUNCTION("""COMPUTED_VALUE"""),"")</f>
        <v/>
      </c>
      <c r="Q377" s="36" t="str">
        <f ca="1">IFERROR(__xludf.DUMMYFUNCTION("""COMPUTED_VALUE"""),"")</f>
        <v/>
      </c>
      <c r="R377" s="36" t="str">
        <f ca="1">IFERROR(__xludf.DUMMYFUNCTION("""COMPUTED_VALUE"""),"")</f>
        <v/>
      </c>
      <c r="S377" s="36" t="str">
        <f ca="1">IFERROR(__xludf.DUMMYFUNCTION("""COMPUTED_VALUE"""),"")</f>
        <v/>
      </c>
      <c r="T377" s="36" t="str">
        <f ca="1">IFERROR(__xludf.DUMMYFUNCTION("""COMPUTED_VALUE"""),"")</f>
        <v/>
      </c>
      <c r="U377" s="36" t="str">
        <f ca="1">IFERROR(__xludf.DUMMYFUNCTION("""COMPUTED_VALUE"""),"")</f>
        <v/>
      </c>
      <c r="V377" s="36" t="str">
        <f ca="1">IFERROR(__xludf.DUMMYFUNCTION("""COMPUTED_VALUE"""),"")</f>
        <v/>
      </c>
      <c r="W377" s="36" t="str">
        <f ca="1">IFERROR(__xludf.DUMMYFUNCTION("""COMPUTED_VALUE"""),"")</f>
        <v/>
      </c>
      <c r="X377" s="36"/>
      <c r="Y377" s="36"/>
      <c r="Z377" s="36"/>
    </row>
    <row r="378" spans="1:26" ht="12.75" hidden="1">
      <c r="A378" s="36" t="str">
        <f ca="1">IFERROR(__xludf.DUMMYFUNCTION("""COMPUTED_VALUE"""),"")</f>
        <v/>
      </c>
      <c r="B378" s="36" t="str">
        <f ca="1">IFERROR(__xludf.DUMMYFUNCTION("""COMPUTED_VALUE"""),"")</f>
        <v/>
      </c>
      <c r="C378" s="36" t="str">
        <f ca="1">IFERROR(__xludf.DUMMYFUNCTION("""COMPUTED_VALUE"""),"")</f>
        <v/>
      </c>
      <c r="D378" s="36" t="str">
        <f ca="1">IFERROR(__xludf.DUMMYFUNCTION("""COMPUTED_VALUE"""),"")</f>
        <v/>
      </c>
      <c r="E378" s="36" t="str">
        <f ca="1">IFERROR(__xludf.DUMMYFUNCTION("""COMPUTED_VALUE"""),"")</f>
        <v/>
      </c>
      <c r="F378" s="36" t="str">
        <f ca="1">IFERROR(__xludf.DUMMYFUNCTION("""COMPUTED_VALUE"""),"")</f>
        <v/>
      </c>
      <c r="G378" s="36" t="str">
        <f ca="1">IFERROR(__xludf.DUMMYFUNCTION("""COMPUTED_VALUE"""),"")</f>
        <v/>
      </c>
      <c r="H378" s="36" t="str">
        <f ca="1">IFERROR(__xludf.DUMMYFUNCTION("""COMPUTED_VALUE"""),"")</f>
        <v/>
      </c>
      <c r="I378" s="36" t="str">
        <f ca="1">IFERROR(__xludf.DUMMYFUNCTION("""COMPUTED_VALUE"""),"")</f>
        <v/>
      </c>
      <c r="J378" s="36" t="str">
        <f ca="1">IFERROR(__xludf.DUMMYFUNCTION("""COMPUTED_VALUE"""),"")</f>
        <v/>
      </c>
      <c r="K378" s="36" t="str">
        <f ca="1">IFERROR(__xludf.DUMMYFUNCTION("""COMPUTED_VALUE"""),"")</f>
        <v/>
      </c>
      <c r="L378" s="36" t="str">
        <f ca="1">IFERROR(__xludf.DUMMYFUNCTION("""COMPUTED_VALUE"""),"")</f>
        <v/>
      </c>
      <c r="M378" s="36" t="str">
        <f ca="1">IFERROR(__xludf.DUMMYFUNCTION("""COMPUTED_VALUE"""),"")</f>
        <v/>
      </c>
      <c r="N378" s="36" t="str">
        <f ca="1">IFERROR(__xludf.DUMMYFUNCTION("""COMPUTED_VALUE"""),"")</f>
        <v/>
      </c>
      <c r="O378" s="36" t="str">
        <f ca="1">IFERROR(__xludf.DUMMYFUNCTION("""COMPUTED_VALUE"""),"")</f>
        <v/>
      </c>
      <c r="P378" s="36" t="str">
        <f ca="1">IFERROR(__xludf.DUMMYFUNCTION("""COMPUTED_VALUE"""),"")</f>
        <v/>
      </c>
      <c r="Q378" s="36" t="str">
        <f ca="1">IFERROR(__xludf.DUMMYFUNCTION("""COMPUTED_VALUE"""),"")</f>
        <v/>
      </c>
      <c r="R378" s="36" t="str">
        <f ca="1">IFERROR(__xludf.DUMMYFUNCTION("""COMPUTED_VALUE"""),"")</f>
        <v/>
      </c>
      <c r="S378" s="36" t="str">
        <f ca="1">IFERROR(__xludf.DUMMYFUNCTION("""COMPUTED_VALUE"""),"")</f>
        <v/>
      </c>
      <c r="T378" s="36" t="str">
        <f ca="1">IFERROR(__xludf.DUMMYFUNCTION("""COMPUTED_VALUE"""),"")</f>
        <v/>
      </c>
      <c r="U378" s="36" t="str">
        <f ca="1">IFERROR(__xludf.DUMMYFUNCTION("""COMPUTED_VALUE"""),"")</f>
        <v/>
      </c>
      <c r="V378" s="36" t="str">
        <f ca="1">IFERROR(__xludf.DUMMYFUNCTION("""COMPUTED_VALUE"""),"")</f>
        <v/>
      </c>
      <c r="W378" s="36" t="str">
        <f ca="1">IFERROR(__xludf.DUMMYFUNCTION("""COMPUTED_VALUE"""),"")</f>
        <v/>
      </c>
      <c r="X378" s="36"/>
      <c r="Y378" s="36"/>
      <c r="Z378" s="36"/>
    </row>
    <row r="379" spans="1:26" ht="12.75" hidden="1">
      <c r="A379" s="36" t="str">
        <f ca="1">IFERROR(__xludf.DUMMYFUNCTION("""COMPUTED_VALUE"""),"")</f>
        <v/>
      </c>
      <c r="B379" s="36" t="str">
        <f ca="1">IFERROR(__xludf.DUMMYFUNCTION("""COMPUTED_VALUE"""),"")</f>
        <v/>
      </c>
      <c r="C379" s="36" t="str">
        <f ca="1">IFERROR(__xludf.DUMMYFUNCTION("""COMPUTED_VALUE"""),"")</f>
        <v/>
      </c>
      <c r="D379" s="36" t="str">
        <f ca="1">IFERROR(__xludf.DUMMYFUNCTION("""COMPUTED_VALUE"""),"")</f>
        <v/>
      </c>
      <c r="E379" s="36" t="str">
        <f ca="1">IFERROR(__xludf.DUMMYFUNCTION("""COMPUTED_VALUE"""),"")</f>
        <v/>
      </c>
      <c r="F379" s="36" t="str">
        <f ca="1">IFERROR(__xludf.DUMMYFUNCTION("""COMPUTED_VALUE"""),"")</f>
        <v/>
      </c>
      <c r="G379" s="36" t="str">
        <f ca="1">IFERROR(__xludf.DUMMYFUNCTION("""COMPUTED_VALUE"""),"")</f>
        <v/>
      </c>
      <c r="H379" s="36" t="str">
        <f ca="1">IFERROR(__xludf.DUMMYFUNCTION("""COMPUTED_VALUE"""),"")</f>
        <v/>
      </c>
      <c r="I379" s="36" t="str">
        <f ca="1">IFERROR(__xludf.DUMMYFUNCTION("""COMPUTED_VALUE"""),"")</f>
        <v/>
      </c>
      <c r="J379" s="36" t="str">
        <f ca="1">IFERROR(__xludf.DUMMYFUNCTION("""COMPUTED_VALUE"""),"")</f>
        <v/>
      </c>
      <c r="K379" s="36" t="str">
        <f ca="1">IFERROR(__xludf.DUMMYFUNCTION("""COMPUTED_VALUE"""),"")</f>
        <v/>
      </c>
      <c r="L379" s="36" t="str">
        <f ca="1">IFERROR(__xludf.DUMMYFUNCTION("""COMPUTED_VALUE"""),"")</f>
        <v/>
      </c>
      <c r="M379" s="36" t="str">
        <f ca="1">IFERROR(__xludf.DUMMYFUNCTION("""COMPUTED_VALUE"""),"")</f>
        <v/>
      </c>
      <c r="N379" s="36" t="str">
        <f ca="1">IFERROR(__xludf.DUMMYFUNCTION("""COMPUTED_VALUE"""),"")</f>
        <v/>
      </c>
      <c r="O379" s="36" t="str">
        <f ca="1">IFERROR(__xludf.DUMMYFUNCTION("""COMPUTED_VALUE"""),"")</f>
        <v/>
      </c>
      <c r="P379" s="36" t="str">
        <f ca="1">IFERROR(__xludf.DUMMYFUNCTION("""COMPUTED_VALUE"""),"")</f>
        <v/>
      </c>
      <c r="Q379" s="36" t="str">
        <f ca="1">IFERROR(__xludf.DUMMYFUNCTION("""COMPUTED_VALUE"""),"")</f>
        <v/>
      </c>
      <c r="R379" s="36" t="str">
        <f ca="1">IFERROR(__xludf.DUMMYFUNCTION("""COMPUTED_VALUE"""),"")</f>
        <v/>
      </c>
      <c r="S379" s="36" t="str">
        <f ca="1">IFERROR(__xludf.DUMMYFUNCTION("""COMPUTED_VALUE"""),"")</f>
        <v/>
      </c>
      <c r="T379" s="36" t="str">
        <f ca="1">IFERROR(__xludf.DUMMYFUNCTION("""COMPUTED_VALUE"""),"")</f>
        <v/>
      </c>
      <c r="U379" s="36" t="str">
        <f ca="1">IFERROR(__xludf.DUMMYFUNCTION("""COMPUTED_VALUE"""),"")</f>
        <v/>
      </c>
      <c r="V379" s="36" t="str">
        <f ca="1">IFERROR(__xludf.DUMMYFUNCTION("""COMPUTED_VALUE"""),"")</f>
        <v/>
      </c>
      <c r="W379" s="36" t="str">
        <f ca="1">IFERROR(__xludf.DUMMYFUNCTION("""COMPUTED_VALUE"""),"")</f>
        <v/>
      </c>
      <c r="X379" s="36"/>
      <c r="Y379" s="36"/>
      <c r="Z379" s="36"/>
    </row>
    <row r="380" spans="1:26" ht="12.75" hidden="1">
      <c r="A380" s="36" t="str">
        <f ca="1">IFERROR(__xludf.DUMMYFUNCTION("""COMPUTED_VALUE"""),"")</f>
        <v/>
      </c>
      <c r="B380" s="36" t="str">
        <f ca="1">IFERROR(__xludf.DUMMYFUNCTION("""COMPUTED_VALUE"""),"")</f>
        <v/>
      </c>
      <c r="C380" s="36" t="str">
        <f ca="1">IFERROR(__xludf.DUMMYFUNCTION("""COMPUTED_VALUE"""),"")</f>
        <v/>
      </c>
      <c r="D380" s="36" t="str">
        <f ca="1">IFERROR(__xludf.DUMMYFUNCTION("""COMPUTED_VALUE"""),"")</f>
        <v/>
      </c>
      <c r="E380" s="36" t="str">
        <f ca="1">IFERROR(__xludf.DUMMYFUNCTION("""COMPUTED_VALUE"""),"")</f>
        <v/>
      </c>
      <c r="F380" s="36" t="str">
        <f ca="1">IFERROR(__xludf.DUMMYFUNCTION("""COMPUTED_VALUE"""),"")</f>
        <v/>
      </c>
      <c r="G380" s="36" t="str">
        <f ca="1">IFERROR(__xludf.DUMMYFUNCTION("""COMPUTED_VALUE"""),"")</f>
        <v/>
      </c>
      <c r="H380" s="36" t="str">
        <f ca="1">IFERROR(__xludf.DUMMYFUNCTION("""COMPUTED_VALUE"""),"")</f>
        <v/>
      </c>
      <c r="I380" s="36" t="str">
        <f ca="1">IFERROR(__xludf.DUMMYFUNCTION("""COMPUTED_VALUE"""),"")</f>
        <v/>
      </c>
      <c r="J380" s="36" t="str">
        <f ca="1">IFERROR(__xludf.DUMMYFUNCTION("""COMPUTED_VALUE"""),"")</f>
        <v/>
      </c>
      <c r="K380" s="36" t="str">
        <f ca="1">IFERROR(__xludf.DUMMYFUNCTION("""COMPUTED_VALUE"""),"")</f>
        <v/>
      </c>
      <c r="L380" s="36" t="str">
        <f ca="1">IFERROR(__xludf.DUMMYFUNCTION("""COMPUTED_VALUE"""),"")</f>
        <v/>
      </c>
      <c r="M380" s="36" t="str">
        <f ca="1">IFERROR(__xludf.DUMMYFUNCTION("""COMPUTED_VALUE"""),"")</f>
        <v/>
      </c>
      <c r="N380" s="36" t="str">
        <f ca="1">IFERROR(__xludf.DUMMYFUNCTION("""COMPUTED_VALUE"""),"")</f>
        <v/>
      </c>
      <c r="O380" s="36" t="str">
        <f ca="1">IFERROR(__xludf.DUMMYFUNCTION("""COMPUTED_VALUE"""),"")</f>
        <v/>
      </c>
      <c r="P380" s="36" t="str">
        <f ca="1">IFERROR(__xludf.DUMMYFUNCTION("""COMPUTED_VALUE"""),"")</f>
        <v/>
      </c>
      <c r="Q380" s="36" t="str">
        <f ca="1">IFERROR(__xludf.DUMMYFUNCTION("""COMPUTED_VALUE"""),"")</f>
        <v/>
      </c>
      <c r="R380" s="36" t="str">
        <f ca="1">IFERROR(__xludf.DUMMYFUNCTION("""COMPUTED_VALUE"""),"")</f>
        <v/>
      </c>
      <c r="S380" s="36" t="str">
        <f ca="1">IFERROR(__xludf.DUMMYFUNCTION("""COMPUTED_VALUE"""),"")</f>
        <v/>
      </c>
      <c r="T380" s="36" t="str">
        <f ca="1">IFERROR(__xludf.DUMMYFUNCTION("""COMPUTED_VALUE"""),"")</f>
        <v/>
      </c>
      <c r="U380" s="36" t="str">
        <f ca="1">IFERROR(__xludf.DUMMYFUNCTION("""COMPUTED_VALUE"""),"")</f>
        <v/>
      </c>
      <c r="V380" s="36" t="str">
        <f ca="1">IFERROR(__xludf.DUMMYFUNCTION("""COMPUTED_VALUE"""),"")</f>
        <v/>
      </c>
      <c r="W380" s="36" t="str">
        <f ca="1">IFERROR(__xludf.DUMMYFUNCTION("""COMPUTED_VALUE"""),"")</f>
        <v/>
      </c>
      <c r="X380" s="36"/>
      <c r="Y380" s="36"/>
      <c r="Z380" s="36"/>
    </row>
    <row r="381" spans="1:26" ht="12.75" hidden="1">
      <c r="A381" s="36" t="str">
        <f ca="1">IFERROR(__xludf.DUMMYFUNCTION("""COMPUTED_VALUE"""),"")</f>
        <v/>
      </c>
      <c r="B381" s="36" t="str">
        <f ca="1">IFERROR(__xludf.DUMMYFUNCTION("""COMPUTED_VALUE"""),"")</f>
        <v/>
      </c>
      <c r="C381" s="36" t="str">
        <f ca="1">IFERROR(__xludf.DUMMYFUNCTION("""COMPUTED_VALUE"""),"")</f>
        <v/>
      </c>
      <c r="D381" s="36" t="str">
        <f ca="1">IFERROR(__xludf.DUMMYFUNCTION("""COMPUTED_VALUE"""),"")</f>
        <v/>
      </c>
      <c r="E381" s="36" t="str">
        <f ca="1">IFERROR(__xludf.DUMMYFUNCTION("""COMPUTED_VALUE"""),"")</f>
        <v/>
      </c>
      <c r="F381" s="36" t="str">
        <f ca="1">IFERROR(__xludf.DUMMYFUNCTION("""COMPUTED_VALUE"""),"")</f>
        <v/>
      </c>
      <c r="G381" s="36" t="str">
        <f ca="1">IFERROR(__xludf.DUMMYFUNCTION("""COMPUTED_VALUE"""),"")</f>
        <v/>
      </c>
      <c r="H381" s="36" t="str">
        <f ca="1">IFERROR(__xludf.DUMMYFUNCTION("""COMPUTED_VALUE"""),"")</f>
        <v/>
      </c>
      <c r="I381" s="36" t="str">
        <f ca="1">IFERROR(__xludf.DUMMYFUNCTION("""COMPUTED_VALUE"""),"")</f>
        <v/>
      </c>
      <c r="J381" s="36" t="str">
        <f ca="1">IFERROR(__xludf.DUMMYFUNCTION("""COMPUTED_VALUE"""),"")</f>
        <v/>
      </c>
      <c r="K381" s="36" t="str">
        <f ca="1">IFERROR(__xludf.DUMMYFUNCTION("""COMPUTED_VALUE"""),"")</f>
        <v/>
      </c>
      <c r="L381" s="36" t="str">
        <f ca="1">IFERROR(__xludf.DUMMYFUNCTION("""COMPUTED_VALUE"""),"")</f>
        <v/>
      </c>
      <c r="M381" s="36" t="str">
        <f ca="1">IFERROR(__xludf.DUMMYFUNCTION("""COMPUTED_VALUE"""),"")</f>
        <v/>
      </c>
      <c r="N381" s="36" t="str">
        <f ca="1">IFERROR(__xludf.DUMMYFUNCTION("""COMPUTED_VALUE"""),"")</f>
        <v/>
      </c>
      <c r="O381" s="36" t="str">
        <f ca="1">IFERROR(__xludf.DUMMYFUNCTION("""COMPUTED_VALUE"""),"")</f>
        <v/>
      </c>
      <c r="P381" s="36" t="str">
        <f ca="1">IFERROR(__xludf.DUMMYFUNCTION("""COMPUTED_VALUE"""),"")</f>
        <v/>
      </c>
      <c r="Q381" s="36" t="str">
        <f ca="1">IFERROR(__xludf.DUMMYFUNCTION("""COMPUTED_VALUE"""),"")</f>
        <v/>
      </c>
      <c r="R381" s="36" t="str">
        <f ca="1">IFERROR(__xludf.DUMMYFUNCTION("""COMPUTED_VALUE"""),"")</f>
        <v/>
      </c>
      <c r="S381" s="36" t="str">
        <f ca="1">IFERROR(__xludf.DUMMYFUNCTION("""COMPUTED_VALUE"""),"")</f>
        <v/>
      </c>
      <c r="T381" s="36" t="str">
        <f ca="1">IFERROR(__xludf.DUMMYFUNCTION("""COMPUTED_VALUE"""),"")</f>
        <v/>
      </c>
      <c r="U381" s="36" t="str">
        <f ca="1">IFERROR(__xludf.DUMMYFUNCTION("""COMPUTED_VALUE"""),"")</f>
        <v/>
      </c>
      <c r="V381" s="36" t="str">
        <f ca="1">IFERROR(__xludf.DUMMYFUNCTION("""COMPUTED_VALUE"""),"")</f>
        <v/>
      </c>
      <c r="W381" s="36" t="str">
        <f ca="1">IFERROR(__xludf.DUMMYFUNCTION("""COMPUTED_VALUE"""),"")</f>
        <v/>
      </c>
      <c r="X381" s="36"/>
      <c r="Y381" s="36"/>
      <c r="Z381" s="36"/>
    </row>
    <row r="382" spans="1:26" ht="12.75" hidden="1">
      <c r="A382" s="36" t="str">
        <f ca="1">IFERROR(__xludf.DUMMYFUNCTION("""COMPUTED_VALUE"""),"")</f>
        <v/>
      </c>
      <c r="B382" s="36" t="str">
        <f ca="1">IFERROR(__xludf.DUMMYFUNCTION("""COMPUTED_VALUE"""),"")</f>
        <v/>
      </c>
      <c r="C382" s="36" t="str">
        <f ca="1">IFERROR(__xludf.DUMMYFUNCTION("""COMPUTED_VALUE"""),"")</f>
        <v/>
      </c>
      <c r="D382" s="36" t="str">
        <f ca="1">IFERROR(__xludf.DUMMYFUNCTION("""COMPUTED_VALUE"""),"")</f>
        <v/>
      </c>
      <c r="E382" s="36" t="str">
        <f ca="1">IFERROR(__xludf.DUMMYFUNCTION("""COMPUTED_VALUE"""),"")</f>
        <v/>
      </c>
      <c r="F382" s="36" t="str">
        <f ca="1">IFERROR(__xludf.DUMMYFUNCTION("""COMPUTED_VALUE"""),"")</f>
        <v/>
      </c>
      <c r="G382" s="36" t="str">
        <f ca="1">IFERROR(__xludf.DUMMYFUNCTION("""COMPUTED_VALUE"""),"")</f>
        <v/>
      </c>
      <c r="H382" s="36" t="str">
        <f ca="1">IFERROR(__xludf.DUMMYFUNCTION("""COMPUTED_VALUE"""),"")</f>
        <v/>
      </c>
      <c r="I382" s="36" t="str">
        <f ca="1">IFERROR(__xludf.DUMMYFUNCTION("""COMPUTED_VALUE"""),"")</f>
        <v/>
      </c>
      <c r="J382" s="36" t="str">
        <f ca="1">IFERROR(__xludf.DUMMYFUNCTION("""COMPUTED_VALUE"""),"")</f>
        <v/>
      </c>
      <c r="K382" s="36" t="str">
        <f ca="1">IFERROR(__xludf.DUMMYFUNCTION("""COMPUTED_VALUE"""),"")</f>
        <v/>
      </c>
      <c r="L382" s="36" t="str">
        <f ca="1">IFERROR(__xludf.DUMMYFUNCTION("""COMPUTED_VALUE"""),"")</f>
        <v/>
      </c>
      <c r="M382" s="36" t="str">
        <f ca="1">IFERROR(__xludf.DUMMYFUNCTION("""COMPUTED_VALUE"""),"")</f>
        <v/>
      </c>
      <c r="N382" s="36" t="str">
        <f ca="1">IFERROR(__xludf.DUMMYFUNCTION("""COMPUTED_VALUE"""),"")</f>
        <v/>
      </c>
      <c r="O382" s="36" t="str">
        <f ca="1">IFERROR(__xludf.DUMMYFUNCTION("""COMPUTED_VALUE"""),"")</f>
        <v/>
      </c>
      <c r="P382" s="36" t="str">
        <f ca="1">IFERROR(__xludf.DUMMYFUNCTION("""COMPUTED_VALUE"""),"")</f>
        <v/>
      </c>
      <c r="Q382" s="36" t="str">
        <f ca="1">IFERROR(__xludf.DUMMYFUNCTION("""COMPUTED_VALUE"""),"")</f>
        <v/>
      </c>
      <c r="R382" s="36" t="str">
        <f ca="1">IFERROR(__xludf.DUMMYFUNCTION("""COMPUTED_VALUE"""),"")</f>
        <v/>
      </c>
      <c r="S382" s="36" t="str">
        <f ca="1">IFERROR(__xludf.DUMMYFUNCTION("""COMPUTED_VALUE"""),"")</f>
        <v/>
      </c>
      <c r="T382" s="36" t="str">
        <f ca="1">IFERROR(__xludf.DUMMYFUNCTION("""COMPUTED_VALUE"""),"")</f>
        <v/>
      </c>
      <c r="U382" s="36" t="str">
        <f ca="1">IFERROR(__xludf.DUMMYFUNCTION("""COMPUTED_VALUE"""),"")</f>
        <v/>
      </c>
      <c r="V382" s="36" t="str">
        <f ca="1">IFERROR(__xludf.DUMMYFUNCTION("""COMPUTED_VALUE"""),"")</f>
        <v/>
      </c>
      <c r="W382" s="36" t="str">
        <f ca="1">IFERROR(__xludf.DUMMYFUNCTION("""COMPUTED_VALUE"""),"")</f>
        <v/>
      </c>
      <c r="X382" s="36"/>
      <c r="Y382" s="36"/>
      <c r="Z382" s="36"/>
    </row>
    <row r="383" spans="1:26" ht="12.75" hidden="1">
      <c r="A383" s="36" t="str">
        <f ca="1">IFERROR(__xludf.DUMMYFUNCTION("""COMPUTED_VALUE"""),"")</f>
        <v/>
      </c>
      <c r="B383" s="36" t="str">
        <f ca="1">IFERROR(__xludf.DUMMYFUNCTION("""COMPUTED_VALUE"""),"")</f>
        <v/>
      </c>
      <c r="C383" s="36" t="str">
        <f ca="1">IFERROR(__xludf.DUMMYFUNCTION("""COMPUTED_VALUE"""),"")</f>
        <v/>
      </c>
      <c r="D383" s="36" t="str">
        <f ca="1">IFERROR(__xludf.DUMMYFUNCTION("""COMPUTED_VALUE"""),"")</f>
        <v/>
      </c>
      <c r="E383" s="36" t="str">
        <f ca="1">IFERROR(__xludf.DUMMYFUNCTION("""COMPUTED_VALUE"""),"")</f>
        <v/>
      </c>
      <c r="F383" s="36" t="str">
        <f ca="1">IFERROR(__xludf.DUMMYFUNCTION("""COMPUTED_VALUE"""),"")</f>
        <v/>
      </c>
      <c r="G383" s="36" t="str">
        <f ca="1">IFERROR(__xludf.DUMMYFUNCTION("""COMPUTED_VALUE"""),"")</f>
        <v/>
      </c>
      <c r="H383" s="36" t="str">
        <f ca="1">IFERROR(__xludf.DUMMYFUNCTION("""COMPUTED_VALUE"""),"")</f>
        <v/>
      </c>
      <c r="I383" s="36" t="str">
        <f ca="1">IFERROR(__xludf.DUMMYFUNCTION("""COMPUTED_VALUE"""),"")</f>
        <v/>
      </c>
      <c r="J383" s="36" t="str">
        <f ca="1">IFERROR(__xludf.DUMMYFUNCTION("""COMPUTED_VALUE"""),"")</f>
        <v/>
      </c>
      <c r="K383" s="36" t="str">
        <f ca="1">IFERROR(__xludf.DUMMYFUNCTION("""COMPUTED_VALUE"""),"")</f>
        <v/>
      </c>
      <c r="L383" s="36" t="str">
        <f ca="1">IFERROR(__xludf.DUMMYFUNCTION("""COMPUTED_VALUE"""),"")</f>
        <v/>
      </c>
      <c r="M383" s="36" t="str">
        <f ca="1">IFERROR(__xludf.DUMMYFUNCTION("""COMPUTED_VALUE"""),"")</f>
        <v/>
      </c>
      <c r="N383" s="36" t="str">
        <f ca="1">IFERROR(__xludf.DUMMYFUNCTION("""COMPUTED_VALUE"""),"")</f>
        <v/>
      </c>
      <c r="O383" s="36" t="str">
        <f ca="1">IFERROR(__xludf.DUMMYFUNCTION("""COMPUTED_VALUE"""),"")</f>
        <v/>
      </c>
      <c r="P383" s="36" t="str">
        <f ca="1">IFERROR(__xludf.DUMMYFUNCTION("""COMPUTED_VALUE"""),"")</f>
        <v/>
      </c>
      <c r="Q383" s="36" t="str">
        <f ca="1">IFERROR(__xludf.DUMMYFUNCTION("""COMPUTED_VALUE"""),"")</f>
        <v/>
      </c>
      <c r="R383" s="36" t="str">
        <f ca="1">IFERROR(__xludf.DUMMYFUNCTION("""COMPUTED_VALUE"""),"")</f>
        <v/>
      </c>
      <c r="S383" s="36" t="str">
        <f ca="1">IFERROR(__xludf.DUMMYFUNCTION("""COMPUTED_VALUE"""),"")</f>
        <v/>
      </c>
      <c r="T383" s="36" t="str">
        <f ca="1">IFERROR(__xludf.DUMMYFUNCTION("""COMPUTED_VALUE"""),"")</f>
        <v/>
      </c>
      <c r="U383" s="36" t="str">
        <f ca="1">IFERROR(__xludf.DUMMYFUNCTION("""COMPUTED_VALUE"""),"")</f>
        <v/>
      </c>
      <c r="V383" s="36" t="str">
        <f ca="1">IFERROR(__xludf.DUMMYFUNCTION("""COMPUTED_VALUE"""),"")</f>
        <v/>
      </c>
      <c r="W383" s="36" t="str">
        <f ca="1">IFERROR(__xludf.DUMMYFUNCTION("""COMPUTED_VALUE"""),"")</f>
        <v/>
      </c>
      <c r="X383" s="36"/>
      <c r="Y383" s="36"/>
      <c r="Z383" s="36"/>
    </row>
    <row r="384" spans="1:26" ht="12.75" hidden="1">
      <c r="A384" s="36" t="str">
        <f ca="1">IFERROR(__xludf.DUMMYFUNCTION("""COMPUTED_VALUE"""),"")</f>
        <v/>
      </c>
      <c r="B384" s="36" t="str">
        <f ca="1">IFERROR(__xludf.DUMMYFUNCTION("""COMPUTED_VALUE"""),"")</f>
        <v/>
      </c>
      <c r="C384" s="36" t="str">
        <f ca="1">IFERROR(__xludf.DUMMYFUNCTION("""COMPUTED_VALUE"""),"")</f>
        <v/>
      </c>
      <c r="D384" s="36" t="str">
        <f ca="1">IFERROR(__xludf.DUMMYFUNCTION("""COMPUTED_VALUE"""),"")</f>
        <v/>
      </c>
      <c r="E384" s="36" t="str">
        <f ca="1">IFERROR(__xludf.DUMMYFUNCTION("""COMPUTED_VALUE"""),"")</f>
        <v/>
      </c>
      <c r="F384" s="36" t="str">
        <f ca="1">IFERROR(__xludf.DUMMYFUNCTION("""COMPUTED_VALUE"""),"")</f>
        <v/>
      </c>
      <c r="G384" s="36" t="str">
        <f ca="1">IFERROR(__xludf.DUMMYFUNCTION("""COMPUTED_VALUE"""),"")</f>
        <v/>
      </c>
      <c r="H384" s="36" t="str">
        <f ca="1">IFERROR(__xludf.DUMMYFUNCTION("""COMPUTED_VALUE"""),"")</f>
        <v/>
      </c>
      <c r="I384" s="36" t="str">
        <f ca="1">IFERROR(__xludf.DUMMYFUNCTION("""COMPUTED_VALUE"""),"")</f>
        <v/>
      </c>
      <c r="J384" s="36" t="str">
        <f ca="1">IFERROR(__xludf.DUMMYFUNCTION("""COMPUTED_VALUE"""),"")</f>
        <v/>
      </c>
      <c r="K384" s="36" t="str">
        <f ca="1">IFERROR(__xludf.DUMMYFUNCTION("""COMPUTED_VALUE"""),"")</f>
        <v/>
      </c>
      <c r="L384" s="36" t="str">
        <f ca="1">IFERROR(__xludf.DUMMYFUNCTION("""COMPUTED_VALUE"""),"")</f>
        <v/>
      </c>
      <c r="M384" s="36" t="str">
        <f ca="1">IFERROR(__xludf.DUMMYFUNCTION("""COMPUTED_VALUE"""),"")</f>
        <v/>
      </c>
      <c r="N384" s="36" t="str">
        <f ca="1">IFERROR(__xludf.DUMMYFUNCTION("""COMPUTED_VALUE"""),"")</f>
        <v/>
      </c>
      <c r="O384" s="36" t="str">
        <f ca="1">IFERROR(__xludf.DUMMYFUNCTION("""COMPUTED_VALUE"""),"")</f>
        <v/>
      </c>
      <c r="P384" s="36" t="str">
        <f ca="1">IFERROR(__xludf.DUMMYFUNCTION("""COMPUTED_VALUE"""),"")</f>
        <v/>
      </c>
      <c r="Q384" s="36" t="str">
        <f ca="1">IFERROR(__xludf.DUMMYFUNCTION("""COMPUTED_VALUE"""),"")</f>
        <v/>
      </c>
      <c r="R384" s="36" t="str">
        <f ca="1">IFERROR(__xludf.DUMMYFUNCTION("""COMPUTED_VALUE"""),"")</f>
        <v/>
      </c>
      <c r="S384" s="36" t="str">
        <f ca="1">IFERROR(__xludf.DUMMYFUNCTION("""COMPUTED_VALUE"""),"")</f>
        <v/>
      </c>
      <c r="T384" s="36" t="str">
        <f ca="1">IFERROR(__xludf.DUMMYFUNCTION("""COMPUTED_VALUE"""),"")</f>
        <v/>
      </c>
      <c r="U384" s="36" t="str">
        <f ca="1">IFERROR(__xludf.DUMMYFUNCTION("""COMPUTED_VALUE"""),"")</f>
        <v/>
      </c>
      <c r="V384" s="36" t="str">
        <f ca="1">IFERROR(__xludf.DUMMYFUNCTION("""COMPUTED_VALUE"""),"")</f>
        <v/>
      </c>
      <c r="W384" s="36" t="str">
        <f ca="1">IFERROR(__xludf.DUMMYFUNCTION("""COMPUTED_VALUE"""),"")</f>
        <v/>
      </c>
      <c r="X384" s="36"/>
      <c r="Y384" s="36"/>
      <c r="Z384" s="36"/>
    </row>
    <row r="385" spans="1:26" ht="12.75" hidden="1">
      <c r="A385" s="36" t="str">
        <f ca="1">IFERROR(__xludf.DUMMYFUNCTION("""COMPUTED_VALUE"""),"")</f>
        <v/>
      </c>
      <c r="B385" s="36" t="str">
        <f ca="1">IFERROR(__xludf.DUMMYFUNCTION("""COMPUTED_VALUE"""),"")</f>
        <v/>
      </c>
      <c r="C385" s="36" t="str">
        <f ca="1">IFERROR(__xludf.DUMMYFUNCTION("""COMPUTED_VALUE"""),"")</f>
        <v/>
      </c>
      <c r="D385" s="36" t="str">
        <f ca="1">IFERROR(__xludf.DUMMYFUNCTION("""COMPUTED_VALUE"""),"")</f>
        <v/>
      </c>
      <c r="E385" s="36" t="str">
        <f ca="1">IFERROR(__xludf.DUMMYFUNCTION("""COMPUTED_VALUE"""),"")</f>
        <v/>
      </c>
      <c r="F385" s="36" t="str">
        <f ca="1">IFERROR(__xludf.DUMMYFUNCTION("""COMPUTED_VALUE"""),"")</f>
        <v/>
      </c>
      <c r="G385" s="36" t="str">
        <f ca="1">IFERROR(__xludf.DUMMYFUNCTION("""COMPUTED_VALUE"""),"")</f>
        <v/>
      </c>
      <c r="H385" s="36" t="str">
        <f ca="1">IFERROR(__xludf.DUMMYFUNCTION("""COMPUTED_VALUE"""),"")</f>
        <v/>
      </c>
      <c r="I385" s="36" t="str">
        <f ca="1">IFERROR(__xludf.DUMMYFUNCTION("""COMPUTED_VALUE"""),"")</f>
        <v/>
      </c>
      <c r="J385" s="36" t="str">
        <f ca="1">IFERROR(__xludf.DUMMYFUNCTION("""COMPUTED_VALUE"""),"")</f>
        <v/>
      </c>
      <c r="K385" s="36" t="str">
        <f ca="1">IFERROR(__xludf.DUMMYFUNCTION("""COMPUTED_VALUE"""),"")</f>
        <v/>
      </c>
      <c r="L385" s="36" t="str">
        <f ca="1">IFERROR(__xludf.DUMMYFUNCTION("""COMPUTED_VALUE"""),"")</f>
        <v/>
      </c>
      <c r="M385" s="36" t="str">
        <f ca="1">IFERROR(__xludf.DUMMYFUNCTION("""COMPUTED_VALUE"""),"")</f>
        <v/>
      </c>
      <c r="N385" s="36" t="str">
        <f ca="1">IFERROR(__xludf.DUMMYFUNCTION("""COMPUTED_VALUE"""),"")</f>
        <v/>
      </c>
      <c r="O385" s="36" t="str">
        <f ca="1">IFERROR(__xludf.DUMMYFUNCTION("""COMPUTED_VALUE"""),"")</f>
        <v/>
      </c>
      <c r="P385" s="36" t="str">
        <f ca="1">IFERROR(__xludf.DUMMYFUNCTION("""COMPUTED_VALUE"""),"")</f>
        <v/>
      </c>
      <c r="Q385" s="36" t="str">
        <f ca="1">IFERROR(__xludf.DUMMYFUNCTION("""COMPUTED_VALUE"""),"")</f>
        <v/>
      </c>
      <c r="R385" s="36" t="str">
        <f ca="1">IFERROR(__xludf.DUMMYFUNCTION("""COMPUTED_VALUE"""),"")</f>
        <v/>
      </c>
      <c r="S385" s="36" t="str">
        <f ca="1">IFERROR(__xludf.DUMMYFUNCTION("""COMPUTED_VALUE"""),"")</f>
        <v/>
      </c>
      <c r="T385" s="36" t="str">
        <f ca="1">IFERROR(__xludf.DUMMYFUNCTION("""COMPUTED_VALUE"""),"")</f>
        <v/>
      </c>
      <c r="U385" s="36" t="str">
        <f ca="1">IFERROR(__xludf.DUMMYFUNCTION("""COMPUTED_VALUE"""),"")</f>
        <v/>
      </c>
      <c r="V385" s="36" t="str">
        <f ca="1">IFERROR(__xludf.DUMMYFUNCTION("""COMPUTED_VALUE"""),"")</f>
        <v/>
      </c>
      <c r="W385" s="36" t="str">
        <f ca="1">IFERROR(__xludf.DUMMYFUNCTION("""COMPUTED_VALUE"""),"")</f>
        <v/>
      </c>
      <c r="X385" s="36"/>
      <c r="Y385" s="36"/>
      <c r="Z385" s="36"/>
    </row>
    <row r="386" spans="1:26" ht="12.75" hidden="1">
      <c r="A386" s="36" t="str">
        <f ca="1">IFERROR(__xludf.DUMMYFUNCTION("""COMPUTED_VALUE"""),"")</f>
        <v/>
      </c>
      <c r="B386" s="36" t="str">
        <f ca="1">IFERROR(__xludf.DUMMYFUNCTION("""COMPUTED_VALUE"""),"")</f>
        <v/>
      </c>
      <c r="C386" s="36" t="str">
        <f ca="1">IFERROR(__xludf.DUMMYFUNCTION("""COMPUTED_VALUE"""),"")</f>
        <v/>
      </c>
      <c r="D386" s="36" t="str">
        <f ca="1">IFERROR(__xludf.DUMMYFUNCTION("""COMPUTED_VALUE"""),"")</f>
        <v/>
      </c>
      <c r="E386" s="36" t="str">
        <f ca="1">IFERROR(__xludf.DUMMYFUNCTION("""COMPUTED_VALUE"""),"")</f>
        <v/>
      </c>
      <c r="F386" s="36" t="str">
        <f ca="1">IFERROR(__xludf.DUMMYFUNCTION("""COMPUTED_VALUE"""),"")</f>
        <v/>
      </c>
      <c r="G386" s="36" t="str">
        <f ca="1">IFERROR(__xludf.DUMMYFUNCTION("""COMPUTED_VALUE"""),"")</f>
        <v/>
      </c>
      <c r="H386" s="36" t="str">
        <f ca="1">IFERROR(__xludf.DUMMYFUNCTION("""COMPUTED_VALUE"""),"")</f>
        <v/>
      </c>
      <c r="I386" s="36" t="str">
        <f ca="1">IFERROR(__xludf.DUMMYFUNCTION("""COMPUTED_VALUE"""),"")</f>
        <v/>
      </c>
      <c r="J386" s="36" t="str">
        <f ca="1">IFERROR(__xludf.DUMMYFUNCTION("""COMPUTED_VALUE"""),"")</f>
        <v/>
      </c>
      <c r="K386" s="36" t="str">
        <f ca="1">IFERROR(__xludf.DUMMYFUNCTION("""COMPUTED_VALUE"""),"")</f>
        <v/>
      </c>
      <c r="L386" s="36" t="str">
        <f ca="1">IFERROR(__xludf.DUMMYFUNCTION("""COMPUTED_VALUE"""),"")</f>
        <v/>
      </c>
      <c r="M386" s="36" t="str">
        <f ca="1">IFERROR(__xludf.DUMMYFUNCTION("""COMPUTED_VALUE"""),"")</f>
        <v/>
      </c>
      <c r="N386" s="36" t="str">
        <f ca="1">IFERROR(__xludf.DUMMYFUNCTION("""COMPUTED_VALUE"""),"")</f>
        <v/>
      </c>
      <c r="O386" s="36" t="str">
        <f ca="1">IFERROR(__xludf.DUMMYFUNCTION("""COMPUTED_VALUE"""),"")</f>
        <v/>
      </c>
      <c r="P386" s="36" t="str">
        <f ca="1">IFERROR(__xludf.DUMMYFUNCTION("""COMPUTED_VALUE"""),"")</f>
        <v/>
      </c>
      <c r="Q386" s="36" t="str">
        <f ca="1">IFERROR(__xludf.DUMMYFUNCTION("""COMPUTED_VALUE"""),"")</f>
        <v/>
      </c>
      <c r="R386" s="36" t="str">
        <f ca="1">IFERROR(__xludf.DUMMYFUNCTION("""COMPUTED_VALUE"""),"")</f>
        <v/>
      </c>
      <c r="S386" s="36" t="str">
        <f ca="1">IFERROR(__xludf.DUMMYFUNCTION("""COMPUTED_VALUE"""),"")</f>
        <v/>
      </c>
      <c r="T386" s="36" t="str">
        <f ca="1">IFERROR(__xludf.DUMMYFUNCTION("""COMPUTED_VALUE"""),"")</f>
        <v/>
      </c>
      <c r="U386" s="36" t="str">
        <f ca="1">IFERROR(__xludf.DUMMYFUNCTION("""COMPUTED_VALUE"""),"")</f>
        <v/>
      </c>
      <c r="V386" s="36" t="str">
        <f ca="1">IFERROR(__xludf.DUMMYFUNCTION("""COMPUTED_VALUE"""),"")</f>
        <v/>
      </c>
      <c r="W386" s="36" t="str">
        <f ca="1">IFERROR(__xludf.DUMMYFUNCTION("""COMPUTED_VALUE"""),"")</f>
        <v/>
      </c>
      <c r="X386" s="36"/>
      <c r="Y386" s="36"/>
      <c r="Z386" s="36"/>
    </row>
    <row r="387" spans="1:26" ht="12.75" hidden="1">
      <c r="A387" s="36" t="str">
        <f ca="1">IFERROR(__xludf.DUMMYFUNCTION("""COMPUTED_VALUE"""),"")</f>
        <v/>
      </c>
      <c r="B387" s="36" t="str">
        <f ca="1">IFERROR(__xludf.DUMMYFUNCTION("""COMPUTED_VALUE"""),"")</f>
        <v/>
      </c>
      <c r="C387" s="36" t="str">
        <f ca="1">IFERROR(__xludf.DUMMYFUNCTION("""COMPUTED_VALUE"""),"")</f>
        <v/>
      </c>
      <c r="D387" s="36" t="str">
        <f ca="1">IFERROR(__xludf.DUMMYFUNCTION("""COMPUTED_VALUE"""),"")</f>
        <v/>
      </c>
      <c r="E387" s="36" t="str">
        <f ca="1">IFERROR(__xludf.DUMMYFUNCTION("""COMPUTED_VALUE"""),"")</f>
        <v/>
      </c>
      <c r="F387" s="36" t="str">
        <f ca="1">IFERROR(__xludf.DUMMYFUNCTION("""COMPUTED_VALUE"""),"")</f>
        <v/>
      </c>
      <c r="G387" s="36" t="str">
        <f ca="1">IFERROR(__xludf.DUMMYFUNCTION("""COMPUTED_VALUE"""),"")</f>
        <v/>
      </c>
      <c r="H387" s="36" t="str">
        <f ca="1">IFERROR(__xludf.DUMMYFUNCTION("""COMPUTED_VALUE"""),"")</f>
        <v/>
      </c>
      <c r="I387" s="36" t="str">
        <f ca="1">IFERROR(__xludf.DUMMYFUNCTION("""COMPUTED_VALUE"""),"")</f>
        <v/>
      </c>
      <c r="J387" s="36" t="str">
        <f ca="1">IFERROR(__xludf.DUMMYFUNCTION("""COMPUTED_VALUE"""),"")</f>
        <v/>
      </c>
      <c r="K387" s="36" t="str">
        <f ca="1">IFERROR(__xludf.DUMMYFUNCTION("""COMPUTED_VALUE"""),"")</f>
        <v/>
      </c>
      <c r="L387" s="36" t="str">
        <f ca="1">IFERROR(__xludf.DUMMYFUNCTION("""COMPUTED_VALUE"""),"")</f>
        <v/>
      </c>
      <c r="M387" s="36" t="str">
        <f ca="1">IFERROR(__xludf.DUMMYFUNCTION("""COMPUTED_VALUE"""),"")</f>
        <v/>
      </c>
      <c r="N387" s="36" t="str">
        <f ca="1">IFERROR(__xludf.DUMMYFUNCTION("""COMPUTED_VALUE"""),"")</f>
        <v/>
      </c>
      <c r="O387" s="36" t="str">
        <f ca="1">IFERROR(__xludf.DUMMYFUNCTION("""COMPUTED_VALUE"""),"")</f>
        <v/>
      </c>
      <c r="P387" s="36" t="str">
        <f ca="1">IFERROR(__xludf.DUMMYFUNCTION("""COMPUTED_VALUE"""),"")</f>
        <v/>
      </c>
      <c r="Q387" s="36" t="str">
        <f ca="1">IFERROR(__xludf.DUMMYFUNCTION("""COMPUTED_VALUE"""),"")</f>
        <v/>
      </c>
      <c r="R387" s="36" t="str">
        <f ca="1">IFERROR(__xludf.DUMMYFUNCTION("""COMPUTED_VALUE"""),"")</f>
        <v/>
      </c>
      <c r="S387" s="36" t="str">
        <f ca="1">IFERROR(__xludf.DUMMYFUNCTION("""COMPUTED_VALUE"""),"")</f>
        <v/>
      </c>
      <c r="T387" s="36" t="str">
        <f ca="1">IFERROR(__xludf.DUMMYFUNCTION("""COMPUTED_VALUE"""),"")</f>
        <v/>
      </c>
      <c r="U387" s="36" t="str">
        <f ca="1">IFERROR(__xludf.DUMMYFUNCTION("""COMPUTED_VALUE"""),"")</f>
        <v/>
      </c>
      <c r="V387" s="36" t="str">
        <f ca="1">IFERROR(__xludf.DUMMYFUNCTION("""COMPUTED_VALUE"""),"")</f>
        <v/>
      </c>
      <c r="W387" s="36" t="str">
        <f ca="1">IFERROR(__xludf.DUMMYFUNCTION("""COMPUTED_VALUE"""),"")</f>
        <v/>
      </c>
      <c r="X387" s="36"/>
      <c r="Y387" s="36"/>
      <c r="Z387" s="36"/>
    </row>
    <row r="388" spans="1:26" ht="12.75" hidden="1">
      <c r="A388" s="36" t="str">
        <f ca="1">IFERROR(__xludf.DUMMYFUNCTION("""COMPUTED_VALUE"""),"")</f>
        <v/>
      </c>
      <c r="B388" s="36" t="str">
        <f ca="1">IFERROR(__xludf.DUMMYFUNCTION("""COMPUTED_VALUE"""),"")</f>
        <v/>
      </c>
      <c r="C388" s="36" t="str">
        <f ca="1">IFERROR(__xludf.DUMMYFUNCTION("""COMPUTED_VALUE"""),"")</f>
        <v/>
      </c>
      <c r="D388" s="36" t="str">
        <f ca="1">IFERROR(__xludf.DUMMYFUNCTION("""COMPUTED_VALUE"""),"")</f>
        <v/>
      </c>
      <c r="E388" s="36" t="str">
        <f ca="1">IFERROR(__xludf.DUMMYFUNCTION("""COMPUTED_VALUE"""),"")</f>
        <v/>
      </c>
      <c r="F388" s="36" t="str">
        <f ca="1">IFERROR(__xludf.DUMMYFUNCTION("""COMPUTED_VALUE"""),"")</f>
        <v/>
      </c>
      <c r="G388" s="36" t="str">
        <f ca="1">IFERROR(__xludf.DUMMYFUNCTION("""COMPUTED_VALUE"""),"")</f>
        <v/>
      </c>
      <c r="H388" s="36" t="str">
        <f ca="1">IFERROR(__xludf.DUMMYFUNCTION("""COMPUTED_VALUE"""),"")</f>
        <v/>
      </c>
      <c r="I388" s="36" t="str">
        <f ca="1">IFERROR(__xludf.DUMMYFUNCTION("""COMPUTED_VALUE"""),"")</f>
        <v/>
      </c>
      <c r="J388" s="36" t="str">
        <f ca="1">IFERROR(__xludf.DUMMYFUNCTION("""COMPUTED_VALUE"""),"")</f>
        <v/>
      </c>
      <c r="K388" s="36" t="str">
        <f ca="1">IFERROR(__xludf.DUMMYFUNCTION("""COMPUTED_VALUE"""),"")</f>
        <v/>
      </c>
      <c r="L388" s="36" t="str">
        <f ca="1">IFERROR(__xludf.DUMMYFUNCTION("""COMPUTED_VALUE"""),"")</f>
        <v/>
      </c>
      <c r="M388" s="36" t="str">
        <f ca="1">IFERROR(__xludf.DUMMYFUNCTION("""COMPUTED_VALUE"""),"")</f>
        <v/>
      </c>
      <c r="N388" s="36" t="str">
        <f ca="1">IFERROR(__xludf.DUMMYFUNCTION("""COMPUTED_VALUE"""),"")</f>
        <v/>
      </c>
      <c r="O388" s="36" t="str">
        <f ca="1">IFERROR(__xludf.DUMMYFUNCTION("""COMPUTED_VALUE"""),"")</f>
        <v/>
      </c>
      <c r="P388" s="36" t="str">
        <f ca="1">IFERROR(__xludf.DUMMYFUNCTION("""COMPUTED_VALUE"""),"")</f>
        <v/>
      </c>
      <c r="Q388" s="36" t="str">
        <f ca="1">IFERROR(__xludf.DUMMYFUNCTION("""COMPUTED_VALUE"""),"")</f>
        <v/>
      </c>
      <c r="R388" s="36" t="str">
        <f ca="1">IFERROR(__xludf.DUMMYFUNCTION("""COMPUTED_VALUE"""),"")</f>
        <v/>
      </c>
      <c r="S388" s="36" t="str">
        <f ca="1">IFERROR(__xludf.DUMMYFUNCTION("""COMPUTED_VALUE"""),"")</f>
        <v/>
      </c>
      <c r="T388" s="36" t="str">
        <f ca="1">IFERROR(__xludf.DUMMYFUNCTION("""COMPUTED_VALUE"""),"")</f>
        <v/>
      </c>
      <c r="U388" s="36" t="str">
        <f ca="1">IFERROR(__xludf.DUMMYFUNCTION("""COMPUTED_VALUE"""),"")</f>
        <v/>
      </c>
      <c r="V388" s="36" t="str">
        <f ca="1">IFERROR(__xludf.DUMMYFUNCTION("""COMPUTED_VALUE"""),"")</f>
        <v/>
      </c>
      <c r="W388" s="36" t="str">
        <f ca="1">IFERROR(__xludf.DUMMYFUNCTION("""COMPUTED_VALUE"""),"")</f>
        <v/>
      </c>
      <c r="X388" s="36"/>
      <c r="Y388" s="36"/>
      <c r="Z388" s="36"/>
    </row>
    <row r="389" spans="1:26" ht="12.75" hidden="1">
      <c r="A389" s="36" t="str">
        <f ca="1">IFERROR(__xludf.DUMMYFUNCTION("""COMPUTED_VALUE"""),"")</f>
        <v/>
      </c>
      <c r="B389" s="36" t="str">
        <f ca="1">IFERROR(__xludf.DUMMYFUNCTION("""COMPUTED_VALUE"""),"")</f>
        <v/>
      </c>
      <c r="C389" s="36" t="str">
        <f ca="1">IFERROR(__xludf.DUMMYFUNCTION("""COMPUTED_VALUE"""),"")</f>
        <v/>
      </c>
      <c r="D389" s="36" t="str">
        <f ca="1">IFERROR(__xludf.DUMMYFUNCTION("""COMPUTED_VALUE"""),"")</f>
        <v/>
      </c>
      <c r="E389" s="36" t="str">
        <f ca="1">IFERROR(__xludf.DUMMYFUNCTION("""COMPUTED_VALUE"""),"")</f>
        <v/>
      </c>
      <c r="F389" s="36" t="str">
        <f ca="1">IFERROR(__xludf.DUMMYFUNCTION("""COMPUTED_VALUE"""),"")</f>
        <v/>
      </c>
      <c r="G389" s="36" t="str">
        <f ca="1">IFERROR(__xludf.DUMMYFUNCTION("""COMPUTED_VALUE"""),"")</f>
        <v/>
      </c>
      <c r="H389" s="36" t="str">
        <f ca="1">IFERROR(__xludf.DUMMYFUNCTION("""COMPUTED_VALUE"""),"")</f>
        <v/>
      </c>
      <c r="I389" s="36" t="str">
        <f ca="1">IFERROR(__xludf.DUMMYFUNCTION("""COMPUTED_VALUE"""),"")</f>
        <v/>
      </c>
      <c r="J389" s="36" t="str">
        <f ca="1">IFERROR(__xludf.DUMMYFUNCTION("""COMPUTED_VALUE"""),"")</f>
        <v/>
      </c>
      <c r="K389" s="36" t="str">
        <f ca="1">IFERROR(__xludf.DUMMYFUNCTION("""COMPUTED_VALUE"""),"")</f>
        <v/>
      </c>
      <c r="L389" s="36" t="str">
        <f ca="1">IFERROR(__xludf.DUMMYFUNCTION("""COMPUTED_VALUE"""),"")</f>
        <v/>
      </c>
      <c r="M389" s="36" t="str">
        <f ca="1">IFERROR(__xludf.DUMMYFUNCTION("""COMPUTED_VALUE"""),"")</f>
        <v/>
      </c>
      <c r="N389" s="36" t="str">
        <f ca="1">IFERROR(__xludf.DUMMYFUNCTION("""COMPUTED_VALUE"""),"")</f>
        <v/>
      </c>
      <c r="O389" s="36" t="str">
        <f ca="1">IFERROR(__xludf.DUMMYFUNCTION("""COMPUTED_VALUE"""),"")</f>
        <v/>
      </c>
      <c r="P389" s="36" t="str">
        <f ca="1">IFERROR(__xludf.DUMMYFUNCTION("""COMPUTED_VALUE"""),"")</f>
        <v/>
      </c>
      <c r="Q389" s="36" t="str">
        <f ca="1">IFERROR(__xludf.DUMMYFUNCTION("""COMPUTED_VALUE"""),"")</f>
        <v/>
      </c>
      <c r="R389" s="36" t="str">
        <f ca="1">IFERROR(__xludf.DUMMYFUNCTION("""COMPUTED_VALUE"""),"")</f>
        <v/>
      </c>
      <c r="S389" s="36" t="str">
        <f ca="1">IFERROR(__xludf.DUMMYFUNCTION("""COMPUTED_VALUE"""),"")</f>
        <v/>
      </c>
      <c r="T389" s="36" t="str">
        <f ca="1">IFERROR(__xludf.DUMMYFUNCTION("""COMPUTED_VALUE"""),"")</f>
        <v/>
      </c>
      <c r="U389" s="36" t="str">
        <f ca="1">IFERROR(__xludf.DUMMYFUNCTION("""COMPUTED_VALUE"""),"")</f>
        <v/>
      </c>
      <c r="V389" s="36" t="str">
        <f ca="1">IFERROR(__xludf.DUMMYFUNCTION("""COMPUTED_VALUE"""),"")</f>
        <v/>
      </c>
      <c r="W389" s="36" t="str">
        <f ca="1">IFERROR(__xludf.DUMMYFUNCTION("""COMPUTED_VALUE"""),"")</f>
        <v/>
      </c>
      <c r="X389" s="36"/>
      <c r="Y389" s="36"/>
      <c r="Z389" s="36"/>
    </row>
    <row r="390" spans="1:26" ht="12.75" hidden="1">
      <c r="A390" s="36" t="str">
        <f ca="1">IFERROR(__xludf.DUMMYFUNCTION("""COMPUTED_VALUE"""),"")</f>
        <v/>
      </c>
      <c r="B390" s="36" t="str">
        <f ca="1">IFERROR(__xludf.DUMMYFUNCTION("""COMPUTED_VALUE"""),"")</f>
        <v/>
      </c>
      <c r="C390" s="36" t="str">
        <f ca="1">IFERROR(__xludf.DUMMYFUNCTION("""COMPUTED_VALUE"""),"")</f>
        <v/>
      </c>
      <c r="D390" s="36" t="str">
        <f ca="1">IFERROR(__xludf.DUMMYFUNCTION("""COMPUTED_VALUE"""),"")</f>
        <v/>
      </c>
      <c r="E390" s="36" t="str">
        <f ca="1">IFERROR(__xludf.DUMMYFUNCTION("""COMPUTED_VALUE"""),"")</f>
        <v/>
      </c>
      <c r="F390" s="36" t="str">
        <f ca="1">IFERROR(__xludf.DUMMYFUNCTION("""COMPUTED_VALUE"""),"")</f>
        <v/>
      </c>
      <c r="G390" s="36" t="str">
        <f ca="1">IFERROR(__xludf.DUMMYFUNCTION("""COMPUTED_VALUE"""),"")</f>
        <v/>
      </c>
      <c r="H390" s="36" t="str">
        <f ca="1">IFERROR(__xludf.DUMMYFUNCTION("""COMPUTED_VALUE"""),"")</f>
        <v/>
      </c>
      <c r="I390" s="36" t="str">
        <f ca="1">IFERROR(__xludf.DUMMYFUNCTION("""COMPUTED_VALUE"""),"")</f>
        <v/>
      </c>
      <c r="J390" s="36" t="str">
        <f ca="1">IFERROR(__xludf.DUMMYFUNCTION("""COMPUTED_VALUE"""),"")</f>
        <v/>
      </c>
      <c r="K390" s="36" t="str">
        <f ca="1">IFERROR(__xludf.DUMMYFUNCTION("""COMPUTED_VALUE"""),"")</f>
        <v/>
      </c>
      <c r="L390" s="36" t="str">
        <f ca="1">IFERROR(__xludf.DUMMYFUNCTION("""COMPUTED_VALUE"""),"")</f>
        <v/>
      </c>
      <c r="M390" s="36" t="str">
        <f ca="1">IFERROR(__xludf.DUMMYFUNCTION("""COMPUTED_VALUE"""),"")</f>
        <v/>
      </c>
      <c r="N390" s="36" t="str">
        <f ca="1">IFERROR(__xludf.DUMMYFUNCTION("""COMPUTED_VALUE"""),"")</f>
        <v/>
      </c>
      <c r="O390" s="36" t="str">
        <f ca="1">IFERROR(__xludf.DUMMYFUNCTION("""COMPUTED_VALUE"""),"")</f>
        <v/>
      </c>
      <c r="P390" s="36" t="str">
        <f ca="1">IFERROR(__xludf.DUMMYFUNCTION("""COMPUTED_VALUE"""),"")</f>
        <v/>
      </c>
      <c r="Q390" s="36" t="str">
        <f ca="1">IFERROR(__xludf.DUMMYFUNCTION("""COMPUTED_VALUE"""),"")</f>
        <v/>
      </c>
      <c r="R390" s="36" t="str">
        <f ca="1">IFERROR(__xludf.DUMMYFUNCTION("""COMPUTED_VALUE"""),"")</f>
        <v/>
      </c>
      <c r="S390" s="36" t="str">
        <f ca="1">IFERROR(__xludf.DUMMYFUNCTION("""COMPUTED_VALUE"""),"")</f>
        <v/>
      </c>
      <c r="T390" s="36" t="str">
        <f ca="1">IFERROR(__xludf.DUMMYFUNCTION("""COMPUTED_VALUE"""),"")</f>
        <v/>
      </c>
      <c r="U390" s="36" t="str">
        <f ca="1">IFERROR(__xludf.DUMMYFUNCTION("""COMPUTED_VALUE"""),"")</f>
        <v/>
      </c>
      <c r="V390" s="36" t="str">
        <f ca="1">IFERROR(__xludf.DUMMYFUNCTION("""COMPUTED_VALUE"""),"")</f>
        <v/>
      </c>
      <c r="W390" s="36" t="str">
        <f ca="1">IFERROR(__xludf.DUMMYFUNCTION("""COMPUTED_VALUE"""),"")</f>
        <v/>
      </c>
      <c r="X390" s="36"/>
      <c r="Y390" s="36"/>
      <c r="Z390" s="36"/>
    </row>
    <row r="391" spans="1:26" ht="12.75" hidden="1">
      <c r="A391" s="36" t="str">
        <f ca="1">IFERROR(__xludf.DUMMYFUNCTION("""COMPUTED_VALUE"""),"")</f>
        <v/>
      </c>
      <c r="B391" s="36" t="str">
        <f ca="1">IFERROR(__xludf.DUMMYFUNCTION("""COMPUTED_VALUE"""),"")</f>
        <v/>
      </c>
      <c r="C391" s="36" t="str">
        <f ca="1">IFERROR(__xludf.DUMMYFUNCTION("""COMPUTED_VALUE"""),"")</f>
        <v/>
      </c>
      <c r="D391" s="36" t="str">
        <f ca="1">IFERROR(__xludf.DUMMYFUNCTION("""COMPUTED_VALUE"""),"")</f>
        <v/>
      </c>
      <c r="E391" s="36" t="str">
        <f ca="1">IFERROR(__xludf.DUMMYFUNCTION("""COMPUTED_VALUE"""),"")</f>
        <v/>
      </c>
      <c r="F391" s="36" t="str">
        <f ca="1">IFERROR(__xludf.DUMMYFUNCTION("""COMPUTED_VALUE"""),"")</f>
        <v/>
      </c>
      <c r="G391" s="36" t="str">
        <f ca="1">IFERROR(__xludf.DUMMYFUNCTION("""COMPUTED_VALUE"""),"")</f>
        <v/>
      </c>
      <c r="H391" s="36" t="str">
        <f ca="1">IFERROR(__xludf.DUMMYFUNCTION("""COMPUTED_VALUE"""),"")</f>
        <v/>
      </c>
      <c r="I391" s="36" t="str">
        <f ca="1">IFERROR(__xludf.DUMMYFUNCTION("""COMPUTED_VALUE"""),"")</f>
        <v/>
      </c>
      <c r="J391" s="36" t="str">
        <f ca="1">IFERROR(__xludf.DUMMYFUNCTION("""COMPUTED_VALUE"""),"")</f>
        <v/>
      </c>
      <c r="K391" s="36" t="str">
        <f ca="1">IFERROR(__xludf.DUMMYFUNCTION("""COMPUTED_VALUE"""),"")</f>
        <v/>
      </c>
      <c r="L391" s="36" t="str">
        <f ca="1">IFERROR(__xludf.DUMMYFUNCTION("""COMPUTED_VALUE"""),"")</f>
        <v/>
      </c>
      <c r="M391" s="36" t="str">
        <f ca="1">IFERROR(__xludf.DUMMYFUNCTION("""COMPUTED_VALUE"""),"")</f>
        <v/>
      </c>
      <c r="N391" s="36" t="str">
        <f ca="1">IFERROR(__xludf.DUMMYFUNCTION("""COMPUTED_VALUE"""),"")</f>
        <v/>
      </c>
      <c r="O391" s="36" t="str">
        <f ca="1">IFERROR(__xludf.DUMMYFUNCTION("""COMPUTED_VALUE"""),"")</f>
        <v/>
      </c>
      <c r="P391" s="36" t="str">
        <f ca="1">IFERROR(__xludf.DUMMYFUNCTION("""COMPUTED_VALUE"""),"")</f>
        <v/>
      </c>
      <c r="Q391" s="36" t="str">
        <f ca="1">IFERROR(__xludf.DUMMYFUNCTION("""COMPUTED_VALUE"""),"")</f>
        <v/>
      </c>
      <c r="R391" s="36" t="str">
        <f ca="1">IFERROR(__xludf.DUMMYFUNCTION("""COMPUTED_VALUE"""),"")</f>
        <v/>
      </c>
      <c r="S391" s="36" t="str">
        <f ca="1">IFERROR(__xludf.DUMMYFUNCTION("""COMPUTED_VALUE"""),"")</f>
        <v/>
      </c>
      <c r="T391" s="36" t="str">
        <f ca="1">IFERROR(__xludf.DUMMYFUNCTION("""COMPUTED_VALUE"""),"")</f>
        <v/>
      </c>
      <c r="U391" s="36" t="str">
        <f ca="1">IFERROR(__xludf.DUMMYFUNCTION("""COMPUTED_VALUE"""),"")</f>
        <v/>
      </c>
      <c r="V391" s="36" t="str">
        <f ca="1">IFERROR(__xludf.DUMMYFUNCTION("""COMPUTED_VALUE"""),"")</f>
        <v/>
      </c>
      <c r="W391" s="36" t="str">
        <f ca="1">IFERROR(__xludf.DUMMYFUNCTION("""COMPUTED_VALUE"""),"")</f>
        <v/>
      </c>
      <c r="X391" s="36"/>
      <c r="Y391" s="36"/>
      <c r="Z391" s="36"/>
    </row>
    <row r="392" spans="1:26" ht="12.75" hidden="1">
      <c r="A392" s="36" t="str">
        <f ca="1">IFERROR(__xludf.DUMMYFUNCTION("""COMPUTED_VALUE"""),"")</f>
        <v/>
      </c>
      <c r="B392" s="36" t="str">
        <f ca="1">IFERROR(__xludf.DUMMYFUNCTION("""COMPUTED_VALUE"""),"")</f>
        <v/>
      </c>
      <c r="C392" s="36" t="str">
        <f ca="1">IFERROR(__xludf.DUMMYFUNCTION("""COMPUTED_VALUE"""),"")</f>
        <v/>
      </c>
      <c r="D392" s="36" t="str">
        <f ca="1">IFERROR(__xludf.DUMMYFUNCTION("""COMPUTED_VALUE"""),"")</f>
        <v/>
      </c>
      <c r="E392" s="36" t="str">
        <f ca="1">IFERROR(__xludf.DUMMYFUNCTION("""COMPUTED_VALUE"""),"")</f>
        <v/>
      </c>
      <c r="F392" s="36" t="str">
        <f ca="1">IFERROR(__xludf.DUMMYFUNCTION("""COMPUTED_VALUE"""),"")</f>
        <v/>
      </c>
      <c r="G392" s="36" t="str">
        <f ca="1">IFERROR(__xludf.DUMMYFUNCTION("""COMPUTED_VALUE"""),"")</f>
        <v/>
      </c>
      <c r="H392" s="36" t="str">
        <f ca="1">IFERROR(__xludf.DUMMYFUNCTION("""COMPUTED_VALUE"""),"")</f>
        <v/>
      </c>
      <c r="I392" s="36" t="str">
        <f ca="1">IFERROR(__xludf.DUMMYFUNCTION("""COMPUTED_VALUE"""),"")</f>
        <v/>
      </c>
      <c r="J392" s="36" t="str">
        <f ca="1">IFERROR(__xludf.DUMMYFUNCTION("""COMPUTED_VALUE"""),"")</f>
        <v/>
      </c>
      <c r="K392" s="36" t="str">
        <f ca="1">IFERROR(__xludf.DUMMYFUNCTION("""COMPUTED_VALUE"""),"")</f>
        <v/>
      </c>
      <c r="L392" s="36" t="str">
        <f ca="1">IFERROR(__xludf.DUMMYFUNCTION("""COMPUTED_VALUE"""),"")</f>
        <v/>
      </c>
      <c r="M392" s="36" t="str">
        <f ca="1">IFERROR(__xludf.DUMMYFUNCTION("""COMPUTED_VALUE"""),"")</f>
        <v/>
      </c>
      <c r="N392" s="36" t="str">
        <f ca="1">IFERROR(__xludf.DUMMYFUNCTION("""COMPUTED_VALUE"""),"")</f>
        <v/>
      </c>
      <c r="O392" s="36" t="str">
        <f ca="1">IFERROR(__xludf.DUMMYFUNCTION("""COMPUTED_VALUE"""),"")</f>
        <v/>
      </c>
      <c r="P392" s="36" t="str">
        <f ca="1">IFERROR(__xludf.DUMMYFUNCTION("""COMPUTED_VALUE"""),"")</f>
        <v/>
      </c>
      <c r="Q392" s="36" t="str">
        <f ca="1">IFERROR(__xludf.DUMMYFUNCTION("""COMPUTED_VALUE"""),"")</f>
        <v/>
      </c>
      <c r="R392" s="36" t="str">
        <f ca="1">IFERROR(__xludf.DUMMYFUNCTION("""COMPUTED_VALUE"""),"")</f>
        <v/>
      </c>
      <c r="S392" s="36" t="str">
        <f ca="1">IFERROR(__xludf.DUMMYFUNCTION("""COMPUTED_VALUE"""),"")</f>
        <v/>
      </c>
      <c r="T392" s="36" t="str">
        <f ca="1">IFERROR(__xludf.DUMMYFUNCTION("""COMPUTED_VALUE"""),"")</f>
        <v/>
      </c>
      <c r="U392" s="36" t="str">
        <f ca="1">IFERROR(__xludf.DUMMYFUNCTION("""COMPUTED_VALUE"""),"")</f>
        <v/>
      </c>
      <c r="V392" s="36" t="str">
        <f ca="1">IFERROR(__xludf.DUMMYFUNCTION("""COMPUTED_VALUE"""),"")</f>
        <v/>
      </c>
      <c r="W392" s="36" t="str">
        <f ca="1">IFERROR(__xludf.DUMMYFUNCTION("""COMPUTED_VALUE"""),"")</f>
        <v/>
      </c>
      <c r="X392" s="36"/>
      <c r="Y392" s="36"/>
      <c r="Z392" s="36"/>
    </row>
    <row r="393" spans="1:26" ht="12.75" hidden="1">
      <c r="A393" s="36" t="str">
        <f ca="1">IFERROR(__xludf.DUMMYFUNCTION("""COMPUTED_VALUE"""),"")</f>
        <v/>
      </c>
      <c r="B393" s="36" t="str">
        <f ca="1">IFERROR(__xludf.DUMMYFUNCTION("""COMPUTED_VALUE"""),"")</f>
        <v/>
      </c>
      <c r="C393" s="36" t="str">
        <f ca="1">IFERROR(__xludf.DUMMYFUNCTION("""COMPUTED_VALUE"""),"")</f>
        <v/>
      </c>
      <c r="D393" s="36" t="str">
        <f ca="1">IFERROR(__xludf.DUMMYFUNCTION("""COMPUTED_VALUE"""),"")</f>
        <v/>
      </c>
      <c r="E393" s="36" t="str">
        <f ca="1">IFERROR(__xludf.DUMMYFUNCTION("""COMPUTED_VALUE"""),"")</f>
        <v/>
      </c>
      <c r="F393" s="36" t="str">
        <f ca="1">IFERROR(__xludf.DUMMYFUNCTION("""COMPUTED_VALUE"""),"")</f>
        <v/>
      </c>
      <c r="G393" s="36" t="str">
        <f ca="1">IFERROR(__xludf.DUMMYFUNCTION("""COMPUTED_VALUE"""),"")</f>
        <v/>
      </c>
      <c r="H393" s="36" t="str">
        <f ca="1">IFERROR(__xludf.DUMMYFUNCTION("""COMPUTED_VALUE"""),"")</f>
        <v/>
      </c>
      <c r="I393" s="36" t="str">
        <f ca="1">IFERROR(__xludf.DUMMYFUNCTION("""COMPUTED_VALUE"""),"")</f>
        <v/>
      </c>
      <c r="J393" s="36" t="str">
        <f ca="1">IFERROR(__xludf.DUMMYFUNCTION("""COMPUTED_VALUE"""),"")</f>
        <v/>
      </c>
      <c r="K393" s="36" t="str">
        <f ca="1">IFERROR(__xludf.DUMMYFUNCTION("""COMPUTED_VALUE"""),"")</f>
        <v/>
      </c>
      <c r="L393" s="36" t="str">
        <f ca="1">IFERROR(__xludf.DUMMYFUNCTION("""COMPUTED_VALUE"""),"")</f>
        <v/>
      </c>
      <c r="M393" s="36" t="str">
        <f ca="1">IFERROR(__xludf.DUMMYFUNCTION("""COMPUTED_VALUE"""),"")</f>
        <v/>
      </c>
      <c r="N393" s="36" t="str">
        <f ca="1">IFERROR(__xludf.DUMMYFUNCTION("""COMPUTED_VALUE"""),"")</f>
        <v/>
      </c>
      <c r="O393" s="36" t="str">
        <f ca="1">IFERROR(__xludf.DUMMYFUNCTION("""COMPUTED_VALUE"""),"")</f>
        <v/>
      </c>
      <c r="P393" s="36" t="str">
        <f ca="1">IFERROR(__xludf.DUMMYFUNCTION("""COMPUTED_VALUE"""),"")</f>
        <v/>
      </c>
      <c r="Q393" s="36" t="str">
        <f ca="1">IFERROR(__xludf.DUMMYFUNCTION("""COMPUTED_VALUE"""),"")</f>
        <v/>
      </c>
      <c r="R393" s="36" t="str">
        <f ca="1">IFERROR(__xludf.DUMMYFUNCTION("""COMPUTED_VALUE"""),"")</f>
        <v/>
      </c>
      <c r="S393" s="36" t="str">
        <f ca="1">IFERROR(__xludf.DUMMYFUNCTION("""COMPUTED_VALUE"""),"")</f>
        <v/>
      </c>
      <c r="T393" s="36" t="str">
        <f ca="1">IFERROR(__xludf.DUMMYFUNCTION("""COMPUTED_VALUE"""),"")</f>
        <v/>
      </c>
      <c r="U393" s="36" t="str">
        <f ca="1">IFERROR(__xludf.DUMMYFUNCTION("""COMPUTED_VALUE"""),"")</f>
        <v/>
      </c>
      <c r="V393" s="36" t="str">
        <f ca="1">IFERROR(__xludf.DUMMYFUNCTION("""COMPUTED_VALUE"""),"")</f>
        <v/>
      </c>
      <c r="W393" s="36" t="str">
        <f ca="1">IFERROR(__xludf.DUMMYFUNCTION("""COMPUTED_VALUE"""),"")</f>
        <v/>
      </c>
      <c r="X393" s="36"/>
      <c r="Y393" s="36"/>
      <c r="Z393" s="36"/>
    </row>
    <row r="394" spans="1:26" ht="12.75" hidden="1">
      <c r="A394" s="36" t="str">
        <f ca="1">IFERROR(__xludf.DUMMYFUNCTION("""COMPUTED_VALUE"""),"")</f>
        <v/>
      </c>
      <c r="B394" s="36" t="str">
        <f ca="1">IFERROR(__xludf.DUMMYFUNCTION("""COMPUTED_VALUE"""),"")</f>
        <v/>
      </c>
      <c r="C394" s="36" t="str">
        <f ca="1">IFERROR(__xludf.DUMMYFUNCTION("""COMPUTED_VALUE"""),"")</f>
        <v/>
      </c>
      <c r="D394" s="36" t="str">
        <f ca="1">IFERROR(__xludf.DUMMYFUNCTION("""COMPUTED_VALUE"""),"")</f>
        <v/>
      </c>
      <c r="E394" s="36" t="str">
        <f ca="1">IFERROR(__xludf.DUMMYFUNCTION("""COMPUTED_VALUE"""),"")</f>
        <v/>
      </c>
      <c r="F394" s="36" t="str">
        <f ca="1">IFERROR(__xludf.DUMMYFUNCTION("""COMPUTED_VALUE"""),"")</f>
        <v/>
      </c>
      <c r="G394" s="36" t="str">
        <f ca="1">IFERROR(__xludf.DUMMYFUNCTION("""COMPUTED_VALUE"""),"")</f>
        <v/>
      </c>
      <c r="H394" s="36" t="str">
        <f ca="1">IFERROR(__xludf.DUMMYFUNCTION("""COMPUTED_VALUE"""),"")</f>
        <v/>
      </c>
      <c r="I394" s="36" t="str">
        <f ca="1">IFERROR(__xludf.DUMMYFUNCTION("""COMPUTED_VALUE"""),"")</f>
        <v/>
      </c>
      <c r="J394" s="36" t="str">
        <f ca="1">IFERROR(__xludf.DUMMYFUNCTION("""COMPUTED_VALUE"""),"")</f>
        <v/>
      </c>
      <c r="K394" s="36" t="str">
        <f ca="1">IFERROR(__xludf.DUMMYFUNCTION("""COMPUTED_VALUE"""),"")</f>
        <v/>
      </c>
      <c r="L394" s="36" t="str">
        <f ca="1">IFERROR(__xludf.DUMMYFUNCTION("""COMPUTED_VALUE"""),"")</f>
        <v/>
      </c>
      <c r="M394" s="36" t="str">
        <f ca="1">IFERROR(__xludf.DUMMYFUNCTION("""COMPUTED_VALUE"""),"")</f>
        <v/>
      </c>
      <c r="N394" s="36" t="str">
        <f ca="1">IFERROR(__xludf.DUMMYFUNCTION("""COMPUTED_VALUE"""),"")</f>
        <v/>
      </c>
      <c r="O394" s="36" t="str">
        <f ca="1">IFERROR(__xludf.DUMMYFUNCTION("""COMPUTED_VALUE"""),"")</f>
        <v/>
      </c>
      <c r="P394" s="36" t="str">
        <f ca="1">IFERROR(__xludf.DUMMYFUNCTION("""COMPUTED_VALUE"""),"")</f>
        <v/>
      </c>
      <c r="Q394" s="36" t="str">
        <f ca="1">IFERROR(__xludf.DUMMYFUNCTION("""COMPUTED_VALUE"""),"")</f>
        <v/>
      </c>
      <c r="R394" s="36" t="str">
        <f ca="1">IFERROR(__xludf.DUMMYFUNCTION("""COMPUTED_VALUE"""),"")</f>
        <v/>
      </c>
      <c r="S394" s="36" t="str">
        <f ca="1">IFERROR(__xludf.DUMMYFUNCTION("""COMPUTED_VALUE"""),"")</f>
        <v/>
      </c>
      <c r="T394" s="36" t="str">
        <f ca="1">IFERROR(__xludf.DUMMYFUNCTION("""COMPUTED_VALUE"""),"")</f>
        <v/>
      </c>
      <c r="U394" s="36" t="str">
        <f ca="1">IFERROR(__xludf.DUMMYFUNCTION("""COMPUTED_VALUE"""),"")</f>
        <v/>
      </c>
      <c r="V394" s="36" t="str">
        <f ca="1">IFERROR(__xludf.DUMMYFUNCTION("""COMPUTED_VALUE"""),"")</f>
        <v/>
      </c>
      <c r="W394" s="36" t="str">
        <f ca="1">IFERROR(__xludf.DUMMYFUNCTION("""COMPUTED_VALUE"""),"")</f>
        <v/>
      </c>
      <c r="X394" s="36"/>
      <c r="Y394" s="36"/>
      <c r="Z394" s="36"/>
    </row>
    <row r="395" spans="1:26" ht="12.75" hidden="1">
      <c r="A395" s="36" t="str">
        <f ca="1">IFERROR(__xludf.DUMMYFUNCTION("""COMPUTED_VALUE"""),"")</f>
        <v/>
      </c>
      <c r="B395" s="36" t="str">
        <f ca="1">IFERROR(__xludf.DUMMYFUNCTION("""COMPUTED_VALUE"""),"")</f>
        <v/>
      </c>
      <c r="C395" s="36" t="str">
        <f ca="1">IFERROR(__xludf.DUMMYFUNCTION("""COMPUTED_VALUE"""),"")</f>
        <v/>
      </c>
      <c r="D395" s="36" t="str">
        <f ca="1">IFERROR(__xludf.DUMMYFUNCTION("""COMPUTED_VALUE"""),"")</f>
        <v/>
      </c>
      <c r="E395" s="36" t="str">
        <f ca="1">IFERROR(__xludf.DUMMYFUNCTION("""COMPUTED_VALUE"""),"")</f>
        <v/>
      </c>
      <c r="F395" s="36" t="str">
        <f ca="1">IFERROR(__xludf.DUMMYFUNCTION("""COMPUTED_VALUE"""),"")</f>
        <v/>
      </c>
      <c r="G395" s="36" t="str">
        <f ca="1">IFERROR(__xludf.DUMMYFUNCTION("""COMPUTED_VALUE"""),"")</f>
        <v/>
      </c>
      <c r="H395" s="36" t="str">
        <f ca="1">IFERROR(__xludf.DUMMYFUNCTION("""COMPUTED_VALUE"""),"")</f>
        <v/>
      </c>
      <c r="I395" s="36" t="str">
        <f ca="1">IFERROR(__xludf.DUMMYFUNCTION("""COMPUTED_VALUE"""),"")</f>
        <v/>
      </c>
      <c r="J395" s="36" t="str">
        <f ca="1">IFERROR(__xludf.DUMMYFUNCTION("""COMPUTED_VALUE"""),"")</f>
        <v/>
      </c>
      <c r="K395" s="36" t="str">
        <f ca="1">IFERROR(__xludf.DUMMYFUNCTION("""COMPUTED_VALUE"""),"")</f>
        <v/>
      </c>
      <c r="L395" s="36" t="str">
        <f ca="1">IFERROR(__xludf.DUMMYFUNCTION("""COMPUTED_VALUE"""),"")</f>
        <v/>
      </c>
      <c r="M395" s="36" t="str">
        <f ca="1">IFERROR(__xludf.DUMMYFUNCTION("""COMPUTED_VALUE"""),"")</f>
        <v/>
      </c>
      <c r="N395" s="36" t="str">
        <f ca="1">IFERROR(__xludf.DUMMYFUNCTION("""COMPUTED_VALUE"""),"")</f>
        <v/>
      </c>
      <c r="O395" s="36" t="str">
        <f ca="1">IFERROR(__xludf.DUMMYFUNCTION("""COMPUTED_VALUE"""),"")</f>
        <v/>
      </c>
      <c r="P395" s="36" t="str">
        <f ca="1">IFERROR(__xludf.DUMMYFUNCTION("""COMPUTED_VALUE"""),"")</f>
        <v/>
      </c>
      <c r="Q395" s="36" t="str">
        <f ca="1">IFERROR(__xludf.DUMMYFUNCTION("""COMPUTED_VALUE"""),"")</f>
        <v/>
      </c>
      <c r="R395" s="36" t="str">
        <f ca="1">IFERROR(__xludf.DUMMYFUNCTION("""COMPUTED_VALUE"""),"")</f>
        <v/>
      </c>
      <c r="S395" s="36" t="str">
        <f ca="1">IFERROR(__xludf.DUMMYFUNCTION("""COMPUTED_VALUE"""),"")</f>
        <v/>
      </c>
      <c r="T395" s="36" t="str">
        <f ca="1">IFERROR(__xludf.DUMMYFUNCTION("""COMPUTED_VALUE"""),"")</f>
        <v/>
      </c>
      <c r="U395" s="36" t="str">
        <f ca="1">IFERROR(__xludf.DUMMYFUNCTION("""COMPUTED_VALUE"""),"")</f>
        <v/>
      </c>
      <c r="V395" s="36" t="str">
        <f ca="1">IFERROR(__xludf.DUMMYFUNCTION("""COMPUTED_VALUE"""),"")</f>
        <v/>
      </c>
      <c r="W395" s="36" t="str">
        <f ca="1">IFERROR(__xludf.DUMMYFUNCTION("""COMPUTED_VALUE"""),"")</f>
        <v/>
      </c>
      <c r="X395" s="36"/>
      <c r="Y395" s="36"/>
      <c r="Z395" s="36"/>
    </row>
    <row r="396" spans="1:26" ht="12.75" hidden="1">
      <c r="A396" s="36" t="str">
        <f ca="1">IFERROR(__xludf.DUMMYFUNCTION("""COMPUTED_VALUE"""),"")</f>
        <v/>
      </c>
      <c r="B396" s="36" t="str">
        <f ca="1">IFERROR(__xludf.DUMMYFUNCTION("""COMPUTED_VALUE"""),"")</f>
        <v/>
      </c>
      <c r="C396" s="36" t="str">
        <f ca="1">IFERROR(__xludf.DUMMYFUNCTION("""COMPUTED_VALUE"""),"")</f>
        <v/>
      </c>
      <c r="D396" s="36" t="str">
        <f ca="1">IFERROR(__xludf.DUMMYFUNCTION("""COMPUTED_VALUE"""),"")</f>
        <v/>
      </c>
      <c r="E396" s="36" t="str">
        <f ca="1">IFERROR(__xludf.DUMMYFUNCTION("""COMPUTED_VALUE"""),"")</f>
        <v/>
      </c>
      <c r="F396" s="36" t="str">
        <f ca="1">IFERROR(__xludf.DUMMYFUNCTION("""COMPUTED_VALUE"""),"")</f>
        <v/>
      </c>
      <c r="G396" s="36" t="str">
        <f ca="1">IFERROR(__xludf.DUMMYFUNCTION("""COMPUTED_VALUE"""),"")</f>
        <v/>
      </c>
      <c r="H396" s="36" t="str">
        <f ca="1">IFERROR(__xludf.DUMMYFUNCTION("""COMPUTED_VALUE"""),"")</f>
        <v/>
      </c>
      <c r="I396" s="36" t="str">
        <f ca="1">IFERROR(__xludf.DUMMYFUNCTION("""COMPUTED_VALUE"""),"")</f>
        <v/>
      </c>
      <c r="J396" s="36" t="str">
        <f ca="1">IFERROR(__xludf.DUMMYFUNCTION("""COMPUTED_VALUE"""),"")</f>
        <v/>
      </c>
      <c r="K396" s="36" t="str">
        <f ca="1">IFERROR(__xludf.DUMMYFUNCTION("""COMPUTED_VALUE"""),"")</f>
        <v/>
      </c>
      <c r="L396" s="36" t="str">
        <f ca="1">IFERROR(__xludf.DUMMYFUNCTION("""COMPUTED_VALUE"""),"")</f>
        <v/>
      </c>
      <c r="M396" s="36" t="str">
        <f ca="1">IFERROR(__xludf.DUMMYFUNCTION("""COMPUTED_VALUE"""),"")</f>
        <v/>
      </c>
      <c r="N396" s="36" t="str">
        <f ca="1">IFERROR(__xludf.DUMMYFUNCTION("""COMPUTED_VALUE"""),"")</f>
        <v/>
      </c>
      <c r="O396" s="36" t="str">
        <f ca="1">IFERROR(__xludf.DUMMYFUNCTION("""COMPUTED_VALUE"""),"")</f>
        <v/>
      </c>
      <c r="P396" s="36" t="str">
        <f ca="1">IFERROR(__xludf.DUMMYFUNCTION("""COMPUTED_VALUE"""),"")</f>
        <v/>
      </c>
      <c r="Q396" s="36" t="str">
        <f ca="1">IFERROR(__xludf.DUMMYFUNCTION("""COMPUTED_VALUE"""),"")</f>
        <v/>
      </c>
      <c r="R396" s="36" t="str">
        <f ca="1">IFERROR(__xludf.DUMMYFUNCTION("""COMPUTED_VALUE"""),"")</f>
        <v/>
      </c>
      <c r="S396" s="36" t="str">
        <f ca="1">IFERROR(__xludf.DUMMYFUNCTION("""COMPUTED_VALUE"""),"")</f>
        <v/>
      </c>
      <c r="T396" s="36" t="str">
        <f ca="1">IFERROR(__xludf.DUMMYFUNCTION("""COMPUTED_VALUE"""),"")</f>
        <v/>
      </c>
      <c r="U396" s="36" t="str">
        <f ca="1">IFERROR(__xludf.DUMMYFUNCTION("""COMPUTED_VALUE"""),"")</f>
        <v/>
      </c>
      <c r="V396" s="36" t="str">
        <f ca="1">IFERROR(__xludf.DUMMYFUNCTION("""COMPUTED_VALUE"""),"")</f>
        <v/>
      </c>
      <c r="W396" s="36" t="str">
        <f ca="1">IFERROR(__xludf.DUMMYFUNCTION("""COMPUTED_VALUE"""),"")</f>
        <v/>
      </c>
      <c r="X396" s="36"/>
      <c r="Y396" s="36"/>
      <c r="Z396" s="36"/>
    </row>
    <row r="397" spans="1:26" ht="12.75" hidden="1">
      <c r="A397" s="36" t="str">
        <f ca="1">IFERROR(__xludf.DUMMYFUNCTION("""COMPUTED_VALUE"""),"")</f>
        <v/>
      </c>
      <c r="B397" s="36" t="str">
        <f ca="1">IFERROR(__xludf.DUMMYFUNCTION("""COMPUTED_VALUE"""),"")</f>
        <v/>
      </c>
      <c r="C397" s="36" t="str">
        <f ca="1">IFERROR(__xludf.DUMMYFUNCTION("""COMPUTED_VALUE"""),"")</f>
        <v/>
      </c>
      <c r="D397" s="36" t="str">
        <f ca="1">IFERROR(__xludf.DUMMYFUNCTION("""COMPUTED_VALUE"""),"")</f>
        <v/>
      </c>
      <c r="E397" s="36" t="str">
        <f ca="1">IFERROR(__xludf.DUMMYFUNCTION("""COMPUTED_VALUE"""),"")</f>
        <v/>
      </c>
      <c r="F397" s="36" t="str">
        <f ca="1">IFERROR(__xludf.DUMMYFUNCTION("""COMPUTED_VALUE"""),"")</f>
        <v/>
      </c>
      <c r="G397" s="36" t="str">
        <f ca="1">IFERROR(__xludf.DUMMYFUNCTION("""COMPUTED_VALUE"""),"")</f>
        <v/>
      </c>
      <c r="H397" s="36" t="str">
        <f ca="1">IFERROR(__xludf.DUMMYFUNCTION("""COMPUTED_VALUE"""),"")</f>
        <v/>
      </c>
      <c r="I397" s="36" t="str">
        <f ca="1">IFERROR(__xludf.DUMMYFUNCTION("""COMPUTED_VALUE"""),"")</f>
        <v/>
      </c>
      <c r="J397" s="36" t="str">
        <f ca="1">IFERROR(__xludf.DUMMYFUNCTION("""COMPUTED_VALUE"""),"")</f>
        <v/>
      </c>
      <c r="K397" s="36" t="str">
        <f ca="1">IFERROR(__xludf.DUMMYFUNCTION("""COMPUTED_VALUE"""),"")</f>
        <v/>
      </c>
      <c r="L397" s="36" t="str">
        <f ca="1">IFERROR(__xludf.DUMMYFUNCTION("""COMPUTED_VALUE"""),"")</f>
        <v/>
      </c>
      <c r="M397" s="36" t="str">
        <f ca="1">IFERROR(__xludf.DUMMYFUNCTION("""COMPUTED_VALUE"""),"")</f>
        <v/>
      </c>
      <c r="N397" s="36" t="str">
        <f ca="1">IFERROR(__xludf.DUMMYFUNCTION("""COMPUTED_VALUE"""),"")</f>
        <v/>
      </c>
      <c r="O397" s="36" t="str">
        <f ca="1">IFERROR(__xludf.DUMMYFUNCTION("""COMPUTED_VALUE"""),"")</f>
        <v/>
      </c>
      <c r="P397" s="36" t="str">
        <f ca="1">IFERROR(__xludf.DUMMYFUNCTION("""COMPUTED_VALUE"""),"")</f>
        <v/>
      </c>
      <c r="Q397" s="36" t="str">
        <f ca="1">IFERROR(__xludf.DUMMYFUNCTION("""COMPUTED_VALUE"""),"")</f>
        <v/>
      </c>
      <c r="R397" s="36" t="str">
        <f ca="1">IFERROR(__xludf.DUMMYFUNCTION("""COMPUTED_VALUE"""),"")</f>
        <v/>
      </c>
      <c r="S397" s="36" t="str">
        <f ca="1">IFERROR(__xludf.DUMMYFUNCTION("""COMPUTED_VALUE"""),"")</f>
        <v/>
      </c>
      <c r="T397" s="36" t="str">
        <f ca="1">IFERROR(__xludf.DUMMYFUNCTION("""COMPUTED_VALUE"""),"")</f>
        <v/>
      </c>
      <c r="U397" s="36" t="str">
        <f ca="1">IFERROR(__xludf.DUMMYFUNCTION("""COMPUTED_VALUE"""),"")</f>
        <v/>
      </c>
      <c r="V397" s="36" t="str">
        <f ca="1">IFERROR(__xludf.DUMMYFUNCTION("""COMPUTED_VALUE"""),"")</f>
        <v/>
      </c>
      <c r="W397" s="36" t="str">
        <f ca="1">IFERROR(__xludf.DUMMYFUNCTION("""COMPUTED_VALUE"""),"")</f>
        <v/>
      </c>
      <c r="X397" s="36"/>
      <c r="Y397" s="36"/>
      <c r="Z397" s="36"/>
    </row>
    <row r="398" spans="1:26" ht="12.75" hidden="1">
      <c r="A398" s="36" t="str">
        <f ca="1">IFERROR(__xludf.DUMMYFUNCTION("""COMPUTED_VALUE"""),"")</f>
        <v/>
      </c>
      <c r="B398" s="36" t="str">
        <f ca="1">IFERROR(__xludf.DUMMYFUNCTION("""COMPUTED_VALUE"""),"")</f>
        <v/>
      </c>
      <c r="C398" s="36" t="str">
        <f ca="1">IFERROR(__xludf.DUMMYFUNCTION("""COMPUTED_VALUE"""),"")</f>
        <v/>
      </c>
      <c r="D398" s="36" t="str">
        <f ca="1">IFERROR(__xludf.DUMMYFUNCTION("""COMPUTED_VALUE"""),"")</f>
        <v/>
      </c>
      <c r="E398" s="36" t="str">
        <f ca="1">IFERROR(__xludf.DUMMYFUNCTION("""COMPUTED_VALUE"""),"")</f>
        <v/>
      </c>
      <c r="F398" s="36" t="str">
        <f ca="1">IFERROR(__xludf.DUMMYFUNCTION("""COMPUTED_VALUE"""),"")</f>
        <v/>
      </c>
      <c r="G398" s="36" t="str">
        <f ca="1">IFERROR(__xludf.DUMMYFUNCTION("""COMPUTED_VALUE"""),"")</f>
        <v/>
      </c>
      <c r="H398" s="36" t="str">
        <f ca="1">IFERROR(__xludf.DUMMYFUNCTION("""COMPUTED_VALUE"""),"")</f>
        <v/>
      </c>
      <c r="I398" s="36" t="str">
        <f ca="1">IFERROR(__xludf.DUMMYFUNCTION("""COMPUTED_VALUE"""),"")</f>
        <v/>
      </c>
      <c r="J398" s="36" t="str">
        <f ca="1">IFERROR(__xludf.DUMMYFUNCTION("""COMPUTED_VALUE"""),"")</f>
        <v/>
      </c>
      <c r="K398" s="36" t="str">
        <f ca="1">IFERROR(__xludf.DUMMYFUNCTION("""COMPUTED_VALUE"""),"")</f>
        <v/>
      </c>
      <c r="L398" s="36" t="str">
        <f ca="1">IFERROR(__xludf.DUMMYFUNCTION("""COMPUTED_VALUE"""),"")</f>
        <v/>
      </c>
      <c r="M398" s="36" t="str">
        <f ca="1">IFERROR(__xludf.DUMMYFUNCTION("""COMPUTED_VALUE"""),"")</f>
        <v/>
      </c>
      <c r="N398" s="36" t="str">
        <f ca="1">IFERROR(__xludf.DUMMYFUNCTION("""COMPUTED_VALUE"""),"")</f>
        <v/>
      </c>
      <c r="O398" s="36" t="str">
        <f ca="1">IFERROR(__xludf.DUMMYFUNCTION("""COMPUTED_VALUE"""),"")</f>
        <v/>
      </c>
      <c r="P398" s="36" t="str">
        <f ca="1">IFERROR(__xludf.DUMMYFUNCTION("""COMPUTED_VALUE"""),"")</f>
        <v/>
      </c>
      <c r="Q398" s="36" t="str">
        <f ca="1">IFERROR(__xludf.DUMMYFUNCTION("""COMPUTED_VALUE"""),"")</f>
        <v/>
      </c>
      <c r="R398" s="36" t="str">
        <f ca="1">IFERROR(__xludf.DUMMYFUNCTION("""COMPUTED_VALUE"""),"")</f>
        <v/>
      </c>
      <c r="S398" s="36" t="str">
        <f ca="1">IFERROR(__xludf.DUMMYFUNCTION("""COMPUTED_VALUE"""),"")</f>
        <v/>
      </c>
      <c r="T398" s="36" t="str">
        <f ca="1">IFERROR(__xludf.DUMMYFUNCTION("""COMPUTED_VALUE"""),"")</f>
        <v/>
      </c>
      <c r="U398" s="36" t="str">
        <f ca="1">IFERROR(__xludf.DUMMYFUNCTION("""COMPUTED_VALUE"""),"")</f>
        <v/>
      </c>
      <c r="V398" s="36" t="str">
        <f ca="1">IFERROR(__xludf.DUMMYFUNCTION("""COMPUTED_VALUE"""),"")</f>
        <v/>
      </c>
      <c r="W398" s="36" t="str">
        <f ca="1">IFERROR(__xludf.DUMMYFUNCTION("""COMPUTED_VALUE"""),"")</f>
        <v/>
      </c>
      <c r="X398" s="36"/>
      <c r="Y398" s="36"/>
      <c r="Z398" s="36"/>
    </row>
    <row r="399" spans="1:26" ht="12.75" hidden="1">
      <c r="A399" s="36" t="str">
        <f ca="1">IFERROR(__xludf.DUMMYFUNCTION("""COMPUTED_VALUE"""),"")</f>
        <v/>
      </c>
      <c r="B399" s="36" t="str">
        <f ca="1">IFERROR(__xludf.DUMMYFUNCTION("""COMPUTED_VALUE"""),"")</f>
        <v/>
      </c>
      <c r="C399" s="36" t="str">
        <f ca="1">IFERROR(__xludf.DUMMYFUNCTION("""COMPUTED_VALUE"""),"")</f>
        <v/>
      </c>
      <c r="D399" s="36" t="str">
        <f ca="1">IFERROR(__xludf.DUMMYFUNCTION("""COMPUTED_VALUE"""),"")</f>
        <v/>
      </c>
      <c r="E399" s="36" t="str">
        <f ca="1">IFERROR(__xludf.DUMMYFUNCTION("""COMPUTED_VALUE"""),"")</f>
        <v/>
      </c>
      <c r="F399" s="36" t="str">
        <f ca="1">IFERROR(__xludf.DUMMYFUNCTION("""COMPUTED_VALUE"""),"")</f>
        <v/>
      </c>
      <c r="G399" s="36" t="str">
        <f ca="1">IFERROR(__xludf.DUMMYFUNCTION("""COMPUTED_VALUE"""),"")</f>
        <v/>
      </c>
      <c r="H399" s="36" t="str">
        <f ca="1">IFERROR(__xludf.DUMMYFUNCTION("""COMPUTED_VALUE"""),"")</f>
        <v/>
      </c>
      <c r="I399" s="36" t="str">
        <f ca="1">IFERROR(__xludf.DUMMYFUNCTION("""COMPUTED_VALUE"""),"")</f>
        <v/>
      </c>
      <c r="J399" s="36" t="str">
        <f ca="1">IFERROR(__xludf.DUMMYFUNCTION("""COMPUTED_VALUE"""),"")</f>
        <v/>
      </c>
      <c r="K399" s="36" t="str">
        <f ca="1">IFERROR(__xludf.DUMMYFUNCTION("""COMPUTED_VALUE"""),"")</f>
        <v/>
      </c>
      <c r="L399" s="36" t="str">
        <f ca="1">IFERROR(__xludf.DUMMYFUNCTION("""COMPUTED_VALUE"""),"")</f>
        <v/>
      </c>
      <c r="M399" s="36" t="str">
        <f ca="1">IFERROR(__xludf.DUMMYFUNCTION("""COMPUTED_VALUE"""),"")</f>
        <v/>
      </c>
      <c r="N399" s="36" t="str">
        <f ca="1">IFERROR(__xludf.DUMMYFUNCTION("""COMPUTED_VALUE"""),"")</f>
        <v/>
      </c>
      <c r="O399" s="36" t="str">
        <f ca="1">IFERROR(__xludf.DUMMYFUNCTION("""COMPUTED_VALUE"""),"")</f>
        <v/>
      </c>
      <c r="P399" s="36" t="str">
        <f ca="1">IFERROR(__xludf.DUMMYFUNCTION("""COMPUTED_VALUE"""),"")</f>
        <v/>
      </c>
      <c r="Q399" s="36" t="str">
        <f ca="1">IFERROR(__xludf.DUMMYFUNCTION("""COMPUTED_VALUE"""),"")</f>
        <v/>
      </c>
      <c r="R399" s="36" t="str">
        <f ca="1">IFERROR(__xludf.DUMMYFUNCTION("""COMPUTED_VALUE"""),"")</f>
        <v/>
      </c>
      <c r="S399" s="36" t="str">
        <f ca="1">IFERROR(__xludf.DUMMYFUNCTION("""COMPUTED_VALUE"""),"")</f>
        <v/>
      </c>
      <c r="T399" s="36" t="str">
        <f ca="1">IFERROR(__xludf.DUMMYFUNCTION("""COMPUTED_VALUE"""),"")</f>
        <v/>
      </c>
      <c r="U399" s="36" t="str">
        <f ca="1">IFERROR(__xludf.DUMMYFUNCTION("""COMPUTED_VALUE"""),"")</f>
        <v/>
      </c>
      <c r="V399" s="36" t="str">
        <f ca="1">IFERROR(__xludf.DUMMYFUNCTION("""COMPUTED_VALUE"""),"")</f>
        <v/>
      </c>
      <c r="W399" s="36" t="str">
        <f ca="1">IFERROR(__xludf.DUMMYFUNCTION("""COMPUTED_VALUE"""),"")</f>
        <v/>
      </c>
      <c r="X399" s="36"/>
      <c r="Y399" s="36"/>
      <c r="Z399" s="36"/>
    </row>
    <row r="400" spans="1:26" ht="12.75" hidden="1">
      <c r="A400" s="36" t="str">
        <f ca="1">IFERROR(__xludf.DUMMYFUNCTION("""COMPUTED_VALUE"""),"")</f>
        <v/>
      </c>
      <c r="B400" s="36" t="str">
        <f ca="1">IFERROR(__xludf.DUMMYFUNCTION("""COMPUTED_VALUE"""),"")</f>
        <v/>
      </c>
      <c r="C400" s="36" t="str">
        <f ca="1">IFERROR(__xludf.DUMMYFUNCTION("""COMPUTED_VALUE"""),"")</f>
        <v/>
      </c>
      <c r="D400" s="36" t="str">
        <f ca="1">IFERROR(__xludf.DUMMYFUNCTION("""COMPUTED_VALUE"""),"")</f>
        <v/>
      </c>
      <c r="E400" s="36" t="str">
        <f ca="1">IFERROR(__xludf.DUMMYFUNCTION("""COMPUTED_VALUE"""),"")</f>
        <v/>
      </c>
      <c r="F400" s="36" t="str">
        <f ca="1">IFERROR(__xludf.DUMMYFUNCTION("""COMPUTED_VALUE"""),"")</f>
        <v/>
      </c>
      <c r="G400" s="36" t="str">
        <f ca="1">IFERROR(__xludf.DUMMYFUNCTION("""COMPUTED_VALUE"""),"")</f>
        <v/>
      </c>
      <c r="H400" s="36" t="str">
        <f ca="1">IFERROR(__xludf.DUMMYFUNCTION("""COMPUTED_VALUE"""),"")</f>
        <v/>
      </c>
      <c r="I400" s="36" t="str">
        <f ca="1">IFERROR(__xludf.DUMMYFUNCTION("""COMPUTED_VALUE"""),"")</f>
        <v/>
      </c>
      <c r="J400" s="36" t="str">
        <f ca="1">IFERROR(__xludf.DUMMYFUNCTION("""COMPUTED_VALUE"""),"")</f>
        <v/>
      </c>
      <c r="K400" s="36" t="str">
        <f ca="1">IFERROR(__xludf.DUMMYFUNCTION("""COMPUTED_VALUE"""),"")</f>
        <v/>
      </c>
      <c r="L400" s="36" t="str">
        <f ca="1">IFERROR(__xludf.DUMMYFUNCTION("""COMPUTED_VALUE"""),"")</f>
        <v/>
      </c>
      <c r="M400" s="36" t="str">
        <f ca="1">IFERROR(__xludf.DUMMYFUNCTION("""COMPUTED_VALUE"""),"")</f>
        <v/>
      </c>
      <c r="N400" s="36" t="str">
        <f ca="1">IFERROR(__xludf.DUMMYFUNCTION("""COMPUTED_VALUE"""),"")</f>
        <v/>
      </c>
      <c r="O400" s="36" t="str">
        <f ca="1">IFERROR(__xludf.DUMMYFUNCTION("""COMPUTED_VALUE"""),"")</f>
        <v/>
      </c>
      <c r="P400" s="36" t="str">
        <f ca="1">IFERROR(__xludf.DUMMYFUNCTION("""COMPUTED_VALUE"""),"")</f>
        <v/>
      </c>
      <c r="Q400" s="36" t="str">
        <f ca="1">IFERROR(__xludf.DUMMYFUNCTION("""COMPUTED_VALUE"""),"")</f>
        <v/>
      </c>
      <c r="R400" s="36" t="str">
        <f ca="1">IFERROR(__xludf.DUMMYFUNCTION("""COMPUTED_VALUE"""),"")</f>
        <v/>
      </c>
      <c r="S400" s="36" t="str">
        <f ca="1">IFERROR(__xludf.DUMMYFUNCTION("""COMPUTED_VALUE"""),"")</f>
        <v/>
      </c>
      <c r="T400" s="36" t="str">
        <f ca="1">IFERROR(__xludf.DUMMYFUNCTION("""COMPUTED_VALUE"""),"")</f>
        <v/>
      </c>
      <c r="U400" s="36" t="str">
        <f ca="1">IFERROR(__xludf.DUMMYFUNCTION("""COMPUTED_VALUE"""),"")</f>
        <v/>
      </c>
      <c r="V400" s="36" t="str">
        <f ca="1">IFERROR(__xludf.DUMMYFUNCTION("""COMPUTED_VALUE"""),"")</f>
        <v/>
      </c>
      <c r="W400" s="36" t="str">
        <f ca="1">IFERROR(__xludf.DUMMYFUNCTION("""COMPUTED_VALUE"""),"")</f>
        <v/>
      </c>
      <c r="X400" s="36"/>
      <c r="Y400" s="36"/>
      <c r="Z400" s="36"/>
    </row>
    <row r="401" spans="1:26" ht="12.75" hidden="1">
      <c r="A401" s="36" t="str">
        <f ca="1">IFERROR(__xludf.DUMMYFUNCTION("""COMPUTED_VALUE"""),"")</f>
        <v/>
      </c>
      <c r="B401" s="36" t="str">
        <f ca="1">IFERROR(__xludf.DUMMYFUNCTION("""COMPUTED_VALUE"""),"")</f>
        <v/>
      </c>
      <c r="C401" s="36" t="str">
        <f ca="1">IFERROR(__xludf.DUMMYFUNCTION("""COMPUTED_VALUE"""),"")</f>
        <v/>
      </c>
      <c r="D401" s="36" t="str">
        <f ca="1">IFERROR(__xludf.DUMMYFUNCTION("""COMPUTED_VALUE"""),"")</f>
        <v/>
      </c>
      <c r="E401" s="36" t="str">
        <f ca="1">IFERROR(__xludf.DUMMYFUNCTION("""COMPUTED_VALUE"""),"")</f>
        <v/>
      </c>
      <c r="F401" s="36" t="str">
        <f ca="1">IFERROR(__xludf.DUMMYFUNCTION("""COMPUTED_VALUE"""),"")</f>
        <v/>
      </c>
      <c r="G401" s="36" t="str">
        <f ca="1">IFERROR(__xludf.DUMMYFUNCTION("""COMPUTED_VALUE"""),"")</f>
        <v/>
      </c>
      <c r="H401" s="36" t="str">
        <f ca="1">IFERROR(__xludf.DUMMYFUNCTION("""COMPUTED_VALUE"""),"")</f>
        <v/>
      </c>
      <c r="I401" s="36" t="str">
        <f ca="1">IFERROR(__xludf.DUMMYFUNCTION("""COMPUTED_VALUE"""),"")</f>
        <v/>
      </c>
      <c r="J401" s="36" t="str">
        <f ca="1">IFERROR(__xludf.DUMMYFUNCTION("""COMPUTED_VALUE"""),"")</f>
        <v/>
      </c>
      <c r="K401" s="36" t="str">
        <f ca="1">IFERROR(__xludf.DUMMYFUNCTION("""COMPUTED_VALUE"""),"")</f>
        <v/>
      </c>
      <c r="L401" s="36" t="str">
        <f ca="1">IFERROR(__xludf.DUMMYFUNCTION("""COMPUTED_VALUE"""),"")</f>
        <v/>
      </c>
      <c r="M401" s="36" t="str">
        <f ca="1">IFERROR(__xludf.DUMMYFUNCTION("""COMPUTED_VALUE"""),"")</f>
        <v/>
      </c>
      <c r="N401" s="36" t="str">
        <f ca="1">IFERROR(__xludf.DUMMYFUNCTION("""COMPUTED_VALUE"""),"")</f>
        <v/>
      </c>
      <c r="O401" s="36" t="str">
        <f ca="1">IFERROR(__xludf.DUMMYFUNCTION("""COMPUTED_VALUE"""),"")</f>
        <v/>
      </c>
      <c r="P401" s="36" t="str">
        <f ca="1">IFERROR(__xludf.DUMMYFUNCTION("""COMPUTED_VALUE"""),"")</f>
        <v/>
      </c>
      <c r="Q401" s="36" t="str">
        <f ca="1">IFERROR(__xludf.DUMMYFUNCTION("""COMPUTED_VALUE"""),"")</f>
        <v/>
      </c>
      <c r="R401" s="36" t="str">
        <f ca="1">IFERROR(__xludf.DUMMYFUNCTION("""COMPUTED_VALUE"""),"")</f>
        <v/>
      </c>
      <c r="S401" s="36" t="str">
        <f ca="1">IFERROR(__xludf.DUMMYFUNCTION("""COMPUTED_VALUE"""),"")</f>
        <v/>
      </c>
      <c r="T401" s="36" t="str">
        <f ca="1">IFERROR(__xludf.DUMMYFUNCTION("""COMPUTED_VALUE"""),"")</f>
        <v/>
      </c>
      <c r="U401" s="36" t="str">
        <f ca="1">IFERROR(__xludf.DUMMYFUNCTION("""COMPUTED_VALUE"""),"")</f>
        <v/>
      </c>
      <c r="V401" s="36" t="str">
        <f ca="1">IFERROR(__xludf.DUMMYFUNCTION("""COMPUTED_VALUE"""),"")</f>
        <v/>
      </c>
      <c r="W401" s="36" t="str">
        <f ca="1">IFERROR(__xludf.DUMMYFUNCTION("""COMPUTED_VALUE"""),"")</f>
        <v/>
      </c>
      <c r="X401" s="36"/>
      <c r="Y401" s="36"/>
      <c r="Z401" s="36"/>
    </row>
    <row r="402" spans="1:26" ht="12.75" hidden="1">
      <c r="A402" s="36" t="str">
        <f ca="1">IFERROR(__xludf.DUMMYFUNCTION("""COMPUTED_VALUE"""),"")</f>
        <v/>
      </c>
      <c r="B402" s="36" t="str">
        <f ca="1">IFERROR(__xludf.DUMMYFUNCTION("""COMPUTED_VALUE"""),"")</f>
        <v/>
      </c>
      <c r="C402" s="36" t="str">
        <f ca="1">IFERROR(__xludf.DUMMYFUNCTION("""COMPUTED_VALUE"""),"")</f>
        <v/>
      </c>
      <c r="D402" s="36" t="str">
        <f ca="1">IFERROR(__xludf.DUMMYFUNCTION("""COMPUTED_VALUE"""),"")</f>
        <v/>
      </c>
      <c r="E402" s="36" t="str">
        <f ca="1">IFERROR(__xludf.DUMMYFUNCTION("""COMPUTED_VALUE"""),"")</f>
        <v/>
      </c>
      <c r="F402" s="36" t="str">
        <f ca="1">IFERROR(__xludf.DUMMYFUNCTION("""COMPUTED_VALUE"""),"")</f>
        <v/>
      </c>
      <c r="G402" s="36" t="str">
        <f ca="1">IFERROR(__xludf.DUMMYFUNCTION("""COMPUTED_VALUE"""),"")</f>
        <v/>
      </c>
      <c r="H402" s="36" t="str">
        <f ca="1">IFERROR(__xludf.DUMMYFUNCTION("""COMPUTED_VALUE"""),"")</f>
        <v/>
      </c>
      <c r="I402" s="36" t="str">
        <f ca="1">IFERROR(__xludf.DUMMYFUNCTION("""COMPUTED_VALUE"""),"")</f>
        <v/>
      </c>
      <c r="J402" s="36" t="str">
        <f ca="1">IFERROR(__xludf.DUMMYFUNCTION("""COMPUTED_VALUE"""),"")</f>
        <v/>
      </c>
      <c r="K402" s="36" t="str">
        <f ca="1">IFERROR(__xludf.DUMMYFUNCTION("""COMPUTED_VALUE"""),"")</f>
        <v/>
      </c>
      <c r="L402" s="36" t="str">
        <f ca="1">IFERROR(__xludf.DUMMYFUNCTION("""COMPUTED_VALUE"""),"")</f>
        <v/>
      </c>
      <c r="M402" s="36" t="str">
        <f ca="1">IFERROR(__xludf.DUMMYFUNCTION("""COMPUTED_VALUE"""),"")</f>
        <v/>
      </c>
      <c r="N402" s="36" t="str">
        <f ca="1">IFERROR(__xludf.DUMMYFUNCTION("""COMPUTED_VALUE"""),"")</f>
        <v/>
      </c>
      <c r="O402" s="36" t="str">
        <f ca="1">IFERROR(__xludf.DUMMYFUNCTION("""COMPUTED_VALUE"""),"")</f>
        <v/>
      </c>
      <c r="P402" s="36" t="str">
        <f ca="1">IFERROR(__xludf.DUMMYFUNCTION("""COMPUTED_VALUE"""),"")</f>
        <v/>
      </c>
      <c r="Q402" s="36" t="str">
        <f ca="1">IFERROR(__xludf.DUMMYFUNCTION("""COMPUTED_VALUE"""),"")</f>
        <v/>
      </c>
      <c r="R402" s="36" t="str">
        <f ca="1">IFERROR(__xludf.DUMMYFUNCTION("""COMPUTED_VALUE"""),"")</f>
        <v/>
      </c>
      <c r="S402" s="36" t="str">
        <f ca="1">IFERROR(__xludf.DUMMYFUNCTION("""COMPUTED_VALUE"""),"")</f>
        <v/>
      </c>
      <c r="T402" s="36" t="str">
        <f ca="1">IFERROR(__xludf.DUMMYFUNCTION("""COMPUTED_VALUE"""),"")</f>
        <v/>
      </c>
      <c r="U402" s="36" t="str">
        <f ca="1">IFERROR(__xludf.DUMMYFUNCTION("""COMPUTED_VALUE"""),"")</f>
        <v/>
      </c>
      <c r="V402" s="36" t="str">
        <f ca="1">IFERROR(__xludf.DUMMYFUNCTION("""COMPUTED_VALUE"""),"")</f>
        <v/>
      </c>
      <c r="W402" s="36" t="str">
        <f ca="1">IFERROR(__xludf.DUMMYFUNCTION("""COMPUTED_VALUE"""),"")</f>
        <v/>
      </c>
      <c r="X402" s="36"/>
      <c r="Y402" s="36"/>
      <c r="Z402" s="36"/>
    </row>
    <row r="403" spans="1:26" ht="12.75" hidden="1">
      <c r="A403" s="36" t="str">
        <f ca="1">IFERROR(__xludf.DUMMYFUNCTION("""COMPUTED_VALUE"""),"")</f>
        <v/>
      </c>
      <c r="B403" s="36" t="str">
        <f ca="1">IFERROR(__xludf.DUMMYFUNCTION("""COMPUTED_VALUE"""),"")</f>
        <v/>
      </c>
      <c r="C403" s="36" t="str">
        <f ca="1">IFERROR(__xludf.DUMMYFUNCTION("""COMPUTED_VALUE"""),"")</f>
        <v/>
      </c>
      <c r="D403" s="36" t="str">
        <f ca="1">IFERROR(__xludf.DUMMYFUNCTION("""COMPUTED_VALUE"""),"")</f>
        <v/>
      </c>
      <c r="E403" s="36" t="str">
        <f ca="1">IFERROR(__xludf.DUMMYFUNCTION("""COMPUTED_VALUE"""),"")</f>
        <v/>
      </c>
      <c r="F403" s="36" t="str">
        <f ca="1">IFERROR(__xludf.DUMMYFUNCTION("""COMPUTED_VALUE"""),"")</f>
        <v/>
      </c>
      <c r="G403" s="36" t="str">
        <f ca="1">IFERROR(__xludf.DUMMYFUNCTION("""COMPUTED_VALUE"""),"")</f>
        <v/>
      </c>
      <c r="H403" s="36" t="str">
        <f ca="1">IFERROR(__xludf.DUMMYFUNCTION("""COMPUTED_VALUE"""),"")</f>
        <v/>
      </c>
      <c r="I403" s="36" t="str">
        <f ca="1">IFERROR(__xludf.DUMMYFUNCTION("""COMPUTED_VALUE"""),"")</f>
        <v/>
      </c>
      <c r="J403" s="36" t="str">
        <f ca="1">IFERROR(__xludf.DUMMYFUNCTION("""COMPUTED_VALUE"""),"")</f>
        <v/>
      </c>
      <c r="K403" s="36" t="str">
        <f ca="1">IFERROR(__xludf.DUMMYFUNCTION("""COMPUTED_VALUE"""),"")</f>
        <v/>
      </c>
      <c r="L403" s="36" t="str">
        <f ca="1">IFERROR(__xludf.DUMMYFUNCTION("""COMPUTED_VALUE"""),"")</f>
        <v/>
      </c>
      <c r="M403" s="36" t="str">
        <f ca="1">IFERROR(__xludf.DUMMYFUNCTION("""COMPUTED_VALUE"""),"")</f>
        <v/>
      </c>
      <c r="N403" s="36" t="str">
        <f ca="1">IFERROR(__xludf.DUMMYFUNCTION("""COMPUTED_VALUE"""),"")</f>
        <v/>
      </c>
      <c r="O403" s="36" t="str">
        <f ca="1">IFERROR(__xludf.DUMMYFUNCTION("""COMPUTED_VALUE"""),"")</f>
        <v/>
      </c>
      <c r="P403" s="36" t="str">
        <f ca="1">IFERROR(__xludf.DUMMYFUNCTION("""COMPUTED_VALUE"""),"")</f>
        <v/>
      </c>
      <c r="Q403" s="36" t="str">
        <f ca="1">IFERROR(__xludf.DUMMYFUNCTION("""COMPUTED_VALUE"""),"")</f>
        <v/>
      </c>
      <c r="R403" s="36" t="str">
        <f ca="1">IFERROR(__xludf.DUMMYFUNCTION("""COMPUTED_VALUE"""),"")</f>
        <v/>
      </c>
      <c r="S403" s="36" t="str">
        <f ca="1">IFERROR(__xludf.DUMMYFUNCTION("""COMPUTED_VALUE"""),"")</f>
        <v/>
      </c>
      <c r="T403" s="36" t="str">
        <f ca="1">IFERROR(__xludf.DUMMYFUNCTION("""COMPUTED_VALUE"""),"")</f>
        <v/>
      </c>
      <c r="U403" s="36" t="str">
        <f ca="1">IFERROR(__xludf.DUMMYFUNCTION("""COMPUTED_VALUE"""),"")</f>
        <v/>
      </c>
      <c r="V403" s="36" t="str">
        <f ca="1">IFERROR(__xludf.DUMMYFUNCTION("""COMPUTED_VALUE"""),"")</f>
        <v/>
      </c>
      <c r="W403" s="36" t="str">
        <f ca="1">IFERROR(__xludf.DUMMYFUNCTION("""COMPUTED_VALUE"""),"")</f>
        <v/>
      </c>
      <c r="X403" s="36"/>
      <c r="Y403" s="36"/>
      <c r="Z403" s="36"/>
    </row>
    <row r="404" spans="1:26" ht="12.75" hidden="1">
      <c r="A404" s="36" t="str">
        <f ca="1">IFERROR(__xludf.DUMMYFUNCTION("""COMPUTED_VALUE"""),"")</f>
        <v/>
      </c>
      <c r="B404" s="36" t="str">
        <f ca="1">IFERROR(__xludf.DUMMYFUNCTION("""COMPUTED_VALUE"""),"")</f>
        <v/>
      </c>
      <c r="C404" s="36" t="str">
        <f ca="1">IFERROR(__xludf.DUMMYFUNCTION("""COMPUTED_VALUE"""),"")</f>
        <v/>
      </c>
      <c r="D404" s="36" t="str">
        <f ca="1">IFERROR(__xludf.DUMMYFUNCTION("""COMPUTED_VALUE"""),"")</f>
        <v/>
      </c>
      <c r="E404" s="36" t="str">
        <f ca="1">IFERROR(__xludf.DUMMYFUNCTION("""COMPUTED_VALUE"""),"")</f>
        <v/>
      </c>
      <c r="F404" s="36" t="str">
        <f ca="1">IFERROR(__xludf.DUMMYFUNCTION("""COMPUTED_VALUE"""),"")</f>
        <v/>
      </c>
      <c r="G404" s="36" t="str">
        <f ca="1">IFERROR(__xludf.DUMMYFUNCTION("""COMPUTED_VALUE"""),"")</f>
        <v/>
      </c>
      <c r="H404" s="36" t="str">
        <f ca="1">IFERROR(__xludf.DUMMYFUNCTION("""COMPUTED_VALUE"""),"")</f>
        <v/>
      </c>
      <c r="I404" s="36" t="str">
        <f ca="1">IFERROR(__xludf.DUMMYFUNCTION("""COMPUTED_VALUE"""),"")</f>
        <v/>
      </c>
      <c r="J404" s="36" t="str">
        <f ca="1">IFERROR(__xludf.DUMMYFUNCTION("""COMPUTED_VALUE"""),"")</f>
        <v/>
      </c>
      <c r="K404" s="36" t="str">
        <f ca="1">IFERROR(__xludf.DUMMYFUNCTION("""COMPUTED_VALUE"""),"")</f>
        <v/>
      </c>
      <c r="L404" s="36" t="str">
        <f ca="1">IFERROR(__xludf.DUMMYFUNCTION("""COMPUTED_VALUE"""),"")</f>
        <v/>
      </c>
      <c r="M404" s="36" t="str">
        <f ca="1">IFERROR(__xludf.DUMMYFUNCTION("""COMPUTED_VALUE"""),"")</f>
        <v/>
      </c>
      <c r="N404" s="36" t="str">
        <f ca="1">IFERROR(__xludf.DUMMYFUNCTION("""COMPUTED_VALUE"""),"")</f>
        <v/>
      </c>
      <c r="O404" s="36" t="str">
        <f ca="1">IFERROR(__xludf.DUMMYFUNCTION("""COMPUTED_VALUE"""),"")</f>
        <v/>
      </c>
      <c r="P404" s="36" t="str">
        <f ca="1">IFERROR(__xludf.DUMMYFUNCTION("""COMPUTED_VALUE"""),"")</f>
        <v/>
      </c>
      <c r="Q404" s="36" t="str">
        <f ca="1">IFERROR(__xludf.DUMMYFUNCTION("""COMPUTED_VALUE"""),"")</f>
        <v/>
      </c>
      <c r="R404" s="36" t="str">
        <f ca="1">IFERROR(__xludf.DUMMYFUNCTION("""COMPUTED_VALUE"""),"")</f>
        <v/>
      </c>
      <c r="S404" s="36" t="str">
        <f ca="1">IFERROR(__xludf.DUMMYFUNCTION("""COMPUTED_VALUE"""),"")</f>
        <v/>
      </c>
      <c r="T404" s="36" t="str">
        <f ca="1">IFERROR(__xludf.DUMMYFUNCTION("""COMPUTED_VALUE"""),"")</f>
        <v/>
      </c>
      <c r="U404" s="36" t="str">
        <f ca="1">IFERROR(__xludf.DUMMYFUNCTION("""COMPUTED_VALUE"""),"")</f>
        <v/>
      </c>
      <c r="V404" s="36" t="str">
        <f ca="1">IFERROR(__xludf.DUMMYFUNCTION("""COMPUTED_VALUE"""),"")</f>
        <v/>
      </c>
      <c r="W404" s="36" t="str">
        <f ca="1">IFERROR(__xludf.DUMMYFUNCTION("""COMPUTED_VALUE"""),"")</f>
        <v/>
      </c>
      <c r="X404" s="36"/>
      <c r="Y404" s="36"/>
      <c r="Z404" s="36"/>
    </row>
    <row r="405" spans="1:26" ht="12.75" hidden="1">
      <c r="A405" s="36" t="str">
        <f ca="1">IFERROR(__xludf.DUMMYFUNCTION("""COMPUTED_VALUE"""),"")</f>
        <v/>
      </c>
      <c r="B405" s="36" t="str">
        <f ca="1">IFERROR(__xludf.DUMMYFUNCTION("""COMPUTED_VALUE"""),"")</f>
        <v/>
      </c>
      <c r="C405" s="36" t="str">
        <f ca="1">IFERROR(__xludf.DUMMYFUNCTION("""COMPUTED_VALUE"""),"")</f>
        <v/>
      </c>
      <c r="D405" s="36" t="str">
        <f ca="1">IFERROR(__xludf.DUMMYFUNCTION("""COMPUTED_VALUE"""),"")</f>
        <v/>
      </c>
      <c r="E405" s="36" t="str">
        <f ca="1">IFERROR(__xludf.DUMMYFUNCTION("""COMPUTED_VALUE"""),"")</f>
        <v/>
      </c>
      <c r="F405" s="36" t="str">
        <f ca="1">IFERROR(__xludf.DUMMYFUNCTION("""COMPUTED_VALUE"""),"")</f>
        <v/>
      </c>
      <c r="G405" s="36" t="str">
        <f ca="1">IFERROR(__xludf.DUMMYFUNCTION("""COMPUTED_VALUE"""),"")</f>
        <v/>
      </c>
      <c r="H405" s="36" t="str">
        <f ca="1">IFERROR(__xludf.DUMMYFUNCTION("""COMPUTED_VALUE"""),"")</f>
        <v/>
      </c>
      <c r="I405" s="36" t="str">
        <f ca="1">IFERROR(__xludf.DUMMYFUNCTION("""COMPUTED_VALUE"""),"")</f>
        <v/>
      </c>
      <c r="J405" s="36" t="str">
        <f ca="1">IFERROR(__xludf.DUMMYFUNCTION("""COMPUTED_VALUE"""),"")</f>
        <v/>
      </c>
      <c r="K405" s="36" t="str">
        <f ca="1">IFERROR(__xludf.DUMMYFUNCTION("""COMPUTED_VALUE"""),"")</f>
        <v/>
      </c>
      <c r="L405" s="36" t="str">
        <f ca="1">IFERROR(__xludf.DUMMYFUNCTION("""COMPUTED_VALUE"""),"")</f>
        <v/>
      </c>
      <c r="M405" s="36" t="str">
        <f ca="1">IFERROR(__xludf.DUMMYFUNCTION("""COMPUTED_VALUE"""),"")</f>
        <v/>
      </c>
      <c r="N405" s="36" t="str">
        <f ca="1">IFERROR(__xludf.DUMMYFUNCTION("""COMPUTED_VALUE"""),"")</f>
        <v/>
      </c>
      <c r="O405" s="36" t="str">
        <f ca="1">IFERROR(__xludf.DUMMYFUNCTION("""COMPUTED_VALUE"""),"")</f>
        <v/>
      </c>
      <c r="P405" s="36" t="str">
        <f ca="1">IFERROR(__xludf.DUMMYFUNCTION("""COMPUTED_VALUE"""),"")</f>
        <v/>
      </c>
      <c r="Q405" s="36" t="str">
        <f ca="1">IFERROR(__xludf.DUMMYFUNCTION("""COMPUTED_VALUE"""),"")</f>
        <v/>
      </c>
      <c r="R405" s="36" t="str">
        <f ca="1">IFERROR(__xludf.DUMMYFUNCTION("""COMPUTED_VALUE"""),"")</f>
        <v/>
      </c>
      <c r="S405" s="36" t="str">
        <f ca="1">IFERROR(__xludf.DUMMYFUNCTION("""COMPUTED_VALUE"""),"")</f>
        <v/>
      </c>
      <c r="T405" s="36" t="str">
        <f ca="1">IFERROR(__xludf.DUMMYFUNCTION("""COMPUTED_VALUE"""),"")</f>
        <v/>
      </c>
      <c r="U405" s="36" t="str">
        <f ca="1">IFERROR(__xludf.DUMMYFUNCTION("""COMPUTED_VALUE"""),"")</f>
        <v/>
      </c>
      <c r="V405" s="36" t="str">
        <f ca="1">IFERROR(__xludf.DUMMYFUNCTION("""COMPUTED_VALUE"""),"")</f>
        <v/>
      </c>
      <c r="W405" s="36" t="str">
        <f ca="1">IFERROR(__xludf.DUMMYFUNCTION("""COMPUTED_VALUE"""),"")</f>
        <v/>
      </c>
      <c r="X405" s="36"/>
      <c r="Y405" s="36"/>
      <c r="Z405" s="36"/>
    </row>
    <row r="406" spans="1:26" ht="12.75" hidden="1">
      <c r="A406" s="36" t="str">
        <f ca="1">IFERROR(__xludf.DUMMYFUNCTION("""COMPUTED_VALUE"""),"")</f>
        <v/>
      </c>
      <c r="B406" s="36" t="str">
        <f ca="1">IFERROR(__xludf.DUMMYFUNCTION("""COMPUTED_VALUE"""),"")</f>
        <v/>
      </c>
      <c r="C406" s="36" t="str">
        <f ca="1">IFERROR(__xludf.DUMMYFUNCTION("""COMPUTED_VALUE"""),"")</f>
        <v/>
      </c>
      <c r="D406" s="36" t="str">
        <f ca="1">IFERROR(__xludf.DUMMYFUNCTION("""COMPUTED_VALUE"""),"")</f>
        <v/>
      </c>
      <c r="E406" s="36" t="str">
        <f ca="1">IFERROR(__xludf.DUMMYFUNCTION("""COMPUTED_VALUE"""),"")</f>
        <v/>
      </c>
      <c r="F406" s="36" t="str">
        <f ca="1">IFERROR(__xludf.DUMMYFUNCTION("""COMPUTED_VALUE"""),"")</f>
        <v/>
      </c>
      <c r="G406" s="36" t="str">
        <f ca="1">IFERROR(__xludf.DUMMYFUNCTION("""COMPUTED_VALUE"""),"")</f>
        <v/>
      </c>
      <c r="H406" s="36" t="str">
        <f ca="1">IFERROR(__xludf.DUMMYFUNCTION("""COMPUTED_VALUE"""),"")</f>
        <v/>
      </c>
      <c r="I406" s="36" t="str">
        <f ca="1">IFERROR(__xludf.DUMMYFUNCTION("""COMPUTED_VALUE"""),"")</f>
        <v/>
      </c>
      <c r="J406" s="36" t="str">
        <f ca="1">IFERROR(__xludf.DUMMYFUNCTION("""COMPUTED_VALUE"""),"")</f>
        <v/>
      </c>
      <c r="K406" s="36" t="str">
        <f ca="1">IFERROR(__xludf.DUMMYFUNCTION("""COMPUTED_VALUE"""),"")</f>
        <v/>
      </c>
      <c r="L406" s="36" t="str">
        <f ca="1">IFERROR(__xludf.DUMMYFUNCTION("""COMPUTED_VALUE"""),"")</f>
        <v/>
      </c>
      <c r="M406" s="36" t="str">
        <f ca="1">IFERROR(__xludf.DUMMYFUNCTION("""COMPUTED_VALUE"""),"")</f>
        <v/>
      </c>
      <c r="N406" s="36" t="str">
        <f ca="1">IFERROR(__xludf.DUMMYFUNCTION("""COMPUTED_VALUE"""),"")</f>
        <v/>
      </c>
      <c r="O406" s="36" t="str">
        <f ca="1">IFERROR(__xludf.DUMMYFUNCTION("""COMPUTED_VALUE"""),"")</f>
        <v/>
      </c>
      <c r="P406" s="36" t="str">
        <f ca="1">IFERROR(__xludf.DUMMYFUNCTION("""COMPUTED_VALUE"""),"")</f>
        <v/>
      </c>
      <c r="Q406" s="36" t="str">
        <f ca="1">IFERROR(__xludf.DUMMYFUNCTION("""COMPUTED_VALUE"""),"")</f>
        <v/>
      </c>
      <c r="R406" s="36" t="str">
        <f ca="1">IFERROR(__xludf.DUMMYFUNCTION("""COMPUTED_VALUE"""),"")</f>
        <v/>
      </c>
      <c r="S406" s="36" t="str">
        <f ca="1">IFERROR(__xludf.DUMMYFUNCTION("""COMPUTED_VALUE"""),"")</f>
        <v/>
      </c>
      <c r="T406" s="36" t="str">
        <f ca="1">IFERROR(__xludf.DUMMYFUNCTION("""COMPUTED_VALUE"""),"")</f>
        <v/>
      </c>
      <c r="U406" s="36" t="str">
        <f ca="1">IFERROR(__xludf.DUMMYFUNCTION("""COMPUTED_VALUE"""),"")</f>
        <v/>
      </c>
      <c r="V406" s="36" t="str">
        <f ca="1">IFERROR(__xludf.DUMMYFUNCTION("""COMPUTED_VALUE"""),"")</f>
        <v/>
      </c>
      <c r="W406" s="36" t="str">
        <f ca="1">IFERROR(__xludf.DUMMYFUNCTION("""COMPUTED_VALUE"""),"")</f>
        <v/>
      </c>
      <c r="X406" s="36"/>
      <c r="Y406" s="36"/>
      <c r="Z406" s="36"/>
    </row>
    <row r="407" spans="1:26" ht="12.75" hidden="1">
      <c r="A407" s="36" t="str">
        <f ca="1">IFERROR(__xludf.DUMMYFUNCTION("""COMPUTED_VALUE"""),"")</f>
        <v/>
      </c>
      <c r="B407" s="36" t="str">
        <f ca="1">IFERROR(__xludf.DUMMYFUNCTION("""COMPUTED_VALUE"""),"")</f>
        <v/>
      </c>
      <c r="C407" s="36" t="str">
        <f ca="1">IFERROR(__xludf.DUMMYFUNCTION("""COMPUTED_VALUE"""),"")</f>
        <v/>
      </c>
      <c r="D407" s="36" t="str">
        <f ca="1">IFERROR(__xludf.DUMMYFUNCTION("""COMPUTED_VALUE"""),"")</f>
        <v/>
      </c>
      <c r="E407" s="36" t="str">
        <f ca="1">IFERROR(__xludf.DUMMYFUNCTION("""COMPUTED_VALUE"""),"")</f>
        <v/>
      </c>
      <c r="F407" s="36" t="str">
        <f ca="1">IFERROR(__xludf.DUMMYFUNCTION("""COMPUTED_VALUE"""),"")</f>
        <v/>
      </c>
      <c r="G407" s="36" t="str">
        <f ca="1">IFERROR(__xludf.DUMMYFUNCTION("""COMPUTED_VALUE"""),"")</f>
        <v/>
      </c>
      <c r="H407" s="36" t="str">
        <f ca="1">IFERROR(__xludf.DUMMYFUNCTION("""COMPUTED_VALUE"""),"")</f>
        <v/>
      </c>
      <c r="I407" s="36" t="str">
        <f ca="1">IFERROR(__xludf.DUMMYFUNCTION("""COMPUTED_VALUE"""),"")</f>
        <v/>
      </c>
      <c r="J407" s="36" t="str">
        <f ca="1">IFERROR(__xludf.DUMMYFUNCTION("""COMPUTED_VALUE"""),"")</f>
        <v/>
      </c>
      <c r="K407" s="36" t="str">
        <f ca="1">IFERROR(__xludf.DUMMYFUNCTION("""COMPUTED_VALUE"""),"")</f>
        <v/>
      </c>
      <c r="L407" s="36" t="str">
        <f ca="1">IFERROR(__xludf.DUMMYFUNCTION("""COMPUTED_VALUE"""),"")</f>
        <v/>
      </c>
      <c r="M407" s="36" t="str">
        <f ca="1">IFERROR(__xludf.DUMMYFUNCTION("""COMPUTED_VALUE"""),"")</f>
        <v/>
      </c>
      <c r="N407" s="36" t="str">
        <f ca="1">IFERROR(__xludf.DUMMYFUNCTION("""COMPUTED_VALUE"""),"")</f>
        <v/>
      </c>
      <c r="O407" s="36" t="str">
        <f ca="1">IFERROR(__xludf.DUMMYFUNCTION("""COMPUTED_VALUE"""),"")</f>
        <v/>
      </c>
      <c r="P407" s="36" t="str">
        <f ca="1">IFERROR(__xludf.DUMMYFUNCTION("""COMPUTED_VALUE"""),"")</f>
        <v/>
      </c>
      <c r="Q407" s="36" t="str">
        <f ca="1">IFERROR(__xludf.DUMMYFUNCTION("""COMPUTED_VALUE"""),"")</f>
        <v/>
      </c>
      <c r="R407" s="36" t="str">
        <f ca="1">IFERROR(__xludf.DUMMYFUNCTION("""COMPUTED_VALUE"""),"")</f>
        <v/>
      </c>
      <c r="S407" s="36" t="str">
        <f ca="1">IFERROR(__xludf.DUMMYFUNCTION("""COMPUTED_VALUE"""),"")</f>
        <v/>
      </c>
      <c r="T407" s="36" t="str">
        <f ca="1">IFERROR(__xludf.DUMMYFUNCTION("""COMPUTED_VALUE"""),"")</f>
        <v/>
      </c>
      <c r="U407" s="36" t="str">
        <f ca="1">IFERROR(__xludf.DUMMYFUNCTION("""COMPUTED_VALUE"""),"")</f>
        <v/>
      </c>
      <c r="V407" s="36" t="str">
        <f ca="1">IFERROR(__xludf.DUMMYFUNCTION("""COMPUTED_VALUE"""),"")</f>
        <v/>
      </c>
      <c r="W407" s="36" t="str">
        <f ca="1">IFERROR(__xludf.DUMMYFUNCTION("""COMPUTED_VALUE"""),"")</f>
        <v/>
      </c>
      <c r="X407" s="36"/>
      <c r="Y407" s="36"/>
      <c r="Z407" s="36"/>
    </row>
    <row r="408" spans="1:26" ht="12.75" hidden="1">
      <c r="A408" s="36" t="str">
        <f ca="1">IFERROR(__xludf.DUMMYFUNCTION("""COMPUTED_VALUE"""),"")</f>
        <v/>
      </c>
      <c r="B408" s="36" t="str">
        <f ca="1">IFERROR(__xludf.DUMMYFUNCTION("""COMPUTED_VALUE"""),"")</f>
        <v/>
      </c>
      <c r="C408" s="36" t="str">
        <f ca="1">IFERROR(__xludf.DUMMYFUNCTION("""COMPUTED_VALUE"""),"")</f>
        <v/>
      </c>
      <c r="D408" s="36" t="str">
        <f ca="1">IFERROR(__xludf.DUMMYFUNCTION("""COMPUTED_VALUE"""),"")</f>
        <v/>
      </c>
      <c r="E408" s="36" t="str">
        <f ca="1">IFERROR(__xludf.DUMMYFUNCTION("""COMPUTED_VALUE"""),"")</f>
        <v/>
      </c>
      <c r="F408" s="36" t="str">
        <f ca="1">IFERROR(__xludf.DUMMYFUNCTION("""COMPUTED_VALUE"""),"")</f>
        <v/>
      </c>
      <c r="G408" s="36" t="str">
        <f ca="1">IFERROR(__xludf.DUMMYFUNCTION("""COMPUTED_VALUE"""),"")</f>
        <v/>
      </c>
      <c r="H408" s="36" t="str">
        <f ca="1">IFERROR(__xludf.DUMMYFUNCTION("""COMPUTED_VALUE"""),"")</f>
        <v/>
      </c>
      <c r="I408" s="36" t="str">
        <f ca="1">IFERROR(__xludf.DUMMYFUNCTION("""COMPUTED_VALUE"""),"")</f>
        <v/>
      </c>
      <c r="J408" s="36" t="str">
        <f ca="1">IFERROR(__xludf.DUMMYFUNCTION("""COMPUTED_VALUE"""),"")</f>
        <v/>
      </c>
      <c r="K408" s="36" t="str">
        <f ca="1">IFERROR(__xludf.DUMMYFUNCTION("""COMPUTED_VALUE"""),"")</f>
        <v/>
      </c>
      <c r="L408" s="36" t="str">
        <f ca="1">IFERROR(__xludf.DUMMYFUNCTION("""COMPUTED_VALUE"""),"")</f>
        <v/>
      </c>
      <c r="M408" s="36" t="str">
        <f ca="1">IFERROR(__xludf.DUMMYFUNCTION("""COMPUTED_VALUE"""),"")</f>
        <v/>
      </c>
      <c r="N408" s="36" t="str">
        <f ca="1">IFERROR(__xludf.DUMMYFUNCTION("""COMPUTED_VALUE"""),"")</f>
        <v/>
      </c>
      <c r="O408" s="36" t="str">
        <f ca="1">IFERROR(__xludf.DUMMYFUNCTION("""COMPUTED_VALUE"""),"")</f>
        <v/>
      </c>
      <c r="P408" s="36" t="str">
        <f ca="1">IFERROR(__xludf.DUMMYFUNCTION("""COMPUTED_VALUE"""),"")</f>
        <v/>
      </c>
      <c r="Q408" s="36" t="str">
        <f ca="1">IFERROR(__xludf.DUMMYFUNCTION("""COMPUTED_VALUE"""),"")</f>
        <v/>
      </c>
      <c r="R408" s="36" t="str">
        <f ca="1">IFERROR(__xludf.DUMMYFUNCTION("""COMPUTED_VALUE"""),"")</f>
        <v/>
      </c>
      <c r="S408" s="36" t="str">
        <f ca="1">IFERROR(__xludf.DUMMYFUNCTION("""COMPUTED_VALUE"""),"")</f>
        <v/>
      </c>
      <c r="T408" s="36" t="str">
        <f ca="1">IFERROR(__xludf.DUMMYFUNCTION("""COMPUTED_VALUE"""),"")</f>
        <v/>
      </c>
      <c r="U408" s="36" t="str">
        <f ca="1">IFERROR(__xludf.DUMMYFUNCTION("""COMPUTED_VALUE"""),"")</f>
        <v/>
      </c>
      <c r="V408" s="36" t="str">
        <f ca="1">IFERROR(__xludf.DUMMYFUNCTION("""COMPUTED_VALUE"""),"")</f>
        <v/>
      </c>
      <c r="W408" s="36" t="str">
        <f ca="1">IFERROR(__xludf.DUMMYFUNCTION("""COMPUTED_VALUE"""),"")</f>
        <v/>
      </c>
      <c r="X408" s="36"/>
      <c r="Y408" s="36"/>
      <c r="Z408" s="36"/>
    </row>
    <row r="409" spans="1:26" ht="12.75" hidden="1">
      <c r="A409" s="36" t="str">
        <f ca="1">IFERROR(__xludf.DUMMYFUNCTION("""COMPUTED_VALUE"""),"")</f>
        <v/>
      </c>
      <c r="B409" s="36" t="str">
        <f ca="1">IFERROR(__xludf.DUMMYFUNCTION("""COMPUTED_VALUE"""),"")</f>
        <v/>
      </c>
      <c r="C409" s="36" t="str">
        <f ca="1">IFERROR(__xludf.DUMMYFUNCTION("""COMPUTED_VALUE"""),"")</f>
        <v/>
      </c>
      <c r="D409" s="36" t="str">
        <f ca="1">IFERROR(__xludf.DUMMYFUNCTION("""COMPUTED_VALUE"""),"")</f>
        <v/>
      </c>
      <c r="E409" s="36" t="str">
        <f ca="1">IFERROR(__xludf.DUMMYFUNCTION("""COMPUTED_VALUE"""),"")</f>
        <v/>
      </c>
      <c r="F409" s="36" t="str">
        <f ca="1">IFERROR(__xludf.DUMMYFUNCTION("""COMPUTED_VALUE"""),"")</f>
        <v/>
      </c>
      <c r="G409" s="36" t="str">
        <f ca="1">IFERROR(__xludf.DUMMYFUNCTION("""COMPUTED_VALUE"""),"")</f>
        <v/>
      </c>
      <c r="H409" s="36" t="str">
        <f ca="1">IFERROR(__xludf.DUMMYFUNCTION("""COMPUTED_VALUE"""),"")</f>
        <v/>
      </c>
      <c r="I409" s="36" t="str">
        <f ca="1">IFERROR(__xludf.DUMMYFUNCTION("""COMPUTED_VALUE"""),"")</f>
        <v/>
      </c>
      <c r="J409" s="36" t="str">
        <f ca="1">IFERROR(__xludf.DUMMYFUNCTION("""COMPUTED_VALUE"""),"")</f>
        <v/>
      </c>
      <c r="K409" s="36" t="str">
        <f ca="1">IFERROR(__xludf.DUMMYFUNCTION("""COMPUTED_VALUE"""),"")</f>
        <v/>
      </c>
      <c r="L409" s="36" t="str">
        <f ca="1">IFERROR(__xludf.DUMMYFUNCTION("""COMPUTED_VALUE"""),"")</f>
        <v/>
      </c>
      <c r="M409" s="36" t="str">
        <f ca="1">IFERROR(__xludf.DUMMYFUNCTION("""COMPUTED_VALUE"""),"")</f>
        <v/>
      </c>
      <c r="N409" s="36" t="str">
        <f ca="1">IFERROR(__xludf.DUMMYFUNCTION("""COMPUTED_VALUE"""),"")</f>
        <v/>
      </c>
      <c r="O409" s="36" t="str">
        <f ca="1">IFERROR(__xludf.DUMMYFUNCTION("""COMPUTED_VALUE"""),"")</f>
        <v/>
      </c>
      <c r="P409" s="36" t="str">
        <f ca="1">IFERROR(__xludf.DUMMYFUNCTION("""COMPUTED_VALUE"""),"")</f>
        <v/>
      </c>
      <c r="Q409" s="36" t="str">
        <f ca="1">IFERROR(__xludf.DUMMYFUNCTION("""COMPUTED_VALUE"""),"")</f>
        <v/>
      </c>
      <c r="R409" s="36" t="str">
        <f ca="1">IFERROR(__xludf.DUMMYFUNCTION("""COMPUTED_VALUE"""),"")</f>
        <v/>
      </c>
      <c r="S409" s="36" t="str">
        <f ca="1">IFERROR(__xludf.DUMMYFUNCTION("""COMPUTED_VALUE"""),"")</f>
        <v/>
      </c>
      <c r="T409" s="36" t="str">
        <f ca="1">IFERROR(__xludf.DUMMYFUNCTION("""COMPUTED_VALUE"""),"")</f>
        <v/>
      </c>
      <c r="U409" s="36" t="str">
        <f ca="1">IFERROR(__xludf.DUMMYFUNCTION("""COMPUTED_VALUE"""),"")</f>
        <v/>
      </c>
      <c r="V409" s="36" t="str">
        <f ca="1">IFERROR(__xludf.DUMMYFUNCTION("""COMPUTED_VALUE"""),"")</f>
        <v/>
      </c>
      <c r="W409" s="36" t="str">
        <f ca="1">IFERROR(__xludf.DUMMYFUNCTION("""COMPUTED_VALUE"""),"")</f>
        <v/>
      </c>
      <c r="X409" s="36"/>
      <c r="Y409" s="36"/>
      <c r="Z409" s="36"/>
    </row>
    <row r="410" spans="1:26" ht="12.75" hidden="1">
      <c r="A410" s="36" t="str">
        <f ca="1">IFERROR(__xludf.DUMMYFUNCTION("""COMPUTED_VALUE"""),"")</f>
        <v/>
      </c>
      <c r="B410" s="36" t="str">
        <f ca="1">IFERROR(__xludf.DUMMYFUNCTION("""COMPUTED_VALUE"""),"")</f>
        <v/>
      </c>
      <c r="C410" s="36" t="str">
        <f ca="1">IFERROR(__xludf.DUMMYFUNCTION("""COMPUTED_VALUE"""),"")</f>
        <v/>
      </c>
      <c r="D410" s="36" t="str">
        <f ca="1">IFERROR(__xludf.DUMMYFUNCTION("""COMPUTED_VALUE"""),"")</f>
        <v/>
      </c>
      <c r="E410" s="36" t="str">
        <f ca="1">IFERROR(__xludf.DUMMYFUNCTION("""COMPUTED_VALUE"""),"")</f>
        <v/>
      </c>
      <c r="F410" s="36" t="str">
        <f ca="1">IFERROR(__xludf.DUMMYFUNCTION("""COMPUTED_VALUE"""),"")</f>
        <v/>
      </c>
      <c r="G410" s="36" t="str">
        <f ca="1">IFERROR(__xludf.DUMMYFUNCTION("""COMPUTED_VALUE"""),"")</f>
        <v/>
      </c>
      <c r="H410" s="36" t="str">
        <f ca="1">IFERROR(__xludf.DUMMYFUNCTION("""COMPUTED_VALUE"""),"")</f>
        <v/>
      </c>
      <c r="I410" s="36" t="str">
        <f ca="1">IFERROR(__xludf.DUMMYFUNCTION("""COMPUTED_VALUE"""),"")</f>
        <v/>
      </c>
      <c r="J410" s="36" t="str">
        <f ca="1">IFERROR(__xludf.DUMMYFUNCTION("""COMPUTED_VALUE"""),"")</f>
        <v/>
      </c>
      <c r="K410" s="36" t="str">
        <f ca="1">IFERROR(__xludf.DUMMYFUNCTION("""COMPUTED_VALUE"""),"")</f>
        <v/>
      </c>
      <c r="L410" s="36" t="str">
        <f ca="1">IFERROR(__xludf.DUMMYFUNCTION("""COMPUTED_VALUE"""),"")</f>
        <v/>
      </c>
      <c r="M410" s="36" t="str">
        <f ca="1">IFERROR(__xludf.DUMMYFUNCTION("""COMPUTED_VALUE"""),"")</f>
        <v/>
      </c>
      <c r="N410" s="36" t="str">
        <f ca="1">IFERROR(__xludf.DUMMYFUNCTION("""COMPUTED_VALUE"""),"")</f>
        <v/>
      </c>
      <c r="O410" s="36" t="str">
        <f ca="1">IFERROR(__xludf.DUMMYFUNCTION("""COMPUTED_VALUE"""),"")</f>
        <v/>
      </c>
      <c r="P410" s="36" t="str">
        <f ca="1">IFERROR(__xludf.DUMMYFUNCTION("""COMPUTED_VALUE"""),"")</f>
        <v/>
      </c>
      <c r="Q410" s="36" t="str">
        <f ca="1">IFERROR(__xludf.DUMMYFUNCTION("""COMPUTED_VALUE"""),"")</f>
        <v/>
      </c>
      <c r="R410" s="36" t="str">
        <f ca="1">IFERROR(__xludf.DUMMYFUNCTION("""COMPUTED_VALUE"""),"")</f>
        <v/>
      </c>
      <c r="S410" s="36" t="str">
        <f ca="1">IFERROR(__xludf.DUMMYFUNCTION("""COMPUTED_VALUE"""),"")</f>
        <v/>
      </c>
      <c r="T410" s="36" t="str">
        <f ca="1">IFERROR(__xludf.DUMMYFUNCTION("""COMPUTED_VALUE"""),"")</f>
        <v/>
      </c>
      <c r="U410" s="36" t="str">
        <f ca="1">IFERROR(__xludf.DUMMYFUNCTION("""COMPUTED_VALUE"""),"")</f>
        <v/>
      </c>
      <c r="V410" s="36" t="str">
        <f ca="1">IFERROR(__xludf.DUMMYFUNCTION("""COMPUTED_VALUE"""),"")</f>
        <v/>
      </c>
      <c r="W410" s="36" t="str">
        <f ca="1">IFERROR(__xludf.DUMMYFUNCTION("""COMPUTED_VALUE"""),"")</f>
        <v/>
      </c>
      <c r="X410" s="36"/>
      <c r="Y410" s="36"/>
      <c r="Z410" s="36"/>
    </row>
    <row r="411" spans="1:26" ht="12.75" hidden="1">
      <c r="A411" s="36" t="str">
        <f ca="1">IFERROR(__xludf.DUMMYFUNCTION("""COMPUTED_VALUE"""),"")</f>
        <v/>
      </c>
      <c r="B411" s="36" t="str">
        <f ca="1">IFERROR(__xludf.DUMMYFUNCTION("""COMPUTED_VALUE"""),"")</f>
        <v/>
      </c>
      <c r="C411" s="36" t="str">
        <f ca="1">IFERROR(__xludf.DUMMYFUNCTION("""COMPUTED_VALUE"""),"")</f>
        <v/>
      </c>
      <c r="D411" s="36" t="str">
        <f ca="1">IFERROR(__xludf.DUMMYFUNCTION("""COMPUTED_VALUE"""),"")</f>
        <v/>
      </c>
      <c r="E411" s="36" t="str">
        <f ca="1">IFERROR(__xludf.DUMMYFUNCTION("""COMPUTED_VALUE"""),"")</f>
        <v/>
      </c>
      <c r="F411" s="36" t="str">
        <f ca="1">IFERROR(__xludf.DUMMYFUNCTION("""COMPUTED_VALUE"""),"")</f>
        <v/>
      </c>
      <c r="G411" s="36" t="str">
        <f ca="1">IFERROR(__xludf.DUMMYFUNCTION("""COMPUTED_VALUE"""),"")</f>
        <v/>
      </c>
      <c r="H411" s="36" t="str">
        <f ca="1">IFERROR(__xludf.DUMMYFUNCTION("""COMPUTED_VALUE"""),"")</f>
        <v/>
      </c>
      <c r="I411" s="36" t="str">
        <f ca="1">IFERROR(__xludf.DUMMYFUNCTION("""COMPUTED_VALUE"""),"")</f>
        <v/>
      </c>
      <c r="J411" s="36" t="str">
        <f ca="1">IFERROR(__xludf.DUMMYFUNCTION("""COMPUTED_VALUE"""),"")</f>
        <v/>
      </c>
      <c r="K411" s="36" t="str">
        <f ca="1">IFERROR(__xludf.DUMMYFUNCTION("""COMPUTED_VALUE"""),"")</f>
        <v/>
      </c>
      <c r="L411" s="36" t="str">
        <f ca="1">IFERROR(__xludf.DUMMYFUNCTION("""COMPUTED_VALUE"""),"")</f>
        <v/>
      </c>
      <c r="M411" s="36" t="str">
        <f ca="1">IFERROR(__xludf.DUMMYFUNCTION("""COMPUTED_VALUE"""),"")</f>
        <v/>
      </c>
      <c r="N411" s="36" t="str">
        <f ca="1">IFERROR(__xludf.DUMMYFUNCTION("""COMPUTED_VALUE"""),"")</f>
        <v/>
      </c>
      <c r="O411" s="36" t="str">
        <f ca="1">IFERROR(__xludf.DUMMYFUNCTION("""COMPUTED_VALUE"""),"")</f>
        <v/>
      </c>
      <c r="P411" s="36" t="str">
        <f ca="1">IFERROR(__xludf.DUMMYFUNCTION("""COMPUTED_VALUE"""),"")</f>
        <v/>
      </c>
      <c r="Q411" s="36" t="str">
        <f ca="1">IFERROR(__xludf.DUMMYFUNCTION("""COMPUTED_VALUE"""),"")</f>
        <v/>
      </c>
      <c r="R411" s="36" t="str">
        <f ca="1">IFERROR(__xludf.DUMMYFUNCTION("""COMPUTED_VALUE"""),"")</f>
        <v/>
      </c>
      <c r="S411" s="36" t="str">
        <f ca="1">IFERROR(__xludf.DUMMYFUNCTION("""COMPUTED_VALUE"""),"")</f>
        <v/>
      </c>
      <c r="T411" s="36" t="str">
        <f ca="1">IFERROR(__xludf.DUMMYFUNCTION("""COMPUTED_VALUE"""),"")</f>
        <v/>
      </c>
      <c r="U411" s="36" t="str">
        <f ca="1">IFERROR(__xludf.DUMMYFUNCTION("""COMPUTED_VALUE"""),"")</f>
        <v/>
      </c>
      <c r="V411" s="36" t="str">
        <f ca="1">IFERROR(__xludf.DUMMYFUNCTION("""COMPUTED_VALUE"""),"")</f>
        <v/>
      </c>
      <c r="W411" s="36" t="str">
        <f ca="1">IFERROR(__xludf.DUMMYFUNCTION("""COMPUTED_VALUE"""),"")</f>
        <v/>
      </c>
      <c r="X411" s="36"/>
      <c r="Y411" s="36"/>
      <c r="Z411" s="36"/>
    </row>
    <row r="412" spans="1:26" ht="12.75" hidden="1">
      <c r="A412" s="36" t="str">
        <f ca="1">IFERROR(__xludf.DUMMYFUNCTION("""COMPUTED_VALUE"""),"")</f>
        <v/>
      </c>
      <c r="B412" s="36" t="str">
        <f ca="1">IFERROR(__xludf.DUMMYFUNCTION("""COMPUTED_VALUE"""),"")</f>
        <v/>
      </c>
      <c r="C412" s="36" t="str">
        <f ca="1">IFERROR(__xludf.DUMMYFUNCTION("""COMPUTED_VALUE"""),"")</f>
        <v/>
      </c>
      <c r="D412" s="36" t="str">
        <f ca="1">IFERROR(__xludf.DUMMYFUNCTION("""COMPUTED_VALUE"""),"")</f>
        <v/>
      </c>
      <c r="E412" s="36" t="str">
        <f ca="1">IFERROR(__xludf.DUMMYFUNCTION("""COMPUTED_VALUE"""),"")</f>
        <v/>
      </c>
      <c r="F412" s="36" t="str">
        <f ca="1">IFERROR(__xludf.DUMMYFUNCTION("""COMPUTED_VALUE"""),"")</f>
        <v/>
      </c>
      <c r="G412" s="36" t="str">
        <f ca="1">IFERROR(__xludf.DUMMYFUNCTION("""COMPUTED_VALUE"""),"")</f>
        <v/>
      </c>
      <c r="H412" s="36" t="str">
        <f ca="1">IFERROR(__xludf.DUMMYFUNCTION("""COMPUTED_VALUE"""),"")</f>
        <v/>
      </c>
      <c r="I412" s="36" t="str">
        <f ca="1">IFERROR(__xludf.DUMMYFUNCTION("""COMPUTED_VALUE"""),"")</f>
        <v/>
      </c>
      <c r="J412" s="36" t="str">
        <f ca="1">IFERROR(__xludf.DUMMYFUNCTION("""COMPUTED_VALUE"""),"")</f>
        <v/>
      </c>
      <c r="K412" s="36" t="str">
        <f ca="1">IFERROR(__xludf.DUMMYFUNCTION("""COMPUTED_VALUE"""),"")</f>
        <v/>
      </c>
      <c r="L412" s="36" t="str">
        <f ca="1">IFERROR(__xludf.DUMMYFUNCTION("""COMPUTED_VALUE"""),"")</f>
        <v/>
      </c>
      <c r="M412" s="36" t="str">
        <f ca="1">IFERROR(__xludf.DUMMYFUNCTION("""COMPUTED_VALUE"""),"")</f>
        <v/>
      </c>
      <c r="N412" s="36" t="str">
        <f ca="1">IFERROR(__xludf.DUMMYFUNCTION("""COMPUTED_VALUE"""),"")</f>
        <v/>
      </c>
      <c r="O412" s="36" t="str">
        <f ca="1">IFERROR(__xludf.DUMMYFUNCTION("""COMPUTED_VALUE"""),"")</f>
        <v/>
      </c>
      <c r="P412" s="36" t="str">
        <f ca="1">IFERROR(__xludf.DUMMYFUNCTION("""COMPUTED_VALUE"""),"")</f>
        <v/>
      </c>
      <c r="Q412" s="36" t="str">
        <f ca="1">IFERROR(__xludf.DUMMYFUNCTION("""COMPUTED_VALUE"""),"")</f>
        <v/>
      </c>
      <c r="R412" s="36" t="str">
        <f ca="1">IFERROR(__xludf.DUMMYFUNCTION("""COMPUTED_VALUE"""),"")</f>
        <v/>
      </c>
      <c r="S412" s="36" t="str">
        <f ca="1">IFERROR(__xludf.DUMMYFUNCTION("""COMPUTED_VALUE"""),"")</f>
        <v/>
      </c>
      <c r="T412" s="36" t="str">
        <f ca="1">IFERROR(__xludf.DUMMYFUNCTION("""COMPUTED_VALUE"""),"")</f>
        <v/>
      </c>
      <c r="U412" s="36" t="str">
        <f ca="1">IFERROR(__xludf.DUMMYFUNCTION("""COMPUTED_VALUE"""),"")</f>
        <v/>
      </c>
      <c r="V412" s="36" t="str">
        <f ca="1">IFERROR(__xludf.DUMMYFUNCTION("""COMPUTED_VALUE"""),"")</f>
        <v/>
      </c>
      <c r="W412" s="36" t="str">
        <f ca="1">IFERROR(__xludf.DUMMYFUNCTION("""COMPUTED_VALUE"""),"")</f>
        <v/>
      </c>
      <c r="X412" s="36"/>
      <c r="Y412" s="36"/>
      <c r="Z412" s="36"/>
    </row>
    <row r="413" spans="1:26" ht="12.75" hidden="1">
      <c r="A413" s="36" t="str">
        <f ca="1">IFERROR(__xludf.DUMMYFUNCTION("""COMPUTED_VALUE"""),"")</f>
        <v/>
      </c>
      <c r="B413" s="36" t="str">
        <f ca="1">IFERROR(__xludf.DUMMYFUNCTION("""COMPUTED_VALUE"""),"")</f>
        <v/>
      </c>
      <c r="C413" s="36" t="str">
        <f ca="1">IFERROR(__xludf.DUMMYFUNCTION("""COMPUTED_VALUE"""),"")</f>
        <v/>
      </c>
      <c r="D413" s="36" t="str">
        <f ca="1">IFERROR(__xludf.DUMMYFUNCTION("""COMPUTED_VALUE"""),"")</f>
        <v/>
      </c>
      <c r="E413" s="36" t="str">
        <f ca="1">IFERROR(__xludf.DUMMYFUNCTION("""COMPUTED_VALUE"""),"")</f>
        <v/>
      </c>
      <c r="F413" s="36" t="str">
        <f ca="1">IFERROR(__xludf.DUMMYFUNCTION("""COMPUTED_VALUE"""),"")</f>
        <v/>
      </c>
      <c r="G413" s="36" t="str">
        <f ca="1">IFERROR(__xludf.DUMMYFUNCTION("""COMPUTED_VALUE"""),"")</f>
        <v/>
      </c>
      <c r="H413" s="36" t="str">
        <f ca="1">IFERROR(__xludf.DUMMYFUNCTION("""COMPUTED_VALUE"""),"")</f>
        <v/>
      </c>
      <c r="I413" s="36" t="str">
        <f ca="1">IFERROR(__xludf.DUMMYFUNCTION("""COMPUTED_VALUE"""),"")</f>
        <v/>
      </c>
      <c r="J413" s="36" t="str">
        <f ca="1">IFERROR(__xludf.DUMMYFUNCTION("""COMPUTED_VALUE"""),"")</f>
        <v/>
      </c>
      <c r="K413" s="36" t="str">
        <f ca="1">IFERROR(__xludf.DUMMYFUNCTION("""COMPUTED_VALUE"""),"")</f>
        <v/>
      </c>
      <c r="L413" s="36" t="str">
        <f ca="1">IFERROR(__xludf.DUMMYFUNCTION("""COMPUTED_VALUE"""),"")</f>
        <v/>
      </c>
      <c r="M413" s="36" t="str">
        <f ca="1">IFERROR(__xludf.DUMMYFUNCTION("""COMPUTED_VALUE"""),"")</f>
        <v/>
      </c>
      <c r="N413" s="36" t="str">
        <f ca="1">IFERROR(__xludf.DUMMYFUNCTION("""COMPUTED_VALUE"""),"")</f>
        <v/>
      </c>
      <c r="O413" s="36" t="str">
        <f ca="1">IFERROR(__xludf.DUMMYFUNCTION("""COMPUTED_VALUE"""),"")</f>
        <v/>
      </c>
      <c r="P413" s="36" t="str">
        <f ca="1">IFERROR(__xludf.DUMMYFUNCTION("""COMPUTED_VALUE"""),"")</f>
        <v/>
      </c>
      <c r="Q413" s="36" t="str">
        <f ca="1">IFERROR(__xludf.DUMMYFUNCTION("""COMPUTED_VALUE"""),"")</f>
        <v/>
      </c>
      <c r="R413" s="36" t="str">
        <f ca="1">IFERROR(__xludf.DUMMYFUNCTION("""COMPUTED_VALUE"""),"")</f>
        <v/>
      </c>
      <c r="S413" s="36" t="str">
        <f ca="1">IFERROR(__xludf.DUMMYFUNCTION("""COMPUTED_VALUE"""),"")</f>
        <v/>
      </c>
      <c r="T413" s="36" t="str">
        <f ca="1">IFERROR(__xludf.DUMMYFUNCTION("""COMPUTED_VALUE"""),"")</f>
        <v/>
      </c>
      <c r="U413" s="36" t="str">
        <f ca="1">IFERROR(__xludf.DUMMYFUNCTION("""COMPUTED_VALUE"""),"")</f>
        <v/>
      </c>
      <c r="V413" s="36" t="str">
        <f ca="1">IFERROR(__xludf.DUMMYFUNCTION("""COMPUTED_VALUE"""),"")</f>
        <v/>
      </c>
      <c r="W413" s="36" t="str">
        <f ca="1">IFERROR(__xludf.DUMMYFUNCTION("""COMPUTED_VALUE"""),"")</f>
        <v/>
      </c>
      <c r="X413" s="36"/>
      <c r="Y413" s="36"/>
      <c r="Z413" s="36"/>
    </row>
    <row r="414" spans="1:26" ht="12.75" hidden="1">
      <c r="A414" s="36" t="str">
        <f ca="1">IFERROR(__xludf.DUMMYFUNCTION("""COMPUTED_VALUE"""),"")</f>
        <v/>
      </c>
      <c r="B414" s="36" t="str">
        <f ca="1">IFERROR(__xludf.DUMMYFUNCTION("""COMPUTED_VALUE"""),"")</f>
        <v/>
      </c>
      <c r="C414" s="36" t="str">
        <f ca="1">IFERROR(__xludf.DUMMYFUNCTION("""COMPUTED_VALUE"""),"")</f>
        <v/>
      </c>
      <c r="D414" s="36" t="str">
        <f ca="1">IFERROR(__xludf.DUMMYFUNCTION("""COMPUTED_VALUE"""),"")</f>
        <v/>
      </c>
      <c r="E414" s="36" t="str">
        <f ca="1">IFERROR(__xludf.DUMMYFUNCTION("""COMPUTED_VALUE"""),"")</f>
        <v/>
      </c>
      <c r="F414" s="36" t="str">
        <f ca="1">IFERROR(__xludf.DUMMYFUNCTION("""COMPUTED_VALUE"""),"")</f>
        <v/>
      </c>
      <c r="G414" s="36" t="str">
        <f ca="1">IFERROR(__xludf.DUMMYFUNCTION("""COMPUTED_VALUE"""),"")</f>
        <v/>
      </c>
      <c r="H414" s="36" t="str">
        <f ca="1">IFERROR(__xludf.DUMMYFUNCTION("""COMPUTED_VALUE"""),"")</f>
        <v/>
      </c>
      <c r="I414" s="36" t="str">
        <f ca="1">IFERROR(__xludf.DUMMYFUNCTION("""COMPUTED_VALUE"""),"")</f>
        <v/>
      </c>
      <c r="J414" s="36" t="str">
        <f ca="1">IFERROR(__xludf.DUMMYFUNCTION("""COMPUTED_VALUE"""),"")</f>
        <v/>
      </c>
      <c r="K414" s="36" t="str">
        <f ca="1">IFERROR(__xludf.DUMMYFUNCTION("""COMPUTED_VALUE"""),"")</f>
        <v/>
      </c>
      <c r="L414" s="36" t="str">
        <f ca="1">IFERROR(__xludf.DUMMYFUNCTION("""COMPUTED_VALUE"""),"")</f>
        <v/>
      </c>
      <c r="M414" s="36" t="str">
        <f ca="1">IFERROR(__xludf.DUMMYFUNCTION("""COMPUTED_VALUE"""),"")</f>
        <v/>
      </c>
      <c r="N414" s="36" t="str">
        <f ca="1">IFERROR(__xludf.DUMMYFUNCTION("""COMPUTED_VALUE"""),"")</f>
        <v/>
      </c>
      <c r="O414" s="36" t="str">
        <f ca="1">IFERROR(__xludf.DUMMYFUNCTION("""COMPUTED_VALUE"""),"")</f>
        <v/>
      </c>
      <c r="P414" s="36" t="str">
        <f ca="1">IFERROR(__xludf.DUMMYFUNCTION("""COMPUTED_VALUE"""),"")</f>
        <v/>
      </c>
      <c r="Q414" s="36" t="str">
        <f ca="1">IFERROR(__xludf.DUMMYFUNCTION("""COMPUTED_VALUE"""),"")</f>
        <v/>
      </c>
      <c r="R414" s="36" t="str">
        <f ca="1">IFERROR(__xludf.DUMMYFUNCTION("""COMPUTED_VALUE"""),"")</f>
        <v/>
      </c>
      <c r="S414" s="36" t="str">
        <f ca="1">IFERROR(__xludf.DUMMYFUNCTION("""COMPUTED_VALUE"""),"")</f>
        <v/>
      </c>
      <c r="T414" s="36" t="str">
        <f ca="1">IFERROR(__xludf.DUMMYFUNCTION("""COMPUTED_VALUE"""),"")</f>
        <v/>
      </c>
      <c r="U414" s="36" t="str">
        <f ca="1">IFERROR(__xludf.DUMMYFUNCTION("""COMPUTED_VALUE"""),"")</f>
        <v/>
      </c>
      <c r="V414" s="36" t="str">
        <f ca="1">IFERROR(__xludf.DUMMYFUNCTION("""COMPUTED_VALUE"""),"")</f>
        <v/>
      </c>
      <c r="W414" s="36" t="str">
        <f ca="1">IFERROR(__xludf.DUMMYFUNCTION("""COMPUTED_VALUE"""),"")</f>
        <v/>
      </c>
      <c r="X414" s="36"/>
      <c r="Y414" s="36"/>
      <c r="Z414" s="36"/>
    </row>
    <row r="415" spans="1:26" ht="12.75" hidden="1">
      <c r="A415" s="36" t="str">
        <f ca="1">IFERROR(__xludf.DUMMYFUNCTION("""COMPUTED_VALUE"""),"")</f>
        <v/>
      </c>
      <c r="B415" s="36" t="str">
        <f ca="1">IFERROR(__xludf.DUMMYFUNCTION("""COMPUTED_VALUE"""),"")</f>
        <v/>
      </c>
      <c r="C415" s="36" t="str">
        <f ca="1">IFERROR(__xludf.DUMMYFUNCTION("""COMPUTED_VALUE"""),"")</f>
        <v/>
      </c>
      <c r="D415" s="36" t="str">
        <f ca="1">IFERROR(__xludf.DUMMYFUNCTION("""COMPUTED_VALUE"""),"")</f>
        <v/>
      </c>
      <c r="E415" s="36" t="str">
        <f ca="1">IFERROR(__xludf.DUMMYFUNCTION("""COMPUTED_VALUE"""),"")</f>
        <v/>
      </c>
      <c r="F415" s="36" t="str">
        <f ca="1">IFERROR(__xludf.DUMMYFUNCTION("""COMPUTED_VALUE"""),"")</f>
        <v/>
      </c>
      <c r="G415" s="36" t="str">
        <f ca="1">IFERROR(__xludf.DUMMYFUNCTION("""COMPUTED_VALUE"""),"")</f>
        <v/>
      </c>
      <c r="H415" s="36" t="str">
        <f ca="1">IFERROR(__xludf.DUMMYFUNCTION("""COMPUTED_VALUE"""),"")</f>
        <v/>
      </c>
      <c r="I415" s="36" t="str">
        <f ca="1">IFERROR(__xludf.DUMMYFUNCTION("""COMPUTED_VALUE"""),"")</f>
        <v/>
      </c>
      <c r="J415" s="36" t="str">
        <f ca="1">IFERROR(__xludf.DUMMYFUNCTION("""COMPUTED_VALUE"""),"")</f>
        <v/>
      </c>
      <c r="K415" s="36" t="str">
        <f ca="1">IFERROR(__xludf.DUMMYFUNCTION("""COMPUTED_VALUE"""),"")</f>
        <v/>
      </c>
      <c r="L415" s="36" t="str">
        <f ca="1">IFERROR(__xludf.DUMMYFUNCTION("""COMPUTED_VALUE"""),"")</f>
        <v/>
      </c>
      <c r="M415" s="36" t="str">
        <f ca="1">IFERROR(__xludf.DUMMYFUNCTION("""COMPUTED_VALUE"""),"")</f>
        <v/>
      </c>
      <c r="N415" s="36" t="str">
        <f ca="1">IFERROR(__xludf.DUMMYFUNCTION("""COMPUTED_VALUE"""),"")</f>
        <v/>
      </c>
      <c r="O415" s="36" t="str">
        <f ca="1">IFERROR(__xludf.DUMMYFUNCTION("""COMPUTED_VALUE"""),"")</f>
        <v/>
      </c>
      <c r="P415" s="36" t="str">
        <f ca="1">IFERROR(__xludf.DUMMYFUNCTION("""COMPUTED_VALUE"""),"")</f>
        <v/>
      </c>
      <c r="Q415" s="36" t="str">
        <f ca="1">IFERROR(__xludf.DUMMYFUNCTION("""COMPUTED_VALUE"""),"")</f>
        <v/>
      </c>
      <c r="R415" s="36" t="str">
        <f ca="1">IFERROR(__xludf.DUMMYFUNCTION("""COMPUTED_VALUE"""),"")</f>
        <v/>
      </c>
      <c r="S415" s="36" t="str">
        <f ca="1">IFERROR(__xludf.DUMMYFUNCTION("""COMPUTED_VALUE"""),"")</f>
        <v/>
      </c>
      <c r="T415" s="36" t="str">
        <f ca="1">IFERROR(__xludf.DUMMYFUNCTION("""COMPUTED_VALUE"""),"")</f>
        <v/>
      </c>
      <c r="U415" s="36" t="str">
        <f ca="1">IFERROR(__xludf.DUMMYFUNCTION("""COMPUTED_VALUE"""),"")</f>
        <v/>
      </c>
      <c r="V415" s="36" t="str">
        <f ca="1">IFERROR(__xludf.DUMMYFUNCTION("""COMPUTED_VALUE"""),"")</f>
        <v/>
      </c>
      <c r="W415" s="36" t="str">
        <f ca="1">IFERROR(__xludf.DUMMYFUNCTION("""COMPUTED_VALUE"""),"")</f>
        <v/>
      </c>
      <c r="X415" s="36"/>
      <c r="Y415" s="36"/>
      <c r="Z415" s="36"/>
    </row>
    <row r="416" spans="1:26" ht="12.75" hidden="1">
      <c r="A416" s="36" t="str">
        <f ca="1">IFERROR(__xludf.DUMMYFUNCTION("""COMPUTED_VALUE"""),"")</f>
        <v/>
      </c>
      <c r="B416" s="36" t="str">
        <f ca="1">IFERROR(__xludf.DUMMYFUNCTION("""COMPUTED_VALUE"""),"")</f>
        <v/>
      </c>
      <c r="C416" s="36" t="str">
        <f ca="1">IFERROR(__xludf.DUMMYFUNCTION("""COMPUTED_VALUE"""),"")</f>
        <v/>
      </c>
      <c r="D416" s="36" t="str">
        <f ca="1">IFERROR(__xludf.DUMMYFUNCTION("""COMPUTED_VALUE"""),"")</f>
        <v/>
      </c>
      <c r="E416" s="36" t="str">
        <f ca="1">IFERROR(__xludf.DUMMYFUNCTION("""COMPUTED_VALUE"""),"")</f>
        <v/>
      </c>
      <c r="F416" s="36" t="str">
        <f ca="1">IFERROR(__xludf.DUMMYFUNCTION("""COMPUTED_VALUE"""),"")</f>
        <v/>
      </c>
      <c r="G416" s="36" t="str">
        <f ca="1">IFERROR(__xludf.DUMMYFUNCTION("""COMPUTED_VALUE"""),"")</f>
        <v/>
      </c>
      <c r="H416" s="36" t="str">
        <f ca="1">IFERROR(__xludf.DUMMYFUNCTION("""COMPUTED_VALUE"""),"")</f>
        <v/>
      </c>
      <c r="I416" s="36" t="str">
        <f ca="1">IFERROR(__xludf.DUMMYFUNCTION("""COMPUTED_VALUE"""),"")</f>
        <v/>
      </c>
      <c r="J416" s="36" t="str">
        <f ca="1">IFERROR(__xludf.DUMMYFUNCTION("""COMPUTED_VALUE"""),"")</f>
        <v/>
      </c>
      <c r="K416" s="36" t="str">
        <f ca="1">IFERROR(__xludf.DUMMYFUNCTION("""COMPUTED_VALUE"""),"")</f>
        <v/>
      </c>
      <c r="L416" s="36" t="str">
        <f ca="1">IFERROR(__xludf.DUMMYFUNCTION("""COMPUTED_VALUE"""),"")</f>
        <v/>
      </c>
      <c r="M416" s="36" t="str">
        <f ca="1">IFERROR(__xludf.DUMMYFUNCTION("""COMPUTED_VALUE"""),"")</f>
        <v/>
      </c>
      <c r="N416" s="36" t="str">
        <f ca="1">IFERROR(__xludf.DUMMYFUNCTION("""COMPUTED_VALUE"""),"")</f>
        <v/>
      </c>
      <c r="O416" s="36" t="str">
        <f ca="1">IFERROR(__xludf.DUMMYFUNCTION("""COMPUTED_VALUE"""),"")</f>
        <v/>
      </c>
      <c r="P416" s="36" t="str">
        <f ca="1">IFERROR(__xludf.DUMMYFUNCTION("""COMPUTED_VALUE"""),"")</f>
        <v/>
      </c>
      <c r="Q416" s="36" t="str">
        <f ca="1">IFERROR(__xludf.DUMMYFUNCTION("""COMPUTED_VALUE"""),"")</f>
        <v/>
      </c>
      <c r="R416" s="36" t="str">
        <f ca="1">IFERROR(__xludf.DUMMYFUNCTION("""COMPUTED_VALUE"""),"")</f>
        <v/>
      </c>
      <c r="S416" s="36" t="str">
        <f ca="1">IFERROR(__xludf.DUMMYFUNCTION("""COMPUTED_VALUE"""),"")</f>
        <v/>
      </c>
      <c r="T416" s="36" t="str">
        <f ca="1">IFERROR(__xludf.DUMMYFUNCTION("""COMPUTED_VALUE"""),"")</f>
        <v/>
      </c>
      <c r="U416" s="36" t="str">
        <f ca="1">IFERROR(__xludf.DUMMYFUNCTION("""COMPUTED_VALUE"""),"")</f>
        <v/>
      </c>
      <c r="V416" s="36" t="str">
        <f ca="1">IFERROR(__xludf.DUMMYFUNCTION("""COMPUTED_VALUE"""),"")</f>
        <v/>
      </c>
      <c r="W416" s="36" t="str">
        <f ca="1">IFERROR(__xludf.DUMMYFUNCTION("""COMPUTED_VALUE"""),"")</f>
        <v/>
      </c>
      <c r="X416" s="36"/>
      <c r="Y416" s="36"/>
      <c r="Z416" s="36"/>
    </row>
    <row r="417" spans="1:26" ht="12.75" hidden="1">
      <c r="A417" s="36" t="str">
        <f ca="1">IFERROR(__xludf.DUMMYFUNCTION("""COMPUTED_VALUE"""),"")</f>
        <v/>
      </c>
      <c r="B417" s="36" t="str">
        <f ca="1">IFERROR(__xludf.DUMMYFUNCTION("""COMPUTED_VALUE"""),"")</f>
        <v/>
      </c>
      <c r="C417" s="36" t="str">
        <f ca="1">IFERROR(__xludf.DUMMYFUNCTION("""COMPUTED_VALUE"""),"")</f>
        <v/>
      </c>
      <c r="D417" s="36" t="str">
        <f ca="1">IFERROR(__xludf.DUMMYFUNCTION("""COMPUTED_VALUE"""),"")</f>
        <v/>
      </c>
      <c r="E417" s="36" t="str">
        <f ca="1">IFERROR(__xludf.DUMMYFUNCTION("""COMPUTED_VALUE"""),"")</f>
        <v/>
      </c>
      <c r="F417" s="36" t="str">
        <f ca="1">IFERROR(__xludf.DUMMYFUNCTION("""COMPUTED_VALUE"""),"")</f>
        <v/>
      </c>
      <c r="G417" s="36" t="str">
        <f ca="1">IFERROR(__xludf.DUMMYFUNCTION("""COMPUTED_VALUE"""),"")</f>
        <v/>
      </c>
      <c r="H417" s="36" t="str">
        <f ca="1">IFERROR(__xludf.DUMMYFUNCTION("""COMPUTED_VALUE"""),"")</f>
        <v/>
      </c>
      <c r="I417" s="36" t="str">
        <f ca="1">IFERROR(__xludf.DUMMYFUNCTION("""COMPUTED_VALUE"""),"")</f>
        <v/>
      </c>
      <c r="J417" s="36" t="str">
        <f ca="1">IFERROR(__xludf.DUMMYFUNCTION("""COMPUTED_VALUE"""),"")</f>
        <v/>
      </c>
      <c r="K417" s="36" t="str">
        <f ca="1">IFERROR(__xludf.DUMMYFUNCTION("""COMPUTED_VALUE"""),"")</f>
        <v/>
      </c>
      <c r="L417" s="36" t="str">
        <f ca="1">IFERROR(__xludf.DUMMYFUNCTION("""COMPUTED_VALUE"""),"")</f>
        <v/>
      </c>
      <c r="M417" s="36" t="str">
        <f ca="1">IFERROR(__xludf.DUMMYFUNCTION("""COMPUTED_VALUE"""),"")</f>
        <v/>
      </c>
      <c r="N417" s="36" t="str">
        <f ca="1">IFERROR(__xludf.DUMMYFUNCTION("""COMPUTED_VALUE"""),"")</f>
        <v/>
      </c>
      <c r="O417" s="36" t="str">
        <f ca="1">IFERROR(__xludf.DUMMYFUNCTION("""COMPUTED_VALUE"""),"")</f>
        <v/>
      </c>
      <c r="P417" s="36" t="str">
        <f ca="1">IFERROR(__xludf.DUMMYFUNCTION("""COMPUTED_VALUE"""),"")</f>
        <v/>
      </c>
      <c r="Q417" s="36" t="str">
        <f ca="1">IFERROR(__xludf.DUMMYFUNCTION("""COMPUTED_VALUE"""),"")</f>
        <v/>
      </c>
      <c r="R417" s="36" t="str">
        <f ca="1">IFERROR(__xludf.DUMMYFUNCTION("""COMPUTED_VALUE"""),"")</f>
        <v/>
      </c>
      <c r="S417" s="36" t="str">
        <f ca="1">IFERROR(__xludf.DUMMYFUNCTION("""COMPUTED_VALUE"""),"")</f>
        <v/>
      </c>
      <c r="T417" s="36" t="str">
        <f ca="1">IFERROR(__xludf.DUMMYFUNCTION("""COMPUTED_VALUE"""),"")</f>
        <v/>
      </c>
      <c r="U417" s="36" t="str">
        <f ca="1">IFERROR(__xludf.DUMMYFUNCTION("""COMPUTED_VALUE"""),"")</f>
        <v/>
      </c>
      <c r="V417" s="36" t="str">
        <f ca="1">IFERROR(__xludf.DUMMYFUNCTION("""COMPUTED_VALUE"""),"")</f>
        <v/>
      </c>
      <c r="W417" s="36" t="str">
        <f ca="1">IFERROR(__xludf.DUMMYFUNCTION("""COMPUTED_VALUE"""),"")</f>
        <v/>
      </c>
      <c r="X417" s="36"/>
      <c r="Y417" s="36"/>
      <c r="Z417" s="36"/>
    </row>
    <row r="418" spans="1:26" ht="12.75" hidden="1">
      <c r="A418" s="36" t="str">
        <f ca="1">IFERROR(__xludf.DUMMYFUNCTION("""COMPUTED_VALUE"""),"")</f>
        <v/>
      </c>
      <c r="B418" s="36" t="str">
        <f ca="1">IFERROR(__xludf.DUMMYFUNCTION("""COMPUTED_VALUE"""),"")</f>
        <v/>
      </c>
      <c r="C418" s="36" t="str">
        <f ca="1">IFERROR(__xludf.DUMMYFUNCTION("""COMPUTED_VALUE"""),"")</f>
        <v/>
      </c>
      <c r="D418" s="36" t="str">
        <f ca="1">IFERROR(__xludf.DUMMYFUNCTION("""COMPUTED_VALUE"""),"")</f>
        <v/>
      </c>
      <c r="E418" s="36" t="str">
        <f ca="1">IFERROR(__xludf.DUMMYFUNCTION("""COMPUTED_VALUE"""),"")</f>
        <v/>
      </c>
      <c r="F418" s="36" t="str">
        <f ca="1">IFERROR(__xludf.DUMMYFUNCTION("""COMPUTED_VALUE"""),"")</f>
        <v/>
      </c>
      <c r="G418" s="36" t="str">
        <f ca="1">IFERROR(__xludf.DUMMYFUNCTION("""COMPUTED_VALUE"""),"")</f>
        <v/>
      </c>
      <c r="H418" s="36" t="str">
        <f ca="1">IFERROR(__xludf.DUMMYFUNCTION("""COMPUTED_VALUE"""),"")</f>
        <v/>
      </c>
      <c r="I418" s="36" t="str">
        <f ca="1">IFERROR(__xludf.DUMMYFUNCTION("""COMPUTED_VALUE"""),"")</f>
        <v/>
      </c>
      <c r="J418" s="36" t="str">
        <f ca="1">IFERROR(__xludf.DUMMYFUNCTION("""COMPUTED_VALUE"""),"")</f>
        <v/>
      </c>
      <c r="K418" s="36" t="str">
        <f ca="1">IFERROR(__xludf.DUMMYFUNCTION("""COMPUTED_VALUE"""),"")</f>
        <v/>
      </c>
      <c r="L418" s="36" t="str">
        <f ca="1">IFERROR(__xludf.DUMMYFUNCTION("""COMPUTED_VALUE"""),"")</f>
        <v/>
      </c>
      <c r="M418" s="36" t="str">
        <f ca="1">IFERROR(__xludf.DUMMYFUNCTION("""COMPUTED_VALUE"""),"")</f>
        <v/>
      </c>
      <c r="N418" s="36" t="str">
        <f ca="1">IFERROR(__xludf.DUMMYFUNCTION("""COMPUTED_VALUE"""),"")</f>
        <v/>
      </c>
      <c r="O418" s="36" t="str">
        <f ca="1">IFERROR(__xludf.DUMMYFUNCTION("""COMPUTED_VALUE"""),"")</f>
        <v/>
      </c>
      <c r="P418" s="36" t="str">
        <f ca="1">IFERROR(__xludf.DUMMYFUNCTION("""COMPUTED_VALUE"""),"")</f>
        <v/>
      </c>
      <c r="Q418" s="36" t="str">
        <f ca="1">IFERROR(__xludf.DUMMYFUNCTION("""COMPUTED_VALUE"""),"")</f>
        <v/>
      </c>
      <c r="R418" s="36" t="str">
        <f ca="1">IFERROR(__xludf.DUMMYFUNCTION("""COMPUTED_VALUE"""),"")</f>
        <v/>
      </c>
      <c r="S418" s="36" t="str">
        <f ca="1">IFERROR(__xludf.DUMMYFUNCTION("""COMPUTED_VALUE"""),"")</f>
        <v/>
      </c>
      <c r="T418" s="36" t="str">
        <f ca="1">IFERROR(__xludf.DUMMYFUNCTION("""COMPUTED_VALUE"""),"")</f>
        <v/>
      </c>
      <c r="U418" s="36" t="str">
        <f ca="1">IFERROR(__xludf.DUMMYFUNCTION("""COMPUTED_VALUE"""),"")</f>
        <v/>
      </c>
      <c r="V418" s="36" t="str">
        <f ca="1">IFERROR(__xludf.DUMMYFUNCTION("""COMPUTED_VALUE"""),"")</f>
        <v/>
      </c>
      <c r="W418" s="36" t="str">
        <f ca="1">IFERROR(__xludf.DUMMYFUNCTION("""COMPUTED_VALUE"""),"")</f>
        <v/>
      </c>
      <c r="X418" s="36"/>
      <c r="Y418" s="36"/>
      <c r="Z418" s="36"/>
    </row>
    <row r="419" spans="1:26" ht="12.75" hidden="1">
      <c r="A419" s="36" t="str">
        <f ca="1">IFERROR(__xludf.DUMMYFUNCTION("""COMPUTED_VALUE"""),"")</f>
        <v/>
      </c>
      <c r="B419" s="36" t="str">
        <f ca="1">IFERROR(__xludf.DUMMYFUNCTION("""COMPUTED_VALUE"""),"")</f>
        <v/>
      </c>
      <c r="C419" s="36" t="str">
        <f ca="1">IFERROR(__xludf.DUMMYFUNCTION("""COMPUTED_VALUE"""),"")</f>
        <v/>
      </c>
      <c r="D419" s="36" t="str">
        <f ca="1">IFERROR(__xludf.DUMMYFUNCTION("""COMPUTED_VALUE"""),"")</f>
        <v/>
      </c>
      <c r="E419" s="36" t="str">
        <f ca="1">IFERROR(__xludf.DUMMYFUNCTION("""COMPUTED_VALUE"""),"")</f>
        <v/>
      </c>
      <c r="F419" s="36" t="str">
        <f ca="1">IFERROR(__xludf.DUMMYFUNCTION("""COMPUTED_VALUE"""),"")</f>
        <v/>
      </c>
      <c r="G419" s="36" t="str">
        <f ca="1">IFERROR(__xludf.DUMMYFUNCTION("""COMPUTED_VALUE"""),"")</f>
        <v/>
      </c>
      <c r="H419" s="36" t="str">
        <f ca="1">IFERROR(__xludf.DUMMYFUNCTION("""COMPUTED_VALUE"""),"")</f>
        <v/>
      </c>
      <c r="I419" s="36" t="str">
        <f ca="1">IFERROR(__xludf.DUMMYFUNCTION("""COMPUTED_VALUE"""),"")</f>
        <v/>
      </c>
      <c r="J419" s="36" t="str">
        <f ca="1">IFERROR(__xludf.DUMMYFUNCTION("""COMPUTED_VALUE"""),"")</f>
        <v/>
      </c>
      <c r="K419" s="36" t="str">
        <f ca="1">IFERROR(__xludf.DUMMYFUNCTION("""COMPUTED_VALUE"""),"")</f>
        <v/>
      </c>
      <c r="L419" s="36" t="str">
        <f ca="1">IFERROR(__xludf.DUMMYFUNCTION("""COMPUTED_VALUE"""),"")</f>
        <v/>
      </c>
      <c r="M419" s="36" t="str">
        <f ca="1">IFERROR(__xludf.DUMMYFUNCTION("""COMPUTED_VALUE"""),"")</f>
        <v/>
      </c>
      <c r="N419" s="36" t="str">
        <f ca="1">IFERROR(__xludf.DUMMYFUNCTION("""COMPUTED_VALUE"""),"")</f>
        <v/>
      </c>
      <c r="O419" s="36" t="str">
        <f ca="1">IFERROR(__xludf.DUMMYFUNCTION("""COMPUTED_VALUE"""),"")</f>
        <v/>
      </c>
      <c r="P419" s="36" t="str">
        <f ca="1">IFERROR(__xludf.DUMMYFUNCTION("""COMPUTED_VALUE"""),"")</f>
        <v/>
      </c>
      <c r="Q419" s="36" t="str">
        <f ca="1">IFERROR(__xludf.DUMMYFUNCTION("""COMPUTED_VALUE"""),"")</f>
        <v/>
      </c>
      <c r="R419" s="36" t="str">
        <f ca="1">IFERROR(__xludf.DUMMYFUNCTION("""COMPUTED_VALUE"""),"")</f>
        <v/>
      </c>
      <c r="S419" s="36" t="str">
        <f ca="1">IFERROR(__xludf.DUMMYFUNCTION("""COMPUTED_VALUE"""),"")</f>
        <v/>
      </c>
      <c r="T419" s="36" t="str">
        <f ca="1">IFERROR(__xludf.DUMMYFUNCTION("""COMPUTED_VALUE"""),"")</f>
        <v/>
      </c>
      <c r="U419" s="36" t="str">
        <f ca="1">IFERROR(__xludf.DUMMYFUNCTION("""COMPUTED_VALUE"""),"")</f>
        <v/>
      </c>
      <c r="V419" s="36" t="str">
        <f ca="1">IFERROR(__xludf.DUMMYFUNCTION("""COMPUTED_VALUE"""),"")</f>
        <v/>
      </c>
      <c r="W419" s="36" t="str">
        <f ca="1">IFERROR(__xludf.DUMMYFUNCTION("""COMPUTED_VALUE"""),"")</f>
        <v/>
      </c>
      <c r="X419" s="36"/>
      <c r="Y419" s="36"/>
      <c r="Z419" s="36"/>
    </row>
    <row r="420" spans="1:26" ht="12.75" hidden="1">
      <c r="A420" s="36" t="str">
        <f ca="1">IFERROR(__xludf.DUMMYFUNCTION("""COMPUTED_VALUE"""),"")</f>
        <v/>
      </c>
      <c r="B420" s="36" t="str">
        <f ca="1">IFERROR(__xludf.DUMMYFUNCTION("""COMPUTED_VALUE"""),"")</f>
        <v/>
      </c>
      <c r="C420" s="36" t="str">
        <f ca="1">IFERROR(__xludf.DUMMYFUNCTION("""COMPUTED_VALUE"""),"")</f>
        <v/>
      </c>
      <c r="D420" s="36" t="str">
        <f ca="1">IFERROR(__xludf.DUMMYFUNCTION("""COMPUTED_VALUE"""),"")</f>
        <v/>
      </c>
      <c r="E420" s="36" t="str">
        <f ca="1">IFERROR(__xludf.DUMMYFUNCTION("""COMPUTED_VALUE"""),"")</f>
        <v/>
      </c>
      <c r="F420" s="36" t="str">
        <f ca="1">IFERROR(__xludf.DUMMYFUNCTION("""COMPUTED_VALUE"""),"")</f>
        <v/>
      </c>
      <c r="G420" s="36" t="str">
        <f ca="1">IFERROR(__xludf.DUMMYFUNCTION("""COMPUTED_VALUE"""),"")</f>
        <v/>
      </c>
      <c r="H420" s="36" t="str">
        <f ca="1">IFERROR(__xludf.DUMMYFUNCTION("""COMPUTED_VALUE"""),"")</f>
        <v/>
      </c>
      <c r="I420" s="36" t="str">
        <f ca="1">IFERROR(__xludf.DUMMYFUNCTION("""COMPUTED_VALUE"""),"")</f>
        <v/>
      </c>
      <c r="J420" s="36" t="str">
        <f ca="1">IFERROR(__xludf.DUMMYFUNCTION("""COMPUTED_VALUE"""),"")</f>
        <v/>
      </c>
      <c r="K420" s="36" t="str">
        <f ca="1">IFERROR(__xludf.DUMMYFUNCTION("""COMPUTED_VALUE"""),"")</f>
        <v/>
      </c>
      <c r="L420" s="36" t="str">
        <f ca="1">IFERROR(__xludf.DUMMYFUNCTION("""COMPUTED_VALUE"""),"")</f>
        <v/>
      </c>
      <c r="M420" s="36" t="str">
        <f ca="1">IFERROR(__xludf.DUMMYFUNCTION("""COMPUTED_VALUE"""),"")</f>
        <v/>
      </c>
      <c r="N420" s="36" t="str">
        <f ca="1">IFERROR(__xludf.DUMMYFUNCTION("""COMPUTED_VALUE"""),"")</f>
        <v/>
      </c>
      <c r="O420" s="36" t="str">
        <f ca="1">IFERROR(__xludf.DUMMYFUNCTION("""COMPUTED_VALUE"""),"")</f>
        <v/>
      </c>
      <c r="P420" s="36" t="str">
        <f ca="1">IFERROR(__xludf.DUMMYFUNCTION("""COMPUTED_VALUE"""),"")</f>
        <v/>
      </c>
      <c r="Q420" s="36" t="str">
        <f ca="1">IFERROR(__xludf.DUMMYFUNCTION("""COMPUTED_VALUE"""),"")</f>
        <v/>
      </c>
      <c r="R420" s="36" t="str">
        <f ca="1">IFERROR(__xludf.DUMMYFUNCTION("""COMPUTED_VALUE"""),"")</f>
        <v/>
      </c>
      <c r="S420" s="36" t="str">
        <f ca="1">IFERROR(__xludf.DUMMYFUNCTION("""COMPUTED_VALUE"""),"")</f>
        <v/>
      </c>
      <c r="T420" s="36" t="str">
        <f ca="1">IFERROR(__xludf.DUMMYFUNCTION("""COMPUTED_VALUE"""),"")</f>
        <v/>
      </c>
      <c r="U420" s="36" t="str">
        <f ca="1">IFERROR(__xludf.DUMMYFUNCTION("""COMPUTED_VALUE"""),"")</f>
        <v/>
      </c>
      <c r="V420" s="36" t="str">
        <f ca="1">IFERROR(__xludf.DUMMYFUNCTION("""COMPUTED_VALUE"""),"")</f>
        <v/>
      </c>
      <c r="W420" s="36" t="str">
        <f ca="1">IFERROR(__xludf.DUMMYFUNCTION("""COMPUTED_VALUE"""),"")</f>
        <v/>
      </c>
      <c r="X420" s="36"/>
      <c r="Y420" s="36"/>
      <c r="Z420" s="36"/>
    </row>
    <row r="421" spans="1:26" ht="12.75" hidden="1">
      <c r="A421" s="36" t="str">
        <f ca="1">IFERROR(__xludf.DUMMYFUNCTION("""COMPUTED_VALUE"""),"")</f>
        <v/>
      </c>
      <c r="B421" s="36" t="str">
        <f ca="1">IFERROR(__xludf.DUMMYFUNCTION("""COMPUTED_VALUE"""),"")</f>
        <v/>
      </c>
      <c r="C421" s="36" t="str">
        <f ca="1">IFERROR(__xludf.DUMMYFUNCTION("""COMPUTED_VALUE"""),"")</f>
        <v/>
      </c>
      <c r="D421" s="36" t="str">
        <f ca="1">IFERROR(__xludf.DUMMYFUNCTION("""COMPUTED_VALUE"""),"")</f>
        <v/>
      </c>
      <c r="E421" s="36" t="str">
        <f ca="1">IFERROR(__xludf.DUMMYFUNCTION("""COMPUTED_VALUE"""),"")</f>
        <v/>
      </c>
      <c r="F421" s="36" t="str">
        <f ca="1">IFERROR(__xludf.DUMMYFUNCTION("""COMPUTED_VALUE"""),"")</f>
        <v/>
      </c>
      <c r="G421" s="36" t="str">
        <f ca="1">IFERROR(__xludf.DUMMYFUNCTION("""COMPUTED_VALUE"""),"")</f>
        <v/>
      </c>
      <c r="H421" s="36" t="str">
        <f ca="1">IFERROR(__xludf.DUMMYFUNCTION("""COMPUTED_VALUE"""),"")</f>
        <v/>
      </c>
      <c r="I421" s="36" t="str">
        <f ca="1">IFERROR(__xludf.DUMMYFUNCTION("""COMPUTED_VALUE"""),"")</f>
        <v/>
      </c>
      <c r="J421" s="36" t="str">
        <f ca="1">IFERROR(__xludf.DUMMYFUNCTION("""COMPUTED_VALUE"""),"")</f>
        <v/>
      </c>
      <c r="K421" s="36" t="str">
        <f ca="1">IFERROR(__xludf.DUMMYFUNCTION("""COMPUTED_VALUE"""),"")</f>
        <v/>
      </c>
      <c r="L421" s="36" t="str">
        <f ca="1">IFERROR(__xludf.DUMMYFUNCTION("""COMPUTED_VALUE"""),"")</f>
        <v/>
      </c>
      <c r="M421" s="36" t="str">
        <f ca="1">IFERROR(__xludf.DUMMYFUNCTION("""COMPUTED_VALUE"""),"")</f>
        <v/>
      </c>
      <c r="N421" s="36" t="str">
        <f ca="1">IFERROR(__xludf.DUMMYFUNCTION("""COMPUTED_VALUE"""),"")</f>
        <v/>
      </c>
      <c r="O421" s="36" t="str">
        <f ca="1">IFERROR(__xludf.DUMMYFUNCTION("""COMPUTED_VALUE"""),"")</f>
        <v/>
      </c>
      <c r="P421" s="36" t="str">
        <f ca="1">IFERROR(__xludf.DUMMYFUNCTION("""COMPUTED_VALUE"""),"")</f>
        <v/>
      </c>
      <c r="Q421" s="36" t="str">
        <f ca="1">IFERROR(__xludf.DUMMYFUNCTION("""COMPUTED_VALUE"""),"")</f>
        <v/>
      </c>
      <c r="R421" s="36" t="str">
        <f ca="1">IFERROR(__xludf.DUMMYFUNCTION("""COMPUTED_VALUE"""),"")</f>
        <v/>
      </c>
      <c r="S421" s="36" t="str">
        <f ca="1">IFERROR(__xludf.DUMMYFUNCTION("""COMPUTED_VALUE"""),"")</f>
        <v/>
      </c>
      <c r="T421" s="36" t="str">
        <f ca="1">IFERROR(__xludf.DUMMYFUNCTION("""COMPUTED_VALUE"""),"")</f>
        <v/>
      </c>
      <c r="U421" s="36" t="str">
        <f ca="1">IFERROR(__xludf.DUMMYFUNCTION("""COMPUTED_VALUE"""),"")</f>
        <v/>
      </c>
      <c r="V421" s="36" t="str">
        <f ca="1">IFERROR(__xludf.DUMMYFUNCTION("""COMPUTED_VALUE"""),"")</f>
        <v/>
      </c>
      <c r="W421" s="36" t="str">
        <f ca="1">IFERROR(__xludf.DUMMYFUNCTION("""COMPUTED_VALUE"""),"")</f>
        <v/>
      </c>
      <c r="X421" s="36"/>
      <c r="Y421" s="36"/>
      <c r="Z421" s="36"/>
    </row>
    <row r="422" spans="1:26" ht="12.75" hidden="1">
      <c r="A422" s="36" t="str">
        <f ca="1">IFERROR(__xludf.DUMMYFUNCTION("""COMPUTED_VALUE"""),"")</f>
        <v/>
      </c>
      <c r="B422" s="36" t="str">
        <f ca="1">IFERROR(__xludf.DUMMYFUNCTION("""COMPUTED_VALUE"""),"")</f>
        <v/>
      </c>
      <c r="C422" s="36" t="str">
        <f ca="1">IFERROR(__xludf.DUMMYFUNCTION("""COMPUTED_VALUE"""),"")</f>
        <v/>
      </c>
      <c r="D422" s="36" t="str">
        <f ca="1">IFERROR(__xludf.DUMMYFUNCTION("""COMPUTED_VALUE"""),"")</f>
        <v/>
      </c>
      <c r="E422" s="36" t="str">
        <f ca="1">IFERROR(__xludf.DUMMYFUNCTION("""COMPUTED_VALUE"""),"")</f>
        <v/>
      </c>
      <c r="F422" s="36" t="str">
        <f ca="1">IFERROR(__xludf.DUMMYFUNCTION("""COMPUTED_VALUE"""),"")</f>
        <v/>
      </c>
      <c r="G422" s="36" t="str">
        <f ca="1">IFERROR(__xludf.DUMMYFUNCTION("""COMPUTED_VALUE"""),"")</f>
        <v/>
      </c>
      <c r="H422" s="36" t="str">
        <f ca="1">IFERROR(__xludf.DUMMYFUNCTION("""COMPUTED_VALUE"""),"")</f>
        <v/>
      </c>
      <c r="I422" s="36" t="str">
        <f ca="1">IFERROR(__xludf.DUMMYFUNCTION("""COMPUTED_VALUE"""),"")</f>
        <v/>
      </c>
      <c r="J422" s="36" t="str">
        <f ca="1">IFERROR(__xludf.DUMMYFUNCTION("""COMPUTED_VALUE"""),"")</f>
        <v/>
      </c>
      <c r="K422" s="36" t="str">
        <f ca="1">IFERROR(__xludf.DUMMYFUNCTION("""COMPUTED_VALUE"""),"")</f>
        <v/>
      </c>
      <c r="L422" s="36" t="str">
        <f ca="1">IFERROR(__xludf.DUMMYFUNCTION("""COMPUTED_VALUE"""),"")</f>
        <v/>
      </c>
      <c r="M422" s="36" t="str">
        <f ca="1">IFERROR(__xludf.DUMMYFUNCTION("""COMPUTED_VALUE"""),"")</f>
        <v/>
      </c>
      <c r="N422" s="36" t="str">
        <f ca="1">IFERROR(__xludf.DUMMYFUNCTION("""COMPUTED_VALUE"""),"")</f>
        <v/>
      </c>
      <c r="O422" s="36" t="str">
        <f ca="1">IFERROR(__xludf.DUMMYFUNCTION("""COMPUTED_VALUE"""),"")</f>
        <v/>
      </c>
      <c r="P422" s="36" t="str">
        <f ca="1">IFERROR(__xludf.DUMMYFUNCTION("""COMPUTED_VALUE"""),"")</f>
        <v/>
      </c>
      <c r="Q422" s="36" t="str">
        <f ca="1">IFERROR(__xludf.DUMMYFUNCTION("""COMPUTED_VALUE"""),"")</f>
        <v/>
      </c>
      <c r="R422" s="36" t="str">
        <f ca="1">IFERROR(__xludf.DUMMYFUNCTION("""COMPUTED_VALUE"""),"")</f>
        <v/>
      </c>
      <c r="S422" s="36" t="str">
        <f ca="1">IFERROR(__xludf.DUMMYFUNCTION("""COMPUTED_VALUE"""),"")</f>
        <v/>
      </c>
      <c r="T422" s="36" t="str">
        <f ca="1">IFERROR(__xludf.DUMMYFUNCTION("""COMPUTED_VALUE"""),"")</f>
        <v/>
      </c>
      <c r="U422" s="36" t="str">
        <f ca="1">IFERROR(__xludf.DUMMYFUNCTION("""COMPUTED_VALUE"""),"")</f>
        <v/>
      </c>
      <c r="V422" s="36" t="str">
        <f ca="1">IFERROR(__xludf.DUMMYFUNCTION("""COMPUTED_VALUE"""),"")</f>
        <v/>
      </c>
      <c r="W422" s="36" t="str">
        <f ca="1">IFERROR(__xludf.DUMMYFUNCTION("""COMPUTED_VALUE"""),"")</f>
        <v/>
      </c>
      <c r="X422" s="36"/>
      <c r="Y422" s="36"/>
      <c r="Z422" s="36"/>
    </row>
    <row r="423" spans="1:26" ht="12.75" hidden="1">
      <c r="A423" s="36" t="str">
        <f ca="1">IFERROR(__xludf.DUMMYFUNCTION("""COMPUTED_VALUE"""),"")</f>
        <v/>
      </c>
      <c r="B423" s="36" t="str">
        <f ca="1">IFERROR(__xludf.DUMMYFUNCTION("""COMPUTED_VALUE"""),"")</f>
        <v/>
      </c>
      <c r="C423" s="36" t="str">
        <f ca="1">IFERROR(__xludf.DUMMYFUNCTION("""COMPUTED_VALUE"""),"")</f>
        <v/>
      </c>
      <c r="D423" s="36" t="str">
        <f ca="1">IFERROR(__xludf.DUMMYFUNCTION("""COMPUTED_VALUE"""),"")</f>
        <v/>
      </c>
      <c r="E423" s="36" t="str">
        <f ca="1">IFERROR(__xludf.DUMMYFUNCTION("""COMPUTED_VALUE"""),"")</f>
        <v/>
      </c>
      <c r="F423" s="36" t="str">
        <f ca="1">IFERROR(__xludf.DUMMYFUNCTION("""COMPUTED_VALUE"""),"")</f>
        <v/>
      </c>
      <c r="G423" s="36" t="str">
        <f ca="1">IFERROR(__xludf.DUMMYFUNCTION("""COMPUTED_VALUE"""),"")</f>
        <v/>
      </c>
      <c r="H423" s="36" t="str">
        <f ca="1">IFERROR(__xludf.DUMMYFUNCTION("""COMPUTED_VALUE"""),"")</f>
        <v/>
      </c>
      <c r="I423" s="36" t="str">
        <f ca="1">IFERROR(__xludf.DUMMYFUNCTION("""COMPUTED_VALUE"""),"")</f>
        <v/>
      </c>
      <c r="J423" s="36" t="str">
        <f ca="1">IFERROR(__xludf.DUMMYFUNCTION("""COMPUTED_VALUE"""),"")</f>
        <v/>
      </c>
      <c r="K423" s="36" t="str">
        <f ca="1">IFERROR(__xludf.DUMMYFUNCTION("""COMPUTED_VALUE"""),"")</f>
        <v/>
      </c>
      <c r="L423" s="36" t="str">
        <f ca="1">IFERROR(__xludf.DUMMYFUNCTION("""COMPUTED_VALUE"""),"")</f>
        <v/>
      </c>
      <c r="M423" s="36" t="str">
        <f ca="1">IFERROR(__xludf.DUMMYFUNCTION("""COMPUTED_VALUE"""),"")</f>
        <v/>
      </c>
      <c r="N423" s="36" t="str">
        <f ca="1">IFERROR(__xludf.DUMMYFUNCTION("""COMPUTED_VALUE"""),"")</f>
        <v/>
      </c>
      <c r="O423" s="36" t="str">
        <f ca="1">IFERROR(__xludf.DUMMYFUNCTION("""COMPUTED_VALUE"""),"")</f>
        <v/>
      </c>
      <c r="P423" s="36" t="str">
        <f ca="1">IFERROR(__xludf.DUMMYFUNCTION("""COMPUTED_VALUE"""),"")</f>
        <v/>
      </c>
      <c r="Q423" s="36" t="str">
        <f ca="1">IFERROR(__xludf.DUMMYFUNCTION("""COMPUTED_VALUE"""),"")</f>
        <v/>
      </c>
      <c r="R423" s="36" t="str">
        <f ca="1">IFERROR(__xludf.DUMMYFUNCTION("""COMPUTED_VALUE"""),"")</f>
        <v/>
      </c>
      <c r="S423" s="36" t="str">
        <f ca="1">IFERROR(__xludf.DUMMYFUNCTION("""COMPUTED_VALUE"""),"")</f>
        <v/>
      </c>
      <c r="T423" s="36" t="str">
        <f ca="1">IFERROR(__xludf.DUMMYFUNCTION("""COMPUTED_VALUE"""),"")</f>
        <v/>
      </c>
      <c r="U423" s="36" t="str">
        <f ca="1">IFERROR(__xludf.DUMMYFUNCTION("""COMPUTED_VALUE"""),"")</f>
        <v/>
      </c>
      <c r="V423" s="36" t="str">
        <f ca="1">IFERROR(__xludf.DUMMYFUNCTION("""COMPUTED_VALUE"""),"")</f>
        <v/>
      </c>
      <c r="W423" s="36" t="str">
        <f ca="1">IFERROR(__xludf.DUMMYFUNCTION("""COMPUTED_VALUE"""),"")</f>
        <v/>
      </c>
      <c r="X423" s="36"/>
      <c r="Y423" s="36"/>
      <c r="Z423" s="36"/>
    </row>
    <row r="424" spans="1:26" ht="12.75" hidden="1">
      <c r="A424" s="36" t="str">
        <f ca="1">IFERROR(__xludf.DUMMYFUNCTION("""COMPUTED_VALUE"""),"")</f>
        <v/>
      </c>
      <c r="B424" s="36" t="str">
        <f ca="1">IFERROR(__xludf.DUMMYFUNCTION("""COMPUTED_VALUE"""),"")</f>
        <v/>
      </c>
      <c r="C424" s="36" t="str">
        <f ca="1">IFERROR(__xludf.DUMMYFUNCTION("""COMPUTED_VALUE"""),"")</f>
        <v/>
      </c>
      <c r="D424" s="36" t="str">
        <f ca="1">IFERROR(__xludf.DUMMYFUNCTION("""COMPUTED_VALUE"""),"")</f>
        <v/>
      </c>
      <c r="E424" s="36" t="str">
        <f ca="1">IFERROR(__xludf.DUMMYFUNCTION("""COMPUTED_VALUE"""),"")</f>
        <v/>
      </c>
      <c r="F424" s="36" t="str">
        <f ca="1">IFERROR(__xludf.DUMMYFUNCTION("""COMPUTED_VALUE"""),"")</f>
        <v/>
      </c>
      <c r="G424" s="36" t="str">
        <f ca="1">IFERROR(__xludf.DUMMYFUNCTION("""COMPUTED_VALUE"""),"")</f>
        <v/>
      </c>
      <c r="H424" s="36" t="str">
        <f ca="1">IFERROR(__xludf.DUMMYFUNCTION("""COMPUTED_VALUE"""),"")</f>
        <v/>
      </c>
      <c r="I424" s="36" t="str">
        <f ca="1">IFERROR(__xludf.DUMMYFUNCTION("""COMPUTED_VALUE"""),"")</f>
        <v/>
      </c>
      <c r="J424" s="36" t="str">
        <f ca="1">IFERROR(__xludf.DUMMYFUNCTION("""COMPUTED_VALUE"""),"")</f>
        <v/>
      </c>
      <c r="K424" s="36" t="str">
        <f ca="1">IFERROR(__xludf.DUMMYFUNCTION("""COMPUTED_VALUE"""),"")</f>
        <v/>
      </c>
      <c r="L424" s="36" t="str">
        <f ca="1">IFERROR(__xludf.DUMMYFUNCTION("""COMPUTED_VALUE"""),"")</f>
        <v/>
      </c>
      <c r="M424" s="36" t="str">
        <f ca="1">IFERROR(__xludf.DUMMYFUNCTION("""COMPUTED_VALUE"""),"")</f>
        <v/>
      </c>
      <c r="N424" s="36" t="str">
        <f ca="1">IFERROR(__xludf.DUMMYFUNCTION("""COMPUTED_VALUE"""),"")</f>
        <v/>
      </c>
      <c r="O424" s="36" t="str">
        <f ca="1">IFERROR(__xludf.DUMMYFUNCTION("""COMPUTED_VALUE"""),"")</f>
        <v/>
      </c>
      <c r="P424" s="36" t="str">
        <f ca="1">IFERROR(__xludf.DUMMYFUNCTION("""COMPUTED_VALUE"""),"")</f>
        <v/>
      </c>
      <c r="Q424" s="36" t="str">
        <f ca="1">IFERROR(__xludf.DUMMYFUNCTION("""COMPUTED_VALUE"""),"")</f>
        <v/>
      </c>
      <c r="R424" s="36" t="str">
        <f ca="1">IFERROR(__xludf.DUMMYFUNCTION("""COMPUTED_VALUE"""),"")</f>
        <v/>
      </c>
      <c r="S424" s="36" t="str">
        <f ca="1">IFERROR(__xludf.DUMMYFUNCTION("""COMPUTED_VALUE"""),"")</f>
        <v/>
      </c>
      <c r="T424" s="36" t="str">
        <f ca="1">IFERROR(__xludf.DUMMYFUNCTION("""COMPUTED_VALUE"""),"")</f>
        <v/>
      </c>
      <c r="U424" s="36" t="str">
        <f ca="1">IFERROR(__xludf.DUMMYFUNCTION("""COMPUTED_VALUE"""),"")</f>
        <v/>
      </c>
      <c r="V424" s="36" t="str">
        <f ca="1">IFERROR(__xludf.DUMMYFUNCTION("""COMPUTED_VALUE"""),"")</f>
        <v/>
      </c>
      <c r="W424" s="36" t="str">
        <f ca="1">IFERROR(__xludf.DUMMYFUNCTION("""COMPUTED_VALUE"""),"")</f>
        <v/>
      </c>
      <c r="X424" s="36"/>
      <c r="Y424" s="36"/>
      <c r="Z424" s="36"/>
    </row>
    <row r="425" spans="1:26" ht="12.75" hidden="1">
      <c r="A425" s="36" t="str">
        <f ca="1">IFERROR(__xludf.DUMMYFUNCTION("""COMPUTED_VALUE"""),"")</f>
        <v/>
      </c>
      <c r="B425" s="36" t="str">
        <f ca="1">IFERROR(__xludf.DUMMYFUNCTION("""COMPUTED_VALUE"""),"")</f>
        <v/>
      </c>
      <c r="C425" s="36" t="str">
        <f ca="1">IFERROR(__xludf.DUMMYFUNCTION("""COMPUTED_VALUE"""),"")</f>
        <v/>
      </c>
      <c r="D425" s="36" t="str">
        <f ca="1">IFERROR(__xludf.DUMMYFUNCTION("""COMPUTED_VALUE"""),"")</f>
        <v/>
      </c>
      <c r="E425" s="36" t="str">
        <f ca="1">IFERROR(__xludf.DUMMYFUNCTION("""COMPUTED_VALUE"""),"")</f>
        <v/>
      </c>
      <c r="F425" s="36" t="str">
        <f ca="1">IFERROR(__xludf.DUMMYFUNCTION("""COMPUTED_VALUE"""),"")</f>
        <v/>
      </c>
      <c r="G425" s="36" t="str">
        <f ca="1">IFERROR(__xludf.DUMMYFUNCTION("""COMPUTED_VALUE"""),"")</f>
        <v/>
      </c>
      <c r="H425" s="36" t="str">
        <f ca="1">IFERROR(__xludf.DUMMYFUNCTION("""COMPUTED_VALUE"""),"")</f>
        <v/>
      </c>
      <c r="I425" s="36" t="str">
        <f ca="1">IFERROR(__xludf.DUMMYFUNCTION("""COMPUTED_VALUE"""),"")</f>
        <v/>
      </c>
      <c r="J425" s="36" t="str">
        <f ca="1">IFERROR(__xludf.DUMMYFUNCTION("""COMPUTED_VALUE"""),"")</f>
        <v/>
      </c>
      <c r="K425" s="36" t="str">
        <f ca="1">IFERROR(__xludf.DUMMYFUNCTION("""COMPUTED_VALUE"""),"")</f>
        <v/>
      </c>
      <c r="L425" s="36" t="str">
        <f ca="1">IFERROR(__xludf.DUMMYFUNCTION("""COMPUTED_VALUE"""),"")</f>
        <v/>
      </c>
      <c r="M425" s="36" t="str">
        <f ca="1">IFERROR(__xludf.DUMMYFUNCTION("""COMPUTED_VALUE"""),"")</f>
        <v/>
      </c>
      <c r="N425" s="36" t="str">
        <f ca="1">IFERROR(__xludf.DUMMYFUNCTION("""COMPUTED_VALUE"""),"")</f>
        <v/>
      </c>
      <c r="O425" s="36" t="str">
        <f ca="1">IFERROR(__xludf.DUMMYFUNCTION("""COMPUTED_VALUE"""),"")</f>
        <v/>
      </c>
      <c r="P425" s="36" t="str">
        <f ca="1">IFERROR(__xludf.DUMMYFUNCTION("""COMPUTED_VALUE"""),"")</f>
        <v/>
      </c>
      <c r="Q425" s="36" t="str">
        <f ca="1">IFERROR(__xludf.DUMMYFUNCTION("""COMPUTED_VALUE"""),"")</f>
        <v/>
      </c>
      <c r="R425" s="36" t="str">
        <f ca="1">IFERROR(__xludf.DUMMYFUNCTION("""COMPUTED_VALUE"""),"")</f>
        <v/>
      </c>
      <c r="S425" s="36" t="str">
        <f ca="1">IFERROR(__xludf.DUMMYFUNCTION("""COMPUTED_VALUE"""),"")</f>
        <v/>
      </c>
      <c r="T425" s="36" t="str">
        <f ca="1">IFERROR(__xludf.DUMMYFUNCTION("""COMPUTED_VALUE"""),"")</f>
        <v/>
      </c>
      <c r="U425" s="36" t="str">
        <f ca="1">IFERROR(__xludf.DUMMYFUNCTION("""COMPUTED_VALUE"""),"")</f>
        <v/>
      </c>
      <c r="V425" s="36" t="str">
        <f ca="1">IFERROR(__xludf.DUMMYFUNCTION("""COMPUTED_VALUE"""),"")</f>
        <v/>
      </c>
      <c r="W425" s="36" t="str">
        <f ca="1">IFERROR(__xludf.DUMMYFUNCTION("""COMPUTED_VALUE"""),"")</f>
        <v/>
      </c>
      <c r="X425" s="36"/>
      <c r="Y425" s="36"/>
      <c r="Z425" s="36"/>
    </row>
    <row r="426" spans="1:26" ht="12.75" hidden="1">
      <c r="A426" s="36" t="str">
        <f ca="1">IFERROR(__xludf.DUMMYFUNCTION("""COMPUTED_VALUE"""),"")</f>
        <v/>
      </c>
      <c r="B426" s="36" t="str">
        <f ca="1">IFERROR(__xludf.DUMMYFUNCTION("""COMPUTED_VALUE"""),"")</f>
        <v/>
      </c>
      <c r="C426" s="36" t="str">
        <f ca="1">IFERROR(__xludf.DUMMYFUNCTION("""COMPUTED_VALUE"""),"")</f>
        <v/>
      </c>
      <c r="D426" s="36" t="str">
        <f ca="1">IFERROR(__xludf.DUMMYFUNCTION("""COMPUTED_VALUE"""),"")</f>
        <v/>
      </c>
      <c r="E426" s="36" t="str">
        <f ca="1">IFERROR(__xludf.DUMMYFUNCTION("""COMPUTED_VALUE"""),"")</f>
        <v/>
      </c>
      <c r="F426" s="36" t="str">
        <f ca="1">IFERROR(__xludf.DUMMYFUNCTION("""COMPUTED_VALUE"""),"")</f>
        <v/>
      </c>
      <c r="G426" s="36" t="str">
        <f ca="1">IFERROR(__xludf.DUMMYFUNCTION("""COMPUTED_VALUE"""),"")</f>
        <v/>
      </c>
      <c r="H426" s="36" t="str">
        <f ca="1">IFERROR(__xludf.DUMMYFUNCTION("""COMPUTED_VALUE"""),"")</f>
        <v/>
      </c>
      <c r="I426" s="36" t="str">
        <f ca="1">IFERROR(__xludf.DUMMYFUNCTION("""COMPUTED_VALUE"""),"")</f>
        <v/>
      </c>
      <c r="J426" s="36" t="str">
        <f ca="1">IFERROR(__xludf.DUMMYFUNCTION("""COMPUTED_VALUE"""),"")</f>
        <v/>
      </c>
      <c r="K426" s="36" t="str">
        <f ca="1">IFERROR(__xludf.DUMMYFUNCTION("""COMPUTED_VALUE"""),"")</f>
        <v/>
      </c>
      <c r="L426" s="36" t="str">
        <f ca="1">IFERROR(__xludf.DUMMYFUNCTION("""COMPUTED_VALUE"""),"")</f>
        <v/>
      </c>
      <c r="M426" s="36" t="str">
        <f ca="1">IFERROR(__xludf.DUMMYFUNCTION("""COMPUTED_VALUE"""),"")</f>
        <v/>
      </c>
      <c r="N426" s="36" t="str">
        <f ca="1">IFERROR(__xludf.DUMMYFUNCTION("""COMPUTED_VALUE"""),"")</f>
        <v/>
      </c>
      <c r="O426" s="36" t="str">
        <f ca="1">IFERROR(__xludf.DUMMYFUNCTION("""COMPUTED_VALUE"""),"")</f>
        <v/>
      </c>
      <c r="P426" s="36" t="str">
        <f ca="1">IFERROR(__xludf.DUMMYFUNCTION("""COMPUTED_VALUE"""),"")</f>
        <v/>
      </c>
      <c r="Q426" s="36" t="str">
        <f ca="1">IFERROR(__xludf.DUMMYFUNCTION("""COMPUTED_VALUE"""),"")</f>
        <v/>
      </c>
      <c r="R426" s="36" t="str">
        <f ca="1">IFERROR(__xludf.DUMMYFUNCTION("""COMPUTED_VALUE"""),"")</f>
        <v/>
      </c>
      <c r="S426" s="36" t="str">
        <f ca="1">IFERROR(__xludf.DUMMYFUNCTION("""COMPUTED_VALUE"""),"")</f>
        <v/>
      </c>
      <c r="T426" s="36" t="str">
        <f ca="1">IFERROR(__xludf.DUMMYFUNCTION("""COMPUTED_VALUE"""),"")</f>
        <v/>
      </c>
      <c r="U426" s="36" t="str">
        <f ca="1">IFERROR(__xludf.DUMMYFUNCTION("""COMPUTED_VALUE"""),"")</f>
        <v/>
      </c>
      <c r="V426" s="36" t="str">
        <f ca="1">IFERROR(__xludf.DUMMYFUNCTION("""COMPUTED_VALUE"""),"")</f>
        <v/>
      </c>
      <c r="W426" s="36" t="str">
        <f ca="1">IFERROR(__xludf.DUMMYFUNCTION("""COMPUTED_VALUE"""),"")</f>
        <v/>
      </c>
      <c r="X426" s="36"/>
      <c r="Y426" s="36"/>
      <c r="Z426" s="36"/>
    </row>
    <row r="427" spans="1:26" ht="12.75" hidden="1">
      <c r="A427" s="36" t="str">
        <f ca="1">IFERROR(__xludf.DUMMYFUNCTION("""COMPUTED_VALUE"""),"")</f>
        <v/>
      </c>
      <c r="B427" s="36" t="str">
        <f ca="1">IFERROR(__xludf.DUMMYFUNCTION("""COMPUTED_VALUE"""),"")</f>
        <v/>
      </c>
      <c r="C427" s="36" t="str">
        <f ca="1">IFERROR(__xludf.DUMMYFUNCTION("""COMPUTED_VALUE"""),"")</f>
        <v/>
      </c>
      <c r="D427" s="36" t="str">
        <f ca="1">IFERROR(__xludf.DUMMYFUNCTION("""COMPUTED_VALUE"""),"")</f>
        <v/>
      </c>
      <c r="E427" s="36" t="str">
        <f ca="1">IFERROR(__xludf.DUMMYFUNCTION("""COMPUTED_VALUE"""),"")</f>
        <v/>
      </c>
      <c r="F427" s="36" t="str">
        <f ca="1">IFERROR(__xludf.DUMMYFUNCTION("""COMPUTED_VALUE"""),"")</f>
        <v/>
      </c>
      <c r="G427" s="36" t="str">
        <f ca="1">IFERROR(__xludf.DUMMYFUNCTION("""COMPUTED_VALUE"""),"")</f>
        <v/>
      </c>
      <c r="H427" s="36" t="str">
        <f ca="1">IFERROR(__xludf.DUMMYFUNCTION("""COMPUTED_VALUE"""),"")</f>
        <v/>
      </c>
      <c r="I427" s="36" t="str">
        <f ca="1">IFERROR(__xludf.DUMMYFUNCTION("""COMPUTED_VALUE"""),"")</f>
        <v/>
      </c>
      <c r="J427" s="36" t="str">
        <f ca="1">IFERROR(__xludf.DUMMYFUNCTION("""COMPUTED_VALUE"""),"")</f>
        <v/>
      </c>
      <c r="K427" s="36" t="str">
        <f ca="1">IFERROR(__xludf.DUMMYFUNCTION("""COMPUTED_VALUE"""),"")</f>
        <v/>
      </c>
      <c r="L427" s="36" t="str">
        <f ca="1">IFERROR(__xludf.DUMMYFUNCTION("""COMPUTED_VALUE"""),"")</f>
        <v/>
      </c>
      <c r="M427" s="36" t="str">
        <f ca="1">IFERROR(__xludf.DUMMYFUNCTION("""COMPUTED_VALUE"""),"")</f>
        <v/>
      </c>
      <c r="N427" s="36" t="str">
        <f ca="1">IFERROR(__xludf.DUMMYFUNCTION("""COMPUTED_VALUE"""),"")</f>
        <v/>
      </c>
      <c r="O427" s="36" t="str">
        <f ca="1">IFERROR(__xludf.DUMMYFUNCTION("""COMPUTED_VALUE"""),"")</f>
        <v/>
      </c>
      <c r="P427" s="36" t="str">
        <f ca="1">IFERROR(__xludf.DUMMYFUNCTION("""COMPUTED_VALUE"""),"")</f>
        <v/>
      </c>
      <c r="Q427" s="36" t="str">
        <f ca="1">IFERROR(__xludf.DUMMYFUNCTION("""COMPUTED_VALUE"""),"")</f>
        <v/>
      </c>
      <c r="R427" s="36" t="str">
        <f ca="1">IFERROR(__xludf.DUMMYFUNCTION("""COMPUTED_VALUE"""),"")</f>
        <v/>
      </c>
      <c r="S427" s="36" t="str">
        <f ca="1">IFERROR(__xludf.DUMMYFUNCTION("""COMPUTED_VALUE"""),"")</f>
        <v/>
      </c>
      <c r="T427" s="36" t="str">
        <f ca="1">IFERROR(__xludf.DUMMYFUNCTION("""COMPUTED_VALUE"""),"")</f>
        <v/>
      </c>
      <c r="U427" s="36" t="str">
        <f ca="1">IFERROR(__xludf.DUMMYFUNCTION("""COMPUTED_VALUE"""),"")</f>
        <v/>
      </c>
      <c r="V427" s="36" t="str">
        <f ca="1">IFERROR(__xludf.DUMMYFUNCTION("""COMPUTED_VALUE"""),"")</f>
        <v/>
      </c>
      <c r="W427" s="36" t="str">
        <f ca="1">IFERROR(__xludf.DUMMYFUNCTION("""COMPUTED_VALUE"""),"")</f>
        <v/>
      </c>
      <c r="X427" s="36"/>
      <c r="Y427" s="36"/>
      <c r="Z427" s="36"/>
    </row>
    <row r="428" spans="1:26" ht="12.75" hidden="1">
      <c r="A428" s="36" t="str">
        <f ca="1">IFERROR(__xludf.DUMMYFUNCTION("""COMPUTED_VALUE"""),"")</f>
        <v/>
      </c>
      <c r="B428" s="36" t="str">
        <f ca="1">IFERROR(__xludf.DUMMYFUNCTION("""COMPUTED_VALUE"""),"")</f>
        <v/>
      </c>
      <c r="C428" s="36" t="str">
        <f ca="1">IFERROR(__xludf.DUMMYFUNCTION("""COMPUTED_VALUE"""),"")</f>
        <v/>
      </c>
      <c r="D428" s="36" t="str">
        <f ca="1">IFERROR(__xludf.DUMMYFUNCTION("""COMPUTED_VALUE"""),"")</f>
        <v/>
      </c>
      <c r="E428" s="36" t="str">
        <f ca="1">IFERROR(__xludf.DUMMYFUNCTION("""COMPUTED_VALUE"""),"")</f>
        <v/>
      </c>
      <c r="F428" s="36" t="str">
        <f ca="1">IFERROR(__xludf.DUMMYFUNCTION("""COMPUTED_VALUE"""),"")</f>
        <v/>
      </c>
      <c r="G428" s="36" t="str">
        <f ca="1">IFERROR(__xludf.DUMMYFUNCTION("""COMPUTED_VALUE"""),"")</f>
        <v/>
      </c>
      <c r="H428" s="36" t="str">
        <f ca="1">IFERROR(__xludf.DUMMYFUNCTION("""COMPUTED_VALUE"""),"")</f>
        <v/>
      </c>
      <c r="I428" s="36" t="str">
        <f ca="1">IFERROR(__xludf.DUMMYFUNCTION("""COMPUTED_VALUE"""),"")</f>
        <v/>
      </c>
      <c r="J428" s="36" t="str">
        <f ca="1">IFERROR(__xludf.DUMMYFUNCTION("""COMPUTED_VALUE"""),"")</f>
        <v/>
      </c>
      <c r="K428" s="36" t="str">
        <f ca="1">IFERROR(__xludf.DUMMYFUNCTION("""COMPUTED_VALUE"""),"")</f>
        <v/>
      </c>
      <c r="L428" s="36" t="str">
        <f ca="1">IFERROR(__xludf.DUMMYFUNCTION("""COMPUTED_VALUE"""),"")</f>
        <v/>
      </c>
      <c r="M428" s="36" t="str">
        <f ca="1">IFERROR(__xludf.DUMMYFUNCTION("""COMPUTED_VALUE"""),"")</f>
        <v/>
      </c>
      <c r="N428" s="36" t="str">
        <f ca="1">IFERROR(__xludf.DUMMYFUNCTION("""COMPUTED_VALUE"""),"")</f>
        <v/>
      </c>
      <c r="O428" s="36" t="str">
        <f ca="1">IFERROR(__xludf.DUMMYFUNCTION("""COMPUTED_VALUE"""),"")</f>
        <v/>
      </c>
      <c r="P428" s="36" t="str">
        <f ca="1">IFERROR(__xludf.DUMMYFUNCTION("""COMPUTED_VALUE"""),"")</f>
        <v/>
      </c>
      <c r="Q428" s="36" t="str">
        <f ca="1">IFERROR(__xludf.DUMMYFUNCTION("""COMPUTED_VALUE"""),"")</f>
        <v/>
      </c>
      <c r="R428" s="36" t="str">
        <f ca="1">IFERROR(__xludf.DUMMYFUNCTION("""COMPUTED_VALUE"""),"")</f>
        <v/>
      </c>
      <c r="S428" s="36" t="str">
        <f ca="1">IFERROR(__xludf.DUMMYFUNCTION("""COMPUTED_VALUE"""),"")</f>
        <v/>
      </c>
      <c r="T428" s="36" t="str">
        <f ca="1">IFERROR(__xludf.DUMMYFUNCTION("""COMPUTED_VALUE"""),"")</f>
        <v/>
      </c>
      <c r="U428" s="36" t="str">
        <f ca="1">IFERROR(__xludf.DUMMYFUNCTION("""COMPUTED_VALUE"""),"")</f>
        <v/>
      </c>
      <c r="V428" s="36" t="str">
        <f ca="1">IFERROR(__xludf.DUMMYFUNCTION("""COMPUTED_VALUE"""),"")</f>
        <v/>
      </c>
      <c r="W428" s="36" t="str">
        <f ca="1">IFERROR(__xludf.DUMMYFUNCTION("""COMPUTED_VALUE"""),"")</f>
        <v/>
      </c>
      <c r="X428" s="36"/>
      <c r="Y428" s="36"/>
      <c r="Z428" s="36"/>
    </row>
    <row r="429" spans="1:26" ht="12.75" hidden="1">
      <c r="A429" s="36" t="str">
        <f ca="1">IFERROR(__xludf.DUMMYFUNCTION("""COMPUTED_VALUE"""),"")</f>
        <v/>
      </c>
      <c r="B429" s="36" t="str">
        <f ca="1">IFERROR(__xludf.DUMMYFUNCTION("""COMPUTED_VALUE"""),"")</f>
        <v/>
      </c>
      <c r="C429" s="36" t="str">
        <f ca="1">IFERROR(__xludf.DUMMYFUNCTION("""COMPUTED_VALUE"""),"")</f>
        <v/>
      </c>
      <c r="D429" s="36" t="str">
        <f ca="1">IFERROR(__xludf.DUMMYFUNCTION("""COMPUTED_VALUE"""),"")</f>
        <v/>
      </c>
      <c r="E429" s="36" t="str">
        <f ca="1">IFERROR(__xludf.DUMMYFUNCTION("""COMPUTED_VALUE"""),"")</f>
        <v/>
      </c>
      <c r="F429" s="36" t="str">
        <f ca="1">IFERROR(__xludf.DUMMYFUNCTION("""COMPUTED_VALUE"""),"")</f>
        <v/>
      </c>
      <c r="G429" s="36" t="str">
        <f ca="1">IFERROR(__xludf.DUMMYFUNCTION("""COMPUTED_VALUE"""),"")</f>
        <v/>
      </c>
      <c r="H429" s="36" t="str">
        <f ca="1">IFERROR(__xludf.DUMMYFUNCTION("""COMPUTED_VALUE"""),"")</f>
        <v/>
      </c>
      <c r="I429" s="36" t="str">
        <f ca="1">IFERROR(__xludf.DUMMYFUNCTION("""COMPUTED_VALUE"""),"")</f>
        <v/>
      </c>
      <c r="J429" s="36" t="str">
        <f ca="1">IFERROR(__xludf.DUMMYFUNCTION("""COMPUTED_VALUE"""),"")</f>
        <v/>
      </c>
      <c r="K429" s="36" t="str">
        <f ca="1">IFERROR(__xludf.DUMMYFUNCTION("""COMPUTED_VALUE"""),"")</f>
        <v/>
      </c>
      <c r="L429" s="36" t="str">
        <f ca="1">IFERROR(__xludf.DUMMYFUNCTION("""COMPUTED_VALUE"""),"")</f>
        <v/>
      </c>
      <c r="M429" s="36" t="str">
        <f ca="1">IFERROR(__xludf.DUMMYFUNCTION("""COMPUTED_VALUE"""),"")</f>
        <v/>
      </c>
      <c r="N429" s="36" t="str">
        <f ca="1">IFERROR(__xludf.DUMMYFUNCTION("""COMPUTED_VALUE"""),"")</f>
        <v/>
      </c>
      <c r="O429" s="36" t="str">
        <f ca="1">IFERROR(__xludf.DUMMYFUNCTION("""COMPUTED_VALUE"""),"")</f>
        <v/>
      </c>
      <c r="P429" s="36" t="str">
        <f ca="1">IFERROR(__xludf.DUMMYFUNCTION("""COMPUTED_VALUE"""),"")</f>
        <v/>
      </c>
      <c r="Q429" s="36" t="str">
        <f ca="1">IFERROR(__xludf.DUMMYFUNCTION("""COMPUTED_VALUE"""),"")</f>
        <v/>
      </c>
      <c r="R429" s="36" t="str">
        <f ca="1">IFERROR(__xludf.DUMMYFUNCTION("""COMPUTED_VALUE"""),"")</f>
        <v/>
      </c>
      <c r="S429" s="36" t="str">
        <f ca="1">IFERROR(__xludf.DUMMYFUNCTION("""COMPUTED_VALUE"""),"")</f>
        <v/>
      </c>
      <c r="T429" s="36" t="str">
        <f ca="1">IFERROR(__xludf.DUMMYFUNCTION("""COMPUTED_VALUE"""),"")</f>
        <v/>
      </c>
      <c r="U429" s="36" t="str">
        <f ca="1">IFERROR(__xludf.DUMMYFUNCTION("""COMPUTED_VALUE"""),"")</f>
        <v/>
      </c>
      <c r="V429" s="36" t="str">
        <f ca="1">IFERROR(__xludf.DUMMYFUNCTION("""COMPUTED_VALUE"""),"")</f>
        <v/>
      </c>
      <c r="W429" s="36" t="str">
        <f ca="1">IFERROR(__xludf.DUMMYFUNCTION("""COMPUTED_VALUE"""),"")</f>
        <v/>
      </c>
      <c r="X429" s="36"/>
      <c r="Y429" s="36"/>
      <c r="Z429" s="36"/>
    </row>
    <row r="430" spans="1:26" ht="12.75" hidden="1">
      <c r="A430" s="36" t="str">
        <f ca="1">IFERROR(__xludf.DUMMYFUNCTION("""COMPUTED_VALUE"""),"")</f>
        <v/>
      </c>
      <c r="B430" s="36" t="str">
        <f ca="1">IFERROR(__xludf.DUMMYFUNCTION("""COMPUTED_VALUE"""),"")</f>
        <v/>
      </c>
      <c r="C430" s="36" t="str">
        <f ca="1">IFERROR(__xludf.DUMMYFUNCTION("""COMPUTED_VALUE"""),"")</f>
        <v/>
      </c>
      <c r="D430" s="36" t="str">
        <f ca="1">IFERROR(__xludf.DUMMYFUNCTION("""COMPUTED_VALUE"""),"")</f>
        <v/>
      </c>
      <c r="E430" s="36" t="str">
        <f ca="1">IFERROR(__xludf.DUMMYFUNCTION("""COMPUTED_VALUE"""),"")</f>
        <v/>
      </c>
      <c r="F430" s="36" t="str">
        <f ca="1">IFERROR(__xludf.DUMMYFUNCTION("""COMPUTED_VALUE"""),"")</f>
        <v/>
      </c>
      <c r="G430" s="36" t="str">
        <f ca="1">IFERROR(__xludf.DUMMYFUNCTION("""COMPUTED_VALUE"""),"")</f>
        <v/>
      </c>
      <c r="H430" s="36" t="str">
        <f ca="1">IFERROR(__xludf.DUMMYFUNCTION("""COMPUTED_VALUE"""),"")</f>
        <v/>
      </c>
      <c r="I430" s="36" t="str">
        <f ca="1">IFERROR(__xludf.DUMMYFUNCTION("""COMPUTED_VALUE"""),"")</f>
        <v/>
      </c>
      <c r="J430" s="36" t="str">
        <f ca="1">IFERROR(__xludf.DUMMYFUNCTION("""COMPUTED_VALUE"""),"")</f>
        <v/>
      </c>
      <c r="K430" s="36" t="str">
        <f ca="1">IFERROR(__xludf.DUMMYFUNCTION("""COMPUTED_VALUE"""),"")</f>
        <v/>
      </c>
      <c r="L430" s="36" t="str">
        <f ca="1">IFERROR(__xludf.DUMMYFUNCTION("""COMPUTED_VALUE"""),"")</f>
        <v/>
      </c>
      <c r="M430" s="36" t="str">
        <f ca="1">IFERROR(__xludf.DUMMYFUNCTION("""COMPUTED_VALUE"""),"")</f>
        <v/>
      </c>
      <c r="N430" s="36" t="str">
        <f ca="1">IFERROR(__xludf.DUMMYFUNCTION("""COMPUTED_VALUE"""),"")</f>
        <v/>
      </c>
      <c r="O430" s="36" t="str">
        <f ca="1">IFERROR(__xludf.DUMMYFUNCTION("""COMPUTED_VALUE"""),"")</f>
        <v/>
      </c>
      <c r="P430" s="36" t="str">
        <f ca="1">IFERROR(__xludf.DUMMYFUNCTION("""COMPUTED_VALUE"""),"")</f>
        <v/>
      </c>
      <c r="Q430" s="36" t="str">
        <f ca="1">IFERROR(__xludf.DUMMYFUNCTION("""COMPUTED_VALUE"""),"")</f>
        <v/>
      </c>
      <c r="R430" s="36" t="str">
        <f ca="1">IFERROR(__xludf.DUMMYFUNCTION("""COMPUTED_VALUE"""),"")</f>
        <v/>
      </c>
      <c r="S430" s="36" t="str">
        <f ca="1">IFERROR(__xludf.DUMMYFUNCTION("""COMPUTED_VALUE"""),"")</f>
        <v/>
      </c>
      <c r="T430" s="36" t="str">
        <f ca="1">IFERROR(__xludf.DUMMYFUNCTION("""COMPUTED_VALUE"""),"")</f>
        <v/>
      </c>
      <c r="U430" s="36" t="str">
        <f ca="1">IFERROR(__xludf.DUMMYFUNCTION("""COMPUTED_VALUE"""),"")</f>
        <v/>
      </c>
      <c r="V430" s="36" t="str">
        <f ca="1">IFERROR(__xludf.DUMMYFUNCTION("""COMPUTED_VALUE"""),"")</f>
        <v/>
      </c>
      <c r="W430" s="36" t="str">
        <f ca="1">IFERROR(__xludf.DUMMYFUNCTION("""COMPUTED_VALUE"""),"")</f>
        <v/>
      </c>
      <c r="X430" s="36"/>
      <c r="Y430" s="36"/>
      <c r="Z430" s="36"/>
    </row>
    <row r="431" spans="1:26" ht="12.75" hidden="1">
      <c r="A431" s="36" t="str">
        <f ca="1">IFERROR(__xludf.DUMMYFUNCTION("""COMPUTED_VALUE"""),"")</f>
        <v/>
      </c>
      <c r="B431" s="36" t="str">
        <f ca="1">IFERROR(__xludf.DUMMYFUNCTION("""COMPUTED_VALUE"""),"")</f>
        <v/>
      </c>
      <c r="C431" s="36" t="str">
        <f ca="1">IFERROR(__xludf.DUMMYFUNCTION("""COMPUTED_VALUE"""),"")</f>
        <v/>
      </c>
      <c r="D431" s="36" t="str">
        <f ca="1">IFERROR(__xludf.DUMMYFUNCTION("""COMPUTED_VALUE"""),"")</f>
        <v/>
      </c>
      <c r="E431" s="36" t="str">
        <f ca="1">IFERROR(__xludf.DUMMYFUNCTION("""COMPUTED_VALUE"""),"")</f>
        <v/>
      </c>
      <c r="F431" s="36" t="str">
        <f ca="1">IFERROR(__xludf.DUMMYFUNCTION("""COMPUTED_VALUE"""),"")</f>
        <v/>
      </c>
      <c r="G431" s="36" t="str">
        <f ca="1">IFERROR(__xludf.DUMMYFUNCTION("""COMPUTED_VALUE"""),"")</f>
        <v/>
      </c>
      <c r="H431" s="36" t="str">
        <f ca="1">IFERROR(__xludf.DUMMYFUNCTION("""COMPUTED_VALUE"""),"")</f>
        <v/>
      </c>
      <c r="I431" s="36" t="str">
        <f ca="1">IFERROR(__xludf.DUMMYFUNCTION("""COMPUTED_VALUE"""),"")</f>
        <v/>
      </c>
      <c r="J431" s="36" t="str">
        <f ca="1">IFERROR(__xludf.DUMMYFUNCTION("""COMPUTED_VALUE"""),"")</f>
        <v/>
      </c>
      <c r="K431" s="36" t="str">
        <f ca="1">IFERROR(__xludf.DUMMYFUNCTION("""COMPUTED_VALUE"""),"")</f>
        <v/>
      </c>
      <c r="L431" s="36" t="str">
        <f ca="1">IFERROR(__xludf.DUMMYFUNCTION("""COMPUTED_VALUE"""),"")</f>
        <v/>
      </c>
      <c r="M431" s="36" t="str">
        <f ca="1">IFERROR(__xludf.DUMMYFUNCTION("""COMPUTED_VALUE"""),"")</f>
        <v/>
      </c>
      <c r="N431" s="36" t="str">
        <f ca="1">IFERROR(__xludf.DUMMYFUNCTION("""COMPUTED_VALUE"""),"")</f>
        <v/>
      </c>
      <c r="O431" s="36" t="str">
        <f ca="1">IFERROR(__xludf.DUMMYFUNCTION("""COMPUTED_VALUE"""),"")</f>
        <v/>
      </c>
      <c r="P431" s="36" t="str">
        <f ca="1">IFERROR(__xludf.DUMMYFUNCTION("""COMPUTED_VALUE"""),"")</f>
        <v/>
      </c>
      <c r="Q431" s="36" t="str">
        <f ca="1">IFERROR(__xludf.DUMMYFUNCTION("""COMPUTED_VALUE"""),"")</f>
        <v/>
      </c>
      <c r="R431" s="36" t="str">
        <f ca="1">IFERROR(__xludf.DUMMYFUNCTION("""COMPUTED_VALUE"""),"")</f>
        <v/>
      </c>
      <c r="S431" s="36" t="str">
        <f ca="1">IFERROR(__xludf.DUMMYFUNCTION("""COMPUTED_VALUE"""),"")</f>
        <v/>
      </c>
      <c r="T431" s="36" t="str">
        <f ca="1">IFERROR(__xludf.DUMMYFUNCTION("""COMPUTED_VALUE"""),"")</f>
        <v/>
      </c>
      <c r="U431" s="36" t="str">
        <f ca="1">IFERROR(__xludf.DUMMYFUNCTION("""COMPUTED_VALUE"""),"")</f>
        <v/>
      </c>
      <c r="V431" s="36" t="str">
        <f ca="1">IFERROR(__xludf.DUMMYFUNCTION("""COMPUTED_VALUE"""),"")</f>
        <v/>
      </c>
      <c r="W431" s="36" t="str">
        <f ca="1">IFERROR(__xludf.DUMMYFUNCTION("""COMPUTED_VALUE"""),"")</f>
        <v/>
      </c>
      <c r="X431" s="36"/>
      <c r="Y431" s="36"/>
      <c r="Z431" s="36"/>
    </row>
    <row r="432" spans="1:26" ht="12.75" hidden="1">
      <c r="A432" s="36" t="str">
        <f ca="1">IFERROR(__xludf.DUMMYFUNCTION("""COMPUTED_VALUE"""),"")</f>
        <v/>
      </c>
      <c r="B432" s="36" t="str">
        <f ca="1">IFERROR(__xludf.DUMMYFUNCTION("""COMPUTED_VALUE"""),"")</f>
        <v/>
      </c>
      <c r="C432" s="36" t="str">
        <f ca="1">IFERROR(__xludf.DUMMYFUNCTION("""COMPUTED_VALUE"""),"")</f>
        <v/>
      </c>
      <c r="D432" s="36" t="str">
        <f ca="1">IFERROR(__xludf.DUMMYFUNCTION("""COMPUTED_VALUE"""),"")</f>
        <v/>
      </c>
      <c r="E432" s="36" t="str">
        <f ca="1">IFERROR(__xludf.DUMMYFUNCTION("""COMPUTED_VALUE"""),"")</f>
        <v/>
      </c>
      <c r="F432" s="36" t="str">
        <f ca="1">IFERROR(__xludf.DUMMYFUNCTION("""COMPUTED_VALUE"""),"")</f>
        <v/>
      </c>
      <c r="G432" s="36" t="str">
        <f ca="1">IFERROR(__xludf.DUMMYFUNCTION("""COMPUTED_VALUE"""),"")</f>
        <v/>
      </c>
      <c r="H432" s="36" t="str">
        <f ca="1">IFERROR(__xludf.DUMMYFUNCTION("""COMPUTED_VALUE"""),"")</f>
        <v/>
      </c>
      <c r="I432" s="36" t="str">
        <f ca="1">IFERROR(__xludf.DUMMYFUNCTION("""COMPUTED_VALUE"""),"")</f>
        <v/>
      </c>
      <c r="J432" s="36" t="str">
        <f ca="1">IFERROR(__xludf.DUMMYFUNCTION("""COMPUTED_VALUE"""),"")</f>
        <v/>
      </c>
      <c r="K432" s="36" t="str">
        <f ca="1">IFERROR(__xludf.DUMMYFUNCTION("""COMPUTED_VALUE"""),"")</f>
        <v/>
      </c>
      <c r="L432" s="36" t="str">
        <f ca="1">IFERROR(__xludf.DUMMYFUNCTION("""COMPUTED_VALUE"""),"")</f>
        <v/>
      </c>
      <c r="M432" s="36" t="str">
        <f ca="1">IFERROR(__xludf.DUMMYFUNCTION("""COMPUTED_VALUE"""),"")</f>
        <v/>
      </c>
      <c r="N432" s="36" t="str">
        <f ca="1">IFERROR(__xludf.DUMMYFUNCTION("""COMPUTED_VALUE"""),"")</f>
        <v/>
      </c>
      <c r="O432" s="36" t="str">
        <f ca="1">IFERROR(__xludf.DUMMYFUNCTION("""COMPUTED_VALUE"""),"")</f>
        <v/>
      </c>
      <c r="P432" s="36" t="str">
        <f ca="1">IFERROR(__xludf.DUMMYFUNCTION("""COMPUTED_VALUE"""),"")</f>
        <v/>
      </c>
      <c r="Q432" s="36" t="str">
        <f ca="1">IFERROR(__xludf.DUMMYFUNCTION("""COMPUTED_VALUE"""),"")</f>
        <v/>
      </c>
      <c r="R432" s="36" t="str">
        <f ca="1">IFERROR(__xludf.DUMMYFUNCTION("""COMPUTED_VALUE"""),"")</f>
        <v/>
      </c>
      <c r="S432" s="36" t="str">
        <f ca="1">IFERROR(__xludf.DUMMYFUNCTION("""COMPUTED_VALUE"""),"")</f>
        <v/>
      </c>
      <c r="T432" s="36" t="str">
        <f ca="1">IFERROR(__xludf.DUMMYFUNCTION("""COMPUTED_VALUE"""),"")</f>
        <v/>
      </c>
      <c r="U432" s="36" t="str">
        <f ca="1">IFERROR(__xludf.DUMMYFUNCTION("""COMPUTED_VALUE"""),"")</f>
        <v/>
      </c>
      <c r="V432" s="36" t="str">
        <f ca="1">IFERROR(__xludf.DUMMYFUNCTION("""COMPUTED_VALUE"""),"")</f>
        <v/>
      </c>
      <c r="W432" s="36" t="str">
        <f ca="1">IFERROR(__xludf.DUMMYFUNCTION("""COMPUTED_VALUE"""),"")</f>
        <v/>
      </c>
      <c r="X432" s="36"/>
      <c r="Y432" s="36"/>
      <c r="Z432" s="36"/>
    </row>
    <row r="433" spans="1:26" ht="12.75" hidden="1">
      <c r="A433" s="36" t="str">
        <f ca="1">IFERROR(__xludf.DUMMYFUNCTION("""COMPUTED_VALUE"""),"")</f>
        <v/>
      </c>
      <c r="B433" s="36" t="str">
        <f ca="1">IFERROR(__xludf.DUMMYFUNCTION("""COMPUTED_VALUE"""),"")</f>
        <v/>
      </c>
      <c r="C433" s="36" t="str">
        <f ca="1">IFERROR(__xludf.DUMMYFUNCTION("""COMPUTED_VALUE"""),"")</f>
        <v/>
      </c>
      <c r="D433" s="36" t="str">
        <f ca="1">IFERROR(__xludf.DUMMYFUNCTION("""COMPUTED_VALUE"""),"")</f>
        <v/>
      </c>
      <c r="E433" s="36" t="str">
        <f ca="1">IFERROR(__xludf.DUMMYFUNCTION("""COMPUTED_VALUE"""),"")</f>
        <v/>
      </c>
      <c r="F433" s="36" t="str">
        <f ca="1">IFERROR(__xludf.DUMMYFUNCTION("""COMPUTED_VALUE"""),"")</f>
        <v/>
      </c>
      <c r="G433" s="36" t="str">
        <f ca="1">IFERROR(__xludf.DUMMYFUNCTION("""COMPUTED_VALUE"""),"")</f>
        <v/>
      </c>
      <c r="H433" s="36" t="str">
        <f ca="1">IFERROR(__xludf.DUMMYFUNCTION("""COMPUTED_VALUE"""),"")</f>
        <v/>
      </c>
      <c r="I433" s="36" t="str">
        <f ca="1">IFERROR(__xludf.DUMMYFUNCTION("""COMPUTED_VALUE"""),"")</f>
        <v/>
      </c>
      <c r="J433" s="36" t="str">
        <f ca="1">IFERROR(__xludf.DUMMYFUNCTION("""COMPUTED_VALUE"""),"")</f>
        <v/>
      </c>
      <c r="K433" s="36" t="str">
        <f ca="1">IFERROR(__xludf.DUMMYFUNCTION("""COMPUTED_VALUE"""),"")</f>
        <v/>
      </c>
      <c r="L433" s="36" t="str">
        <f ca="1">IFERROR(__xludf.DUMMYFUNCTION("""COMPUTED_VALUE"""),"")</f>
        <v/>
      </c>
      <c r="M433" s="36" t="str">
        <f ca="1">IFERROR(__xludf.DUMMYFUNCTION("""COMPUTED_VALUE"""),"")</f>
        <v/>
      </c>
      <c r="N433" s="36" t="str">
        <f ca="1">IFERROR(__xludf.DUMMYFUNCTION("""COMPUTED_VALUE"""),"")</f>
        <v/>
      </c>
      <c r="O433" s="36" t="str">
        <f ca="1">IFERROR(__xludf.DUMMYFUNCTION("""COMPUTED_VALUE"""),"")</f>
        <v/>
      </c>
      <c r="P433" s="36" t="str">
        <f ca="1">IFERROR(__xludf.DUMMYFUNCTION("""COMPUTED_VALUE"""),"")</f>
        <v/>
      </c>
      <c r="Q433" s="36" t="str">
        <f ca="1">IFERROR(__xludf.DUMMYFUNCTION("""COMPUTED_VALUE"""),"")</f>
        <v/>
      </c>
      <c r="R433" s="36" t="str">
        <f ca="1">IFERROR(__xludf.DUMMYFUNCTION("""COMPUTED_VALUE"""),"")</f>
        <v/>
      </c>
      <c r="S433" s="36" t="str">
        <f ca="1">IFERROR(__xludf.DUMMYFUNCTION("""COMPUTED_VALUE"""),"")</f>
        <v/>
      </c>
      <c r="T433" s="36" t="str">
        <f ca="1">IFERROR(__xludf.DUMMYFUNCTION("""COMPUTED_VALUE"""),"")</f>
        <v/>
      </c>
      <c r="U433" s="36" t="str">
        <f ca="1">IFERROR(__xludf.DUMMYFUNCTION("""COMPUTED_VALUE"""),"")</f>
        <v/>
      </c>
      <c r="V433" s="36" t="str">
        <f ca="1">IFERROR(__xludf.DUMMYFUNCTION("""COMPUTED_VALUE"""),"")</f>
        <v/>
      </c>
      <c r="W433" s="36" t="str">
        <f ca="1">IFERROR(__xludf.DUMMYFUNCTION("""COMPUTED_VALUE"""),"")</f>
        <v/>
      </c>
      <c r="X433" s="36"/>
      <c r="Y433" s="36"/>
      <c r="Z433" s="36"/>
    </row>
    <row r="434" spans="1:26" ht="12.75" hidden="1">
      <c r="A434" s="36" t="str">
        <f ca="1">IFERROR(__xludf.DUMMYFUNCTION("""COMPUTED_VALUE"""),"")</f>
        <v/>
      </c>
      <c r="B434" s="36" t="str">
        <f ca="1">IFERROR(__xludf.DUMMYFUNCTION("""COMPUTED_VALUE"""),"")</f>
        <v/>
      </c>
      <c r="C434" s="36" t="str">
        <f ca="1">IFERROR(__xludf.DUMMYFUNCTION("""COMPUTED_VALUE"""),"")</f>
        <v/>
      </c>
      <c r="D434" s="36" t="str">
        <f ca="1">IFERROR(__xludf.DUMMYFUNCTION("""COMPUTED_VALUE"""),"")</f>
        <v/>
      </c>
      <c r="E434" s="36" t="str">
        <f ca="1">IFERROR(__xludf.DUMMYFUNCTION("""COMPUTED_VALUE"""),"")</f>
        <v/>
      </c>
      <c r="F434" s="36" t="str">
        <f ca="1">IFERROR(__xludf.DUMMYFUNCTION("""COMPUTED_VALUE"""),"")</f>
        <v/>
      </c>
      <c r="G434" s="36" t="str">
        <f ca="1">IFERROR(__xludf.DUMMYFUNCTION("""COMPUTED_VALUE"""),"")</f>
        <v/>
      </c>
      <c r="H434" s="36" t="str">
        <f ca="1">IFERROR(__xludf.DUMMYFUNCTION("""COMPUTED_VALUE"""),"")</f>
        <v/>
      </c>
      <c r="I434" s="36" t="str">
        <f ca="1">IFERROR(__xludf.DUMMYFUNCTION("""COMPUTED_VALUE"""),"")</f>
        <v/>
      </c>
      <c r="J434" s="36" t="str">
        <f ca="1">IFERROR(__xludf.DUMMYFUNCTION("""COMPUTED_VALUE"""),"")</f>
        <v/>
      </c>
      <c r="K434" s="36" t="str">
        <f ca="1">IFERROR(__xludf.DUMMYFUNCTION("""COMPUTED_VALUE"""),"")</f>
        <v/>
      </c>
      <c r="L434" s="36" t="str">
        <f ca="1">IFERROR(__xludf.DUMMYFUNCTION("""COMPUTED_VALUE"""),"")</f>
        <v/>
      </c>
      <c r="M434" s="36" t="str">
        <f ca="1">IFERROR(__xludf.DUMMYFUNCTION("""COMPUTED_VALUE"""),"")</f>
        <v/>
      </c>
      <c r="N434" s="36" t="str">
        <f ca="1">IFERROR(__xludf.DUMMYFUNCTION("""COMPUTED_VALUE"""),"")</f>
        <v/>
      </c>
      <c r="O434" s="36" t="str">
        <f ca="1">IFERROR(__xludf.DUMMYFUNCTION("""COMPUTED_VALUE"""),"")</f>
        <v/>
      </c>
      <c r="P434" s="36" t="str">
        <f ca="1">IFERROR(__xludf.DUMMYFUNCTION("""COMPUTED_VALUE"""),"")</f>
        <v/>
      </c>
      <c r="Q434" s="36" t="str">
        <f ca="1">IFERROR(__xludf.DUMMYFUNCTION("""COMPUTED_VALUE"""),"")</f>
        <v/>
      </c>
      <c r="R434" s="36" t="str">
        <f ca="1">IFERROR(__xludf.DUMMYFUNCTION("""COMPUTED_VALUE"""),"")</f>
        <v/>
      </c>
      <c r="S434" s="36" t="str">
        <f ca="1">IFERROR(__xludf.DUMMYFUNCTION("""COMPUTED_VALUE"""),"")</f>
        <v/>
      </c>
      <c r="T434" s="36" t="str">
        <f ca="1">IFERROR(__xludf.DUMMYFUNCTION("""COMPUTED_VALUE"""),"")</f>
        <v/>
      </c>
      <c r="U434" s="36" t="str">
        <f ca="1">IFERROR(__xludf.DUMMYFUNCTION("""COMPUTED_VALUE"""),"")</f>
        <v/>
      </c>
      <c r="V434" s="36" t="str">
        <f ca="1">IFERROR(__xludf.DUMMYFUNCTION("""COMPUTED_VALUE"""),"")</f>
        <v/>
      </c>
      <c r="W434" s="36" t="str">
        <f ca="1">IFERROR(__xludf.DUMMYFUNCTION("""COMPUTED_VALUE"""),"")</f>
        <v/>
      </c>
      <c r="X434" s="36"/>
      <c r="Y434" s="36"/>
      <c r="Z434" s="36"/>
    </row>
    <row r="435" spans="1:26" ht="12.75" hidden="1">
      <c r="A435" s="36" t="str">
        <f ca="1">IFERROR(__xludf.DUMMYFUNCTION("""COMPUTED_VALUE"""),"")</f>
        <v/>
      </c>
      <c r="B435" s="36" t="str">
        <f ca="1">IFERROR(__xludf.DUMMYFUNCTION("""COMPUTED_VALUE"""),"")</f>
        <v/>
      </c>
      <c r="C435" s="36" t="str">
        <f ca="1">IFERROR(__xludf.DUMMYFUNCTION("""COMPUTED_VALUE"""),"")</f>
        <v/>
      </c>
      <c r="D435" s="36" t="str">
        <f ca="1">IFERROR(__xludf.DUMMYFUNCTION("""COMPUTED_VALUE"""),"")</f>
        <v/>
      </c>
      <c r="E435" s="36" t="str">
        <f ca="1">IFERROR(__xludf.DUMMYFUNCTION("""COMPUTED_VALUE"""),"")</f>
        <v/>
      </c>
      <c r="F435" s="36" t="str">
        <f ca="1">IFERROR(__xludf.DUMMYFUNCTION("""COMPUTED_VALUE"""),"")</f>
        <v/>
      </c>
      <c r="G435" s="36" t="str">
        <f ca="1">IFERROR(__xludf.DUMMYFUNCTION("""COMPUTED_VALUE"""),"")</f>
        <v/>
      </c>
      <c r="H435" s="36" t="str">
        <f ca="1">IFERROR(__xludf.DUMMYFUNCTION("""COMPUTED_VALUE"""),"")</f>
        <v/>
      </c>
      <c r="I435" s="36" t="str">
        <f ca="1">IFERROR(__xludf.DUMMYFUNCTION("""COMPUTED_VALUE"""),"")</f>
        <v/>
      </c>
      <c r="J435" s="36" t="str">
        <f ca="1">IFERROR(__xludf.DUMMYFUNCTION("""COMPUTED_VALUE"""),"")</f>
        <v/>
      </c>
      <c r="K435" s="36" t="str">
        <f ca="1">IFERROR(__xludf.DUMMYFUNCTION("""COMPUTED_VALUE"""),"")</f>
        <v/>
      </c>
      <c r="L435" s="36" t="str">
        <f ca="1">IFERROR(__xludf.DUMMYFUNCTION("""COMPUTED_VALUE"""),"")</f>
        <v/>
      </c>
      <c r="M435" s="36" t="str">
        <f ca="1">IFERROR(__xludf.DUMMYFUNCTION("""COMPUTED_VALUE"""),"")</f>
        <v/>
      </c>
      <c r="N435" s="36" t="str">
        <f ca="1">IFERROR(__xludf.DUMMYFUNCTION("""COMPUTED_VALUE"""),"")</f>
        <v/>
      </c>
      <c r="O435" s="36" t="str">
        <f ca="1">IFERROR(__xludf.DUMMYFUNCTION("""COMPUTED_VALUE"""),"")</f>
        <v/>
      </c>
      <c r="P435" s="36" t="str">
        <f ca="1">IFERROR(__xludf.DUMMYFUNCTION("""COMPUTED_VALUE"""),"")</f>
        <v/>
      </c>
      <c r="Q435" s="36" t="str">
        <f ca="1">IFERROR(__xludf.DUMMYFUNCTION("""COMPUTED_VALUE"""),"")</f>
        <v/>
      </c>
      <c r="R435" s="36" t="str">
        <f ca="1">IFERROR(__xludf.DUMMYFUNCTION("""COMPUTED_VALUE"""),"")</f>
        <v/>
      </c>
      <c r="S435" s="36" t="str">
        <f ca="1">IFERROR(__xludf.DUMMYFUNCTION("""COMPUTED_VALUE"""),"")</f>
        <v/>
      </c>
      <c r="T435" s="36" t="str">
        <f ca="1">IFERROR(__xludf.DUMMYFUNCTION("""COMPUTED_VALUE"""),"")</f>
        <v/>
      </c>
      <c r="U435" s="36" t="str">
        <f ca="1">IFERROR(__xludf.DUMMYFUNCTION("""COMPUTED_VALUE"""),"")</f>
        <v/>
      </c>
      <c r="V435" s="36" t="str">
        <f ca="1">IFERROR(__xludf.DUMMYFUNCTION("""COMPUTED_VALUE"""),"")</f>
        <v/>
      </c>
      <c r="W435" s="36" t="str">
        <f ca="1">IFERROR(__xludf.DUMMYFUNCTION("""COMPUTED_VALUE"""),"")</f>
        <v/>
      </c>
      <c r="X435" s="36"/>
      <c r="Y435" s="36"/>
      <c r="Z435" s="36"/>
    </row>
    <row r="436" spans="1:26" ht="12.75" hidden="1">
      <c r="A436" s="36" t="str">
        <f ca="1">IFERROR(__xludf.DUMMYFUNCTION("""COMPUTED_VALUE"""),"")</f>
        <v/>
      </c>
      <c r="B436" s="36" t="str">
        <f ca="1">IFERROR(__xludf.DUMMYFUNCTION("""COMPUTED_VALUE"""),"")</f>
        <v/>
      </c>
      <c r="C436" s="36" t="str">
        <f ca="1">IFERROR(__xludf.DUMMYFUNCTION("""COMPUTED_VALUE"""),"")</f>
        <v/>
      </c>
      <c r="D436" s="36" t="str">
        <f ca="1">IFERROR(__xludf.DUMMYFUNCTION("""COMPUTED_VALUE"""),"")</f>
        <v/>
      </c>
      <c r="E436" s="36" t="str">
        <f ca="1">IFERROR(__xludf.DUMMYFUNCTION("""COMPUTED_VALUE"""),"")</f>
        <v/>
      </c>
      <c r="F436" s="36" t="str">
        <f ca="1">IFERROR(__xludf.DUMMYFUNCTION("""COMPUTED_VALUE"""),"")</f>
        <v/>
      </c>
      <c r="G436" s="36" t="str">
        <f ca="1">IFERROR(__xludf.DUMMYFUNCTION("""COMPUTED_VALUE"""),"")</f>
        <v/>
      </c>
      <c r="H436" s="36" t="str">
        <f ca="1">IFERROR(__xludf.DUMMYFUNCTION("""COMPUTED_VALUE"""),"")</f>
        <v/>
      </c>
      <c r="I436" s="36" t="str">
        <f ca="1">IFERROR(__xludf.DUMMYFUNCTION("""COMPUTED_VALUE"""),"")</f>
        <v/>
      </c>
      <c r="J436" s="36" t="str">
        <f ca="1">IFERROR(__xludf.DUMMYFUNCTION("""COMPUTED_VALUE"""),"")</f>
        <v/>
      </c>
      <c r="K436" s="36" t="str">
        <f ca="1">IFERROR(__xludf.DUMMYFUNCTION("""COMPUTED_VALUE"""),"")</f>
        <v/>
      </c>
      <c r="L436" s="36" t="str">
        <f ca="1">IFERROR(__xludf.DUMMYFUNCTION("""COMPUTED_VALUE"""),"")</f>
        <v/>
      </c>
      <c r="M436" s="36" t="str">
        <f ca="1">IFERROR(__xludf.DUMMYFUNCTION("""COMPUTED_VALUE"""),"")</f>
        <v/>
      </c>
      <c r="N436" s="36" t="str">
        <f ca="1">IFERROR(__xludf.DUMMYFUNCTION("""COMPUTED_VALUE"""),"")</f>
        <v/>
      </c>
      <c r="O436" s="36" t="str">
        <f ca="1">IFERROR(__xludf.DUMMYFUNCTION("""COMPUTED_VALUE"""),"")</f>
        <v/>
      </c>
      <c r="P436" s="36" t="str">
        <f ca="1">IFERROR(__xludf.DUMMYFUNCTION("""COMPUTED_VALUE"""),"")</f>
        <v/>
      </c>
      <c r="Q436" s="36" t="str">
        <f ca="1">IFERROR(__xludf.DUMMYFUNCTION("""COMPUTED_VALUE"""),"")</f>
        <v/>
      </c>
      <c r="R436" s="36" t="str">
        <f ca="1">IFERROR(__xludf.DUMMYFUNCTION("""COMPUTED_VALUE"""),"")</f>
        <v/>
      </c>
      <c r="S436" s="36" t="str">
        <f ca="1">IFERROR(__xludf.DUMMYFUNCTION("""COMPUTED_VALUE"""),"")</f>
        <v/>
      </c>
      <c r="T436" s="36" t="str">
        <f ca="1">IFERROR(__xludf.DUMMYFUNCTION("""COMPUTED_VALUE"""),"")</f>
        <v/>
      </c>
      <c r="U436" s="36" t="str">
        <f ca="1">IFERROR(__xludf.DUMMYFUNCTION("""COMPUTED_VALUE"""),"")</f>
        <v/>
      </c>
      <c r="V436" s="36" t="str">
        <f ca="1">IFERROR(__xludf.DUMMYFUNCTION("""COMPUTED_VALUE"""),"")</f>
        <v/>
      </c>
      <c r="W436" s="36" t="str">
        <f ca="1">IFERROR(__xludf.DUMMYFUNCTION("""COMPUTED_VALUE"""),"")</f>
        <v/>
      </c>
      <c r="X436" s="36"/>
      <c r="Y436" s="36"/>
      <c r="Z436" s="36"/>
    </row>
    <row r="437" spans="1:26" ht="12.75" hidden="1">
      <c r="A437" s="36" t="str">
        <f ca="1">IFERROR(__xludf.DUMMYFUNCTION("""COMPUTED_VALUE"""),"")</f>
        <v/>
      </c>
      <c r="B437" s="36" t="str">
        <f ca="1">IFERROR(__xludf.DUMMYFUNCTION("""COMPUTED_VALUE"""),"")</f>
        <v/>
      </c>
      <c r="C437" s="36" t="str">
        <f ca="1">IFERROR(__xludf.DUMMYFUNCTION("""COMPUTED_VALUE"""),"")</f>
        <v/>
      </c>
      <c r="D437" s="36" t="str">
        <f ca="1">IFERROR(__xludf.DUMMYFUNCTION("""COMPUTED_VALUE"""),"")</f>
        <v/>
      </c>
      <c r="E437" s="36" t="str">
        <f ca="1">IFERROR(__xludf.DUMMYFUNCTION("""COMPUTED_VALUE"""),"")</f>
        <v/>
      </c>
      <c r="F437" s="36" t="str">
        <f ca="1">IFERROR(__xludf.DUMMYFUNCTION("""COMPUTED_VALUE"""),"")</f>
        <v/>
      </c>
      <c r="G437" s="36" t="str">
        <f ca="1">IFERROR(__xludf.DUMMYFUNCTION("""COMPUTED_VALUE"""),"")</f>
        <v/>
      </c>
      <c r="H437" s="36" t="str">
        <f ca="1">IFERROR(__xludf.DUMMYFUNCTION("""COMPUTED_VALUE"""),"")</f>
        <v/>
      </c>
      <c r="I437" s="36" t="str">
        <f ca="1">IFERROR(__xludf.DUMMYFUNCTION("""COMPUTED_VALUE"""),"")</f>
        <v/>
      </c>
      <c r="J437" s="36" t="str">
        <f ca="1">IFERROR(__xludf.DUMMYFUNCTION("""COMPUTED_VALUE"""),"")</f>
        <v/>
      </c>
      <c r="K437" s="36" t="str">
        <f ca="1">IFERROR(__xludf.DUMMYFUNCTION("""COMPUTED_VALUE"""),"")</f>
        <v/>
      </c>
      <c r="L437" s="36" t="str">
        <f ca="1">IFERROR(__xludf.DUMMYFUNCTION("""COMPUTED_VALUE"""),"")</f>
        <v/>
      </c>
      <c r="M437" s="36" t="str">
        <f ca="1">IFERROR(__xludf.DUMMYFUNCTION("""COMPUTED_VALUE"""),"")</f>
        <v/>
      </c>
      <c r="N437" s="36" t="str">
        <f ca="1">IFERROR(__xludf.DUMMYFUNCTION("""COMPUTED_VALUE"""),"")</f>
        <v/>
      </c>
      <c r="O437" s="36" t="str">
        <f ca="1">IFERROR(__xludf.DUMMYFUNCTION("""COMPUTED_VALUE"""),"")</f>
        <v/>
      </c>
      <c r="P437" s="36" t="str">
        <f ca="1">IFERROR(__xludf.DUMMYFUNCTION("""COMPUTED_VALUE"""),"")</f>
        <v/>
      </c>
      <c r="Q437" s="36" t="str">
        <f ca="1">IFERROR(__xludf.DUMMYFUNCTION("""COMPUTED_VALUE"""),"")</f>
        <v/>
      </c>
      <c r="R437" s="36" t="str">
        <f ca="1">IFERROR(__xludf.DUMMYFUNCTION("""COMPUTED_VALUE"""),"")</f>
        <v/>
      </c>
      <c r="S437" s="36" t="str">
        <f ca="1">IFERROR(__xludf.DUMMYFUNCTION("""COMPUTED_VALUE"""),"")</f>
        <v/>
      </c>
      <c r="T437" s="36" t="str">
        <f ca="1">IFERROR(__xludf.DUMMYFUNCTION("""COMPUTED_VALUE"""),"")</f>
        <v/>
      </c>
      <c r="U437" s="36" t="str">
        <f ca="1">IFERROR(__xludf.DUMMYFUNCTION("""COMPUTED_VALUE"""),"")</f>
        <v/>
      </c>
      <c r="V437" s="36" t="str">
        <f ca="1">IFERROR(__xludf.DUMMYFUNCTION("""COMPUTED_VALUE"""),"")</f>
        <v/>
      </c>
      <c r="W437" s="36" t="str">
        <f ca="1">IFERROR(__xludf.DUMMYFUNCTION("""COMPUTED_VALUE"""),"")</f>
        <v/>
      </c>
      <c r="X437" s="36"/>
      <c r="Y437" s="36"/>
      <c r="Z437" s="36"/>
    </row>
    <row r="438" spans="1:26" ht="12.75" hidden="1">
      <c r="A438" s="36" t="str">
        <f ca="1">IFERROR(__xludf.DUMMYFUNCTION("""COMPUTED_VALUE"""),"")</f>
        <v/>
      </c>
      <c r="B438" s="36" t="str">
        <f ca="1">IFERROR(__xludf.DUMMYFUNCTION("""COMPUTED_VALUE"""),"")</f>
        <v/>
      </c>
      <c r="C438" s="36" t="str">
        <f ca="1">IFERROR(__xludf.DUMMYFUNCTION("""COMPUTED_VALUE"""),"")</f>
        <v/>
      </c>
      <c r="D438" s="36" t="str">
        <f ca="1">IFERROR(__xludf.DUMMYFUNCTION("""COMPUTED_VALUE"""),"")</f>
        <v/>
      </c>
      <c r="E438" s="36" t="str">
        <f ca="1">IFERROR(__xludf.DUMMYFUNCTION("""COMPUTED_VALUE"""),"")</f>
        <v/>
      </c>
      <c r="F438" s="36" t="str">
        <f ca="1">IFERROR(__xludf.DUMMYFUNCTION("""COMPUTED_VALUE"""),"")</f>
        <v/>
      </c>
      <c r="G438" s="36" t="str">
        <f ca="1">IFERROR(__xludf.DUMMYFUNCTION("""COMPUTED_VALUE"""),"")</f>
        <v/>
      </c>
      <c r="H438" s="36" t="str">
        <f ca="1">IFERROR(__xludf.DUMMYFUNCTION("""COMPUTED_VALUE"""),"")</f>
        <v/>
      </c>
      <c r="I438" s="36" t="str">
        <f ca="1">IFERROR(__xludf.DUMMYFUNCTION("""COMPUTED_VALUE"""),"")</f>
        <v/>
      </c>
      <c r="J438" s="36" t="str">
        <f ca="1">IFERROR(__xludf.DUMMYFUNCTION("""COMPUTED_VALUE"""),"")</f>
        <v/>
      </c>
      <c r="K438" s="36" t="str">
        <f ca="1">IFERROR(__xludf.DUMMYFUNCTION("""COMPUTED_VALUE"""),"")</f>
        <v/>
      </c>
      <c r="L438" s="36" t="str">
        <f ca="1">IFERROR(__xludf.DUMMYFUNCTION("""COMPUTED_VALUE"""),"")</f>
        <v/>
      </c>
      <c r="M438" s="36" t="str">
        <f ca="1">IFERROR(__xludf.DUMMYFUNCTION("""COMPUTED_VALUE"""),"")</f>
        <v/>
      </c>
      <c r="N438" s="36" t="str">
        <f ca="1">IFERROR(__xludf.DUMMYFUNCTION("""COMPUTED_VALUE"""),"")</f>
        <v/>
      </c>
      <c r="O438" s="36" t="str">
        <f ca="1">IFERROR(__xludf.DUMMYFUNCTION("""COMPUTED_VALUE"""),"")</f>
        <v/>
      </c>
      <c r="P438" s="36" t="str">
        <f ca="1">IFERROR(__xludf.DUMMYFUNCTION("""COMPUTED_VALUE"""),"")</f>
        <v/>
      </c>
      <c r="Q438" s="36" t="str">
        <f ca="1">IFERROR(__xludf.DUMMYFUNCTION("""COMPUTED_VALUE"""),"")</f>
        <v/>
      </c>
      <c r="R438" s="36" t="str">
        <f ca="1">IFERROR(__xludf.DUMMYFUNCTION("""COMPUTED_VALUE"""),"")</f>
        <v/>
      </c>
      <c r="S438" s="36" t="str">
        <f ca="1">IFERROR(__xludf.DUMMYFUNCTION("""COMPUTED_VALUE"""),"")</f>
        <v/>
      </c>
      <c r="T438" s="36" t="str">
        <f ca="1">IFERROR(__xludf.DUMMYFUNCTION("""COMPUTED_VALUE"""),"")</f>
        <v/>
      </c>
      <c r="U438" s="36" t="str">
        <f ca="1">IFERROR(__xludf.DUMMYFUNCTION("""COMPUTED_VALUE"""),"")</f>
        <v/>
      </c>
      <c r="V438" s="36" t="str">
        <f ca="1">IFERROR(__xludf.DUMMYFUNCTION("""COMPUTED_VALUE"""),"")</f>
        <v/>
      </c>
      <c r="W438" s="36" t="str">
        <f ca="1">IFERROR(__xludf.DUMMYFUNCTION("""COMPUTED_VALUE"""),"")</f>
        <v/>
      </c>
      <c r="X438" s="36"/>
      <c r="Y438" s="36"/>
      <c r="Z438" s="36"/>
    </row>
    <row r="439" spans="1:26" ht="12.75" hidden="1">
      <c r="A439" s="36" t="str">
        <f ca="1">IFERROR(__xludf.DUMMYFUNCTION("""COMPUTED_VALUE"""),"")</f>
        <v/>
      </c>
      <c r="B439" s="36" t="str">
        <f ca="1">IFERROR(__xludf.DUMMYFUNCTION("""COMPUTED_VALUE"""),"")</f>
        <v/>
      </c>
      <c r="C439" s="36" t="str">
        <f ca="1">IFERROR(__xludf.DUMMYFUNCTION("""COMPUTED_VALUE"""),"")</f>
        <v/>
      </c>
      <c r="D439" s="36" t="str">
        <f ca="1">IFERROR(__xludf.DUMMYFUNCTION("""COMPUTED_VALUE"""),"")</f>
        <v/>
      </c>
      <c r="E439" s="36" t="str">
        <f ca="1">IFERROR(__xludf.DUMMYFUNCTION("""COMPUTED_VALUE"""),"")</f>
        <v/>
      </c>
      <c r="F439" s="36" t="str">
        <f ca="1">IFERROR(__xludf.DUMMYFUNCTION("""COMPUTED_VALUE"""),"")</f>
        <v/>
      </c>
      <c r="G439" s="36" t="str">
        <f ca="1">IFERROR(__xludf.DUMMYFUNCTION("""COMPUTED_VALUE"""),"")</f>
        <v/>
      </c>
      <c r="H439" s="36" t="str">
        <f ca="1">IFERROR(__xludf.DUMMYFUNCTION("""COMPUTED_VALUE"""),"")</f>
        <v/>
      </c>
      <c r="I439" s="36" t="str">
        <f ca="1">IFERROR(__xludf.DUMMYFUNCTION("""COMPUTED_VALUE"""),"")</f>
        <v/>
      </c>
      <c r="J439" s="36" t="str">
        <f ca="1">IFERROR(__xludf.DUMMYFUNCTION("""COMPUTED_VALUE"""),"")</f>
        <v/>
      </c>
      <c r="K439" s="36" t="str">
        <f ca="1">IFERROR(__xludf.DUMMYFUNCTION("""COMPUTED_VALUE"""),"")</f>
        <v/>
      </c>
      <c r="L439" s="36" t="str">
        <f ca="1">IFERROR(__xludf.DUMMYFUNCTION("""COMPUTED_VALUE"""),"")</f>
        <v/>
      </c>
      <c r="M439" s="36" t="str">
        <f ca="1">IFERROR(__xludf.DUMMYFUNCTION("""COMPUTED_VALUE"""),"")</f>
        <v/>
      </c>
      <c r="N439" s="36" t="str">
        <f ca="1">IFERROR(__xludf.DUMMYFUNCTION("""COMPUTED_VALUE"""),"")</f>
        <v/>
      </c>
      <c r="O439" s="36" t="str">
        <f ca="1">IFERROR(__xludf.DUMMYFUNCTION("""COMPUTED_VALUE"""),"")</f>
        <v/>
      </c>
      <c r="P439" s="36" t="str">
        <f ca="1">IFERROR(__xludf.DUMMYFUNCTION("""COMPUTED_VALUE"""),"")</f>
        <v/>
      </c>
      <c r="Q439" s="36" t="str">
        <f ca="1">IFERROR(__xludf.DUMMYFUNCTION("""COMPUTED_VALUE"""),"")</f>
        <v/>
      </c>
      <c r="R439" s="36" t="str">
        <f ca="1">IFERROR(__xludf.DUMMYFUNCTION("""COMPUTED_VALUE"""),"")</f>
        <v/>
      </c>
      <c r="S439" s="36" t="str">
        <f ca="1">IFERROR(__xludf.DUMMYFUNCTION("""COMPUTED_VALUE"""),"")</f>
        <v/>
      </c>
      <c r="T439" s="36" t="str">
        <f ca="1">IFERROR(__xludf.DUMMYFUNCTION("""COMPUTED_VALUE"""),"")</f>
        <v/>
      </c>
      <c r="U439" s="36" t="str">
        <f ca="1">IFERROR(__xludf.DUMMYFUNCTION("""COMPUTED_VALUE"""),"")</f>
        <v/>
      </c>
      <c r="V439" s="36" t="str">
        <f ca="1">IFERROR(__xludf.DUMMYFUNCTION("""COMPUTED_VALUE"""),"")</f>
        <v/>
      </c>
      <c r="W439" s="36" t="str">
        <f ca="1">IFERROR(__xludf.DUMMYFUNCTION("""COMPUTED_VALUE"""),"")</f>
        <v/>
      </c>
      <c r="X439" s="36"/>
      <c r="Y439" s="36"/>
      <c r="Z439" s="36"/>
    </row>
    <row r="440" spans="1:26" ht="12.75" hidden="1">
      <c r="A440" s="36" t="str">
        <f ca="1">IFERROR(__xludf.DUMMYFUNCTION("""COMPUTED_VALUE"""),"")</f>
        <v/>
      </c>
      <c r="B440" s="36" t="str">
        <f ca="1">IFERROR(__xludf.DUMMYFUNCTION("""COMPUTED_VALUE"""),"")</f>
        <v/>
      </c>
      <c r="C440" s="36" t="str">
        <f ca="1">IFERROR(__xludf.DUMMYFUNCTION("""COMPUTED_VALUE"""),"")</f>
        <v/>
      </c>
      <c r="D440" s="36" t="str">
        <f ca="1">IFERROR(__xludf.DUMMYFUNCTION("""COMPUTED_VALUE"""),"")</f>
        <v/>
      </c>
      <c r="E440" s="36" t="str">
        <f ca="1">IFERROR(__xludf.DUMMYFUNCTION("""COMPUTED_VALUE"""),"")</f>
        <v/>
      </c>
      <c r="F440" s="36" t="str">
        <f ca="1">IFERROR(__xludf.DUMMYFUNCTION("""COMPUTED_VALUE"""),"")</f>
        <v/>
      </c>
      <c r="G440" s="36" t="str">
        <f ca="1">IFERROR(__xludf.DUMMYFUNCTION("""COMPUTED_VALUE"""),"")</f>
        <v/>
      </c>
      <c r="H440" s="36" t="str">
        <f ca="1">IFERROR(__xludf.DUMMYFUNCTION("""COMPUTED_VALUE"""),"")</f>
        <v/>
      </c>
      <c r="I440" s="36" t="str">
        <f ca="1">IFERROR(__xludf.DUMMYFUNCTION("""COMPUTED_VALUE"""),"")</f>
        <v/>
      </c>
      <c r="J440" s="36" t="str">
        <f ca="1">IFERROR(__xludf.DUMMYFUNCTION("""COMPUTED_VALUE"""),"")</f>
        <v/>
      </c>
      <c r="K440" s="36" t="str">
        <f ca="1">IFERROR(__xludf.DUMMYFUNCTION("""COMPUTED_VALUE"""),"")</f>
        <v/>
      </c>
      <c r="L440" s="36" t="str">
        <f ca="1">IFERROR(__xludf.DUMMYFUNCTION("""COMPUTED_VALUE"""),"")</f>
        <v/>
      </c>
      <c r="M440" s="36" t="str">
        <f ca="1">IFERROR(__xludf.DUMMYFUNCTION("""COMPUTED_VALUE"""),"")</f>
        <v/>
      </c>
      <c r="N440" s="36" t="str">
        <f ca="1">IFERROR(__xludf.DUMMYFUNCTION("""COMPUTED_VALUE"""),"")</f>
        <v/>
      </c>
      <c r="O440" s="36" t="str">
        <f ca="1">IFERROR(__xludf.DUMMYFUNCTION("""COMPUTED_VALUE"""),"")</f>
        <v/>
      </c>
      <c r="P440" s="36" t="str">
        <f ca="1">IFERROR(__xludf.DUMMYFUNCTION("""COMPUTED_VALUE"""),"")</f>
        <v/>
      </c>
      <c r="Q440" s="36" t="str">
        <f ca="1">IFERROR(__xludf.DUMMYFUNCTION("""COMPUTED_VALUE"""),"")</f>
        <v/>
      </c>
      <c r="R440" s="36" t="str">
        <f ca="1">IFERROR(__xludf.DUMMYFUNCTION("""COMPUTED_VALUE"""),"")</f>
        <v/>
      </c>
      <c r="S440" s="36" t="str">
        <f ca="1">IFERROR(__xludf.DUMMYFUNCTION("""COMPUTED_VALUE"""),"")</f>
        <v/>
      </c>
      <c r="T440" s="36" t="str">
        <f ca="1">IFERROR(__xludf.DUMMYFUNCTION("""COMPUTED_VALUE"""),"")</f>
        <v/>
      </c>
      <c r="U440" s="36" t="str">
        <f ca="1">IFERROR(__xludf.DUMMYFUNCTION("""COMPUTED_VALUE"""),"")</f>
        <v/>
      </c>
      <c r="V440" s="36" t="str">
        <f ca="1">IFERROR(__xludf.DUMMYFUNCTION("""COMPUTED_VALUE"""),"")</f>
        <v/>
      </c>
      <c r="W440" s="36" t="str">
        <f ca="1">IFERROR(__xludf.DUMMYFUNCTION("""COMPUTED_VALUE"""),"")</f>
        <v/>
      </c>
      <c r="X440" s="36"/>
      <c r="Y440" s="36"/>
      <c r="Z440" s="36"/>
    </row>
    <row r="441" spans="1:26" ht="12.75" hidden="1">
      <c r="A441" s="36" t="str">
        <f ca="1">IFERROR(__xludf.DUMMYFUNCTION("""COMPUTED_VALUE"""),"")</f>
        <v/>
      </c>
      <c r="B441" s="36" t="str">
        <f ca="1">IFERROR(__xludf.DUMMYFUNCTION("""COMPUTED_VALUE"""),"")</f>
        <v/>
      </c>
      <c r="C441" s="36" t="str">
        <f ca="1">IFERROR(__xludf.DUMMYFUNCTION("""COMPUTED_VALUE"""),"")</f>
        <v/>
      </c>
      <c r="D441" s="36" t="str">
        <f ca="1">IFERROR(__xludf.DUMMYFUNCTION("""COMPUTED_VALUE"""),"")</f>
        <v/>
      </c>
      <c r="E441" s="36" t="str">
        <f ca="1">IFERROR(__xludf.DUMMYFUNCTION("""COMPUTED_VALUE"""),"")</f>
        <v/>
      </c>
      <c r="F441" s="36" t="str">
        <f ca="1">IFERROR(__xludf.DUMMYFUNCTION("""COMPUTED_VALUE"""),"")</f>
        <v/>
      </c>
      <c r="G441" s="36" t="str">
        <f ca="1">IFERROR(__xludf.DUMMYFUNCTION("""COMPUTED_VALUE"""),"")</f>
        <v/>
      </c>
      <c r="H441" s="36" t="str">
        <f ca="1">IFERROR(__xludf.DUMMYFUNCTION("""COMPUTED_VALUE"""),"")</f>
        <v/>
      </c>
      <c r="I441" s="36" t="str">
        <f ca="1">IFERROR(__xludf.DUMMYFUNCTION("""COMPUTED_VALUE"""),"")</f>
        <v/>
      </c>
      <c r="J441" s="36" t="str">
        <f ca="1">IFERROR(__xludf.DUMMYFUNCTION("""COMPUTED_VALUE"""),"")</f>
        <v/>
      </c>
      <c r="K441" s="36" t="str">
        <f ca="1">IFERROR(__xludf.DUMMYFUNCTION("""COMPUTED_VALUE"""),"")</f>
        <v/>
      </c>
      <c r="L441" s="36" t="str">
        <f ca="1">IFERROR(__xludf.DUMMYFUNCTION("""COMPUTED_VALUE"""),"")</f>
        <v/>
      </c>
      <c r="M441" s="36" t="str">
        <f ca="1">IFERROR(__xludf.DUMMYFUNCTION("""COMPUTED_VALUE"""),"")</f>
        <v/>
      </c>
      <c r="N441" s="36" t="str">
        <f ca="1">IFERROR(__xludf.DUMMYFUNCTION("""COMPUTED_VALUE"""),"")</f>
        <v/>
      </c>
      <c r="O441" s="36" t="str">
        <f ca="1">IFERROR(__xludf.DUMMYFUNCTION("""COMPUTED_VALUE"""),"")</f>
        <v/>
      </c>
      <c r="P441" s="36" t="str">
        <f ca="1">IFERROR(__xludf.DUMMYFUNCTION("""COMPUTED_VALUE"""),"")</f>
        <v/>
      </c>
      <c r="Q441" s="36" t="str">
        <f ca="1">IFERROR(__xludf.DUMMYFUNCTION("""COMPUTED_VALUE"""),"")</f>
        <v/>
      </c>
      <c r="R441" s="36" t="str">
        <f ca="1">IFERROR(__xludf.DUMMYFUNCTION("""COMPUTED_VALUE"""),"")</f>
        <v/>
      </c>
      <c r="S441" s="36" t="str">
        <f ca="1">IFERROR(__xludf.DUMMYFUNCTION("""COMPUTED_VALUE"""),"")</f>
        <v/>
      </c>
      <c r="T441" s="36" t="str">
        <f ca="1">IFERROR(__xludf.DUMMYFUNCTION("""COMPUTED_VALUE"""),"")</f>
        <v/>
      </c>
      <c r="U441" s="36" t="str">
        <f ca="1">IFERROR(__xludf.DUMMYFUNCTION("""COMPUTED_VALUE"""),"")</f>
        <v/>
      </c>
      <c r="V441" s="36" t="str">
        <f ca="1">IFERROR(__xludf.DUMMYFUNCTION("""COMPUTED_VALUE"""),"")</f>
        <v/>
      </c>
      <c r="W441" s="36" t="str">
        <f ca="1">IFERROR(__xludf.DUMMYFUNCTION("""COMPUTED_VALUE"""),"")</f>
        <v/>
      </c>
      <c r="X441" s="36"/>
      <c r="Y441" s="36"/>
      <c r="Z441" s="36"/>
    </row>
    <row r="442" spans="1:26" ht="12.75" hidden="1">
      <c r="A442" s="36" t="str">
        <f ca="1">IFERROR(__xludf.DUMMYFUNCTION("""COMPUTED_VALUE"""),"")</f>
        <v/>
      </c>
      <c r="B442" s="36" t="str">
        <f ca="1">IFERROR(__xludf.DUMMYFUNCTION("""COMPUTED_VALUE"""),"")</f>
        <v/>
      </c>
      <c r="C442" s="36" t="str">
        <f ca="1">IFERROR(__xludf.DUMMYFUNCTION("""COMPUTED_VALUE"""),"")</f>
        <v/>
      </c>
      <c r="D442" s="36" t="str">
        <f ca="1">IFERROR(__xludf.DUMMYFUNCTION("""COMPUTED_VALUE"""),"")</f>
        <v/>
      </c>
      <c r="E442" s="36" t="str">
        <f ca="1">IFERROR(__xludf.DUMMYFUNCTION("""COMPUTED_VALUE"""),"")</f>
        <v/>
      </c>
      <c r="F442" s="36" t="str">
        <f ca="1">IFERROR(__xludf.DUMMYFUNCTION("""COMPUTED_VALUE"""),"")</f>
        <v/>
      </c>
      <c r="G442" s="36" t="str">
        <f ca="1">IFERROR(__xludf.DUMMYFUNCTION("""COMPUTED_VALUE"""),"")</f>
        <v/>
      </c>
      <c r="H442" s="36" t="str">
        <f ca="1">IFERROR(__xludf.DUMMYFUNCTION("""COMPUTED_VALUE"""),"")</f>
        <v/>
      </c>
      <c r="I442" s="36" t="str">
        <f ca="1">IFERROR(__xludf.DUMMYFUNCTION("""COMPUTED_VALUE"""),"")</f>
        <v/>
      </c>
      <c r="J442" s="36" t="str">
        <f ca="1">IFERROR(__xludf.DUMMYFUNCTION("""COMPUTED_VALUE"""),"")</f>
        <v/>
      </c>
      <c r="K442" s="36" t="str">
        <f ca="1">IFERROR(__xludf.DUMMYFUNCTION("""COMPUTED_VALUE"""),"")</f>
        <v/>
      </c>
      <c r="L442" s="36" t="str">
        <f ca="1">IFERROR(__xludf.DUMMYFUNCTION("""COMPUTED_VALUE"""),"")</f>
        <v/>
      </c>
      <c r="M442" s="36" t="str">
        <f ca="1">IFERROR(__xludf.DUMMYFUNCTION("""COMPUTED_VALUE"""),"")</f>
        <v/>
      </c>
      <c r="N442" s="36" t="str">
        <f ca="1">IFERROR(__xludf.DUMMYFUNCTION("""COMPUTED_VALUE"""),"")</f>
        <v/>
      </c>
      <c r="O442" s="36" t="str">
        <f ca="1">IFERROR(__xludf.DUMMYFUNCTION("""COMPUTED_VALUE"""),"")</f>
        <v/>
      </c>
      <c r="P442" s="36" t="str">
        <f ca="1">IFERROR(__xludf.DUMMYFUNCTION("""COMPUTED_VALUE"""),"")</f>
        <v/>
      </c>
      <c r="Q442" s="36" t="str">
        <f ca="1">IFERROR(__xludf.DUMMYFUNCTION("""COMPUTED_VALUE"""),"")</f>
        <v/>
      </c>
      <c r="R442" s="36" t="str">
        <f ca="1">IFERROR(__xludf.DUMMYFUNCTION("""COMPUTED_VALUE"""),"")</f>
        <v/>
      </c>
      <c r="S442" s="36" t="str">
        <f ca="1">IFERROR(__xludf.DUMMYFUNCTION("""COMPUTED_VALUE"""),"")</f>
        <v/>
      </c>
      <c r="T442" s="36" t="str">
        <f ca="1">IFERROR(__xludf.DUMMYFUNCTION("""COMPUTED_VALUE"""),"")</f>
        <v/>
      </c>
      <c r="U442" s="36" t="str">
        <f ca="1">IFERROR(__xludf.DUMMYFUNCTION("""COMPUTED_VALUE"""),"")</f>
        <v/>
      </c>
      <c r="V442" s="36" t="str">
        <f ca="1">IFERROR(__xludf.DUMMYFUNCTION("""COMPUTED_VALUE"""),"")</f>
        <v/>
      </c>
      <c r="W442" s="36" t="str">
        <f ca="1">IFERROR(__xludf.DUMMYFUNCTION("""COMPUTED_VALUE"""),"")</f>
        <v/>
      </c>
      <c r="X442" s="36"/>
      <c r="Y442" s="36"/>
      <c r="Z442" s="36"/>
    </row>
    <row r="443" spans="1:26" ht="12.75" hidden="1">
      <c r="A443" s="36" t="str">
        <f ca="1">IFERROR(__xludf.DUMMYFUNCTION("""COMPUTED_VALUE"""),"")</f>
        <v/>
      </c>
      <c r="B443" s="36" t="str">
        <f ca="1">IFERROR(__xludf.DUMMYFUNCTION("""COMPUTED_VALUE"""),"")</f>
        <v/>
      </c>
      <c r="C443" s="36" t="str">
        <f ca="1">IFERROR(__xludf.DUMMYFUNCTION("""COMPUTED_VALUE"""),"")</f>
        <v/>
      </c>
      <c r="D443" s="36" t="str">
        <f ca="1">IFERROR(__xludf.DUMMYFUNCTION("""COMPUTED_VALUE"""),"")</f>
        <v/>
      </c>
      <c r="E443" s="36" t="str">
        <f ca="1">IFERROR(__xludf.DUMMYFUNCTION("""COMPUTED_VALUE"""),"")</f>
        <v/>
      </c>
      <c r="F443" s="36" t="str">
        <f ca="1">IFERROR(__xludf.DUMMYFUNCTION("""COMPUTED_VALUE"""),"")</f>
        <v/>
      </c>
      <c r="G443" s="36" t="str">
        <f ca="1">IFERROR(__xludf.DUMMYFUNCTION("""COMPUTED_VALUE"""),"")</f>
        <v/>
      </c>
      <c r="H443" s="36" t="str">
        <f ca="1">IFERROR(__xludf.DUMMYFUNCTION("""COMPUTED_VALUE"""),"")</f>
        <v/>
      </c>
      <c r="I443" s="36" t="str">
        <f ca="1">IFERROR(__xludf.DUMMYFUNCTION("""COMPUTED_VALUE"""),"")</f>
        <v/>
      </c>
      <c r="J443" s="36" t="str">
        <f ca="1">IFERROR(__xludf.DUMMYFUNCTION("""COMPUTED_VALUE"""),"")</f>
        <v/>
      </c>
      <c r="K443" s="36" t="str">
        <f ca="1">IFERROR(__xludf.DUMMYFUNCTION("""COMPUTED_VALUE"""),"")</f>
        <v/>
      </c>
      <c r="L443" s="36" t="str">
        <f ca="1">IFERROR(__xludf.DUMMYFUNCTION("""COMPUTED_VALUE"""),"")</f>
        <v/>
      </c>
      <c r="M443" s="36" t="str">
        <f ca="1">IFERROR(__xludf.DUMMYFUNCTION("""COMPUTED_VALUE"""),"")</f>
        <v/>
      </c>
      <c r="N443" s="36" t="str">
        <f ca="1">IFERROR(__xludf.DUMMYFUNCTION("""COMPUTED_VALUE"""),"")</f>
        <v/>
      </c>
      <c r="O443" s="36" t="str">
        <f ca="1">IFERROR(__xludf.DUMMYFUNCTION("""COMPUTED_VALUE"""),"")</f>
        <v/>
      </c>
      <c r="P443" s="36" t="str">
        <f ca="1">IFERROR(__xludf.DUMMYFUNCTION("""COMPUTED_VALUE"""),"")</f>
        <v/>
      </c>
      <c r="Q443" s="36" t="str">
        <f ca="1">IFERROR(__xludf.DUMMYFUNCTION("""COMPUTED_VALUE"""),"")</f>
        <v/>
      </c>
      <c r="R443" s="36" t="str">
        <f ca="1">IFERROR(__xludf.DUMMYFUNCTION("""COMPUTED_VALUE"""),"")</f>
        <v/>
      </c>
      <c r="S443" s="36" t="str">
        <f ca="1">IFERROR(__xludf.DUMMYFUNCTION("""COMPUTED_VALUE"""),"")</f>
        <v/>
      </c>
      <c r="T443" s="36" t="str">
        <f ca="1">IFERROR(__xludf.DUMMYFUNCTION("""COMPUTED_VALUE"""),"")</f>
        <v/>
      </c>
      <c r="U443" s="36" t="str">
        <f ca="1">IFERROR(__xludf.DUMMYFUNCTION("""COMPUTED_VALUE"""),"")</f>
        <v/>
      </c>
      <c r="V443" s="36" t="str">
        <f ca="1">IFERROR(__xludf.DUMMYFUNCTION("""COMPUTED_VALUE"""),"")</f>
        <v/>
      </c>
      <c r="W443" s="36" t="str">
        <f ca="1">IFERROR(__xludf.DUMMYFUNCTION("""COMPUTED_VALUE"""),"")</f>
        <v/>
      </c>
      <c r="X443" s="36"/>
      <c r="Y443" s="36"/>
      <c r="Z443" s="36"/>
    </row>
    <row r="444" spans="1:26" ht="12.75" hidden="1">
      <c r="A444" s="36" t="str">
        <f ca="1">IFERROR(__xludf.DUMMYFUNCTION("""COMPUTED_VALUE"""),"")</f>
        <v/>
      </c>
      <c r="B444" s="36" t="str">
        <f ca="1">IFERROR(__xludf.DUMMYFUNCTION("""COMPUTED_VALUE"""),"")</f>
        <v/>
      </c>
      <c r="C444" s="36" t="str">
        <f ca="1">IFERROR(__xludf.DUMMYFUNCTION("""COMPUTED_VALUE"""),"")</f>
        <v/>
      </c>
      <c r="D444" s="36" t="str">
        <f ca="1">IFERROR(__xludf.DUMMYFUNCTION("""COMPUTED_VALUE"""),"")</f>
        <v/>
      </c>
      <c r="E444" s="36" t="str">
        <f ca="1">IFERROR(__xludf.DUMMYFUNCTION("""COMPUTED_VALUE"""),"")</f>
        <v/>
      </c>
      <c r="F444" s="36" t="str">
        <f ca="1">IFERROR(__xludf.DUMMYFUNCTION("""COMPUTED_VALUE"""),"")</f>
        <v/>
      </c>
      <c r="G444" s="36" t="str">
        <f ca="1">IFERROR(__xludf.DUMMYFUNCTION("""COMPUTED_VALUE"""),"")</f>
        <v/>
      </c>
      <c r="H444" s="36" t="str">
        <f ca="1">IFERROR(__xludf.DUMMYFUNCTION("""COMPUTED_VALUE"""),"")</f>
        <v/>
      </c>
      <c r="I444" s="36" t="str">
        <f ca="1">IFERROR(__xludf.DUMMYFUNCTION("""COMPUTED_VALUE"""),"")</f>
        <v/>
      </c>
      <c r="J444" s="36" t="str">
        <f ca="1">IFERROR(__xludf.DUMMYFUNCTION("""COMPUTED_VALUE"""),"")</f>
        <v/>
      </c>
      <c r="K444" s="36" t="str">
        <f ca="1">IFERROR(__xludf.DUMMYFUNCTION("""COMPUTED_VALUE"""),"")</f>
        <v/>
      </c>
      <c r="L444" s="36" t="str">
        <f ca="1">IFERROR(__xludf.DUMMYFUNCTION("""COMPUTED_VALUE"""),"")</f>
        <v/>
      </c>
      <c r="M444" s="36" t="str">
        <f ca="1">IFERROR(__xludf.DUMMYFUNCTION("""COMPUTED_VALUE"""),"")</f>
        <v/>
      </c>
      <c r="N444" s="36" t="str">
        <f ca="1">IFERROR(__xludf.DUMMYFUNCTION("""COMPUTED_VALUE"""),"")</f>
        <v/>
      </c>
      <c r="O444" s="36" t="str">
        <f ca="1">IFERROR(__xludf.DUMMYFUNCTION("""COMPUTED_VALUE"""),"")</f>
        <v/>
      </c>
      <c r="P444" s="36" t="str">
        <f ca="1">IFERROR(__xludf.DUMMYFUNCTION("""COMPUTED_VALUE"""),"")</f>
        <v/>
      </c>
      <c r="Q444" s="36" t="str">
        <f ca="1">IFERROR(__xludf.DUMMYFUNCTION("""COMPUTED_VALUE"""),"")</f>
        <v/>
      </c>
      <c r="R444" s="36" t="str">
        <f ca="1">IFERROR(__xludf.DUMMYFUNCTION("""COMPUTED_VALUE"""),"")</f>
        <v/>
      </c>
      <c r="S444" s="36" t="str">
        <f ca="1">IFERROR(__xludf.DUMMYFUNCTION("""COMPUTED_VALUE"""),"")</f>
        <v/>
      </c>
      <c r="T444" s="36" t="str">
        <f ca="1">IFERROR(__xludf.DUMMYFUNCTION("""COMPUTED_VALUE"""),"")</f>
        <v/>
      </c>
      <c r="U444" s="36" t="str">
        <f ca="1">IFERROR(__xludf.DUMMYFUNCTION("""COMPUTED_VALUE"""),"")</f>
        <v/>
      </c>
      <c r="V444" s="36" t="str">
        <f ca="1">IFERROR(__xludf.DUMMYFUNCTION("""COMPUTED_VALUE"""),"")</f>
        <v/>
      </c>
      <c r="W444" s="36" t="str">
        <f ca="1">IFERROR(__xludf.DUMMYFUNCTION("""COMPUTED_VALUE"""),"")</f>
        <v/>
      </c>
      <c r="X444" s="36"/>
      <c r="Y444" s="36"/>
      <c r="Z444" s="36"/>
    </row>
    <row r="445" spans="1:26" ht="12.75" hidden="1">
      <c r="A445" s="36" t="str">
        <f ca="1">IFERROR(__xludf.DUMMYFUNCTION("""COMPUTED_VALUE"""),"")</f>
        <v/>
      </c>
      <c r="B445" s="36" t="str">
        <f ca="1">IFERROR(__xludf.DUMMYFUNCTION("""COMPUTED_VALUE"""),"")</f>
        <v/>
      </c>
      <c r="C445" s="36" t="str">
        <f ca="1">IFERROR(__xludf.DUMMYFUNCTION("""COMPUTED_VALUE"""),"")</f>
        <v/>
      </c>
      <c r="D445" s="36" t="str">
        <f ca="1">IFERROR(__xludf.DUMMYFUNCTION("""COMPUTED_VALUE"""),"")</f>
        <v/>
      </c>
      <c r="E445" s="36" t="str">
        <f ca="1">IFERROR(__xludf.DUMMYFUNCTION("""COMPUTED_VALUE"""),"")</f>
        <v/>
      </c>
      <c r="F445" s="36" t="str">
        <f ca="1">IFERROR(__xludf.DUMMYFUNCTION("""COMPUTED_VALUE"""),"")</f>
        <v/>
      </c>
      <c r="G445" s="36" t="str">
        <f ca="1">IFERROR(__xludf.DUMMYFUNCTION("""COMPUTED_VALUE"""),"")</f>
        <v/>
      </c>
      <c r="H445" s="36" t="str">
        <f ca="1">IFERROR(__xludf.DUMMYFUNCTION("""COMPUTED_VALUE"""),"")</f>
        <v/>
      </c>
      <c r="I445" s="36" t="str">
        <f ca="1">IFERROR(__xludf.DUMMYFUNCTION("""COMPUTED_VALUE"""),"")</f>
        <v/>
      </c>
      <c r="J445" s="36" t="str">
        <f ca="1">IFERROR(__xludf.DUMMYFUNCTION("""COMPUTED_VALUE"""),"")</f>
        <v/>
      </c>
      <c r="K445" s="36" t="str">
        <f ca="1">IFERROR(__xludf.DUMMYFUNCTION("""COMPUTED_VALUE"""),"")</f>
        <v/>
      </c>
      <c r="L445" s="36" t="str">
        <f ca="1">IFERROR(__xludf.DUMMYFUNCTION("""COMPUTED_VALUE"""),"")</f>
        <v/>
      </c>
      <c r="M445" s="36" t="str">
        <f ca="1">IFERROR(__xludf.DUMMYFUNCTION("""COMPUTED_VALUE"""),"")</f>
        <v/>
      </c>
      <c r="N445" s="36" t="str">
        <f ca="1">IFERROR(__xludf.DUMMYFUNCTION("""COMPUTED_VALUE"""),"")</f>
        <v/>
      </c>
      <c r="O445" s="36" t="str">
        <f ca="1">IFERROR(__xludf.DUMMYFUNCTION("""COMPUTED_VALUE"""),"")</f>
        <v/>
      </c>
      <c r="P445" s="36" t="str">
        <f ca="1">IFERROR(__xludf.DUMMYFUNCTION("""COMPUTED_VALUE"""),"")</f>
        <v/>
      </c>
      <c r="Q445" s="36" t="str">
        <f ca="1">IFERROR(__xludf.DUMMYFUNCTION("""COMPUTED_VALUE"""),"")</f>
        <v/>
      </c>
      <c r="R445" s="36" t="str">
        <f ca="1">IFERROR(__xludf.DUMMYFUNCTION("""COMPUTED_VALUE"""),"")</f>
        <v/>
      </c>
      <c r="S445" s="36" t="str">
        <f ca="1">IFERROR(__xludf.DUMMYFUNCTION("""COMPUTED_VALUE"""),"")</f>
        <v/>
      </c>
      <c r="T445" s="36" t="str">
        <f ca="1">IFERROR(__xludf.DUMMYFUNCTION("""COMPUTED_VALUE"""),"")</f>
        <v/>
      </c>
      <c r="U445" s="36" t="str">
        <f ca="1">IFERROR(__xludf.DUMMYFUNCTION("""COMPUTED_VALUE"""),"")</f>
        <v/>
      </c>
      <c r="V445" s="36" t="str">
        <f ca="1">IFERROR(__xludf.DUMMYFUNCTION("""COMPUTED_VALUE"""),"")</f>
        <v/>
      </c>
      <c r="W445" s="36" t="str">
        <f ca="1">IFERROR(__xludf.DUMMYFUNCTION("""COMPUTED_VALUE"""),"")</f>
        <v/>
      </c>
      <c r="X445" s="36"/>
      <c r="Y445" s="36"/>
      <c r="Z445" s="36"/>
    </row>
    <row r="446" spans="1:26" ht="12.75" hidden="1">
      <c r="A446" s="36" t="str">
        <f ca="1">IFERROR(__xludf.DUMMYFUNCTION("""COMPUTED_VALUE"""),"")</f>
        <v/>
      </c>
      <c r="B446" s="36" t="str">
        <f ca="1">IFERROR(__xludf.DUMMYFUNCTION("""COMPUTED_VALUE"""),"")</f>
        <v/>
      </c>
      <c r="C446" s="36" t="str">
        <f ca="1">IFERROR(__xludf.DUMMYFUNCTION("""COMPUTED_VALUE"""),"")</f>
        <v/>
      </c>
      <c r="D446" s="36" t="str">
        <f ca="1">IFERROR(__xludf.DUMMYFUNCTION("""COMPUTED_VALUE"""),"")</f>
        <v/>
      </c>
      <c r="E446" s="36" t="str">
        <f ca="1">IFERROR(__xludf.DUMMYFUNCTION("""COMPUTED_VALUE"""),"")</f>
        <v/>
      </c>
      <c r="F446" s="36" t="str">
        <f ca="1">IFERROR(__xludf.DUMMYFUNCTION("""COMPUTED_VALUE"""),"")</f>
        <v/>
      </c>
      <c r="G446" s="36" t="str">
        <f ca="1">IFERROR(__xludf.DUMMYFUNCTION("""COMPUTED_VALUE"""),"")</f>
        <v/>
      </c>
      <c r="H446" s="36" t="str">
        <f ca="1">IFERROR(__xludf.DUMMYFUNCTION("""COMPUTED_VALUE"""),"")</f>
        <v/>
      </c>
      <c r="I446" s="36" t="str">
        <f ca="1">IFERROR(__xludf.DUMMYFUNCTION("""COMPUTED_VALUE"""),"")</f>
        <v/>
      </c>
      <c r="J446" s="36" t="str">
        <f ca="1">IFERROR(__xludf.DUMMYFUNCTION("""COMPUTED_VALUE"""),"")</f>
        <v/>
      </c>
      <c r="K446" s="36" t="str">
        <f ca="1">IFERROR(__xludf.DUMMYFUNCTION("""COMPUTED_VALUE"""),"")</f>
        <v/>
      </c>
      <c r="L446" s="36" t="str">
        <f ca="1">IFERROR(__xludf.DUMMYFUNCTION("""COMPUTED_VALUE"""),"")</f>
        <v/>
      </c>
      <c r="M446" s="36" t="str">
        <f ca="1">IFERROR(__xludf.DUMMYFUNCTION("""COMPUTED_VALUE"""),"")</f>
        <v/>
      </c>
      <c r="N446" s="36" t="str">
        <f ca="1">IFERROR(__xludf.DUMMYFUNCTION("""COMPUTED_VALUE"""),"")</f>
        <v/>
      </c>
      <c r="O446" s="36" t="str">
        <f ca="1">IFERROR(__xludf.DUMMYFUNCTION("""COMPUTED_VALUE"""),"")</f>
        <v/>
      </c>
      <c r="P446" s="36" t="str">
        <f ca="1">IFERROR(__xludf.DUMMYFUNCTION("""COMPUTED_VALUE"""),"")</f>
        <v/>
      </c>
      <c r="Q446" s="36" t="str">
        <f ca="1">IFERROR(__xludf.DUMMYFUNCTION("""COMPUTED_VALUE"""),"")</f>
        <v/>
      </c>
      <c r="R446" s="36" t="str">
        <f ca="1">IFERROR(__xludf.DUMMYFUNCTION("""COMPUTED_VALUE"""),"")</f>
        <v/>
      </c>
      <c r="S446" s="36" t="str">
        <f ca="1">IFERROR(__xludf.DUMMYFUNCTION("""COMPUTED_VALUE"""),"")</f>
        <v/>
      </c>
      <c r="T446" s="36" t="str">
        <f ca="1">IFERROR(__xludf.DUMMYFUNCTION("""COMPUTED_VALUE"""),"")</f>
        <v/>
      </c>
      <c r="U446" s="36" t="str">
        <f ca="1">IFERROR(__xludf.DUMMYFUNCTION("""COMPUTED_VALUE"""),"")</f>
        <v/>
      </c>
      <c r="V446" s="36" t="str">
        <f ca="1">IFERROR(__xludf.DUMMYFUNCTION("""COMPUTED_VALUE"""),"")</f>
        <v/>
      </c>
      <c r="W446" s="36" t="str">
        <f ca="1">IFERROR(__xludf.DUMMYFUNCTION("""COMPUTED_VALUE"""),"")</f>
        <v/>
      </c>
      <c r="X446" s="36"/>
      <c r="Y446" s="36"/>
      <c r="Z446" s="36"/>
    </row>
    <row r="447" spans="1:26" ht="12.75" hidden="1">
      <c r="A447" s="36" t="str">
        <f ca="1">IFERROR(__xludf.DUMMYFUNCTION("""COMPUTED_VALUE"""),"")</f>
        <v/>
      </c>
      <c r="B447" s="36" t="str">
        <f ca="1">IFERROR(__xludf.DUMMYFUNCTION("""COMPUTED_VALUE"""),"")</f>
        <v/>
      </c>
      <c r="C447" s="36" t="str">
        <f ca="1">IFERROR(__xludf.DUMMYFUNCTION("""COMPUTED_VALUE"""),"")</f>
        <v/>
      </c>
      <c r="D447" s="36" t="str">
        <f ca="1">IFERROR(__xludf.DUMMYFUNCTION("""COMPUTED_VALUE"""),"")</f>
        <v/>
      </c>
      <c r="E447" s="36" t="str">
        <f ca="1">IFERROR(__xludf.DUMMYFUNCTION("""COMPUTED_VALUE"""),"")</f>
        <v/>
      </c>
      <c r="F447" s="36" t="str">
        <f ca="1">IFERROR(__xludf.DUMMYFUNCTION("""COMPUTED_VALUE"""),"")</f>
        <v/>
      </c>
      <c r="G447" s="36" t="str">
        <f ca="1">IFERROR(__xludf.DUMMYFUNCTION("""COMPUTED_VALUE"""),"")</f>
        <v/>
      </c>
      <c r="H447" s="36" t="str">
        <f ca="1">IFERROR(__xludf.DUMMYFUNCTION("""COMPUTED_VALUE"""),"")</f>
        <v/>
      </c>
      <c r="I447" s="36" t="str">
        <f ca="1">IFERROR(__xludf.DUMMYFUNCTION("""COMPUTED_VALUE"""),"")</f>
        <v/>
      </c>
      <c r="J447" s="36" t="str">
        <f ca="1">IFERROR(__xludf.DUMMYFUNCTION("""COMPUTED_VALUE"""),"")</f>
        <v/>
      </c>
      <c r="K447" s="36" t="str">
        <f ca="1">IFERROR(__xludf.DUMMYFUNCTION("""COMPUTED_VALUE"""),"")</f>
        <v/>
      </c>
      <c r="L447" s="36" t="str">
        <f ca="1">IFERROR(__xludf.DUMMYFUNCTION("""COMPUTED_VALUE"""),"")</f>
        <v/>
      </c>
      <c r="M447" s="36" t="str">
        <f ca="1">IFERROR(__xludf.DUMMYFUNCTION("""COMPUTED_VALUE"""),"")</f>
        <v/>
      </c>
      <c r="N447" s="36" t="str">
        <f ca="1">IFERROR(__xludf.DUMMYFUNCTION("""COMPUTED_VALUE"""),"")</f>
        <v/>
      </c>
      <c r="O447" s="36" t="str">
        <f ca="1">IFERROR(__xludf.DUMMYFUNCTION("""COMPUTED_VALUE"""),"")</f>
        <v/>
      </c>
      <c r="P447" s="36" t="str">
        <f ca="1">IFERROR(__xludf.DUMMYFUNCTION("""COMPUTED_VALUE"""),"")</f>
        <v/>
      </c>
      <c r="Q447" s="36" t="str">
        <f ca="1">IFERROR(__xludf.DUMMYFUNCTION("""COMPUTED_VALUE"""),"")</f>
        <v/>
      </c>
      <c r="R447" s="36" t="str">
        <f ca="1">IFERROR(__xludf.DUMMYFUNCTION("""COMPUTED_VALUE"""),"")</f>
        <v/>
      </c>
      <c r="S447" s="36" t="str">
        <f ca="1">IFERROR(__xludf.DUMMYFUNCTION("""COMPUTED_VALUE"""),"")</f>
        <v/>
      </c>
      <c r="T447" s="36" t="str">
        <f ca="1">IFERROR(__xludf.DUMMYFUNCTION("""COMPUTED_VALUE"""),"")</f>
        <v/>
      </c>
      <c r="U447" s="36" t="str">
        <f ca="1">IFERROR(__xludf.DUMMYFUNCTION("""COMPUTED_VALUE"""),"")</f>
        <v/>
      </c>
      <c r="V447" s="36" t="str">
        <f ca="1">IFERROR(__xludf.DUMMYFUNCTION("""COMPUTED_VALUE"""),"")</f>
        <v/>
      </c>
      <c r="W447" s="36" t="str">
        <f ca="1">IFERROR(__xludf.DUMMYFUNCTION("""COMPUTED_VALUE"""),"")</f>
        <v/>
      </c>
      <c r="X447" s="36"/>
      <c r="Y447" s="36"/>
      <c r="Z447" s="36"/>
    </row>
    <row r="448" spans="1:26" ht="12.75" hidden="1">
      <c r="A448" s="36" t="str">
        <f ca="1">IFERROR(__xludf.DUMMYFUNCTION("""COMPUTED_VALUE"""),"")</f>
        <v/>
      </c>
      <c r="B448" s="36" t="str">
        <f ca="1">IFERROR(__xludf.DUMMYFUNCTION("""COMPUTED_VALUE"""),"")</f>
        <v/>
      </c>
      <c r="C448" s="36" t="str">
        <f ca="1">IFERROR(__xludf.DUMMYFUNCTION("""COMPUTED_VALUE"""),"")</f>
        <v/>
      </c>
      <c r="D448" s="36" t="str">
        <f ca="1">IFERROR(__xludf.DUMMYFUNCTION("""COMPUTED_VALUE"""),"")</f>
        <v/>
      </c>
      <c r="E448" s="36" t="str">
        <f ca="1">IFERROR(__xludf.DUMMYFUNCTION("""COMPUTED_VALUE"""),"")</f>
        <v/>
      </c>
      <c r="F448" s="36" t="str">
        <f ca="1">IFERROR(__xludf.DUMMYFUNCTION("""COMPUTED_VALUE"""),"")</f>
        <v/>
      </c>
      <c r="G448" s="36" t="str">
        <f ca="1">IFERROR(__xludf.DUMMYFUNCTION("""COMPUTED_VALUE"""),"")</f>
        <v/>
      </c>
      <c r="H448" s="36" t="str">
        <f ca="1">IFERROR(__xludf.DUMMYFUNCTION("""COMPUTED_VALUE"""),"")</f>
        <v/>
      </c>
      <c r="I448" s="36" t="str">
        <f ca="1">IFERROR(__xludf.DUMMYFUNCTION("""COMPUTED_VALUE"""),"")</f>
        <v/>
      </c>
      <c r="J448" s="36" t="str">
        <f ca="1">IFERROR(__xludf.DUMMYFUNCTION("""COMPUTED_VALUE"""),"")</f>
        <v/>
      </c>
      <c r="K448" s="36" t="str">
        <f ca="1">IFERROR(__xludf.DUMMYFUNCTION("""COMPUTED_VALUE"""),"")</f>
        <v/>
      </c>
      <c r="L448" s="36" t="str">
        <f ca="1">IFERROR(__xludf.DUMMYFUNCTION("""COMPUTED_VALUE"""),"")</f>
        <v/>
      </c>
      <c r="M448" s="36" t="str">
        <f ca="1">IFERROR(__xludf.DUMMYFUNCTION("""COMPUTED_VALUE"""),"")</f>
        <v/>
      </c>
      <c r="N448" s="36" t="str">
        <f ca="1">IFERROR(__xludf.DUMMYFUNCTION("""COMPUTED_VALUE"""),"")</f>
        <v/>
      </c>
      <c r="O448" s="36" t="str">
        <f ca="1">IFERROR(__xludf.DUMMYFUNCTION("""COMPUTED_VALUE"""),"")</f>
        <v/>
      </c>
      <c r="P448" s="36" t="str">
        <f ca="1">IFERROR(__xludf.DUMMYFUNCTION("""COMPUTED_VALUE"""),"")</f>
        <v/>
      </c>
      <c r="Q448" s="36" t="str">
        <f ca="1">IFERROR(__xludf.DUMMYFUNCTION("""COMPUTED_VALUE"""),"")</f>
        <v/>
      </c>
      <c r="R448" s="36" t="str">
        <f ca="1">IFERROR(__xludf.DUMMYFUNCTION("""COMPUTED_VALUE"""),"")</f>
        <v/>
      </c>
      <c r="S448" s="36" t="str">
        <f ca="1">IFERROR(__xludf.DUMMYFUNCTION("""COMPUTED_VALUE"""),"")</f>
        <v/>
      </c>
      <c r="T448" s="36" t="str">
        <f ca="1">IFERROR(__xludf.DUMMYFUNCTION("""COMPUTED_VALUE"""),"")</f>
        <v/>
      </c>
      <c r="U448" s="36" t="str">
        <f ca="1">IFERROR(__xludf.DUMMYFUNCTION("""COMPUTED_VALUE"""),"")</f>
        <v/>
      </c>
      <c r="V448" s="36" t="str">
        <f ca="1">IFERROR(__xludf.DUMMYFUNCTION("""COMPUTED_VALUE"""),"")</f>
        <v/>
      </c>
      <c r="W448" s="36" t="str">
        <f ca="1">IFERROR(__xludf.DUMMYFUNCTION("""COMPUTED_VALUE"""),"")</f>
        <v/>
      </c>
      <c r="X448" s="36"/>
      <c r="Y448" s="36"/>
      <c r="Z448" s="36"/>
    </row>
    <row r="449" spans="1:26" ht="12.75" hidden="1">
      <c r="A449" s="36" t="str">
        <f ca="1">IFERROR(__xludf.DUMMYFUNCTION("""COMPUTED_VALUE"""),"")</f>
        <v/>
      </c>
      <c r="B449" s="36" t="str">
        <f ca="1">IFERROR(__xludf.DUMMYFUNCTION("""COMPUTED_VALUE"""),"")</f>
        <v/>
      </c>
      <c r="C449" s="36" t="str">
        <f ca="1">IFERROR(__xludf.DUMMYFUNCTION("""COMPUTED_VALUE"""),"")</f>
        <v/>
      </c>
      <c r="D449" s="36" t="str">
        <f ca="1">IFERROR(__xludf.DUMMYFUNCTION("""COMPUTED_VALUE"""),"")</f>
        <v/>
      </c>
      <c r="E449" s="36" t="str">
        <f ca="1">IFERROR(__xludf.DUMMYFUNCTION("""COMPUTED_VALUE"""),"")</f>
        <v/>
      </c>
      <c r="F449" s="36" t="str">
        <f ca="1">IFERROR(__xludf.DUMMYFUNCTION("""COMPUTED_VALUE"""),"")</f>
        <v/>
      </c>
      <c r="G449" s="36" t="str">
        <f ca="1">IFERROR(__xludf.DUMMYFUNCTION("""COMPUTED_VALUE"""),"")</f>
        <v/>
      </c>
      <c r="H449" s="36" t="str">
        <f ca="1">IFERROR(__xludf.DUMMYFUNCTION("""COMPUTED_VALUE"""),"")</f>
        <v/>
      </c>
      <c r="I449" s="36" t="str">
        <f ca="1">IFERROR(__xludf.DUMMYFUNCTION("""COMPUTED_VALUE"""),"")</f>
        <v/>
      </c>
      <c r="J449" s="36" t="str">
        <f ca="1">IFERROR(__xludf.DUMMYFUNCTION("""COMPUTED_VALUE"""),"")</f>
        <v/>
      </c>
      <c r="K449" s="36" t="str">
        <f ca="1">IFERROR(__xludf.DUMMYFUNCTION("""COMPUTED_VALUE"""),"")</f>
        <v/>
      </c>
      <c r="L449" s="36" t="str">
        <f ca="1">IFERROR(__xludf.DUMMYFUNCTION("""COMPUTED_VALUE"""),"")</f>
        <v/>
      </c>
      <c r="M449" s="36" t="str">
        <f ca="1">IFERROR(__xludf.DUMMYFUNCTION("""COMPUTED_VALUE"""),"")</f>
        <v/>
      </c>
      <c r="N449" s="36" t="str">
        <f ca="1">IFERROR(__xludf.DUMMYFUNCTION("""COMPUTED_VALUE"""),"")</f>
        <v/>
      </c>
      <c r="O449" s="36" t="str">
        <f ca="1">IFERROR(__xludf.DUMMYFUNCTION("""COMPUTED_VALUE"""),"")</f>
        <v/>
      </c>
      <c r="P449" s="36" t="str">
        <f ca="1">IFERROR(__xludf.DUMMYFUNCTION("""COMPUTED_VALUE"""),"")</f>
        <v/>
      </c>
      <c r="Q449" s="36" t="str">
        <f ca="1">IFERROR(__xludf.DUMMYFUNCTION("""COMPUTED_VALUE"""),"")</f>
        <v/>
      </c>
      <c r="R449" s="36" t="str">
        <f ca="1">IFERROR(__xludf.DUMMYFUNCTION("""COMPUTED_VALUE"""),"")</f>
        <v/>
      </c>
      <c r="S449" s="36" t="str">
        <f ca="1">IFERROR(__xludf.DUMMYFUNCTION("""COMPUTED_VALUE"""),"")</f>
        <v/>
      </c>
      <c r="T449" s="36" t="str">
        <f ca="1">IFERROR(__xludf.DUMMYFUNCTION("""COMPUTED_VALUE"""),"")</f>
        <v/>
      </c>
      <c r="U449" s="36" t="str">
        <f ca="1">IFERROR(__xludf.DUMMYFUNCTION("""COMPUTED_VALUE"""),"")</f>
        <v/>
      </c>
      <c r="V449" s="36" t="str">
        <f ca="1">IFERROR(__xludf.DUMMYFUNCTION("""COMPUTED_VALUE"""),"")</f>
        <v/>
      </c>
      <c r="W449" s="36" t="str">
        <f ca="1">IFERROR(__xludf.DUMMYFUNCTION("""COMPUTED_VALUE"""),"")</f>
        <v/>
      </c>
      <c r="X449" s="36"/>
      <c r="Y449" s="36"/>
      <c r="Z449" s="36"/>
    </row>
    <row r="450" spans="1:26" ht="12.75" hidden="1">
      <c r="A450" s="36" t="str">
        <f ca="1">IFERROR(__xludf.DUMMYFUNCTION("""COMPUTED_VALUE"""),"")</f>
        <v/>
      </c>
      <c r="B450" s="36" t="str">
        <f ca="1">IFERROR(__xludf.DUMMYFUNCTION("""COMPUTED_VALUE"""),"")</f>
        <v/>
      </c>
      <c r="C450" s="36" t="str">
        <f ca="1">IFERROR(__xludf.DUMMYFUNCTION("""COMPUTED_VALUE"""),"")</f>
        <v/>
      </c>
      <c r="D450" s="36" t="str">
        <f ca="1">IFERROR(__xludf.DUMMYFUNCTION("""COMPUTED_VALUE"""),"")</f>
        <v/>
      </c>
      <c r="E450" s="36" t="str">
        <f ca="1">IFERROR(__xludf.DUMMYFUNCTION("""COMPUTED_VALUE"""),"")</f>
        <v/>
      </c>
      <c r="F450" s="36" t="str">
        <f ca="1">IFERROR(__xludf.DUMMYFUNCTION("""COMPUTED_VALUE"""),"")</f>
        <v/>
      </c>
      <c r="G450" s="36" t="str">
        <f ca="1">IFERROR(__xludf.DUMMYFUNCTION("""COMPUTED_VALUE"""),"")</f>
        <v/>
      </c>
      <c r="H450" s="36" t="str">
        <f ca="1">IFERROR(__xludf.DUMMYFUNCTION("""COMPUTED_VALUE"""),"")</f>
        <v/>
      </c>
      <c r="I450" s="36" t="str">
        <f ca="1">IFERROR(__xludf.DUMMYFUNCTION("""COMPUTED_VALUE"""),"")</f>
        <v/>
      </c>
      <c r="J450" s="36" t="str">
        <f ca="1">IFERROR(__xludf.DUMMYFUNCTION("""COMPUTED_VALUE"""),"")</f>
        <v/>
      </c>
      <c r="K450" s="36" t="str">
        <f ca="1">IFERROR(__xludf.DUMMYFUNCTION("""COMPUTED_VALUE"""),"")</f>
        <v/>
      </c>
      <c r="L450" s="36" t="str">
        <f ca="1">IFERROR(__xludf.DUMMYFUNCTION("""COMPUTED_VALUE"""),"")</f>
        <v/>
      </c>
      <c r="M450" s="36" t="str">
        <f ca="1">IFERROR(__xludf.DUMMYFUNCTION("""COMPUTED_VALUE"""),"")</f>
        <v/>
      </c>
      <c r="N450" s="36" t="str">
        <f ca="1">IFERROR(__xludf.DUMMYFUNCTION("""COMPUTED_VALUE"""),"")</f>
        <v/>
      </c>
      <c r="O450" s="36" t="str">
        <f ca="1">IFERROR(__xludf.DUMMYFUNCTION("""COMPUTED_VALUE"""),"")</f>
        <v/>
      </c>
      <c r="P450" s="36" t="str">
        <f ca="1">IFERROR(__xludf.DUMMYFUNCTION("""COMPUTED_VALUE"""),"")</f>
        <v/>
      </c>
      <c r="Q450" s="36" t="str">
        <f ca="1">IFERROR(__xludf.DUMMYFUNCTION("""COMPUTED_VALUE"""),"")</f>
        <v/>
      </c>
      <c r="R450" s="36" t="str">
        <f ca="1">IFERROR(__xludf.DUMMYFUNCTION("""COMPUTED_VALUE"""),"")</f>
        <v/>
      </c>
      <c r="S450" s="36" t="str">
        <f ca="1">IFERROR(__xludf.DUMMYFUNCTION("""COMPUTED_VALUE"""),"")</f>
        <v/>
      </c>
      <c r="T450" s="36" t="str">
        <f ca="1">IFERROR(__xludf.DUMMYFUNCTION("""COMPUTED_VALUE"""),"")</f>
        <v/>
      </c>
      <c r="U450" s="36" t="str">
        <f ca="1">IFERROR(__xludf.DUMMYFUNCTION("""COMPUTED_VALUE"""),"")</f>
        <v/>
      </c>
      <c r="V450" s="36" t="str">
        <f ca="1">IFERROR(__xludf.DUMMYFUNCTION("""COMPUTED_VALUE"""),"")</f>
        <v/>
      </c>
      <c r="W450" s="36" t="str">
        <f ca="1">IFERROR(__xludf.DUMMYFUNCTION("""COMPUTED_VALUE"""),"")</f>
        <v/>
      </c>
      <c r="X450" s="36"/>
      <c r="Y450" s="36"/>
      <c r="Z450" s="36"/>
    </row>
    <row r="451" spans="1:26" ht="12.75" hidden="1">
      <c r="A451" s="36" t="str">
        <f ca="1">IFERROR(__xludf.DUMMYFUNCTION("""COMPUTED_VALUE"""),"")</f>
        <v/>
      </c>
      <c r="B451" s="36" t="str">
        <f ca="1">IFERROR(__xludf.DUMMYFUNCTION("""COMPUTED_VALUE"""),"")</f>
        <v/>
      </c>
      <c r="C451" s="36" t="str">
        <f ca="1">IFERROR(__xludf.DUMMYFUNCTION("""COMPUTED_VALUE"""),"")</f>
        <v/>
      </c>
      <c r="D451" s="36" t="str">
        <f ca="1">IFERROR(__xludf.DUMMYFUNCTION("""COMPUTED_VALUE"""),"")</f>
        <v/>
      </c>
      <c r="E451" s="36" t="str">
        <f ca="1">IFERROR(__xludf.DUMMYFUNCTION("""COMPUTED_VALUE"""),"")</f>
        <v/>
      </c>
      <c r="F451" s="36" t="str">
        <f ca="1">IFERROR(__xludf.DUMMYFUNCTION("""COMPUTED_VALUE"""),"")</f>
        <v/>
      </c>
      <c r="G451" s="36" t="str">
        <f ca="1">IFERROR(__xludf.DUMMYFUNCTION("""COMPUTED_VALUE"""),"")</f>
        <v/>
      </c>
      <c r="H451" s="36" t="str">
        <f ca="1">IFERROR(__xludf.DUMMYFUNCTION("""COMPUTED_VALUE"""),"")</f>
        <v/>
      </c>
      <c r="I451" s="36" t="str">
        <f ca="1">IFERROR(__xludf.DUMMYFUNCTION("""COMPUTED_VALUE"""),"")</f>
        <v/>
      </c>
      <c r="J451" s="36" t="str">
        <f ca="1">IFERROR(__xludf.DUMMYFUNCTION("""COMPUTED_VALUE"""),"")</f>
        <v/>
      </c>
      <c r="K451" s="36" t="str">
        <f ca="1">IFERROR(__xludf.DUMMYFUNCTION("""COMPUTED_VALUE"""),"")</f>
        <v/>
      </c>
      <c r="L451" s="36" t="str">
        <f ca="1">IFERROR(__xludf.DUMMYFUNCTION("""COMPUTED_VALUE"""),"")</f>
        <v/>
      </c>
      <c r="M451" s="36" t="str">
        <f ca="1">IFERROR(__xludf.DUMMYFUNCTION("""COMPUTED_VALUE"""),"")</f>
        <v/>
      </c>
      <c r="N451" s="36" t="str">
        <f ca="1">IFERROR(__xludf.DUMMYFUNCTION("""COMPUTED_VALUE"""),"")</f>
        <v/>
      </c>
      <c r="O451" s="36" t="str">
        <f ca="1">IFERROR(__xludf.DUMMYFUNCTION("""COMPUTED_VALUE"""),"")</f>
        <v/>
      </c>
      <c r="P451" s="36" t="str">
        <f ca="1">IFERROR(__xludf.DUMMYFUNCTION("""COMPUTED_VALUE"""),"")</f>
        <v/>
      </c>
      <c r="Q451" s="36" t="str">
        <f ca="1">IFERROR(__xludf.DUMMYFUNCTION("""COMPUTED_VALUE"""),"")</f>
        <v/>
      </c>
      <c r="R451" s="36" t="str">
        <f ca="1">IFERROR(__xludf.DUMMYFUNCTION("""COMPUTED_VALUE"""),"")</f>
        <v/>
      </c>
      <c r="S451" s="36" t="str">
        <f ca="1">IFERROR(__xludf.DUMMYFUNCTION("""COMPUTED_VALUE"""),"")</f>
        <v/>
      </c>
      <c r="T451" s="36" t="str">
        <f ca="1">IFERROR(__xludf.DUMMYFUNCTION("""COMPUTED_VALUE"""),"")</f>
        <v/>
      </c>
      <c r="U451" s="36" t="str">
        <f ca="1">IFERROR(__xludf.DUMMYFUNCTION("""COMPUTED_VALUE"""),"")</f>
        <v/>
      </c>
      <c r="V451" s="36" t="str">
        <f ca="1">IFERROR(__xludf.DUMMYFUNCTION("""COMPUTED_VALUE"""),"")</f>
        <v/>
      </c>
      <c r="W451" s="36" t="str">
        <f ca="1">IFERROR(__xludf.DUMMYFUNCTION("""COMPUTED_VALUE"""),"")</f>
        <v/>
      </c>
      <c r="X451" s="36"/>
      <c r="Y451" s="36"/>
      <c r="Z451" s="36"/>
    </row>
    <row r="452" spans="1:26" ht="12.75" hidden="1">
      <c r="A452" s="36" t="str">
        <f ca="1">IFERROR(__xludf.DUMMYFUNCTION("""COMPUTED_VALUE"""),"")</f>
        <v/>
      </c>
      <c r="B452" s="36" t="str">
        <f ca="1">IFERROR(__xludf.DUMMYFUNCTION("""COMPUTED_VALUE"""),"")</f>
        <v/>
      </c>
      <c r="C452" s="36" t="str">
        <f ca="1">IFERROR(__xludf.DUMMYFUNCTION("""COMPUTED_VALUE"""),"")</f>
        <v/>
      </c>
      <c r="D452" s="36" t="str">
        <f ca="1">IFERROR(__xludf.DUMMYFUNCTION("""COMPUTED_VALUE"""),"")</f>
        <v/>
      </c>
      <c r="E452" s="36" t="str">
        <f ca="1">IFERROR(__xludf.DUMMYFUNCTION("""COMPUTED_VALUE"""),"")</f>
        <v/>
      </c>
      <c r="F452" s="36" t="str">
        <f ca="1">IFERROR(__xludf.DUMMYFUNCTION("""COMPUTED_VALUE"""),"")</f>
        <v/>
      </c>
      <c r="G452" s="36" t="str">
        <f ca="1">IFERROR(__xludf.DUMMYFUNCTION("""COMPUTED_VALUE"""),"")</f>
        <v/>
      </c>
      <c r="H452" s="36" t="str">
        <f ca="1">IFERROR(__xludf.DUMMYFUNCTION("""COMPUTED_VALUE"""),"")</f>
        <v/>
      </c>
      <c r="I452" s="36" t="str">
        <f ca="1">IFERROR(__xludf.DUMMYFUNCTION("""COMPUTED_VALUE"""),"")</f>
        <v/>
      </c>
      <c r="J452" s="36" t="str">
        <f ca="1">IFERROR(__xludf.DUMMYFUNCTION("""COMPUTED_VALUE"""),"")</f>
        <v/>
      </c>
      <c r="K452" s="36" t="str">
        <f ca="1">IFERROR(__xludf.DUMMYFUNCTION("""COMPUTED_VALUE"""),"")</f>
        <v/>
      </c>
      <c r="L452" s="36" t="str">
        <f ca="1">IFERROR(__xludf.DUMMYFUNCTION("""COMPUTED_VALUE"""),"")</f>
        <v/>
      </c>
      <c r="M452" s="36" t="str">
        <f ca="1">IFERROR(__xludf.DUMMYFUNCTION("""COMPUTED_VALUE"""),"")</f>
        <v/>
      </c>
      <c r="N452" s="36" t="str">
        <f ca="1">IFERROR(__xludf.DUMMYFUNCTION("""COMPUTED_VALUE"""),"")</f>
        <v/>
      </c>
      <c r="O452" s="36" t="str">
        <f ca="1">IFERROR(__xludf.DUMMYFUNCTION("""COMPUTED_VALUE"""),"")</f>
        <v/>
      </c>
      <c r="P452" s="36" t="str">
        <f ca="1">IFERROR(__xludf.DUMMYFUNCTION("""COMPUTED_VALUE"""),"")</f>
        <v/>
      </c>
      <c r="Q452" s="36" t="str">
        <f ca="1">IFERROR(__xludf.DUMMYFUNCTION("""COMPUTED_VALUE"""),"")</f>
        <v/>
      </c>
      <c r="R452" s="36" t="str">
        <f ca="1">IFERROR(__xludf.DUMMYFUNCTION("""COMPUTED_VALUE"""),"")</f>
        <v/>
      </c>
      <c r="S452" s="36" t="str">
        <f ca="1">IFERROR(__xludf.DUMMYFUNCTION("""COMPUTED_VALUE"""),"")</f>
        <v/>
      </c>
      <c r="T452" s="36" t="str">
        <f ca="1">IFERROR(__xludf.DUMMYFUNCTION("""COMPUTED_VALUE"""),"")</f>
        <v/>
      </c>
      <c r="U452" s="36" t="str">
        <f ca="1">IFERROR(__xludf.DUMMYFUNCTION("""COMPUTED_VALUE"""),"")</f>
        <v/>
      </c>
      <c r="V452" s="36" t="str">
        <f ca="1">IFERROR(__xludf.DUMMYFUNCTION("""COMPUTED_VALUE"""),"")</f>
        <v/>
      </c>
      <c r="W452" s="36" t="str">
        <f ca="1">IFERROR(__xludf.DUMMYFUNCTION("""COMPUTED_VALUE"""),"")</f>
        <v/>
      </c>
      <c r="X452" s="36"/>
      <c r="Y452" s="36"/>
      <c r="Z452" s="36"/>
    </row>
    <row r="453" spans="1:26" ht="12.75" hidden="1">
      <c r="A453" s="36" t="str">
        <f ca="1">IFERROR(__xludf.DUMMYFUNCTION("""COMPUTED_VALUE"""),"")</f>
        <v/>
      </c>
      <c r="B453" s="36" t="str">
        <f ca="1">IFERROR(__xludf.DUMMYFUNCTION("""COMPUTED_VALUE"""),"")</f>
        <v/>
      </c>
      <c r="C453" s="36" t="str">
        <f ca="1">IFERROR(__xludf.DUMMYFUNCTION("""COMPUTED_VALUE"""),"")</f>
        <v/>
      </c>
      <c r="D453" s="36" t="str">
        <f ca="1">IFERROR(__xludf.DUMMYFUNCTION("""COMPUTED_VALUE"""),"")</f>
        <v/>
      </c>
      <c r="E453" s="36" t="str">
        <f ca="1">IFERROR(__xludf.DUMMYFUNCTION("""COMPUTED_VALUE"""),"")</f>
        <v/>
      </c>
      <c r="F453" s="36" t="str">
        <f ca="1">IFERROR(__xludf.DUMMYFUNCTION("""COMPUTED_VALUE"""),"")</f>
        <v/>
      </c>
      <c r="G453" s="36" t="str">
        <f ca="1">IFERROR(__xludf.DUMMYFUNCTION("""COMPUTED_VALUE"""),"")</f>
        <v/>
      </c>
      <c r="H453" s="36" t="str">
        <f ca="1">IFERROR(__xludf.DUMMYFUNCTION("""COMPUTED_VALUE"""),"")</f>
        <v/>
      </c>
      <c r="I453" s="36" t="str">
        <f ca="1">IFERROR(__xludf.DUMMYFUNCTION("""COMPUTED_VALUE"""),"")</f>
        <v/>
      </c>
      <c r="J453" s="36" t="str">
        <f ca="1">IFERROR(__xludf.DUMMYFUNCTION("""COMPUTED_VALUE"""),"")</f>
        <v/>
      </c>
      <c r="K453" s="36" t="str">
        <f ca="1">IFERROR(__xludf.DUMMYFUNCTION("""COMPUTED_VALUE"""),"")</f>
        <v/>
      </c>
      <c r="L453" s="36" t="str">
        <f ca="1">IFERROR(__xludf.DUMMYFUNCTION("""COMPUTED_VALUE"""),"")</f>
        <v/>
      </c>
      <c r="M453" s="36" t="str">
        <f ca="1">IFERROR(__xludf.DUMMYFUNCTION("""COMPUTED_VALUE"""),"")</f>
        <v/>
      </c>
      <c r="N453" s="36" t="str">
        <f ca="1">IFERROR(__xludf.DUMMYFUNCTION("""COMPUTED_VALUE"""),"")</f>
        <v/>
      </c>
      <c r="O453" s="36" t="str">
        <f ca="1">IFERROR(__xludf.DUMMYFUNCTION("""COMPUTED_VALUE"""),"")</f>
        <v/>
      </c>
      <c r="P453" s="36" t="str">
        <f ca="1">IFERROR(__xludf.DUMMYFUNCTION("""COMPUTED_VALUE"""),"")</f>
        <v/>
      </c>
      <c r="Q453" s="36" t="str">
        <f ca="1">IFERROR(__xludf.DUMMYFUNCTION("""COMPUTED_VALUE"""),"")</f>
        <v/>
      </c>
      <c r="R453" s="36" t="str">
        <f ca="1">IFERROR(__xludf.DUMMYFUNCTION("""COMPUTED_VALUE"""),"")</f>
        <v/>
      </c>
      <c r="S453" s="36" t="str">
        <f ca="1">IFERROR(__xludf.DUMMYFUNCTION("""COMPUTED_VALUE"""),"")</f>
        <v/>
      </c>
      <c r="T453" s="36" t="str">
        <f ca="1">IFERROR(__xludf.DUMMYFUNCTION("""COMPUTED_VALUE"""),"")</f>
        <v/>
      </c>
      <c r="U453" s="36" t="str">
        <f ca="1">IFERROR(__xludf.DUMMYFUNCTION("""COMPUTED_VALUE"""),"")</f>
        <v/>
      </c>
      <c r="V453" s="36" t="str">
        <f ca="1">IFERROR(__xludf.DUMMYFUNCTION("""COMPUTED_VALUE"""),"")</f>
        <v/>
      </c>
      <c r="W453" s="36" t="str">
        <f ca="1">IFERROR(__xludf.DUMMYFUNCTION("""COMPUTED_VALUE"""),"")</f>
        <v/>
      </c>
      <c r="X453" s="36"/>
      <c r="Y453" s="36"/>
      <c r="Z453" s="36"/>
    </row>
    <row r="454" spans="1:26" ht="12.75" hidden="1">
      <c r="A454" s="36" t="str">
        <f ca="1">IFERROR(__xludf.DUMMYFUNCTION("""COMPUTED_VALUE"""),"")</f>
        <v/>
      </c>
      <c r="B454" s="36" t="str">
        <f ca="1">IFERROR(__xludf.DUMMYFUNCTION("""COMPUTED_VALUE"""),"")</f>
        <v/>
      </c>
      <c r="C454" s="36" t="str">
        <f ca="1">IFERROR(__xludf.DUMMYFUNCTION("""COMPUTED_VALUE"""),"")</f>
        <v/>
      </c>
      <c r="D454" s="36" t="str">
        <f ca="1">IFERROR(__xludf.DUMMYFUNCTION("""COMPUTED_VALUE"""),"")</f>
        <v/>
      </c>
      <c r="E454" s="36" t="str">
        <f ca="1">IFERROR(__xludf.DUMMYFUNCTION("""COMPUTED_VALUE"""),"")</f>
        <v/>
      </c>
      <c r="F454" s="36" t="str">
        <f ca="1">IFERROR(__xludf.DUMMYFUNCTION("""COMPUTED_VALUE"""),"")</f>
        <v/>
      </c>
      <c r="G454" s="36" t="str">
        <f ca="1">IFERROR(__xludf.DUMMYFUNCTION("""COMPUTED_VALUE"""),"")</f>
        <v/>
      </c>
      <c r="H454" s="36" t="str">
        <f ca="1">IFERROR(__xludf.DUMMYFUNCTION("""COMPUTED_VALUE"""),"")</f>
        <v/>
      </c>
      <c r="I454" s="36" t="str">
        <f ca="1">IFERROR(__xludf.DUMMYFUNCTION("""COMPUTED_VALUE"""),"")</f>
        <v/>
      </c>
      <c r="J454" s="36" t="str">
        <f ca="1">IFERROR(__xludf.DUMMYFUNCTION("""COMPUTED_VALUE"""),"")</f>
        <v/>
      </c>
      <c r="K454" s="36" t="str">
        <f ca="1">IFERROR(__xludf.DUMMYFUNCTION("""COMPUTED_VALUE"""),"")</f>
        <v/>
      </c>
      <c r="L454" s="36" t="str">
        <f ca="1">IFERROR(__xludf.DUMMYFUNCTION("""COMPUTED_VALUE"""),"")</f>
        <v/>
      </c>
      <c r="M454" s="36" t="str">
        <f ca="1">IFERROR(__xludf.DUMMYFUNCTION("""COMPUTED_VALUE"""),"")</f>
        <v/>
      </c>
      <c r="N454" s="36" t="str">
        <f ca="1">IFERROR(__xludf.DUMMYFUNCTION("""COMPUTED_VALUE"""),"")</f>
        <v/>
      </c>
      <c r="O454" s="36" t="str">
        <f ca="1">IFERROR(__xludf.DUMMYFUNCTION("""COMPUTED_VALUE"""),"")</f>
        <v/>
      </c>
      <c r="P454" s="36" t="str">
        <f ca="1">IFERROR(__xludf.DUMMYFUNCTION("""COMPUTED_VALUE"""),"")</f>
        <v/>
      </c>
      <c r="Q454" s="36" t="str">
        <f ca="1">IFERROR(__xludf.DUMMYFUNCTION("""COMPUTED_VALUE"""),"")</f>
        <v/>
      </c>
      <c r="R454" s="36" t="str">
        <f ca="1">IFERROR(__xludf.DUMMYFUNCTION("""COMPUTED_VALUE"""),"")</f>
        <v/>
      </c>
      <c r="S454" s="36" t="str">
        <f ca="1">IFERROR(__xludf.DUMMYFUNCTION("""COMPUTED_VALUE"""),"")</f>
        <v/>
      </c>
      <c r="T454" s="36" t="str">
        <f ca="1">IFERROR(__xludf.DUMMYFUNCTION("""COMPUTED_VALUE"""),"")</f>
        <v/>
      </c>
      <c r="U454" s="36" t="str">
        <f ca="1">IFERROR(__xludf.DUMMYFUNCTION("""COMPUTED_VALUE"""),"")</f>
        <v/>
      </c>
      <c r="V454" s="36" t="str">
        <f ca="1">IFERROR(__xludf.DUMMYFUNCTION("""COMPUTED_VALUE"""),"")</f>
        <v/>
      </c>
      <c r="W454" s="36" t="str">
        <f ca="1">IFERROR(__xludf.DUMMYFUNCTION("""COMPUTED_VALUE"""),"")</f>
        <v/>
      </c>
      <c r="X454" s="36"/>
      <c r="Y454" s="36"/>
      <c r="Z454" s="36"/>
    </row>
    <row r="455" spans="1:26" ht="12.75" hidden="1">
      <c r="A455" s="36" t="str">
        <f ca="1">IFERROR(__xludf.DUMMYFUNCTION("""COMPUTED_VALUE"""),"")</f>
        <v/>
      </c>
      <c r="B455" s="36" t="str">
        <f ca="1">IFERROR(__xludf.DUMMYFUNCTION("""COMPUTED_VALUE"""),"")</f>
        <v/>
      </c>
      <c r="C455" s="36" t="str">
        <f ca="1">IFERROR(__xludf.DUMMYFUNCTION("""COMPUTED_VALUE"""),"")</f>
        <v/>
      </c>
      <c r="D455" s="36" t="str">
        <f ca="1">IFERROR(__xludf.DUMMYFUNCTION("""COMPUTED_VALUE"""),"")</f>
        <v/>
      </c>
      <c r="E455" s="36" t="str">
        <f ca="1">IFERROR(__xludf.DUMMYFUNCTION("""COMPUTED_VALUE"""),"")</f>
        <v/>
      </c>
      <c r="F455" s="36" t="str">
        <f ca="1">IFERROR(__xludf.DUMMYFUNCTION("""COMPUTED_VALUE"""),"")</f>
        <v/>
      </c>
      <c r="G455" s="36" t="str">
        <f ca="1">IFERROR(__xludf.DUMMYFUNCTION("""COMPUTED_VALUE"""),"")</f>
        <v/>
      </c>
      <c r="H455" s="36" t="str">
        <f ca="1">IFERROR(__xludf.DUMMYFUNCTION("""COMPUTED_VALUE"""),"")</f>
        <v/>
      </c>
      <c r="I455" s="36" t="str">
        <f ca="1">IFERROR(__xludf.DUMMYFUNCTION("""COMPUTED_VALUE"""),"")</f>
        <v/>
      </c>
      <c r="J455" s="36" t="str">
        <f ca="1">IFERROR(__xludf.DUMMYFUNCTION("""COMPUTED_VALUE"""),"")</f>
        <v/>
      </c>
      <c r="K455" s="36" t="str">
        <f ca="1">IFERROR(__xludf.DUMMYFUNCTION("""COMPUTED_VALUE"""),"")</f>
        <v/>
      </c>
      <c r="L455" s="36" t="str">
        <f ca="1">IFERROR(__xludf.DUMMYFUNCTION("""COMPUTED_VALUE"""),"")</f>
        <v/>
      </c>
      <c r="M455" s="36" t="str">
        <f ca="1">IFERROR(__xludf.DUMMYFUNCTION("""COMPUTED_VALUE"""),"")</f>
        <v/>
      </c>
      <c r="N455" s="36" t="str">
        <f ca="1">IFERROR(__xludf.DUMMYFUNCTION("""COMPUTED_VALUE"""),"")</f>
        <v/>
      </c>
      <c r="O455" s="36" t="str">
        <f ca="1">IFERROR(__xludf.DUMMYFUNCTION("""COMPUTED_VALUE"""),"")</f>
        <v/>
      </c>
      <c r="P455" s="36" t="str">
        <f ca="1">IFERROR(__xludf.DUMMYFUNCTION("""COMPUTED_VALUE"""),"")</f>
        <v/>
      </c>
      <c r="Q455" s="36" t="str">
        <f ca="1">IFERROR(__xludf.DUMMYFUNCTION("""COMPUTED_VALUE"""),"")</f>
        <v/>
      </c>
      <c r="R455" s="36" t="str">
        <f ca="1">IFERROR(__xludf.DUMMYFUNCTION("""COMPUTED_VALUE"""),"")</f>
        <v/>
      </c>
      <c r="S455" s="36" t="str">
        <f ca="1">IFERROR(__xludf.DUMMYFUNCTION("""COMPUTED_VALUE"""),"")</f>
        <v/>
      </c>
      <c r="T455" s="36" t="str">
        <f ca="1">IFERROR(__xludf.DUMMYFUNCTION("""COMPUTED_VALUE"""),"")</f>
        <v/>
      </c>
      <c r="U455" s="36" t="str">
        <f ca="1">IFERROR(__xludf.DUMMYFUNCTION("""COMPUTED_VALUE"""),"")</f>
        <v/>
      </c>
      <c r="V455" s="36" t="str">
        <f ca="1">IFERROR(__xludf.DUMMYFUNCTION("""COMPUTED_VALUE"""),"")</f>
        <v/>
      </c>
      <c r="W455" s="36" t="str">
        <f ca="1">IFERROR(__xludf.DUMMYFUNCTION("""COMPUTED_VALUE"""),"")</f>
        <v/>
      </c>
      <c r="X455" s="36"/>
      <c r="Y455" s="36"/>
      <c r="Z455" s="36"/>
    </row>
    <row r="456" spans="1:26" ht="12.75" hidden="1">
      <c r="A456" s="36" t="str">
        <f ca="1">IFERROR(__xludf.DUMMYFUNCTION("""COMPUTED_VALUE"""),"")</f>
        <v/>
      </c>
      <c r="B456" s="36" t="str">
        <f ca="1">IFERROR(__xludf.DUMMYFUNCTION("""COMPUTED_VALUE"""),"")</f>
        <v/>
      </c>
      <c r="C456" s="36" t="str">
        <f ca="1">IFERROR(__xludf.DUMMYFUNCTION("""COMPUTED_VALUE"""),"")</f>
        <v/>
      </c>
      <c r="D456" s="36" t="str">
        <f ca="1">IFERROR(__xludf.DUMMYFUNCTION("""COMPUTED_VALUE"""),"")</f>
        <v/>
      </c>
      <c r="E456" s="36" t="str">
        <f ca="1">IFERROR(__xludf.DUMMYFUNCTION("""COMPUTED_VALUE"""),"")</f>
        <v/>
      </c>
      <c r="F456" s="36" t="str">
        <f ca="1">IFERROR(__xludf.DUMMYFUNCTION("""COMPUTED_VALUE"""),"")</f>
        <v/>
      </c>
      <c r="G456" s="36" t="str">
        <f ca="1">IFERROR(__xludf.DUMMYFUNCTION("""COMPUTED_VALUE"""),"")</f>
        <v/>
      </c>
      <c r="H456" s="36" t="str">
        <f ca="1">IFERROR(__xludf.DUMMYFUNCTION("""COMPUTED_VALUE"""),"")</f>
        <v/>
      </c>
      <c r="I456" s="36" t="str">
        <f ca="1">IFERROR(__xludf.DUMMYFUNCTION("""COMPUTED_VALUE"""),"")</f>
        <v/>
      </c>
      <c r="J456" s="36" t="str">
        <f ca="1">IFERROR(__xludf.DUMMYFUNCTION("""COMPUTED_VALUE"""),"")</f>
        <v/>
      </c>
      <c r="K456" s="36" t="str">
        <f ca="1">IFERROR(__xludf.DUMMYFUNCTION("""COMPUTED_VALUE"""),"")</f>
        <v/>
      </c>
      <c r="L456" s="36" t="str">
        <f ca="1">IFERROR(__xludf.DUMMYFUNCTION("""COMPUTED_VALUE"""),"")</f>
        <v/>
      </c>
      <c r="M456" s="36" t="str">
        <f ca="1">IFERROR(__xludf.DUMMYFUNCTION("""COMPUTED_VALUE"""),"")</f>
        <v/>
      </c>
      <c r="N456" s="36" t="str">
        <f ca="1">IFERROR(__xludf.DUMMYFUNCTION("""COMPUTED_VALUE"""),"")</f>
        <v/>
      </c>
      <c r="O456" s="36" t="str">
        <f ca="1">IFERROR(__xludf.DUMMYFUNCTION("""COMPUTED_VALUE"""),"")</f>
        <v/>
      </c>
      <c r="P456" s="36" t="str">
        <f ca="1">IFERROR(__xludf.DUMMYFUNCTION("""COMPUTED_VALUE"""),"")</f>
        <v/>
      </c>
      <c r="Q456" s="36" t="str">
        <f ca="1">IFERROR(__xludf.DUMMYFUNCTION("""COMPUTED_VALUE"""),"")</f>
        <v/>
      </c>
      <c r="R456" s="36" t="str">
        <f ca="1">IFERROR(__xludf.DUMMYFUNCTION("""COMPUTED_VALUE"""),"")</f>
        <v/>
      </c>
      <c r="S456" s="36" t="str">
        <f ca="1">IFERROR(__xludf.DUMMYFUNCTION("""COMPUTED_VALUE"""),"")</f>
        <v/>
      </c>
      <c r="T456" s="36" t="str">
        <f ca="1">IFERROR(__xludf.DUMMYFUNCTION("""COMPUTED_VALUE"""),"")</f>
        <v/>
      </c>
      <c r="U456" s="36" t="str">
        <f ca="1">IFERROR(__xludf.DUMMYFUNCTION("""COMPUTED_VALUE"""),"")</f>
        <v/>
      </c>
      <c r="V456" s="36" t="str">
        <f ca="1">IFERROR(__xludf.DUMMYFUNCTION("""COMPUTED_VALUE"""),"")</f>
        <v/>
      </c>
      <c r="W456" s="36" t="str">
        <f ca="1">IFERROR(__xludf.DUMMYFUNCTION("""COMPUTED_VALUE"""),"")</f>
        <v/>
      </c>
      <c r="X456" s="36"/>
      <c r="Y456" s="36"/>
      <c r="Z456" s="36"/>
    </row>
    <row r="457" spans="1:26" ht="12.75" hidden="1">
      <c r="A457" s="36" t="str">
        <f ca="1">IFERROR(__xludf.DUMMYFUNCTION("""COMPUTED_VALUE"""),"")</f>
        <v/>
      </c>
      <c r="B457" s="36" t="str">
        <f ca="1">IFERROR(__xludf.DUMMYFUNCTION("""COMPUTED_VALUE"""),"")</f>
        <v/>
      </c>
      <c r="C457" s="36" t="str">
        <f ca="1">IFERROR(__xludf.DUMMYFUNCTION("""COMPUTED_VALUE"""),"")</f>
        <v/>
      </c>
      <c r="D457" s="36" t="str">
        <f ca="1">IFERROR(__xludf.DUMMYFUNCTION("""COMPUTED_VALUE"""),"")</f>
        <v/>
      </c>
      <c r="E457" s="36" t="str">
        <f ca="1">IFERROR(__xludf.DUMMYFUNCTION("""COMPUTED_VALUE"""),"")</f>
        <v/>
      </c>
      <c r="F457" s="36" t="str">
        <f ca="1">IFERROR(__xludf.DUMMYFUNCTION("""COMPUTED_VALUE"""),"")</f>
        <v/>
      </c>
      <c r="G457" s="36" t="str">
        <f ca="1">IFERROR(__xludf.DUMMYFUNCTION("""COMPUTED_VALUE"""),"")</f>
        <v/>
      </c>
      <c r="H457" s="36" t="str">
        <f ca="1">IFERROR(__xludf.DUMMYFUNCTION("""COMPUTED_VALUE"""),"")</f>
        <v/>
      </c>
      <c r="I457" s="36" t="str">
        <f ca="1">IFERROR(__xludf.DUMMYFUNCTION("""COMPUTED_VALUE"""),"")</f>
        <v/>
      </c>
      <c r="J457" s="36" t="str">
        <f ca="1">IFERROR(__xludf.DUMMYFUNCTION("""COMPUTED_VALUE"""),"")</f>
        <v/>
      </c>
      <c r="K457" s="36" t="str">
        <f ca="1">IFERROR(__xludf.DUMMYFUNCTION("""COMPUTED_VALUE"""),"")</f>
        <v/>
      </c>
      <c r="L457" s="36" t="str">
        <f ca="1">IFERROR(__xludf.DUMMYFUNCTION("""COMPUTED_VALUE"""),"")</f>
        <v/>
      </c>
      <c r="M457" s="36" t="str">
        <f ca="1">IFERROR(__xludf.DUMMYFUNCTION("""COMPUTED_VALUE"""),"")</f>
        <v/>
      </c>
      <c r="N457" s="36" t="str">
        <f ca="1">IFERROR(__xludf.DUMMYFUNCTION("""COMPUTED_VALUE"""),"")</f>
        <v/>
      </c>
      <c r="O457" s="36" t="str">
        <f ca="1">IFERROR(__xludf.DUMMYFUNCTION("""COMPUTED_VALUE"""),"")</f>
        <v/>
      </c>
      <c r="P457" s="36" t="str">
        <f ca="1">IFERROR(__xludf.DUMMYFUNCTION("""COMPUTED_VALUE"""),"")</f>
        <v/>
      </c>
      <c r="Q457" s="36" t="str">
        <f ca="1">IFERROR(__xludf.DUMMYFUNCTION("""COMPUTED_VALUE"""),"")</f>
        <v/>
      </c>
      <c r="R457" s="36" t="str">
        <f ca="1">IFERROR(__xludf.DUMMYFUNCTION("""COMPUTED_VALUE"""),"")</f>
        <v/>
      </c>
      <c r="S457" s="36" t="str">
        <f ca="1">IFERROR(__xludf.DUMMYFUNCTION("""COMPUTED_VALUE"""),"")</f>
        <v/>
      </c>
      <c r="T457" s="36" t="str">
        <f ca="1">IFERROR(__xludf.DUMMYFUNCTION("""COMPUTED_VALUE"""),"")</f>
        <v/>
      </c>
      <c r="U457" s="36" t="str">
        <f ca="1">IFERROR(__xludf.DUMMYFUNCTION("""COMPUTED_VALUE"""),"")</f>
        <v/>
      </c>
      <c r="V457" s="36" t="str">
        <f ca="1">IFERROR(__xludf.DUMMYFUNCTION("""COMPUTED_VALUE"""),"")</f>
        <v/>
      </c>
      <c r="W457" s="36" t="str">
        <f ca="1">IFERROR(__xludf.DUMMYFUNCTION("""COMPUTED_VALUE"""),"")</f>
        <v/>
      </c>
      <c r="X457" s="36"/>
      <c r="Y457" s="36"/>
      <c r="Z457" s="36"/>
    </row>
    <row r="458" spans="1:26" ht="12.75" hidden="1">
      <c r="A458" s="36" t="str">
        <f ca="1">IFERROR(__xludf.DUMMYFUNCTION("""COMPUTED_VALUE"""),"")</f>
        <v/>
      </c>
      <c r="B458" s="36" t="str">
        <f ca="1">IFERROR(__xludf.DUMMYFUNCTION("""COMPUTED_VALUE"""),"")</f>
        <v/>
      </c>
      <c r="C458" s="36" t="str">
        <f ca="1">IFERROR(__xludf.DUMMYFUNCTION("""COMPUTED_VALUE"""),"")</f>
        <v/>
      </c>
      <c r="D458" s="36" t="str">
        <f ca="1">IFERROR(__xludf.DUMMYFUNCTION("""COMPUTED_VALUE"""),"")</f>
        <v/>
      </c>
      <c r="E458" s="36" t="str">
        <f ca="1">IFERROR(__xludf.DUMMYFUNCTION("""COMPUTED_VALUE"""),"")</f>
        <v/>
      </c>
      <c r="F458" s="36" t="str">
        <f ca="1">IFERROR(__xludf.DUMMYFUNCTION("""COMPUTED_VALUE"""),"")</f>
        <v/>
      </c>
      <c r="G458" s="36" t="str">
        <f ca="1">IFERROR(__xludf.DUMMYFUNCTION("""COMPUTED_VALUE"""),"")</f>
        <v/>
      </c>
      <c r="H458" s="36" t="str">
        <f ca="1">IFERROR(__xludf.DUMMYFUNCTION("""COMPUTED_VALUE"""),"")</f>
        <v/>
      </c>
      <c r="I458" s="36" t="str">
        <f ca="1">IFERROR(__xludf.DUMMYFUNCTION("""COMPUTED_VALUE"""),"")</f>
        <v/>
      </c>
      <c r="J458" s="36" t="str">
        <f ca="1">IFERROR(__xludf.DUMMYFUNCTION("""COMPUTED_VALUE"""),"")</f>
        <v/>
      </c>
      <c r="K458" s="36" t="str">
        <f ca="1">IFERROR(__xludf.DUMMYFUNCTION("""COMPUTED_VALUE"""),"")</f>
        <v/>
      </c>
      <c r="L458" s="36" t="str">
        <f ca="1">IFERROR(__xludf.DUMMYFUNCTION("""COMPUTED_VALUE"""),"")</f>
        <v/>
      </c>
      <c r="M458" s="36" t="str">
        <f ca="1">IFERROR(__xludf.DUMMYFUNCTION("""COMPUTED_VALUE"""),"")</f>
        <v/>
      </c>
      <c r="N458" s="36" t="str">
        <f ca="1">IFERROR(__xludf.DUMMYFUNCTION("""COMPUTED_VALUE"""),"")</f>
        <v/>
      </c>
      <c r="O458" s="36" t="str">
        <f ca="1">IFERROR(__xludf.DUMMYFUNCTION("""COMPUTED_VALUE"""),"")</f>
        <v/>
      </c>
      <c r="P458" s="36" t="str">
        <f ca="1">IFERROR(__xludf.DUMMYFUNCTION("""COMPUTED_VALUE"""),"")</f>
        <v/>
      </c>
      <c r="Q458" s="36" t="str">
        <f ca="1">IFERROR(__xludf.DUMMYFUNCTION("""COMPUTED_VALUE"""),"")</f>
        <v/>
      </c>
      <c r="R458" s="36" t="str">
        <f ca="1">IFERROR(__xludf.DUMMYFUNCTION("""COMPUTED_VALUE"""),"")</f>
        <v/>
      </c>
      <c r="S458" s="36" t="str">
        <f ca="1">IFERROR(__xludf.DUMMYFUNCTION("""COMPUTED_VALUE"""),"")</f>
        <v/>
      </c>
      <c r="T458" s="36" t="str">
        <f ca="1">IFERROR(__xludf.DUMMYFUNCTION("""COMPUTED_VALUE"""),"")</f>
        <v/>
      </c>
      <c r="U458" s="36" t="str">
        <f ca="1">IFERROR(__xludf.DUMMYFUNCTION("""COMPUTED_VALUE"""),"")</f>
        <v/>
      </c>
      <c r="V458" s="36" t="str">
        <f ca="1">IFERROR(__xludf.DUMMYFUNCTION("""COMPUTED_VALUE"""),"")</f>
        <v/>
      </c>
      <c r="W458" s="36" t="str">
        <f ca="1">IFERROR(__xludf.DUMMYFUNCTION("""COMPUTED_VALUE"""),"")</f>
        <v/>
      </c>
      <c r="X458" s="36"/>
      <c r="Y458" s="36"/>
      <c r="Z458" s="36"/>
    </row>
    <row r="459" spans="1:26" ht="12.75" hidden="1">
      <c r="A459" s="36" t="str">
        <f ca="1">IFERROR(__xludf.DUMMYFUNCTION("""COMPUTED_VALUE"""),"")</f>
        <v/>
      </c>
      <c r="B459" s="36" t="str">
        <f ca="1">IFERROR(__xludf.DUMMYFUNCTION("""COMPUTED_VALUE"""),"")</f>
        <v/>
      </c>
      <c r="C459" s="36" t="str">
        <f ca="1">IFERROR(__xludf.DUMMYFUNCTION("""COMPUTED_VALUE"""),"")</f>
        <v/>
      </c>
      <c r="D459" s="36" t="str">
        <f ca="1">IFERROR(__xludf.DUMMYFUNCTION("""COMPUTED_VALUE"""),"")</f>
        <v/>
      </c>
      <c r="E459" s="36" t="str">
        <f ca="1">IFERROR(__xludf.DUMMYFUNCTION("""COMPUTED_VALUE"""),"")</f>
        <v/>
      </c>
      <c r="F459" s="36" t="str">
        <f ca="1">IFERROR(__xludf.DUMMYFUNCTION("""COMPUTED_VALUE"""),"")</f>
        <v/>
      </c>
      <c r="G459" s="36" t="str">
        <f ca="1">IFERROR(__xludf.DUMMYFUNCTION("""COMPUTED_VALUE"""),"")</f>
        <v/>
      </c>
      <c r="H459" s="36" t="str">
        <f ca="1">IFERROR(__xludf.DUMMYFUNCTION("""COMPUTED_VALUE"""),"")</f>
        <v/>
      </c>
      <c r="I459" s="36" t="str">
        <f ca="1">IFERROR(__xludf.DUMMYFUNCTION("""COMPUTED_VALUE"""),"")</f>
        <v/>
      </c>
      <c r="J459" s="36" t="str">
        <f ca="1">IFERROR(__xludf.DUMMYFUNCTION("""COMPUTED_VALUE"""),"")</f>
        <v/>
      </c>
      <c r="K459" s="36" t="str">
        <f ca="1">IFERROR(__xludf.DUMMYFUNCTION("""COMPUTED_VALUE"""),"")</f>
        <v/>
      </c>
      <c r="L459" s="36" t="str">
        <f ca="1">IFERROR(__xludf.DUMMYFUNCTION("""COMPUTED_VALUE"""),"")</f>
        <v/>
      </c>
      <c r="M459" s="36" t="str">
        <f ca="1">IFERROR(__xludf.DUMMYFUNCTION("""COMPUTED_VALUE"""),"")</f>
        <v/>
      </c>
      <c r="N459" s="36" t="str">
        <f ca="1">IFERROR(__xludf.DUMMYFUNCTION("""COMPUTED_VALUE"""),"")</f>
        <v/>
      </c>
      <c r="O459" s="36" t="str">
        <f ca="1">IFERROR(__xludf.DUMMYFUNCTION("""COMPUTED_VALUE"""),"")</f>
        <v/>
      </c>
      <c r="P459" s="36" t="str">
        <f ca="1">IFERROR(__xludf.DUMMYFUNCTION("""COMPUTED_VALUE"""),"")</f>
        <v/>
      </c>
      <c r="Q459" s="36" t="str">
        <f ca="1">IFERROR(__xludf.DUMMYFUNCTION("""COMPUTED_VALUE"""),"")</f>
        <v/>
      </c>
      <c r="R459" s="36" t="str">
        <f ca="1">IFERROR(__xludf.DUMMYFUNCTION("""COMPUTED_VALUE"""),"")</f>
        <v/>
      </c>
      <c r="S459" s="36" t="str">
        <f ca="1">IFERROR(__xludf.DUMMYFUNCTION("""COMPUTED_VALUE"""),"")</f>
        <v/>
      </c>
      <c r="T459" s="36" t="str">
        <f ca="1">IFERROR(__xludf.DUMMYFUNCTION("""COMPUTED_VALUE"""),"")</f>
        <v/>
      </c>
      <c r="U459" s="36" t="str">
        <f ca="1">IFERROR(__xludf.DUMMYFUNCTION("""COMPUTED_VALUE"""),"")</f>
        <v/>
      </c>
      <c r="V459" s="36" t="str">
        <f ca="1">IFERROR(__xludf.DUMMYFUNCTION("""COMPUTED_VALUE"""),"")</f>
        <v/>
      </c>
      <c r="W459" s="36" t="str">
        <f ca="1">IFERROR(__xludf.DUMMYFUNCTION("""COMPUTED_VALUE"""),"")</f>
        <v/>
      </c>
      <c r="X459" s="36"/>
      <c r="Y459" s="36"/>
      <c r="Z459" s="36"/>
    </row>
    <row r="460" spans="1:26" ht="12.75" hidden="1">
      <c r="A460" s="36" t="str">
        <f ca="1">IFERROR(__xludf.DUMMYFUNCTION("""COMPUTED_VALUE"""),"")</f>
        <v/>
      </c>
      <c r="B460" s="36" t="str">
        <f ca="1">IFERROR(__xludf.DUMMYFUNCTION("""COMPUTED_VALUE"""),"")</f>
        <v/>
      </c>
      <c r="C460" s="36" t="str">
        <f ca="1">IFERROR(__xludf.DUMMYFUNCTION("""COMPUTED_VALUE"""),"")</f>
        <v/>
      </c>
      <c r="D460" s="36" t="str">
        <f ca="1">IFERROR(__xludf.DUMMYFUNCTION("""COMPUTED_VALUE"""),"")</f>
        <v/>
      </c>
      <c r="E460" s="36" t="str">
        <f ca="1">IFERROR(__xludf.DUMMYFUNCTION("""COMPUTED_VALUE"""),"")</f>
        <v/>
      </c>
      <c r="F460" s="36" t="str">
        <f ca="1">IFERROR(__xludf.DUMMYFUNCTION("""COMPUTED_VALUE"""),"")</f>
        <v/>
      </c>
      <c r="G460" s="36" t="str">
        <f ca="1">IFERROR(__xludf.DUMMYFUNCTION("""COMPUTED_VALUE"""),"")</f>
        <v/>
      </c>
      <c r="H460" s="36" t="str">
        <f ca="1">IFERROR(__xludf.DUMMYFUNCTION("""COMPUTED_VALUE"""),"")</f>
        <v/>
      </c>
      <c r="I460" s="36" t="str">
        <f ca="1">IFERROR(__xludf.DUMMYFUNCTION("""COMPUTED_VALUE"""),"")</f>
        <v/>
      </c>
      <c r="J460" s="36" t="str">
        <f ca="1">IFERROR(__xludf.DUMMYFUNCTION("""COMPUTED_VALUE"""),"")</f>
        <v/>
      </c>
      <c r="K460" s="36" t="str">
        <f ca="1">IFERROR(__xludf.DUMMYFUNCTION("""COMPUTED_VALUE"""),"")</f>
        <v/>
      </c>
      <c r="L460" s="36" t="str">
        <f ca="1">IFERROR(__xludf.DUMMYFUNCTION("""COMPUTED_VALUE"""),"")</f>
        <v/>
      </c>
      <c r="M460" s="36" t="str">
        <f ca="1">IFERROR(__xludf.DUMMYFUNCTION("""COMPUTED_VALUE"""),"")</f>
        <v/>
      </c>
      <c r="N460" s="36" t="str">
        <f ca="1">IFERROR(__xludf.DUMMYFUNCTION("""COMPUTED_VALUE"""),"")</f>
        <v/>
      </c>
      <c r="O460" s="36" t="str">
        <f ca="1">IFERROR(__xludf.DUMMYFUNCTION("""COMPUTED_VALUE"""),"")</f>
        <v/>
      </c>
      <c r="P460" s="36" t="str">
        <f ca="1">IFERROR(__xludf.DUMMYFUNCTION("""COMPUTED_VALUE"""),"")</f>
        <v/>
      </c>
      <c r="Q460" s="36" t="str">
        <f ca="1">IFERROR(__xludf.DUMMYFUNCTION("""COMPUTED_VALUE"""),"")</f>
        <v/>
      </c>
      <c r="R460" s="36" t="str">
        <f ca="1">IFERROR(__xludf.DUMMYFUNCTION("""COMPUTED_VALUE"""),"")</f>
        <v/>
      </c>
      <c r="S460" s="36" t="str">
        <f ca="1">IFERROR(__xludf.DUMMYFUNCTION("""COMPUTED_VALUE"""),"")</f>
        <v/>
      </c>
      <c r="T460" s="36" t="str">
        <f ca="1">IFERROR(__xludf.DUMMYFUNCTION("""COMPUTED_VALUE"""),"")</f>
        <v/>
      </c>
      <c r="U460" s="36" t="str">
        <f ca="1">IFERROR(__xludf.DUMMYFUNCTION("""COMPUTED_VALUE"""),"")</f>
        <v/>
      </c>
      <c r="V460" s="36" t="str">
        <f ca="1">IFERROR(__xludf.DUMMYFUNCTION("""COMPUTED_VALUE"""),"")</f>
        <v/>
      </c>
      <c r="W460" s="36" t="str">
        <f ca="1">IFERROR(__xludf.DUMMYFUNCTION("""COMPUTED_VALUE"""),"")</f>
        <v/>
      </c>
      <c r="X460" s="36"/>
      <c r="Y460" s="36"/>
      <c r="Z460" s="36"/>
    </row>
    <row r="461" spans="1:26" ht="12.75" hidden="1">
      <c r="A461" s="36" t="str">
        <f ca="1">IFERROR(__xludf.DUMMYFUNCTION("""COMPUTED_VALUE"""),"")</f>
        <v/>
      </c>
      <c r="B461" s="36" t="str">
        <f ca="1">IFERROR(__xludf.DUMMYFUNCTION("""COMPUTED_VALUE"""),"")</f>
        <v/>
      </c>
      <c r="C461" s="36" t="str">
        <f ca="1">IFERROR(__xludf.DUMMYFUNCTION("""COMPUTED_VALUE"""),"")</f>
        <v/>
      </c>
      <c r="D461" s="36" t="str">
        <f ca="1">IFERROR(__xludf.DUMMYFUNCTION("""COMPUTED_VALUE"""),"")</f>
        <v/>
      </c>
      <c r="E461" s="36" t="str">
        <f ca="1">IFERROR(__xludf.DUMMYFUNCTION("""COMPUTED_VALUE"""),"")</f>
        <v/>
      </c>
      <c r="F461" s="36" t="str">
        <f ca="1">IFERROR(__xludf.DUMMYFUNCTION("""COMPUTED_VALUE"""),"")</f>
        <v/>
      </c>
      <c r="G461" s="36" t="str">
        <f ca="1">IFERROR(__xludf.DUMMYFUNCTION("""COMPUTED_VALUE"""),"")</f>
        <v/>
      </c>
      <c r="H461" s="36" t="str">
        <f ca="1">IFERROR(__xludf.DUMMYFUNCTION("""COMPUTED_VALUE"""),"")</f>
        <v/>
      </c>
      <c r="I461" s="36" t="str">
        <f ca="1">IFERROR(__xludf.DUMMYFUNCTION("""COMPUTED_VALUE"""),"")</f>
        <v/>
      </c>
      <c r="J461" s="36" t="str">
        <f ca="1">IFERROR(__xludf.DUMMYFUNCTION("""COMPUTED_VALUE"""),"")</f>
        <v/>
      </c>
      <c r="K461" s="36" t="str">
        <f ca="1">IFERROR(__xludf.DUMMYFUNCTION("""COMPUTED_VALUE"""),"")</f>
        <v/>
      </c>
      <c r="L461" s="36" t="str">
        <f ca="1">IFERROR(__xludf.DUMMYFUNCTION("""COMPUTED_VALUE"""),"")</f>
        <v/>
      </c>
      <c r="M461" s="36" t="str">
        <f ca="1">IFERROR(__xludf.DUMMYFUNCTION("""COMPUTED_VALUE"""),"")</f>
        <v/>
      </c>
      <c r="N461" s="36" t="str">
        <f ca="1">IFERROR(__xludf.DUMMYFUNCTION("""COMPUTED_VALUE"""),"")</f>
        <v/>
      </c>
      <c r="O461" s="36" t="str">
        <f ca="1">IFERROR(__xludf.DUMMYFUNCTION("""COMPUTED_VALUE"""),"")</f>
        <v/>
      </c>
      <c r="P461" s="36" t="str">
        <f ca="1">IFERROR(__xludf.DUMMYFUNCTION("""COMPUTED_VALUE"""),"")</f>
        <v/>
      </c>
      <c r="Q461" s="36" t="str">
        <f ca="1">IFERROR(__xludf.DUMMYFUNCTION("""COMPUTED_VALUE"""),"")</f>
        <v/>
      </c>
      <c r="R461" s="36" t="str">
        <f ca="1">IFERROR(__xludf.DUMMYFUNCTION("""COMPUTED_VALUE"""),"")</f>
        <v/>
      </c>
      <c r="S461" s="36" t="str">
        <f ca="1">IFERROR(__xludf.DUMMYFUNCTION("""COMPUTED_VALUE"""),"")</f>
        <v/>
      </c>
      <c r="T461" s="36" t="str">
        <f ca="1">IFERROR(__xludf.DUMMYFUNCTION("""COMPUTED_VALUE"""),"")</f>
        <v/>
      </c>
      <c r="U461" s="36" t="str">
        <f ca="1">IFERROR(__xludf.DUMMYFUNCTION("""COMPUTED_VALUE"""),"")</f>
        <v/>
      </c>
      <c r="V461" s="36" t="str">
        <f ca="1">IFERROR(__xludf.DUMMYFUNCTION("""COMPUTED_VALUE"""),"")</f>
        <v/>
      </c>
      <c r="W461" s="36" t="str">
        <f ca="1">IFERROR(__xludf.DUMMYFUNCTION("""COMPUTED_VALUE"""),"")</f>
        <v/>
      </c>
      <c r="X461" s="36"/>
      <c r="Y461" s="36"/>
      <c r="Z461" s="36"/>
    </row>
    <row r="462" spans="1:26" ht="12.75" hidden="1">
      <c r="A462" s="36" t="str">
        <f ca="1">IFERROR(__xludf.DUMMYFUNCTION("""COMPUTED_VALUE"""),"")</f>
        <v/>
      </c>
      <c r="B462" s="36" t="str">
        <f ca="1">IFERROR(__xludf.DUMMYFUNCTION("""COMPUTED_VALUE"""),"")</f>
        <v/>
      </c>
      <c r="C462" s="36" t="str">
        <f ca="1">IFERROR(__xludf.DUMMYFUNCTION("""COMPUTED_VALUE"""),"")</f>
        <v/>
      </c>
      <c r="D462" s="36" t="str">
        <f ca="1">IFERROR(__xludf.DUMMYFUNCTION("""COMPUTED_VALUE"""),"")</f>
        <v/>
      </c>
      <c r="E462" s="36" t="str">
        <f ca="1">IFERROR(__xludf.DUMMYFUNCTION("""COMPUTED_VALUE"""),"")</f>
        <v/>
      </c>
      <c r="F462" s="36" t="str">
        <f ca="1">IFERROR(__xludf.DUMMYFUNCTION("""COMPUTED_VALUE"""),"")</f>
        <v/>
      </c>
      <c r="G462" s="36" t="str">
        <f ca="1">IFERROR(__xludf.DUMMYFUNCTION("""COMPUTED_VALUE"""),"")</f>
        <v/>
      </c>
      <c r="H462" s="36" t="str">
        <f ca="1">IFERROR(__xludf.DUMMYFUNCTION("""COMPUTED_VALUE"""),"")</f>
        <v/>
      </c>
      <c r="I462" s="36" t="str">
        <f ca="1">IFERROR(__xludf.DUMMYFUNCTION("""COMPUTED_VALUE"""),"")</f>
        <v/>
      </c>
      <c r="J462" s="36" t="str">
        <f ca="1">IFERROR(__xludf.DUMMYFUNCTION("""COMPUTED_VALUE"""),"")</f>
        <v/>
      </c>
      <c r="K462" s="36" t="str">
        <f ca="1">IFERROR(__xludf.DUMMYFUNCTION("""COMPUTED_VALUE"""),"")</f>
        <v/>
      </c>
      <c r="L462" s="36" t="str">
        <f ca="1">IFERROR(__xludf.DUMMYFUNCTION("""COMPUTED_VALUE"""),"")</f>
        <v/>
      </c>
      <c r="M462" s="36" t="str">
        <f ca="1">IFERROR(__xludf.DUMMYFUNCTION("""COMPUTED_VALUE"""),"")</f>
        <v/>
      </c>
      <c r="N462" s="36" t="str">
        <f ca="1">IFERROR(__xludf.DUMMYFUNCTION("""COMPUTED_VALUE"""),"")</f>
        <v/>
      </c>
      <c r="O462" s="36" t="str">
        <f ca="1">IFERROR(__xludf.DUMMYFUNCTION("""COMPUTED_VALUE"""),"")</f>
        <v/>
      </c>
      <c r="P462" s="36" t="str">
        <f ca="1">IFERROR(__xludf.DUMMYFUNCTION("""COMPUTED_VALUE"""),"")</f>
        <v/>
      </c>
      <c r="Q462" s="36" t="str">
        <f ca="1">IFERROR(__xludf.DUMMYFUNCTION("""COMPUTED_VALUE"""),"")</f>
        <v/>
      </c>
      <c r="R462" s="36" t="str">
        <f ca="1">IFERROR(__xludf.DUMMYFUNCTION("""COMPUTED_VALUE"""),"")</f>
        <v/>
      </c>
      <c r="S462" s="36" t="str">
        <f ca="1">IFERROR(__xludf.DUMMYFUNCTION("""COMPUTED_VALUE"""),"")</f>
        <v/>
      </c>
      <c r="T462" s="36" t="str">
        <f ca="1">IFERROR(__xludf.DUMMYFUNCTION("""COMPUTED_VALUE"""),"")</f>
        <v/>
      </c>
      <c r="U462" s="36" t="str">
        <f ca="1">IFERROR(__xludf.DUMMYFUNCTION("""COMPUTED_VALUE"""),"")</f>
        <v/>
      </c>
      <c r="V462" s="36" t="str">
        <f ca="1">IFERROR(__xludf.DUMMYFUNCTION("""COMPUTED_VALUE"""),"")</f>
        <v/>
      </c>
      <c r="W462" s="36" t="str">
        <f ca="1">IFERROR(__xludf.DUMMYFUNCTION("""COMPUTED_VALUE"""),"")</f>
        <v/>
      </c>
      <c r="X462" s="36"/>
      <c r="Y462" s="36"/>
      <c r="Z462" s="36"/>
    </row>
    <row r="463" spans="1:26" ht="12.75" hidden="1">
      <c r="A463" s="36" t="str">
        <f ca="1">IFERROR(__xludf.DUMMYFUNCTION("""COMPUTED_VALUE"""),"")</f>
        <v/>
      </c>
      <c r="B463" s="36" t="str">
        <f ca="1">IFERROR(__xludf.DUMMYFUNCTION("""COMPUTED_VALUE"""),"")</f>
        <v/>
      </c>
      <c r="C463" s="36" t="str">
        <f ca="1">IFERROR(__xludf.DUMMYFUNCTION("""COMPUTED_VALUE"""),"")</f>
        <v/>
      </c>
      <c r="D463" s="36" t="str">
        <f ca="1">IFERROR(__xludf.DUMMYFUNCTION("""COMPUTED_VALUE"""),"")</f>
        <v/>
      </c>
      <c r="E463" s="36" t="str">
        <f ca="1">IFERROR(__xludf.DUMMYFUNCTION("""COMPUTED_VALUE"""),"")</f>
        <v/>
      </c>
      <c r="F463" s="36" t="str">
        <f ca="1">IFERROR(__xludf.DUMMYFUNCTION("""COMPUTED_VALUE"""),"")</f>
        <v/>
      </c>
      <c r="G463" s="36" t="str">
        <f ca="1">IFERROR(__xludf.DUMMYFUNCTION("""COMPUTED_VALUE"""),"")</f>
        <v/>
      </c>
      <c r="H463" s="36" t="str">
        <f ca="1">IFERROR(__xludf.DUMMYFUNCTION("""COMPUTED_VALUE"""),"")</f>
        <v/>
      </c>
      <c r="I463" s="36" t="str">
        <f ca="1">IFERROR(__xludf.DUMMYFUNCTION("""COMPUTED_VALUE"""),"")</f>
        <v/>
      </c>
      <c r="J463" s="36" t="str">
        <f ca="1">IFERROR(__xludf.DUMMYFUNCTION("""COMPUTED_VALUE"""),"")</f>
        <v/>
      </c>
      <c r="K463" s="36" t="str">
        <f ca="1">IFERROR(__xludf.DUMMYFUNCTION("""COMPUTED_VALUE"""),"")</f>
        <v/>
      </c>
      <c r="L463" s="36" t="str">
        <f ca="1">IFERROR(__xludf.DUMMYFUNCTION("""COMPUTED_VALUE"""),"")</f>
        <v/>
      </c>
      <c r="M463" s="36" t="str">
        <f ca="1">IFERROR(__xludf.DUMMYFUNCTION("""COMPUTED_VALUE"""),"")</f>
        <v/>
      </c>
      <c r="N463" s="36" t="str">
        <f ca="1">IFERROR(__xludf.DUMMYFUNCTION("""COMPUTED_VALUE"""),"")</f>
        <v/>
      </c>
      <c r="O463" s="36" t="str">
        <f ca="1">IFERROR(__xludf.DUMMYFUNCTION("""COMPUTED_VALUE"""),"")</f>
        <v/>
      </c>
      <c r="P463" s="36" t="str">
        <f ca="1">IFERROR(__xludf.DUMMYFUNCTION("""COMPUTED_VALUE"""),"")</f>
        <v/>
      </c>
      <c r="Q463" s="36" t="str">
        <f ca="1">IFERROR(__xludf.DUMMYFUNCTION("""COMPUTED_VALUE"""),"")</f>
        <v/>
      </c>
      <c r="R463" s="36" t="str">
        <f ca="1">IFERROR(__xludf.DUMMYFUNCTION("""COMPUTED_VALUE"""),"")</f>
        <v/>
      </c>
      <c r="S463" s="36" t="str">
        <f ca="1">IFERROR(__xludf.DUMMYFUNCTION("""COMPUTED_VALUE"""),"")</f>
        <v/>
      </c>
      <c r="T463" s="36" t="str">
        <f ca="1">IFERROR(__xludf.DUMMYFUNCTION("""COMPUTED_VALUE"""),"")</f>
        <v/>
      </c>
      <c r="U463" s="36" t="str">
        <f ca="1">IFERROR(__xludf.DUMMYFUNCTION("""COMPUTED_VALUE"""),"")</f>
        <v/>
      </c>
      <c r="V463" s="36" t="str">
        <f ca="1">IFERROR(__xludf.DUMMYFUNCTION("""COMPUTED_VALUE"""),"")</f>
        <v/>
      </c>
      <c r="W463" s="36" t="str">
        <f ca="1">IFERROR(__xludf.DUMMYFUNCTION("""COMPUTED_VALUE"""),"")</f>
        <v/>
      </c>
      <c r="X463" s="36"/>
      <c r="Y463" s="36"/>
      <c r="Z463" s="36"/>
    </row>
    <row r="464" spans="1:26" ht="12.75" hidden="1">
      <c r="A464" s="36" t="str">
        <f ca="1">IFERROR(__xludf.DUMMYFUNCTION("""COMPUTED_VALUE"""),"")</f>
        <v/>
      </c>
      <c r="B464" s="36" t="str">
        <f ca="1">IFERROR(__xludf.DUMMYFUNCTION("""COMPUTED_VALUE"""),"")</f>
        <v/>
      </c>
      <c r="C464" s="36" t="str">
        <f ca="1">IFERROR(__xludf.DUMMYFUNCTION("""COMPUTED_VALUE"""),"")</f>
        <v/>
      </c>
      <c r="D464" s="36" t="str">
        <f ca="1">IFERROR(__xludf.DUMMYFUNCTION("""COMPUTED_VALUE"""),"")</f>
        <v/>
      </c>
      <c r="E464" s="36" t="str">
        <f ca="1">IFERROR(__xludf.DUMMYFUNCTION("""COMPUTED_VALUE"""),"")</f>
        <v/>
      </c>
      <c r="F464" s="36" t="str">
        <f ca="1">IFERROR(__xludf.DUMMYFUNCTION("""COMPUTED_VALUE"""),"")</f>
        <v/>
      </c>
      <c r="G464" s="36" t="str">
        <f ca="1">IFERROR(__xludf.DUMMYFUNCTION("""COMPUTED_VALUE"""),"")</f>
        <v/>
      </c>
      <c r="H464" s="36" t="str">
        <f ca="1">IFERROR(__xludf.DUMMYFUNCTION("""COMPUTED_VALUE"""),"")</f>
        <v/>
      </c>
      <c r="I464" s="36" t="str">
        <f ca="1">IFERROR(__xludf.DUMMYFUNCTION("""COMPUTED_VALUE"""),"")</f>
        <v/>
      </c>
      <c r="J464" s="36" t="str">
        <f ca="1">IFERROR(__xludf.DUMMYFUNCTION("""COMPUTED_VALUE"""),"")</f>
        <v/>
      </c>
      <c r="K464" s="36" t="str">
        <f ca="1">IFERROR(__xludf.DUMMYFUNCTION("""COMPUTED_VALUE"""),"")</f>
        <v/>
      </c>
      <c r="L464" s="36" t="str">
        <f ca="1">IFERROR(__xludf.DUMMYFUNCTION("""COMPUTED_VALUE"""),"")</f>
        <v/>
      </c>
      <c r="M464" s="36" t="str">
        <f ca="1">IFERROR(__xludf.DUMMYFUNCTION("""COMPUTED_VALUE"""),"")</f>
        <v/>
      </c>
      <c r="N464" s="36" t="str">
        <f ca="1">IFERROR(__xludf.DUMMYFUNCTION("""COMPUTED_VALUE"""),"")</f>
        <v/>
      </c>
      <c r="O464" s="36" t="str">
        <f ca="1">IFERROR(__xludf.DUMMYFUNCTION("""COMPUTED_VALUE"""),"")</f>
        <v/>
      </c>
      <c r="P464" s="36" t="str">
        <f ca="1">IFERROR(__xludf.DUMMYFUNCTION("""COMPUTED_VALUE"""),"")</f>
        <v/>
      </c>
      <c r="Q464" s="36" t="str">
        <f ca="1">IFERROR(__xludf.DUMMYFUNCTION("""COMPUTED_VALUE"""),"")</f>
        <v/>
      </c>
      <c r="R464" s="36" t="str">
        <f ca="1">IFERROR(__xludf.DUMMYFUNCTION("""COMPUTED_VALUE"""),"")</f>
        <v/>
      </c>
      <c r="S464" s="36" t="str">
        <f ca="1">IFERROR(__xludf.DUMMYFUNCTION("""COMPUTED_VALUE"""),"")</f>
        <v/>
      </c>
      <c r="T464" s="36" t="str">
        <f ca="1">IFERROR(__xludf.DUMMYFUNCTION("""COMPUTED_VALUE"""),"")</f>
        <v/>
      </c>
      <c r="U464" s="36" t="str">
        <f ca="1">IFERROR(__xludf.DUMMYFUNCTION("""COMPUTED_VALUE"""),"")</f>
        <v/>
      </c>
      <c r="V464" s="36" t="str">
        <f ca="1">IFERROR(__xludf.DUMMYFUNCTION("""COMPUTED_VALUE"""),"")</f>
        <v/>
      </c>
      <c r="W464" s="36" t="str">
        <f ca="1">IFERROR(__xludf.DUMMYFUNCTION("""COMPUTED_VALUE"""),"")</f>
        <v/>
      </c>
      <c r="X464" s="36"/>
      <c r="Y464" s="36"/>
      <c r="Z464" s="36"/>
    </row>
    <row r="465" spans="1:26" ht="12.75" hidden="1">
      <c r="A465" s="36" t="str">
        <f ca="1">IFERROR(__xludf.DUMMYFUNCTION("""COMPUTED_VALUE"""),"")</f>
        <v/>
      </c>
      <c r="B465" s="36" t="str">
        <f ca="1">IFERROR(__xludf.DUMMYFUNCTION("""COMPUTED_VALUE"""),"")</f>
        <v/>
      </c>
      <c r="C465" s="36" t="str">
        <f ca="1">IFERROR(__xludf.DUMMYFUNCTION("""COMPUTED_VALUE"""),"")</f>
        <v/>
      </c>
      <c r="D465" s="36" t="str">
        <f ca="1">IFERROR(__xludf.DUMMYFUNCTION("""COMPUTED_VALUE"""),"")</f>
        <v/>
      </c>
      <c r="E465" s="36" t="str">
        <f ca="1">IFERROR(__xludf.DUMMYFUNCTION("""COMPUTED_VALUE"""),"")</f>
        <v/>
      </c>
      <c r="F465" s="36" t="str">
        <f ca="1">IFERROR(__xludf.DUMMYFUNCTION("""COMPUTED_VALUE"""),"")</f>
        <v/>
      </c>
      <c r="G465" s="36" t="str">
        <f ca="1">IFERROR(__xludf.DUMMYFUNCTION("""COMPUTED_VALUE"""),"")</f>
        <v/>
      </c>
      <c r="H465" s="36" t="str">
        <f ca="1">IFERROR(__xludf.DUMMYFUNCTION("""COMPUTED_VALUE"""),"")</f>
        <v/>
      </c>
      <c r="I465" s="36" t="str">
        <f ca="1">IFERROR(__xludf.DUMMYFUNCTION("""COMPUTED_VALUE"""),"")</f>
        <v/>
      </c>
      <c r="J465" s="36" t="str">
        <f ca="1">IFERROR(__xludf.DUMMYFUNCTION("""COMPUTED_VALUE"""),"")</f>
        <v/>
      </c>
      <c r="K465" s="36" t="str">
        <f ca="1">IFERROR(__xludf.DUMMYFUNCTION("""COMPUTED_VALUE"""),"")</f>
        <v/>
      </c>
      <c r="L465" s="36" t="str">
        <f ca="1">IFERROR(__xludf.DUMMYFUNCTION("""COMPUTED_VALUE"""),"")</f>
        <v/>
      </c>
      <c r="M465" s="36" t="str">
        <f ca="1">IFERROR(__xludf.DUMMYFUNCTION("""COMPUTED_VALUE"""),"")</f>
        <v/>
      </c>
      <c r="N465" s="36" t="str">
        <f ca="1">IFERROR(__xludf.DUMMYFUNCTION("""COMPUTED_VALUE"""),"")</f>
        <v/>
      </c>
      <c r="O465" s="36" t="str">
        <f ca="1">IFERROR(__xludf.DUMMYFUNCTION("""COMPUTED_VALUE"""),"")</f>
        <v/>
      </c>
      <c r="P465" s="36" t="str">
        <f ca="1">IFERROR(__xludf.DUMMYFUNCTION("""COMPUTED_VALUE"""),"")</f>
        <v/>
      </c>
      <c r="Q465" s="36" t="str">
        <f ca="1">IFERROR(__xludf.DUMMYFUNCTION("""COMPUTED_VALUE"""),"")</f>
        <v/>
      </c>
      <c r="R465" s="36" t="str">
        <f ca="1">IFERROR(__xludf.DUMMYFUNCTION("""COMPUTED_VALUE"""),"")</f>
        <v/>
      </c>
      <c r="S465" s="36" t="str">
        <f ca="1">IFERROR(__xludf.DUMMYFUNCTION("""COMPUTED_VALUE"""),"")</f>
        <v/>
      </c>
      <c r="T465" s="36" t="str">
        <f ca="1">IFERROR(__xludf.DUMMYFUNCTION("""COMPUTED_VALUE"""),"")</f>
        <v/>
      </c>
      <c r="U465" s="36" t="str">
        <f ca="1">IFERROR(__xludf.DUMMYFUNCTION("""COMPUTED_VALUE"""),"")</f>
        <v/>
      </c>
      <c r="V465" s="36" t="str">
        <f ca="1">IFERROR(__xludf.DUMMYFUNCTION("""COMPUTED_VALUE"""),"")</f>
        <v/>
      </c>
      <c r="W465" s="36" t="str">
        <f ca="1">IFERROR(__xludf.DUMMYFUNCTION("""COMPUTED_VALUE"""),"")</f>
        <v/>
      </c>
      <c r="X465" s="36"/>
      <c r="Y465" s="36"/>
      <c r="Z465" s="36"/>
    </row>
    <row r="466" spans="1:26" ht="12.75" hidden="1">
      <c r="A466" s="36" t="str">
        <f ca="1">IFERROR(__xludf.DUMMYFUNCTION("""COMPUTED_VALUE"""),"")</f>
        <v/>
      </c>
      <c r="B466" s="36" t="str">
        <f ca="1">IFERROR(__xludf.DUMMYFUNCTION("""COMPUTED_VALUE"""),"")</f>
        <v/>
      </c>
      <c r="C466" s="36" t="str">
        <f ca="1">IFERROR(__xludf.DUMMYFUNCTION("""COMPUTED_VALUE"""),"")</f>
        <v/>
      </c>
      <c r="D466" s="36" t="str">
        <f ca="1">IFERROR(__xludf.DUMMYFUNCTION("""COMPUTED_VALUE"""),"")</f>
        <v/>
      </c>
      <c r="E466" s="36" t="str">
        <f ca="1">IFERROR(__xludf.DUMMYFUNCTION("""COMPUTED_VALUE"""),"")</f>
        <v/>
      </c>
      <c r="F466" s="36" t="str">
        <f ca="1">IFERROR(__xludf.DUMMYFUNCTION("""COMPUTED_VALUE"""),"")</f>
        <v/>
      </c>
      <c r="G466" s="36" t="str">
        <f ca="1">IFERROR(__xludf.DUMMYFUNCTION("""COMPUTED_VALUE"""),"")</f>
        <v/>
      </c>
      <c r="H466" s="36" t="str">
        <f ca="1">IFERROR(__xludf.DUMMYFUNCTION("""COMPUTED_VALUE"""),"")</f>
        <v/>
      </c>
      <c r="I466" s="36" t="str">
        <f ca="1">IFERROR(__xludf.DUMMYFUNCTION("""COMPUTED_VALUE"""),"")</f>
        <v/>
      </c>
      <c r="J466" s="36" t="str">
        <f ca="1">IFERROR(__xludf.DUMMYFUNCTION("""COMPUTED_VALUE"""),"")</f>
        <v/>
      </c>
      <c r="K466" s="36" t="str">
        <f ca="1">IFERROR(__xludf.DUMMYFUNCTION("""COMPUTED_VALUE"""),"")</f>
        <v/>
      </c>
      <c r="L466" s="36" t="str">
        <f ca="1">IFERROR(__xludf.DUMMYFUNCTION("""COMPUTED_VALUE"""),"")</f>
        <v/>
      </c>
      <c r="M466" s="36" t="str">
        <f ca="1">IFERROR(__xludf.DUMMYFUNCTION("""COMPUTED_VALUE"""),"")</f>
        <v/>
      </c>
      <c r="N466" s="36" t="str">
        <f ca="1">IFERROR(__xludf.DUMMYFUNCTION("""COMPUTED_VALUE"""),"")</f>
        <v/>
      </c>
      <c r="O466" s="36" t="str">
        <f ca="1">IFERROR(__xludf.DUMMYFUNCTION("""COMPUTED_VALUE"""),"")</f>
        <v/>
      </c>
      <c r="P466" s="36" t="str">
        <f ca="1">IFERROR(__xludf.DUMMYFUNCTION("""COMPUTED_VALUE"""),"")</f>
        <v/>
      </c>
      <c r="Q466" s="36" t="str">
        <f ca="1">IFERROR(__xludf.DUMMYFUNCTION("""COMPUTED_VALUE"""),"")</f>
        <v/>
      </c>
      <c r="R466" s="36" t="str">
        <f ca="1">IFERROR(__xludf.DUMMYFUNCTION("""COMPUTED_VALUE"""),"")</f>
        <v/>
      </c>
      <c r="S466" s="36" t="str">
        <f ca="1">IFERROR(__xludf.DUMMYFUNCTION("""COMPUTED_VALUE"""),"")</f>
        <v/>
      </c>
      <c r="T466" s="36" t="str">
        <f ca="1">IFERROR(__xludf.DUMMYFUNCTION("""COMPUTED_VALUE"""),"")</f>
        <v/>
      </c>
      <c r="U466" s="36" t="str">
        <f ca="1">IFERROR(__xludf.DUMMYFUNCTION("""COMPUTED_VALUE"""),"")</f>
        <v/>
      </c>
      <c r="V466" s="36" t="str">
        <f ca="1">IFERROR(__xludf.DUMMYFUNCTION("""COMPUTED_VALUE"""),"")</f>
        <v/>
      </c>
      <c r="W466" s="36" t="str">
        <f ca="1">IFERROR(__xludf.DUMMYFUNCTION("""COMPUTED_VALUE"""),"")</f>
        <v/>
      </c>
      <c r="X466" s="36"/>
      <c r="Y466" s="36"/>
      <c r="Z466" s="36"/>
    </row>
    <row r="467" spans="1:26" ht="12.75" hidden="1">
      <c r="A467" s="36" t="str">
        <f ca="1">IFERROR(__xludf.DUMMYFUNCTION("""COMPUTED_VALUE"""),"")</f>
        <v/>
      </c>
      <c r="B467" s="36" t="str">
        <f ca="1">IFERROR(__xludf.DUMMYFUNCTION("""COMPUTED_VALUE"""),"")</f>
        <v/>
      </c>
      <c r="C467" s="36" t="str">
        <f ca="1">IFERROR(__xludf.DUMMYFUNCTION("""COMPUTED_VALUE"""),"")</f>
        <v/>
      </c>
      <c r="D467" s="36" t="str">
        <f ca="1">IFERROR(__xludf.DUMMYFUNCTION("""COMPUTED_VALUE"""),"")</f>
        <v/>
      </c>
      <c r="E467" s="36" t="str">
        <f ca="1">IFERROR(__xludf.DUMMYFUNCTION("""COMPUTED_VALUE"""),"")</f>
        <v/>
      </c>
      <c r="F467" s="36" t="str">
        <f ca="1">IFERROR(__xludf.DUMMYFUNCTION("""COMPUTED_VALUE"""),"")</f>
        <v/>
      </c>
      <c r="G467" s="36" t="str">
        <f ca="1">IFERROR(__xludf.DUMMYFUNCTION("""COMPUTED_VALUE"""),"")</f>
        <v/>
      </c>
      <c r="H467" s="36" t="str">
        <f ca="1">IFERROR(__xludf.DUMMYFUNCTION("""COMPUTED_VALUE"""),"")</f>
        <v/>
      </c>
      <c r="I467" s="36" t="str">
        <f ca="1">IFERROR(__xludf.DUMMYFUNCTION("""COMPUTED_VALUE"""),"")</f>
        <v/>
      </c>
      <c r="J467" s="36" t="str">
        <f ca="1">IFERROR(__xludf.DUMMYFUNCTION("""COMPUTED_VALUE"""),"")</f>
        <v/>
      </c>
      <c r="K467" s="36" t="str">
        <f ca="1">IFERROR(__xludf.DUMMYFUNCTION("""COMPUTED_VALUE"""),"")</f>
        <v/>
      </c>
      <c r="L467" s="36" t="str">
        <f ca="1">IFERROR(__xludf.DUMMYFUNCTION("""COMPUTED_VALUE"""),"")</f>
        <v/>
      </c>
      <c r="M467" s="36" t="str">
        <f ca="1">IFERROR(__xludf.DUMMYFUNCTION("""COMPUTED_VALUE"""),"")</f>
        <v/>
      </c>
      <c r="N467" s="36" t="str">
        <f ca="1">IFERROR(__xludf.DUMMYFUNCTION("""COMPUTED_VALUE"""),"")</f>
        <v/>
      </c>
      <c r="O467" s="36" t="str">
        <f ca="1">IFERROR(__xludf.DUMMYFUNCTION("""COMPUTED_VALUE"""),"")</f>
        <v/>
      </c>
      <c r="P467" s="36" t="str">
        <f ca="1">IFERROR(__xludf.DUMMYFUNCTION("""COMPUTED_VALUE"""),"")</f>
        <v/>
      </c>
      <c r="Q467" s="36" t="str">
        <f ca="1">IFERROR(__xludf.DUMMYFUNCTION("""COMPUTED_VALUE"""),"")</f>
        <v/>
      </c>
      <c r="R467" s="36" t="str">
        <f ca="1">IFERROR(__xludf.DUMMYFUNCTION("""COMPUTED_VALUE"""),"")</f>
        <v/>
      </c>
      <c r="S467" s="36" t="str">
        <f ca="1">IFERROR(__xludf.DUMMYFUNCTION("""COMPUTED_VALUE"""),"")</f>
        <v/>
      </c>
      <c r="T467" s="36" t="str">
        <f ca="1">IFERROR(__xludf.DUMMYFUNCTION("""COMPUTED_VALUE"""),"")</f>
        <v/>
      </c>
      <c r="U467" s="36" t="str">
        <f ca="1">IFERROR(__xludf.DUMMYFUNCTION("""COMPUTED_VALUE"""),"")</f>
        <v/>
      </c>
      <c r="V467" s="36" t="str">
        <f ca="1">IFERROR(__xludf.DUMMYFUNCTION("""COMPUTED_VALUE"""),"")</f>
        <v/>
      </c>
      <c r="W467" s="36" t="str">
        <f ca="1">IFERROR(__xludf.DUMMYFUNCTION("""COMPUTED_VALUE"""),"")</f>
        <v/>
      </c>
      <c r="X467" s="36"/>
      <c r="Y467" s="36"/>
      <c r="Z467" s="36"/>
    </row>
    <row r="468" spans="1:26" ht="12.75" hidden="1">
      <c r="A468" s="36" t="str">
        <f ca="1">IFERROR(__xludf.DUMMYFUNCTION("""COMPUTED_VALUE"""),"")</f>
        <v/>
      </c>
      <c r="B468" s="36" t="str">
        <f ca="1">IFERROR(__xludf.DUMMYFUNCTION("""COMPUTED_VALUE"""),"")</f>
        <v/>
      </c>
      <c r="C468" s="36" t="str">
        <f ca="1">IFERROR(__xludf.DUMMYFUNCTION("""COMPUTED_VALUE"""),"")</f>
        <v/>
      </c>
      <c r="D468" s="36" t="str">
        <f ca="1">IFERROR(__xludf.DUMMYFUNCTION("""COMPUTED_VALUE"""),"")</f>
        <v/>
      </c>
      <c r="E468" s="36" t="str">
        <f ca="1">IFERROR(__xludf.DUMMYFUNCTION("""COMPUTED_VALUE"""),"")</f>
        <v/>
      </c>
      <c r="F468" s="36" t="str">
        <f ca="1">IFERROR(__xludf.DUMMYFUNCTION("""COMPUTED_VALUE"""),"")</f>
        <v/>
      </c>
      <c r="G468" s="36" t="str">
        <f ca="1">IFERROR(__xludf.DUMMYFUNCTION("""COMPUTED_VALUE"""),"")</f>
        <v/>
      </c>
      <c r="H468" s="36" t="str">
        <f ca="1">IFERROR(__xludf.DUMMYFUNCTION("""COMPUTED_VALUE"""),"")</f>
        <v/>
      </c>
      <c r="I468" s="36" t="str">
        <f ca="1">IFERROR(__xludf.DUMMYFUNCTION("""COMPUTED_VALUE"""),"")</f>
        <v/>
      </c>
      <c r="J468" s="36" t="str">
        <f ca="1">IFERROR(__xludf.DUMMYFUNCTION("""COMPUTED_VALUE"""),"")</f>
        <v/>
      </c>
      <c r="K468" s="36" t="str">
        <f ca="1">IFERROR(__xludf.DUMMYFUNCTION("""COMPUTED_VALUE"""),"")</f>
        <v/>
      </c>
      <c r="L468" s="36" t="str">
        <f ca="1">IFERROR(__xludf.DUMMYFUNCTION("""COMPUTED_VALUE"""),"")</f>
        <v/>
      </c>
      <c r="M468" s="36" t="str">
        <f ca="1">IFERROR(__xludf.DUMMYFUNCTION("""COMPUTED_VALUE"""),"")</f>
        <v/>
      </c>
      <c r="N468" s="36" t="str">
        <f ca="1">IFERROR(__xludf.DUMMYFUNCTION("""COMPUTED_VALUE"""),"")</f>
        <v/>
      </c>
      <c r="O468" s="36" t="str">
        <f ca="1">IFERROR(__xludf.DUMMYFUNCTION("""COMPUTED_VALUE"""),"")</f>
        <v/>
      </c>
      <c r="P468" s="36" t="str">
        <f ca="1">IFERROR(__xludf.DUMMYFUNCTION("""COMPUTED_VALUE"""),"")</f>
        <v/>
      </c>
      <c r="Q468" s="36" t="str">
        <f ca="1">IFERROR(__xludf.DUMMYFUNCTION("""COMPUTED_VALUE"""),"")</f>
        <v/>
      </c>
      <c r="R468" s="36" t="str">
        <f ca="1">IFERROR(__xludf.DUMMYFUNCTION("""COMPUTED_VALUE"""),"")</f>
        <v/>
      </c>
      <c r="S468" s="36" t="str">
        <f ca="1">IFERROR(__xludf.DUMMYFUNCTION("""COMPUTED_VALUE"""),"")</f>
        <v/>
      </c>
      <c r="T468" s="36" t="str">
        <f ca="1">IFERROR(__xludf.DUMMYFUNCTION("""COMPUTED_VALUE"""),"")</f>
        <v/>
      </c>
      <c r="U468" s="36" t="str">
        <f ca="1">IFERROR(__xludf.DUMMYFUNCTION("""COMPUTED_VALUE"""),"")</f>
        <v/>
      </c>
      <c r="V468" s="36" t="str">
        <f ca="1">IFERROR(__xludf.DUMMYFUNCTION("""COMPUTED_VALUE"""),"")</f>
        <v/>
      </c>
      <c r="W468" s="36" t="str">
        <f ca="1">IFERROR(__xludf.DUMMYFUNCTION("""COMPUTED_VALUE"""),"")</f>
        <v/>
      </c>
      <c r="X468" s="36"/>
      <c r="Y468" s="36"/>
      <c r="Z468" s="36"/>
    </row>
    <row r="469" spans="1:26" ht="12.75" hidden="1">
      <c r="A469" s="36" t="str">
        <f ca="1">IFERROR(__xludf.DUMMYFUNCTION("""COMPUTED_VALUE"""),"")</f>
        <v/>
      </c>
      <c r="B469" s="36" t="str">
        <f ca="1">IFERROR(__xludf.DUMMYFUNCTION("""COMPUTED_VALUE"""),"")</f>
        <v/>
      </c>
      <c r="C469" s="36" t="str">
        <f ca="1">IFERROR(__xludf.DUMMYFUNCTION("""COMPUTED_VALUE"""),"")</f>
        <v/>
      </c>
      <c r="D469" s="36" t="str">
        <f ca="1">IFERROR(__xludf.DUMMYFUNCTION("""COMPUTED_VALUE"""),"")</f>
        <v/>
      </c>
      <c r="E469" s="36" t="str">
        <f ca="1">IFERROR(__xludf.DUMMYFUNCTION("""COMPUTED_VALUE"""),"")</f>
        <v/>
      </c>
      <c r="F469" s="36" t="str">
        <f ca="1">IFERROR(__xludf.DUMMYFUNCTION("""COMPUTED_VALUE"""),"")</f>
        <v/>
      </c>
      <c r="G469" s="36" t="str">
        <f ca="1">IFERROR(__xludf.DUMMYFUNCTION("""COMPUTED_VALUE"""),"")</f>
        <v/>
      </c>
      <c r="H469" s="36" t="str">
        <f ca="1">IFERROR(__xludf.DUMMYFUNCTION("""COMPUTED_VALUE"""),"")</f>
        <v/>
      </c>
      <c r="I469" s="36" t="str">
        <f ca="1">IFERROR(__xludf.DUMMYFUNCTION("""COMPUTED_VALUE"""),"")</f>
        <v/>
      </c>
      <c r="J469" s="36" t="str">
        <f ca="1">IFERROR(__xludf.DUMMYFUNCTION("""COMPUTED_VALUE"""),"")</f>
        <v/>
      </c>
      <c r="K469" s="36" t="str">
        <f ca="1">IFERROR(__xludf.DUMMYFUNCTION("""COMPUTED_VALUE"""),"")</f>
        <v/>
      </c>
      <c r="L469" s="36" t="str">
        <f ca="1">IFERROR(__xludf.DUMMYFUNCTION("""COMPUTED_VALUE"""),"")</f>
        <v/>
      </c>
      <c r="M469" s="36" t="str">
        <f ca="1">IFERROR(__xludf.DUMMYFUNCTION("""COMPUTED_VALUE"""),"")</f>
        <v/>
      </c>
      <c r="N469" s="36" t="str">
        <f ca="1">IFERROR(__xludf.DUMMYFUNCTION("""COMPUTED_VALUE"""),"")</f>
        <v/>
      </c>
      <c r="O469" s="36" t="str">
        <f ca="1">IFERROR(__xludf.DUMMYFUNCTION("""COMPUTED_VALUE"""),"")</f>
        <v/>
      </c>
      <c r="P469" s="36" t="str">
        <f ca="1">IFERROR(__xludf.DUMMYFUNCTION("""COMPUTED_VALUE"""),"")</f>
        <v/>
      </c>
      <c r="Q469" s="36" t="str">
        <f ca="1">IFERROR(__xludf.DUMMYFUNCTION("""COMPUTED_VALUE"""),"")</f>
        <v/>
      </c>
      <c r="R469" s="36" t="str">
        <f ca="1">IFERROR(__xludf.DUMMYFUNCTION("""COMPUTED_VALUE"""),"")</f>
        <v/>
      </c>
      <c r="S469" s="36" t="str">
        <f ca="1">IFERROR(__xludf.DUMMYFUNCTION("""COMPUTED_VALUE"""),"")</f>
        <v/>
      </c>
      <c r="T469" s="36" t="str">
        <f ca="1">IFERROR(__xludf.DUMMYFUNCTION("""COMPUTED_VALUE"""),"")</f>
        <v/>
      </c>
      <c r="U469" s="36" t="str">
        <f ca="1">IFERROR(__xludf.DUMMYFUNCTION("""COMPUTED_VALUE"""),"")</f>
        <v/>
      </c>
      <c r="V469" s="36" t="str">
        <f ca="1">IFERROR(__xludf.DUMMYFUNCTION("""COMPUTED_VALUE"""),"")</f>
        <v/>
      </c>
      <c r="W469" s="36" t="str">
        <f ca="1">IFERROR(__xludf.DUMMYFUNCTION("""COMPUTED_VALUE"""),"")</f>
        <v/>
      </c>
      <c r="X469" s="36"/>
      <c r="Y469" s="36"/>
      <c r="Z469" s="36"/>
    </row>
    <row r="470" spans="1:26" ht="12.75" hidden="1">
      <c r="A470" s="36" t="str">
        <f ca="1">IFERROR(__xludf.DUMMYFUNCTION("""COMPUTED_VALUE"""),"")</f>
        <v/>
      </c>
      <c r="B470" s="36" t="str">
        <f ca="1">IFERROR(__xludf.DUMMYFUNCTION("""COMPUTED_VALUE"""),"")</f>
        <v/>
      </c>
      <c r="C470" s="36" t="str">
        <f ca="1">IFERROR(__xludf.DUMMYFUNCTION("""COMPUTED_VALUE"""),"")</f>
        <v/>
      </c>
      <c r="D470" s="36" t="str">
        <f ca="1">IFERROR(__xludf.DUMMYFUNCTION("""COMPUTED_VALUE"""),"")</f>
        <v/>
      </c>
      <c r="E470" s="36" t="str">
        <f ca="1">IFERROR(__xludf.DUMMYFUNCTION("""COMPUTED_VALUE"""),"")</f>
        <v/>
      </c>
      <c r="F470" s="36" t="str">
        <f ca="1">IFERROR(__xludf.DUMMYFUNCTION("""COMPUTED_VALUE"""),"")</f>
        <v/>
      </c>
      <c r="G470" s="36" t="str">
        <f ca="1">IFERROR(__xludf.DUMMYFUNCTION("""COMPUTED_VALUE"""),"")</f>
        <v/>
      </c>
      <c r="H470" s="36" t="str">
        <f ca="1">IFERROR(__xludf.DUMMYFUNCTION("""COMPUTED_VALUE"""),"")</f>
        <v/>
      </c>
      <c r="I470" s="36" t="str">
        <f ca="1">IFERROR(__xludf.DUMMYFUNCTION("""COMPUTED_VALUE"""),"")</f>
        <v/>
      </c>
      <c r="J470" s="36" t="str">
        <f ca="1">IFERROR(__xludf.DUMMYFUNCTION("""COMPUTED_VALUE"""),"")</f>
        <v/>
      </c>
      <c r="K470" s="36" t="str">
        <f ca="1">IFERROR(__xludf.DUMMYFUNCTION("""COMPUTED_VALUE"""),"")</f>
        <v/>
      </c>
      <c r="L470" s="36" t="str">
        <f ca="1">IFERROR(__xludf.DUMMYFUNCTION("""COMPUTED_VALUE"""),"")</f>
        <v/>
      </c>
      <c r="M470" s="36" t="str">
        <f ca="1">IFERROR(__xludf.DUMMYFUNCTION("""COMPUTED_VALUE"""),"")</f>
        <v/>
      </c>
      <c r="N470" s="36" t="str">
        <f ca="1">IFERROR(__xludf.DUMMYFUNCTION("""COMPUTED_VALUE"""),"")</f>
        <v/>
      </c>
      <c r="O470" s="36" t="str">
        <f ca="1">IFERROR(__xludf.DUMMYFUNCTION("""COMPUTED_VALUE"""),"")</f>
        <v/>
      </c>
      <c r="P470" s="36" t="str">
        <f ca="1">IFERROR(__xludf.DUMMYFUNCTION("""COMPUTED_VALUE"""),"")</f>
        <v/>
      </c>
      <c r="Q470" s="36" t="str">
        <f ca="1">IFERROR(__xludf.DUMMYFUNCTION("""COMPUTED_VALUE"""),"")</f>
        <v/>
      </c>
      <c r="R470" s="36" t="str">
        <f ca="1">IFERROR(__xludf.DUMMYFUNCTION("""COMPUTED_VALUE"""),"")</f>
        <v/>
      </c>
      <c r="S470" s="36" t="str">
        <f ca="1">IFERROR(__xludf.DUMMYFUNCTION("""COMPUTED_VALUE"""),"")</f>
        <v/>
      </c>
      <c r="T470" s="36" t="str">
        <f ca="1">IFERROR(__xludf.DUMMYFUNCTION("""COMPUTED_VALUE"""),"")</f>
        <v/>
      </c>
      <c r="U470" s="36" t="str">
        <f ca="1">IFERROR(__xludf.DUMMYFUNCTION("""COMPUTED_VALUE"""),"")</f>
        <v/>
      </c>
      <c r="V470" s="36" t="str">
        <f ca="1">IFERROR(__xludf.DUMMYFUNCTION("""COMPUTED_VALUE"""),"")</f>
        <v/>
      </c>
      <c r="W470" s="36" t="str">
        <f ca="1">IFERROR(__xludf.DUMMYFUNCTION("""COMPUTED_VALUE"""),"")</f>
        <v/>
      </c>
      <c r="X470" s="36"/>
      <c r="Y470" s="36"/>
      <c r="Z470" s="36"/>
    </row>
    <row r="471" spans="1:26" ht="12.75" hidden="1">
      <c r="A471" s="36" t="str">
        <f ca="1">IFERROR(__xludf.DUMMYFUNCTION("""COMPUTED_VALUE"""),"")</f>
        <v/>
      </c>
      <c r="B471" s="36" t="str">
        <f ca="1">IFERROR(__xludf.DUMMYFUNCTION("""COMPUTED_VALUE"""),"")</f>
        <v/>
      </c>
      <c r="C471" s="36" t="str">
        <f ca="1">IFERROR(__xludf.DUMMYFUNCTION("""COMPUTED_VALUE"""),"")</f>
        <v/>
      </c>
      <c r="D471" s="36" t="str">
        <f ca="1">IFERROR(__xludf.DUMMYFUNCTION("""COMPUTED_VALUE"""),"")</f>
        <v/>
      </c>
      <c r="E471" s="36" t="str">
        <f ca="1">IFERROR(__xludf.DUMMYFUNCTION("""COMPUTED_VALUE"""),"")</f>
        <v/>
      </c>
      <c r="F471" s="36" t="str">
        <f ca="1">IFERROR(__xludf.DUMMYFUNCTION("""COMPUTED_VALUE"""),"")</f>
        <v/>
      </c>
      <c r="G471" s="36" t="str">
        <f ca="1">IFERROR(__xludf.DUMMYFUNCTION("""COMPUTED_VALUE"""),"")</f>
        <v/>
      </c>
      <c r="H471" s="36" t="str">
        <f ca="1">IFERROR(__xludf.DUMMYFUNCTION("""COMPUTED_VALUE"""),"")</f>
        <v/>
      </c>
      <c r="I471" s="36" t="str">
        <f ca="1">IFERROR(__xludf.DUMMYFUNCTION("""COMPUTED_VALUE"""),"")</f>
        <v/>
      </c>
      <c r="J471" s="36" t="str">
        <f ca="1">IFERROR(__xludf.DUMMYFUNCTION("""COMPUTED_VALUE"""),"")</f>
        <v/>
      </c>
      <c r="K471" s="36" t="str">
        <f ca="1">IFERROR(__xludf.DUMMYFUNCTION("""COMPUTED_VALUE"""),"")</f>
        <v/>
      </c>
      <c r="L471" s="36" t="str">
        <f ca="1">IFERROR(__xludf.DUMMYFUNCTION("""COMPUTED_VALUE"""),"")</f>
        <v/>
      </c>
      <c r="M471" s="36" t="str">
        <f ca="1">IFERROR(__xludf.DUMMYFUNCTION("""COMPUTED_VALUE"""),"")</f>
        <v/>
      </c>
      <c r="N471" s="36" t="str">
        <f ca="1">IFERROR(__xludf.DUMMYFUNCTION("""COMPUTED_VALUE"""),"")</f>
        <v/>
      </c>
      <c r="O471" s="36" t="str">
        <f ca="1">IFERROR(__xludf.DUMMYFUNCTION("""COMPUTED_VALUE"""),"")</f>
        <v/>
      </c>
      <c r="P471" s="36" t="str">
        <f ca="1">IFERROR(__xludf.DUMMYFUNCTION("""COMPUTED_VALUE"""),"")</f>
        <v/>
      </c>
      <c r="Q471" s="36" t="str">
        <f ca="1">IFERROR(__xludf.DUMMYFUNCTION("""COMPUTED_VALUE"""),"")</f>
        <v/>
      </c>
      <c r="R471" s="36" t="str">
        <f ca="1">IFERROR(__xludf.DUMMYFUNCTION("""COMPUTED_VALUE"""),"")</f>
        <v/>
      </c>
      <c r="S471" s="36" t="str">
        <f ca="1">IFERROR(__xludf.DUMMYFUNCTION("""COMPUTED_VALUE"""),"")</f>
        <v/>
      </c>
      <c r="T471" s="36" t="str">
        <f ca="1">IFERROR(__xludf.DUMMYFUNCTION("""COMPUTED_VALUE"""),"")</f>
        <v/>
      </c>
      <c r="U471" s="36" t="str">
        <f ca="1">IFERROR(__xludf.DUMMYFUNCTION("""COMPUTED_VALUE"""),"")</f>
        <v/>
      </c>
      <c r="V471" s="36" t="str">
        <f ca="1">IFERROR(__xludf.DUMMYFUNCTION("""COMPUTED_VALUE"""),"")</f>
        <v/>
      </c>
      <c r="W471" s="36" t="str">
        <f ca="1">IFERROR(__xludf.DUMMYFUNCTION("""COMPUTED_VALUE"""),"")</f>
        <v/>
      </c>
      <c r="X471" s="36"/>
      <c r="Y471" s="36"/>
      <c r="Z471" s="36"/>
    </row>
    <row r="472" spans="1:26" ht="12.75" hidden="1">
      <c r="A472" s="36" t="str">
        <f ca="1">IFERROR(__xludf.DUMMYFUNCTION("""COMPUTED_VALUE"""),"")</f>
        <v/>
      </c>
      <c r="B472" s="36" t="str">
        <f ca="1">IFERROR(__xludf.DUMMYFUNCTION("""COMPUTED_VALUE"""),"")</f>
        <v/>
      </c>
      <c r="C472" s="36" t="str">
        <f ca="1">IFERROR(__xludf.DUMMYFUNCTION("""COMPUTED_VALUE"""),"")</f>
        <v/>
      </c>
      <c r="D472" s="36" t="str">
        <f ca="1">IFERROR(__xludf.DUMMYFUNCTION("""COMPUTED_VALUE"""),"")</f>
        <v/>
      </c>
      <c r="E472" s="36" t="str">
        <f ca="1">IFERROR(__xludf.DUMMYFUNCTION("""COMPUTED_VALUE"""),"")</f>
        <v/>
      </c>
      <c r="F472" s="36" t="str">
        <f ca="1">IFERROR(__xludf.DUMMYFUNCTION("""COMPUTED_VALUE"""),"")</f>
        <v/>
      </c>
      <c r="G472" s="36" t="str">
        <f ca="1">IFERROR(__xludf.DUMMYFUNCTION("""COMPUTED_VALUE"""),"")</f>
        <v/>
      </c>
      <c r="H472" s="36" t="str">
        <f ca="1">IFERROR(__xludf.DUMMYFUNCTION("""COMPUTED_VALUE"""),"")</f>
        <v/>
      </c>
      <c r="I472" s="36" t="str">
        <f ca="1">IFERROR(__xludf.DUMMYFUNCTION("""COMPUTED_VALUE"""),"")</f>
        <v/>
      </c>
      <c r="J472" s="36" t="str">
        <f ca="1">IFERROR(__xludf.DUMMYFUNCTION("""COMPUTED_VALUE"""),"")</f>
        <v/>
      </c>
      <c r="K472" s="36" t="str">
        <f ca="1">IFERROR(__xludf.DUMMYFUNCTION("""COMPUTED_VALUE"""),"")</f>
        <v/>
      </c>
      <c r="L472" s="36" t="str">
        <f ca="1">IFERROR(__xludf.DUMMYFUNCTION("""COMPUTED_VALUE"""),"")</f>
        <v/>
      </c>
      <c r="M472" s="36" t="str">
        <f ca="1">IFERROR(__xludf.DUMMYFUNCTION("""COMPUTED_VALUE"""),"")</f>
        <v/>
      </c>
      <c r="N472" s="36" t="str">
        <f ca="1">IFERROR(__xludf.DUMMYFUNCTION("""COMPUTED_VALUE"""),"")</f>
        <v/>
      </c>
      <c r="O472" s="36" t="str">
        <f ca="1">IFERROR(__xludf.DUMMYFUNCTION("""COMPUTED_VALUE"""),"")</f>
        <v/>
      </c>
      <c r="P472" s="36" t="str">
        <f ca="1">IFERROR(__xludf.DUMMYFUNCTION("""COMPUTED_VALUE"""),"")</f>
        <v/>
      </c>
      <c r="Q472" s="36" t="str">
        <f ca="1">IFERROR(__xludf.DUMMYFUNCTION("""COMPUTED_VALUE"""),"")</f>
        <v/>
      </c>
      <c r="R472" s="36" t="str">
        <f ca="1">IFERROR(__xludf.DUMMYFUNCTION("""COMPUTED_VALUE"""),"")</f>
        <v/>
      </c>
      <c r="S472" s="36" t="str">
        <f ca="1">IFERROR(__xludf.DUMMYFUNCTION("""COMPUTED_VALUE"""),"")</f>
        <v/>
      </c>
      <c r="T472" s="36" t="str">
        <f ca="1">IFERROR(__xludf.DUMMYFUNCTION("""COMPUTED_VALUE"""),"")</f>
        <v/>
      </c>
      <c r="U472" s="36" t="str">
        <f ca="1">IFERROR(__xludf.DUMMYFUNCTION("""COMPUTED_VALUE"""),"")</f>
        <v/>
      </c>
      <c r="V472" s="36" t="str">
        <f ca="1">IFERROR(__xludf.DUMMYFUNCTION("""COMPUTED_VALUE"""),"")</f>
        <v/>
      </c>
      <c r="W472" s="36" t="str">
        <f ca="1">IFERROR(__xludf.DUMMYFUNCTION("""COMPUTED_VALUE"""),"")</f>
        <v/>
      </c>
      <c r="X472" s="36"/>
      <c r="Y472" s="36"/>
      <c r="Z472" s="36"/>
    </row>
    <row r="473" spans="1:26" ht="12.75" hidden="1">
      <c r="A473" s="36" t="str">
        <f ca="1">IFERROR(__xludf.DUMMYFUNCTION("""COMPUTED_VALUE"""),"")</f>
        <v/>
      </c>
      <c r="B473" s="36" t="str">
        <f ca="1">IFERROR(__xludf.DUMMYFUNCTION("""COMPUTED_VALUE"""),"")</f>
        <v/>
      </c>
      <c r="C473" s="36" t="str">
        <f ca="1">IFERROR(__xludf.DUMMYFUNCTION("""COMPUTED_VALUE"""),"")</f>
        <v/>
      </c>
      <c r="D473" s="36" t="str">
        <f ca="1">IFERROR(__xludf.DUMMYFUNCTION("""COMPUTED_VALUE"""),"")</f>
        <v/>
      </c>
      <c r="E473" s="36" t="str">
        <f ca="1">IFERROR(__xludf.DUMMYFUNCTION("""COMPUTED_VALUE"""),"")</f>
        <v/>
      </c>
      <c r="F473" s="36" t="str">
        <f ca="1">IFERROR(__xludf.DUMMYFUNCTION("""COMPUTED_VALUE"""),"")</f>
        <v/>
      </c>
      <c r="G473" s="36" t="str">
        <f ca="1">IFERROR(__xludf.DUMMYFUNCTION("""COMPUTED_VALUE"""),"")</f>
        <v/>
      </c>
      <c r="H473" s="36" t="str">
        <f ca="1">IFERROR(__xludf.DUMMYFUNCTION("""COMPUTED_VALUE"""),"")</f>
        <v/>
      </c>
      <c r="I473" s="36" t="str">
        <f ca="1">IFERROR(__xludf.DUMMYFUNCTION("""COMPUTED_VALUE"""),"")</f>
        <v/>
      </c>
      <c r="J473" s="36" t="str">
        <f ca="1">IFERROR(__xludf.DUMMYFUNCTION("""COMPUTED_VALUE"""),"")</f>
        <v/>
      </c>
      <c r="K473" s="36" t="str">
        <f ca="1">IFERROR(__xludf.DUMMYFUNCTION("""COMPUTED_VALUE"""),"")</f>
        <v/>
      </c>
      <c r="L473" s="36" t="str">
        <f ca="1">IFERROR(__xludf.DUMMYFUNCTION("""COMPUTED_VALUE"""),"")</f>
        <v/>
      </c>
      <c r="M473" s="36" t="str">
        <f ca="1">IFERROR(__xludf.DUMMYFUNCTION("""COMPUTED_VALUE"""),"")</f>
        <v/>
      </c>
      <c r="N473" s="36" t="str">
        <f ca="1">IFERROR(__xludf.DUMMYFUNCTION("""COMPUTED_VALUE"""),"")</f>
        <v/>
      </c>
      <c r="O473" s="36" t="str">
        <f ca="1">IFERROR(__xludf.DUMMYFUNCTION("""COMPUTED_VALUE"""),"")</f>
        <v/>
      </c>
      <c r="P473" s="36" t="str">
        <f ca="1">IFERROR(__xludf.DUMMYFUNCTION("""COMPUTED_VALUE"""),"")</f>
        <v/>
      </c>
      <c r="Q473" s="36" t="str">
        <f ca="1">IFERROR(__xludf.DUMMYFUNCTION("""COMPUTED_VALUE"""),"")</f>
        <v/>
      </c>
      <c r="R473" s="36" t="str">
        <f ca="1">IFERROR(__xludf.DUMMYFUNCTION("""COMPUTED_VALUE"""),"")</f>
        <v/>
      </c>
      <c r="S473" s="36" t="str">
        <f ca="1">IFERROR(__xludf.DUMMYFUNCTION("""COMPUTED_VALUE"""),"")</f>
        <v/>
      </c>
      <c r="T473" s="36" t="str">
        <f ca="1">IFERROR(__xludf.DUMMYFUNCTION("""COMPUTED_VALUE"""),"")</f>
        <v/>
      </c>
      <c r="U473" s="36" t="str">
        <f ca="1">IFERROR(__xludf.DUMMYFUNCTION("""COMPUTED_VALUE"""),"")</f>
        <v/>
      </c>
      <c r="V473" s="36" t="str">
        <f ca="1">IFERROR(__xludf.DUMMYFUNCTION("""COMPUTED_VALUE"""),"")</f>
        <v/>
      </c>
      <c r="W473" s="36" t="str">
        <f ca="1">IFERROR(__xludf.DUMMYFUNCTION("""COMPUTED_VALUE"""),"")</f>
        <v/>
      </c>
      <c r="X473" s="36"/>
      <c r="Y473" s="36"/>
      <c r="Z473" s="36"/>
    </row>
    <row r="474" spans="1:26" ht="12.75" hidden="1">
      <c r="A474" s="36" t="str">
        <f ca="1">IFERROR(__xludf.DUMMYFUNCTION("""COMPUTED_VALUE"""),"")</f>
        <v/>
      </c>
      <c r="B474" s="36" t="str">
        <f ca="1">IFERROR(__xludf.DUMMYFUNCTION("""COMPUTED_VALUE"""),"")</f>
        <v/>
      </c>
      <c r="C474" s="36" t="str">
        <f ca="1">IFERROR(__xludf.DUMMYFUNCTION("""COMPUTED_VALUE"""),"")</f>
        <v/>
      </c>
      <c r="D474" s="36" t="str">
        <f ca="1">IFERROR(__xludf.DUMMYFUNCTION("""COMPUTED_VALUE"""),"")</f>
        <v/>
      </c>
      <c r="E474" s="36" t="str">
        <f ca="1">IFERROR(__xludf.DUMMYFUNCTION("""COMPUTED_VALUE"""),"")</f>
        <v/>
      </c>
      <c r="F474" s="36" t="str">
        <f ca="1">IFERROR(__xludf.DUMMYFUNCTION("""COMPUTED_VALUE"""),"")</f>
        <v/>
      </c>
      <c r="G474" s="36" t="str">
        <f ca="1">IFERROR(__xludf.DUMMYFUNCTION("""COMPUTED_VALUE"""),"")</f>
        <v/>
      </c>
      <c r="H474" s="36" t="str">
        <f ca="1">IFERROR(__xludf.DUMMYFUNCTION("""COMPUTED_VALUE"""),"")</f>
        <v/>
      </c>
      <c r="I474" s="36" t="str">
        <f ca="1">IFERROR(__xludf.DUMMYFUNCTION("""COMPUTED_VALUE"""),"")</f>
        <v/>
      </c>
      <c r="J474" s="36" t="str">
        <f ca="1">IFERROR(__xludf.DUMMYFUNCTION("""COMPUTED_VALUE"""),"")</f>
        <v/>
      </c>
      <c r="K474" s="36" t="str">
        <f ca="1">IFERROR(__xludf.DUMMYFUNCTION("""COMPUTED_VALUE"""),"")</f>
        <v/>
      </c>
      <c r="L474" s="36" t="str">
        <f ca="1">IFERROR(__xludf.DUMMYFUNCTION("""COMPUTED_VALUE"""),"")</f>
        <v/>
      </c>
      <c r="M474" s="36" t="str">
        <f ca="1">IFERROR(__xludf.DUMMYFUNCTION("""COMPUTED_VALUE"""),"")</f>
        <v/>
      </c>
      <c r="N474" s="36" t="str">
        <f ca="1">IFERROR(__xludf.DUMMYFUNCTION("""COMPUTED_VALUE"""),"")</f>
        <v/>
      </c>
      <c r="O474" s="36" t="str">
        <f ca="1">IFERROR(__xludf.DUMMYFUNCTION("""COMPUTED_VALUE"""),"")</f>
        <v/>
      </c>
      <c r="P474" s="36" t="str">
        <f ca="1">IFERROR(__xludf.DUMMYFUNCTION("""COMPUTED_VALUE"""),"")</f>
        <v/>
      </c>
      <c r="Q474" s="36" t="str">
        <f ca="1">IFERROR(__xludf.DUMMYFUNCTION("""COMPUTED_VALUE"""),"")</f>
        <v/>
      </c>
      <c r="R474" s="36" t="str">
        <f ca="1">IFERROR(__xludf.DUMMYFUNCTION("""COMPUTED_VALUE"""),"")</f>
        <v/>
      </c>
      <c r="S474" s="36" t="str">
        <f ca="1">IFERROR(__xludf.DUMMYFUNCTION("""COMPUTED_VALUE"""),"")</f>
        <v/>
      </c>
      <c r="T474" s="36" t="str">
        <f ca="1">IFERROR(__xludf.DUMMYFUNCTION("""COMPUTED_VALUE"""),"")</f>
        <v/>
      </c>
      <c r="U474" s="36" t="str">
        <f ca="1">IFERROR(__xludf.DUMMYFUNCTION("""COMPUTED_VALUE"""),"")</f>
        <v/>
      </c>
      <c r="V474" s="36" t="str">
        <f ca="1">IFERROR(__xludf.DUMMYFUNCTION("""COMPUTED_VALUE"""),"")</f>
        <v/>
      </c>
      <c r="W474" s="36" t="str">
        <f ca="1">IFERROR(__xludf.DUMMYFUNCTION("""COMPUTED_VALUE"""),"")</f>
        <v/>
      </c>
      <c r="X474" s="36"/>
      <c r="Y474" s="36"/>
      <c r="Z474" s="36"/>
    </row>
    <row r="475" spans="1:26" ht="12.75" hidden="1">
      <c r="A475" s="36" t="str">
        <f ca="1">IFERROR(__xludf.DUMMYFUNCTION("""COMPUTED_VALUE"""),"")</f>
        <v/>
      </c>
      <c r="B475" s="36" t="str">
        <f ca="1">IFERROR(__xludf.DUMMYFUNCTION("""COMPUTED_VALUE"""),"")</f>
        <v/>
      </c>
      <c r="C475" s="36" t="str">
        <f ca="1">IFERROR(__xludf.DUMMYFUNCTION("""COMPUTED_VALUE"""),"")</f>
        <v/>
      </c>
      <c r="D475" s="36" t="str">
        <f ca="1">IFERROR(__xludf.DUMMYFUNCTION("""COMPUTED_VALUE"""),"")</f>
        <v/>
      </c>
      <c r="E475" s="36" t="str">
        <f ca="1">IFERROR(__xludf.DUMMYFUNCTION("""COMPUTED_VALUE"""),"")</f>
        <v/>
      </c>
      <c r="F475" s="36" t="str">
        <f ca="1">IFERROR(__xludf.DUMMYFUNCTION("""COMPUTED_VALUE"""),"")</f>
        <v/>
      </c>
      <c r="G475" s="36" t="str">
        <f ca="1">IFERROR(__xludf.DUMMYFUNCTION("""COMPUTED_VALUE"""),"")</f>
        <v/>
      </c>
      <c r="H475" s="36" t="str">
        <f ca="1">IFERROR(__xludf.DUMMYFUNCTION("""COMPUTED_VALUE"""),"")</f>
        <v/>
      </c>
      <c r="I475" s="36" t="str">
        <f ca="1">IFERROR(__xludf.DUMMYFUNCTION("""COMPUTED_VALUE"""),"")</f>
        <v/>
      </c>
      <c r="J475" s="36" t="str">
        <f ca="1">IFERROR(__xludf.DUMMYFUNCTION("""COMPUTED_VALUE"""),"")</f>
        <v/>
      </c>
      <c r="K475" s="36" t="str">
        <f ca="1">IFERROR(__xludf.DUMMYFUNCTION("""COMPUTED_VALUE"""),"")</f>
        <v/>
      </c>
      <c r="L475" s="36" t="str">
        <f ca="1">IFERROR(__xludf.DUMMYFUNCTION("""COMPUTED_VALUE"""),"")</f>
        <v/>
      </c>
      <c r="M475" s="36" t="str">
        <f ca="1">IFERROR(__xludf.DUMMYFUNCTION("""COMPUTED_VALUE"""),"")</f>
        <v/>
      </c>
      <c r="N475" s="36" t="str">
        <f ca="1">IFERROR(__xludf.DUMMYFUNCTION("""COMPUTED_VALUE"""),"")</f>
        <v/>
      </c>
      <c r="O475" s="36" t="str">
        <f ca="1">IFERROR(__xludf.DUMMYFUNCTION("""COMPUTED_VALUE"""),"")</f>
        <v/>
      </c>
      <c r="P475" s="36" t="str">
        <f ca="1">IFERROR(__xludf.DUMMYFUNCTION("""COMPUTED_VALUE"""),"")</f>
        <v/>
      </c>
      <c r="Q475" s="36" t="str">
        <f ca="1">IFERROR(__xludf.DUMMYFUNCTION("""COMPUTED_VALUE"""),"")</f>
        <v/>
      </c>
      <c r="R475" s="36" t="str">
        <f ca="1">IFERROR(__xludf.DUMMYFUNCTION("""COMPUTED_VALUE"""),"")</f>
        <v/>
      </c>
      <c r="S475" s="36" t="str">
        <f ca="1">IFERROR(__xludf.DUMMYFUNCTION("""COMPUTED_VALUE"""),"")</f>
        <v/>
      </c>
      <c r="T475" s="36" t="str">
        <f ca="1">IFERROR(__xludf.DUMMYFUNCTION("""COMPUTED_VALUE"""),"")</f>
        <v/>
      </c>
      <c r="U475" s="36" t="str">
        <f ca="1">IFERROR(__xludf.DUMMYFUNCTION("""COMPUTED_VALUE"""),"")</f>
        <v/>
      </c>
      <c r="V475" s="36" t="str">
        <f ca="1">IFERROR(__xludf.DUMMYFUNCTION("""COMPUTED_VALUE"""),"")</f>
        <v/>
      </c>
      <c r="W475" s="36" t="str">
        <f ca="1">IFERROR(__xludf.DUMMYFUNCTION("""COMPUTED_VALUE"""),"")</f>
        <v/>
      </c>
      <c r="X475" s="36"/>
      <c r="Y475" s="36"/>
      <c r="Z475" s="36"/>
    </row>
    <row r="476" spans="1:26" ht="12.75" hidden="1">
      <c r="A476" s="36" t="str">
        <f ca="1">IFERROR(__xludf.DUMMYFUNCTION("""COMPUTED_VALUE"""),"")</f>
        <v/>
      </c>
      <c r="B476" s="36" t="str">
        <f ca="1">IFERROR(__xludf.DUMMYFUNCTION("""COMPUTED_VALUE"""),"")</f>
        <v/>
      </c>
      <c r="C476" s="36" t="str">
        <f ca="1">IFERROR(__xludf.DUMMYFUNCTION("""COMPUTED_VALUE"""),"")</f>
        <v/>
      </c>
      <c r="D476" s="36" t="str">
        <f ca="1">IFERROR(__xludf.DUMMYFUNCTION("""COMPUTED_VALUE"""),"")</f>
        <v/>
      </c>
      <c r="E476" s="36" t="str">
        <f ca="1">IFERROR(__xludf.DUMMYFUNCTION("""COMPUTED_VALUE"""),"")</f>
        <v/>
      </c>
      <c r="F476" s="36" t="str">
        <f ca="1">IFERROR(__xludf.DUMMYFUNCTION("""COMPUTED_VALUE"""),"")</f>
        <v/>
      </c>
      <c r="G476" s="36" t="str">
        <f ca="1">IFERROR(__xludf.DUMMYFUNCTION("""COMPUTED_VALUE"""),"")</f>
        <v/>
      </c>
      <c r="H476" s="36" t="str">
        <f ca="1">IFERROR(__xludf.DUMMYFUNCTION("""COMPUTED_VALUE"""),"")</f>
        <v/>
      </c>
      <c r="I476" s="36" t="str">
        <f ca="1">IFERROR(__xludf.DUMMYFUNCTION("""COMPUTED_VALUE"""),"")</f>
        <v/>
      </c>
      <c r="J476" s="36" t="str">
        <f ca="1">IFERROR(__xludf.DUMMYFUNCTION("""COMPUTED_VALUE"""),"")</f>
        <v/>
      </c>
      <c r="K476" s="36" t="str">
        <f ca="1">IFERROR(__xludf.DUMMYFUNCTION("""COMPUTED_VALUE"""),"")</f>
        <v/>
      </c>
      <c r="L476" s="36" t="str">
        <f ca="1">IFERROR(__xludf.DUMMYFUNCTION("""COMPUTED_VALUE"""),"")</f>
        <v/>
      </c>
      <c r="M476" s="36" t="str">
        <f ca="1">IFERROR(__xludf.DUMMYFUNCTION("""COMPUTED_VALUE"""),"")</f>
        <v/>
      </c>
      <c r="N476" s="36" t="str">
        <f ca="1">IFERROR(__xludf.DUMMYFUNCTION("""COMPUTED_VALUE"""),"")</f>
        <v/>
      </c>
      <c r="O476" s="36" t="str">
        <f ca="1">IFERROR(__xludf.DUMMYFUNCTION("""COMPUTED_VALUE"""),"")</f>
        <v/>
      </c>
      <c r="P476" s="36" t="str">
        <f ca="1">IFERROR(__xludf.DUMMYFUNCTION("""COMPUTED_VALUE"""),"")</f>
        <v/>
      </c>
      <c r="Q476" s="36" t="str">
        <f ca="1">IFERROR(__xludf.DUMMYFUNCTION("""COMPUTED_VALUE"""),"")</f>
        <v/>
      </c>
      <c r="R476" s="36" t="str">
        <f ca="1">IFERROR(__xludf.DUMMYFUNCTION("""COMPUTED_VALUE"""),"")</f>
        <v/>
      </c>
      <c r="S476" s="36" t="str">
        <f ca="1">IFERROR(__xludf.DUMMYFUNCTION("""COMPUTED_VALUE"""),"")</f>
        <v/>
      </c>
      <c r="T476" s="36" t="str">
        <f ca="1">IFERROR(__xludf.DUMMYFUNCTION("""COMPUTED_VALUE"""),"")</f>
        <v/>
      </c>
      <c r="U476" s="36" t="str">
        <f ca="1">IFERROR(__xludf.DUMMYFUNCTION("""COMPUTED_VALUE"""),"")</f>
        <v/>
      </c>
      <c r="V476" s="36" t="str">
        <f ca="1">IFERROR(__xludf.DUMMYFUNCTION("""COMPUTED_VALUE"""),"")</f>
        <v/>
      </c>
      <c r="W476" s="36" t="str">
        <f ca="1">IFERROR(__xludf.DUMMYFUNCTION("""COMPUTED_VALUE"""),"")</f>
        <v/>
      </c>
      <c r="X476" s="36"/>
      <c r="Y476" s="36"/>
      <c r="Z476" s="36"/>
    </row>
    <row r="477" spans="1:26" ht="12.75" hidden="1">
      <c r="A477" s="36" t="str">
        <f ca="1">IFERROR(__xludf.DUMMYFUNCTION("""COMPUTED_VALUE"""),"")</f>
        <v/>
      </c>
      <c r="B477" s="36" t="str">
        <f ca="1">IFERROR(__xludf.DUMMYFUNCTION("""COMPUTED_VALUE"""),"")</f>
        <v/>
      </c>
      <c r="C477" s="36" t="str">
        <f ca="1">IFERROR(__xludf.DUMMYFUNCTION("""COMPUTED_VALUE"""),"")</f>
        <v/>
      </c>
      <c r="D477" s="36" t="str">
        <f ca="1">IFERROR(__xludf.DUMMYFUNCTION("""COMPUTED_VALUE"""),"")</f>
        <v/>
      </c>
      <c r="E477" s="36" t="str">
        <f ca="1">IFERROR(__xludf.DUMMYFUNCTION("""COMPUTED_VALUE"""),"")</f>
        <v/>
      </c>
      <c r="F477" s="36" t="str">
        <f ca="1">IFERROR(__xludf.DUMMYFUNCTION("""COMPUTED_VALUE"""),"")</f>
        <v/>
      </c>
      <c r="G477" s="36" t="str">
        <f ca="1">IFERROR(__xludf.DUMMYFUNCTION("""COMPUTED_VALUE"""),"")</f>
        <v/>
      </c>
      <c r="H477" s="36" t="str">
        <f ca="1">IFERROR(__xludf.DUMMYFUNCTION("""COMPUTED_VALUE"""),"")</f>
        <v/>
      </c>
      <c r="I477" s="36" t="str">
        <f ca="1">IFERROR(__xludf.DUMMYFUNCTION("""COMPUTED_VALUE"""),"")</f>
        <v/>
      </c>
      <c r="J477" s="36" t="str">
        <f ca="1">IFERROR(__xludf.DUMMYFUNCTION("""COMPUTED_VALUE"""),"")</f>
        <v/>
      </c>
      <c r="K477" s="36" t="str">
        <f ca="1">IFERROR(__xludf.DUMMYFUNCTION("""COMPUTED_VALUE"""),"")</f>
        <v/>
      </c>
      <c r="L477" s="36" t="str">
        <f ca="1">IFERROR(__xludf.DUMMYFUNCTION("""COMPUTED_VALUE"""),"")</f>
        <v/>
      </c>
      <c r="M477" s="36" t="str">
        <f ca="1">IFERROR(__xludf.DUMMYFUNCTION("""COMPUTED_VALUE"""),"")</f>
        <v/>
      </c>
      <c r="N477" s="36" t="str">
        <f ca="1">IFERROR(__xludf.DUMMYFUNCTION("""COMPUTED_VALUE"""),"")</f>
        <v/>
      </c>
      <c r="O477" s="36" t="str">
        <f ca="1">IFERROR(__xludf.DUMMYFUNCTION("""COMPUTED_VALUE"""),"")</f>
        <v/>
      </c>
      <c r="P477" s="36" t="str">
        <f ca="1">IFERROR(__xludf.DUMMYFUNCTION("""COMPUTED_VALUE"""),"")</f>
        <v/>
      </c>
      <c r="Q477" s="36" t="str">
        <f ca="1">IFERROR(__xludf.DUMMYFUNCTION("""COMPUTED_VALUE"""),"")</f>
        <v/>
      </c>
      <c r="R477" s="36" t="str">
        <f ca="1">IFERROR(__xludf.DUMMYFUNCTION("""COMPUTED_VALUE"""),"")</f>
        <v/>
      </c>
      <c r="S477" s="36" t="str">
        <f ca="1">IFERROR(__xludf.DUMMYFUNCTION("""COMPUTED_VALUE"""),"")</f>
        <v/>
      </c>
      <c r="T477" s="36" t="str">
        <f ca="1">IFERROR(__xludf.DUMMYFUNCTION("""COMPUTED_VALUE"""),"")</f>
        <v/>
      </c>
      <c r="U477" s="36" t="str">
        <f ca="1">IFERROR(__xludf.DUMMYFUNCTION("""COMPUTED_VALUE"""),"")</f>
        <v/>
      </c>
      <c r="V477" s="36" t="str">
        <f ca="1">IFERROR(__xludf.DUMMYFUNCTION("""COMPUTED_VALUE"""),"")</f>
        <v/>
      </c>
      <c r="W477" s="36" t="str">
        <f ca="1">IFERROR(__xludf.DUMMYFUNCTION("""COMPUTED_VALUE"""),"")</f>
        <v/>
      </c>
      <c r="X477" s="36"/>
      <c r="Y477" s="36"/>
      <c r="Z477" s="36"/>
    </row>
    <row r="478" spans="1:26" ht="12.75" hidden="1">
      <c r="A478" s="36" t="str">
        <f ca="1">IFERROR(__xludf.DUMMYFUNCTION("""COMPUTED_VALUE"""),"")</f>
        <v/>
      </c>
      <c r="B478" s="36" t="str">
        <f ca="1">IFERROR(__xludf.DUMMYFUNCTION("""COMPUTED_VALUE"""),"")</f>
        <v/>
      </c>
      <c r="C478" s="36" t="str">
        <f ca="1">IFERROR(__xludf.DUMMYFUNCTION("""COMPUTED_VALUE"""),"")</f>
        <v/>
      </c>
      <c r="D478" s="36" t="str">
        <f ca="1">IFERROR(__xludf.DUMMYFUNCTION("""COMPUTED_VALUE"""),"")</f>
        <v/>
      </c>
      <c r="E478" s="36" t="str">
        <f ca="1">IFERROR(__xludf.DUMMYFUNCTION("""COMPUTED_VALUE"""),"")</f>
        <v/>
      </c>
      <c r="F478" s="36" t="str">
        <f ca="1">IFERROR(__xludf.DUMMYFUNCTION("""COMPUTED_VALUE"""),"")</f>
        <v/>
      </c>
      <c r="G478" s="36" t="str">
        <f ca="1">IFERROR(__xludf.DUMMYFUNCTION("""COMPUTED_VALUE"""),"")</f>
        <v/>
      </c>
      <c r="H478" s="36" t="str">
        <f ca="1">IFERROR(__xludf.DUMMYFUNCTION("""COMPUTED_VALUE"""),"")</f>
        <v/>
      </c>
      <c r="I478" s="36" t="str">
        <f ca="1">IFERROR(__xludf.DUMMYFUNCTION("""COMPUTED_VALUE"""),"")</f>
        <v/>
      </c>
      <c r="J478" s="36" t="str">
        <f ca="1">IFERROR(__xludf.DUMMYFUNCTION("""COMPUTED_VALUE"""),"")</f>
        <v/>
      </c>
      <c r="K478" s="36" t="str">
        <f ca="1">IFERROR(__xludf.DUMMYFUNCTION("""COMPUTED_VALUE"""),"")</f>
        <v/>
      </c>
      <c r="L478" s="36" t="str">
        <f ca="1">IFERROR(__xludf.DUMMYFUNCTION("""COMPUTED_VALUE"""),"")</f>
        <v/>
      </c>
      <c r="M478" s="36" t="str">
        <f ca="1">IFERROR(__xludf.DUMMYFUNCTION("""COMPUTED_VALUE"""),"")</f>
        <v/>
      </c>
      <c r="N478" s="36" t="str">
        <f ca="1">IFERROR(__xludf.DUMMYFUNCTION("""COMPUTED_VALUE"""),"")</f>
        <v/>
      </c>
      <c r="O478" s="36" t="str">
        <f ca="1">IFERROR(__xludf.DUMMYFUNCTION("""COMPUTED_VALUE"""),"")</f>
        <v/>
      </c>
      <c r="P478" s="36" t="str">
        <f ca="1">IFERROR(__xludf.DUMMYFUNCTION("""COMPUTED_VALUE"""),"")</f>
        <v/>
      </c>
      <c r="Q478" s="36" t="str">
        <f ca="1">IFERROR(__xludf.DUMMYFUNCTION("""COMPUTED_VALUE"""),"")</f>
        <v/>
      </c>
      <c r="R478" s="36" t="str">
        <f ca="1">IFERROR(__xludf.DUMMYFUNCTION("""COMPUTED_VALUE"""),"")</f>
        <v/>
      </c>
      <c r="S478" s="36" t="str">
        <f ca="1">IFERROR(__xludf.DUMMYFUNCTION("""COMPUTED_VALUE"""),"")</f>
        <v/>
      </c>
      <c r="T478" s="36" t="str">
        <f ca="1">IFERROR(__xludf.DUMMYFUNCTION("""COMPUTED_VALUE"""),"")</f>
        <v/>
      </c>
      <c r="U478" s="36" t="str">
        <f ca="1">IFERROR(__xludf.DUMMYFUNCTION("""COMPUTED_VALUE"""),"")</f>
        <v/>
      </c>
      <c r="V478" s="36" t="str">
        <f ca="1">IFERROR(__xludf.DUMMYFUNCTION("""COMPUTED_VALUE"""),"")</f>
        <v/>
      </c>
      <c r="W478" s="36" t="str">
        <f ca="1">IFERROR(__xludf.DUMMYFUNCTION("""COMPUTED_VALUE"""),"")</f>
        <v/>
      </c>
      <c r="X478" s="36"/>
      <c r="Y478" s="36"/>
      <c r="Z478" s="36"/>
    </row>
    <row r="479" spans="1:26" ht="12.75" hidden="1">
      <c r="A479" s="36" t="str">
        <f ca="1">IFERROR(__xludf.DUMMYFUNCTION("""COMPUTED_VALUE"""),"")</f>
        <v/>
      </c>
      <c r="B479" s="36" t="str">
        <f ca="1">IFERROR(__xludf.DUMMYFUNCTION("""COMPUTED_VALUE"""),"")</f>
        <v/>
      </c>
      <c r="C479" s="36" t="str">
        <f ca="1">IFERROR(__xludf.DUMMYFUNCTION("""COMPUTED_VALUE"""),"")</f>
        <v/>
      </c>
      <c r="D479" s="36" t="str">
        <f ca="1">IFERROR(__xludf.DUMMYFUNCTION("""COMPUTED_VALUE"""),"")</f>
        <v/>
      </c>
      <c r="E479" s="36" t="str">
        <f ca="1">IFERROR(__xludf.DUMMYFUNCTION("""COMPUTED_VALUE"""),"")</f>
        <v/>
      </c>
      <c r="F479" s="36" t="str">
        <f ca="1">IFERROR(__xludf.DUMMYFUNCTION("""COMPUTED_VALUE"""),"")</f>
        <v/>
      </c>
      <c r="G479" s="36" t="str">
        <f ca="1">IFERROR(__xludf.DUMMYFUNCTION("""COMPUTED_VALUE"""),"")</f>
        <v/>
      </c>
      <c r="H479" s="36" t="str">
        <f ca="1">IFERROR(__xludf.DUMMYFUNCTION("""COMPUTED_VALUE"""),"")</f>
        <v/>
      </c>
      <c r="I479" s="36" t="str">
        <f ca="1">IFERROR(__xludf.DUMMYFUNCTION("""COMPUTED_VALUE"""),"")</f>
        <v/>
      </c>
      <c r="J479" s="36" t="str">
        <f ca="1">IFERROR(__xludf.DUMMYFUNCTION("""COMPUTED_VALUE"""),"")</f>
        <v/>
      </c>
      <c r="K479" s="36" t="str">
        <f ca="1">IFERROR(__xludf.DUMMYFUNCTION("""COMPUTED_VALUE"""),"")</f>
        <v/>
      </c>
      <c r="L479" s="36" t="str">
        <f ca="1">IFERROR(__xludf.DUMMYFUNCTION("""COMPUTED_VALUE"""),"")</f>
        <v/>
      </c>
      <c r="M479" s="36" t="str">
        <f ca="1">IFERROR(__xludf.DUMMYFUNCTION("""COMPUTED_VALUE"""),"")</f>
        <v/>
      </c>
      <c r="N479" s="36" t="str">
        <f ca="1">IFERROR(__xludf.DUMMYFUNCTION("""COMPUTED_VALUE"""),"")</f>
        <v/>
      </c>
      <c r="O479" s="36" t="str">
        <f ca="1">IFERROR(__xludf.DUMMYFUNCTION("""COMPUTED_VALUE"""),"")</f>
        <v/>
      </c>
      <c r="P479" s="36" t="str">
        <f ca="1">IFERROR(__xludf.DUMMYFUNCTION("""COMPUTED_VALUE"""),"")</f>
        <v/>
      </c>
      <c r="Q479" s="36" t="str">
        <f ca="1">IFERROR(__xludf.DUMMYFUNCTION("""COMPUTED_VALUE"""),"")</f>
        <v/>
      </c>
      <c r="R479" s="36" t="str">
        <f ca="1">IFERROR(__xludf.DUMMYFUNCTION("""COMPUTED_VALUE"""),"")</f>
        <v/>
      </c>
      <c r="S479" s="36" t="str">
        <f ca="1">IFERROR(__xludf.DUMMYFUNCTION("""COMPUTED_VALUE"""),"")</f>
        <v/>
      </c>
      <c r="T479" s="36" t="str">
        <f ca="1">IFERROR(__xludf.DUMMYFUNCTION("""COMPUTED_VALUE"""),"")</f>
        <v/>
      </c>
      <c r="U479" s="36" t="str">
        <f ca="1">IFERROR(__xludf.DUMMYFUNCTION("""COMPUTED_VALUE"""),"")</f>
        <v/>
      </c>
      <c r="V479" s="36" t="str">
        <f ca="1">IFERROR(__xludf.DUMMYFUNCTION("""COMPUTED_VALUE"""),"")</f>
        <v/>
      </c>
      <c r="W479" s="36" t="str">
        <f ca="1">IFERROR(__xludf.DUMMYFUNCTION("""COMPUTED_VALUE"""),"")</f>
        <v/>
      </c>
      <c r="X479" s="36"/>
      <c r="Y479" s="36"/>
      <c r="Z479" s="36"/>
    </row>
    <row r="480" spans="1:26" ht="12.75" hidden="1">
      <c r="A480" s="36" t="str">
        <f ca="1">IFERROR(__xludf.DUMMYFUNCTION("""COMPUTED_VALUE"""),"")</f>
        <v/>
      </c>
      <c r="B480" s="36" t="str">
        <f ca="1">IFERROR(__xludf.DUMMYFUNCTION("""COMPUTED_VALUE"""),"")</f>
        <v/>
      </c>
      <c r="C480" s="36" t="str">
        <f ca="1">IFERROR(__xludf.DUMMYFUNCTION("""COMPUTED_VALUE"""),"")</f>
        <v/>
      </c>
      <c r="D480" s="36" t="str">
        <f ca="1">IFERROR(__xludf.DUMMYFUNCTION("""COMPUTED_VALUE"""),"")</f>
        <v/>
      </c>
      <c r="E480" s="36" t="str">
        <f ca="1">IFERROR(__xludf.DUMMYFUNCTION("""COMPUTED_VALUE"""),"")</f>
        <v/>
      </c>
      <c r="F480" s="36" t="str">
        <f ca="1">IFERROR(__xludf.DUMMYFUNCTION("""COMPUTED_VALUE"""),"")</f>
        <v/>
      </c>
      <c r="G480" s="36" t="str">
        <f ca="1">IFERROR(__xludf.DUMMYFUNCTION("""COMPUTED_VALUE"""),"")</f>
        <v/>
      </c>
      <c r="H480" s="36" t="str">
        <f ca="1">IFERROR(__xludf.DUMMYFUNCTION("""COMPUTED_VALUE"""),"")</f>
        <v/>
      </c>
      <c r="I480" s="36" t="str">
        <f ca="1">IFERROR(__xludf.DUMMYFUNCTION("""COMPUTED_VALUE"""),"")</f>
        <v/>
      </c>
      <c r="J480" s="36" t="str">
        <f ca="1">IFERROR(__xludf.DUMMYFUNCTION("""COMPUTED_VALUE"""),"")</f>
        <v/>
      </c>
      <c r="K480" s="36" t="str">
        <f ca="1">IFERROR(__xludf.DUMMYFUNCTION("""COMPUTED_VALUE"""),"")</f>
        <v/>
      </c>
      <c r="L480" s="36" t="str">
        <f ca="1">IFERROR(__xludf.DUMMYFUNCTION("""COMPUTED_VALUE"""),"")</f>
        <v/>
      </c>
      <c r="M480" s="36" t="str">
        <f ca="1">IFERROR(__xludf.DUMMYFUNCTION("""COMPUTED_VALUE"""),"")</f>
        <v/>
      </c>
      <c r="N480" s="36" t="str">
        <f ca="1">IFERROR(__xludf.DUMMYFUNCTION("""COMPUTED_VALUE"""),"")</f>
        <v/>
      </c>
      <c r="O480" s="36" t="str">
        <f ca="1">IFERROR(__xludf.DUMMYFUNCTION("""COMPUTED_VALUE"""),"")</f>
        <v/>
      </c>
      <c r="P480" s="36" t="str">
        <f ca="1">IFERROR(__xludf.DUMMYFUNCTION("""COMPUTED_VALUE"""),"")</f>
        <v/>
      </c>
      <c r="Q480" s="36" t="str">
        <f ca="1">IFERROR(__xludf.DUMMYFUNCTION("""COMPUTED_VALUE"""),"")</f>
        <v/>
      </c>
      <c r="R480" s="36" t="str">
        <f ca="1">IFERROR(__xludf.DUMMYFUNCTION("""COMPUTED_VALUE"""),"")</f>
        <v/>
      </c>
      <c r="S480" s="36" t="str">
        <f ca="1">IFERROR(__xludf.DUMMYFUNCTION("""COMPUTED_VALUE"""),"")</f>
        <v/>
      </c>
      <c r="T480" s="36" t="str">
        <f ca="1">IFERROR(__xludf.DUMMYFUNCTION("""COMPUTED_VALUE"""),"")</f>
        <v/>
      </c>
      <c r="U480" s="36" t="str">
        <f ca="1">IFERROR(__xludf.DUMMYFUNCTION("""COMPUTED_VALUE"""),"")</f>
        <v/>
      </c>
      <c r="V480" s="36" t="str">
        <f ca="1">IFERROR(__xludf.DUMMYFUNCTION("""COMPUTED_VALUE"""),"")</f>
        <v/>
      </c>
      <c r="W480" s="36" t="str">
        <f ca="1">IFERROR(__xludf.DUMMYFUNCTION("""COMPUTED_VALUE"""),"")</f>
        <v/>
      </c>
      <c r="X480" s="36"/>
      <c r="Y480" s="36"/>
      <c r="Z480" s="36"/>
    </row>
    <row r="481" spans="1:26" ht="12.75" hidden="1">
      <c r="A481" s="36" t="str">
        <f ca="1">IFERROR(__xludf.DUMMYFUNCTION("""COMPUTED_VALUE"""),"")</f>
        <v/>
      </c>
      <c r="B481" s="36" t="str">
        <f ca="1">IFERROR(__xludf.DUMMYFUNCTION("""COMPUTED_VALUE"""),"")</f>
        <v/>
      </c>
      <c r="C481" s="36" t="str">
        <f ca="1">IFERROR(__xludf.DUMMYFUNCTION("""COMPUTED_VALUE"""),"")</f>
        <v/>
      </c>
      <c r="D481" s="36" t="str">
        <f ca="1">IFERROR(__xludf.DUMMYFUNCTION("""COMPUTED_VALUE"""),"")</f>
        <v/>
      </c>
      <c r="E481" s="36" t="str">
        <f ca="1">IFERROR(__xludf.DUMMYFUNCTION("""COMPUTED_VALUE"""),"")</f>
        <v/>
      </c>
      <c r="F481" s="36" t="str">
        <f ca="1">IFERROR(__xludf.DUMMYFUNCTION("""COMPUTED_VALUE"""),"")</f>
        <v/>
      </c>
      <c r="G481" s="36" t="str">
        <f ca="1">IFERROR(__xludf.DUMMYFUNCTION("""COMPUTED_VALUE"""),"")</f>
        <v/>
      </c>
      <c r="H481" s="36" t="str">
        <f ca="1">IFERROR(__xludf.DUMMYFUNCTION("""COMPUTED_VALUE"""),"")</f>
        <v/>
      </c>
      <c r="I481" s="36" t="str">
        <f ca="1">IFERROR(__xludf.DUMMYFUNCTION("""COMPUTED_VALUE"""),"")</f>
        <v/>
      </c>
      <c r="J481" s="36" t="str">
        <f ca="1">IFERROR(__xludf.DUMMYFUNCTION("""COMPUTED_VALUE"""),"")</f>
        <v/>
      </c>
      <c r="K481" s="36" t="str">
        <f ca="1">IFERROR(__xludf.DUMMYFUNCTION("""COMPUTED_VALUE"""),"")</f>
        <v/>
      </c>
      <c r="L481" s="36" t="str">
        <f ca="1">IFERROR(__xludf.DUMMYFUNCTION("""COMPUTED_VALUE"""),"")</f>
        <v/>
      </c>
      <c r="M481" s="36" t="str">
        <f ca="1">IFERROR(__xludf.DUMMYFUNCTION("""COMPUTED_VALUE"""),"")</f>
        <v/>
      </c>
      <c r="N481" s="36" t="str">
        <f ca="1">IFERROR(__xludf.DUMMYFUNCTION("""COMPUTED_VALUE"""),"")</f>
        <v/>
      </c>
      <c r="O481" s="36" t="str">
        <f ca="1">IFERROR(__xludf.DUMMYFUNCTION("""COMPUTED_VALUE"""),"")</f>
        <v/>
      </c>
      <c r="P481" s="36" t="str">
        <f ca="1">IFERROR(__xludf.DUMMYFUNCTION("""COMPUTED_VALUE"""),"")</f>
        <v/>
      </c>
      <c r="Q481" s="36" t="str">
        <f ca="1">IFERROR(__xludf.DUMMYFUNCTION("""COMPUTED_VALUE"""),"")</f>
        <v/>
      </c>
      <c r="R481" s="36" t="str">
        <f ca="1">IFERROR(__xludf.DUMMYFUNCTION("""COMPUTED_VALUE"""),"")</f>
        <v/>
      </c>
      <c r="S481" s="36" t="str">
        <f ca="1">IFERROR(__xludf.DUMMYFUNCTION("""COMPUTED_VALUE"""),"")</f>
        <v/>
      </c>
      <c r="T481" s="36" t="str">
        <f ca="1">IFERROR(__xludf.DUMMYFUNCTION("""COMPUTED_VALUE"""),"")</f>
        <v/>
      </c>
      <c r="U481" s="36" t="str">
        <f ca="1">IFERROR(__xludf.DUMMYFUNCTION("""COMPUTED_VALUE"""),"")</f>
        <v/>
      </c>
      <c r="V481" s="36" t="str">
        <f ca="1">IFERROR(__xludf.DUMMYFUNCTION("""COMPUTED_VALUE"""),"")</f>
        <v/>
      </c>
      <c r="W481" s="36" t="str">
        <f ca="1">IFERROR(__xludf.DUMMYFUNCTION("""COMPUTED_VALUE"""),"")</f>
        <v/>
      </c>
      <c r="X481" s="36"/>
      <c r="Y481" s="36"/>
      <c r="Z481" s="36"/>
    </row>
    <row r="482" spans="1:26" ht="12.75" hidden="1">
      <c r="A482" s="36" t="str">
        <f ca="1">IFERROR(__xludf.DUMMYFUNCTION("""COMPUTED_VALUE"""),"")</f>
        <v/>
      </c>
      <c r="B482" s="36" t="str">
        <f ca="1">IFERROR(__xludf.DUMMYFUNCTION("""COMPUTED_VALUE"""),"")</f>
        <v/>
      </c>
      <c r="C482" s="36" t="str">
        <f ca="1">IFERROR(__xludf.DUMMYFUNCTION("""COMPUTED_VALUE"""),"")</f>
        <v/>
      </c>
      <c r="D482" s="36" t="str">
        <f ca="1">IFERROR(__xludf.DUMMYFUNCTION("""COMPUTED_VALUE"""),"")</f>
        <v/>
      </c>
      <c r="E482" s="36" t="str">
        <f ca="1">IFERROR(__xludf.DUMMYFUNCTION("""COMPUTED_VALUE"""),"")</f>
        <v/>
      </c>
      <c r="F482" s="36" t="str">
        <f ca="1">IFERROR(__xludf.DUMMYFUNCTION("""COMPUTED_VALUE"""),"")</f>
        <v/>
      </c>
      <c r="G482" s="36" t="str">
        <f ca="1">IFERROR(__xludf.DUMMYFUNCTION("""COMPUTED_VALUE"""),"")</f>
        <v/>
      </c>
      <c r="H482" s="36" t="str">
        <f ca="1">IFERROR(__xludf.DUMMYFUNCTION("""COMPUTED_VALUE"""),"")</f>
        <v/>
      </c>
      <c r="I482" s="36" t="str">
        <f ca="1">IFERROR(__xludf.DUMMYFUNCTION("""COMPUTED_VALUE"""),"")</f>
        <v/>
      </c>
      <c r="J482" s="36" t="str">
        <f ca="1">IFERROR(__xludf.DUMMYFUNCTION("""COMPUTED_VALUE"""),"")</f>
        <v/>
      </c>
      <c r="K482" s="36" t="str">
        <f ca="1">IFERROR(__xludf.DUMMYFUNCTION("""COMPUTED_VALUE"""),"")</f>
        <v/>
      </c>
      <c r="L482" s="36" t="str">
        <f ca="1">IFERROR(__xludf.DUMMYFUNCTION("""COMPUTED_VALUE"""),"")</f>
        <v/>
      </c>
      <c r="M482" s="36" t="str">
        <f ca="1">IFERROR(__xludf.DUMMYFUNCTION("""COMPUTED_VALUE"""),"")</f>
        <v/>
      </c>
      <c r="N482" s="36" t="str">
        <f ca="1">IFERROR(__xludf.DUMMYFUNCTION("""COMPUTED_VALUE"""),"")</f>
        <v/>
      </c>
      <c r="O482" s="36" t="str">
        <f ca="1">IFERROR(__xludf.DUMMYFUNCTION("""COMPUTED_VALUE"""),"")</f>
        <v/>
      </c>
      <c r="P482" s="36" t="str">
        <f ca="1">IFERROR(__xludf.DUMMYFUNCTION("""COMPUTED_VALUE"""),"")</f>
        <v/>
      </c>
      <c r="Q482" s="36" t="str">
        <f ca="1">IFERROR(__xludf.DUMMYFUNCTION("""COMPUTED_VALUE"""),"")</f>
        <v/>
      </c>
      <c r="R482" s="36" t="str">
        <f ca="1">IFERROR(__xludf.DUMMYFUNCTION("""COMPUTED_VALUE"""),"")</f>
        <v/>
      </c>
      <c r="S482" s="36" t="str">
        <f ca="1">IFERROR(__xludf.DUMMYFUNCTION("""COMPUTED_VALUE"""),"")</f>
        <v/>
      </c>
      <c r="T482" s="36" t="str">
        <f ca="1">IFERROR(__xludf.DUMMYFUNCTION("""COMPUTED_VALUE"""),"")</f>
        <v/>
      </c>
      <c r="U482" s="36" t="str">
        <f ca="1">IFERROR(__xludf.DUMMYFUNCTION("""COMPUTED_VALUE"""),"")</f>
        <v/>
      </c>
      <c r="V482" s="36" t="str">
        <f ca="1">IFERROR(__xludf.DUMMYFUNCTION("""COMPUTED_VALUE"""),"")</f>
        <v/>
      </c>
      <c r="W482" s="36" t="str">
        <f ca="1">IFERROR(__xludf.DUMMYFUNCTION("""COMPUTED_VALUE"""),"")</f>
        <v/>
      </c>
      <c r="X482" s="36"/>
      <c r="Y482" s="36"/>
      <c r="Z482" s="36"/>
    </row>
    <row r="483" spans="1:26" ht="12.75" hidden="1">
      <c r="A483" s="36" t="str">
        <f ca="1">IFERROR(__xludf.DUMMYFUNCTION("""COMPUTED_VALUE"""),"")</f>
        <v/>
      </c>
      <c r="B483" s="36" t="str">
        <f ca="1">IFERROR(__xludf.DUMMYFUNCTION("""COMPUTED_VALUE"""),"")</f>
        <v/>
      </c>
      <c r="C483" s="36" t="str">
        <f ca="1">IFERROR(__xludf.DUMMYFUNCTION("""COMPUTED_VALUE"""),"")</f>
        <v/>
      </c>
      <c r="D483" s="36" t="str">
        <f ca="1">IFERROR(__xludf.DUMMYFUNCTION("""COMPUTED_VALUE"""),"")</f>
        <v/>
      </c>
      <c r="E483" s="36" t="str">
        <f ca="1">IFERROR(__xludf.DUMMYFUNCTION("""COMPUTED_VALUE"""),"")</f>
        <v/>
      </c>
      <c r="F483" s="36" t="str">
        <f ca="1">IFERROR(__xludf.DUMMYFUNCTION("""COMPUTED_VALUE"""),"")</f>
        <v/>
      </c>
      <c r="G483" s="36" t="str">
        <f ca="1">IFERROR(__xludf.DUMMYFUNCTION("""COMPUTED_VALUE"""),"")</f>
        <v/>
      </c>
      <c r="H483" s="36" t="str">
        <f ca="1">IFERROR(__xludf.DUMMYFUNCTION("""COMPUTED_VALUE"""),"")</f>
        <v/>
      </c>
      <c r="I483" s="36" t="str">
        <f ca="1">IFERROR(__xludf.DUMMYFUNCTION("""COMPUTED_VALUE"""),"")</f>
        <v/>
      </c>
      <c r="J483" s="36" t="str">
        <f ca="1">IFERROR(__xludf.DUMMYFUNCTION("""COMPUTED_VALUE"""),"")</f>
        <v/>
      </c>
      <c r="K483" s="36" t="str">
        <f ca="1">IFERROR(__xludf.DUMMYFUNCTION("""COMPUTED_VALUE"""),"")</f>
        <v/>
      </c>
      <c r="L483" s="36" t="str">
        <f ca="1">IFERROR(__xludf.DUMMYFUNCTION("""COMPUTED_VALUE"""),"")</f>
        <v/>
      </c>
      <c r="M483" s="36" t="str">
        <f ca="1">IFERROR(__xludf.DUMMYFUNCTION("""COMPUTED_VALUE"""),"")</f>
        <v/>
      </c>
      <c r="N483" s="36" t="str">
        <f ca="1">IFERROR(__xludf.DUMMYFUNCTION("""COMPUTED_VALUE"""),"")</f>
        <v/>
      </c>
      <c r="O483" s="36" t="str">
        <f ca="1">IFERROR(__xludf.DUMMYFUNCTION("""COMPUTED_VALUE"""),"")</f>
        <v/>
      </c>
      <c r="P483" s="36" t="str">
        <f ca="1">IFERROR(__xludf.DUMMYFUNCTION("""COMPUTED_VALUE"""),"")</f>
        <v/>
      </c>
      <c r="Q483" s="36" t="str">
        <f ca="1">IFERROR(__xludf.DUMMYFUNCTION("""COMPUTED_VALUE"""),"")</f>
        <v/>
      </c>
      <c r="R483" s="36" t="str">
        <f ca="1">IFERROR(__xludf.DUMMYFUNCTION("""COMPUTED_VALUE"""),"")</f>
        <v/>
      </c>
      <c r="S483" s="36" t="str">
        <f ca="1">IFERROR(__xludf.DUMMYFUNCTION("""COMPUTED_VALUE"""),"")</f>
        <v/>
      </c>
      <c r="T483" s="36" t="str">
        <f ca="1">IFERROR(__xludf.DUMMYFUNCTION("""COMPUTED_VALUE"""),"")</f>
        <v/>
      </c>
      <c r="U483" s="36" t="str">
        <f ca="1">IFERROR(__xludf.DUMMYFUNCTION("""COMPUTED_VALUE"""),"")</f>
        <v/>
      </c>
      <c r="V483" s="36" t="str">
        <f ca="1">IFERROR(__xludf.DUMMYFUNCTION("""COMPUTED_VALUE"""),"")</f>
        <v/>
      </c>
      <c r="W483" s="36" t="str">
        <f ca="1">IFERROR(__xludf.DUMMYFUNCTION("""COMPUTED_VALUE"""),"")</f>
        <v/>
      </c>
      <c r="X483" s="36"/>
      <c r="Y483" s="36"/>
      <c r="Z483" s="36"/>
    </row>
    <row r="484" spans="1:26" ht="12.75" hidden="1">
      <c r="A484" s="36" t="str">
        <f ca="1">IFERROR(__xludf.DUMMYFUNCTION("""COMPUTED_VALUE"""),"")</f>
        <v/>
      </c>
      <c r="B484" s="36" t="str">
        <f ca="1">IFERROR(__xludf.DUMMYFUNCTION("""COMPUTED_VALUE"""),"")</f>
        <v/>
      </c>
      <c r="C484" s="36" t="str">
        <f ca="1">IFERROR(__xludf.DUMMYFUNCTION("""COMPUTED_VALUE"""),"")</f>
        <v/>
      </c>
      <c r="D484" s="36" t="str">
        <f ca="1">IFERROR(__xludf.DUMMYFUNCTION("""COMPUTED_VALUE"""),"")</f>
        <v/>
      </c>
      <c r="E484" s="36" t="str">
        <f ca="1">IFERROR(__xludf.DUMMYFUNCTION("""COMPUTED_VALUE"""),"")</f>
        <v/>
      </c>
      <c r="F484" s="36" t="str">
        <f ca="1">IFERROR(__xludf.DUMMYFUNCTION("""COMPUTED_VALUE"""),"")</f>
        <v/>
      </c>
      <c r="G484" s="36" t="str">
        <f ca="1">IFERROR(__xludf.DUMMYFUNCTION("""COMPUTED_VALUE"""),"")</f>
        <v/>
      </c>
      <c r="H484" s="36" t="str">
        <f ca="1">IFERROR(__xludf.DUMMYFUNCTION("""COMPUTED_VALUE"""),"")</f>
        <v/>
      </c>
      <c r="I484" s="36" t="str">
        <f ca="1">IFERROR(__xludf.DUMMYFUNCTION("""COMPUTED_VALUE"""),"")</f>
        <v/>
      </c>
      <c r="J484" s="36" t="str">
        <f ca="1">IFERROR(__xludf.DUMMYFUNCTION("""COMPUTED_VALUE"""),"")</f>
        <v/>
      </c>
      <c r="K484" s="36" t="str">
        <f ca="1">IFERROR(__xludf.DUMMYFUNCTION("""COMPUTED_VALUE"""),"")</f>
        <v/>
      </c>
      <c r="L484" s="36" t="str">
        <f ca="1">IFERROR(__xludf.DUMMYFUNCTION("""COMPUTED_VALUE"""),"")</f>
        <v/>
      </c>
      <c r="M484" s="36" t="str">
        <f ca="1">IFERROR(__xludf.DUMMYFUNCTION("""COMPUTED_VALUE"""),"")</f>
        <v/>
      </c>
      <c r="N484" s="36" t="str">
        <f ca="1">IFERROR(__xludf.DUMMYFUNCTION("""COMPUTED_VALUE"""),"")</f>
        <v/>
      </c>
      <c r="O484" s="36" t="str">
        <f ca="1">IFERROR(__xludf.DUMMYFUNCTION("""COMPUTED_VALUE"""),"")</f>
        <v/>
      </c>
      <c r="P484" s="36" t="str">
        <f ca="1">IFERROR(__xludf.DUMMYFUNCTION("""COMPUTED_VALUE"""),"")</f>
        <v/>
      </c>
      <c r="Q484" s="36" t="str">
        <f ca="1">IFERROR(__xludf.DUMMYFUNCTION("""COMPUTED_VALUE"""),"")</f>
        <v/>
      </c>
      <c r="R484" s="36" t="str">
        <f ca="1">IFERROR(__xludf.DUMMYFUNCTION("""COMPUTED_VALUE"""),"")</f>
        <v/>
      </c>
      <c r="S484" s="36" t="str">
        <f ca="1">IFERROR(__xludf.DUMMYFUNCTION("""COMPUTED_VALUE"""),"")</f>
        <v/>
      </c>
      <c r="T484" s="36" t="str">
        <f ca="1">IFERROR(__xludf.DUMMYFUNCTION("""COMPUTED_VALUE"""),"")</f>
        <v/>
      </c>
      <c r="U484" s="36" t="str">
        <f ca="1">IFERROR(__xludf.DUMMYFUNCTION("""COMPUTED_VALUE"""),"")</f>
        <v/>
      </c>
      <c r="V484" s="36" t="str">
        <f ca="1">IFERROR(__xludf.DUMMYFUNCTION("""COMPUTED_VALUE"""),"")</f>
        <v/>
      </c>
      <c r="W484" s="36" t="str">
        <f ca="1">IFERROR(__xludf.DUMMYFUNCTION("""COMPUTED_VALUE"""),"")</f>
        <v/>
      </c>
      <c r="X484" s="36"/>
      <c r="Y484" s="36"/>
      <c r="Z484" s="36"/>
    </row>
    <row r="485" spans="1:26" ht="12.75" hidden="1">
      <c r="A485" s="36" t="str">
        <f ca="1">IFERROR(__xludf.DUMMYFUNCTION("""COMPUTED_VALUE"""),"")</f>
        <v/>
      </c>
      <c r="B485" s="36" t="str">
        <f ca="1">IFERROR(__xludf.DUMMYFUNCTION("""COMPUTED_VALUE"""),"")</f>
        <v/>
      </c>
      <c r="C485" s="36" t="str">
        <f ca="1">IFERROR(__xludf.DUMMYFUNCTION("""COMPUTED_VALUE"""),"")</f>
        <v/>
      </c>
      <c r="D485" s="36" t="str">
        <f ca="1">IFERROR(__xludf.DUMMYFUNCTION("""COMPUTED_VALUE"""),"")</f>
        <v/>
      </c>
      <c r="E485" s="36" t="str">
        <f ca="1">IFERROR(__xludf.DUMMYFUNCTION("""COMPUTED_VALUE"""),"")</f>
        <v/>
      </c>
      <c r="F485" s="36" t="str">
        <f ca="1">IFERROR(__xludf.DUMMYFUNCTION("""COMPUTED_VALUE"""),"")</f>
        <v/>
      </c>
      <c r="G485" s="36" t="str">
        <f ca="1">IFERROR(__xludf.DUMMYFUNCTION("""COMPUTED_VALUE"""),"")</f>
        <v/>
      </c>
      <c r="H485" s="36" t="str">
        <f ca="1">IFERROR(__xludf.DUMMYFUNCTION("""COMPUTED_VALUE"""),"")</f>
        <v/>
      </c>
      <c r="I485" s="36" t="str">
        <f ca="1">IFERROR(__xludf.DUMMYFUNCTION("""COMPUTED_VALUE"""),"")</f>
        <v/>
      </c>
      <c r="J485" s="36" t="str">
        <f ca="1">IFERROR(__xludf.DUMMYFUNCTION("""COMPUTED_VALUE"""),"")</f>
        <v/>
      </c>
      <c r="K485" s="36" t="str">
        <f ca="1">IFERROR(__xludf.DUMMYFUNCTION("""COMPUTED_VALUE"""),"")</f>
        <v/>
      </c>
      <c r="L485" s="36" t="str">
        <f ca="1">IFERROR(__xludf.DUMMYFUNCTION("""COMPUTED_VALUE"""),"")</f>
        <v/>
      </c>
      <c r="M485" s="36" t="str">
        <f ca="1">IFERROR(__xludf.DUMMYFUNCTION("""COMPUTED_VALUE"""),"")</f>
        <v/>
      </c>
      <c r="N485" s="36" t="str">
        <f ca="1">IFERROR(__xludf.DUMMYFUNCTION("""COMPUTED_VALUE"""),"")</f>
        <v/>
      </c>
      <c r="O485" s="36" t="str">
        <f ca="1">IFERROR(__xludf.DUMMYFUNCTION("""COMPUTED_VALUE"""),"")</f>
        <v/>
      </c>
      <c r="P485" s="36" t="str">
        <f ca="1">IFERROR(__xludf.DUMMYFUNCTION("""COMPUTED_VALUE"""),"")</f>
        <v/>
      </c>
      <c r="Q485" s="36" t="str">
        <f ca="1">IFERROR(__xludf.DUMMYFUNCTION("""COMPUTED_VALUE"""),"")</f>
        <v/>
      </c>
      <c r="R485" s="36" t="str">
        <f ca="1">IFERROR(__xludf.DUMMYFUNCTION("""COMPUTED_VALUE"""),"")</f>
        <v/>
      </c>
      <c r="S485" s="36" t="str">
        <f ca="1">IFERROR(__xludf.DUMMYFUNCTION("""COMPUTED_VALUE"""),"")</f>
        <v/>
      </c>
      <c r="T485" s="36" t="str">
        <f ca="1">IFERROR(__xludf.DUMMYFUNCTION("""COMPUTED_VALUE"""),"")</f>
        <v/>
      </c>
      <c r="U485" s="36" t="str">
        <f ca="1">IFERROR(__xludf.DUMMYFUNCTION("""COMPUTED_VALUE"""),"")</f>
        <v/>
      </c>
      <c r="V485" s="36" t="str">
        <f ca="1">IFERROR(__xludf.DUMMYFUNCTION("""COMPUTED_VALUE"""),"")</f>
        <v/>
      </c>
      <c r="W485" s="36" t="str">
        <f ca="1">IFERROR(__xludf.DUMMYFUNCTION("""COMPUTED_VALUE"""),"")</f>
        <v/>
      </c>
      <c r="X485" s="36"/>
      <c r="Y485" s="36"/>
      <c r="Z485" s="36"/>
    </row>
    <row r="486" spans="1:26" ht="12.75" hidden="1">
      <c r="A486" s="36" t="str">
        <f ca="1">IFERROR(__xludf.DUMMYFUNCTION("""COMPUTED_VALUE"""),"")</f>
        <v/>
      </c>
      <c r="B486" s="36" t="str">
        <f ca="1">IFERROR(__xludf.DUMMYFUNCTION("""COMPUTED_VALUE"""),"")</f>
        <v/>
      </c>
      <c r="C486" s="36" t="str">
        <f ca="1">IFERROR(__xludf.DUMMYFUNCTION("""COMPUTED_VALUE"""),"")</f>
        <v/>
      </c>
      <c r="D486" s="36" t="str">
        <f ca="1">IFERROR(__xludf.DUMMYFUNCTION("""COMPUTED_VALUE"""),"")</f>
        <v/>
      </c>
      <c r="E486" s="36" t="str">
        <f ca="1">IFERROR(__xludf.DUMMYFUNCTION("""COMPUTED_VALUE"""),"")</f>
        <v/>
      </c>
      <c r="F486" s="36" t="str">
        <f ca="1">IFERROR(__xludf.DUMMYFUNCTION("""COMPUTED_VALUE"""),"")</f>
        <v/>
      </c>
      <c r="G486" s="36" t="str">
        <f ca="1">IFERROR(__xludf.DUMMYFUNCTION("""COMPUTED_VALUE"""),"")</f>
        <v/>
      </c>
      <c r="H486" s="36" t="str">
        <f ca="1">IFERROR(__xludf.DUMMYFUNCTION("""COMPUTED_VALUE"""),"")</f>
        <v/>
      </c>
      <c r="I486" s="36" t="str">
        <f ca="1">IFERROR(__xludf.DUMMYFUNCTION("""COMPUTED_VALUE"""),"")</f>
        <v/>
      </c>
      <c r="J486" s="36" t="str">
        <f ca="1">IFERROR(__xludf.DUMMYFUNCTION("""COMPUTED_VALUE"""),"")</f>
        <v/>
      </c>
      <c r="K486" s="36" t="str">
        <f ca="1">IFERROR(__xludf.DUMMYFUNCTION("""COMPUTED_VALUE"""),"")</f>
        <v/>
      </c>
      <c r="L486" s="36" t="str">
        <f ca="1">IFERROR(__xludf.DUMMYFUNCTION("""COMPUTED_VALUE"""),"")</f>
        <v/>
      </c>
      <c r="M486" s="36" t="str">
        <f ca="1">IFERROR(__xludf.DUMMYFUNCTION("""COMPUTED_VALUE"""),"")</f>
        <v/>
      </c>
      <c r="N486" s="36" t="str">
        <f ca="1">IFERROR(__xludf.DUMMYFUNCTION("""COMPUTED_VALUE"""),"")</f>
        <v/>
      </c>
      <c r="O486" s="36" t="str">
        <f ca="1">IFERROR(__xludf.DUMMYFUNCTION("""COMPUTED_VALUE"""),"")</f>
        <v/>
      </c>
      <c r="P486" s="36" t="str">
        <f ca="1">IFERROR(__xludf.DUMMYFUNCTION("""COMPUTED_VALUE"""),"")</f>
        <v/>
      </c>
      <c r="Q486" s="36" t="str">
        <f ca="1">IFERROR(__xludf.DUMMYFUNCTION("""COMPUTED_VALUE"""),"")</f>
        <v/>
      </c>
      <c r="R486" s="36" t="str">
        <f ca="1">IFERROR(__xludf.DUMMYFUNCTION("""COMPUTED_VALUE"""),"")</f>
        <v/>
      </c>
      <c r="S486" s="36" t="str">
        <f ca="1">IFERROR(__xludf.DUMMYFUNCTION("""COMPUTED_VALUE"""),"")</f>
        <v/>
      </c>
      <c r="T486" s="36" t="str">
        <f ca="1">IFERROR(__xludf.DUMMYFUNCTION("""COMPUTED_VALUE"""),"")</f>
        <v/>
      </c>
      <c r="U486" s="36" t="str">
        <f ca="1">IFERROR(__xludf.DUMMYFUNCTION("""COMPUTED_VALUE"""),"")</f>
        <v/>
      </c>
      <c r="V486" s="36" t="str">
        <f ca="1">IFERROR(__xludf.DUMMYFUNCTION("""COMPUTED_VALUE"""),"")</f>
        <v/>
      </c>
      <c r="W486" s="36" t="str">
        <f ca="1">IFERROR(__xludf.DUMMYFUNCTION("""COMPUTED_VALUE"""),"")</f>
        <v/>
      </c>
      <c r="X486" s="36"/>
      <c r="Y486" s="36"/>
      <c r="Z486" s="36"/>
    </row>
    <row r="487" spans="1:26" ht="12.75" hidden="1">
      <c r="A487" s="36" t="str">
        <f ca="1">IFERROR(__xludf.DUMMYFUNCTION("""COMPUTED_VALUE"""),"")</f>
        <v/>
      </c>
      <c r="B487" s="36" t="str">
        <f ca="1">IFERROR(__xludf.DUMMYFUNCTION("""COMPUTED_VALUE"""),"")</f>
        <v/>
      </c>
      <c r="C487" s="36" t="str">
        <f ca="1">IFERROR(__xludf.DUMMYFUNCTION("""COMPUTED_VALUE"""),"")</f>
        <v/>
      </c>
      <c r="D487" s="36" t="str">
        <f ca="1">IFERROR(__xludf.DUMMYFUNCTION("""COMPUTED_VALUE"""),"")</f>
        <v/>
      </c>
      <c r="E487" s="36" t="str">
        <f ca="1">IFERROR(__xludf.DUMMYFUNCTION("""COMPUTED_VALUE"""),"")</f>
        <v/>
      </c>
      <c r="F487" s="36" t="str">
        <f ca="1">IFERROR(__xludf.DUMMYFUNCTION("""COMPUTED_VALUE"""),"")</f>
        <v/>
      </c>
      <c r="G487" s="36" t="str">
        <f ca="1">IFERROR(__xludf.DUMMYFUNCTION("""COMPUTED_VALUE"""),"")</f>
        <v/>
      </c>
      <c r="H487" s="36" t="str">
        <f ca="1">IFERROR(__xludf.DUMMYFUNCTION("""COMPUTED_VALUE"""),"")</f>
        <v/>
      </c>
      <c r="I487" s="36" t="str">
        <f ca="1">IFERROR(__xludf.DUMMYFUNCTION("""COMPUTED_VALUE"""),"")</f>
        <v/>
      </c>
      <c r="J487" s="36" t="str">
        <f ca="1">IFERROR(__xludf.DUMMYFUNCTION("""COMPUTED_VALUE"""),"")</f>
        <v/>
      </c>
      <c r="K487" s="36" t="str">
        <f ca="1">IFERROR(__xludf.DUMMYFUNCTION("""COMPUTED_VALUE"""),"")</f>
        <v/>
      </c>
      <c r="L487" s="36" t="str">
        <f ca="1">IFERROR(__xludf.DUMMYFUNCTION("""COMPUTED_VALUE"""),"")</f>
        <v/>
      </c>
      <c r="M487" s="36" t="str">
        <f ca="1">IFERROR(__xludf.DUMMYFUNCTION("""COMPUTED_VALUE"""),"")</f>
        <v/>
      </c>
      <c r="N487" s="36" t="str">
        <f ca="1">IFERROR(__xludf.DUMMYFUNCTION("""COMPUTED_VALUE"""),"")</f>
        <v/>
      </c>
      <c r="O487" s="36" t="str">
        <f ca="1">IFERROR(__xludf.DUMMYFUNCTION("""COMPUTED_VALUE"""),"")</f>
        <v/>
      </c>
      <c r="P487" s="36" t="str">
        <f ca="1">IFERROR(__xludf.DUMMYFUNCTION("""COMPUTED_VALUE"""),"")</f>
        <v/>
      </c>
      <c r="Q487" s="36" t="str">
        <f ca="1">IFERROR(__xludf.DUMMYFUNCTION("""COMPUTED_VALUE"""),"")</f>
        <v/>
      </c>
      <c r="R487" s="36" t="str">
        <f ca="1">IFERROR(__xludf.DUMMYFUNCTION("""COMPUTED_VALUE"""),"")</f>
        <v/>
      </c>
      <c r="S487" s="36" t="str">
        <f ca="1">IFERROR(__xludf.DUMMYFUNCTION("""COMPUTED_VALUE"""),"")</f>
        <v/>
      </c>
      <c r="T487" s="36" t="str">
        <f ca="1">IFERROR(__xludf.DUMMYFUNCTION("""COMPUTED_VALUE"""),"")</f>
        <v/>
      </c>
      <c r="U487" s="36" t="str">
        <f ca="1">IFERROR(__xludf.DUMMYFUNCTION("""COMPUTED_VALUE"""),"")</f>
        <v/>
      </c>
      <c r="V487" s="36" t="str">
        <f ca="1">IFERROR(__xludf.DUMMYFUNCTION("""COMPUTED_VALUE"""),"")</f>
        <v/>
      </c>
      <c r="W487" s="36" t="str">
        <f ca="1">IFERROR(__xludf.DUMMYFUNCTION("""COMPUTED_VALUE"""),"")</f>
        <v/>
      </c>
      <c r="X487" s="36"/>
      <c r="Y487" s="36"/>
      <c r="Z487" s="36"/>
    </row>
    <row r="488" spans="1:26" ht="12.75" hidden="1">
      <c r="A488" s="36" t="str">
        <f ca="1">IFERROR(__xludf.DUMMYFUNCTION("""COMPUTED_VALUE"""),"")</f>
        <v/>
      </c>
      <c r="B488" s="36" t="str">
        <f ca="1">IFERROR(__xludf.DUMMYFUNCTION("""COMPUTED_VALUE"""),"")</f>
        <v/>
      </c>
      <c r="C488" s="36" t="str">
        <f ca="1">IFERROR(__xludf.DUMMYFUNCTION("""COMPUTED_VALUE"""),"")</f>
        <v/>
      </c>
      <c r="D488" s="36" t="str">
        <f ca="1">IFERROR(__xludf.DUMMYFUNCTION("""COMPUTED_VALUE"""),"")</f>
        <v/>
      </c>
      <c r="E488" s="36" t="str">
        <f ca="1">IFERROR(__xludf.DUMMYFUNCTION("""COMPUTED_VALUE"""),"")</f>
        <v/>
      </c>
      <c r="F488" s="36" t="str">
        <f ca="1">IFERROR(__xludf.DUMMYFUNCTION("""COMPUTED_VALUE"""),"")</f>
        <v/>
      </c>
      <c r="G488" s="36" t="str">
        <f ca="1">IFERROR(__xludf.DUMMYFUNCTION("""COMPUTED_VALUE"""),"")</f>
        <v/>
      </c>
      <c r="H488" s="36" t="str">
        <f ca="1">IFERROR(__xludf.DUMMYFUNCTION("""COMPUTED_VALUE"""),"")</f>
        <v/>
      </c>
      <c r="I488" s="36" t="str">
        <f ca="1">IFERROR(__xludf.DUMMYFUNCTION("""COMPUTED_VALUE"""),"")</f>
        <v/>
      </c>
      <c r="J488" s="36" t="str">
        <f ca="1">IFERROR(__xludf.DUMMYFUNCTION("""COMPUTED_VALUE"""),"")</f>
        <v/>
      </c>
      <c r="K488" s="36" t="str">
        <f ca="1">IFERROR(__xludf.DUMMYFUNCTION("""COMPUTED_VALUE"""),"")</f>
        <v/>
      </c>
      <c r="L488" s="36" t="str">
        <f ca="1">IFERROR(__xludf.DUMMYFUNCTION("""COMPUTED_VALUE"""),"")</f>
        <v/>
      </c>
      <c r="M488" s="36" t="str">
        <f ca="1">IFERROR(__xludf.DUMMYFUNCTION("""COMPUTED_VALUE"""),"")</f>
        <v/>
      </c>
      <c r="N488" s="36" t="str">
        <f ca="1">IFERROR(__xludf.DUMMYFUNCTION("""COMPUTED_VALUE"""),"")</f>
        <v/>
      </c>
      <c r="O488" s="36" t="str">
        <f ca="1">IFERROR(__xludf.DUMMYFUNCTION("""COMPUTED_VALUE"""),"")</f>
        <v/>
      </c>
      <c r="P488" s="36" t="str">
        <f ca="1">IFERROR(__xludf.DUMMYFUNCTION("""COMPUTED_VALUE"""),"")</f>
        <v/>
      </c>
      <c r="Q488" s="36" t="str">
        <f ca="1">IFERROR(__xludf.DUMMYFUNCTION("""COMPUTED_VALUE"""),"")</f>
        <v/>
      </c>
      <c r="R488" s="36" t="str">
        <f ca="1">IFERROR(__xludf.DUMMYFUNCTION("""COMPUTED_VALUE"""),"")</f>
        <v/>
      </c>
      <c r="S488" s="36" t="str">
        <f ca="1">IFERROR(__xludf.DUMMYFUNCTION("""COMPUTED_VALUE"""),"")</f>
        <v/>
      </c>
      <c r="T488" s="36" t="str">
        <f ca="1">IFERROR(__xludf.DUMMYFUNCTION("""COMPUTED_VALUE"""),"")</f>
        <v/>
      </c>
      <c r="U488" s="36" t="str">
        <f ca="1">IFERROR(__xludf.DUMMYFUNCTION("""COMPUTED_VALUE"""),"")</f>
        <v/>
      </c>
      <c r="V488" s="36" t="str">
        <f ca="1">IFERROR(__xludf.DUMMYFUNCTION("""COMPUTED_VALUE"""),"")</f>
        <v/>
      </c>
      <c r="W488" s="36" t="str">
        <f ca="1">IFERROR(__xludf.DUMMYFUNCTION("""COMPUTED_VALUE"""),"")</f>
        <v/>
      </c>
      <c r="X488" s="36"/>
      <c r="Y488" s="36"/>
      <c r="Z488" s="36"/>
    </row>
    <row r="489" spans="1:26" ht="12.75" hidden="1">
      <c r="A489" s="36" t="str">
        <f ca="1">IFERROR(__xludf.DUMMYFUNCTION("""COMPUTED_VALUE"""),"")</f>
        <v/>
      </c>
      <c r="B489" s="36" t="str">
        <f ca="1">IFERROR(__xludf.DUMMYFUNCTION("""COMPUTED_VALUE"""),"")</f>
        <v/>
      </c>
      <c r="C489" s="36" t="str">
        <f ca="1">IFERROR(__xludf.DUMMYFUNCTION("""COMPUTED_VALUE"""),"")</f>
        <v/>
      </c>
      <c r="D489" s="36" t="str">
        <f ca="1">IFERROR(__xludf.DUMMYFUNCTION("""COMPUTED_VALUE"""),"")</f>
        <v/>
      </c>
      <c r="E489" s="36" t="str">
        <f ca="1">IFERROR(__xludf.DUMMYFUNCTION("""COMPUTED_VALUE"""),"")</f>
        <v/>
      </c>
      <c r="F489" s="36" t="str">
        <f ca="1">IFERROR(__xludf.DUMMYFUNCTION("""COMPUTED_VALUE"""),"")</f>
        <v/>
      </c>
      <c r="G489" s="36" t="str">
        <f ca="1">IFERROR(__xludf.DUMMYFUNCTION("""COMPUTED_VALUE"""),"")</f>
        <v/>
      </c>
      <c r="H489" s="36" t="str">
        <f ca="1">IFERROR(__xludf.DUMMYFUNCTION("""COMPUTED_VALUE"""),"")</f>
        <v/>
      </c>
      <c r="I489" s="36" t="str">
        <f ca="1">IFERROR(__xludf.DUMMYFUNCTION("""COMPUTED_VALUE"""),"")</f>
        <v/>
      </c>
      <c r="J489" s="36" t="str">
        <f ca="1">IFERROR(__xludf.DUMMYFUNCTION("""COMPUTED_VALUE"""),"")</f>
        <v/>
      </c>
      <c r="K489" s="36" t="str">
        <f ca="1">IFERROR(__xludf.DUMMYFUNCTION("""COMPUTED_VALUE"""),"")</f>
        <v/>
      </c>
      <c r="L489" s="36" t="str">
        <f ca="1">IFERROR(__xludf.DUMMYFUNCTION("""COMPUTED_VALUE"""),"")</f>
        <v/>
      </c>
      <c r="M489" s="36" t="str">
        <f ca="1">IFERROR(__xludf.DUMMYFUNCTION("""COMPUTED_VALUE"""),"")</f>
        <v/>
      </c>
      <c r="N489" s="36" t="str">
        <f ca="1">IFERROR(__xludf.DUMMYFUNCTION("""COMPUTED_VALUE"""),"")</f>
        <v/>
      </c>
      <c r="O489" s="36" t="str">
        <f ca="1">IFERROR(__xludf.DUMMYFUNCTION("""COMPUTED_VALUE"""),"")</f>
        <v/>
      </c>
      <c r="P489" s="36" t="str">
        <f ca="1">IFERROR(__xludf.DUMMYFUNCTION("""COMPUTED_VALUE"""),"")</f>
        <v/>
      </c>
      <c r="Q489" s="36" t="str">
        <f ca="1">IFERROR(__xludf.DUMMYFUNCTION("""COMPUTED_VALUE"""),"")</f>
        <v/>
      </c>
      <c r="R489" s="36" t="str">
        <f ca="1">IFERROR(__xludf.DUMMYFUNCTION("""COMPUTED_VALUE"""),"")</f>
        <v/>
      </c>
      <c r="S489" s="36" t="str">
        <f ca="1">IFERROR(__xludf.DUMMYFUNCTION("""COMPUTED_VALUE"""),"")</f>
        <v/>
      </c>
      <c r="T489" s="36" t="str">
        <f ca="1">IFERROR(__xludf.DUMMYFUNCTION("""COMPUTED_VALUE"""),"")</f>
        <v/>
      </c>
      <c r="U489" s="36" t="str">
        <f ca="1">IFERROR(__xludf.DUMMYFUNCTION("""COMPUTED_VALUE"""),"")</f>
        <v/>
      </c>
      <c r="V489" s="36" t="str">
        <f ca="1">IFERROR(__xludf.DUMMYFUNCTION("""COMPUTED_VALUE"""),"")</f>
        <v/>
      </c>
      <c r="W489" s="36" t="str">
        <f ca="1">IFERROR(__xludf.DUMMYFUNCTION("""COMPUTED_VALUE"""),"")</f>
        <v/>
      </c>
      <c r="X489" s="36"/>
      <c r="Y489" s="36"/>
      <c r="Z489" s="36"/>
    </row>
    <row r="490" spans="1:26" ht="12.75" hidden="1">
      <c r="A490" s="36" t="str">
        <f ca="1">IFERROR(__xludf.DUMMYFUNCTION("""COMPUTED_VALUE"""),"")</f>
        <v/>
      </c>
      <c r="B490" s="36" t="str">
        <f ca="1">IFERROR(__xludf.DUMMYFUNCTION("""COMPUTED_VALUE"""),"")</f>
        <v/>
      </c>
      <c r="C490" s="36" t="str">
        <f ca="1">IFERROR(__xludf.DUMMYFUNCTION("""COMPUTED_VALUE"""),"")</f>
        <v/>
      </c>
      <c r="D490" s="36" t="str">
        <f ca="1">IFERROR(__xludf.DUMMYFUNCTION("""COMPUTED_VALUE"""),"")</f>
        <v/>
      </c>
      <c r="E490" s="36" t="str">
        <f ca="1">IFERROR(__xludf.DUMMYFUNCTION("""COMPUTED_VALUE"""),"")</f>
        <v/>
      </c>
      <c r="F490" s="36" t="str">
        <f ca="1">IFERROR(__xludf.DUMMYFUNCTION("""COMPUTED_VALUE"""),"")</f>
        <v/>
      </c>
      <c r="G490" s="36" t="str">
        <f ca="1">IFERROR(__xludf.DUMMYFUNCTION("""COMPUTED_VALUE"""),"")</f>
        <v/>
      </c>
      <c r="H490" s="36" t="str">
        <f ca="1">IFERROR(__xludf.DUMMYFUNCTION("""COMPUTED_VALUE"""),"")</f>
        <v/>
      </c>
      <c r="I490" s="36" t="str">
        <f ca="1">IFERROR(__xludf.DUMMYFUNCTION("""COMPUTED_VALUE"""),"")</f>
        <v/>
      </c>
      <c r="J490" s="36" t="str">
        <f ca="1">IFERROR(__xludf.DUMMYFUNCTION("""COMPUTED_VALUE"""),"")</f>
        <v/>
      </c>
      <c r="K490" s="36" t="str">
        <f ca="1">IFERROR(__xludf.DUMMYFUNCTION("""COMPUTED_VALUE"""),"")</f>
        <v/>
      </c>
      <c r="L490" s="36" t="str">
        <f ca="1">IFERROR(__xludf.DUMMYFUNCTION("""COMPUTED_VALUE"""),"")</f>
        <v/>
      </c>
      <c r="M490" s="36" t="str">
        <f ca="1">IFERROR(__xludf.DUMMYFUNCTION("""COMPUTED_VALUE"""),"")</f>
        <v/>
      </c>
      <c r="N490" s="36" t="str">
        <f ca="1">IFERROR(__xludf.DUMMYFUNCTION("""COMPUTED_VALUE"""),"")</f>
        <v/>
      </c>
      <c r="O490" s="36" t="str">
        <f ca="1">IFERROR(__xludf.DUMMYFUNCTION("""COMPUTED_VALUE"""),"")</f>
        <v/>
      </c>
      <c r="P490" s="36" t="str">
        <f ca="1">IFERROR(__xludf.DUMMYFUNCTION("""COMPUTED_VALUE"""),"")</f>
        <v/>
      </c>
      <c r="Q490" s="36" t="str">
        <f ca="1">IFERROR(__xludf.DUMMYFUNCTION("""COMPUTED_VALUE"""),"")</f>
        <v/>
      </c>
      <c r="R490" s="36" t="str">
        <f ca="1">IFERROR(__xludf.DUMMYFUNCTION("""COMPUTED_VALUE"""),"")</f>
        <v/>
      </c>
      <c r="S490" s="36" t="str">
        <f ca="1">IFERROR(__xludf.DUMMYFUNCTION("""COMPUTED_VALUE"""),"")</f>
        <v/>
      </c>
      <c r="T490" s="36" t="str">
        <f ca="1">IFERROR(__xludf.DUMMYFUNCTION("""COMPUTED_VALUE"""),"")</f>
        <v/>
      </c>
      <c r="U490" s="36" t="str">
        <f ca="1">IFERROR(__xludf.DUMMYFUNCTION("""COMPUTED_VALUE"""),"")</f>
        <v/>
      </c>
      <c r="V490" s="36" t="str">
        <f ca="1">IFERROR(__xludf.DUMMYFUNCTION("""COMPUTED_VALUE"""),"")</f>
        <v/>
      </c>
      <c r="W490" s="36" t="str">
        <f ca="1">IFERROR(__xludf.DUMMYFUNCTION("""COMPUTED_VALUE"""),"")</f>
        <v/>
      </c>
      <c r="X490" s="36"/>
      <c r="Y490" s="36"/>
      <c r="Z490" s="36"/>
    </row>
    <row r="491" spans="1:26" ht="12.75" hidden="1">
      <c r="A491" s="36" t="str">
        <f ca="1">IFERROR(__xludf.DUMMYFUNCTION("""COMPUTED_VALUE"""),"")</f>
        <v/>
      </c>
      <c r="B491" s="36" t="str">
        <f ca="1">IFERROR(__xludf.DUMMYFUNCTION("""COMPUTED_VALUE"""),"")</f>
        <v/>
      </c>
      <c r="C491" s="36" t="str">
        <f ca="1">IFERROR(__xludf.DUMMYFUNCTION("""COMPUTED_VALUE"""),"")</f>
        <v/>
      </c>
      <c r="D491" s="36" t="str">
        <f ca="1">IFERROR(__xludf.DUMMYFUNCTION("""COMPUTED_VALUE"""),"")</f>
        <v/>
      </c>
      <c r="E491" s="36" t="str">
        <f ca="1">IFERROR(__xludf.DUMMYFUNCTION("""COMPUTED_VALUE"""),"")</f>
        <v/>
      </c>
      <c r="F491" s="36" t="str">
        <f ca="1">IFERROR(__xludf.DUMMYFUNCTION("""COMPUTED_VALUE"""),"")</f>
        <v/>
      </c>
      <c r="G491" s="36" t="str">
        <f ca="1">IFERROR(__xludf.DUMMYFUNCTION("""COMPUTED_VALUE"""),"")</f>
        <v/>
      </c>
      <c r="H491" s="36" t="str">
        <f ca="1">IFERROR(__xludf.DUMMYFUNCTION("""COMPUTED_VALUE"""),"")</f>
        <v/>
      </c>
      <c r="I491" s="36" t="str">
        <f ca="1">IFERROR(__xludf.DUMMYFUNCTION("""COMPUTED_VALUE"""),"")</f>
        <v/>
      </c>
      <c r="J491" s="36" t="str">
        <f ca="1">IFERROR(__xludf.DUMMYFUNCTION("""COMPUTED_VALUE"""),"")</f>
        <v/>
      </c>
      <c r="K491" s="36" t="str">
        <f ca="1">IFERROR(__xludf.DUMMYFUNCTION("""COMPUTED_VALUE"""),"")</f>
        <v/>
      </c>
      <c r="L491" s="36" t="str">
        <f ca="1">IFERROR(__xludf.DUMMYFUNCTION("""COMPUTED_VALUE"""),"")</f>
        <v/>
      </c>
      <c r="M491" s="36" t="str">
        <f ca="1">IFERROR(__xludf.DUMMYFUNCTION("""COMPUTED_VALUE"""),"")</f>
        <v/>
      </c>
      <c r="N491" s="36" t="str">
        <f ca="1">IFERROR(__xludf.DUMMYFUNCTION("""COMPUTED_VALUE"""),"")</f>
        <v/>
      </c>
      <c r="O491" s="36" t="str">
        <f ca="1">IFERROR(__xludf.DUMMYFUNCTION("""COMPUTED_VALUE"""),"")</f>
        <v/>
      </c>
      <c r="P491" s="36" t="str">
        <f ca="1">IFERROR(__xludf.DUMMYFUNCTION("""COMPUTED_VALUE"""),"")</f>
        <v/>
      </c>
      <c r="Q491" s="36" t="str">
        <f ca="1">IFERROR(__xludf.DUMMYFUNCTION("""COMPUTED_VALUE"""),"")</f>
        <v/>
      </c>
      <c r="R491" s="36" t="str">
        <f ca="1">IFERROR(__xludf.DUMMYFUNCTION("""COMPUTED_VALUE"""),"")</f>
        <v/>
      </c>
      <c r="S491" s="36" t="str">
        <f ca="1">IFERROR(__xludf.DUMMYFUNCTION("""COMPUTED_VALUE"""),"")</f>
        <v/>
      </c>
      <c r="T491" s="36" t="str">
        <f ca="1">IFERROR(__xludf.DUMMYFUNCTION("""COMPUTED_VALUE"""),"")</f>
        <v/>
      </c>
      <c r="U491" s="36" t="str">
        <f ca="1">IFERROR(__xludf.DUMMYFUNCTION("""COMPUTED_VALUE"""),"")</f>
        <v/>
      </c>
      <c r="V491" s="36" t="str">
        <f ca="1">IFERROR(__xludf.DUMMYFUNCTION("""COMPUTED_VALUE"""),"")</f>
        <v/>
      </c>
      <c r="W491" s="36" t="str">
        <f ca="1">IFERROR(__xludf.DUMMYFUNCTION("""COMPUTED_VALUE"""),"")</f>
        <v/>
      </c>
      <c r="X491" s="36"/>
      <c r="Y491" s="36"/>
      <c r="Z491" s="36"/>
    </row>
    <row r="492" spans="1:26" ht="12.75" hidden="1">
      <c r="A492" s="36" t="str">
        <f ca="1">IFERROR(__xludf.DUMMYFUNCTION("""COMPUTED_VALUE"""),"")</f>
        <v/>
      </c>
      <c r="B492" s="36" t="str">
        <f ca="1">IFERROR(__xludf.DUMMYFUNCTION("""COMPUTED_VALUE"""),"")</f>
        <v/>
      </c>
      <c r="C492" s="36" t="str">
        <f ca="1">IFERROR(__xludf.DUMMYFUNCTION("""COMPUTED_VALUE"""),"")</f>
        <v/>
      </c>
      <c r="D492" s="36" t="str">
        <f ca="1">IFERROR(__xludf.DUMMYFUNCTION("""COMPUTED_VALUE"""),"")</f>
        <v/>
      </c>
      <c r="E492" s="36" t="str">
        <f ca="1">IFERROR(__xludf.DUMMYFUNCTION("""COMPUTED_VALUE"""),"")</f>
        <v/>
      </c>
      <c r="F492" s="36" t="str">
        <f ca="1">IFERROR(__xludf.DUMMYFUNCTION("""COMPUTED_VALUE"""),"")</f>
        <v/>
      </c>
      <c r="G492" s="36" t="str">
        <f ca="1">IFERROR(__xludf.DUMMYFUNCTION("""COMPUTED_VALUE"""),"")</f>
        <v/>
      </c>
      <c r="H492" s="36" t="str">
        <f ca="1">IFERROR(__xludf.DUMMYFUNCTION("""COMPUTED_VALUE"""),"")</f>
        <v/>
      </c>
      <c r="I492" s="36" t="str">
        <f ca="1">IFERROR(__xludf.DUMMYFUNCTION("""COMPUTED_VALUE"""),"")</f>
        <v/>
      </c>
      <c r="J492" s="36" t="str">
        <f ca="1">IFERROR(__xludf.DUMMYFUNCTION("""COMPUTED_VALUE"""),"")</f>
        <v/>
      </c>
      <c r="K492" s="36" t="str">
        <f ca="1">IFERROR(__xludf.DUMMYFUNCTION("""COMPUTED_VALUE"""),"")</f>
        <v/>
      </c>
      <c r="L492" s="36" t="str">
        <f ca="1">IFERROR(__xludf.DUMMYFUNCTION("""COMPUTED_VALUE"""),"")</f>
        <v/>
      </c>
      <c r="M492" s="36" t="str">
        <f ca="1">IFERROR(__xludf.DUMMYFUNCTION("""COMPUTED_VALUE"""),"")</f>
        <v/>
      </c>
      <c r="N492" s="36" t="str">
        <f ca="1">IFERROR(__xludf.DUMMYFUNCTION("""COMPUTED_VALUE"""),"")</f>
        <v/>
      </c>
      <c r="O492" s="36" t="str">
        <f ca="1">IFERROR(__xludf.DUMMYFUNCTION("""COMPUTED_VALUE"""),"")</f>
        <v/>
      </c>
      <c r="P492" s="36" t="str">
        <f ca="1">IFERROR(__xludf.DUMMYFUNCTION("""COMPUTED_VALUE"""),"")</f>
        <v/>
      </c>
      <c r="Q492" s="36" t="str">
        <f ca="1">IFERROR(__xludf.DUMMYFUNCTION("""COMPUTED_VALUE"""),"")</f>
        <v/>
      </c>
      <c r="R492" s="36" t="str">
        <f ca="1">IFERROR(__xludf.DUMMYFUNCTION("""COMPUTED_VALUE"""),"")</f>
        <v/>
      </c>
      <c r="S492" s="36" t="str">
        <f ca="1">IFERROR(__xludf.DUMMYFUNCTION("""COMPUTED_VALUE"""),"")</f>
        <v/>
      </c>
      <c r="T492" s="36" t="str">
        <f ca="1">IFERROR(__xludf.DUMMYFUNCTION("""COMPUTED_VALUE"""),"")</f>
        <v/>
      </c>
      <c r="U492" s="36" t="str">
        <f ca="1">IFERROR(__xludf.DUMMYFUNCTION("""COMPUTED_VALUE"""),"")</f>
        <v/>
      </c>
      <c r="V492" s="36" t="str">
        <f ca="1">IFERROR(__xludf.DUMMYFUNCTION("""COMPUTED_VALUE"""),"")</f>
        <v/>
      </c>
      <c r="W492" s="36" t="str">
        <f ca="1">IFERROR(__xludf.DUMMYFUNCTION("""COMPUTED_VALUE"""),"")</f>
        <v/>
      </c>
      <c r="X492" s="36"/>
      <c r="Y492" s="36"/>
      <c r="Z492" s="36"/>
    </row>
    <row r="493" spans="1:26" ht="12.75" hidden="1">
      <c r="A493" s="36" t="str">
        <f ca="1">IFERROR(__xludf.DUMMYFUNCTION("""COMPUTED_VALUE"""),"")</f>
        <v/>
      </c>
      <c r="B493" s="36" t="str">
        <f ca="1">IFERROR(__xludf.DUMMYFUNCTION("""COMPUTED_VALUE"""),"")</f>
        <v/>
      </c>
      <c r="C493" s="36" t="str">
        <f ca="1">IFERROR(__xludf.DUMMYFUNCTION("""COMPUTED_VALUE"""),"")</f>
        <v/>
      </c>
      <c r="D493" s="36" t="str">
        <f ca="1">IFERROR(__xludf.DUMMYFUNCTION("""COMPUTED_VALUE"""),"")</f>
        <v/>
      </c>
      <c r="E493" s="36" t="str">
        <f ca="1">IFERROR(__xludf.DUMMYFUNCTION("""COMPUTED_VALUE"""),"")</f>
        <v/>
      </c>
      <c r="F493" s="36" t="str">
        <f ca="1">IFERROR(__xludf.DUMMYFUNCTION("""COMPUTED_VALUE"""),"")</f>
        <v/>
      </c>
      <c r="G493" s="36" t="str">
        <f ca="1">IFERROR(__xludf.DUMMYFUNCTION("""COMPUTED_VALUE"""),"")</f>
        <v/>
      </c>
      <c r="H493" s="36" t="str">
        <f ca="1">IFERROR(__xludf.DUMMYFUNCTION("""COMPUTED_VALUE"""),"")</f>
        <v/>
      </c>
      <c r="I493" s="36" t="str">
        <f ca="1">IFERROR(__xludf.DUMMYFUNCTION("""COMPUTED_VALUE"""),"")</f>
        <v/>
      </c>
      <c r="J493" s="36" t="str">
        <f ca="1">IFERROR(__xludf.DUMMYFUNCTION("""COMPUTED_VALUE"""),"")</f>
        <v/>
      </c>
      <c r="K493" s="36" t="str">
        <f ca="1">IFERROR(__xludf.DUMMYFUNCTION("""COMPUTED_VALUE"""),"")</f>
        <v/>
      </c>
      <c r="L493" s="36" t="str">
        <f ca="1">IFERROR(__xludf.DUMMYFUNCTION("""COMPUTED_VALUE"""),"")</f>
        <v/>
      </c>
      <c r="M493" s="36" t="str">
        <f ca="1">IFERROR(__xludf.DUMMYFUNCTION("""COMPUTED_VALUE"""),"")</f>
        <v/>
      </c>
      <c r="N493" s="36" t="str">
        <f ca="1">IFERROR(__xludf.DUMMYFUNCTION("""COMPUTED_VALUE"""),"")</f>
        <v/>
      </c>
      <c r="O493" s="36" t="str">
        <f ca="1">IFERROR(__xludf.DUMMYFUNCTION("""COMPUTED_VALUE"""),"")</f>
        <v/>
      </c>
      <c r="P493" s="36" t="str">
        <f ca="1">IFERROR(__xludf.DUMMYFUNCTION("""COMPUTED_VALUE"""),"")</f>
        <v/>
      </c>
      <c r="Q493" s="36" t="str">
        <f ca="1">IFERROR(__xludf.DUMMYFUNCTION("""COMPUTED_VALUE"""),"")</f>
        <v/>
      </c>
      <c r="R493" s="36" t="str">
        <f ca="1">IFERROR(__xludf.DUMMYFUNCTION("""COMPUTED_VALUE"""),"")</f>
        <v/>
      </c>
      <c r="S493" s="36" t="str">
        <f ca="1">IFERROR(__xludf.DUMMYFUNCTION("""COMPUTED_VALUE"""),"")</f>
        <v/>
      </c>
      <c r="T493" s="36" t="str">
        <f ca="1">IFERROR(__xludf.DUMMYFUNCTION("""COMPUTED_VALUE"""),"")</f>
        <v/>
      </c>
      <c r="U493" s="36" t="str">
        <f ca="1">IFERROR(__xludf.DUMMYFUNCTION("""COMPUTED_VALUE"""),"")</f>
        <v/>
      </c>
      <c r="V493" s="36" t="str">
        <f ca="1">IFERROR(__xludf.DUMMYFUNCTION("""COMPUTED_VALUE"""),"")</f>
        <v/>
      </c>
      <c r="W493" s="36" t="str">
        <f ca="1">IFERROR(__xludf.DUMMYFUNCTION("""COMPUTED_VALUE"""),"")</f>
        <v/>
      </c>
      <c r="X493" s="36"/>
      <c r="Y493" s="36"/>
      <c r="Z493" s="36"/>
    </row>
    <row r="494" spans="1:26" ht="12.75" hidden="1">
      <c r="A494" s="36" t="str">
        <f ca="1">IFERROR(__xludf.DUMMYFUNCTION("""COMPUTED_VALUE"""),"")</f>
        <v/>
      </c>
      <c r="B494" s="36" t="str">
        <f ca="1">IFERROR(__xludf.DUMMYFUNCTION("""COMPUTED_VALUE"""),"")</f>
        <v/>
      </c>
      <c r="C494" s="36" t="str">
        <f ca="1">IFERROR(__xludf.DUMMYFUNCTION("""COMPUTED_VALUE"""),"")</f>
        <v/>
      </c>
      <c r="D494" s="36" t="str">
        <f ca="1">IFERROR(__xludf.DUMMYFUNCTION("""COMPUTED_VALUE"""),"")</f>
        <v/>
      </c>
      <c r="E494" s="36" t="str">
        <f ca="1">IFERROR(__xludf.DUMMYFUNCTION("""COMPUTED_VALUE"""),"")</f>
        <v/>
      </c>
      <c r="F494" s="36" t="str">
        <f ca="1">IFERROR(__xludf.DUMMYFUNCTION("""COMPUTED_VALUE"""),"")</f>
        <v/>
      </c>
      <c r="G494" s="36" t="str">
        <f ca="1">IFERROR(__xludf.DUMMYFUNCTION("""COMPUTED_VALUE"""),"")</f>
        <v/>
      </c>
      <c r="H494" s="36" t="str">
        <f ca="1">IFERROR(__xludf.DUMMYFUNCTION("""COMPUTED_VALUE"""),"")</f>
        <v/>
      </c>
      <c r="I494" s="36" t="str">
        <f ca="1">IFERROR(__xludf.DUMMYFUNCTION("""COMPUTED_VALUE"""),"")</f>
        <v/>
      </c>
      <c r="J494" s="36" t="str">
        <f ca="1">IFERROR(__xludf.DUMMYFUNCTION("""COMPUTED_VALUE"""),"")</f>
        <v/>
      </c>
      <c r="K494" s="36" t="str">
        <f ca="1">IFERROR(__xludf.DUMMYFUNCTION("""COMPUTED_VALUE"""),"")</f>
        <v/>
      </c>
      <c r="L494" s="36" t="str">
        <f ca="1">IFERROR(__xludf.DUMMYFUNCTION("""COMPUTED_VALUE"""),"")</f>
        <v/>
      </c>
      <c r="M494" s="36" t="str">
        <f ca="1">IFERROR(__xludf.DUMMYFUNCTION("""COMPUTED_VALUE"""),"")</f>
        <v/>
      </c>
      <c r="N494" s="36" t="str">
        <f ca="1">IFERROR(__xludf.DUMMYFUNCTION("""COMPUTED_VALUE"""),"")</f>
        <v/>
      </c>
      <c r="O494" s="36" t="str">
        <f ca="1">IFERROR(__xludf.DUMMYFUNCTION("""COMPUTED_VALUE"""),"")</f>
        <v/>
      </c>
      <c r="P494" s="36" t="str">
        <f ca="1">IFERROR(__xludf.DUMMYFUNCTION("""COMPUTED_VALUE"""),"")</f>
        <v/>
      </c>
      <c r="Q494" s="36" t="str">
        <f ca="1">IFERROR(__xludf.DUMMYFUNCTION("""COMPUTED_VALUE"""),"")</f>
        <v/>
      </c>
      <c r="R494" s="36" t="str">
        <f ca="1">IFERROR(__xludf.DUMMYFUNCTION("""COMPUTED_VALUE"""),"")</f>
        <v/>
      </c>
      <c r="S494" s="36" t="str">
        <f ca="1">IFERROR(__xludf.DUMMYFUNCTION("""COMPUTED_VALUE"""),"")</f>
        <v/>
      </c>
      <c r="T494" s="36" t="str">
        <f ca="1">IFERROR(__xludf.DUMMYFUNCTION("""COMPUTED_VALUE"""),"")</f>
        <v/>
      </c>
      <c r="U494" s="36" t="str">
        <f ca="1">IFERROR(__xludf.DUMMYFUNCTION("""COMPUTED_VALUE"""),"")</f>
        <v/>
      </c>
      <c r="V494" s="36" t="str">
        <f ca="1">IFERROR(__xludf.DUMMYFUNCTION("""COMPUTED_VALUE"""),"")</f>
        <v/>
      </c>
      <c r="W494" s="36" t="str">
        <f ca="1">IFERROR(__xludf.DUMMYFUNCTION("""COMPUTED_VALUE"""),"")</f>
        <v/>
      </c>
      <c r="X494" s="36"/>
      <c r="Y494" s="36"/>
      <c r="Z494" s="36"/>
    </row>
    <row r="495" spans="1:26" ht="12.75" hidden="1">
      <c r="A495" s="36" t="str">
        <f ca="1">IFERROR(__xludf.DUMMYFUNCTION("""COMPUTED_VALUE"""),"")</f>
        <v/>
      </c>
      <c r="B495" s="36" t="str">
        <f ca="1">IFERROR(__xludf.DUMMYFUNCTION("""COMPUTED_VALUE"""),"")</f>
        <v/>
      </c>
      <c r="C495" s="36" t="str">
        <f ca="1">IFERROR(__xludf.DUMMYFUNCTION("""COMPUTED_VALUE"""),"")</f>
        <v/>
      </c>
      <c r="D495" s="36" t="str">
        <f ca="1">IFERROR(__xludf.DUMMYFUNCTION("""COMPUTED_VALUE"""),"")</f>
        <v/>
      </c>
      <c r="E495" s="36" t="str">
        <f ca="1">IFERROR(__xludf.DUMMYFUNCTION("""COMPUTED_VALUE"""),"")</f>
        <v/>
      </c>
      <c r="F495" s="36" t="str">
        <f ca="1">IFERROR(__xludf.DUMMYFUNCTION("""COMPUTED_VALUE"""),"")</f>
        <v/>
      </c>
      <c r="G495" s="36" t="str">
        <f ca="1">IFERROR(__xludf.DUMMYFUNCTION("""COMPUTED_VALUE"""),"")</f>
        <v/>
      </c>
      <c r="H495" s="36" t="str">
        <f ca="1">IFERROR(__xludf.DUMMYFUNCTION("""COMPUTED_VALUE"""),"")</f>
        <v/>
      </c>
      <c r="I495" s="36" t="str">
        <f ca="1">IFERROR(__xludf.DUMMYFUNCTION("""COMPUTED_VALUE"""),"")</f>
        <v/>
      </c>
      <c r="J495" s="36" t="str">
        <f ca="1">IFERROR(__xludf.DUMMYFUNCTION("""COMPUTED_VALUE"""),"")</f>
        <v/>
      </c>
      <c r="K495" s="36" t="str">
        <f ca="1">IFERROR(__xludf.DUMMYFUNCTION("""COMPUTED_VALUE"""),"")</f>
        <v/>
      </c>
      <c r="L495" s="36" t="str">
        <f ca="1">IFERROR(__xludf.DUMMYFUNCTION("""COMPUTED_VALUE"""),"")</f>
        <v/>
      </c>
      <c r="M495" s="36" t="str">
        <f ca="1">IFERROR(__xludf.DUMMYFUNCTION("""COMPUTED_VALUE"""),"")</f>
        <v/>
      </c>
      <c r="N495" s="36" t="str">
        <f ca="1">IFERROR(__xludf.DUMMYFUNCTION("""COMPUTED_VALUE"""),"")</f>
        <v/>
      </c>
      <c r="O495" s="36" t="str">
        <f ca="1">IFERROR(__xludf.DUMMYFUNCTION("""COMPUTED_VALUE"""),"")</f>
        <v/>
      </c>
      <c r="P495" s="36" t="str">
        <f ca="1">IFERROR(__xludf.DUMMYFUNCTION("""COMPUTED_VALUE"""),"")</f>
        <v/>
      </c>
      <c r="Q495" s="36" t="str">
        <f ca="1">IFERROR(__xludf.DUMMYFUNCTION("""COMPUTED_VALUE"""),"")</f>
        <v/>
      </c>
      <c r="R495" s="36" t="str">
        <f ca="1">IFERROR(__xludf.DUMMYFUNCTION("""COMPUTED_VALUE"""),"")</f>
        <v/>
      </c>
      <c r="S495" s="36" t="str">
        <f ca="1">IFERROR(__xludf.DUMMYFUNCTION("""COMPUTED_VALUE"""),"")</f>
        <v/>
      </c>
      <c r="T495" s="36" t="str">
        <f ca="1">IFERROR(__xludf.DUMMYFUNCTION("""COMPUTED_VALUE"""),"")</f>
        <v/>
      </c>
      <c r="U495" s="36" t="str">
        <f ca="1">IFERROR(__xludf.DUMMYFUNCTION("""COMPUTED_VALUE"""),"")</f>
        <v/>
      </c>
      <c r="V495" s="36" t="str">
        <f ca="1">IFERROR(__xludf.DUMMYFUNCTION("""COMPUTED_VALUE"""),"")</f>
        <v/>
      </c>
      <c r="W495" s="36" t="str">
        <f ca="1">IFERROR(__xludf.DUMMYFUNCTION("""COMPUTED_VALUE"""),"")</f>
        <v/>
      </c>
      <c r="X495" s="36"/>
      <c r="Y495" s="36"/>
      <c r="Z495" s="36"/>
    </row>
    <row r="496" spans="1:26" ht="12.75" hidden="1">
      <c r="A496" s="36" t="str">
        <f ca="1">IFERROR(__xludf.DUMMYFUNCTION("""COMPUTED_VALUE"""),"")</f>
        <v/>
      </c>
      <c r="B496" s="36" t="str">
        <f ca="1">IFERROR(__xludf.DUMMYFUNCTION("""COMPUTED_VALUE"""),"")</f>
        <v/>
      </c>
      <c r="C496" s="36" t="str">
        <f ca="1">IFERROR(__xludf.DUMMYFUNCTION("""COMPUTED_VALUE"""),"")</f>
        <v/>
      </c>
      <c r="D496" s="36" t="str">
        <f ca="1">IFERROR(__xludf.DUMMYFUNCTION("""COMPUTED_VALUE"""),"")</f>
        <v/>
      </c>
      <c r="E496" s="36" t="str">
        <f ca="1">IFERROR(__xludf.DUMMYFUNCTION("""COMPUTED_VALUE"""),"")</f>
        <v/>
      </c>
      <c r="F496" s="36" t="str">
        <f ca="1">IFERROR(__xludf.DUMMYFUNCTION("""COMPUTED_VALUE"""),"")</f>
        <v/>
      </c>
      <c r="G496" s="36" t="str">
        <f ca="1">IFERROR(__xludf.DUMMYFUNCTION("""COMPUTED_VALUE"""),"")</f>
        <v/>
      </c>
      <c r="H496" s="36" t="str">
        <f ca="1">IFERROR(__xludf.DUMMYFUNCTION("""COMPUTED_VALUE"""),"")</f>
        <v/>
      </c>
      <c r="I496" s="36" t="str">
        <f ca="1">IFERROR(__xludf.DUMMYFUNCTION("""COMPUTED_VALUE"""),"")</f>
        <v/>
      </c>
      <c r="J496" s="36" t="str">
        <f ca="1">IFERROR(__xludf.DUMMYFUNCTION("""COMPUTED_VALUE"""),"")</f>
        <v/>
      </c>
      <c r="K496" s="36" t="str">
        <f ca="1">IFERROR(__xludf.DUMMYFUNCTION("""COMPUTED_VALUE"""),"")</f>
        <v/>
      </c>
      <c r="L496" s="36" t="str">
        <f ca="1">IFERROR(__xludf.DUMMYFUNCTION("""COMPUTED_VALUE"""),"")</f>
        <v/>
      </c>
      <c r="M496" s="36" t="str">
        <f ca="1">IFERROR(__xludf.DUMMYFUNCTION("""COMPUTED_VALUE"""),"")</f>
        <v/>
      </c>
      <c r="N496" s="36" t="str">
        <f ca="1">IFERROR(__xludf.DUMMYFUNCTION("""COMPUTED_VALUE"""),"")</f>
        <v/>
      </c>
      <c r="O496" s="36" t="str">
        <f ca="1">IFERROR(__xludf.DUMMYFUNCTION("""COMPUTED_VALUE"""),"")</f>
        <v/>
      </c>
      <c r="P496" s="36" t="str">
        <f ca="1">IFERROR(__xludf.DUMMYFUNCTION("""COMPUTED_VALUE"""),"")</f>
        <v/>
      </c>
      <c r="Q496" s="36" t="str">
        <f ca="1">IFERROR(__xludf.DUMMYFUNCTION("""COMPUTED_VALUE"""),"")</f>
        <v/>
      </c>
      <c r="R496" s="36" t="str">
        <f ca="1">IFERROR(__xludf.DUMMYFUNCTION("""COMPUTED_VALUE"""),"")</f>
        <v/>
      </c>
      <c r="S496" s="36" t="str">
        <f ca="1">IFERROR(__xludf.DUMMYFUNCTION("""COMPUTED_VALUE"""),"")</f>
        <v/>
      </c>
      <c r="T496" s="36" t="str">
        <f ca="1">IFERROR(__xludf.DUMMYFUNCTION("""COMPUTED_VALUE"""),"")</f>
        <v/>
      </c>
      <c r="U496" s="36" t="str">
        <f ca="1">IFERROR(__xludf.DUMMYFUNCTION("""COMPUTED_VALUE"""),"")</f>
        <v/>
      </c>
      <c r="V496" s="36" t="str">
        <f ca="1">IFERROR(__xludf.DUMMYFUNCTION("""COMPUTED_VALUE"""),"")</f>
        <v/>
      </c>
      <c r="W496" s="36" t="str">
        <f ca="1">IFERROR(__xludf.DUMMYFUNCTION("""COMPUTED_VALUE"""),"")</f>
        <v/>
      </c>
      <c r="X496" s="36"/>
      <c r="Y496" s="36"/>
      <c r="Z496" s="36"/>
    </row>
    <row r="497" spans="1:26" ht="12.75" hidden="1">
      <c r="A497" s="36" t="str">
        <f ca="1">IFERROR(__xludf.DUMMYFUNCTION("""COMPUTED_VALUE"""),"")</f>
        <v/>
      </c>
      <c r="B497" s="36" t="str">
        <f ca="1">IFERROR(__xludf.DUMMYFUNCTION("""COMPUTED_VALUE"""),"")</f>
        <v/>
      </c>
      <c r="C497" s="36" t="str">
        <f ca="1">IFERROR(__xludf.DUMMYFUNCTION("""COMPUTED_VALUE"""),"")</f>
        <v/>
      </c>
      <c r="D497" s="36" t="str">
        <f ca="1">IFERROR(__xludf.DUMMYFUNCTION("""COMPUTED_VALUE"""),"")</f>
        <v/>
      </c>
      <c r="E497" s="36" t="str">
        <f ca="1">IFERROR(__xludf.DUMMYFUNCTION("""COMPUTED_VALUE"""),"")</f>
        <v/>
      </c>
      <c r="F497" s="36" t="str">
        <f ca="1">IFERROR(__xludf.DUMMYFUNCTION("""COMPUTED_VALUE"""),"")</f>
        <v/>
      </c>
      <c r="G497" s="36" t="str">
        <f ca="1">IFERROR(__xludf.DUMMYFUNCTION("""COMPUTED_VALUE"""),"")</f>
        <v/>
      </c>
      <c r="H497" s="36" t="str">
        <f ca="1">IFERROR(__xludf.DUMMYFUNCTION("""COMPUTED_VALUE"""),"")</f>
        <v/>
      </c>
      <c r="I497" s="36" t="str">
        <f ca="1">IFERROR(__xludf.DUMMYFUNCTION("""COMPUTED_VALUE"""),"")</f>
        <v/>
      </c>
      <c r="J497" s="36" t="str">
        <f ca="1">IFERROR(__xludf.DUMMYFUNCTION("""COMPUTED_VALUE"""),"")</f>
        <v/>
      </c>
      <c r="K497" s="36" t="str">
        <f ca="1">IFERROR(__xludf.DUMMYFUNCTION("""COMPUTED_VALUE"""),"")</f>
        <v/>
      </c>
      <c r="L497" s="36" t="str">
        <f ca="1">IFERROR(__xludf.DUMMYFUNCTION("""COMPUTED_VALUE"""),"")</f>
        <v/>
      </c>
      <c r="M497" s="36" t="str">
        <f ca="1">IFERROR(__xludf.DUMMYFUNCTION("""COMPUTED_VALUE"""),"")</f>
        <v/>
      </c>
      <c r="N497" s="36" t="str">
        <f ca="1">IFERROR(__xludf.DUMMYFUNCTION("""COMPUTED_VALUE"""),"")</f>
        <v/>
      </c>
      <c r="O497" s="36" t="str">
        <f ca="1">IFERROR(__xludf.DUMMYFUNCTION("""COMPUTED_VALUE"""),"")</f>
        <v/>
      </c>
      <c r="P497" s="36" t="str">
        <f ca="1">IFERROR(__xludf.DUMMYFUNCTION("""COMPUTED_VALUE"""),"")</f>
        <v/>
      </c>
      <c r="Q497" s="36" t="str">
        <f ca="1">IFERROR(__xludf.DUMMYFUNCTION("""COMPUTED_VALUE"""),"")</f>
        <v/>
      </c>
      <c r="R497" s="36" t="str">
        <f ca="1">IFERROR(__xludf.DUMMYFUNCTION("""COMPUTED_VALUE"""),"")</f>
        <v/>
      </c>
      <c r="S497" s="36" t="str">
        <f ca="1">IFERROR(__xludf.DUMMYFUNCTION("""COMPUTED_VALUE"""),"")</f>
        <v/>
      </c>
      <c r="T497" s="36" t="str">
        <f ca="1">IFERROR(__xludf.DUMMYFUNCTION("""COMPUTED_VALUE"""),"")</f>
        <v/>
      </c>
      <c r="U497" s="36" t="str">
        <f ca="1">IFERROR(__xludf.DUMMYFUNCTION("""COMPUTED_VALUE"""),"")</f>
        <v/>
      </c>
      <c r="V497" s="36" t="str">
        <f ca="1">IFERROR(__xludf.DUMMYFUNCTION("""COMPUTED_VALUE"""),"")</f>
        <v/>
      </c>
      <c r="W497" s="36" t="str">
        <f ca="1">IFERROR(__xludf.DUMMYFUNCTION("""COMPUTED_VALUE"""),"")</f>
        <v/>
      </c>
      <c r="X497" s="36"/>
      <c r="Y497" s="36"/>
      <c r="Z497" s="36"/>
    </row>
    <row r="498" spans="1:26" ht="12.75" hidden="1">
      <c r="A498" s="36" t="str">
        <f ca="1">IFERROR(__xludf.DUMMYFUNCTION("""COMPUTED_VALUE"""),"")</f>
        <v/>
      </c>
      <c r="B498" s="36" t="str">
        <f ca="1">IFERROR(__xludf.DUMMYFUNCTION("""COMPUTED_VALUE"""),"")</f>
        <v/>
      </c>
      <c r="C498" s="36" t="str">
        <f ca="1">IFERROR(__xludf.DUMMYFUNCTION("""COMPUTED_VALUE"""),"")</f>
        <v/>
      </c>
      <c r="D498" s="36" t="str">
        <f ca="1">IFERROR(__xludf.DUMMYFUNCTION("""COMPUTED_VALUE"""),"")</f>
        <v/>
      </c>
      <c r="E498" s="36" t="str">
        <f ca="1">IFERROR(__xludf.DUMMYFUNCTION("""COMPUTED_VALUE"""),"")</f>
        <v/>
      </c>
      <c r="F498" s="36" t="str">
        <f ca="1">IFERROR(__xludf.DUMMYFUNCTION("""COMPUTED_VALUE"""),"")</f>
        <v/>
      </c>
      <c r="G498" s="36" t="str">
        <f ca="1">IFERROR(__xludf.DUMMYFUNCTION("""COMPUTED_VALUE"""),"")</f>
        <v/>
      </c>
      <c r="H498" s="36" t="str">
        <f ca="1">IFERROR(__xludf.DUMMYFUNCTION("""COMPUTED_VALUE"""),"")</f>
        <v/>
      </c>
      <c r="I498" s="36" t="str">
        <f ca="1">IFERROR(__xludf.DUMMYFUNCTION("""COMPUTED_VALUE"""),"")</f>
        <v/>
      </c>
      <c r="J498" s="36" t="str">
        <f ca="1">IFERROR(__xludf.DUMMYFUNCTION("""COMPUTED_VALUE"""),"")</f>
        <v/>
      </c>
      <c r="K498" s="36" t="str">
        <f ca="1">IFERROR(__xludf.DUMMYFUNCTION("""COMPUTED_VALUE"""),"")</f>
        <v/>
      </c>
      <c r="L498" s="36" t="str">
        <f ca="1">IFERROR(__xludf.DUMMYFUNCTION("""COMPUTED_VALUE"""),"")</f>
        <v/>
      </c>
      <c r="M498" s="36" t="str">
        <f ca="1">IFERROR(__xludf.DUMMYFUNCTION("""COMPUTED_VALUE"""),"")</f>
        <v/>
      </c>
      <c r="N498" s="36" t="str">
        <f ca="1">IFERROR(__xludf.DUMMYFUNCTION("""COMPUTED_VALUE"""),"")</f>
        <v/>
      </c>
      <c r="O498" s="36" t="str">
        <f ca="1">IFERROR(__xludf.DUMMYFUNCTION("""COMPUTED_VALUE"""),"")</f>
        <v/>
      </c>
      <c r="P498" s="36" t="str">
        <f ca="1">IFERROR(__xludf.DUMMYFUNCTION("""COMPUTED_VALUE"""),"")</f>
        <v/>
      </c>
      <c r="Q498" s="36" t="str">
        <f ca="1">IFERROR(__xludf.DUMMYFUNCTION("""COMPUTED_VALUE"""),"")</f>
        <v/>
      </c>
      <c r="R498" s="36" t="str">
        <f ca="1">IFERROR(__xludf.DUMMYFUNCTION("""COMPUTED_VALUE"""),"")</f>
        <v/>
      </c>
      <c r="S498" s="36" t="str">
        <f ca="1">IFERROR(__xludf.DUMMYFUNCTION("""COMPUTED_VALUE"""),"")</f>
        <v/>
      </c>
      <c r="T498" s="36" t="str">
        <f ca="1">IFERROR(__xludf.DUMMYFUNCTION("""COMPUTED_VALUE"""),"")</f>
        <v/>
      </c>
      <c r="U498" s="36" t="str">
        <f ca="1">IFERROR(__xludf.DUMMYFUNCTION("""COMPUTED_VALUE"""),"")</f>
        <v/>
      </c>
      <c r="V498" s="36" t="str">
        <f ca="1">IFERROR(__xludf.DUMMYFUNCTION("""COMPUTED_VALUE"""),"")</f>
        <v/>
      </c>
      <c r="W498" s="36" t="str">
        <f ca="1">IFERROR(__xludf.DUMMYFUNCTION("""COMPUTED_VALUE"""),"")</f>
        <v/>
      </c>
      <c r="X498" s="36"/>
      <c r="Y498" s="36"/>
      <c r="Z498" s="36"/>
    </row>
    <row r="499" spans="1:26" ht="12.75" hidden="1">
      <c r="A499" s="36" t="str">
        <f ca="1">IFERROR(__xludf.DUMMYFUNCTION("""COMPUTED_VALUE"""),"")</f>
        <v/>
      </c>
      <c r="B499" s="36" t="str">
        <f ca="1">IFERROR(__xludf.DUMMYFUNCTION("""COMPUTED_VALUE"""),"")</f>
        <v/>
      </c>
      <c r="C499" s="36" t="str">
        <f ca="1">IFERROR(__xludf.DUMMYFUNCTION("""COMPUTED_VALUE"""),"")</f>
        <v/>
      </c>
      <c r="D499" s="36" t="str">
        <f ca="1">IFERROR(__xludf.DUMMYFUNCTION("""COMPUTED_VALUE"""),"")</f>
        <v/>
      </c>
      <c r="E499" s="36" t="str">
        <f ca="1">IFERROR(__xludf.DUMMYFUNCTION("""COMPUTED_VALUE"""),"")</f>
        <v/>
      </c>
      <c r="F499" s="36" t="str">
        <f ca="1">IFERROR(__xludf.DUMMYFUNCTION("""COMPUTED_VALUE"""),"")</f>
        <v/>
      </c>
      <c r="G499" s="36" t="str">
        <f ca="1">IFERROR(__xludf.DUMMYFUNCTION("""COMPUTED_VALUE"""),"")</f>
        <v/>
      </c>
      <c r="H499" s="36" t="str">
        <f ca="1">IFERROR(__xludf.DUMMYFUNCTION("""COMPUTED_VALUE"""),"")</f>
        <v/>
      </c>
      <c r="I499" s="36" t="str">
        <f ca="1">IFERROR(__xludf.DUMMYFUNCTION("""COMPUTED_VALUE"""),"")</f>
        <v/>
      </c>
      <c r="J499" s="36" t="str">
        <f ca="1">IFERROR(__xludf.DUMMYFUNCTION("""COMPUTED_VALUE"""),"")</f>
        <v/>
      </c>
      <c r="K499" s="36" t="str">
        <f ca="1">IFERROR(__xludf.DUMMYFUNCTION("""COMPUTED_VALUE"""),"")</f>
        <v/>
      </c>
      <c r="L499" s="36" t="str">
        <f ca="1">IFERROR(__xludf.DUMMYFUNCTION("""COMPUTED_VALUE"""),"")</f>
        <v/>
      </c>
      <c r="M499" s="36" t="str">
        <f ca="1">IFERROR(__xludf.DUMMYFUNCTION("""COMPUTED_VALUE"""),"")</f>
        <v/>
      </c>
      <c r="N499" s="36" t="str">
        <f ca="1">IFERROR(__xludf.DUMMYFUNCTION("""COMPUTED_VALUE"""),"")</f>
        <v/>
      </c>
      <c r="O499" s="36" t="str">
        <f ca="1">IFERROR(__xludf.DUMMYFUNCTION("""COMPUTED_VALUE"""),"")</f>
        <v/>
      </c>
      <c r="P499" s="36" t="str">
        <f ca="1">IFERROR(__xludf.DUMMYFUNCTION("""COMPUTED_VALUE"""),"")</f>
        <v/>
      </c>
      <c r="Q499" s="36" t="str">
        <f ca="1">IFERROR(__xludf.DUMMYFUNCTION("""COMPUTED_VALUE"""),"")</f>
        <v/>
      </c>
      <c r="R499" s="36" t="str">
        <f ca="1">IFERROR(__xludf.DUMMYFUNCTION("""COMPUTED_VALUE"""),"")</f>
        <v/>
      </c>
      <c r="S499" s="36" t="str">
        <f ca="1">IFERROR(__xludf.DUMMYFUNCTION("""COMPUTED_VALUE"""),"")</f>
        <v/>
      </c>
      <c r="T499" s="36" t="str">
        <f ca="1">IFERROR(__xludf.DUMMYFUNCTION("""COMPUTED_VALUE"""),"")</f>
        <v/>
      </c>
      <c r="U499" s="36" t="str">
        <f ca="1">IFERROR(__xludf.DUMMYFUNCTION("""COMPUTED_VALUE"""),"")</f>
        <v/>
      </c>
      <c r="V499" s="36" t="str">
        <f ca="1">IFERROR(__xludf.DUMMYFUNCTION("""COMPUTED_VALUE"""),"")</f>
        <v/>
      </c>
      <c r="W499" s="36" t="str">
        <f ca="1">IFERROR(__xludf.DUMMYFUNCTION("""COMPUTED_VALUE"""),"")</f>
        <v/>
      </c>
      <c r="X499" s="36"/>
      <c r="Y499" s="36"/>
      <c r="Z499" s="36"/>
    </row>
    <row r="500" spans="1:26" ht="12.75" hidden="1">
      <c r="A500" s="36" t="str">
        <f ca="1">IFERROR(__xludf.DUMMYFUNCTION("""COMPUTED_VALUE"""),"")</f>
        <v/>
      </c>
      <c r="B500" s="36" t="str">
        <f ca="1">IFERROR(__xludf.DUMMYFUNCTION("""COMPUTED_VALUE"""),"")</f>
        <v/>
      </c>
      <c r="C500" s="36" t="str">
        <f ca="1">IFERROR(__xludf.DUMMYFUNCTION("""COMPUTED_VALUE"""),"")</f>
        <v/>
      </c>
      <c r="D500" s="36" t="str">
        <f ca="1">IFERROR(__xludf.DUMMYFUNCTION("""COMPUTED_VALUE"""),"")</f>
        <v/>
      </c>
      <c r="E500" s="36" t="str">
        <f ca="1">IFERROR(__xludf.DUMMYFUNCTION("""COMPUTED_VALUE"""),"")</f>
        <v/>
      </c>
      <c r="F500" s="36" t="str">
        <f ca="1">IFERROR(__xludf.DUMMYFUNCTION("""COMPUTED_VALUE"""),"")</f>
        <v/>
      </c>
      <c r="G500" s="36" t="str">
        <f ca="1">IFERROR(__xludf.DUMMYFUNCTION("""COMPUTED_VALUE"""),"")</f>
        <v/>
      </c>
      <c r="H500" s="36" t="str">
        <f ca="1">IFERROR(__xludf.DUMMYFUNCTION("""COMPUTED_VALUE"""),"")</f>
        <v/>
      </c>
      <c r="I500" s="36" t="str">
        <f ca="1">IFERROR(__xludf.DUMMYFUNCTION("""COMPUTED_VALUE"""),"")</f>
        <v/>
      </c>
      <c r="J500" s="36" t="str">
        <f ca="1">IFERROR(__xludf.DUMMYFUNCTION("""COMPUTED_VALUE"""),"")</f>
        <v/>
      </c>
      <c r="K500" s="36" t="str">
        <f ca="1">IFERROR(__xludf.DUMMYFUNCTION("""COMPUTED_VALUE"""),"")</f>
        <v/>
      </c>
      <c r="L500" s="36" t="str">
        <f ca="1">IFERROR(__xludf.DUMMYFUNCTION("""COMPUTED_VALUE"""),"")</f>
        <v/>
      </c>
      <c r="M500" s="36" t="str">
        <f ca="1">IFERROR(__xludf.DUMMYFUNCTION("""COMPUTED_VALUE"""),"")</f>
        <v/>
      </c>
      <c r="N500" s="36" t="str">
        <f ca="1">IFERROR(__xludf.DUMMYFUNCTION("""COMPUTED_VALUE"""),"")</f>
        <v/>
      </c>
      <c r="O500" s="36" t="str">
        <f ca="1">IFERROR(__xludf.DUMMYFUNCTION("""COMPUTED_VALUE"""),"")</f>
        <v/>
      </c>
      <c r="P500" s="36" t="str">
        <f ca="1">IFERROR(__xludf.DUMMYFUNCTION("""COMPUTED_VALUE"""),"")</f>
        <v/>
      </c>
      <c r="Q500" s="36" t="str">
        <f ca="1">IFERROR(__xludf.DUMMYFUNCTION("""COMPUTED_VALUE"""),"")</f>
        <v/>
      </c>
      <c r="R500" s="36" t="str">
        <f ca="1">IFERROR(__xludf.DUMMYFUNCTION("""COMPUTED_VALUE"""),"")</f>
        <v/>
      </c>
      <c r="S500" s="36" t="str">
        <f ca="1">IFERROR(__xludf.DUMMYFUNCTION("""COMPUTED_VALUE"""),"")</f>
        <v/>
      </c>
      <c r="T500" s="36" t="str">
        <f ca="1">IFERROR(__xludf.DUMMYFUNCTION("""COMPUTED_VALUE"""),"")</f>
        <v/>
      </c>
      <c r="U500" s="36" t="str">
        <f ca="1">IFERROR(__xludf.DUMMYFUNCTION("""COMPUTED_VALUE"""),"")</f>
        <v/>
      </c>
      <c r="V500" s="36" t="str">
        <f ca="1">IFERROR(__xludf.DUMMYFUNCTION("""COMPUTED_VALUE"""),"")</f>
        <v/>
      </c>
      <c r="W500" s="36" t="str">
        <f ca="1">IFERROR(__xludf.DUMMYFUNCTION("""COMPUTED_VALUE"""),"")</f>
        <v/>
      </c>
      <c r="X500" s="36"/>
      <c r="Y500" s="36"/>
      <c r="Z500" s="36"/>
    </row>
    <row r="501" spans="1:26" ht="12.75" hidden="1">
      <c r="A501" s="36" t="str">
        <f ca="1">IFERROR(__xludf.DUMMYFUNCTION("""COMPUTED_VALUE"""),"")</f>
        <v/>
      </c>
      <c r="B501" s="36" t="str">
        <f ca="1">IFERROR(__xludf.DUMMYFUNCTION("""COMPUTED_VALUE"""),"")</f>
        <v/>
      </c>
      <c r="C501" s="36" t="str">
        <f ca="1">IFERROR(__xludf.DUMMYFUNCTION("""COMPUTED_VALUE"""),"")</f>
        <v/>
      </c>
      <c r="D501" s="36" t="str">
        <f ca="1">IFERROR(__xludf.DUMMYFUNCTION("""COMPUTED_VALUE"""),"")</f>
        <v/>
      </c>
      <c r="E501" s="36" t="str">
        <f ca="1">IFERROR(__xludf.DUMMYFUNCTION("""COMPUTED_VALUE"""),"")</f>
        <v/>
      </c>
      <c r="F501" s="36" t="str">
        <f ca="1">IFERROR(__xludf.DUMMYFUNCTION("""COMPUTED_VALUE"""),"")</f>
        <v/>
      </c>
      <c r="G501" s="36" t="str">
        <f ca="1">IFERROR(__xludf.DUMMYFUNCTION("""COMPUTED_VALUE"""),"")</f>
        <v/>
      </c>
      <c r="H501" s="36" t="str">
        <f ca="1">IFERROR(__xludf.DUMMYFUNCTION("""COMPUTED_VALUE"""),"")</f>
        <v/>
      </c>
      <c r="I501" s="36" t="str">
        <f ca="1">IFERROR(__xludf.DUMMYFUNCTION("""COMPUTED_VALUE"""),"")</f>
        <v/>
      </c>
      <c r="J501" s="36" t="str">
        <f ca="1">IFERROR(__xludf.DUMMYFUNCTION("""COMPUTED_VALUE"""),"")</f>
        <v/>
      </c>
      <c r="K501" s="36" t="str">
        <f ca="1">IFERROR(__xludf.DUMMYFUNCTION("""COMPUTED_VALUE"""),"")</f>
        <v/>
      </c>
      <c r="L501" s="36" t="str">
        <f ca="1">IFERROR(__xludf.DUMMYFUNCTION("""COMPUTED_VALUE"""),"")</f>
        <v/>
      </c>
      <c r="M501" s="36" t="str">
        <f ca="1">IFERROR(__xludf.DUMMYFUNCTION("""COMPUTED_VALUE"""),"")</f>
        <v/>
      </c>
      <c r="N501" s="36" t="str">
        <f ca="1">IFERROR(__xludf.DUMMYFUNCTION("""COMPUTED_VALUE"""),"")</f>
        <v/>
      </c>
      <c r="O501" s="36" t="str">
        <f ca="1">IFERROR(__xludf.DUMMYFUNCTION("""COMPUTED_VALUE"""),"")</f>
        <v/>
      </c>
      <c r="P501" s="36" t="str">
        <f ca="1">IFERROR(__xludf.DUMMYFUNCTION("""COMPUTED_VALUE"""),"")</f>
        <v/>
      </c>
      <c r="Q501" s="36" t="str">
        <f ca="1">IFERROR(__xludf.DUMMYFUNCTION("""COMPUTED_VALUE"""),"")</f>
        <v/>
      </c>
      <c r="R501" s="36" t="str">
        <f ca="1">IFERROR(__xludf.DUMMYFUNCTION("""COMPUTED_VALUE"""),"")</f>
        <v/>
      </c>
      <c r="S501" s="36" t="str">
        <f ca="1">IFERROR(__xludf.DUMMYFUNCTION("""COMPUTED_VALUE"""),"")</f>
        <v/>
      </c>
      <c r="T501" s="36" t="str">
        <f ca="1">IFERROR(__xludf.DUMMYFUNCTION("""COMPUTED_VALUE"""),"")</f>
        <v/>
      </c>
      <c r="U501" s="36" t="str">
        <f ca="1">IFERROR(__xludf.DUMMYFUNCTION("""COMPUTED_VALUE"""),"")</f>
        <v/>
      </c>
      <c r="V501" s="36" t="str">
        <f ca="1">IFERROR(__xludf.DUMMYFUNCTION("""COMPUTED_VALUE"""),"")</f>
        <v/>
      </c>
      <c r="W501" s="36" t="str">
        <f ca="1">IFERROR(__xludf.DUMMYFUNCTION("""COMPUTED_VALUE"""),"")</f>
        <v/>
      </c>
      <c r="X501" s="36"/>
      <c r="Y501" s="36"/>
      <c r="Z501" s="36"/>
    </row>
    <row r="502" spans="1:26" ht="12.75" hidden="1">
      <c r="A502" s="36" t="str">
        <f ca="1">IFERROR(__xludf.DUMMYFUNCTION("""COMPUTED_VALUE"""),"")</f>
        <v/>
      </c>
      <c r="B502" s="36" t="str">
        <f ca="1">IFERROR(__xludf.DUMMYFUNCTION("""COMPUTED_VALUE"""),"")</f>
        <v/>
      </c>
      <c r="C502" s="36" t="str">
        <f ca="1">IFERROR(__xludf.DUMMYFUNCTION("""COMPUTED_VALUE"""),"")</f>
        <v/>
      </c>
      <c r="D502" s="36" t="str">
        <f ca="1">IFERROR(__xludf.DUMMYFUNCTION("""COMPUTED_VALUE"""),"")</f>
        <v/>
      </c>
      <c r="E502" s="36" t="str">
        <f ca="1">IFERROR(__xludf.DUMMYFUNCTION("""COMPUTED_VALUE"""),"")</f>
        <v/>
      </c>
      <c r="F502" s="36" t="str">
        <f ca="1">IFERROR(__xludf.DUMMYFUNCTION("""COMPUTED_VALUE"""),"")</f>
        <v/>
      </c>
      <c r="G502" s="36" t="str">
        <f ca="1">IFERROR(__xludf.DUMMYFUNCTION("""COMPUTED_VALUE"""),"")</f>
        <v/>
      </c>
      <c r="H502" s="36" t="str">
        <f ca="1">IFERROR(__xludf.DUMMYFUNCTION("""COMPUTED_VALUE"""),"")</f>
        <v/>
      </c>
      <c r="I502" s="36" t="str">
        <f ca="1">IFERROR(__xludf.DUMMYFUNCTION("""COMPUTED_VALUE"""),"")</f>
        <v/>
      </c>
      <c r="J502" s="36" t="str">
        <f ca="1">IFERROR(__xludf.DUMMYFUNCTION("""COMPUTED_VALUE"""),"")</f>
        <v/>
      </c>
      <c r="K502" s="36" t="str">
        <f ca="1">IFERROR(__xludf.DUMMYFUNCTION("""COMPUTED_VALUE"""),"")</f>
        <v/>
      </c>
      <c r="L502" s="36" t="str">
        <f ca="1">IFERROR(__xludf.DUMMYFUNCTION("""COMPUTED_VALUE"""),"")</f>
        <v/>
      </c>
      <c r="M502" s="36" t="str">
        <f ca="1">IFERROR(__xludf.DUMMYFUNCTION("""COMPUTED_VALUE"""),"")</f>
        <v/>
      </c>
      <c r="N502" s="36" t="str">
        <f ca="1">IFERROR(__xludf.DUMMYFUNCTION("""COMPUTED_VALUE"""),"")</f>
        <v/>
      </c>
      <c r="O502" s="36" t="str">
        <f ca="1">IFERROR(__xludf.DUMMYFUNCTION("""COMPUTED_VALUE"""),"")</f>
        <v/>
      </c>
      <c r="P502" s="36" t="str">
        <f ca="1">IFERROR(__xludf.DUMMYFUNCTION("""COMPUTED_VALUE"""),"")</f>
        <v/>
      </c>
      <c r="Q502" s="36" t="str">
        <f ca="1">IFERROR(__xludf.DUMMYFUNCTION("""COMPUTED_VALUE"""),"")</f>
        <v/>
      </c>
      <c r="R502" s="36" t="str">
        <f ca="1">IFERROR(__xludf.DUMMYFUNCTION("""COMPUTED_VALUE"""),"")</f>
        <v/>
      </c>
      <c r="S502" s="36" t="str">
        <f ca="1">IFERROR(__xludf.DUMMYFUNCTION("""COMPUTED_VALUE"""),"")</f>
        <v/>
      </c>
      <c r="T502" s="36" t="str">
        <f ca="1">IFERROR(__xludf.DUMMYFUNCTION("""COMPUTED_VALUE"""),"")</f>
        <v/>
      </c>
      <c r="U502" s="36" t="str">
        <f ca="1">IFERROR(__xludf.DUMMYFUNCTION("""COMPUTED_VALUE"""),"")</f>
        <v/>
      </c>
      <c r="V502" s="36" t="str">
        <f ca="1">IFERROR(__xludf.DUMMYFUNCTION("""COMPUTED_VALUE"""),"")</f>
        <v/>
      </c>
      <c r="W502" s="36" t="str">
        <f ca="1">IFERROR(__xludf.DUMMYFUNCTION("""COMPUTED_VALUE"""),"")</f>
        <v/>
      </c>
      <c r="X502" s="36"/>
      <c r="Y502" s="36"/>
      <c r="Z502" s="36"/>
    </row>
    <row r="503" spans="1:26" ht="12.75" hidden="1">
      <c r="A503" s="36" t="str">
        <f ca="1">IFERROR(__xludf.DUMMYFUNCTION("""COMPUTED_VALUE"""),"")</f>
        <v/>
      </c>
      <c r="B503" s="36" t="str">
        <f ca="1">IFERROR(__xludf.DUMMYFUNCTION("""COMPUTED_VALUE"""),"")</f>
        <v/>
      </c>
      <c r="C503" s="36" t="str">
        <f ca="1">IFERROR(__xludf.DUMMYFUNCTION("""COMPUTED_VALUE"""),"")</f>
        <v/>
      </c>
      <c r="D503" s="36" t="str">
        <f ca="1">IFERROR(__xludf.DUMMYFUNCTION("""COMPUTED_VALUE"""),"")</f>
        <v/>
      </c>
      <c r="E503" s="36" t="str">
        <f ca="1">IFERROR(__xludf.DUMMYFUNCTION("""COMPUTED_VALUE"""),"")</f>
        <v/>
      </c>
      <c r="F503" s="36" t="str">
        <f ca="1">IFERROR(__xludf.DUMMYFUNCTION("""COMPUTED_VALUE"""),"")</f>
        <v/>
      </c>
      <c r="G503" s="36" t="str">
        <f ca="1">IFERROR(__xludf.DUMMYFUNCTION("""COMPUTED_VALUE"""),"")</f>
        <v/>
      </c>
      <c r="H503" s="36" t="str">
        <f ca="1">IFERROR(__xludf.DUMMYFUNCTION("""COMPUTED_VALUE"""),"")</f>
        <v/>
      </c>
      <c r="I503" s="36" t="str">
        <f ca="1">IFERROR(__xludf.DUMMYFUNCTION("""COMPUTED_VALUE"""),"")</f>
        <v/>
      </c>
      <c r="J503" s="36" t="str">
        <f ca="1">IFERROR(__xludf.DUMMYFUNCTION("""COMPUTED_VALUE"""),"")</f>
        <v/>
      </c>
      <c r="K503" s="36" t="str">
        <f ca="1">IFERROR(__xludf.DUMMYFUNCTION("""COMPUTED_VALUE"""),"")</f>
        <v/>
      </c>
      <c r="L503" s="36" t="str">
        <f ca="1">IFERROR(__xludf.DUMMYFUNCTION("""COMPUTED_VALUE"""),"")</f>
        <v/>
      </c>
      <c r="M503" s="36" t="str">
        <f ca="1">IFERROR(__xludf.DUMMYFUNCTION("""COMPUTED_VALUE"""),"")</f>
        <v/>
      </c>
      <c r="N503" s="36" t="str">
        <f ca="1">IFERROR(__xludf.DUMMYFUNCTION("""COMPUTED_VALUE"""),"")</f>
        <v/>
      </c>
      <c r="O503" s="36" t="str">
        <f ca="1">IFERROR(__xludf.DUMMYFUNCTION("""COMPUTED_VALUE"""),"")</f>
        <v/>
      </c>
      <c r="P503" s="36" t="str">
        <f ca="1">IFERROR(__xludf.DUMMYFUNCTION("""COMPUTED_VALUE"""),"")</f>
        <v/>
      </c>
      <c r="Q503" s="36" t="str">
        <f ca="1">IFERROR(__xludf.DUMMYFUNCTION("""COMPUTED_VALUE"""),"")</f>
        <v/>
      </c>
      <c r="R503" s="36" t="str">
        <f ca="1">IFERROR(__xludf.DUMMYFUNCTION("""COMPUTED_VALUE"""),"")</f>
        <v/>
      </c>
      <c r="S503" s="36" t="str">
        <f ca="1">IFERROR(__xludf.DUMMYFUNCTION("""COMPUTED_VALUE"""),"")</f>
        <v/>
      </c>
      <c r="T503" s="36" t="str">
        <f ca="1">IFERROR(__xludf.DUMMYFUNCTION("""COMPUTED_VALUE"""),"")</f>
        <v/>
      </c>
      <c r="U503" s="36" t="str">
        <f ca="1">IFERROR(__xludf.DUMMYFUNCTION("""COMPUTED_VALUE"""),"")</f>
        <v/>
      </c>
      <c r="V503" s="36" t="str">
        <f ca="1">IFERROR(__xludf.DUMMYFUNCTION("""COMPUTED_VALUE"""),"")</f>
        <v/>
      </c>
      <c r="W503" s="36" t="str">
        <f ca="1">IFERROR(__xludf.DUMMYFUNCTION("""COMPUTED_VALUE"""),"")</f>
        <v/>
      </c>
      <c r="X503" s="36"/>
      <c r="Y503" s="36"/>
      <c r="Z503" s="36"/>
    </row>
    <row r="504" spans="1:26" ht="12.75" hidden="1">
      <c r="A504" s="36" t="str">
        <f ca="1">IFERROR(__xludf.DUMMYFUNCTION("""COMPUTED_VALUE"""),"")</f>
        <v/>
      </c>
      <c r="B504" s="36" t="str">
        <f ca="1">IFERROR(__xludf.DUMMYFUNCTION("""COMPUTED_VALUE"""),"")</f>
        <v/>
      </c>
      <c r="C504" s="36" t="str">
        <f ca="1">IFERROR(__xludf.DUMMYFUNCTION("""COMPUTED_VALUE"""),"")</f>
        <v/>
      </c>
      <c r="D504" s="36" t="str">
        <f ca="1">IFERROR(__xludf.DUMMYFUNCTION("""COMPUTED_VALUE"""),"")</f>
        <v/>
      </c>
      <c r="E504" s="36" t="str">
        <f ca="1">IFERROR(__xludf.DUMMYFUNCTION("""COMPUTED_VALUE"""),"")</f>
        <v/>
      </c>
      <c r="F504" s="36" t="str">
        <f ca="1">IFERROR(__xludf.DUMMYFUNCTION("""COMPUTED_VALUE"""),"")</f>
        <v/>
      </c>
      <c r="G504" s="36" t="str">
        <f ca="1">IFERROR(__xludf.DUMMYFUNCTION("""COMPUTED_VALUE"""),"")</f>
        <v/>
      </c>
      <c r="H504" s="36" t="str">
        <f ca="1">IFERROR(__xludf.DUMMYFUNCTION("""COMPUTED_VALUE"""),"")</f>
        <v/>
      </c>
      <c r="I504" s="36" t="str">
        <f ca="1">IFERROR(__xludf.DUMMYFUNCTION("""COMPUTED_VALUE"""),"")</f>
        <v/>
      </c>
      <c r="J504" s="36" t="str">
        <f ca="1">IFERROR(__xludf.DUMMYFUNCTION("""COMPUTED_VALUE"""),"")</f>
        <v/>
      </c>
      <c r="K504" s="36" t="str">
        <f ca="1">IFERROR(__xludf.DUMMYFUNCTION("""COMPUTED_VALUE"""),"")</f>
        <v/>
      </c>
      <c r="L504" s="36" t="str">
        <f ca="1">IFERROR(__xludf.DUMMYFUNCTION("""COMPUTED_VALUE"""),"")</f>
        <v/>
      </c>
      <c r="M504" s="36" t="str">
        <f ca="1">IFERROR(__xludf.DUMMYFUNCTION("""COMPUTED_VALUE"""),"")</f>
        <v/>
      </c>
      <c r="N504" s="36" t="str">
        <f ca="1">IFERROR(__xludf.DUMMYFUNCTION("""COMPUTED_VALUE"""),"")</f>
        <v/>
      </c>
      <c r="O504" s="36" t="str">
        <f ca="1">IFERROR(__xludf.DUMMYFUNCTION("""COMPUTED_VALUE"""),"")</f>
        <v/>
      </c>
      <c r="P504" s="36" t="str">
        <f ca="1">IFERROR(__xludf.DUMMYFUNCTION("""COMPUTED_VALUE"""),"")</f>
        <v/>
      </c>
      <c r="Q504" s="36" t="str">
        <f ca="1">IFERROR(__xludf.DUMMYFUNCTION("""COMPUTED_VALUE"""),"")</f>
        <v/>
      </c>
      <c r="R504" s="36" t="str">
        <f ca="1">IFERROR(__xludf.DUMMYFUNCTION("""COMPUTED_VALUE"""),"")</f>
        <v/>
      </c>
      <c r="S504" s="36" t="str">
        <f ca="1">IFERROR(__xludf.DUMMYFUNCTION("""COMPUTED_VALUE"""),"")</f>
        <v/>
      </c>
      <c r="T504" s="36" t="str">
        <f ca="1">IFERROR(__xludf.DUMMYFUNCTION("""COMPUTED_VALUE"""),"")</f>
        <v/>
      </c>
      <c r="U504" s="36" t="str">
        <f ca="1">IFERROR(__xludf.DUMMYFUNCTION("""COMPUTED_VALUE"""),"")</f>
        <v/>
      </c>
      <c r="V504" s="36" t="str">
        <f ca="1">IFERROR(__xludf.DUMMYFUNCTION("""COMPUTED_VALUE"""),"")</f>
        <v/>
      </c>
      <c r="W504" s="36" t="str">
        <f ca="1">IFERROR(__xludf.DUMMYFUNCTION("""COMPUTED_VALUE"""),"")</f>
        <v/>
      </c>
      <c r="X504" s="36"/>
      <c r="Y504" s="36"/>
      <c r="Z504" s="36"/>
    </row>
    <row r="505" spans="1:26" ht="12.75" hidden="1">
      <c r="A505" s="36" t="str">
        <f ca="1">IFERROR(__xludf.DUMMYFUNCTION("""COMPUTED_VALUE"""),"")</f>
        <v/>
      </c>
      <c r="B505" s="36" t="str">
        <f ca="1">IFERROR(__xludf.DUMMYFUNCTION("""COMPUTED_VALUE"""),"")</f>
        <v/>
      </c>
      <c r="C505" s="36" t="str">
        <f ca="1">IFERROR(__xludf.DUMMYFUNCTION("""COMPUTED_VALUE"""),"")</f>
        <v/>
      </c>
      <c r="D505" s="36" t="str">
        <f ca="1">IFERROR(__xludf.DUMMYFUNCTION("""COMPUTED_VALUE"""),"")</f>
        <v/>
      </c>
      <c r="E505" s="36" t="str">
        <f ca="1">IFERROR(__xludf.DUMMYFUNCTION("""COMPUTED_VALUE"""),"")</f>
        <v/>
      </c>
      <c r="F505" s="36" t="str">
        <f ca="1">IFERROR(__xludf.DUMMYFUNCTION("""COMPUTED_VALUE"""),"")</f>
        <v/>
      </c>
      <c r="G505" s="36" t="str">
        <f ca="1">IFERROR(__xludf.DUMMYFUNCTION("""COMPUTED_VALUE"""),"")</f>
        <v/>
      </c>
      <c r="H505" s="36" t="str">
        <f ca="1">IFERROR(__xludf.DUMMYFUNCTION("""COMPUTED_VALUE"""),"")</f>
        <v/>
      </c>
      <c r="I505" s="36" t="str">
        <f ca="1">IFERROR(__xludf.DUMMYFUNCTION("""COMPUTED_VALUE"""),"")</f>
        <v/>
      </c>
      <c r="J505" s="36" t="str">
        <f ca="1">IFERROR(__xludf.DUMMYFUNCTION("""COMPUTED_VALUE"""),"")</f>
        <v/>
      </c>
      <c r="K505" s="36" t="str">
        <f ca="1">IFERROR(__xludf.DUMMYFUNCTION("""COMPUTED_VALUE"""),"")</f>
        <v/>
      </c>
      <c r="L505" s="36" t="str">
        <f ca="1">IFERROR(__xludf.DUMMYFUNCTION("""COMPUTED_VALUE"""),"")</f>
        <v/>
      </c>
      <c r="M505" s="36" t="str">
        <f ca="1">IFERROR(__xludf.DUMMYFUNCTION("""COMPUTED_VALUE"""),"")</f>
        <v/>
      </c>
      <c r="N505" s="36" t="str">
        <f ca="1">IFERROR(__xludf.DUMMYFUNCTION("""COMPUTED_VALUE"""),"")</f>
        <v/>
      </c>
      <c r="O505" s="36" t="str">
        <f ca="1">IFERROR(__xludf.DUMMYFUNCTION("""COMPUTED_VALUE"""),"")</f>
        <v/>
      </c>
      <c r="P505" s="36" t="str">
        <f ca="1">IFERROR(__xludf.DUMMYFUNCTION("""COMPUTED_VALUE"""),"")</f>
        <v/>
      </c>
      <c r="Q505" s="36" t="str">
        <f ca="1">IFERROR(__xludf.DUMMYFUNCTION("""COMPUTED_VALUE"""),"")</f>
        <v/>
      </c>
      <c r="R505" s="36" t="str">
        <f ca="1">IFERROR(__xludf.DUMMYFUNCTION("""COMPUTED_VALUE"""),"")</f>
        <v/>
      </c>
      <c r="S505" s="36" t="str">
        <f ca="1">IFERROR(__xludf.DUMMYFUNCTION("""COMPUTED_VALUE"""),"")</f>
        <v/>
      </c>
      <c r="T505" s="36" t="str">
        <f ca="1">IFERROR(__xludf.DUMMYFUNCTION("""COMPUTED_VALUE"""),"")</f>
        <v/>
      </c>
      <c r="U505" s="36" t="str">
        <f ca="1">IFERROR(__xludf.DUMMYFUNCTION("""COMPUTED_VALUE"""),"")</f>
        <v/>
      </c>
      <c r="V505" s="36" t="str">
        <f ca="1">IFERROR(__xludf.DUMMYFUNCTION("""COMPUTED_VALUE"""),"")</f>
        <v/>
      </c>
      <c r="W505" s="36" t="str">
        <f ca="1">IFERROR(__xludf.DUMMYFUNCTION("""COMPUTED_VALUE"""),"")</f>
        <v/>
      </c>
      <c r="X505" s="36"/>
      <c r="Y505" s="36"/>
      <c r="Z505" s="36"/>
    </row>
    <row r="506" spans="1:26" ht="12.75" hidden="1">
      <c r="A506" s="36" t="str">
        <f ca="1">IFERROR(__xludf.DUMMYFUNCTION("""COMPUTED_VALUE"""),"")</f>
        <v/>
      </c>
      <c r="B506" s="36" t="str">
        <f ca="1">IFERROR(__xludf.DUMMYFUNCTION("""COMPUTED_VALUE"""),"")</f>
        <v/>
      </c>
      <c r="C506" s="36" t="str">
        <f ca="1">IFERROR(__xludf.DUMMYFUNCTION("""COMPUTED_VALUE"""),"")</f>
        <v/>
      </c>
      <c r="D506" s="36" t="str">
        <f ca="1">IFERROR(__xludf.DUMMYFUNCTION("""COMPUTED_VALUE"""),"")</f>
        <v/>
      </c>
      <c r="E506" s="36" t="str">
        <f ca="1">IFERROR(__xludf.DUMMYFUNCTION("""COMPUTED_VALUE"""),"")</f>
        <v/>
      </c>
      <c r="F506" s="36" t="str">
        <f ca="1">IFERROR(__xludf.DUMMYFUNCTION("""COMPUTED_VALUE"""),"")</f>
        <v/>
      </c>
      <c r="G506" s="36" t="str">
        <f ca="1">IFERROR(__xludf.DUMMYFUNCTION("""COMPUTED_VALUE"""),"")</f>
        <v/>
      </c>
      <c r="H506" s="36" t="str">
        <f ca="1">IFERROR(__xludf.DUMMYFUNCTION("""COMPUTED_VALUE"""),"")</f>
        <v/>
      </c>
      <c r="I506" s="36" t="str">
        <f ca="1">IFERROR(__xludf.DUMMYFUNCTION("""COMPUTED_VALUE"""),"")</f>
        <v/>
      </c>
      <c r="J506" s="36" t="str">
        <f ca="1">IFERROR(__xludf.DUMMYFUNCTION("""COMPUTED_VALUE"""),"")</f>
        <v/>
      </c>
      <c r="K506" s="36" t="str">
        <f ca="1">IFERROR(__xludf.DUMMYFUNCTION("""COMPUTED_VALUE"""),"")</f>
        <v/>
      </c>
      <c r="L506" s="36" t="str">
        <f ca="1">IFERROR(__xludf.DUMMYFUNCTION("""COMPUTED_VALUE"""),"")</f>
        <v/>
      </c>
      <c r="M506" s="36" t="str">
        <f ca="1">IFERROR(__xludf.DUMMYFUNCTION("""COMPUTED_VALUE"""),"")</f>
        <v/>
      </c>
      <c r="N506" s="36" t="str">
        <f ca="1">IFERROR(__xludf.DUMMYFUNCTION("""COMPUTED_VALUE"""),"")</f>
        <v/>
      </c>
      <c r="O506" s="36" t="str">
        <f ca="1">IFERROR(__xludf.DUMMYFUNCTION("""COMPUTED_VALUE"""),"")</f>
        <v/>
      </c>
      <c r="P506" s="36" t="str">
        <f ca="1">IFERROR(__xludf.DUMMYFUNCTION("""COMPUTED_VALUE"""),"")</f>
        <v/>
      </c>
      <c r="Q506" s="36" t="str">
        <f ca="1">IFERROR(__xludf.DUMMYFUNCTION("""COMPUTED_VALUE"""),"")</f>
        <v/>
      </c>
      <c r="R506" s="36" t="str">
        <f ca="1">IFERROR(__xludf.DUMMYFUNCTION("""COMPUTED_VALUE"""),"")</f>
        <v/>
      </c>
      <c r="S506" s="36" t="str">
        <f ca="1">IFERROR(__xludf.DUMMYFUNCTION("""COMPUTED_VALUE"""),"")</f>
        <v/>
      </c>
      <c r="T506" s="36" t="str">
        <f ca="1">IFERROR(__xludf.DUMMYFUNCTION("""COMPUTED_VALUE"""),"")</f>
        <v/>
      </c>
      <c r="U506" s="36" t="str">
        <f ca="1">IFERROR(__xludf.DUMMYFUNCTION("""COMPUTED_VALUE"""),"")</f>
        <v/>
      </c>
      <c r="V506" s="36" t="str">
        <f ca="1">IFERROR(__xludf.DUMMYFUNCTION("""COMPUTED_VALUE"""),"")</f>
        <v/>
      </c>
      <c r="W506" s="36" t="str">
        <f ca="1">IFERROR(__xludf.DUMMYFUNCTION("""COMPUTED_VALUE"""),"")</f>
        <v/>
      </c>
      <c r="X506" s="36"/>
      <c r="Y506" s="36"/>
      <c r="Z506" s="36"/>
    </row>
    <row r="507" spans="1:26" ht="12.75" hidden="1">
      <c r="A507" s="36" t="str">
        <f ca="1">IFERROR(__xludf.DUMMYFUNCTION("""COMPUTED_VALUE"""),"")</f>
        <v/>
      </c>
      <c r="B507" s="36" t="str">
        <f ca="1">IFERROR(__xludf.DUMMYFUNCTION("""COMPUTED_VALUE"""),"")</f>
        <v/>
      </c>
      <c r="C507" s="36" t="str">
        <f ca="1">IFERROR(__xludf.DUMMYFUNCTION("""COMPUTED_VALUE"""),"")</f>
        <v/>
      </c>
      <c r="D507" s="36" t="str">
        <f ca="1">IFERROR(__xludf.DUMMYFUNCTION("""COMPUTED_VALUE"""),"")</f>
        <v/>
      </c>
      <c r="E507" s="36" t="str">
        <f ca="1">IFERROR(__xludf.DUMMYFUNCTION("""COMPUTED_VALUE"""),"")</f>
        <v/>
      </c>
      <c r="F507" s="36" t="str">
        <f ca="1">IFERROR(__xludf.DUMMYFUNCTION("""COMPUTED_VALUE"""),"")</f>
        <v/>
      </c>
      <c r="G507" s="36" t="str">
        <f ca="1">IFERROR(__xludf.DUMMYFUNCTION("""COMPUTED_VALUE"""),"")</f>
        <v/>
      </c>
      <c r="H507" s="36" t="str">
        <f ca="1">IFERROR(__xludf.DUMMYFUNCTION("""COMPUTED_VALUE"""),"")</f>
        <v/>
      </c>
      <c r="I507" s="36" t="str">
        <f ca="1">IFERROR(__xludf.DUMMYFUNCTION("""COMPUTED_VALUE"""),"")</f>
        <v/>
      </c>
      <c r="J507" s="36" t="str">
        <f ca="1">IFERROR(__xludf.DUMMYFUNCTION("""COMPUTED_VALUE"""),"")</f>
        <v/>
      </c>
      <c r="K507" s="36" t="str">
        <f ca="1">IFERROR(__xludf.DUMMYFUNCTION("""COMPUTED_VALUE"""),"")</f>
        <v/>
      </c>
      <c r="L507" s="36" t="str">
        <f ca="1">IFERROR(__xludf.DUMMYFUNCTION("""COMPUTED_VALUE"""),"")</f>
        <v/>
      </c>
      <c r="M507" s="36" t="str">
        <f ca="1">IFERROR(__xludf.DUMMYFUNCTION("""COMPUTED_VALUE"""),"")</f>
        <v/>
      </c>
      <c r="N507" s="36" t="str">
        <f ca="1">IFERROR(__xludf.DUMMYFUNCTION("""COMPUTED_VALUE"""),"")</f>
        <v/>
      </c>
      <c r="O507" s="36" t="str">
        <f ca="1">IFERROR(__xludf.DUMMYFUNCTION("""COMPUTED_VALUE"""),"")</f>
        <v/>
      </c>
      <c r="P507" s="36" t="str">
        <f ca="1">IFERROR(__xludf.DUMMYFUNCTION("""COMPUTED_VALUE"""),"")</f>
        <v/>
      </c>
      <c r="Q507" s="36" t="str">
        <f ca="1">IFERROR(__xludf.DUMMYFUNCTION("""COMPUTED_VALUE"""),"")</f>
        <v/>
      </c>
      <c r="R507" s="36" t="str">
        <f ca="1">IFERROR(__xludf.DUMMYFUNCTION("""COMPUTED_VALUE"""),"")</f>
        <v/>
      </c>
      <c r="S507" s="36" t="str">
        <f ca="1">IFERROR(__xludf.DUMMYFUNCTION("""COMPUTED_VALUE"""),"")</f>
        <v/>
      </c>
      <c r="T507" s="36" t="str">
        <f ca="1">IFERROR(__xludf.DUMMYFUNCTION("""COMPUTED_VALUE"""),"")</f>
        <v/>
      </c>
      <c r="U507" s="36" t="str">
        <f ca="1">IFERROR(__xludf.DUMMYFUNCTION("""COMPUTED_VALUE"""),"")</f>
        <v/>
      </c>
      <c r="V507" s="36" t="str">
        <f ca="1">IFERROR(__xludf.DUMMYFUNCTION("""COMPUTED_VALUE"""),"")</f>
        <v/>
      </c>
      <c r="W507" s="36" t="str">
        <f ca="1">IFERROR(__xludf.DUMMYFUNCTION("""COMPUTED_VALUE"""),"")</f>
        <v/>
      </c>
      <c r="X507" s="36"/>
      <c r="Y507" s="36"/>
      <c r="Z507" s="36"/>
    </row>
    <row r="508" spans="1:26" ht="12.75" hidden="1">
      <c r="A508" s="36" t="str">
        <f ca="1">IFERROR(__xludf.DUMMYFUNCTION("""COMPUTED_VALUE"""),"")</f>
        <v/>
      </c>
      <c r="B508" s="36" t="str">
        <f ca="1">IFERROR(__xludf.DUMMYFUNCTION("""COMPUTED_VALUE"""),"")</f>
        <v/>
      </c>
      <c r="C508" s="36" t="str">
        <f ca="1">IFERROR(__xludf.DUMMYFUNCTION("""COMPUTED_VALUE"""),"")</f>
        <v/>
      </c>
      <c r="D508" s="36" t="str">
        <f ca="1">IFERROR(__xludf.DUMMYFUNCTION("""COMPUTED_VALUE"""),"")</f>
        <v/>
      </c>
      <c r="E508" s="36" t="str">
        <f ca="1">IFERROR(__xludf.DUMMYFUNCTION("""COMPUTED_VALUE"""),"")</f>
        <v/>
      </c>
      <c r="F508" s="36" t="str">
        <f ca="1">IFERROR(__xludf.DUMMYFUNCTION("""COMPUTED_VALUE"""),"")</f>
        <v/>
      </c>
      <c r="G508" s="36" t="str">
        <f ca="1">IFERROR(__xludf.DUMMYFUNCTION("""COMPUTED_VALUE"""),"")</f>
        <v/>
      </c>
      <c r="H508" s="36" t="str">
        <f ca="1">IFERROR(__xludf.DUMMYFUNCTION("""COMPUTED_VALUE"""),"")</f>
        <v/>
      </c>
      <c r="I508" s="36" t="str">
        <f ca="1">IFERROR(__xludf.DUMMYFUNCTION("""COMPUTED_VALUE"""),"")</f>
        <v/>
      </c>
      <c r="J508" s="36" t="str">
        <f ca="1">IFERROR(__xludf.DUMMYFUNCTION("""COMPUTED_VALUE"""),"")</f>
        <v/>
      </c>
      <c r="K508" s="36" t="str">
        <f ca="1">IFERROR(__xludf.DUMMYFUNCTION("""COMPUTED_VALUE"""),"")</f>
        <v/>
      </c>
      <c r="L508" s="36" t="str">
        <f ca="1">IFERROR(__xludf.DUMMYFUNCTION("""COMPUTED_VALUE"""),"")</f>
        <v/>
      </c>
      <c r="M508" s="36" t="str">
        <f ca="1">IFERROR(__xludf.DUMMYFUNCTION("""COMPUTED_VALUE"""),"")</f>
        <v/>
      </c>
      <c r="N508" s="36" t="str">
        <f ca="1">IFERROR(__xludf.DUMMYFUNCTION("""COMPUTED_VALUE"""),"")</f>
        <v/>
      </c>
      <c r="O508" s="36" t="str">
        <f ca="1">IFERROR(__xludf.DUMMYFUNCTION("""COMPUTED_VALUE"""),"")</f>
        <v/>
      </c>
      <c r="P508" s="36" t="str">
        <f ca="1">IFERROR(__xludf.DUMMYFUNCTION("""COMPUTED_VALUE"""),"")</f>
        <v/>
      </c>
      <c r="Q508" s="36" t="str">
        <f ca="1">IFERROR(__xludf.DUMMYFUNCTION("""COMPUTED_VALUE"""),"")</f>
        <v/>
      </c>
      <c r="R508" s="36" t="str">
        <f ca="1">IFERROR(__xludf.DUMMYFUNCTION("""COMPUTED_VALUE"""),"")</f>
        <v/>
      </c>
      <c r="S508" s="36" t="str">
        <f ca="1">IFERROR(__xludf.DUMMYFUNCTION("""COMPUTED_VALUE"""),"")</f>
        <v/>
      </c>
      <c r="T508" s="36" t="str">
        <f ca="1">IFERROR(__xludf.DUMMYFUNCTION("""COMPUTED_VALUE"""),"")</f>
        <v/>
      </c>
      <c r="U508" s="36" t="str">
        <f ca="1">IFERROR(__xludf.DUMMYFUNCTION("""COMPUTED_VALUE"""),"")</f>
        <v/>
      </c>
      <c r="V508" s="36" t="str">
        <f ca="1">IFERROR(__xludf.DUMMYFUNCTION("""COMPUTED_VALUE"""),"")</f>
        <v/>
      </c>
      <c r="W508" s="36" t="str">
        <f ca="1">IFERROR(__xludf.DUMMYFUNCTION("""COMPUTED_VALUE"""),"")</f>
        <v/>
      </c>
      <c r="X508" s="36"/>
      <c r="Y508" s="36"/>
      <c r="Z508" s="36"/>
    </row>
    <row r="509" spans="1:26" ht="12.75" hidden="1">
      <c r="A509" s="36" t="str">
        <f ca="1">IFERROR(__xludf.DUMMYFUNCTION("""COMPUTED_VALUE"""),"")</f>
        <v/>
      </c>
      <c r="B509" s="36" t="str">
        <f ca="1">IFERROR(__xludf.DUMMYFUNCTION("""COMPUTED_VALUE"""),"")</f>
        <v/>
      </c>
      <c r="C509" s="36" t="str">
        <f ca="1">IFERROR(__xludf.DUMMYFUNCTION("""COMPUTED_VALUE"""),"")</f>
        <v/>
      </c>
      <c r="D509" s="36" t="str">
        <f ca="1">IFERROR(__xludf.DUMMYFUNCTION("""COMPUTED_VALUE"""),"")</f>
        <v/>
      </c>
      <c r="E509" s="36" t="str">
        <f ca="1">IFERROR(__xludf.DUMMYFUNCTION("""COMPUTED_VALUE"""),"")</f>
        <v/>
      </c>
      <c r="F509" s="36" t="str">
        <f ca="1">IFERROR(__xludf.DUMMYFUNCTION("""COMPUTED_VALUE"""),"")</f>
        <v/>
      </c>
      <c r="G509" s="36" t="str">
        <f ca="1">IFERROR(__xludf.DUMMYFUNCTION("""COMPUTED_VALUE"""),"")</f>
        <v/>
      </c>
      <c r="H509" s="36" t="str">
        <f ca="1">IFERROR(__xludf.DUMMYFUNCTION("""COMPUTED_VALUE"""),"")</f>
        <v/>
      </c>
      <c r="I509" s="36" t="str">
        <f ca="1">IFERROR(__xludf.DUMMYFUNCTION("""COMPUTED_VALUE"""),"")</f>
        <v/>
      </c>
      <c r="J509" s="36" t="str">
        <f ca="1">IFERROR(__xludf.DUMMYFUNCTION("""COMPUTED_VALUE"""),"")</f>
        <v/>
      </c>
      <c r="K509" s="36" t="str">
        <f ca="1">IFERROR(__xludf.DUMMYFUNCTION("""COMPUTED_VALUE"""),"")</f>
        <v/>
      </c>
      <c r="L509" s="36" t="str">
        <f ca="1">IFERROR(__xludf.DUMMYFUNCTION("""COMPUTED_VALUE"""),"")</f>
        <v/>
      </c>
      <c r="M509" s="36" t="str">
        <f ca="1">IFERROR(__xludf.DUMMYFUNCTION("""COMPUTED_VALUE"""),"")</f>
        <v/>
      </c>
      <c r="N509" s="36" t="str">
        <f ca="1">IFERROR(__xludf.DUMMYFUNCTION("""COMPUTED_VALUE"""),"")</f>
        <v/>
      </c>
      <c r="O509" s="36" t="str">
        <f ca="1">IFERROR(__xludf.DUMMYFUNCTION("""COMPUTED_VALUE"""),"")</f>
        <v/>
      </c>
      <c r="P509" s="36" t="str">
        <f ca="1">IFERROR(__xludf.DUMMYFUNCTION("""COMPUTED_VALUE"""),"")</f>
        <v/>
      </c>
      <c r="Q509" s="36" t="str">
        <f ca="1">IFERROR(__xludf.DUMMYFUNCTION("""COMPUTED_VALUE"""),"")</f>
        <v/>
      </c>
      <c r="R509" s="36" t="str">
        <f ca="1">IFERROR(__xludf.DUMMYFUNCTION("""COMPUTED_VALUE"""),"")</f>
        <v/>
      </c>
      <c r="S509" s="36" t="str">
        <f ca="1">IFERROR(__xludf.DUMMYFUNCTION("""COMPUTED_VALUE"""),"")</f>
        <v/>
      </c>
      <c r="T509" s="36" t="str">
        <f ca="1">IFERROR(__xludf.DUMMYFUNCTION("""COMPUTED_VALUE"""),"")</f>
        <v/>
      </c>
      <c r="U509" s="36" t="str">
        <f ca="1">IFERROR(__xludf.DUMMYFUNCTION("""COMPUTED_VALUE"""),"")</f>
        <v/>
      </c>
      <c r="V509" s="36" t="str">
        <f ca="1">IFERROR(__xludf.DUMMYFUNCTION("""COMPUTED_VALUE"""),"")</f>
        <v/>
      </c>
      <c r="W509" s="36" t="str">
        <f ca="1">IFERROR(__xludf.DUMMYFUNCTION("""COMPUTED_VALUE"""),"")</f>
        <v/>
      </c>
      <c r="X509" s="36"/>
      <c r="Y509" s="36"/>
      <c r="Z509" s="36"/>
    </row>
    <row r="510" spans="1:26" ht="12.75" hidden="1">
      <c r="A510" s="36" t="str">
        <f ca="1">IFERROR(__xludf.DUMMYFUNCTION("""COMPUTED_VALUE"""),"")</f>
        <v/>
      </c>
      <c r="B510" s="36" t="str">
        <f ca="1">IFERROR(__xludf.DUMMYFUNCTION("""COMPUTED_VALUE"""),"")</f>
        <v/>
      </c>
      <c r="C510" s="36" t="str">
        <f ca="1">IFERROR(__xludf.DUMMYFUNCTION("""COMPUTED_VALUE"""),"")</f>
        <v/>
      </c>
      <c r="D510" s="36" t="str">
        <f ca="1">IFERROR(__xludf.DUMMYFUNCTION("""COMPUTED_VALUE"""),"")</f>
        <v/>
      </c>
      <c r="E510" s="36" t="str">
        <f ca="1">IFERROR(__xludf.DUMMYFUNCTION("""COMPUTED_VALUE"""),"")</f>
        <v/>
      </c>
      <c r="F510" s="36" t="str">
        <f ca="1">IFERROR(__xludf.DUMMYFUNCTION("""COMPUTED_VALUE"""),"")</f>
        <v/>
      </c>
      <c r="G510" s="36" t="str">
        <f ca="1">IFERROR(__xludf.DUMMYFUNCTION("""COMPUTED_VALUE"""),"")</f>
        <v/>
      </c>
      <c r="H510" s="36" t="str">
        <f ca="1">IFERROR(__xludf.DUMMYFUNCTION("""COMPUTED_VALUE"""),"")</f>
        <v/>
      </c>
      <c r="I510" s="36" t="str">
        <f ca="1">IFERROR(__xludf.DUMMYFUNCTION("""COMPUTED_VALUE"""),"")</f>
        <v/>
      </c>
      <c r="J510" s="36" t="str">
        <f ca="1">IFERROR(__xludf.DUMMYFUNCTION("""COMPUTED_VALUE"""),"")</f>
        <v/>
      </c>
      <c r="K510" s="36" t="str">
        <f ca="1">IFERROR(__xludf.DUMMYFUNCTION("""COMPUTED_VALUE"""),"")</f>
        <v/>
      </c>
      <c r="L510" s="36" t="str">
        <f ca="1">IFERROR(__xludf.DUMMYFUNCTION("""COMPUTED_VALUE"""),"")</f>
        <v/>
      </c>
      <c r="M510" s="36" t="str">
        <f ca="1">IFERROR(__xludf.DUMMYFUNCTION("""COMPUTED_VALUE"""),"")</f>
        <v/>
      </c>
      <c r="N510" s="36" t="str">
        <f ca="1">IFERROR(__xludf.DUMMYFUNCTION("""COMPUTED_VALUE"""),"")</f>
        <v/>
      </c>
      <c r="O510" s="36" t="str">
        <f ca="1">IFERROR(__xludf.DUMMYFUNCTION("""COMPUTED_VALUE"""),"")</f>
        <v/>
      </c>
      <c r="P510" s="36" t="str">
        <f ca="1">IFERROR(__xludf.DUMMYFUNCTION("""COMPUTED_VALUE"""),"")</f>
        <v/>
      </c>
      <c r="Q510" s="36" t="str">
        <f ca="1">IFERROR(__xludf.DUMMYFUNCTION("""COMPUTED_VALUE"""),"")</f>
        <v/>
      </c>
      <c r="R510" s="36" t="str">
        <f ca="1">IFERROR(__xludf.DUMMYFUNCTION("""COMPUTED_VALUE"""),"")</f>
        <v/>
      </c>
      <c r="S510" s="36" t="str">
        <f ca="1">IFERROR(__xludf.DUMMYFUNCTION("""COMPUTED_VALUE"""),"")</f>
        <v/>
      </c>
      <c r="T510" s="36" t="str">
        <f ca="1">IFERROR(__xludf.DUMMYFUNCTION("""COMPUTED_VALUE"""),"")</f>
        <v/>
      </c>
      <c r="U510" s="36" t="str">
        <f ca="1">IFERROR(__xludf.DUMMYFUNCTION("""COMPUTED_VALUE"""),"")</f>
        <v/>
      </c>
      <c r="V510" s="36" t="str">
        <f ca="1">IFERROR(__xludf.DUMMYFUNCTION("""COMPUTED_VALUE"""),"")</f>
        <v/>
      </c>
      <c r="W510" s="36" t="str">
        <f ca="1">IFERROR(__xludf.DUMMYFUNCTION("""COMPUTED_VALUE"""),"")</f>
        <v/>
      </c>
      <c r="X510" s="36"/>
      <c r="Y510" s="36"/>
      <c r="Z510" s="36"/>
    </row>
    <row r="511" spans="1:26" ht="12.75" hidden="1">
      <c r="A511" s="36" t="str">
        <f ca="1">IFERROR(__xludf.DUMMYFUNCTION("""COMPUTED_VALUE"""),"")</f>
        <v/>
      </c>
      <c r="B511" s="36" t="str">
        <f ca="1">IFERROR(__xludf.DUMMYFUNCTION("""COMPUTED_VALUE"""),"")</f>
        <v/>
      </c>
      <c r="C511" s="36" t="str">
        <f ca="1">IFERROR(__xludf.DUMMYFUNCTION("""COMPUTED_VALUE"""),"")</f>
        <v/>
      </c>
      <c r="D511" s="36" t="str">
        <f ca="1">IFERROR(__xludf.DUMMYFUNCTION("""COMPUTED_VALUE"""),"")</f>
        <v/>
      </c>
      <c r="E511" s="36" t="str">
        <f ca="1">IFERROR(__xludf.DUMMYFUNCTION("""COMPUTED_VALUE"""),"")</f>
        <v/>
      </c>
      <c r="F511" s="36" t="str">
        <f ca="1">IFERROR(__xludf.DUMMYFUNCTION("""COMPUTED_VALUE"""),"")</f>
        <v/>
      </c>
      <c r="G511" s="36" t="str">
        <f ca="1">IFERROR(__xludf.DUMMYFUNCTION("""COMPUTED_VALUE"""),"")</f>
        <v/>
      </c>
      <c r="H511" s="36" t="str">
        <f ca="1">IFERROR(__xludf.DUMMYFUNCTION("""COMPUTED_VALUE"""),"")</f>
        <v/>
      </c>
      <c r="I511" s="36" t="str">
        <f ca="1">IFERROR(__xludf.DUMMYFUNCTION("""COMPUTED_VALUE"""),"")</f>
        <v/>
      </c>
      <c r="J511" s="36" t="str">
        <f ca="1">IFERROR(__xludf.DUMMYFUNCTION("""COMPUTED_VALUE"""),"")</f>
        <v/>
      </c>
      <c r="K511" s="36" t="str">
        <f ca="1">IFERROR(__xludf.DUMMYFUNCTION("""COMPUTED_VALUE"""),"")</f>
        <v/>
      </c>
      <c r="L511" s="36" t="str">
        <f ca="1">IFERROR(__xludf.DUMMYFUNCTION("""COMPUTED_VALUE"""),"")</f>
        <v/>
      </c>
      <c r="M511" s="36" t="str">
        <f ca="1">IFERROR(__xludf.DUMMYFUNCTION("""COMPUTED_VALUE"""),"")</f>
        <v/>
      </c>
      <c r="N511" s="36" t="str">
        <f ca="1">IFERROR(__xludf.DUMMYFUNCTION("""COMPUTED_VALUE"""),"")</f>
        <v/>
      </c>
      <c r="O511" s="36" t="str">
        <f ca="1">IFERROR(__xludf.DUMMYFUNCTION("""COMPUTED_VALUE"""),"")</f>
        <v/>
      </c>
      <c r="P511" s="36" t="str">
        <f ca="1">IFERROR(__xludf.DUMMYFUNCTION("""COMPUTED_VALUE"""),"")</f>
        <v/>
      </c>
      <c r="Q511" s="36" t="str">
        <f ca="1">IFERROR(__xludf.DUMMYFUNCTION("""COMPUTED_VALUE"""),"")</f>
        <v/>
      </c>
      <c r="R511" s="36" t="str">
        <f ca="1">IFERROR(__xludf.DUMMYFUNCTION("""COMPUTED_VALUE"""),"")</f>
        <v/>
      </c>
      <c r="S511" s="36" t="str">
        <f ca="1">IFERROR(__xludf.DUMMYFUNCTION("""COMPUTED_VALUE"""),"")</f>
        <v/>
      </c>
      <c r="T511" s="36" t="str">
        <f ca="1">IFERROR(__xludf.DUMMYFUNCTION("""COMPUTED_VALUE"""),"")</f>
        <v/>
      </c>
      <c r="U511" s="36" t="str">
        <f ca="1">IFERROR(__xludf.DUMMYFUNCTION("""COMPUTED_VALUE"""),"")</f>
        <v/>
      </c>
      <c r="V511" s="36" t="str">
        <f ca="1">IFERROR(__xludf.DUMMYFUNCTION("""COMPUTED_VALUE"""),"")</f>
        <v/>
      </c>
      <c r="W511" s="36" t="str">
        <f ca="1">IFERROR(__xludf.DUMMYFUNCTION("""COMPUTED_VALUE"""),"")</f>
        <v/>
      </c>
      <c r="X511" s="36"/>
      <c r="Y511" s="36"/>
      <c r="Z511" s="36"/>
    </row>
    <row r="512" spans="1:26" ht="12.75" hidden="1">
      <c r="A512" s="36" t="str">
        <f ca="1">IFERROR(__xludf.DUMMYFUNCTION("""COMPUTED_VALUE"""),"")</f>
        <v/>
      </c>
      <c r="B512" s="36" t="str">
        <f ca="1">IFERROR(__xludf.DUMMYFUNCTION("""COMPUTED_VALUE"""),"")</f>
        <v/>
      </c>
      <c r="C512" s="36" t="str">
        <f ca="1">IFERROR(__xludf.DUMMYFUNCTION("""COMPUTED_VALUE"""),"")</f>
        <v/>
      </c>
      <c r="D512" s="36" t="str">
        <f ca="1">IFERROR(__xludf.DUMMYFUNCTION("""COMPUTED_VALUE"""),"")</f>
        <v/>
      </c>
      <c r="E512" s="36" t="str">
        <f ca="1">IFERROR(__xludf.DUMMYFUNCTION("""COMPUTED_VALUE"""),"")</f>
        <v/>
      </c>
      <c r="F512" s="36" t="str">
        <f ca="1">IFERROR(__xludf.DUMMYFUNCTION("""COMPUTED_VALUE"""),"")</f>
        <v/>
      </c>
      <c r="G512" s="36" t="str">
        <f ca="1">IFERROR(__xludf.DUMMYFUNCTION("""COMPUTED_VALUE"""),"")</f>
        <v/>
      </c>
      <c r="H512" s="36" t="str">
        <f ca="1">IFERROR(__xludf.DUMMYFUNCTION("""COMPUTED_VALUE"""),"")</f>
        <v/>
      </c>
      <c r="I512" s="36" t="str">
        <f ca="1">IFERROR(__xludf.DUMMYFUNCTION("""COMPUTED_VALUE"""),"")</f>
        <v/>
      </c>
      <c r="J512" s="36" t="str">
        <f ca="1">IFERROR(__xludf.DUMMYFUNCTION("""COMPUTED_VALUE"""),"")</f>
        <v/>
      </c>
      <c r="K512" s="36" t="str">
        <f ca="1">IFERROR(__xludf.DUMMYFUNCTION("""COMPUTED_VALUE"""),"")</f>
        <v/>
      </c>
      <c r="L512" s="36" t="str">
        <f ca="1">IFERROR(__xludf.DUMMYFUNCTION("""COMPUTED_VALUE"""),"")</f>
        <v/>
      </c>
      <c r="M512" s="36" t="str">
        <f ca="1">IFERROR(__xludf.DUMMYFUNCTION("""COMPUTED_VALUE"""),"")</f>
        <v/>
      </c>
      <c r="N512" s="36" t="str">
        <f ca="1">IFERROR(__xludf.DUMMYFUNCTION("""COMPUTED_VALUE"""),"")</f>
        <v/>
      </c>
      <c r="O512" s="36" t="str">
        <f ca="1">IFERROR(__xludf.DUMMYFUNCTION("""COMPUTED_VALUE"""),"")</f>
        <v/>
      </c>
      <c r="P512" s="36" t="str">
        <f ca="1">IFERROR(__xludf.DUMMYFUNCTION("""COMPUTED_VALUE"""),"")</f>
        <v/>
      </c>
      <c r="Q512" s="36" t="str">
        <f ca="1">IFERROR(__xludf.DUMMYFUNCTION("""COMPUTED_VALUE"""),"")</f>
        <v/>
      </c>
      <c r="R512" s="36" t="str">
        <f ca="1">IFERROR(__xludf.DUMMYFUNCTION("""COMPUTED_VALUE"""),"")</f>
        <v/>
      </c>
      <c r="S512" s="36" t="str">
        <f ca="1">IFERROR(__xludf.DUMMYFUNCTION("""COMPUTED_VALUE"""),"")</f>
        <v/>
      </c>
      <c r="T512" s="36" t="str">
        <f ca="1">IFERROR(__xludf.DUMMYFUNCTION("""COMPUTED_VALUE"""),"")</f>
        <v/>
      </c>
      <c r="U512" s="36" t="str">
        <f ca="1">IFERROR(__xludf.DUMMYFUNCTION("""COMPUTED_VALUE"""),"")</f>
        <v/>
      </c>
      <c r="V512" s="36" t="str">
        <f ca="1">IFERROR(__xludf.DUMMYFUNCTION("""COMPUTED_VALUE"""),"")</f>
        <v/>
      </c>
      <c r="W512" s="36" t="str">
        <f ca="1">IFERROR(__xludf.DUMMYFUNCTION("""COMPUTED_VALUE"""),"")</f>
        <v/>
      </c>
      <c r="X512" s="36"/>
      <c r="Y512" s="36"/>
      <c r="Z512" s="36"/>
    </row>
    <row r="513" spans="1:26" ht="12.75" hidden="1">
      <c r="A513" s="36" t="str">
        <f ca="1">IFERROR(__xludf.DUMMYFUNCTION("""COMPUTED_VALUE"""),"")</f>
        <v/>
      </c>
      <c r="B513" s="36" t="str">
        <f ca="1">IFERROR(__xludf.DUMMYFUNCTION("""COMPUTED_VALUE"""),"")</f>
        <v/>
      </c>
      <c r="C513" s="36" t="str">
        <f ca="1">IFERROR(__xludf.DUMMYFUNCTION("""COMPUTED_VALUE"""),"")</f>
        <v/>
      </c>
      <c r="D513" s="36" t="str">
        <f ca="1">IFERROR(__xludf.DUMMYFUNCTION("""COMPUTED_VALUE"""),"")</f>
        <v/>
      </c>
      <c r="E513" s="36" t="str">
        <f ca="1">IFERROR(__xludf.DUMMYFUNCTION("""COMPUTED_VALUE"""),"")</f>
        <v/>
      </c>
      <c r="F513" s="36" t="str">
        <f ca="1">IFERROR(__xludf.DUMMYFUNCTION("""COMPUTED_VALUE"""),"")</f>
        <v/>
      </c>
      <c r="G513" s="36" t="str">
        <f ca="1">IFERROR(__xludf.DUMMYFUNCTION("""COMPUTED_VALUE"""),"")</f>
        <v/>
      </c>
      <c r="H513" s="36" t="str">
        <f ca="1">IFERROR(__xludf.DUMMYFUNCTION("""COMPUTED_VALUE"""),"")</f>
        <v/>
      </c>
      <c r="I513" s="36" t="str">
        <f ca="1">IFERROR(__xludf.DUMMYFUNCTION("""COMPUTED_VALUE"""),"")</f>
        <v/>
      </c>
      <c r="J513" s="36" t="str">
        <f ca="1">IFERROR(__xludf.DUMMYFUNCTION("""COMPUTED_VALUE"""),"")</f>
        <v/>
      </c>
      <c r="K513" s="36" t="str">
        <f ca="1">IFERROR(__xludf.DUMMYFUNCTION("""COMPUTED_VALUE"""),"")</f>
        <v/>
      </c>
      <c r="L513" s="36" t="str">
        <f ca="1">IFERROR(__xludf.DUMMYFUNCTION("""COMPUTED_VALUE"""),"")</f>
        <v/>
      </c>
      <c r="M513" s="36" t="str">
        <f ca="1">IFERROR(__xludf.DUMMYFUNCTION("""COMPUTED_VALUE"""),"")</f>
        <v/>
      </c>
      <c r="N513" s="36" t="str">
        <f ca="1">IFERROR(__xludf.DUMMYFUNCTION("""COMPUTED_VALUE"""),"")</f>
        <v/>
      </c>
      <c r="O513" s="36" t="str">
        <f ca="1">IFERROR(__xludf.DUMMYFUNCTION("""COMPUTED_VALUE"""),"")</f>
        <v/>
      </c>
      <c r="P513" s="36" t="str">
        <f ca="1">IFERROR(__xludf.DUMMYFUNCTION("""COMPUTED_VALUE"""),"")</f>
        <v/>
      </c>
      <c r="Q513" s="36" t="str">
        <f ca="1">IFERROR(__xludf.DUMMYFUNCTION("""COMPUTED_VALUE"""),"")</f>
        <v/>
      </c>
      <c r="R513" s="36" t="str">
        <f ca="1">IFERROR(__xludf.DUMMYFUNCTION("""COMPUTED_VALUE"""),"")</f>
        <v/>
      </c>
      <c r="S513" s="36" t="str">
        <f ca="1">IFERROR(__xludf.DUMMYFUNCTION("""COMPUTED_VALUE"""),"")</f>
        <v/>
      </c>
      <c r="T513" s="36" t="str">
        <f ca="1">IFERROR(__xludf.DUMMYFUNCTION("""COMPUTED_VALUE"""),"")</f>
        <v/>
      </c>
      <c r="U513" s="36" t="str">
        <f ca="1">IFERROR(__xludf.DUMMYFUNCTION("""COMPUTED_VALUE"""),"")</f>
        <v/>
      </c>
      <c r="V513" s="36" t="str">
        <f ca="1">IFERROR(__xludf.DUMMYFUNCTION("""COMPUTED_VALUE"""),"")</f>
        <v/>
      </c>
      <c r="W513" s="36" t="str">
        <f ca="1">IFERROR(__xludf.DUMMYFUNCTION("""COMPUTED_VALUE"""),"")</f>
        <v/>
      </c>
      <c r="X513" s="36"/>
      <c r="Y513" s="36"/>
      <c r="Z513" s="36"/>
    </row>
    <row r="514" spans="1:26" ht="12.75" hidden="1">
      <c r="A514" s="36" t="str">
        <f ca="1">IFERROR(__xludf.DUMMYFUNCTION("""COMPUTED_VALUE"""),"")</f>
        <v/>
      </c>
      <c r="B514" s="36" t="str">
        <f ca="1">IFERROR(__xludf.DUMMYFUNCTION("""COMPUTED_VALUE"""),"")</f>
        <v/>
      </c>
      <c r="C514" s="36" t="str">
        <f ca="1">IFERROR(__xludf.DUMMYFUNCTION("""COMPUTED_VALUE"""),"")</f>
        <v/>
      </c>
      <c r="D514" s="36" t="str">
        <f ca="1">IFERROR(__xludf.DUMMYFUNCTION("""COMPUTED_VALUE"""),"")</f>
        <v/>
      </c>
      <c r="E514" s="36" t="str">
        <f ca="1">IFERROR(__xludf.DUMMYFUNCTION("""COMPUTED_VALUE"""),"")</f>
        <v/>
      </c>
      <c r="F514" s="36" t="str">
        <f ca="1">IFERROR(__xludf.DUMMYFUNCTION("""COMPUTED_VALUE"""),"")</f>
        <v/>
      </c>
      <c r="G514" s="36" t="str">
        <f ca="1">IFERROR(__xludf.DUMMYFUNCTION("""COMPUTED_VALUE"""),"")</f>
        <v/>
      </c>
      <c r="H514" s="36" t="str">
        <f ca="1">IFERROR(__xludf.DUMMYFUNCTION("""COMPUTED_VALUE"""),"")</f>
        <v/>
      </c>
      <c r="I514" s="36" t="str">
        <f ca="1">IFERROR(__xludf.DUMMYFUNCTION("""COMPUTED_VALUE"""),"")</f>
        <v/>
      </c>
      <c r="J514" s="36" t="str">
        <f ca="1">IFERROR(__xludf.DUMMYFUNCTION("""COMPUTED_VALUE"""),"")</f>
        <v/>
      </c>
      <c r="K514" s="36" t="str">
        <f ca="1">IFERROR(__xludf.DUMMYFUNCTION("""COMPUTED_VALUE"""),"")</f>
        <v/>
      </c>
      <c r="L514" s="36" t="str">
        <f ca="1">IFERROR(__xludf.DUMMYFUNCTION("""COMPUTED_VALUE"""),"")</f>
        <v/>
      </c>
      <c r="M514" s="36" t="str">
        <f ca="1">IFERROR(__xludf.DUMMYFUNCTION("""COMPUTED_VALUE"""),"")</f>
        <v/>
      </c>
      <c r="N514" s="36" t="str">
        <f ca="1">IFERROR(__xludf.DUMMYFUNCTION("""COMPUTED_VALUE"""),"")</f>
        <v/>
      </c>
      <c r="O514" s="36" t="str">
        <f ca="1">IFERROR(__xludf.DUMMYFUNCTION("""COMPUTED_VALUE"""),"")</f>
        <v/>
      </c>
      <c r="P514" s="36" t="str">
        <f ca="1">IFERROR(__xludf.DUMMYFUNCTION("""COMPUTED_VALUE"""),"")</f>
        <v/>
      </c>
      <c r="Q514" s="36" t="str">
        <f ca="1">IFERROR(__xludf.DUMMYFUNCTION("""COMPUTED_VALUE"""),"")</f>
        <v/>
      </c>
      <c r="R514" s="36" t="str">
        <f ca="1">IFERROR(__xludf.DUMMYFUNCTION("""COMPUTED_VALUE"""),"")</f>
        <v/>
      </c>
      <c r="S514" s="36" t="str">
        <f ca="1">IFERROR(__xludf.DUMMYFUNCTION("""COMPUTED_VALUE"""),"")</f>
        <v/>
      </c>
      <c r="T514" s="36" t="str">
        <f ca="1">IFERROR(__xludf.DUMMYFUNCTION("""COMPUTED_VALUE"""),"")</f>
        <v/>
      </c>
      <c r="U514" s="36" t="str">
        <f ca="1">IFERROR(__xludf.DUMMYFUNCTION("""COMPUTED_VALUE"""),"")</f>
        <v/>
      </c>
      <c r="V514" s="36" t="str">
        <f ca="1">IFERROR(__xludf.DUMMYFUNCTION("""COMPUTED_VALUE"""),"")</f>
        <v/>
      </c>
      <c r="W514" s="36" t="str">
        <f ca="1">IFERROR(__xludf.DUMMYFUNCTION("""COMPUTED_VALUE"""),"")</f>
        <v/>
      </c>
      <c r="X514" s="36"/>
      <c r="Y514" s="36"/>
      <c r="Z514" s="36"/>
    </row>
    <row r="515" spans="1:26" ht="12.75" hidden="1">
      <c r="A515" s="36" t="str">
        <f ca="1">IFERROR(__xludf.DUMMYFUNCTION("""COMPUTED_VALUE"""),"")</f>
        <v/>
      </c>
      <c r="B515" s="36" t="str">
        <f ca="1">IFERROR(__xludf.DUMMYFUNCTION("""COMPUTED_VALUE"""),"")</f>
        <v/>
      </c>
      <c r="C515" s="36" t="str">
        <f ca="1">IFERROR(__xludf.DUMMYFUNCTION("""COMPUTED_VALUE"""),"")</f>
        <v/>
      </c>
      <c r="D515" s="36" t="str">
        <f ca="1">IFERROR(__xludf.DUMMYFUNCTION("""COMPUTED_VALUE"""),"")</f>
        <v/>
      </c>
      <c r="E515" s="36" t="str">
        <f ca="1">IFERROR(__xludf.DUMMYFUNCTION("""COMPUTED_VALUE"""),"")</f>
        <v/>
      </c>
      <c r="F515" s="36" t="str">
        <f ca="1">IFERROR(__xludf.DUMMYFUNCTION("""COMPUTED_VALUE"""),"")</f>
        <v/>
      </c>
      <c r="G515" s="36" t="str">
        <f ca="1">IFERROR(__xludf.DUMMYFUNCTION("""COMPUTED_VALUE"""),"")</f>
        <v/>
      </c>
      <c r="H515" s="36" t="str">
        <f ca="1">IFERROR(__xludf.DUMMYFUNCTION("""COMPUTED_VALUE"""),"")</f>
        <v/>
      </c>
      <c r="I515" s="36" t="str">
        <f ca="1">IFERROR(__xludf.DUMMYFUNCTION("""COMPUTED_VALUE"""),"")</f>
        <v/>
      </c>
      <c r="J515" s="36" t="str">
        <f ca="1">IFERROR(__xludf.DUMMYFUNCTION("""COMPUTED_VALUE"""),"")</f>
        <v/>
      </c>
      <c r="K515" s="36" t="str">
        <f ca="1">IFERROR(__xludf.DUMMYFUNCTION("""COMPUTED_VALUE"""),"")</f>
        <v/>
      </c>
      <c r="L515" s="36" t="str">
        <f ca="1">IFERROR(__xludf.DUMMYFUNCTION("""COMPUTED_VALUE"""),"")</f>
        <v/>
      </c>
      <c r="M515" s="36" t="str">
        <f ca="1">IFERROR(__xludf.DUMMYFUNCTION("""COMPUTED_VALUE"""),"")</f>
        <v/>
      </c>
      <c r="N515" s="36" t="str">
        <f ca="1">IFERROR(__xludf.DUMMYFUNCTION("""COMPUTED_VALUE"""),"")</f>
        <v/>
      </c>
      <c r="O515" s="36" t="str">
        <f ca="1">IFERROR(__xludf.DUMMYFUNCTION("""COMPUTED_VALUE"""),"")</f>
        <v/>
      </c>
      <c r="P515" s="36" t="str">
        <f ca="1">IFERROR(__xludf.DUMMYFUNCTION("""COMPUTED_VALUE"""),"")</f>
        <v/>
      </c>
      <c r="Q515" s="36" t="str">
        <f ca="1">IFERROR(__xludf.DUMMYFUNCTION("""COMPUTED_VALUE"""),"")</f>
        <v/>
      </c>
      <c r="R515" s="36" t="str">
        <f ca="1">IFERROR(__xludf.DUMMYFUNCTION("""COMPUTED_VALUE"""),"")</f>
        <v/>
      </c>
      <c r="S515" s="36" t="str">
        <f ca="1">IFERROR(__xludf.DUMMYFUNCTION("""COMPUTED_VALUE"""),"")</f>
        <v/>
      </c>
      <c r="T515" s="36" t="str">
        <f ca="1">IFERROR(__xludf.DUMMYFUNCTION("""COMPUTED_VALUE"""),"")</f>
        <v/>
      </c>
      <c r="U515" s="36" t="str">
        <f ca="1">IFERROR(__xludf.DUMMYFUNCTION("""COMPUTED_VALUE"""),"")</f>
        <v/>
      </c>
      <c r="V515" s="36" t="str">
        <f ca="1">IFERROR(__xludf.DUMMYFUNCTION("""COMPUTED_VALUE"""),"")</f>
        <v/>
      </c>
      <c r="W515" s="36" t="str">
        <f ca="1">IFERROR(__xludf.DUMMYFUNCTION("""COMPUTED_VALUE"""),"")</f>
        <v/>
      </c>
      <c r="X515" s="36"/>
      <c r="Y515" s="36"/>
      <c r="Z515" s="36"/>
    </row>
    <row r="516" spans="1:26" ht="12.75" hidden="1">
      <c r="A516" s="36" t="str">
        <f ca="1">IFERROR(__xludf.DUMMYFUNCTION("""COMPUTED_VALUE"""),"")</f>
        <v/>
      </c>
      <c r="B516" s="36" t="str">
        <f ca="1">IFERROR(__xludf.DUMMYFUNCTION("""COMPUTED_VALUE"""),"")</f>
        <v/>
      </c>
      <c r="C516" s="36" t="str">
        <f ca="1">IFERROR(__xludf.DUMMYFUNCTION("""COMPUTED_VALUE"""),"")</f>
        <v/>
      </c>
      <c r="D516" s="36" t="str">
        <f ca="1">IFERROR(__xludf.DUMMYFUNCTION("""COMPUTED_VALUE"""),"")</f>
        <v/>
      </c>
      <c r="E516" s="36" t="str">
        <f ca="1">IFERROR(__xludf.DUMMYFUNCTION("""COMPUTED_VALUE"""),"")</f>
        <v/>
      </c>
      <c r="F516" s="36" t="str">
        <f ca="1">IFERROR(__xludf.DUMMYFUNCTION("""COMPUTED_VALUE"""),"")</f>
        <v/>
      </c>
      <c r="G516" s="36" t="str">
        <f ca="1">IFERROR(__xludf.DUMMYFUNCTION("""COMPUTED_VALUE"""),"")</f>
        <v/>
      </c>
      <c r="H516" s="36" t="str">
        <f ca="1">IFERROR(__xludf.DUMMYFUNCTION("""COMPUTED_VALUE"""),"")</f>
        <v/>
      </c>
      <c r="I516" s="36" t="str">
        <f ca="1">IFERROR(__xludf.DUMMYFUNCTION("""COMPUTED_VALUE"""),"")</f>
        <v/>
      </c>
      <c r="J516" s="36" t="str">
        <f ca="1">IFERROR(__xludf.DUMMYFUNCTION("""COMPUTED_VALUE"""),"")</f>
        <v/>
      </c>
      <c r="K516" s="36" t="str">
        <f ca="1">IFERROR(__xludf.DUMMYFUNCTION("""COMPUTED_VALUE"""),"")</f>
        <v/>
      </c>
      <c r="L516" s="36" t="str">
        <f ca="1">IFERROR(__xludf.DUMMYFUNCTION("""COMPUTED_VALUE"""),"")</f>
        <v/>
      </c>
      <c r="M516" s="36" t="str">
        <f ca="1">IFERROR(__xludf.DUMMYFUNCTION("""COMPUTED_VALUE"""),"")</f>
        <v/>
      </c>
      <c r="N516" s="36" t="str">
        <f ca="1">IFERROR(__xludf.DUMMYFUNCTION("""COMPUTED_VALUE"""),"")</f>
        <v/>
      </c>
      <c r="O516" s="36" t="str">
        <f ca="1">IFERROR(__xludf.DUMMYFUNCTION("""COMPUTED_VALUE"""),"")</f>
        <v/>
      </c>
      <c r="P516" s="36" t="str">
        <f ca="1">IFERROR(__xludf.DUMMYFUNCTION("""COMPUTED_VALUE"""),"")</f>
        <v/>
      </c>
      <c r="Q516" s="36" t="str">
        <f ca="1">IFERROR(__xludf.DUMMYFUNCTION("""COMPUTED_VALUE"""),"")</f>
        <v/>
      </c>
      <c r="R516" s="36" t="str">
        <f ca="1">IFERROR(__xludf.DUMMYFUNCTION("""COMPUTED_VALUE"""),"")</f>
        <v/>
      </c>
      <c r="S516" s="36" t="str">
        <f ca="1">IFERROR(__xludf.DUMMYFUNCTION("""COMPUTED_VALUE"""),"")</f>
        <v/>
      </c>
      <c r="T516" s="36" t="str">
        <f ca="1">IFERROR(__xludf.DUMMYFUNCTION("""COMPUTED_VALUE"""),"")</f>
        <v/>
      </c>
      <c r="U516" s="36" t="str">
        <f ca="1">IFERROR(__xludf.DUMMYFUNCTION("""COMPUTED_VALUE"""),"")</f>
        <v/>
      </c>
      <c r="V516" s="36" t="str">
        <f ca="1">IFERROR(__xludf.DUMMYFUNCTION("""COMPUTED_VALUE"""),"")</f>
        <v/>
      </c>
      <c r="W516" s="36" t="str">
        <f ca="1">IFERROR(__xludf.DUMMYFUNCTION("""COMPUTED_VALUE"""),"")</f>
        <v/>
      </c>
      <c r="X516" s="36"/>
      <c r="Y516" s="36"/>
      <c r="Z516" s="36"/>
    </row>
    <row r="517" spans="1:26" ht="12.75" hidden="1">
      <c r="A517" s="36" t="str">
        <f ca="1">IFERROR(__xludf.DUMMYFUNCTION("""COMPUTED_VALUE"""),"")</f>
        <v/>
      </c>
      <c r="B517" s="36" t="str">
        <f ca="1">IFERROR(__xludf.DUMMYFUNCTION("""COMPUTED_VALUE"""),"")</f>
        <v/>
      </c>
      <c r="C517" s="36" t="str">
        <f ca="1">IFERROR(__xludf.DUMMYFUNCTION("""COMPUTED_VALUE"""),"")</f>
        <v/>
      </c>
      <c r="D517" s="36" t="str">
        <f ca="1">IFERROR(__xludf.DUMMYFUNCTION("""COMPUTED_VALUE"""),"")</f>
        <v/>
      </c>
      <c r="E517" s="36" t="str">
        <f ca="1">IFERROR(__xludf.DUMMYFUNCTION("""COMPUTED_VALUE"""),"")</f>
        <v/>
      </c>
      <c r="F517" s="36" t="str">
        <f ca="1">IFERROR(__xludf.DUMMYFUNCTION("""COMPUTED_VALUE"""),"")</f>
        <v/>
      </c>
      <c r="G517" s="36" t="str">
        <f ca="1">IFERROR(__xludf.DUMMYFUNCTION("""COMPUTED_VALUE"""),"")</f>
        <v/>
      </c>
      <c r="H517" s="36" t="str">
        <f ca="1">IFERROR(__xludf.DUMMYFUNCTION("""COMPUTED_VALUE"""),"")</f>
        <v/>
      </c>
      <c r="I517" s="36" t="str">
        <f ca="1">IFERROR(__xludf.DUMMYFUNCTION("""COMPUTED_VALUE"""),"")</f>
        <v/>
      </c>
      <c r="J517" s="36" t="str">
        <f ca="1">IFERROR(__xludf.DUMMYFUNCTION("""COMPUTED_VALUE"""),"")</f>
        <v/>
      </c>
      <c r="K517" s="36" t="str">
        <f ca="1">IFERROR(__xludf.DUMMYFUNCTION("""COMPUTED_VALUE"""),"")</f>
        <v/>
      </c>
      <c r="L517" s="36" t="str">
        <f ca="1">IFERROR(__xludf.DUMMYFUNCTION("""COMPUTED_VALUE"""),"")</f>
        <v/>
      </c>
      <c r="M517" s="36" t="str">
        <f ca="1">IFERROR(__xludf.DUMMYFUNCTION("""COMPUTED_VALUE"""),"")</f>
        <v/>
      </c>
      <c r="N517" s="36" t="str">
        <f ca="1">IFERROR(__xludf.DUMMYFUNCTION("""COMPUTED_VALUE"""),"")</f>
        <v/>
      </c>
      <c r="O517" s="36" t="str">
        <f ca="1">IFERROR(__xludf.DUMMYFUNCTION("""COMPUTED_VALUE"""),"")</f>
        <v/>
      </c>
      <c r="P517" s="36" t="str">
        <f ca="1">IFERROR(__xludf.DUMMYFUNCTION("""COMPUTED_VALUE"""),"")</f>
        <v/>
      </c>
      <c r="Q517" s="36" t="str">
        <f ca="1">IFERROR(__xludf.DUMMYFUNCTION("""COMPUTED_VALUE"""),"")</f>
        <v/>
      </c>
      <c r="R517" s="36" t="str">
        <f ca="1">IFERROR(__xludf.DUMMYFUNCTION("""COMPUTED_VALUE"""),"")</f>
        <v/>
      </c>
      <c r="S517" s="36" t="str">
        <f ca="1">IFERROR(__xludf.DUMMYFUNCTION("""COMPUTED_VALUE"""),"")</f>
        <v/>
      </c>
      <c r="T517" s="36" t="str">
        <f ca="1">IFERROR(__xludf.DUMMYFUNCTION("""COMPUTED_VALUE"""),"")</f>
        <v/>
      </c>
      <c r="U517" s="36" t="str">
        <f ca="1">IFERROR(__xludf.DUMMYFUNCTION("""COMPUTED_VALUE"""),"")</f>
        <v/>
      </c>
      <c r="V517" s="36" t="str">
        <f ca="1">IFERROR(__xludf.DUMMYFUNCTION("""COMPUTED_VALUE"""),"")</f>
        <v/>
      </c>
      <c r="W517" s="36" t="str">
        <f ca="1">IFERROR(__xludf.DUMMYFUNCTION("""COMPUTED_VALUE"""),"")</f>
        <v/>
      </c>
      <c r="X517" s="36"/>
      <c r="Y517" s="36"/>
      <c r="Z517" s="36"/>
    </row>
    <row r="518" spans="1:26" ht="12.75" hidden="1">
      <c r="A518" s="36" t="str">
        <f ca="1">IFERROR(__xludf.DUMMYFUNCTION("""COMPUTED_VALUE"""),"")</f>
        <v/>
      </c>
      <c r="B518" s="36" t="str">
        <f ca="1">IFERROR(__xludf.DUMMYFUNCTION("""COMPUTED_VALUE"""),"")</f>
        <v/>
      </c>
      <c r="C518" s="36" t="str">
        <f ca="1">IFERROR(__xludf.DUMMYFUNCTION("""COMPUTED_VALUE"""),"")</f>
        <v/>
      </c>
      <c r="D518" s="36" t="str">
        <f ca="1">IFERROR(__xludf.DUMMYFUNCTION("""COMPUTED_VALUE"""),"")</f>
        <v/>
      </c>
      <c r="E518" s="36" t="str">
        <f ca="1">IFERROR(__xludf.DUMMYFUNCTION("""COMPUTED_VALUE"""),"")</f>
        <v/>
      </c>
      <c r="F518" s="36" t="str">
        <f ca="1">IFERROR(__xludf.DUMMYFUNCTION("""COMPUTED_VALUE"""),"")</f>
        <v/>
      </c>
      <c r="G518" s="36" t="str">
        <f ca="1">IFERROR(__xludf.DUMMYFUNCTION("""COMPUTED_VALUE"""),"")</f>
        <v/>
      </c>
      <c r="H518" s="36" t="str">
        <f ca="1">IFERROR(__xludf.DUMMYFUNCTION("""COMPUTED_VALUE"""),"")</f>
        <v/>
      </c>
      <c r="I518" s="36" t="str">
        <f ca="1">IFERROR(__xludf.DUMMYFUNCTION("""COMPUTED_VALUE"""),"")</f>
        <v/>
      </c>
      <c r="J518" s="36" t="str">
        <f ca="1">IFERROR(__xludf.DUMMYFUNCTION("""COMPUTED_VALUE"""),"")</f>
        <v/>
      </c>
      <c r="K518" s="36" t="str">
        <f ca="1">IFERROR(__xludf.DUMMYFUNCTION("""COMPUTED_VALUE"""),"")</f>
        <v/>
      </c>
      <c r="L518" s="36" t="str">
        <f ca="1">IFERROR(__xludf.DUMMYFUNCTION("""COMPUTED_VALUE"""),"")</f>
        <v/>
      </c>
      <c r="M518" s="36" t="str">
        <f ca="1">IFERROR(__xludf.DUMMYFUNCTION("""COMPUTED_VALUE"""),"")</f>
        <v/>
      </c>
      <c r="N518" s="36" t="str">
        <f ca="1">IFERROR(__xludf.DUMMYFUNCTION("""COMPUTED_VALUE"""),"")</f>
        <v/>
      </c>
      <c r="O518" s="36" t="str">
        <f ca="1">IFERROR(__xludf.DUMMYFUNCTION("""COMPUTED_VALUE"""),"")</f>
        <v/>
      </c>
      <c r="P518" s="36" t="str">
        <f ca="1">IFERROR(__xludf.DUMMYFUNCTION("""COMPUTED_VALUE"""),"")</f>
        <v/>
      </c>
      <c r="Q518" s="36" t="str">
        <f ca="1">IFERROR(__xludf.DUMMYFUNCTION("""COMPUTED_VALUE"""),"")</f>
        <v/>
      </c>
      <c r="R518" s="36" t="str">
        <f ca="1">IFERROR(__xludf.DUMMYFUNCTION("""COMPUTED_VALUE"""),"")</f>
        <v/>
      </c>
      <c r="S518" s="36" t="str">
        <f ca="1">IFERROR(__xludf.DUMMYFUNCTION("""COMPUTED_VALUE"""),"")</f>
        <v/>
      </c>
      <c r="T518" s="36" t="str">
        <f ca="1">IFERROR(__xludf.DUMMYFUNCTION("""COMPUTED_VALUE"""),"")</f>
        <v/>
      </c>
      <c r="U518" s="36" t="str">
        <f ca="1">IFERROR(__xludf.DUMMYFUNCTION("""COMPUTED_VALUE"""),"")</f>
        <v/>
      </c>
      <c r="V518" s="36" t="str">
        <f ca="1">IFERROR(__xludf.DUMMYFUNCTION("""COMPUTED_VALUE"""),"")</f>
        <v/>
      </c>
      <c r="W518" s="36" t="str">
        <f ca="1">IFERROR(__xludf.DUMMYFUNCTION("""COMPUTED_VALUE"""),"")</f>
        <v/>
      </c>
      <c r="X518" s="36"/>
      <c r="Y518" s="36"/>
      <c r="Z518" s="36"/>
    </row>
    <row r="519" spans="1:26" ht="12.75" hidden="1">
      <c r="A519" s="36" t="str">
        <f ca="1">IFERROR(__xludf.DUMMYFUNCTION("""COMPUTED_VALUE"""),"")</f>
        <v/>
      </c>
      <c r="B519" s="36" t="str">
        <f ca="1">IFERROR(__xludf.DUMMYFUNCTION("""COMPUTED_VALUE"""),"")</f>
        <v/>
      </c>
      <c r="C519" s="36" t="str">
        <f ca="1">IFERROR(__xludf.DUMMYFUNCTION("""COMPUTED_VALUE"""),"")</f>
        <v/>
      </c>
      <c r="D519" s="36" t="str">
        <f ca="1">IFERROR(__xludf.DUMMYFUNCTION("""COMPUTED_VALUE"""),"")</f>
        <v/>
      </c>
      <c r="E519" s="36" t="str">
        <f ca="1">IFERROR(__xludf.DUMMYFUNCTION("""COMPUTED_VALUE"""),"")</f>
        <v/>
      </c>
      <c r="F519" s="36" t="str">
        <f ca="1">IFERROR(__xludf.DUMMYFUNCTION("""COMPUTED_VALUE"""),"")</f>
        <v/>
      </c>
      <c r="G519" s="36" t="str">
        <f ca="1">IFERROR(__xludf.DUMMYFUNCTION("""COMPUTED_VALUE"""),"")</f>
        <v/>
      </c>
      <c r="H519" s="36" t="str">
        <f ca="1">IFERROR(__xludf.DUMMYFUNCTION("""COMPUTED_VALUE"""),"")</f>
        <v/>
      </c>
      <c r="I519" s="36" t="str">
        <f ca="1">IFERROR(__xludf.DUMMYFUNCTION("""COMPUTED_VALUE"""),"")</f>
        <v/>
      </c>
      <c r="J519" s="36" t="str">
        <f ca="1">IFERROR(__xludf.DUMMYFUNCTION("""COMPUTED_VALUE"""),"")</f>
        <v/>
      </c>
      <c r="K519" s="36" t="str">
        <f ca="1">IFERROR(__xludf.DUMMYFUNCTION("""COMPUTED_VALUE"""),"")</f>
        <v/>
      </c>
      <c r="L519" s="36" t="str">
        <f ca="1">IFERROR(__xludf.DUMMYFUNCTION("""COMPUTED_VALUE"""),"")</f>
        <v/>
      </c>
      <c r="M519" s="36" t="str">
        <f ca="1">IFERROR(__xludf.DUMMYFUNCTION("""COMPUTED_VALUE"""),"")</f>
        <v/>
      </c>
      <c r="N519" s="36" t="str">
        <f ca="1">IFERROR(__xludf.DUMMYFUNCTION("""COMPUTED_VALUE"""),"")</f>
        <v/>
      </c>
      <c r="O519" s="36" t="str">
        <f ca="1">IFERROR(__xludf.DUMMYFUNCTION("""COMPUTED_VALUE"""),"")</f>
        <v/>
      </c>
      <c r="P519" s="36" t="str">
        <f ca="1">IFERROR(__xludf.DUMMYFUNCTION("""COMPUTED_VALUE"""),"")</f>
        <v/>
      </c>
      <c r="Q519" s="36" t="str">
        <f ca="1">IFERROR(__xludf.DUMMYFUNCTION("""COMPUTED_VALUE"""),"")</f>
        <v/>
      </c>
      <c r="R519" s="36" t="str">
        <f ca="1">IFERROR(__xludf.DUMMYFUNCTION("""COMPUTED_VALUE"""),"")</f>
        <v/>
      </c>
      <c r="S519" s="36" t="str">
        <f ca="1">IFERROR(__xludf.DUMMYFUNCTION("""COMPUTED_VALUE"""),"")</f>
        <v/>
      </c>
      <c r="T519" s="36" t="str">
        <f ca="1">IFERROR(__xludf.DUMMYFUNCTION("""COMPUTED_VALUE"""),"")</f>
        <v/>
      </c>
      <c r="U519" s="36" t="str">
        <f ca="1">IFERROR(__xludf.DUMMYFUNCTION("""COMPUTED_VALUE"""),"")</f>
        <v/>
      </c>
      <c r="V519" s="36" t="str">
        <f ca="1">IFERROR(__xludf.DUMMYFUNCTION("""COMPUTED_VALUE"""),"")</f>
        <v/>
      </c>
      <c r="W519" s="36" t="str">
        <f ca="1">IFERROR(__xludf.DUMMYFUNCTION("""COMPUTED_VALUE"""),"")</f>
        <v/>
      </c>
      <c r="X519" s="36"/>
      <c r="Y519" s="36"/>
      <c r="Z519" s="36"/>
    </row>
    <row r="520" spans="1:26" ht="12.75" hidden="1">
      <c r="A520" s="36" t="str">
        <f ca="1">IFERROR(__xludf.DUMMYFUNCTION("""COMPUTED_VALUE"""),"")</f>
        <v/>
      </c>
      <c r="B520" s="36" t="str">
        <f ca="1">IFERROR(__xludf.DUMMYFUNCTION("""COMPUTED_VALUE"""),"")</f>
        <v/>
      </c>
      <c r="C520" s="36" t="str">
        <f ca="1">IFERROR(__xludf.DUMMYFUNCTION("""COMPUTED_VALUE"""),"")</f>
        <v/>
      </c>
      <c r="D520" s="36" t="str">
        <f ca="1">IFERROR(__xludf.DUMMYFUNCTION("""COMPUTED_VALUE"""),"")</f>
        <v/>
      </c>
      <c r="E520" s="36" t="str">
        <f ca="1">IFERROR(__xludf.DUMMYFUNCTION("""COMPUTED_VALUE"""),"")</f>
        <v/>
      </c>
      <c r="F520" s="36" t="str">
        <f ca="1">IFERROR(__xludf.DUMMYFUNCTION("""COMPUTED_VALUE"""),"")</f>
        <v/>
      </c>
      <c r="G520" s="36" t="str">
        <f ca="1">IFERROR(__xludf.DUMMYFUNCTION("""COMPUTED_VALUE"""),"")</f>
        <v/>
      </c>
      <c r="H520" s="36" t="str">
        <f ca="1">IFERROR(__xludf.DUMMYFUNCTION("""COMPUTED_VALUE"""),"")</f>
        <v/>
      </c>
      <c r="I520" s="36" t="str">
        <f ca="1">IFERROR(__xludf.DUMMYFUNCTION("""COMPUTED_VALUE"""),"")</f>
        <v/>
      </c>
      <c r="J520" s="36" t="str">
        <f ca="1">IFERROR(__xludf.DUMMYFUNCTION("""COMPUTED_VALUE"""),"")</f>
        <v/>
      </c>
      <c r="K520" s="36" t="str">
        <f ca="1">IFERROR(__xludf.DUMMYFUNCTION("""COMPUTED_VALUE"""),"")</f>
        <v/>
      </c>
      <c r="L520" s="36" t="str">
        <f ca="1">IFERROR(__xludf.DUMMYFUNCTION("""COMPUTED_VALUE"""),"")</f>
        <v/>
      </c>
      <c r="M520" s="36" t="str">
        <f ca="1">IFERROR(__xludf.DUMMYFUNCTION("""COMPUTED_VALUE"""),"")</f>
        <v/>
      </c>
      <c r="N520" s="36" t="str">
        <f ca="1">IFERROR(__xludf.DUMMYFUNCTION("""COMPUTED_VALUE"""),"")</f>
        <v/>
      </c>
      <c r="O520" s="36" t="str">
        <f ca="1">IFERROR(__xludf.DUMMYFUNCTION("""COMPUTED_VALUE"""),"")</f>
        <v/>
      </c>
      <c r="P520" s="36" t="str">
        <f ca="1">IFERROR(__xludf.DUMMYFUNCTION("""COMPUTED_VALUE"""),"")</f>
        <v/>
      </c>
      <c r="Q520" s="36" t="str">
        <f ca="1">IFERROR(__xludf.DUMMYFUNCTION("""COMPUTED_VALUE"""),"")</f>
        <v/>
      </c>
      <c r="R520" s="36" t="str">
        <f ca="1">IFERROR(__xludf.DUMMYFUNCTION("""COMPUTED_VALUE"""),"")</f>
        <v/>
      </c>
      <c r="S520" s="36" t="str">
        <f ca="1">IFERROR(__xludf.DUMMYFUNCTION("""COMPUTED_VALUE"""),"")</f>
        <v/>
      </c>
      <c r="T520" s="36" t="str">
        <f ca="1">IFERROR(__xludf.DUMMYFUNCTION("""COMPUTED_VALUE"""),"")</f>
        <v/>
      </c>
      <c r="U520" s="36" t="str">
        <f ca="1">IFERROR(__xludf.DUMMYFUNCTION("""COMPUTED_VALUE"""),"")</f>
        <v/>
      </c>
      <c r="V520" s="36" t="str">
        <f ca="1">IFERROR(__xludf.DUMMYFUNCTION("""COMPUTED_VALUE"""),"")</f>
        <v/>
      </c>
      <c r="W520" s="36" t="str">
        <f ca="1">IFERROR(__xludf.DUMMYFUNCTION("""COMPUTED_VALUE"""),"")</f>
        <v/>
      </c>
      <c r="X520" s="36"/>
      <c r="Y520" s="36"/>
      <c r="Z520" s="36"/>
    </row>
    <row r="521" spans="1:26" ht="12.75" hidden="1">
      <c r="A521" s="36" t="str">
        <f ca="1">IFERROR(__xludf.DUMMYFUNCTION("""COMPUTED_VALUE"""),"")</f>
        <v/>
      </c>
      <c r="B521" s="36" t="str">
        <f ca="1">IFERROR(__xludf.DUMMYFUNCTION("""COMPUTED_VALUE"""),"")</f>
        <v/>
      </c>
      <c r="C521" s="36" t="str">
        <f ca="1">IFERROR(__xludf.DUMMYFUNCTION("""COMPUTED_VALUE"""),"")</f>
        <v/>
      </c>
      <c r="D521" s="36" t="str">
        <f ca="1">IFERROR(__xludf.DUMMYFUNCTION("""COMPUTED_VALUE"""),"")</f>
        <v/>
      </c>
      <c r="E521" s="36" t="str">
        <f ca="1">IFERROR(__xludf.DUMMYFUNCTION("""COMPUTED_VALUE"""),"")</f>
        <v/>
      </c>
      <c r="F521" s="36" t="str">
        <f ca="1">IFERROR(__xludf.DUMMYFUNCTION("""COMPUTED_VALUE"""),"")</f>
        <v/>
      </c>
      <c r="G521" s="36" t="str">
        <f ca="1">IFERROR(__xludf.DUMMYFUNCTION("""COMPUTED_VALUE"""),"")</f>
        <v/>
      </c>
      <c r="H521" s="36" t="str">
        <f ca="1">IFERROR(__xludf.DUMMYFUNCTION("""COMPUTED_VALUE"""),"")</f>
        <v/>
      </c>
      <c r="I521" s="36" t="str">
        <f ca="1">IFERROR(__xludf.DUMMYFUNCTION("""COMPUTED_VALUE"""),"")</f>
        <v/>
      </c>
      <c r="J521" s="36" t="str">
        <f ca="1">IFERROR(__xludf.DUMMYFUNCTION("""COMPUTED_VALUE"""),"")</f>
        <v/>
      </c>
      <c r="K521" s="36" t="str">
        <f ca="1">IFERROR(__xludf.DUMMYFUNCTION("""COMPUTED_VALUE"""),"")</f>
        <v/>
      </c>
      <c r="L521" s="36" t="str">
        <f ca="1">IFERROR(__xludf.DUMMYFUNCTION("""COMPUTED_VALUE"""),"")</f>
        <v/>
      </c>
      <c r="M521" s="36" t="str">
        <f ca="1">IFERROR(__xludf.DUMMYFUNCTION("""COMPUTED_VALUE"""),"")</f>
        <v/>
      </c>
      <c r="N521" s="36" t="str">
        <f ca="1">IFERROR(__xludf.DUMMYFUNCTION("""COMPUTED_VALUE"""),"")</f>
        <v/>
      </c>
      <c r="O521" s="36" t="str">
        <f ca="1">IFERROR(__xludf.DUMMYFUNCTION("""COMPUTED_VALUE"""),"")</f>
        <v/>
      </c>
      <c r="P521" s="36" t="str">
        <f ca="1">IFERROR(__xludf.DUMMYFUNCTION("""COMPUTED_VALUE"""),"")</f>
        <v/>
      </c>
      <c r="Q521" s="36" t="str">
        <f ca="1">IFERROR(__xludf.DUMMYFUNCTION("""COMPUTED_VALUE"""),"")</f>
        <v/>
      </c>
      <c r="R521" s="36" t="str">
        <f ca="1">IFERROR(__xludf.DUMMYFUNCTION("""COMPUTED_VALUE"""),"")</f>
        <v/>
      </c>
      <c r="S521" s="36" t="str">
        <f ca="1">IFERROR(__xludf.DUMMYFUNCTION("""COMPUTED_VALUE"""),"")</f>
        <v/>
      </c>
      <c r="T521" s="36" t="str">
        <f ca="1">IFERROR(__xludf.DUMMYFUNCTION("""COMPUTED_VALUE"""),"")</f>
        <v/>
      </c>
      <c r="U521" s="36" t="str">
        <f ca="1">IFERROR(__xludf.DUMMYFUNCTION("""COMPUTED_VALUE"""),"")</f>
        <v/>
      </c>
      <c r="V521" s="36" t="str">
        <f ca="1">IFERROR(__xludf.DUMMYFUNCTION("""COMPUTED_VALUE"""),"")</f>
        <v/>
      </c>
      <c r="W521" s="36" t="str">
        <f ca="1">IFERROR(__xludf.DUMMYFUNCTION("""COMPUTED_VALUE"""),"")</f>
        <v/>
      </c>
      <c r="X521" s="36"/>
      <c r="Y521" s="36"/>
      <c r="Z521" s="36"/>
    </row>
    <row r="522" spans="1:26" ht="12.75" hidden="1">
      <c r="A522" s="36" t="str">
        <f ca="1">IFERROR(__xludf.DUMMYFUNCTION("""COMPUTED_VALUE"""),"")</f>
        <v/>
      </c>
      <c r="B522" s="36" t="str">
        <f ca="1">IFERROR(__xludf.DUMMYFUNCTION("""COMPUTED_VALUE"""),"")</f>
        <v/>
      </c>
      <c r="C522" s="36" t="str">
        <f ca="1">IFERROR(__xludf.DUMMYFUNCTION("""COMPUTED_VALUE"""),"")</f>
        <v/>
      </c>
      <c r="D522" s="36" t="str">
        <f ca="1">IFERROR(__xludf.DUMMYFUNCTION("""COMPUTED_VALUE"""),"")</f>
        <v/>
      </c>
      <c r="E522" s="36" t="str">
        <f ca="1">IFERROR(__xludf.DUMMYFUNCTION("""COMPUTED_VALUE"""),"")</f>
        <v/>
      </c>
      <c r="F522" s="36" t="str">
        <f ca="1">IFERROR(__xludf.DUMMYFUNCTION("""COMPUTED_VALUE"""),"")</f>
        <v/>
      </c>
      <c r="G522" s="36" t="str">
        <f ca="1">IFERROR(__xludf.DUMMYFUNCTION("""COMPUTED_VALUE"""),"")</f>
        <v/>
      </c>
      <c r="H522" s="36" t="str">
        <f ca="1">IFERROR(__xludf.DUMMYFUNCTION("""COMPUTED_VALUE"""),"")</f>
        <v/>
      </c>
      <c r="I522" s="36" t="str">
        <f ca="1">IFERROR(__xludf.DUMMYFUNCTION("""COMPUTED_VALUE"""),"")</f>
        <v/>
      </c>
      <c r="J522" s="36" t="str">
        <f ca="1">IFERROR(__xludf.DUMMYFUNCTION("""COMPUTED_VALUE"""),"")</f>
        <v/>
      </c>
      <c r="K522" s="36" t="str">
        <f ca="1">IFERROR(__xludf.DUMMYFUNCTION("""COMPUTED_VALUE"""),"")</f>
        <v/>
      </c>
      <c r="L522" s="36" t="str">
        <f ca="1">IFERROR(__xludf.DUMMYFUNCTION("""COMPUTED_VALUE"""),"")</f>
        <v/>
      </c>
      <c r="M522" s="36" t="str">
        <f ca="1">IFERROR(__xludf.DUMMYFUNCTION("""COMPUTED_VALUE"""),"")</f>
        <v/>
      </c>
      <c r="N522" s="36" t="str">
        <f ca="1">IFERROR(__xludf.DUMMYFUNCTION("""COMPUTED_VALUE"""),"")</f>
        <v/>
      </c>
      <c r="O522" s="36" t="str">
        <f ca="1">IFERROR(__xludf.DUMMYFUNCTION("""COMPUTED_VALUE"""),"")</f>
        <v/>
      </c>
      <c r="P522" s="36" t="str">
        <f ca="1">IFERROR(__xludf.DUMMYFUNCTION("""COMPUTED_VALUE"""),"")</f>
        <v/>
      </c>
      <c r="Q522" s="36" t="str">
        <f ca="1">IFERROR(__xludf.DUMMYFUNCTION("""COMPUTED_VALUE"""),"")</f>
        <v/>
      </c>
      <c r="R522" s="36" t="str">
        <f ca="1">IFERROR(__xludf.DUMMYFUNCTION("""COMPUTED_VALUE"""),"")</f>
        <v/>
      </c>
      <c r="S522" s="36" t="str">
        <f ca="1">IFERROR(__xludf.DUMMYFUNCTION("""COMPUTED_VALUE"""),"")</f>
        <v/>
      </c>
      <c r="T522" s="36" t="str">
        <f ca="1">IFERROR(__xludf.DUMMYFUNCTION("""COMPUTED_VALUE"""),"")</f>
        <v/>
      </c>
      <c r="U522" s="36" t="str">
        <f ca="1">IFERROR(__xludf.DUMMYFUNCTION("""COMPUTED_VALUE"""),"")</f>
        <v/>
      </c>
      <c r="V522" s="36" t="str">
        <f ca="1">IFERROR(__xludf.DUMMYFUNCTION("""COMPUTED_VALUE"""),"")</f>
        <v/>
      </c>
      <c r="W522" s="36" t="str">
        <f ca="1">IFERROR(__xludf.DUMMYFUNCTION("""COMPUTED_VALUE"""),"")</f>
        <v/>
      </c>
      <c r="X522" s="36"/>
      <c r="Y522" s="36"/>
      <c r="Z522" s="36"/>
    </row>
    <row r="523" spans="1:26" ht="12.75" hidden="1">
      <c r="A523" s="36" t="str">
        <f ca="1">IFERROR(__xludf.DUMMYFUNCTION("""COMPUTED_VALUE"""),"")</f>
        <v/>
      </c>
      <c r="B523" s="36" t="str">
        <f ca="1">IFERROR(__xludf.DUMMYFUNCTION("""COMPUTED_VALUE"""),"")</f>
        <v/>
      </c>
      <c r="C523" s="36" t="str">
        <f ca="1">IFERROR(__xludf.DUMMYFUNCTION("""COMPUTED_VALUE"""),"")</f>
        <v/>
      </c>
      <c r="D523" s="36" t="str">
        <f ca="1">IFERROR(__xludf.DUMMYFUNCTION("""COMPUTED_VALUE"""),"")</f>
        <v/>
      </c>
      <c r="E523" s="36" t="str">
        <f ca="1">IFERROR(__xludf.DUMMYFUNCTION("""COMPUTED_VALUE"""),"")</f>
        <v/>
      </c>
      <c r="F523" s="36" t="str">
        <f ca="1">IFERROR(__xludf.DUMMYFUNCTION("""COMPUTED_VALUE"""),"")</f>
        <v/>
      </c>
      <c r="G523" s="36" t="str">
        <f ca="1">IFERROR(__xludf.DUMMYFUNCTION("""COMPUTED_VALUE"""),"")</f>
        <v/>
      </c>
      <c r="H523" s="36" t="str">
        <f ca="1">IFERROR(__xludf.DUMMYFUNCTION("""COMPUTED_VALUE"""),"")</f>
        <v/>
      </c>
      <c r="I523" s="36" t="str">
        <f ca="1">IFERROR(__xludf.DUMMYFUNCTION("""COMPUTED_VALUE"""),"")</f>
        <v/>
      </c>
      <c r="J523" s="36" t="str">
        <f ca="1">IFERROR(__xludf.DUMMYFUNCTION("""COMPUTED_VALUE"""),"")</f>
        <v/>
      </c>
      <c r="K523" s="36" t="str">
        <f ca="1">IFERROR(__xludf.DUMMYFUNCTION("""COMPUTED_VALUE"""),"")</f>
        <v/>
      </c>
      <c r="L523" s="36" t="str">
        <f ca="1">IFERROR(__xludf.DUMMYFUNCTION("""COMPUTED_VALUE"""),"")</f>
        <v/>
      </c>
      <c r="M523" s="36" t="str">
        <f ca="1">IFERROR(__xludf.DUMMYFUNCTION("""COMPUTED_VALUE"""),"")</f>
        <v/>
      </c>
      <c r="N523" s="36" t="str">
        <f ca="1">IFERROR(__xludf.DUMMYFUNCTION("""COMPUTED_VALUE"""),"")</f>
        <v/>
      </c>
      <c r="O523" s="36" t="str">
        <f ca="1">IFERROR(__xludf.DUMMYFUNCTION("""COMPUTED_VALUE"""),"")</f>
        <v/>
      </c>
      <c r="P523" s="36" t="str">
        <f ca="1">IFERROR(__xludf.DUMMYFUNCTION("""COMPUTED_VALUE"""),"")</f>
        <v/>
      </c>
      <c r="Q523" s="36" t="str">
        <f ca="1">IFERROR(__xludf.DUMMYFUNCTION("""COMPUTED_VALUE"""),"")</f>
        <v/>
      </c>
      <c r="R523" s="36" t="str">
        <f ca="1">IFERROR(__xludf.DUMMYFUNCTION("""COMPUTED_VALUE"""),"")</f>
        <v/>
      </c>
      <c r="S523" s="36" t="str">
        <f ca="1">IFERROR(__xludf.DUMMYFUNCTION("""COMPUTED_VALUE"""),"")</f>
        <v/>
      </c>
      <c r="T523" s="36" t="str">
        <f ca="1">IFERROR(__xludf.DUMMYFUNCTION("""COMPUTED_VALUE"""),"")</f>
        <v/>
      </c>
      <c r="U523" s="36" t="str">
        <f ca="1">IFERROR(__xludf.DUMMYFUNCTION("""COMPUTED_VALUE"""),"")</f>
        <v/>
      </c>
      <c r="V523" s="36" t="str">
        <f ca="1">IFERROR(__xludf.DUMMYFUNCTION("""COMPUTED_VALUE"""),"")</f>
        <v/>
      </c>
      <c r="W523" s="36" t="str">
        <f ca="1">IFERROR(__xludf.DUMMYFUNCTION("""COMPUTED_VALUE"""),"")</f>
        <v/>
      </c>
      <c r="X523" s="36"/>
      <c r="Y523" s="36"/>
      <c r="Z523" s="36"/>
    </row>
    <row r="524" spans="1:26" ht="12.75" hidden="1">
      <c r="A524" s="36" t="str">
        <f ca="1">IFERROR(__xludf.DUMMYFUNCTION("""COMPUTED_VALUE"""),"")</f>
        <v/>
      </c>
      <c r="B524" s="36" t="str">
        <f ca="1">IFERROR(__xludf.DUMMYFUNCTION("""COMPUTED_VALUE"""),"")</f>
        <v/>
      </c>
      <c r="C524" s="36" t="str">
        <f ca="1">IFERROR(__xludf.DUMMYFUNCTION("""COMPUTED_VALUE"""),"")</f>
        <v/>
      </c>
      <c r="D524" s="36" t="str">
        <f ca="1">IFERROR(__xludf.DUMMYFUNCTION("""COMPUTED_VALUE"""),"")</f>
        <v/>
      </c>
      <c r="E524" s="36" t="str">
        <f ca="1">IFERROR(__xludf.DUMMYFUNCTION("""COMPUTED_VALUE"""),"")</f>
        <v/>
      </c>
      <c r="F524" s="36" t="str">
        <f ca="1">IFERROR(__xludf.DUMMYFUNCTION("""COMPUTED_VALUE"""),"")</f>
        <v/>
      </c>
      <c r="G524" s="36" t="str">
        <f ca="1">IFERROR(__xludf.DUMMYFUNCTION("""COMPUTED_VALUE"""),"")</f>
        <v/>
      </c>
      <c r="H524" s="36" t="str">
        <f ca="1">IFERROR(__xludf.DUMMYFUNCTION("""COMPUTED_VALUE"""),"")</f>
        <v/>
      </c>
      <c r="I524" s="36" t="str">
        <f ca="1">IFERROR(__xludf.DUMMYFUNCTION("""COMPUTED_VALUE"""),"")</f>
        <v/>
      </c>
      <c r="J524" s="36" t="str">
        <f ca="1">IFERROR(__xludf.DUMMYFUNCTION("""COMPUTED_VALUE"""),"")</f>
        <v/>
      </c>
      <c r="K524" s="36" t="str">
        <f ca="1">IFERROR(__xludf.DUMMYFUNCTION("""COMPUTED_VALUE"""),"")</f>
        <v/>
      </c>
      <c r="L524" s="36" t="str">
        <f ca="1">IFERROR(__xludf.DUMMYFUNCTION("""COMPUTED_VALUE"""),"")</f>
        <v/>
      </c>
      <c r="M524" s="36" t="str">
        <f ca="1">IFERROR(__xludf.DUMMYFUNCTION("""COMPUTED_VALUE"""),"")</f>
        <v/>
      </c>
      <c r="N524" s="36" t="str">
        <f ca="1">IFERROR(__xludf.DUMMYFUNCTION("""COMPUTED_VALUE"""),"")</f>
        <v/>
      </c>
      <c r="O524" s="36" t="str">
        <f ca="1">IFERROR(__xludf.DUMMYFUNCTION("""COMPUTED_VALUE"""),"")</f>
        <v/>
      </c>
      <c r="P524" s="36" t="str">
        <f ca="1">IFERROR(__xludf.DUMMYFUNCTION("""COMPUTED_VALUE"""),"")</f>
        <v/>
      </c>
      <c r="Q524" s="36" t="str">
        <f ca="1">IFERROR(__xludf.DUMMYFUNCTION("""COMPUTED_VALUE"""),"")</f>
        <v/>
      </c>
      <c r="R524" s="36" t="str">
        <f ca="1">IFERROR(__xludf.DUMMYFUNCTION("""COMPUTED_VALUE"""),"")</f>
        <v/>
      </c>
      <c r="S524" s="36" t="str">
        <f ca="1">IFERROR(__xludf.DUMMYFUNCTION("""COMPUTED_VALUE"""),"")</f>
        <v/>
      </c>
      <c r="T524" s="36" t="str">
        <f ca="1">IFERROR(__xludf.DUMMYFUNCTION("""COMPUTED_VALUE"""),"")</f>
        <v/>
      </c>
      <c r="U524" s="36" t="str">
        <f ca="1">IFERROR(__xludf.DUMMYFUNCTION("""COMPUTED_VALUE"""),"")</f>
        <v/>
      </c>
      <c r="V524" s="36" t="str">
        <f ca="1">IFERROR(__xludf.DUMMYFUNCTION("""COMPUTED_VALUE"""),"")</f>
        <v/>
      </c>
      <c r="W524" s="36" t="str">
        <f ca="1">IFERROR(__xludf.DUMMYFUNCTION("""COMPUTED_VALUE"""),"")</f>
        <v/>
      </c>
      <c r="X524" s="36"/>
      <c r="Y524" s="36"/>
      <c r="Z524" s="36"/>
    </row>
    <row r="525" spans="1:26" ht="12.75" hidden="1">
      <c r="A525" s="36" t="str">
        <f ca="1">IFERROR(__xludf.DUMMYFUNCTION("""COMPUTED_VALUE"""),"")</f>
        <v/>
      </c>
      <c r="B525" s="36" t="str">
        <f ca="1">IFERROR(__xludf.DUMMYFUNCTION("""COMPUTED_VALUE"""),"")</f>
        <v/>
      </c>
      <c r="C525" s="36" t="str">
        <f ca="1">IFERROR(__xludf.DUMMYFUNCTION("""COMPUTED_VALUE"""),"")</f>
        <v/>
      </c>
      <c r="D525" s="36" t="str">
        <f ca="1">IFERROR(__xludf.DUMMYFUNCTION("""COMPUTED_VALUE"""),"")</f>
        <v/>
      </c>
      <c r="E525" s="36" t="str">
        <f ca="1">IFERROR(__xludf.DUMMYFUNCTION("""COMPUTED_VALUE"""),"")</f>
        <v/>
      </c>
      <c r="F525" s="36" t="str">
        <f ca="1">IFERROR(__xludf.DUMMYFUNCTION("""COMPUTED_VALUE"""),"")</f>
        <v/>
      </c>
      <c r="G525" s="36" t="str">
        <f ca="1">IFERROR(__xludf.DUMMYFUNCTION("""COMPUTED_VALUE"""),"")</f>
        <v/>
      </c>
      <c r="H525" s="36" t="str">
        <f ca="1">IFERROR(__xludf.DUMMYFUNCTION("""COMPUTED_VALUE"""),"")</f>
        <v/>
      </c>
      <c r="I525" s="36" t="str">
        <f ca="1">IFERROR(__xludf.DUMMYFUNCTION("""COMPUTED_VALUE"""),"")</f>
        <v/>
      </c>
      <c r="J525" s="36" t="str">
        <f ca="1">IFERROR(__xludf.DUMMYFUNCTION("""COMPUTED_VALUE"""),"")</f>
        <v/>
      </c>
      <c r="K525" s="36" t="str">
        <f ca="1">IFERROR(__xludf.DUMMYFUNCTION("""COMPUTED_VALUE"""),"")</f>
        <v/>
      </c>
      <c r="L525" s="36" t="str">
        <f ca="1">IFERROR(__xludf.DUMMYFUNCTION("""COMPUTED_VALUE"""),"")</f>
        <v/>
      </c>
      <c r="M525" s="36" t="str">
        <f ca="1">IFERROR(__xludf.DUMMYFUNCTION("""COMPUTED_VALUE"""),"")</f>
        <v/>
      </c>
      <c r="N525" s="36" t="str">
        <f ca="1">IFERROR(__xludf.DUMMYFUNCTION("""COMPUTED_VALUE"""),"")</f>
        <v/>
      </c>
      <c r="O525" s="36" t="str">
        <f ca="1">IFERROR(__xludf.DUMMYFUNCTION("""COMPUTED_VALUE"""),"")</f>
        <v/>
      </c>
      <c r="P525" s="36" t="str">
        <f ca="1">IFERROR(__xludf.DUMMYFUNCTION("""COMPUTED_VALUE"""),"")</f>
        <v/>
      </c>
      <c r="Q525" s="36" t="str">
        <f ca="1">IFERROR(__xludf.DUMMYFUNCTION("""COMPUTED_VALUE"""),"")</f>
        <v/>
      </c>
      <c r="R525" s="36" t="str">
        <f ca="1">IFERROR(__xludf.DUMMYFUNCTION("""COMPUTED_VALUE"""),"")</f>
        <v/>
      </c>
      <c r="S525" s="36" t="str">
        <f ca="1">IFERROR(__xludf.DUMMYFUNCTION("""COMPUTED_VALUE"""),"")</f>
        <v/>
      </c>
      <c r="T525" s="36" t="str">
        <f ca="1">IFERROR(__xludf.DUMMYFUNCTION("""COMPUTED_VALUE"""),"")</f>
        <v/>
      </c>
      <c r="U525" s="36" t="str">
        <f ca="1">IFERROR(__xludf.DUMMYFUNCTION("""COMPUTED_VALUE"""),"")</f>
        <v/>
      </c>
      <c r="V525" s="36" t="str">
        <f ca="1">IFERROR(__xludf.DUMMYFUNCTION("""COMPUTED_VALUE"""),"")</f>
        <v/>
      </c>
      <c r="W525" s="36" t="str">
        <f ca="1">IFERROR(__xludf.DUMMYFUNCTION("""COMPUTED_VALUE"""),"")</f>
        <v/>
      </c>
      <c r="X525" s="36"/>
      <c r="Y525" s="36"/>
      <c r="Z525" s="36"/>
    </row>
    <row r="526" spans="1:26" ht="12.75" hidden="1">
      <c r="A526" s="36" t="str">
        <f ca="1">IFERROR(__xludf.DUMMYFUNCTION("""COMPUTED_VALUE"""),"")</f>
        <v/>
      </c>
      <c r="B526" s="36" t="str">
        <f ca="1">IFERROR(__xludf.DUMMYFUNCTION("""COMPUTED_VALUE"""),"")</f>
        <v/>
      </c>
      <c r="C526" s="36" t="str">
        <f ca="1">IFERROR(__xludf.DUMMYFUNCTION("""COMPUTED_VALUE"""),"")</f>
        <v/>
      </c>
      <c r="D526" s="36" t="str">
        <f ca="1">IFERROR(__xludf.DUMMYFUNCTION("""COMPUTED_VALUE"""),"")</f>
        <v/>
      </c>
      <c r="E526" s="36" t="str">
        <f ca="1">IFERROR(__xludf.DUMMYFUNCTION("""COMPUTED_VALUE"""),"")</f>
        <v/>
      </c>
      <c r="F526" s="36" t="str">
        <f ca="1">IFERROR(__xludf.DUMMYFUNCTION("""COMPUTED_VALUE"""),"")</f>
        <v/>
      </c>
      <c r="G526" s="36" t="str">
        <f ca="1">IFERROR(__xludf.DUMMYFUNCTION("""COMPUTED_VALUE"""),"")</f>
        <v/>
      </c>
      <c r="H526" s="36" t="str">
        <f ca="1">IFERROR(__xludf.DUMMYFUNCTION("""COMPUTED_VALUE"""),"")</f>
        <v/>
      </c>
      <c r="I526" s="36" t="str">
        <f ca="1">IFERROR(__xludf.DUMMYFUNCTION("""COMPUTED_VALUE"""),"")</f>
        <v/>
      </c>
      <c r="J526" s="36" t="str">
        <f ca="1">IFERROR(__xludf.DUMMYFUNCTION("""COMPUTED_VALUE"""),"")</f>
        <v/>
      </c>
      <c r="K526" s="36" t="str">
        <f ca="1">IFERROR(__xludf.DUMMYFUNCTION("""COMPUTED_VALUE"""),"")</f>
        <v/>
      </c>
      <c r="L526" s="36" t="str">
        <f ca="1">IFERROR(__xludf.DUMMYFUNCTION("""COMPUTED_VALUE"""),"")</f>
        <v/>
      </c>
      <c r="M526" s="36" t="str">
        <f ca="1">IFERROR(__xludf.DUMMYFUNCTION("""COMPUTED_VALUE"""),"")</f>
        <v/>
      </c>
      <c r="N526" s="36" t="str">
        <f ca="1">IFERROR(__xludf.DUMMYFUNCTION("""COMPUTED_VALUE"""),"")</f>
        <v/>
      </c>
      <c r="O526" s="36" t="str">
        <f ca="1">IFERROR(__xludf.DUMMYFUNCTION("""COMPUTED_VALUE"""),"")</f>
        <v/>
      </c>
      <c r="P526" s="36" t="str">
        <f ca="1">IFERROR(__xludf.DUMMYFUNCTION("""COMPUTED_VALUE"""),"")</f>
        <v/>
      </c>
      <c r="Q526" s="36" t="str">
        <f ca="1">IFERROR(__xludf.DUMMYFUNCTION("""COMPUTED_VALUE"""),"")</f>
        <v/>
      </c>
      <c r="R526" s="36" t="str">
        <f ca="1">IFERROR(__xludf.DUMMYFUNCTION("""COMPUTED_VALUE"""),"")</f>
        <v/>
      </c>
      <c r="S526" s="36" t="str">
        <f ca="1">IFERROR(__xludf.DUMMYFUNCTION("""COMPUTED_VALUE"""),"")</f>
        <v/>
      </c>
      <c r="T526" s="36" t="str">
        <f ca="1">IFERROR(__xludf.DUMMYFUNCTION("""COMPUTED_VALUE"""),"")</f>
        <v/>
      </c>
      <c r="U526" s="36" t="str">
        <f ca="1">IFERROR(__xludf.DUMMYFUNCTION("""COMPUTED_VALUE"""),"")</f>
        <v/>
      </c>
      <c r="V526" s="36" t="str">
        <f ca="1">IFERROR(__xludf.DUMMYFUNCTION("""COMPUTED_VALUE"""),"")</f>
        <v/>
      </c>
      <c r="W526" s="36" t="str">
        <f ca="1">IFERROR(__xludf.DUMMYFUNCTION("""COMPUTED_VALUE"""),"")</f>
        <v/>
      </c>
      <c r="X526" s="36"/>
      <c r="Y526" s="36"/>
      <c r="Z526" s="36"/>
    </row>
    <row r="527" spans="1:26" ht="12.75" hidden="1">
      <c r="A527" s="36" t="str">
        <f ca="1">IFERROR(__xludf.DUMMYFUNCTION("""COMPUTED_VALUE"""),"")</f>
        <v/>
      </c>
      <c r="B527" s="36" t="str">
        <f ca="1">IFERROR(__xludf.DUMMYFUNCTION("""COMPUTED_VALUE"""),"")</f>
        <v/>
      </c>
      <c r="C527" s="36" t="str">
        <f ca="1">IFERROR(__xludf.DUMMYFUNCTION("""COMPUTED_VALUE"""),"")</f>
        <v/>
      </c>
      <c r="D527" s="36" t="str">
        <f ca="1">IFERROR(__xludf.DUMMYFUNCTION("""COMPUTED_VALUE"""),"")</f>
        <v/>
      </c>
      <c r="E527" s="36" t="str">
        <f ca="1">IFERROR(__xludf.DUMMYFUNCTION("""COMPUTED_VALUE"""),"")</f>
        <v/>
      </c>
      <c r="F527" s="36" t="str">
        <f ca="1">IFERROR(__xludf.DUMMYFUNCTION("""COMPUTED_VALUE"""),"")</f>
        <v/>
      </c>
      <c r="G527" s="36" t="str">
        <f ca="1">IFERROR(__xludf.DUMMYFUNCTION("""COMPUTED_VALUE"""),"")</f>
        <v/>
      </c>
      <c r="H527" s="36" t="str">
        <f ca="1">IFERROR(__xludf.DUMMYFUNCTION("""COMPUTED_VALUE"""),"")</f>
        <v/>
      </c>
      <c r="I527" s="36" t="str">
        <f ca="1">IFERROR(__xludf.DUMMYFUNCTION("""COMPUTED_VALUE"""),"")</f>
        <v/>
      </c>
      <c r="J527" s="36" t="str">
        <f ca="1">IFERROR(__xludf.DUMMYFUNCTION("""COMPUTED_VALUE"""),"")</f>
        <v/>
      </c>
      <c r="K527" s="36" t="str">
        <f ca="1">IFERROR(__xludf.DUMMYFUNCTION("""COMPUTED_VALUE"""),"")</f>
        <v/>
      </c>
      <c r="L527" s="36" t="str">
        <f ca="1">IFERROR(__xludf.DUMMYFUNCTION("""COMPUTED_VALUE"""),"")</f>
        <v/>
      </c>
      <c r="M527" s="36" t="str">
        <f ca="1">IFERROR(__xludf.DUMMYFUNCTION("""COMPUTED_VALUE"""),"")</f>
        <v/>
      </c>
      <c r="N527" s="36" t="str">
        <f ca="1">IFERROR(__xludf.DUMMYFUNCTION("""COMPUTED_VALUE"""),"")</f>
        <v/>
      </c>
      <c r="O527" s="36" t="str">
        <f ca="1">IFERROR(__xludf.DUMMYFUNCTION("""COMPUTED_VALUE"""),"")</f>
        <v/>
      </c>
      <c r="P527" s="36" t="str">
        <f ca="1">IFERROR(__xludf.DUMMYFUNCTION("""COMPUTED_VALUE"""),"")</f>
        <v/>
      </c>
      <c r="Q527" s="36" t="str">
        <f ca="1">IFERROR(__xludf.DUMMYFUNCTION("""COMPUTED_VALUE"""),"")</f>
        <v/>
      </c>
      <c r="R527" s="36" t="str">
        <f ca="1">IFERROR(__xludf.DUMMYFUNCTION("""COMPUTED_VALUE"""),"")</f>
        <v/>
      </c>
      <c r="S527" s="36" t="str">
        <f ca="1">IFERROR(__xludf.DUMMYFUNCTION("""COMPUTED_VALUE"""),"")</f>
        <v/>
      </c>
      <c r="T527" s="36" t="str">
        <f ca="1">IFERROR(__xludf.DUMMYFUNCTION("""COMPUTED_VALUE"""),"")</f>
        <v/>
      </c>
      <c r="U527" s="36" t="str">
        <f ca="1">IFERROR(__xludf.DUMMYFUNCTION("""COMPUTED_VALUE"""),"")</f>
        <v/>
      </c>
      <c r="V527" s="36" t="str">
        <f ca="1">IFERROR(__xludf.DUMMYFUNCTION("""COMPUTED_VALUE"""),"")</f>
        <v/>
      </c>
      <c r="W527" s="36" t="str">
        <f ca="1">IFERROR(__xludf.DUMMYFUNCTION("""COMPUTED_VALUE"""),"")</f>
        <v/>
      </c>
      <c r="X527" s="36"/>
      <c r="Y527" s="36"/>
      <c r="Z527" s="36"/>
    </row>
    <row r="528" spans="1:26" ht="12.75" hidden="1">
      <c r="A528" s="36" t="str">
        <f ca="1">IFERROR(__xludf.DUMMYFUNCTION("""COMPUTED_VALUE"""),"")</f>
        <v/>
      </c>
      <c r="B528" s="36" t="str">
        <f ca="1">IFERROR(__xludf.DUMMYFUNCTION("""COMPUTED_VALUE"""),"")</f>
        <v/>
      </c>
      <c r="C528" s="36" t="str">
        <f ca="1">IFERROR(__xludf.DUMMYFUNCTION("""COMPUTED_VALUE"""),"")</f>
        <v/>
      </c>
      <c r="D528" s="36" t="str">
        <f ca="1">IFERROR(__xludf.DUMMYFUNCTION("""COMPUTED_VALUE"""),"")</f>
        <v/>
      </c>
      <c r="E528" s="36" t="str">
        <f ca="1">IFERROR(__xludf.DUMMYFUNCTION("""COMPUTED_VALUE"""),"")</f>
        <v/>
      </c>
      <c r="F528" s="36" t="str">
        <f ca="1">IFERROR(__xludf.DUMMYFUNCTION("""COMPUTED_VALUE"""),"")</f>
        <v/>
      </c>
      <c r="G528" s="36" t="str">
        <f ca="1">IFERROR(__xludf.DUMMYFUNCTION("""COMPUTED_VALUE"""),"")</f>
        <v/>
      </c>
      <c r="H528" s="36" t="str">
        <f ca="1">IFERROR(__xludf.DUMMYFUNCTION("""COMPUTED_VALUE"""),"")</f>
        <v/>
      </c>
      <c r="I528" s="36" t="str">
        <f ca="1">IFERROR(__xludf.DUMMYFUNCTION("""COMPUTED_VALUE"""),"")</f>
        <v/>
      </c>
      <c r="J528" s="36" t="str">
        <f ca="1">IFERROR(__xludf.DUMMYFUNCTION("""COMPUTED_VALUE"""),"")</f>
        <v/>
      </c>
      <c r="K528" s="36" t="str">
        <f ca="1">IFERROR(__xludf.DUMMYFUNCTION("""COMPUTED_VALUE"""),"")</f>
        <v/>
      </c>
      <c r="L528" s="36" t="str">
        <f ca="1">IFERROR(__xludf.DUMMYFUNCTION("""COMPUTED_VALUE"""),"")</f>
        <v/>
      </c>
      <c r="M528" s="36" t="str">
        <f ca="1">IFERROR(__xludf.DUMMYFUNCTION("""COMPUTED_VALUE"""),"")</f>
        <v/>
      </c>
      <c r="N528" s="36" t="str">
        <f ca="1">IFERROR(__xludf.DUMMYFUNCTION("""COMPUTED_VALUE"""),"")</f>
        <v/>
      </c>
      <c r="O528" s="36" t="str">
        <f ca="1">IFERROR(__xludf.DUMMYFUNCTION("""COMPUTED_VALUE"""),"")</f>
        <v/>
      </c>
      <c r="P528" s="36" t="str">
        <f ca="1">IFERROR(__xludf.DUMMYFUNCTION("""COMPUTED_VALUE"""),"")</f>
        <v/>
      </c>
      <c r="Q528" s="36" t="str">
        <f ca="1">IFERROR(__xludf.DUMMYFUNCTION("""COMPUTED_VALUE"""),"")</f>
        <v/>
      </c>
      <c r="R528" s="36" t="str">
        <f ca="1">IFERROR(__xludf.DUMMYFUNCTION("""COMPUTED_VALUE"""),"")</f>
        <v/>
      </c>
      <c r="S528" s="36" t="str">
        <f ca="1">IFERROR(__xludf.DUMMYFUNCTION("""COMPUTED_VALUE"""),"")</f>
        <v/>
      </c>
      <c r="T528" s="36" t="str">
        <f ca="1">IFERROR(__xludf.DUMMYFUNCTION("""COMPUTED_VALUE"""),"")</f>
        <v/>
      </c>
      <c r="U528" s="36" t="str">
        <f ca="1">IFERROR(__xludf.DUMMYFUNCTION("""COMPUTED_VALUE"""),"")</f>
        <v/>
      </c>
      <c r="V528" s="36" t="str">
        <f ca="1">IFERROR(__xludf.DUMMYFUNCTION("""COMPUTED_VALUE"""),"")</f>
        <v/>
      </c>
      <c r="W528" s="36" t="str">
        <f ca="1">IFERROR(__xludf.DUMMYFUNCTION("""COMPUTED_VALUE"""),"")</f>
        <v/>
      </c>
      <c r="X528" s="36"/>
      <c r="Y528" s="36"/>
      <c r="Z528" s="36"/>
    </row>
    <row r="529" spans="1:26" ht="12.75" hidden="1">
      <c r="A529" s="36" t="str">
        <f ca="1">IFERROR(__xludf.DUMMYFUNCTION("""COMPUTED_VALUE"""),"")</f>
        <v/>
      </c>
      <c r="B529" s="36" t="str">
        <f ca="1">IFERROR(__xludf.DUMMYFUNCTION("""COMPUTED_VALUE"""),"")</f>
        <v/>
      </c>
      <c r="C529" s="36" t="str">
        <f ca="1">IFERROR(__xludf.DUMMYFUNCTION("""COMPUTED_VALUE"""),"")</f>
        <v/>
      </c>
      <c r="D529" s="36" t="str">
        <f ca="1">IFERROR(__xludf.DUMMYFUNCTION("""COMPUTED_VALUE"""),"")</f>
        <v/>
      </c>
      <c r="E529" s="36" t="str">
        <f ca="1">IFERROR(__xludf.DUMMYFUNCTION("""COMPUTED_VALUE"""),"")</f>
        <v/>
      </c>
      <c r="F529" s="36" t="str">
        <f ca="1">IFERROR(__xludf.DUMMYFUNCTION("""COMPUTED_VALUE"""),"")</f>
        <v/>
      </c>
      <c r="G529" s="36" t="str">
        <f ca="1">IFERROR(__xludf.DUMMYFUNCTION("""COMPUTED_VALUE"""),"")</f>
        <v/>
      </c>
      <c r="H529" s="36" t="str">
        <f ca="1">IFERROR(__xludf.DUMMYFUNCTION("""COMPUTED_VALUE"""),"")</f>
        <v/>
      </c>
      <c r="I529" s="36" t="str">
        <f ca="1">IFERROR(__xludf.DUMMYFUNCTION("""COMPUTED_VALUE"""),"")</f>
        <v/>
      </c>
      <c r="J529" s="36" t="str">
        <f ca="1">IFERROR(__xludf.DUMMYFUNCTION("""COMPUTED_VALUE"""),"")</f>
        <v/>
      </c>
      <c r="K529" s="36" t="str">
        <f ca="1">IFERROR(__xludf.DUMMYFUNCTION("""COMPUTED_VALUE"""),"")</f>
        <v/>
      </c>
      <c r="L529" s="36" t="str">
        <f ca="1">IFERROR(__xludf.DUMMYFUNCTION("""COMPUTED_VALUE"""),"")</f>
        <v/>
      </c>
      <c r="M529" s="36" t="str">
        <f ca="1">IFERROR(__xludf.DUMMYFUNCTION("""COMPUTED_VALUE"""),"")</f>
        <v/>
      </c>
      <c r="N529" s="36" t="str">
        <f ca="1">IFERROR(__xludf.DUMMYFUNCTION("""COMPUTED_VALUE"""),"")</f>
        <v/>
      </c>
      <c r="O529" s="36" t="str">
        <f ca="1">IFERROR(__xludf.DUMMYFUNCTION("""COMPUTED_VALUE"""),"")</f>
        <v/>
      </c>
      <c r="P529" s="36" t="str">
        <f ca="1">IFERROR(__xludf.DUMMYFUNCTION("""COMPUTED_VALUE"""),"")</f>
        <v/>
      </c>
      <c r="Q529" s="36" t="str">
        <f ca="1">IFERROR(__xludf.DUMMYFUNCTION("""COMPUTED_VALUE"""),"")</f>
        <v/>
      </c>
      <c r="R529" s="36" t="str">
        <f ca="1">IFERROR(__xludf.DUMMYFUNCTION("""COMPUTED_VALUE"""),"")</f>
        <v/>
      </c>
      <c r="S529" s="36" t="str">
        <f ca="1">IFERROR(__xludf.DUMMYFUNCTION("""COMPUTED_VALUE"""),"")</f>
        <v/>
      </c>
      <c r="T529" s="36" t="str">
        <f ca="1">IFERROR(__xludf.DUMMYFUNCTION("""COMPUTED_VALUE"""),"")</f>
        <v/>
      </c>
      <c r="U529" s="36" t="str">
        <f ca="1">IFERROR(__xludf.DUMMYFUNCTION("""COMPUTED_VALUE"""),"")</f>
        <v/>
      </c>
      <c r="V529" s="36" t="str">
        <f ca="1">IFERROR(__xludf.DUMMYFUNCTION("""COMPUTED_VALUE"""),"")</f>
        <v/>
      </c>
      <c r="W529" s="36" t="str">
        <f ca="1">IFERROR(__xludf.DUMMYFUNCTION("""COMPUTED_VALUE"""),"")</f>
        <v/>
      </c>
      <c r="X529" s="36"/>
      <c r="Y529" s="36"/>
      <c r="Z529" s="36"/>
    </row>
    <row r="530" spans="1:26" ht="12.75" hidden="1">
      <c r="A530" s="36" t="str">
        <f ca="1">IFERROR(__xludf.DUMMYFUNCTION("""COMPUTED_VALUE"""),"")</f>
        <v/>
      </c>
      <c r="B530" s="36" t="str">
        <f ca="1">IFERROR(__xludf.DUMMYFUNCTION("""COMPUTED_VALUE"""),"")</f>
        <v/>
      </c>
      <c r="C530" s="36" t="str">
        <f ca="1">IFERROR(__xludf.DUMMYFUNCTION("""COMPUTED_VALUE"""),"")</f>
        <v/>
      </c>
      <c r="D530" s="36" t="str">
        <f ca="1">IFERROR(__xludf.DUMMYFUNCTION("""COMPUTED_VALUE"""),"")</f>
        <v/>
      </c>
      <c r="E530" s="36" t="str">
        <f ca="1">IFERROR(__xludf.DUMMYFUNCTION("""COMPUTED_VALUE"""),"")</f>
        <v/>
      </c>
      <c r="F530" s="36" t="str">
        <f ca="1">IFERROR(__xludf.DUMMYFUNCTION("""COMPUTED_VALUE"""),"")</f>
        <v/>
      </c>
      <c r="G530" s="36" t="str">
        <f ca="1">IFERROR(__xludf.DUMMYFUNCTION("""COMPUTED_VALUE"""),"")</f>
        <v/>
      </c>
      <c r="H530" s="36" t="str">
        <f ca="1">IFERROR(__xludf.DUMMYFUNCTION("""COMPUTED_VALUE"""),"")</f>
        <v/>
      </c>
      <c r="I530" s="36" t="str">
        <f ca="1">IFERROR(__xludf.DUMMYFUNCTION("""COMPUTED_VALUE"""),"")</f>
        <v/>
      </c>
      <c r="J530" s="36" t="str">
        <f ca="1">IFERROR(__xludf.DUMMYFUNCTION("""COMPUTED_VALUE"""),"")</f>
        <v/>
      </c>
      <c r="K530" s="36" t="str">
        <f ca="1">IFERROR(__xludf.DUMMYFUNCTION("""COMPUTED_VALUE"""),"")</f>
        <v/>
      </c>
      <c r="L530" s="36" t="str">
        <f ca="1">IFERROR(__xludf.DUMMYFUNCTION("""COMPUTED_VALUE"""),"")</f>
        <v/>
      </c>
      <c r="M530" s="36" t="str">
        <f ca="1">IFERROR(__xludf.DUMMYFUNCTION("""COMPUTED_VALUE"""),"")</f>
        <v/>
      </c>
      <c r="N530" s="36" t="str">
        <f ca="1">IFERROR(__xludf.DUMMYFUNCTION("""COMPUTED_VALUE"""),"")</f>
        <v/>
      </c>
      <c r="O530" s="36" t="str">
        <f ca="1">IFERROR(__xludf.DUMMYFUNCTION("""COMPUTED_VALUE"""),"")</f>
        <v/>
      </c>
      <c r="P530" s="36" t="str">
        <f ca="1">IFERROR(__xludf.DUMMYFUNCTION("""COMPUTED_VALUE"""),"")</f>
        <v/>
      </c>
      <c r="Q530" s="36" t="str">
        <f ca="1">IFERROR(__xludf.DUMMYFUNCTION("""COMPUTED_VALUE"""),"")</f>
        <v/>
      </c>
      <c r="R530" s="36" t="str">
        <f ca="1">IFERROR(__xludf.DUMMYFUNCTION("""COMPUTED_VALUE"""),"")</f>
        <v/>
      </c>
      <c r="S530" s="36" t="str">
        <f ca="1">IFERROR(__xludf.DUMMYFUNCTION("""COMPUTED_VALUE"""),"")</f>
        <v/>
      </c>
      <c r="T530" s="36" t="str">
        <f ca="1">IFERROR(__xludf.DUMMYFUNCTION("""COMPUTED_VALUE"""),"")</f>
        <v/>
      </c>
      <c r="U530" s="36" t="str">
        <f ca="1">IFERROR(__xludf.DUMMYFUNCTION("""COMPUTED_VALUE"""),"")</f>
        <v/>
      </c>
      <c r="V530" s="36" t="str">
        <f ca="1">IFERROR(__xludf.DUMMYFUNCTION("""COMPUTED_VALUE"""),"")</f>
        <v/>
      </c>
      <c r="W530" s="36" t="str">
        <f ca="1">IFERROR(__xludf.DUMMYFUNCTION("""COMPUTED_VALUE"""),"")</f>
        <v/>
      </c>
      <c r="X530" s="36"/>
      <c r="Y530" s="36"/>
      <c r="Z530" s="36"/>
    </row>
    <row r="531" spans="1:26" ht="12.75" hidden="1">
      <c r="A531" s="36" t="str">
        <f ca="1">IFERROR(__xludf.DUMMYFUNCTION("""COMPUTED_VALUE"""),"")</f>
        <v/>
      </c>
      <c r="B531" s="36" t="str">
        <f ca="1">IFERROR(__xludf.DUMMYFUNCTION("""COMPUTED_VALUE"""),"")</f>
        <v/>
      </c>
      <c r="C531" s="36" t="str">
        <f ca="1">IFERROR(__xludf.DUMMYFUNCTION("""COMPUTED_VALUE"""),"")</f>
        <v/>
      </c>
      <c r="D531" s="36" t="str">
        <f ca="1">IFERROR(__xludf.DUMMYFUNCTION("""COMPUTED_VALUE"""),"")</f>
        <v/>
      </c>
      <c r="E531" s="36" t="str">
        <f ca="1">IFERROR(__xludf.DUMMYFUNCTION("""COMPUTED_VALUE"""),"")</f>
        <v/>
      </c>
      <c r="F531" s="36" t="str">
        <f ca="1">IFERROR(__xludf.DUMMYFUNCTION("""COMPUTED_VALUE"""),"")</f>
        <v/>
      </c>
      <c r="G531" s="36" t="str">
        <f ca="1">IFERROR(__xludf.DUMMYFUNCTION("""COMPUTED_VALUE"""),"")</f>
        <v/>
      </c>
      <c r="H531" s="36" t="str">
        <f ca="1">IFERROR(__xludf.DUMMYFUNCTION("""COMPUTED_VALUE"""),"")</f>
        <v/>
      </c>
      <c r="I531" s="36" t="str">
        <f ca="1">IFERROR(__xludf.DUMMYFUNCTION("""COMPUTED_VALUE"""),"")</f>
        <v/>
      </c>
      <c r="J531" s="36" t="str">
        <f ca="1">IFERROR(__xludf.DUMMYFUNCTION("""COMPUTED_VALUE"""),"")</f>
        <v/>
      </c>
      <c r="K531" s="36" t="str">
        <f ca="1">IFERROR(__xludf.DUMMYFUNCTION("""COMPUTED_VALUE"""),"")</f>
        <v/>
      </c>
      <c r="L531" s="36" t="str">
        <f ca="1">IFERROR(__xludf.DUMMYFUNCTION("""COMPUTED_VALUE"""),"")</f>
        <v/>
      </c>
      <c r="M531" s="36" t="str">
        <f ca="1">IFERROR(__xludf.DUMMYFUNCTION("""COMPUTED_VALUE"""),"")</f>
        <v/>
      </c>
      <c r="N531" s="36" t="str">
        <f ca="1">IFERROR(__xludf.DUMMYFUNCTION("""COMPUTED_VALUE"""),"")</f>
        <v/>
      </c>
      <c r="O531" s="36" t="str">
        <f ca="1">IFERROR(__xludf.DUMMYFUNCTION("""COMPUTED_VALUE"""),"")</f>
        <v/>
      </c>
      <c r="P531" s="36" t="str">
        <f ca="1">IFERROR(__xludf.DUMMYFUNCTION("""COMPUTED_VALUE"""),"")</f>
        <v/>
      </c>
      <c r="Q531" s="36" t="str">
        <f ca="1">IFERROR(__xludf.DUMMYFUNCTION("""COMPUTED_VALUE"""),"")</f>
        <v/>
      </c>
      <c r="R531" s="36" t="str">
        <f ca="1">IFERROR(__xludf.DUMMYFUNCTION("""COMPUTED_VALUE"""),"")</f>
        <v/>
      </c>
      <c r="S531" s="36" t="str">
        <f ca="1">IFERROR(__xludf.DUMMYFUNCTION("""COMPUTED_VALUE"""),"")</f>
        <v/>
      </c>
      <c r="T531" s="36" t="str">
        <f ca="1">IFERROR(__xludf.DUMMYFUNCTION("""COMPUTED_VALUE"""),"")</f>
        <v/>
      </c>
      <c r="U531" s="36" t="str">
        <f ca="1">IFERROR(__xludf.DUMMYFUNCTION("""COMPUTED_VALUE"""),"")</f>
        <v/>
      </c>
      <c r="V531" s="36" t="str">
        <f ca="1">IFERROR(__xludf.DUMMYFUNCTION("""COMPUTED_VALUE"""),"")</f>
        <v/>
      </c>
      <c r="W531" s="36" t="str">
        <f ca="1">IFERROR(__xludf.DUMMYFUNCTION("""COMPUTED_VALUE"""),"")</f>
        <v/>
      </c>
      <c r="X531" s="36"/>
      <c r="Y531" s="36"/>
      <c r="Z531" s="36"/>
    </row>
    <row r="532" spans="1:26" ht="12.75" hidden="1">
      <c r="A532" s="36" t="str">
        <f ca="1">IFERROR(__xludf.DUMMYFUNCTION("""COMPUTED_VALUE"""),"")</f>
        <v/>
      </c>
      <c r="B532" s="36" t="str">
        <f ca="1">IFERROR(__xludf.DUMMYFUNCTION("""COMPUTED_VALUE"""),"")</f>
        <v/>
      </c>
      <c r="C532" s="36" t="str">
        <f ca="1">IFERROR(__xludf.DUMMYFUNCTION("""COMPUTED_VALUE"""),"")</f>
        <v/>
      </c>
      <c r="D532" s="36" t="str">
        <f ca="1">IFERROR(__xludf.DUMMYFUNCTION("""COMPUTED_VALUE"""),"")</f>
        <v/>
      </c>
      <c r="E532" s="36" t="str">
        <f ca="1">IFERROR(__xludf.DUMMYFUNCTION("""COMPUTED_VALUE"""),"")</f>
        <v/>
      </c>
      <c r="F532" s="36" t="str">
        <f ca="1">IFERROR(__xludf.DUMMYFUNCTION("""COMPUTED_VALUE"""),"")</f>
        <v/>
      </c>
      <c r="G532" s="36" t="str">
        <f ca="1">IFERROR(__xludf.DUMMYFUNCTION("""COMPUTED_VALUE"""),"")</f>
        <v/>
      </c>
      <c r="H532" s="36" t="str">
        <f ca="1">IFERROR(__xludf.DUMMYFUNCTION("""COMPUTED_VALUE"""),"")</f>
        <v/>
      </c>
      <c r="I532" s="36" t="str">
        <f ca="1">IFERROR(__xludf.DUMMYFUNCTION("""COMPUTED_VALUE"""),"")</f>
        <v/>
      </c>
      <c r="J532" s="36" t="str">
        <f ca="1">IFERROR(__xludf.DUMMYFUNCTION("""COMPUTED_VALUE"""),"")</f>
        <v/>
      </c>
      <c r="K532" s="36" t="str">
        <f ca="1">IFERROR(__xludf.DUMMYFUNCTION("""COMPUTED_VALUE"""),"")</f>
        <v/>
      </c>
      <c r="L532" s="36" t="str">
        <f ca="1">IFERROR(__xludf.DUMMYFUNCTION("""COMPUTED_VALUE"""),"")</f>
        <v/>
      </c>
      <c r="M532" s="36" t="str">
        <f ca="1">IFERROR(__xludf.DUMMYFUNCTION("""COMPUTED_VALUE"""),"")</f>
        <v/>
      </c>
      <c r="N532" s="36" t="str">
        <f ca="1">IFERROR(__xludf.DUMMYFUNCTION("""COMPUTED_VALUE"""),"")</f>
        <v/>
      </c>
      <c r="O532" s="36" t="str">
        <f ca="1">IFERROR(__xludf.DUMMYFUNCTION("""COMPUTED_VALUE"""),"")</f>
        <v/>
      </c>
      <c r="P532" s="36" t="str">
        <f ca="1">IFERROR(__xludf.DUMMYFUNCTION("""COMPUTED_VALUE"""),"")</f>
        <v/>
      </c>
      <c r="Q532" s="36" t="str">
        <f ca="1">IFERROR(__xludf.DUMMYFUNCTION("""COMPUTED_VALUE"""),"")</f>
        <v/>
      </c>
      <c r="R532" s="36" t="str">
        <f ca="1">IFERROR(__xludf.DUMMYFUNCTION("""COMPUTED_VALUE"""),"")</f>
        <v/>
      </c>
      <c r="S532" s="36" t="str">
        <f ca="1">IFERROR(__xludf.DUMMYFUNCTION("""COMPUTED_VALUE"""),"")</f>
        <v/>
      </c>
      <c r="T532" s="36" t="str">
        <f ca="1">IFERROR(__xludf.DUMMYFUNCTION("""COMPUTED_VALUE"""),"")</f>
        <v/>
      </c>
      <c r="U532" s="36" t="str">
        <f ca="1">IFERROR(__xludf.DUMMYFUNCTION("""COMPUTED_VALUE"""),"")</f>
        <v/>
      </c>
      <c r="V532" s="36" t="str">
        <f ca="1">IFERROR(__xludf.DUMMYFUNCTION("""COMPUTED_VALUE"""),"")</f>
        <v/>
      </c>
      <c r="W532" s="36" t="str">
        <f ca="1">IFERROR(__xludf.DUMMYFUNCTION("""COMPUTED_VALUE"""),"")</f>
        <v/>
      </c>
      <c r="X532" s="36"/>
      <c r="Y532" s="36"/>
      <c r="Z532" s="36"/>
    </row>
    <row r="533" spans="1:26" ht="12.75" hidden="1">
      <c r="A533" s="36" t="str">
        <f ca="1">IFERROR(__xludf.DUMMYFUNCTION("""COMPUTED_VALUE"""),"")</f>
        <v/>
      </c>
      <c r="B533" s="36" t="str">
        <f ca="1">IFERROR(__xludf.DUMMYFUNCTION("""COMPUTED_VALUE"""),"")</f>
        <v/>
      </c>
      <c r="C533" s="36" t="str">
        <f ca="1">IFERROR(__xludf.DUMMYFUNCTION("""COMPUTED_VALUE"""),"")</f>
        <v/>
      </c>
      <c r="D533" s="36" t="str">
        <f ca="1">IFERROR(__xludf.DUMMYFUNCTION("""COMPUTED_VALUE"""),"")</f>
        <v/>
      </c>
      <c r="E533" s="36" t="str">
        <f ca="1">IFERROR(__xludf.DUMMYFUNCTION("""COMPUTED_VALUE"""),"")</f>
        <v/>
      </c>
      <c r="F533" s="36" t="str">
        <f ca="1">IFERROR(__xludf.DUMMYFUNCTION("""COMPUTED_VALUE"""),"")</f>
        <v/>
      </c>
      <c r="G533" s="36" t="str">
        <f ca="1">IFERROR(__xludf.DUMMYFUNCTION("""COMPUTED_VALUE"""),"")</f>
        <v/>
      </c>
      <c r="H533" s="36" t="str">
        <f ca="1">IFERROR(__xludf.DUMMYFUNCTION("""COMPUTED_VALUE"""),"")</f>
        <v/>
      </c>
      <c r="I533" s="36" t="str">
        <f ca="1">IFERROR(__xludf.DUMMYFUNCTION("""COMPUTED_VALUE"""),"")</f>
        <v/>
      </c>
      <c r="J533" s="36" t="str">
        <f ca="1">IFERROR(__xludf.DUMMYFUNCTION("""COMPUTED_VALUE"""),"")</f>
        <v/>
      </c>
      <c r="K533" s="36" t="str">
        <f ca="1">IFERROR(__xludf.DUMMYFUNCTION("""COMPUTED_VALUE"""),"")</f>
        <v/>
      </c>
      <c r="L533" s="36" t="str">
        <f ca="1">IFERROR(__xludf.DUMMYFUNCTION("""COMPUTED_VALUE"""),"")</f>
        <v/>
      </c>
      <c r="M533" s="36" t="str">
        <f ca="1">IFERROR(__xludf.DUMMYFUNCTION("""COMPUTED_VALUE"""),"")</f>
        <v/>
      </c>
      <c r="N533" s="36" t="str">
        <f ca="1">IFERROR(__xludf.DUMMYFUNCTION("""COMPUTED_VALUE"""),"")</f>
        <v/>
      </c>
      <c r="O533" s="36" t="str">
        <f ca="1">IFERROR(__xludf.DUMMYFUNCTION("""COMPUTED_VALUE"""),"")</f>
        <v/>
      </c>
      <c r="P533" s="36" t="str">
        <f ca="1">IFERROR(__xludf.DUMMYFUNCTION("""COMPUTED_VALUE"""),"")</f>
        <v/>
      </c>
      <c r="Q533" s="36" t="str">
        <f ca="1">IFERROR(__xludf.DUMMYFUNCTION("""COMPUTED_VALUE"""),"")</f>
        <v/>
      </c>
      <c r="R533" s="36" t="str">
        <f ca="1">IFERROR(__xludf.DUMMYFUNCTION("""COMPUTED_VALUE"""),"")</f>
        <v/>
      </c>
      <c r="S533" s="36" t="str">
        <f ca="1">IFERROR(__xludf.DUMMYFUNCTION("""COMPUTED_VALUE"""),"")</f>
        <v/>
      </c>
      <c r="T533" s="36" t="str">
        <f ca="1">IFERROR(__xludf.DUMMYFUNCTION("""COMPUTED_VALUE"""),"")</f>
        <v/>
      </c>
      <c r="U533" s="36" t="str">
        <f ca="1">IFERROR(__xludf.DUMMYFUNCTION("""COMPUTED_VALUE"""),"")</f>
        <v/>
      </c>
      <c r="V533" s="36" t="str">
        <f ca="1">IFERROR(__xludf.DUMMYFUNCTION("""COMPUTED_VALUE"""),"")</f>
        <v/>
      </c>
      <c r="W533" s="36" t="str">
        <f ca="1">IFERROR(__xludf.DUMMYFUNCTION("""COMPUTED_VALUE"""),"")</f>
        <v/>
      </c>
      <c r="X533" s="36"/>
      <c r="Y533" s="36"/>
      <c r="Z533" s="36"/>
    </row>
    <row r="534" spans="1:26" ht="12.75" hidden="1">
      <c r="A534" s="36" t="str">
        <f ca="1">IFERROR(__xludf.DUMMYFUNCTION("""COMPUTED_VALUE"""),"")</f>
        <v/>
      </c>
      <c r="B534" s="36" t="str">
        <f ca="1">IFERROR(__xludf.DUMMYFUNCTION("""COMPUTED_VALUE"""),"")</f>
        <v/>
      </c>
      <c r="C534" s="36" t="str">
        <f ca="1">IFERROR(__xludf.DUMMYFUNCTION("""COMPUTED_VALUE"""),"")</f>
        <v/>
      </c>
      <c r="D534" s="36" t="str">
        <f ca="1">IFERROR(__xludf.DUMMYFUNCTION("""COMPUTED_VALUE"""),"")</f>
        <v/>
      </c>
      <c r="E534" s="36" t="str">
        <f ca="1">IFERROR(__xludf.DUMMYFUNCTION("""COMPUTED_VALUE"""),"")</f>
        <v/>
      </c>
      <c r="F534" s="36" t="str">
        <f ca="1">IFERROR(__xludf.DUMMYFUNCTION("""COMPUTED_VALUE"""),"")</f>
        <v/>
      </c>
      <c r="G534" s="36" t="str">
        <f ca="1">IFERROR(__xludf.DUMMYFUNCTION("""COMPUTED_VALUE"""),"")</f>
        <v/>
      </c>
      <c r="H534" s="36" t="str">
        <f ca="1">IFERROR(__xludf.DUMMYFUNCTION("""COMPUTED_VALUE"""),"")</f>
        <v/>
      </c>
      <c r="I534" s="36" t="str">
        <f ca="1">IFERROR(__xludf.DUMMYFUNCTION("""COMPUTED_VALUE"""),"")</f>
        <v/>
      </c>
      <c r="J534" s="36" t="str">
        <f ca="1">IFERROR(__xludf.DUMMYFUNCTION("""COMPUTED_VALUE"""),"")</f>
        <v/>
      </c>
      <c r="K534" s="36" t="str">
        <f ca="1">IFERROR(__xludf.DUMMYFUNCTION("""COMPUTED_VALUE"""),"")</f>
        <v/>
      </c>
      <c r="L534" s="36" t="str">
        <f ca="1">IFERROR(__xludf.DUMMYFUNCTION("""COMPUTED_VALUE"""),"")</f>
        <v/>
      </c>
      <c r="M534" s="36" t="str">
        <f ca="1">IFERROR(__xludf.DUMMYFUNCTION("""COMPUTED_VALUE"""),"")</f>
        <v/>
      </c>
      <c r="N534" s="36" t="str">
        <f ca="1">IFERROR(__xludf.DUMMYFUNCTION("""COMPUTED_VALUE"""),"")</f>
        <v/>
      </c>
      <c r="O534" s="36" t="str">
        <f ca="1">IFERROR(__xludf.DUMMYFUNCTION("""COMPUTED_VALUE"""),"")</f>
        <v/>
      </c>
      <c r="P534" s="36" t="str">
        <f ca="1">IFERROR(__xludf.DUMMYFUNCTION("""COMPUTED_VALUE"""),"")</f>
        <v/>
      </c>
      <c r="Q534" s="36" t="str">
        <f ca="1">IFERROR(__xludf.DUMMYFUNCTION("""COMPUTED_VALUE"""),"")</f>
        <v/>
      </c>
      <c r="R534" s="36" t="str">
        <f ca="1">IFERROR(__xludf.DUMMYFUNCTION("""COMPUTED_VALUE"""),"")</f>
        <v/>
      </c>
      <c r="S534" s="36" t="str">
        <f ca="1">IFERROR(__xludf.DUMMYFUNCTION("""COMPUTED_VALUE"""),"")</f>
        <v/>
      </c>
      <c r="T534" s="36" t="str">
        <f ca="1">IFERROR(__xludf.DUMMYFUNCTION("""COMPUTED_VALUE"""),"")</f>
        <v/>
      </c>
      <c r="U534" s="36" t="str">
        <f ca="1">IFERROR(__xludf.DUMMYFUNCTION("""COMPUTED_VALUE"""),"")</f>
        <v/>
      </c>
      <c r="V534" s="36" t="str">
        <f ca="1">IFERROR(__xludf.DUMMYFUNCTION("""COMPUTED_VALUE"""),"")</f>
        <v/>
      </c>
      <c r="W534" s="36" t="str">
        <f ca="1">IFERROR(__xludf.DUMMYFUNCTION("""COMPUTED_VALUE"""),"")</f>
        <v/>
      </c>
      <c r="X534" s="36"/>
      <c r="Y534" s="36"/>
      <c r="Z534" s="36"/>
    </row>
    <row r="535" spans="1:26" ht="12.75" hidden="1">
      <c r="A535" s="36" t="str">
        <f ca="1">IFERROR(__xludf.DUMMYFUNCTION("""COMPUTED_VALUE"""),"")</f>
        <v/>
      </c>
      <c r="B535" s="36" t="str">
        <f ca="1">IFERROR(__xludf.DUMMYFUNCTION("""COMPUTED_VALUE"""),"")</f>
        <v/>
      </c>
      <c r="C535" s="36" t="str">
        <f ca="1">IFERROR(__xludf.DUMMYFUNCTION("""COMPUTED_VALUE"""),"")</f>
        <v/>
      </c>
      <c r="D535" s="36" t="str">
        <f ca="1">IFERROR(__xludf.DUMMYFUNCTION("""COMPUTED_VALUE"""),"")</f>
        <v/>
      </c>
      <c r="E535" s="36" t="str">
        <f ca="1">IFERROR(__xludf.DUMMYFUNCTION("""COMPUTED_VALUE"""),"")</f>
        <v/>
      </c>
      <c r="F535" s="36" t="str">
        <f ca="1">IFERROR(__xludf.DUMMYFUNCTION("""COMPUTED_VALUE"""),"")</f>
        <v/>
      </c>
      <c r="G535" s="36" t="str">
        <f ca="1">IFERROR(__xludf.DUMMYFUNCTION("""COMPUTED_VALUE"""),"")</f>
        <v/>
      </c>
      <c r="H535" s="36" t="str">
        <f ca="1">IFERROR(__xludf.DUMMYFUNCTION("""COMPUTED_VALUE"""),"")</f>
        <v/>
      </c>
      <c r="I535" s="36" t="str">
        <f ca="1">IFERROR(__xludf.DUMMYFUNCTION("""COMPUTED_VALUE"""),"")</f>
        <v/>
      </c>
      <c r="J535" s="36" t="str">
        <f ca="1">IFERROR(__xludf.DUMMYFUNCTION("""COMPUTED_VALUE"""),"")</f>
        <v/>
      </c>
      <c r="K535" s="36" t="str">
        <f ca="1">IFERROR(__xludf.DUMMYFUNCTION("""COMPUTED_VALUE"""),"")</f>
        <v/>
      </c>
      <c r="L535" s="36" t="str">
        <f ca="1">IFERROR(__xludf.DUMMYFUNCTION("""COMPUTED_VALUE"""),"")</f>
        <v/>
      </c>
      <c r="M535" s="36" t="str">
        <f ca="1">IFERROR(__xludf.DUMMYFUNCTION("""COMPUTED_VALUE"""),"")</f>
        <v/>
      </c>
      <c r="N535" s="36" t="str">
        <f ca="1">IFERROR(__xludf.DUMMYFUNCTION("""COMPUTED_VALUE"""),"")</f>
        <v/>
      </c>
      <c r="O535" s="36" t="str">
        <f ca="1">IFERROR(__xludf.DUMMYFUNCTION("""COMPUTED_VALUE"""),"")</f>
        <v/>
      </c>
      <c r="P535" s="36" t="str">
        <f ca="1">IFERROR(__xludf.DUMMYFUNCTION("""COMPUTED_VALUE"""),"")</f>
        <v/>
      </c>
      <c r="Q535" s="36" t="str">
        <f ca="1">IFERROR(__xludf.DUMMYFUNCTION("""COMPUTED_VALUE"""),"")</f>
        <v/>
      </c>
      <c r="R535" s="36" t="str">
        <f ca="1">IFERROR(__xludf.DUMMYFUNCTION("""COMPUTED_VALUE"""),"")</f>
        <v/>
      </c>
      <c r="S535" s="36" t="str">
        <f ca="1">IFERROR(__xludf.DUMMYFUNCTION("""COMPUTED_VALUE"""),"")</f>
        <v/>
      </c>
      <c r="T535" s="36" t="str">
        <f ca="1">IFERROR(__xludf.DUMMYFUNCTION("""COMPUTED_VALUE"""),"")</f>
        <v/>
      </c>
      <c r="U535" s="36" t="str">
        <f ca="1">IFERROR(__xludf.DUMMYFUNCTION("""COMPUTED_VALUE"""),"")</f>
        <v/>
      </c>
      <c r="V535" s="36" t="str">
        <f ca="1">IFERROR(__xludf.DUMMYFUNCTION("""COMPUTED_VALUE"""),"")</f>
        <v/>
      </c>
      <c r="W535" s="36" t="str">
        <f ca="1">IFERROR(__xludf.DUMMYFUNCTION("""COMPUTED_VALUE"""),"")</f>
        <v/>
      </c>
      <c r="X535" s="36"/>
      <c r="Y535" s="36"/>
      <c r="Z535" s="36"/>
    </row>
    <row r="536" spans="1:26" ht="12.75" hidden="1">
      <c r="A536" s="36" t="str">
        <f ca="1">IFERROR(__xludf.DUMMYFUNCTION("""COMPUTED_VALUE"""),"")</f>
        <v/>
      </c>
      <c r="B536" s="36" t="str">
        <f ca="1">IFERROR(__xludf.DUMMYFUNCTION("""COMPUTED_VALUE"""),"")</f>
        <v/>
      </c>
      <c r="C536" s="36" t="str">
        <f ca="1">IFERROR(__xludf.DUMMYFUNCTION("""COMPUTED_VALUE"""),"")</f>
        <v/>
      </c>
      <c r="D536" s="36" t="str">
        <f ca="1">IFERROR(__xludf.DUMMYFUNCTION("""COMPUTED_VALUE"""),"")</f>
        <v/>
      </c>
      <c r="E536" s="36" t="str">
        <f ca="1">IFERROR(__xludf.DUMMYFUNCTION("""COMPUTED_VALUE"""),"")</f>
        <v/>
      </c>
      <c r="F536" s="36" t="str">
        <f ca="1">IFERROR(__xludf.DUMMYFUNCTION("""COMPUTED_VALUE"""),"")</f>
        <v/>
      </c>
      <c r="G536" s="36" t="str">
        <f ca="1">IFERROR(__xludf.DUMMYFUNCTION("""COMPUTED_VALUE"""),"")</f>
        <v/>
      </c>
      <c r="H536" s="36" t="str">
        <f ca="1">IFERROR(__xludf.DUMMYFUNCTION("""COMPUTED_VALUE"""),"")</f>
        <v/>
      </c>
      <c r="I536" s="36" t="str">
        <f ca="1">IFERROR(__xludf.DUMMYFUNCTION("""COMPUTED_VALUE"""),"")</f>
        <v/>
      </c>
      <c r="J536" s="36" t="str">
        <f ca="1">IFERROR(__xludf.DUMMYFUNCTION("""COMPUTED_VALUE"""),"")</f>
        <v/>
      </c>
      <c r="K536" s="36" t="str">
        <f ca="1">IFERROR(__xludf.DUMMYFUNCTION("""COMPUTED_VALUE"""),"")</f>
        <v/>
      </c>
      <c r="L536" s="36" t="str">
        <f ca="1">IFERROR(__xludf.DUMMYFUNCTION("""COMPUTED_VALUE"""),"")</f>
        <v/>
      </c>
      <c r="M536" s="36" t="str">
        <f ca="1">IFERROR(__xludf.DUMMYFUNCTION("""COMPUTED_VALUE"""),"")</f>
        <v/>
      </c>
      <c r="N536" s="36" t="str">
        <f ca="1">IFERROR(__xludf.DUMMYFUNCTION("""COMPUTED_VALUE"""),"")</f>
        <v/>
      </c>
      <c r="O536" s="36" t="str">
        <f ca="1">IFERROR(__xludf.DUMMYFUNCTION("""COMPUTED_VALUE"""),"")</f>
        <v/>
      </c>
      <c r="P536" s="36" t="str">
        <f ca="1">IFERROR(__xludf.DUMMYFUNCTION("""COMPUTED_VALUE"""),"")</f>
        <v/>
      </c>
      <c r="Q536" s="36" t="str">
        <f ca="1">IFERROR(__xludf.DUMMYFUNCTION("""COMPUTED_VALUE"""),"")</f>
        <v/>
      </c>
      <c r="R536" s="36" t="str">
        <f ca="1">IFERROR(__xludf.DUMMYFUNCTION("""COMPUTED_VALUE"""),"")</f>
        <v/>
      </c>
      <c r="S536" s="36" t="str">
        <f ca="1">IFERROR(__xludf.DUMMYFUNCTION("""COMPUTED_VALUE"""),"")</f>
        <v/>
      </c>
      <c r="T536" s="36" t="str">
        <f ca="1">IFERROR(__xludf.DUMMYFUNCTION("""COMPUTED_VALUE"""),"")</f>
        <v/>
      </c>
      <c r="U536" s="36" t="str">
        <f ca="1">IFERROR(__xludf.DUMMYFUNCTION("""COMPUTED_VALUE"""),"")</f>
        <v/>
      </c>
      <c r="V536" s="36" t="str">
        <f ca="1">IFERROR(__xludf.DUMMYFUNCTION("""COMPUTED_VALUE"""),"")</f>
        <v/>
      </c>
      <c r="W536" s="36" t="str">
        <f ca="1">IFERROR(__xludf.DUMMYFUNCTION("""COMPUTED_VALUE"""),"")</f>
        <v/>
      </c>
      <c r="X536" s="36"/>
      <c r="Y536" s="36"/>
      <c r="Z536" s="36"/>
    </row>
    <row r="537" spans="1:26" ht="12.75" hidden="1">
      <c r="A537" s="36" t="str">
        <f ca="1">IFERROR(__xludf.DUMMYFUNCTION("""COMPUTED_VALUE"""),"")</f>
        <v/>
      </c>
      <c r="B537" s="36" t="str">
        <f ca="1">IFERROR(__xludf.DUMMYFUNCTION("""COMPUTED_VALUE"""),"")</f>
        <v/>
      </c>
      <c r="C537" s="36" t="str">
        <f ca="1">IFERROR(__xludf.DUMMYFUNCTION("""COMPUTED_VALUE"""),"")</f>
        <v/>
      </c>
      <c r="D537" s="36" t="str">
        <f ca="1">IFERROR(__xludf.DUMMYFUNCTION("""COMPUTED_VALUE"""),"")</f>
        <v/>
      </c>
      <c r="E537" s="36" t="str">
        <f ca="1">IFERROR(__xludf.DUMMYFUNCTION("""COMPUTED_VALUE"""),"")</f>
        <v/>
      </c>
      <c r="F537" s="36" t="str">
        <f ca="1">IFERROR(__xludf.DUMMYFUNCTION("""COMPUTED_VALUE"""),"")</f>
        <v/>
      </c>
      <c r="G537" s="36" t="str">
        <f ca="1">IFERROR(__xludf.DUMMYFUNCTION("""COMPUTED_VALUE"""),"")</f>
        <v/>
      </c>
      <c r="H537" s="36" t="str">
        <f ca="1">IFERROR(__xludf.DUMMYFUNCTION("""COMPUTED_VALUE"""),"")</f>
        <v/>
      </c>
      <c r="I537" s="36" t="str">
        <f ca="1">IFERROR(__xludf.DUMMYFUNCTION("""COMPUTED_VALUE"""),"")</f>
        <v/>
      </c>
      <c r="J537" s="36" t="str">
        <f ca="1">IFERROR(__xludf.DUMMYFUNCTION("""COMPUTED_VALUE"""),"")</f>
        <v/>
      </c>
      <c r="K537" s="36" t="str">
        <f ca="1">IFERROR(__xludf.DUMMYFUNCTION("""COMPUTED_VALUE"""),"")</f>
        <v/>
      </c>
      <c r="L537" s="36" t="str">
        <f ca="1">IFERROR(__xludf.DUMMYFUNCTION("""COMPUTED_VALUE"""),"")</f>
        <v/>
      </c>
      <c r="M537" s="36" t="str">
        <f ca="1">IFERROR(__xludf.DUMMYFUNCTION("""COMPUTED_VALUE"""),"")</f>
        <v/>
      </c>
      <c r="N537" s="36" t="str">
        <f ca="1">IFERROR(__xludf.DUMMYFUNCTION("""COMPUTED_VALUE"""),"")</f>
        <v/>
      </c>
      <c r="O537" s="36" t="str">
        <f ca="1">IFERROR(__xludf.DUMMYFUNCTION("""COMPUTED_VALUE"""),"")</f>
        <v/>
      </c>
      <c r="P537" s="36" t="str">
        <f ca="1">IFERROR(__xludf.DUMMYFUNCTION("""COMPUTED_VALUE"""),"")</f>
        <v/>
      </c>
      <c r="Q537" s="36" t="str">
        <f ca="1">IFERROR(__xludf.DUMMYFUNCTION("""COMPUTED_VALUE"""),"")</f>
        <v/>
      </c>
      <c r="R537" s="36" t="str">
        <f ca="1">IFERROR(__xludf.DUMMYFUNCTION("""COMPUTED_VALUE"""),"")</f>
        <v/>
      </c>
      <c r="S537" s="36" t="str">
        <f ca="1">IFERROR(__xludf.DUMMYFUNCTION("""COMPUTED_VALUE"""),"")</f>
        <v/>
      </c>
      <c r="T537" s="36" t="str">
        <f ca="1">IFERROR(__xludf.DUMMYFUNCTION("""COMPUTED_VALUE"""),"")</f>
        <v/>
      </c>
      <c r="U537" s="36" t="str">
        <f ca="1">IFERROR(__xludf.DUMMYFUNCTION("""COMPUTED_VALUE"""),"")</f>
        <v/>
      </c>
      <c r="V537" s="36" t="str">
        <f ca="1">IFERROR(__xludf.DUMMYFUNCTION("""COMPUTED_VALUE"""),"")</f>
        <v/>
      </c>
      <c r="W537" s="36" t="str">
        <f ca="1">IFERROR(__xludf.DUMMYFUNCTION("""COMPUTED_VALUE"""),"")</f>
        <v/>
      </c>
      <c r="X537" s="36"/>
      <c r="Y537" s="36"/>
      <c r="Z537" s="36"/>
    </row>
    <row r="538" spans="1:26" ht="12.75" hidden="1">
      <c r="A538" s="36" t="str">
        <f ca="1">IFERROR(__xludf.DUMMYFUNCTION("""COMPUTED_VALUE"""),"")</f>
        <v/>
      </c>
      <c r="B538" s="36" t="str">
        <f ca="1">IFERROR(__xludf.DUMMYFUNCTION("""COMPUTED_VALUE"""),"")</f>
        <v/>
      </c>
      <c r="C538" s="36" t="str">
        <f ca="1">IFERROR(__xludf.DUMMYFUNCTION("""COMPUTED_VALUE"""),"")</f>
        <v/>
      </c>
      <c r="D538" s="36" t="str">
        <f ca="1">IFERROR(__xludf.DUMMYFUNCTION("""COMPUTED_VALUE"""),"")</f>
        <v/>
      </c>
      <c r="E538" s="36" t="str">
        <f ca="1">IFERROR(__xludf.DUMMYFUNCTION("""COMPUTED_VALUE"""),"")</f>
        <v/>
      </c>
      <c r="F538" s="36" t="str">
        <f ca="1">IFERROR(__xludf.DUMMYFUNCTION("""COMPUTED_VALUE"""),"")</f>
        <v/>
      </c>
      <c r="G538" s="36" t="str">
        <f ca="1">IFERROR(__xludf.DUMMYFUNCTION("""COMPUTED_VALUE"""),"")</f>
        <v/>
      </c>
      <c r="H538" s="36" t="str">
        <f ca="1">IFERROR(__xludf.DUMMYFUNCTION("""COMPUTED_VALUE"""),"")</f>
        <v/>
      </c>
      <c r="I538" s="36" t="str">
        <f ca="1">IFERROR(__xludf.DUMMYFUNCTION("""COMPUTED_VALUE"""),"")</f>
        <v/>
      </c>
      <c r="J538" s="36" t="str">
        <f ca="1">IFERROR(__xludf.DUMMYFUNCTION("""COMPUTED_VALUE"""),"")</f>
        <v/>
      </c>
      <c r="K538" s="36" t="str">
        <f ca="1">IFERROR(__xludf.DUMMYFUNCTION("""COMPUTED_VALUE"""),"")</f>
        <v/>
      </c>
      <c r="L538" s="36" t="str">
        <f ca="1">IFERROR(__xludf.DUMMYFUNCTION("""COMPUTED_VALUE"""),"")</f>
        <v/>
      </c>
      <c r="M538" s="36" t="str">
        <f ca="1">IFERROR(__xludf.DUMMYFUNCTION("""COMPUTED_VALUE"""),"")</f>
        <v/>
      </c>
      <c r="N538" s="36" t="str">
        <f ca="1">IFERROR(__xludf.DUMMYFUNCTION("""COMPUTED_VALUE"""),"")</f>
        <v/>
      </c>
      <c r="O538" s="36" t="str">
        <f ca="1">IFERROR(__xludf.DUMMYFUNCTION("""COMPUTED_VALUE"""),"")</f>
        <v/>
      </c>
      <c r="P538" s="36" t="str">
        <f ca="1">IFERROR(__xludf.DUMMYFUNCTION("""COMPUTED_VALUE"""),"")</f>
        <v/>
      </c>
      <c r="Q538" s="36" t="str">
        <f ca="1">IFERROR(__xludf.DUMMYFUNCTION("""COMPUTED_VALUE"""),"")</f>
        <v/>
      </c>
      <c r="R538" s="36" t="str">
        <f ca="1">IFERROR(__xludf.DUMMYFUNCTION("""COMPUTED_VALUE"""),"")</f>
        <v/>
      </c>
      <c r="S538" s="36" t="str">
        <f ca="1">IFERROR(__xludf.DUMMYFUNCTION("""COMPUTED_VALUE"""),"")</f>
        <v/>
      </c>
      <c r="T538" s="36" t="str">
        <f ca="1">IFERROR(__xludf.DUMMYFUNCTION("""COMPUTED_VALUE"""),"")</f>
        <v/>
      </c>
      <c r="U538" s="36" t="str">
        <f ca="1">IFERROR(__xludf.DUMMYFUNCTION("""COMPUTED_VALUE"""),"")</f>
        <v/>
      </c>
      <c r="V538" s="36" t="str">
        <f ca="1">IFERROR(__xludf.DUMMYFUNCTION("""COMPUTED_VALUE"""),"")</f>
        <v/>
      </c>
      <c r="W538" s="36" t="str">
        <f ca="1">IFERROR(__xludf.DUMMYFUNCTION("""COMPUTED_VALUE"""),"")</f>
        <v/>
      </c>
      <c r="X538" s="36"/>
      <c r="Y538" s="36"/>
      <c r="Z538" s="36"/>
    </row>
    <row r="539" spans="1:26" ht="12.75" hidden="1">
      <c r="A539" s="36" t="str">
        <f ca="1">IFERROR(__xludf.DUMMYFUNCTION("""COMPUTED_VALUE"""),"")</f>
        <v/>
      </c>
      <c r="B539" s="36" t="str">
        <f ca="1">IFERROR(__xludf.DUMMYFUNCTION("""COMPUTED_VALUE"""),"")</f>
        <v/>
      </c>
      <c r="C539" s="36" t="str">
        <f ca="1">IFERROR(__xludf.DUMMYFUNCTION("""COMPUTED_VALUE"""),"")</f>
        <v/>
      </c>
      <c r="D539" s="36" t="str">
        <f ca="1">IFERROR(__xludf.DUMMYFUNCTION("""COMPUTED_VALUE"""),"")</f>
        <v/>
      </c>
      <c r="E539" s="36" t="str">
        <f ca="1">IFERROR(__xludf.DUMMYFUNCTION("""COMPUTED_VALUE"""),"")</f>
        <v/>
      </c>
      <c r="F539" s="36" t="str">
        <f ca="1">IFERROR(__xludf.DUMMYFUNCTION("""COMPUTED_VALUE"""),"")</f>
        <v/>
      </c>
      <c r="G539" s="36" t="str">
        <f ca="1">IFERROR(__xludf.DUMMYFUNCTION("""COMPUTED_VALUE"""),"")</f>
        <v/>
      </c>
      <c r="H539" s="36" t="str">
        <f ca="1">IFERROR(__xludf.DUMMYFUNCTION("""COMPUTED_VALUE"""),"")</f>
        <v/>
      </c>
      <c r="I539" s="36" t="str">
        <f ca="1">IFERROR(__xludf.DUMMYFUNCTION("""COMPUTED_VALUE"""),"")</f>
        <v/>
      </c>
      <c r="J539" s="36" t="str">
        <f ca="1">IFERROR(__xludf.DUMMYFUNCTION("""COMPUTED_VALUE"""),"")</f>
        <v/>
      </c>
      <c r="K539" s="36" t="str">
        <f ca="1">IFERROR(__xludf.DUMMYFUNCTION("""COMPUTED_VALUE"""),"")</f>
        <v/>
      </c>
      <c r="L539" s="36" t="str">
        <f ca="1">IFERROR(__xludf.DUMMYFUNCTION("""COMPUTED_VALUE"""),"")</f>
        <v/>
      </c>
      <c r="M539" s="36" t="str">
        <f ca="1">IFERROR(__xludf.DUMMYFUNCTION("""COMPUTED_VALUE"""),"")</f>
        <v/>
      </c>
      <c r="N539" s="36" t="str">
        <f ca="1">IFERROR(__xludf.DUMMYFUNCTION("""COMPUTED_VALUE"""),"")</f>
        <v/>
      </c>
      <c r="O539" s="36" t="str">
        <f ca="1">IFERROR(__xludf.DUMMYFUNCTION("""COMPUTED_VALUE"""),"")</f>
        <v/>
      </c>
      <c r="P539" s="36" t="str">
        <f ca="1">IFERROR(__xludf.DUMMYFUNCTION("""COMPUTED_VALUE"""),"")</f>
        <v/>
      </c>
      <c r="Q539" s="36" t="str">
        <f ca="1">IFERROR(__xludf.DUMMYFUNCTION("""COMPUTED_VALUE"""),"")</f>
        <v/>
      </c>
      <c r="R539" s="36" t="str">
        <f ca="1">IFERROR(__xludf.DUMMYFUNCTION("""COMPUTED_VALUE"""),"")</f>
        <v/>
      </c>
      <c r="S539" s="36" t="str">
        <f ca="1">IFERROR(__xludf.DUMMYFUNCTION("""COMPUTED_VALUE"""),"")</f>
        <v/>
      </c>
      <c r="T539" s="36" t="str">
        <f ca="1">IFERROR(__xludf.DUMMYFUNCTION("""COMPUTED_VALUE"""),"")</f>
        <v/>
      </c>
      <c r="U539" s="36" t="str">
        <f ca="1">IFERROR(__xludf.DUMMYFUNCTION("""COMPUTED_VALUE"""),"")</f>
        <v/>
      </c>
      <c r="V539" s="36" t="str">
        <f ca="1">IFERROR(__xludf.DUMMYFUNCTION("""COMPUTED_VALUE"""),"")</f>
        <v/>
      </c>
      <c r="W539" s="36" t="str">
        <f ca="1">IFERROR(__xludf.DUMMYFUNCTION("""COMPUTED_VALUE"""),"")</f>
        <v/>
      </c>
      <c r="X539" s="36"/>
      <c r="Y539" s="36"/>
      <c r="Z539" s="36"/>
    </row>
    <row r="540" spans="1:26" ht="12.75" hidden="1">
      <c r="A540" s="36" t="str">
        <f ca="1">IFERROR(__xludf.DUMMYFUNCTION("""COMPUTED_VALUE"""),"")</f>
        <v/>
      </c>
      <c r="B540" s="36" t="str">
        <f ca="1">IFERROR(__xludf.DUMMYFUNCTION("""COMPUTED_VALUE"""),"")</f>
        <v/>
      </c>
      <c r="C540" s="36" t="str">
        <f ca="1">IFERROR(__xludf.DUMMYFUNCTION("""COMPUTED_VALUE"""),"")</f>
        <v/>
      </c>
      <c r="D540" s="36" t="str">
        <f ca="1">IFERROR(__xludf.DUMMYFUNCTION("""COMPUTED_VALUE"""),"")</f>
        <v/>
      </c>
      <c r="E540" s="36" t="str">
        <f ca="1">IFERROR(__xludf.DUMMYFUNCTION("""COMPUTED_VALUE"""),"")</f>
        <v/>
      </c>
      <c r="F540" s="36" t="str">
        <f ca="1">IFERROR(__xludf.DUMMYFUNCTION("""COMPUTED_VALUE"""),"")</f>
        <v/>
      </c>
      <c r="G540" s="36" t="str">
        <f ca="1">IFERROR(__xludf.DUMMYFUNCTION("""COMPUTED_VALUE"""),"")</f>
        <v/>
      </c>
      <c r="H540" s="36" t="str">
        <f ca="1">IFERROR(__xludf.DUMMYFUNCTION("""COMPUTED_VALUE"""),"")</f>
        <v/>
      </c>
      <c r="I540" s="36" t="str">
        <f ca="1">IFERROR(__xludf.DUMMYFUNCTION("""COMPUTED_VALUE"""),"")</f>
        <v/>
      </c>
      <c r="J540" s="36" t="str">
        <f ca="1">IFERROR(__xludf.DUMMYFUNCTION("""COMPUTED_VALUE"""),"")</f>
        <v/>
      </c>
      <c r="K540" s="36" t="str">
        <f ca="1">IFERROR(__xludf.DUMMYFUNCTION("""COMPUTED_VALUE"""),"")</f>
        <v/>
      </c>
      <c r="L540" s="36" t="str">
        <f ca="1">IFERROR(__xludf.DUMMYFUNCTION("""COMPUTED_VALUE"""),"")</f>
        <v/>
      </c>
      <c r="M540" s="36" t="str">
        <f ca="1">IFERROR(__xludf.DUMMYFUNCTION("""COMPUTED_VALUE"""),"")</f>
        <v/>
      </c>
      <c r="N540" s="36" t="str">
        <f ca="1">IFERROR(__xludf.DUMMYFUNCTION("""COMPUTED_VALUE"""),"")</f>
        <v/>
      </c>
      <c r="O540" s="36" t="str">
        <f ca="1">IFERROR(__xludf.DUMMYFUNCTION("""COMPUTED_VALUE"""),"")</f>
        <v/>
      </c>
      <c r="P540" s="36" t="str">
        <f ca="1">IFERROR(__xludf.DUMMYFUNCTION("""COMPUTED_VALUE"""),"")</f>
        <v/>
      </c>
      <c r="Q540" s="36" t="str">
        <f ca="1">IFERROR(__xludf.DUMMYFUNCTION("""COMPUTED_VALUE"""),"")</f>
        <v/>
      </c>
      <c r="R540" s="36" t="str">
        <f ca="1">IFERROR(__xludf.DUMMYFUNCTION("""COMPUTED_VALUE"""),"")</f>
        <v/>
      </c>
      <c r="S540" s="36" t="str">
        <f ca="1">IFERROR(__xludf.DUMMYFUNCTION("""COMPUTED_VALUE"""),"")</f>
        <v/>
      </c>
      <c r="T540" s="36" t="str">
        <f ca="1">IFERROR(__xludf.DUMMYFUNCTION("""COMPUTED_VALUE"""),"")</f>
        <v/>
      </c>
      <c r="U540" s="36" t="str">
        <f ca="1">IFERROR(__xludf.DUMMYFUNCTION("""COMPUTED_VALUE"""),"")</f>
        <v/>
      </c>
      <c r="V540" s="36" t="str">
        <f ca="1">IFERROR(__xludf.DUMMYFUNCTION("""COMPUTED_VALUE"""),"")</f>
        <v/>
      </c>
      <c r="W540" s="36" t="str">
        <f ca="1">IFERROR(__xludf.DUMMYFUNCTION("""COMPUTED_VALUE"""),"")</f>
        <v/>
      </c>
      <c r="X540" s="36"/>
      <c r="Y540" s="36"/>
      <c r="Z540" s="36"/>
    </row>
    <row r="541" spans="1:26" ht="12.75" hidden="1">
      <c r="A541" s="36" t="str">
        <f ca="1">IFERROR(__xludf.DUMMYFUNCTION("""COMPUTED_VALUE"""),"")</f>
        <v/>
      </c>
      <c r="B541" s="36" t="str">
        <f ca="1">IFERROR(__xludf.DUMMYFUNCTION("""COMPUTED_VALUE"""),"")</f>
        <v/>
      </c>
      <c r="C541" s="36" t="str">
        <f ca="1">IFERROR(__xludf.DUMMYFUNCTION("""COMPUTED_VALUE"""),"")</f>
        <v/>
      </c>
      <c r="D541" s="36" t="str">
        <f ca="1">IFERROR(__xludf.DUMMYFUNCTION("""COMPUTED_VALUE"""),"")</f>
        <v/>
      </c>
      <c r="E541" s="36" t="str">
        <f ca="1">IFERROR(__xludf.DUMMYFUNCTION("""COMPUTED_VALUE"""),"")</f>
        <v/>
      </c>
      <c r="F541" s="36" t="str">
        <f ca="1">IFERROR(__xludf.DUMMYFUNCTION("""COMPUTED_VALUE"""),"")</f>
        <v/>
      </c>
      <c r="G541" s="36" t="str">
        <f ca="1">IFERROR(__xludf.DUMMYFUNCTION("""COMPUTED_VALUE"""),"")</f>
        <v/>
      </c>
      <c r="H541" s="36" t="str">
        <f ca="1">IFERROR(__xludf.DUMMYFUNCTION("""COMPUTED_VALUE"""),"")</f>
        <v/>
      </c>
      <c r="I541" s="36" t="str">
        <f ca="1">IFERROR(__xludf.DUMMYFUNCTION("""COMPUTED_VALUE"""),"")</f>
        <v/>
      </c>
      <c r="J541" s="36" t="str">
        <f ca="1">IFERROR(__xludf.DUMMYFUNCTION("""COMPUTED_VALUE"""),"")</f>
        <v/>
      </c>
      <c r="K541" s="36" t="str">
        <f ca="1">IFERROR(__xludf.DUMMYFUNCTION("""COMPUTED_VALUE"""),"")</f>
        <v/>
      </c>
      <c r="L541" s="36" t="str">
        <f ca="1">IFERROR(__xludf.DUMMYFUNCTION("""COMPUTED_VALUE"""),"")</f>
        <v/>
      </c>
      <c r="M541" s="36" t="str">
        <f ca="1">IFERROR(__xludf.DUMMYFUNCTION("""COMPUTED_VALUE"""),"")</f>
        <v/>
      </c>
      <c r="N541" s="36" t="str">
        <f ca="1">IFERROR(__xludf.DUMMYFUNCTION("""COMPUTED_VALUE"""),"")</f>
        <v/>
      </c>
      <c r="O541" s="36" t="str">
        <f ca="1">IFERROR(__xludf.DUMMYFUNCTION("""COMPUTED_VALUE"""),"")</f>
        <v/>
      </c>
      <c r="P541" s="36" t="str">
        <f ca="1">IFERROR(__xludf.DUMMYFUNCTION("""COMPUTED_VALUE"""),"")</f>
        <v/>
      </c>
      <c r="Q541" s="36" t="str">
        <f ca="1">IFERROR(__xludf.DUMMYFUNCTION("""COMPUTED_VALUE"""),"")</f>
        <v/>
      </c>
      <c r="R541" s="36" t="str">
        <f ca="1">IFERROR(__xludf.DUMMYFUNCTION("""COMPUTED_VALUE"""),"")</f>
        <v/>
      </c>
      <c r="S541" s="36" t="str">
        <f ca="1">IFERROR(__xludf.DUMMYFUNCTION("""COMPUTED_VALUE"""),"")</f>
        <v/>
      </c>
      <c r="T541" s="36" t="str">
        <f ca="1">IFERROR(__xludf.DUMMYFUNCTION("""COMPUTED_VALUE"""),"")</f>
        <v/>
      </c>
      <c r="U541" s="36" t="str">
        <f ca="1">IFERROR(__xludf.DUMMYFUNCTION("""COMPUTED_VALUE"""),"")</f>
        <v/>
      </c>
      <c r="V541" s="36" t="str">
        <f ca="1">IFERROR(__xludf.DUMMYFUNCTION("""COMPUTED_VALUE"""),"")</f>
        <v/>
      </c>
      <c r="W541" s="36" t="str">
        <f ca="1">IFERROR(__xludf.DUMMYFUNCTION("""COMPUTED_VALUE"""),"")</f>
        <v/>
      </c>
      <c r="X541" s="36"/>
      <c r="Y541" s="36"/>
      <c r="Z541" s="36"/>
    </row>
    <row r="542" spans="1:26" ht="12.75" hidden="1">
      <c r="A542" s="36" t="str">
        <f ca="1">IFERROR(__xludf.DUMMYFUNCTION("""COMPUTED_VALUE"""),"")</f>
        <v/>
      </c>
      <c r="B542" s="36" t="str">
        <f ca="1">IFERROR(__xludf.DUMMYFUNCTION("""COMPUTED_VALUE"""),"")</f>
        <v/>
      </c>
      <c r="C542" s="36" t="str">
        <f ca="1">IFERROR(__xludf.DUMMYFUNCTION("""COMPUTED_VALUE"""),"")</f>
        <v/>
      </c>
      <c r="D542" s="36" t="str">
        <f ca="1">IFERROR(__xludf.DUMMYFUNCTION("""COMPUTED_VALUE"""),"")</f>
        <v/>
      </c>
      <c r="E542" s="36" t="str">
        <f ca="1">IFERROR(__xludf.DUMMYFUNCTION("""COMPUTED_VALUE"""),"")</f>
        <v/>
      </c>
      <c r="F542" s="36" t="str">
        <f ca="1">IFERROR(__xludf.DUMMYFUNCTION("""COMPUTED_VALUE"""),"")</f>
        <v/>
      </c>
      <c r="G542" s="36" t="str">
        <f ca="1">IFERROR(__xludf.DUMMYFUNCTION("""COMPUTED_VALUE"""),"")</f>
        <v/>
      </c>
      <c r="H542" s="36" t="str">
        <f ca="1">IFERROR(__xludf.DUMMYFUNCTION("""COMPUTED_VALUE"""),"")</f>
        <v/>
      </c>
      <c r="I542" s="36" t="str">
        <f ca="1">IFERROR(__xludf.DUMMYFUNCTION("""COMPUTED_VALUE"""),"")</f>
        <v/>
      </c>
      <c r="J542" s="36" t="str">
        <f ca="1">IFERROR(__xludf.DUMMYFUNCTION("""COMPUTED_VALUE"""),"")</f>
        <v/>
      </c>
      <c r="K542" s="36" t="str">
        <f ca="1">IFERROR(__xludf.DUMMYFUNCTION("""COMPUTED_VALUE"""),"")</f>
        <v/>
      </c>
      <c r="L542" s="36" t="str">
        <f ca="1">IFERROR(__xludf.DUMMYFUNCTION("""COMPUTED_VALUE"""),"")</f>
        <v/>
      </c>
      <c r="M542" s="36" t="str">
        <f ca="1">IFERROR(__xludf.DUMMYFUNCTION("""COMPUTED_VALUE"""),"")</f>
        <v/>
      </c>
      <c r="N542" s="36" t="str">
        <f ca="1">IFERROR(__xludf.DUMMYFUNCTION("""COMPUTED_VALUE"""),"")</f>
        <v/>
      </c>
      <c r="O542" s="36" t="str">
        <f ca="1">IFERROR(__xludf.DUMMYFUNCTION("""COMPUTED_VALUE"""),"")</f>
        <v/>
      </c>
      <c r="P542" s="36" t="str">
        <f ca="1">IFERROR(__xludf.DUMMYFUNCTION("""COMPUTED_VALUE"""),"")</f>
        <v/>
      </c>
      <c r="Q542" s="36" t="str">
        <f ca="1">IFERROR(__xludf.DUMMYFUNCTION("""COMPUTED_VALUE"""),"")</f>
        <v/>
      </c>
      <c r="R542" s="36" t="str">
        <f ca="1">IFERROR(__xludf.DUMMYFUNCTION("""COMPUTED_VALUE"""),"")</f>
        <v/>
      </c>
      <c r="S542" s="36" t="str">
        <f ca="1">IFERROR(__xludf.DUMMYFUNCTION("""COMPUTED_VALUE"""),"")</f>
        <v/>
      </c>
      <c r="T542" s="36" t="str">
        <f ca="1">IFERROR(__xludf.DUMMYFUNCTION("""COMPUTED_VALUE"""),"")</f>
        <v/>
      </c>
      <c r="U542" s="36" t="str">
        <f ca="1">IFERROR(__xludf.DUMMYFUNCTION("""COMPUTED_VALUE"""),"")</f>
        <v/>
      </c>
      <c r="V542" s="36" t="str">
        <f ca="1">IFERROR(__xludf.DUMMYFUNCTION("""COMPUTED_VALUE"""),"")</f>
        <v/>
      </c>
      <c r="W542" s="36" t="str">
        <f ca="1">IFERROR(__xludf.DUMMYFUNCTION("""COMPUTED_VALUE"""),"")</f>
        <v/>
      </c>
      <c r="X542" s="36"/>
      <c r="Y542" s="36"/>
      <c r="Z542" s="36"/>
    </row>
    <row r="543" spans="1:26" ht="12.75" hidden="1">
      <c r="A543" s="36" t="str">
        <f ca="1">IFERROR(__xludf.DUMMYFUNCTION("""COMPUTED_VALUE"""),"")</f>
        <v/>
      </c>
      <c r="B543" s="36" t="str">
        <f ca="1">IFERROR(__xludf.DUMMYFUNCTION("""COMPUTED_VALUE"""),"")</f>
        <v/>
      </c>
      <c r="C543" s="36" t="str">
        <f ca="1">IFERROR(__xludf.DUMMYFUNCTION("""COMPUTED_VALUE"""),"")</f>
        <v/>
      </c>
      <c r="D543" s="36" t="str">
        <f ca="1">IFERROR(__xludf.DUMMYFUNCTION("""COMPUTED_VALUE"""),"")</f>
        <v/>
      </c>
      <c r="E543" s="36" t="str">
        <f ca="1">IFERROR(__xludf.DUMMYFUNCTION("""COMPUTED_VALUE"""),"")</f>
        <v/>
      </c>
      <c r="F543" s="36" t="str">
        <f ca="1">IFERROR(__xludf.DUMMYFUNCTION("""COMPUTED_VALUE"""),"")</f>
        <v/>
      </c>
      <c r="G543" s="36" t="str">
        <f ca="1">IFERROR(__xludf.DUMMYFUNCTION("""COMPUTED_VALUE"""),"")</f>
        <v/>
      </c>
      <c r="H543" s="36" t="str">
        <f ca="1">IFERROR(__xludf.DUMMYFUNCTION("""COMPUTED_VALUE"""),"")</f>
        <v/>
      </c>
      <c r="I543" s="36" t="str">
        <f ca="1">IFERROR(__xludf.DUMMYFUNCTION("""COMPUTED_VALUE"""),"")</f>
        <v/>
      </c>
      <c r="J543" s="36" t="str">
        <f ca="1">IFERROR(__xludf.DUMMYFUNCTION("""COMPUTED_VALUE"""),"")</f>
        <v/>
      </c>
      <c r="K543" s="36" t="str">
        <f ca="1">IFERROR(__xludf.DUMMYFUNCTION("""COMPUTED_VALUE"""),"")</f>
        <v/>
      </c>
      <c r="L543" s="36" t="str">
        <f ca="1">IFERROR(__xludf.DUMMYFUNCTION("""COMPUTED_VALUE"""),"")</f>
        <v/>
      </c>
      <c r="M543" s="36" t="str">
        <f ca="1">IFERROR(__xludf.DUMMYFUNCTION("""COMPUTED_VALUE"""),"")</f>
        <v/>
      </c>
      <c r="N543" s="36" t="str">
        <f ca="1">IFERROR(__xludf.DUMMYFUNCTION("""COMPUTED_VALUE"""),"")</f>
        <v/>
      </c>
      <c r="O543" s="36" t="str">
        <f ca="1">IFERROR(__xludf.DUMMYFUNCTION("""COMPUTED_VALUE"""),"")</f>
        <v/>
      </c>
      <c r="P543" s="36" t="str">
        <f ca="1">IFERROR(__xludf.DUMMYFUNCTION("""COMPUTED_VALUE"""),"")</f>
        <v/>
      </c>
      <c r="Q543" s="36" t="str">
        <f ca="1">IFERROR(__xludf.DUMMYFUNCTION("""COMPUTED_VALUE"""),"")</f>
        <v/>
      </c>
      <c r="R543" s="36" t="str">
        <f ca="1">IFERROR(__xludf.DUMMYFUNCTION("""COMPUTED_VALUE"""),"")</f>
        <v/>
      </c>
      <c r="S543" s="36" t="str">
        <f ca="1">IFERROR(__xludf.DUMMYFUNCTION("""COMPUTED_VALUE"""),"")</f>
        <v/>
      </c>
      <c r="T543" s="36" t="str">
        <f ca="1">IFERROR(__xludf.DUMMYFUNCTION("""COMPUTED_VALUE"""),"")</f>
        <v/>
      </c>
      <c r="U543" s="36" t="str">
        <f ca="1">IFERROR(__xludf.DUMMYFUNCTION("""COMPUTED_VALUE"""),"")</f>
        <v/>
      </c>
      <c r="V543" s="36" t="str">
        <f ca="1">IFERROR(__xludf.DUMMYFUNCTION("""COMPUTED_VALUE"""),"")</f>
        <v/>
      </c>
      <c r="W543" s="36" t="str">
        <f ca="1">IFERROR(__xludf.DUMMYFUNCTION("""COMPUTED_VALUE"""),"")</f>
        <v/>
      </c>
      <c r="X543" s="36"/>
      <c r="Y543" s="36"/>
      <c r="Z543" s="36"/>
    </row>
    <row r="544" spans="1:26" ht="12.75" hidden="1">
      <c r="A544" s="36" t="str">
        <f ca="1">IFERROR(__xludf.DUMMYFUNCTION("""COMPUTED_VALUE"""),"")</f>
        <v/>
      </c>
      <c r="B544" s="36" t="str">
        <f ca="1">IFERROR(__xludf.DUMMYFUNCTION("""COMPUTED_VALUE"""),"")</f>
        <v/>
      </c>
      <c r="C544" s="36" t="str">
        <f ca="1">IFERROR(__xludf.DUMMYFUNCTION("""COMPUTED_VALUE"""),"")</f>
        <v/>
      </c>
      <c r="D544" s="36" t="str">
        <f ca="1">IFERROR(__xludf.DUMMYFUNCTION("""COMPUTED_VALUE"""),"")</f>
        <v/>
      </c>
      <c r="E544" s="36" t="str">
        <f ca="1">IFERROR(__xludf.DUMMYFUNCTION("""COMPUTED_VALUE"""),"")</f>
        <v/>
      </c>
      <c r="F544" s="36" t="str">
        <f ca="1">IFERROR(__xludf.DUMMYFUNCTION("""COMPUTED_VALUE"""),"")</f>
        <v/>
      </c>
      <c r="G544" s="36" t="str">
        <f ca="1">IFERROR(__xludf.DUMMYFUNCTION("""COMPUTED_VALUE"""),"")</f>
        <v/>
      </c>
      <c r="H544" s="36" t="str">
        <f ca="1">IFERROR(__xludf.DUMMYFUNCTION("""COMPUTED_VALUE"""),"")</f>
        <v/>
      </c>
      <c r="I544" s="36" t="str">
        <f ca="1">IFERROR(__xludf.DUMMYFUNCTION("""COMPUTED_VALUE"""),"")</f>
        <v/>
      </c>
      <c r="J544" s="36" t="str">
        <f ca="1">IFERROR(__xludf.DUMMYFUNCTION("""COMPUTED_VALUE"""),"")</f>
        <v/>
      </c>
      <c r="K544" s="36" t="str">
        <f ca="1">IFERROR(__xludf.DUMMYFUNCTION("""COMPUTED_VALUE"""),"")</f>
        <v/>
      </c>
      <c r="L544" s="36" t="str">
        <f ca="1">IFERROR(__xludf.DUMMYFUNCTION("""COMPUTED_VALUE"""),"")</f>
        <v/>
      </c>
      <c r="M544" s="36" t="str">
        <f ca="1">IFERROR(__xludf.DUMMYFUNCTION("""COMPUTED_VALUE"""),"")</f>
        <v/>
      </c>
      <c r="N544" s="36" t="str">
        <f ca="1">IFERROR(__xludf.DUMMYFUNCTION("""COMPUTED_VALUE"""),"")</f>
        <v/>
      </c>
      <c r="O544" s="36" t="str">
        <f ca="1">IFERROR(__xludf.DUMMYFUNCTION("""COMPUTED_VALUE"""),"")</f>
        <v/>
      </c>
      <c r="P544" s="36" t="str">
        <f ca="1">IFERROR(__xludf.DUMMYFUNCTION("""COMPUTED_VALUE"""),"")</f>
        <v/>
      </c>
      <c r="Q544" s="36" t="str">
        <f ca="1">IFERROR(__xludf.DUMMYFUNCTION("""COMPUTED_VALUE"""),"")</f>
        <v/>
      </c>
      <c r="R544" s="36" t="str">
        <f ca="1">IFERROR(__xludf.DUMMYFUNCTION("""COMPUTED_VALUE"""),"")</f>
        <v/>
      </c>
      <c r="S544" s="36" t="str">
        <f ca="1">IFERROR(__xludf.DUMMYFUNCTION("""COMPUTED_VALUE"""),"")</f>
        <v/>
      </c>
      <c r="T544" s="36" t="str">
        <f ca="1">IFERROR(__xludf.DUMMYFUNCTION("""COMPUTED_VALUE"""),"")</f>
        <v/>
      </c>
      <c r="U544" s="36" t="str">
        <f ca="1">IFERROR(__xludf.DUMMYFUNCTION("""COMPUTED_VALUE"""),"")</f>
        <v/>
      </c>
      <c r="V544" s="36" t="str">
        <f ca="1">IFERROR(__xludf.DUMMYFUNCTION("""COMPUTED_VALUE"""),"")</f>
        <v/>
      </c>
      <c r="W544" s="36" t="str">
        <f ca="1">IFERROR(__xludf.DUMMYFUNCTION("""COMPUTED_VALUE"""),"")</f>
        <v/>
      </c>
      <c r="X544" s="36"/>
      <c r="Y544" s="36"/>
      <c r="Z544" s="36"/>
    </row>
    <row r="545" spans="1:26" ht="12.75" hidden="1">
      <c r="A545" s="36" t="str">
        <f ca="1">IFERROR(__xludf.DUMMYFUNCTION("""COMPUTED_VALUE"""),"")</f>
        <v/>
      </c>
      <c r="B545" s="36" t="str">
        <f ca="1">IFERROR(__xludf.DUMMYFUNCTION("""COMPUTED_VALUE"""),"")</f>
        <v/>
      </c>
      <c r="C545" s="36" t="str">
        <f ca="1">IFERROR(__xludf.DUMMYFUNCTION("""COMPUTED_VALUE"""),"")</f>
        <v/>
      </c>
      <c r="D545" s="36" t="str">
        <f ca="1">IFERROR(__xludf.DUMMYFUNCTION("""COMPUTED_VALUE"""),"")</f>
        <v/>
      </c>
      <c r="E545" s="36" t="str">
        <f ca="1">IFERROR(__xludf.DUMMYFUNCTION("""COMPUTED_VALUE"""),"")</f>
        <v/>
      </c>
      <c r="F545" s="36" t="str">
        <f ca="1">IFERROR(__xludf.DUMMYFUNCTION("""COMPUTED_VALUE"""),"")</f>
        <v/>
      </c>
      <c r="G545" s="36" t="str">
        <f ca="1">IFERROR(__xludf.DUMMYFUNCTION("""COMPUTED_VALUE"""),"")</f>
        <v/>
      </c>
      <c r="H545" s="36" t="str">
        <f ca="1">IFERROR(__xludf.DUMMYFUNCTION("""COMPUTED_VALUE"""),"")</f>
        <v/>
      </c>
      <c r="I545" s="36" t="str">
        <f ca="1">IFERROR(__xludf.DUMMYFUNCTION("""COMPUTED_VALUE"""),"")</f>
        <v/>
      </c>
      <c r="J545" s="36" t="str">
        <f ca="1">IFERROR(__xludf.DUMMYFUNCTION("""COMPUTED_VALUE"""),"")</f>
        <v/>
      </c>
      <c r="K545" s="36" t="str">
        <f ca="1">IFERROR(__xludf.DUMMYFUNCTION("""COMPUTED_VALUE"""),"")</f>
        <v/>
      </c>
      <c r="L545" s="36" t="str">
        <f ca="1">IFERROR(__xludf.DUMMYFUNCTION("""COMPUTED_VALUE"""),"")</f>
        <v/>
      </c>
      <c r="M545" s="36" t="str">
        <f ca="1">IFERROR(__xludf.DUMMYFUNCTION("""COMPUTED_VALUE"""),"")</f>
        <v/>
      </c>
      <c r="N545" s="36" t="str">
        <f ca="1">IFERROR(__xludf.DUMMYFUNCTION("""COMPUTED_VALUE"""),"")</f>
        <v/>
      </c>
      <c r="O545" s="36" t="str">
        <f ca="1">IFERROR(__xludf.DUMMYFUNCTION("""COMPUTED_VALUE"""),"")</f>
        <v/>
      </c>
      <c r="P545" s="36" t="str">
        <f ca="1">IFERROR(__xludf.DUMMYFUNCTION("""COMPUTED_VALUE"""),"")</f>
        <v/>
      </c>
      <c r="Q545" s="36" t="str">
        <f ca="1">IFERROR(__xludf.DUMMYFUNCTION("""COMPUTED_VALUE"""),"")</f>
        <v/>
      </c>
      <c r="R545" s="36" t="str">
        <f ca="1">IFERROR(__xludf.DUMMYFUNCTION("""COMPUTED_VALUE"""),"")</f>
        <v/>
      </c>
      <c r="S545" s="36" t="str">
        <f ca="1">IFERROR(__xludf.DUMMYFUNCTION("""COMPUTED_VALUE"""),"")</f>
        <v/>
      </c>
      <c r="T545" s="36" t="str">
        <f ca="1">IFERROR(__xludf.DUMMYFUNCTION("""COMPUTED_VALUE"""),"")</f>
        <v/>
      </c>
      <c r="U545" s="36" t="str">
        <f ca="1">IFERROR(__xludf.DUMMYFUNCTION("""COMPUTED_VALUE"""),"")</f>
        <v/>
      </c>
      <c r="V545" s="36" t="str">
        <f ca="1">IFERROR(__xludf.DUMMYFUNCTION("""COMPUTED_VALUE"""),"")</f>
        <v/>
      </c>
      <c r="W545" s="36" t="str">
        <f ca="1">IFERROR(__xludf.DUMMYFUNCTION("""COMPUTED_VALUE"""),"")</f>
        <v/>
      </c>
      <c r="X545" s="36"/>
      <c r="Y545" s="36"/>
      <c r="Z545" s="36"/>
    </row>
    <row r="546" spans="1:26" ht="12.75" hidden="1">
      <c r="A546" s="36" t="str">
        <f ca="1">IFERROR(__xludf.DUMMYFUNCTION("""COMPUTED_VALUE"""),"")</f>
        <v/>
      </c>
      <c r="B546" s="36" t="str">
        <f ca="1">IFERROR(__xludf.DUMMYFUNCTION("""COMPUTED_VALUE"""),"")</f>
        <v/>
      </c>
      <c r="C546" s="36" t="str">
        <f ca="1">IFERROR(__xludf.DUMMYFUNCTION("""COMPUTED_VALUE"""),"")</f>
        <v/>
      </c>
      <c r="D546" s="36" t="str">
        <f ca="1">IFERROR(__xludf.DUMMYFUNCTION("""COMPUTED_VALUE"""),"")</f>
        <v/>
      </c>
      <c r="E546" s="36" t="str">
        <f ca="1">IFERROR(__xludf.DUMMYFUNCTION("""COMPUTED_VALUE"""),"")</f>
        <v/>
      </c>
      <c r="F546" s="36" t="str">
        <f ca="1">IFERROR(__xludf.DUMMYFUNCTION("""COMPUTED_VALUE"""),"")</f>
        <v/>
      </c>
      <c r="G546" s="36" t="str">
        <f ca="1">IFERROR(__xludf.DUMMYFUNCTION("""COMPUTED_VALUE"""),"")</f>
        <v/>
      </c>
      <c r="H546" s="36" t="str">
        <f ca="1">IFERROR(__xludf.DUMMYFUNCTION("""COMPUTED_VALUE"""),"")</f>
        <v/>
      </c>
      <c r="I546" s="36" t="str">
        <f ca="1">IFERROR(__xludf.DUMMYFUNCTION("""COMPUTED_VALUE"""),"")</f>
        <v/>
      </c>
      <c r="J546" s="36" t="str">
        <f ca="1">IFERROR(__xludf.DUMMYFUNCTION("""COMPUTED_VALUE"""),"")</f>
        <v/>
      </c>
      <c r="K546" s="36" t="str">
        <f ca="1">IFERROR(__xludf.DUMMYFUNCTION("""COMPUTED_VALUE"""),"")</f>
        <v/>
      </c>
      <c r="L546" s="36" t="str">
        <f ca="1">IFERROR(__xludf.DUMMYFUNCTION("""COMPUTED_VALUE"""),"")</f>
        <v/>
      </c>
      <c r="M546" s="36" t="str">
        <f ca="1">IFERROR(__xludf.DUMMYFUNCTION("""COMPUTED_VALUE"""),"")</f>
        <v/>
      </c>
      <c r="N546" s="36" t="str">
        <f ca="1">IFERROR(__xludf.DUMMYFUNCTION("""COMPUTED_VALUE"""),"")</f>
        <v/>
      </c>
      <c r="O546" s="36" t="str">
        <f ca="1">IFERROR(__xludf.DUMMYFUNCTION("""COMPUTED_VALUE"""),"")</f>
        <v/>
      </c>
      <c r="P546" s="36" t="str">
        <f ca="1">IFERROR(__xludf.DUMMYFUNCTION("""COMPUTED_VALUE"""),"")</f>
        <v/>
      </c>
      <c r="Q546" s="36" t="str">
        <f ca="1">IFERROR(__xludf.DUMMYFUNCTION("""COMPUTED_VALUE"""),"")</f>
        <v/>
      </c>
      <c r="R546" s="36" t="str">
        <f ca="1">IFERROR(__xludf.DUMMYFUNCTION("""COMPUTED_VALUE"""),"")</f>
        <v/>
      </c>
      <c r="S546" s="36" t="str">
        <f ca="1">IFERROR(__xludf.DUMMYFUNCTION("""COMPUTED_VALUE"""),"")</f>
        <v/>
      </c>
      <c r="T546" s="36" t="str">
        <f ca="1">IFERROR(__xludf.DUMMYFUNCTION("""COMPUTED_VALUE"""),"")</f>
        <v/>
      </c>
      <c r="U546" s="36" t="str">
        <f ca="1">IFERROR(__xludf.DUMMYFUNCTION("""COMPUTED_VALUE"""),"")</f>
        <v/>
      </c>
      <c r="V546" s="36" t="str">
        <f ca="1">IFERROR(__xludf.DUMMYFUNCTION("""COMPUTED_VALUE"""),"")</f>
        <v/>
      </c>
      <c r="W546" s="36" t="str">
        <f ca="1">IFERROR(__xludf.DUMMYFUNCTION("""COMPUTED_VALUE"""),"")</f>
        <v/>
      </c>
      <c r="X546" s="36"/>
      <c r="Y546" s="36"/>
      <c r="Z546" s="36"/>
    </row>
    <row r="547" spans="1:26" ht="12.75" hidden="1">
      <c r="A547" s="36" t="str">
        <f ca="1">IFERROR(__xludf.DUMMYFUNCTION("""COMPUTED_VALUE"""),"")</f>
        <v/>
      </c>
      <c r="B547" s="36" t="str">
        <f ca="1">IFERROR(__xludf.DUMMYFUNCTION("""COMPUTED_VALUE"""),"")</f>
        <v/>
      </c>
      <c r="C547" s="36" t="str">
        <f ca="1">IFERROR(__xludf.DUMMYFUNCTION("""COMPUTED_VALUE"""),"")</f>
        <v/>
      </c>
      <c r="D547" s="36" t="str">
        <f ca="1">IFERROR(__xludf.DUMMYFUNCTION("""COMPUTED_VALUE"""),"")</f>
        <v/>
      </c>
      <c r="E547" s="36" t="str">
        <f ca="1">IFERROR(__xludf.DUMMYFUNCTION("""COMPUTED_VALUE"""),"")</f>
        <v/>
      </c>
      <c r="F547" s="36" t="str">
        <f ca="1">IFERROR(__xludf.DUMMYFUNCTION("""COMPUTED_VALUE"""),"")</f>
        <v/>
      </c>
      <c r="G547" s="36" t="str">
        <f ca="1">IFERROR(__xludf.DUMMYFUNCTION("""COMPUTED_VALUE"""),"")</f>
        <v/>
      </c>
      <c r="H547" s="36" t="str">
        <f ca="1">IFERROR(__xludf.DUMMYFUNCTION("""COMPUTED_VALUE"""),"")</f>
        <v/>
      </c>
      <c r="I547" s="36" t="str">
        <f ca="1">IFERROR(__xludf.DUMMYFUNCTION("""COMPUTED_VALUE"""),"")</f>
        <v/>
      </c>
      <c r="J547" s="36" t="str">
        <f ca="1">IFERROR(__xludf.DUMMYFUNCTION("""COMPUTED_VALUE"""),"")</f>
        <v/>
      </c>
      <c r="K547" s="36" t="str">
        <f ca="1">IFERROR(__xludf.DUMMYFUNCTION("""COMPUTED_VALUE"""),"")</f>
        <v/>
      </c>
      <c r="L547" s="36" t="str">
        <f ca="1">IFERROR(__xludf.DUMMYFUNCTION("""COMPUTED_VALUE"""),"")</f>
        <v/>
      </c>
      <c r="M547" s="36" t="str">
        <f ca="1">IFERROR(__xludf.DUMMYFUNCTION("""COMPUTED_VALUE"""),"")</f>
        <v/>
      </c>
      <c r="N547" s="36" t="str">
        <f ca="1">IFERROR(__xludf.DUMMYFUNCTION("""COMPUTED_VALUE"""),"")</f>
        <v/>
      </c>
      <c r="O547" s="36" t="str">
        <f ca="1">IFERROR(__xludf.DUMMYFUNCTION("""COMPUTED_VALUE"""),"")</f>
        <v/>
      </c>
      <c r="P547" s="36" t="str">
        <f ca="1">IFERROR(__xludf.DUMMYFUNCTION("""COMPUTED_VALUE"""),"")</f>
        <v/>
      </c>
      <c r="Q547" s="36" t="str">
        <f ca="1">IFERROR(__xludf.DUMMYFUNCTION("""COMPUTED_VALUE"""),"")</f>
        <v/>
      </c>
      <c r="R547" s="36" t="str">
        <f ca="1">IFERROR(__xludf.DUMMYFUNCTION("""COMPUTED_VALUE"""),"")</f>
        <v/>
      </c>
      <c r="S547" s="36" t="str">
        <f ca="1">IFERROR(__xludf.DUMMYFUNCTION("""COMPUTED_VALUE"""),"")</f>
        <v/>
      </c>
      <c r="T547" s="36" t="str">
        <f ca="1">IFERROR(__xludf.DUMMYFUNCTION("""COMPUTED_VALUE"""),"")</f>
        <v/>
      </c>
      <c r="U547" s="36" t="str">
        <f ca="1">IFERROR(__xludf.DUMMYFUNCTION("""COMPUTED_VALUE"""),"")</f>
        <v/>
      </c>
      <c r="V547" s="36" t="str">
        <f ca="1">IFERROR(__xludf.DUMMYFUNCTION("""COMPUTED_VALUE"""),"")</f>
        <v/>
      </c>
      <c r="W547" s="36" t="str">
        <f ca="1">IFERROR(__xludf.DUMMYFUNCTION("""COMPUTED_VALUE"""),"")</f>
        <v/>
      </c>
      <c r="X547" s="36"/>
      <c r="Y547" s="36"/>
      <c r="Z547" s="36"/>
    </row>
    <row r="548" spans="1:26" ht="12.75" hidden="1">
      <c r="A548" s="36" t="str">
        <f ca="1">IFERROR(__xludf.DUMMYFUNCTION("""COMPUTED_VALUE"""),"")</f>
        <v/>
      </c>
      <c r="B548" s="36" t="str">
        <f ca="1">IFERROR(__xludf.DUMMYFUNCTION("""COMPUTED_VALUE"""),"")</f>
        <v/>
      </c>
      <c r="C548" s="36" t="str">
        <f ca="1">IFERROR(__xludf.DUMMYFUNCTION("""COMPUTED_VALUE"""),"")</f>
        <v/>
      </c>
      <c r="D548" s="36" t="str">
        <f ca="1">IFERROR(__xludf.DUMMYFUNCTION("""COMPUTED_VALUE"""),"")</f>
        <v/>
      </c>
      <c r="E548" s="36" t="str">
        <f ca="1">IFERROR(__xludf.DUMMYFUNCTION("""COMPUTED_VALUE"""),"")</f>
        <v/>
      </c>
      <c r="F548" s="36" t="str">
        <f ca="1">IFERROR(__xludf.DUMMYFUNCTION("""COMPUTED_VALUE"""),"")</f>
        <v/>
      </c>
      <c r="G548" s="36" t="str">
        <f ca="1">IFERROR(__xludf.DUMMYFUNCTION("""COMPUTED_VALUE"""),"")</f>
        <v/>
      </c>
      <c r="H548" s="36" t="str">
        <f ca="1">IFERROR(__xludf.DUMMYFUNCTION("""COMPUTED_VALUE"""),"")</f>
        <v/>
      </c>
      <c r="I548" s="36" t="str">
        <f ca="1">IFERROR(__xludf.DUMMYFUNCTION("""COMPUTED_VALUE"""),"")</f>
        <v/>
      </c>
      <c r="J548" s="36" t="str">
        <f ca="1">IFERROR(__xludf.DUMMYFUNCTION("""COMPUTED_VALUE"""),"")</f>
        <v/>
      </c>
      <c r="K548" s="36" t="str">
        <f ca="1">IFERROR(__xludf.DUMMYFUNCTION("""COMPUTED_VALUE"""),"")</f>
        <v/>
      </c>
      <c r="L548" s="36" t="str">
        <f ca="1">IFERROR(__xludf.DUMMYFUNCTION("""COMPUTED_VALUE"""),"")</f>
        <v/>
      </c>
      <c r="M548" s="36" t="str">
        <f ca="1">IFERROR(__xludf.DUMMYFUNCTION("""COMPUTED_VALUE"""),"")</f>
        <v/>
      </c>
      <c r="N548" s="36" t="str">
        <f ca="1">IFERROR(__xludf.DUMMYFUNCTION("""COMPUTED_VALUE"""),"")</f>
        <v/>
      </c>
      <c r="O548" s="36" t="str">
        <f ca="1">IFERROR(__xludf.DUMMYFUNCTION("""COMPUTED_VALUE"""),"")</f>
        <v/>
      </c>
      <c r="P548" s="36" t="str">
        <f ca="1">IFERROR(__xludf.DUMMYFUNCTION("""COMPUTED_VALUE"""),"")</f>
        <v/>
      </c>
      <c r="Q548" s="36" t="str">
        <f ca="1">IFERROR(__xludf.DUMMYFUNCTION("""COMPUTED_VALUE"""),"")</f>
        <v/>
      </c>
      <c r="R548" s="36" t="str">
        <f ca="1">IFERROR(__xludf.DUMMYFUNCTION("""COMPUTED_VALUE"""),"")</f>
        <v/>
      </c>
      <c r="S548" s="36" t="str">
        <f ca="1">IFERROR(__xludf.DUMMYFUNCTION("""COMPUTED_VALUE"""),"")</f>
        <v/>
      </c>
      <c r="T548" s="36" t="str">
        <f ca="1">IFERROR(__xludf.DUMMYFUNCTION("""COMPUTED_VALUE"""),"")</f>
        <v/>
      </c>
      <c r="U548" s="36" t="str">
        <f ca="1">IFERROR(__xludf.DUMMYFUNCTION("""COMPUTED_VALUE"""),"")</f>
        <v/>
      </c>
      <c r="V548" s="36" t="str">
        <f ca="1">IFERROR(__xludf.DUMMYFUNCTION("""COMPUTED_VALUE"""),"")</f>
        <v/>
      </c>
      <c r="W548" s="36" t="str">
        <f ca="1">IFERROR(__xludf.DUMMYFUNCTION("""COMPUTED_VALUE"""),"")</f>
        <v/>
      </c>
      <c r="X548" s="36"/>
      <c r="Y548" s="36"/>
      <c r="Z548" s="36"/>
    </row>
    <row r="549" spans="1:26" ht="12.75" hidden="1">
      <c r="A549" s="36" t="str">
        <f ca="1">IFERROR(__xludf.DUMMYFUNCTION("""COMPUTED_VALUE"""),"")</f>
        <v/>
      </c>
      <c r="B549" s="36" t="str">
        <f ca="1">IFERROR(__xludf.DUMMYFUNCTION("""COMPUTED_VALUE"""),"")</f>
        <v/>
      </c>
      <c r="C549" s="36" t="str">
        <f ca="1">IFERROR(__xludf.DUMMYFUNCTION("""COMPUTED_VALUE"""),"")</f>
        <v/>
      </c>
      <c r="D549" s="36" t="str">
        <f ca="1">IFERROR(__xludf.DUMMYFUNCTION("""COMPUTED_VALUE"""),"")</f>
        <v/>
      </c>
      <c r="E549" s="36" t="str">
        <f ca="1">IFERROR(__xludf.DUMMYFUNCTION("""COMPUTED_VALUE"""),"")</f>
        <v/>
      </c>
      <c r="F549" s="36" t="str">
        <f ca="1">IFERROR(__xludf.DUMMYFUNCTION("""COMPUTED_VALUE"""),"")</f>
        <v/>
      </c>
      <c r="G549" s="36" t="str">
        <f ca="1">IFERROR(__xludf.DUMMYFUNCTION("""COMPUTED_VALUE"""),"")</f>
        <v/>
      </c>
      <c r="H549" s="36" t="str">
        <f ca="1">IFERROR(__xludf.DUMMYFUNCTION("""COMPUTED_VALUE"""),"")</f>
        <v/>
      </c>
      <c r="I549" s="36" t="str">
        <f ca="1">IFERROR(__xludf.DUMMYFUNCTION("""COMPUTED_VALUE"""),"")</f>
        <v/>
      </c>
      <c r="J549" s="36" t="str">
        <f ca="1">IFERROR(__xludf.DUMMYFUNCTION("""COMPUTED_VALUE"""),"")</f>
        <v/>
      </c>
      <c r="K549" s="36" t="str">
        <f ca="1">IFERROR(__xludf.DUMMYFUNCTION("""COMPUTED_VALUE"""),"")</f>
        <v/>
      </c>
      <c r="L549" s="36" t="str">
        <f ca="1">IFERROR(__xludf.DUMMYFUNCTION("""COMPUTED_VALUE"""),"")</f>
        <v/>
      </c>
      <c r="M549" s="36" t="str">
        <f ca="1">IFERROR(__xludf.DUMMYFUNCTION("""COMPUTED_VALUE"""),"")</f>
        <v/>
      </c>
      <c r="N549" s="36" t="str">
        <f ca="1">IFERROR(__xludf.DUMMYFUNCTION("""COMPUTED_VALUE"""),"")</f>
        <v/>
      </c>
      <c r="O549" s="36" t="str">
        <f ca="1">IFERROR(__xludf.DUMMYFUNCTION("""COMPUTED_VALUE"""),"")</f>
        <v/>
      </c>
      <c r="P549" s="36" t="str">
        <f ca="1">IFERROR(__xludf.DUMMYFUNCTION("""COMPUTED_VALUE"""),"")</f>
        <v/>
      </c>
      <c r="Q549" s="36" t="str">
        <f ca="1">IFERROR(__xludf.DUMMYFUNCTION("""COMPUTED_VALUE"""),"")</f>
        <v/>
      </c>
      <c r="R549" s="36" t="str">
        <f ca="1">IFERROR(__xludf.DUMMYFUNCTION("""COMPUTED_VALUE"""),"")</f>
        <v/>
      </c>
      <c r="S549" s="36" t="str">
        <f ca="1">IFERROR(__xludf.DUMMYFUNCTION("""COMPUTED_VALUE"""),"")</f>
        <v/>
      </c>
      <c r="T549" s="36" t="str">
        <f ca="1">IFERROR(__xludf.DUMMYFUNCTION("""COMPUTED_VALUE"""),"")</f>
        <v/>
      </c>
      <c r="U549" s="36" t="str">
        <f ca="1">IFERROR(__xludf.DUMMYFUNCTION("""COMPUTED_VALUE"""),"")</f>
        <v/>
      </c>
      <c r="V549" s="36" t="str">
        <f ca="1">IFERROR(__xludf.DUMMYFUNCTION("""COMPUTED_VALUE"""),"")</f>
        <v/>
      </c>
      <c r="W549" s="36" t="str">
        <f ca="1">IFERROR(__xludf.DUMMYFUNCTION("""COMPUTED_VALUE"""),"")</f>
        <v/>
      </c>
      <c r="X549" s="36"/>
      <c r="Y549" s="36"/>
      <c r="Z549" s="36"/>
    </row>
    <row r="550" spans="1:26" ht="12.75" hidden="1">
      <c r="A550" s="36" t="str">
        <f ca="1">IFERROR(__xludf.DUMMYFUNCTION("""COMPUTED_VALUE"""),"")</f>
        <v/>
      </c>
      <c r="B550" s="36" t="str">
        <f ca="1">IFERROR(__xludf.DUMMYFUNCTION("""COMPUTED_VALUE"""),"")</f>
        <v/>
      </c>
      <c r="C550" s="36" t="str">
        <f ca="1">IFERROR(__xludf.DUMMYFUNCTION("""COMPUTED_VALUE"""),"")</f>
        <v/>
      </c>
      <c r="D550" s="36" t="str">
        <f ca="1">IFERROR(__xludf.DUMMYFUNCTION("""COMPUTED_VALUE"""),"")</f>
        <v/>
      </c>
      <c r="E550" s="36" t="str">
        <f ca="1">IFERROR(__xludf.DUMMYFUNCTION("""COMPUTED_VALUE"""),"")</f>
        <v/>
      </c>
      <c r="F550" s="36" t="str">
        <f ca="1">IFERROR(__xludf.DUMMYFUNCTION("""COMPUTED_VALUE"""),"")</f>
        <v/>
      </c>
      <c r="G550" s="36" t="str">
        <f ca="1">IFERROR(__xludf.DUMMYFUNCTION("""COMPUTED_VALUE"""),"")</f>
        <v/>
      </c>
      <c r="H550" s="36" t="str">
        <f ca="1">IFERROR(__xludf.DUMMYFUNCTION("""COMPUTED_VALUE"""),"")</f>
        <v/>
      </c>
      <c r="I550" s="36" t="str">
        <f ca="1">IFERROR(__xludf.DUMMYFUNCTION("""COMPUTED_VALUE"""),"")</f>
        <v/>
      </c>
      <c r="J550" s="36" t="str">
        <f ca="1">IFERROR(__xludf.DUMMYFUNCTION("""COMPUTED_VALUE"""),"")</f>
        <v/>
      </c>
      <c r="K550" s="36" t="str">
        <f ca="1">IFERROR(__xludf.DUMMYFUNCTION("""COMPUTED_VALUE"""),"")</f>
        <v/>
      </c>
      <c r="L550" s="36" t="str">
        <f ca="1">IFERROR(__xludf.DUMMYFUNCTION("""COMPUTED_VALUE"""),"")</f>
        <v/>
      </c>
      <c r="M550" s="36" t="str">
        <f ca="1">IFERROR(__xludf.DUMMYFUNCTION("""COMPUTED_VALUE"""),"")</f>
        <v/>
      </c>
      <c r="N550" s="36" t="str">
        <f ca="1">IFERROR(__xludf.DUMMYFUNCTION("""COMPUTED_VALUE"""),"")</f>
        <v/>
      </c>
      <c r="O550" s="36" t="str">
        <f ca="1">IFERROR(__xludf.DUMMYFUNCTION("""COMPUTED_VALUE"""),"")</f>
        <v/>
      </c>
      <c r="P550" s="36" t="str">
        <f ca="1">IFERROR(__xludf.DUMMYFUNCTION("""COMPUTED_VALUE"""),"")</f>
        <v/>
      </c>
      <c r="Q550" s="36" t="str">
        <f ca="1">IFERROR(__xludf.DUMMYFUNCTION("""COMPUTED_VALUE"""),"")</f>
        <v/>
      </c>
      <c r="R550" s="36" t="str">
        <f ca="1">IFERROR(__xludf.DUMMYFUNCTION("""COMPUTED_VALUE"""),"")</f>
        <v/>
      </c>
      <c r="S550" s="36" t="str">
        <f ca="1">IFERROR(__xludf.DUMMYFUNCTION("""COMPUTED_VALUE"""),"")</f>
        <v/>
      </c>
      <c r="T550" s="36" t="str">
        <f ca="1">IFERROR(__xludf.DUMMYFUNCTION("""COMPUTED_VALUE"""),"")</f>
        <v/>
      </c>
      <c r="U550" s="36" t="str">
        <f ca="1">IFERROR(__xludf.DUMMYFUNCTION("""COMPUTED_VALUE"""),"")</f>
        <v/>
      </c>
      <c r="V550" s="36" t="str">
        <f ca="1">IFERROR(__xludf.DUMMYFUNCTION("""COMPUTED_VALUE"""),"")</f>
        <v/>
      </c>
      <c r="W550" s="36" t="str">
        <f ca="1">IFERROR(__xludf.DUMMYFUNCTION("""COMPUTED_VALUE"""),"")</f>
        <v/>
      </c>
      <c r="X550" s="36"/>
      <c r="Y550" s="36"/>
      <c r="Z550" s="36"/>
    </row>
    <row r="551" spans="1:26" ht="12.75" hidden="1">
      <c r="A551" s="36" t="str">
        <f ca="1">IFERROR(__xludf.DUMMYFUNCTION("""COMPUTED_VALUE"""),"")</f>
        <v/>
      </c>
      <c r="B551" s="36" t="str">
        <f ca="1">IFERROR(__xludf.DUMMYFUNCTION("""COMPUTED_VALUE"""),"")</f>
        <v/>
      </c>
      <c r="C551" s="36" t="str">
        <f ca="1">IFERROR(__xludf.DUMMYFUNCTION("""COMPUTED_VALUE"""),"")</f>
        <v/>
      </c>
      <c r="D551" s="36" t="str">
        <f ca="1">IFERROR(__xludf.DUMMYFUNCTION("""COMPUTED_VALUE"""),"")</f>
        <v/>
      </c>
      <c r="E551" s="36" t="str">
        <f ca="1">IFERROR(__xludf.DUMMYFUNCTION("""COMPUTED_VALUE"""),"")</f>
        <v/>
      </c>
      <c r="F551" s="36" t="str">
        <f ca="1">IFERROR(__xludf.DUMMYFUNCTION("""COMPUTED_VALUE"""),"")</f>
        <v/>
      </c>
      <c r="G551" s="36" t="str">
        <f ca="1">IFERROR(__xludf.DUMMYFUNCTION("""COMPUTED_VALUE"""),"")</f>
        <v/>
      </c>
      <c r="H551" s="36" t="str">
        <f ca="1">IFERROR(__xludf.DUMMYFUNCTION("""COMPUTED_VALUE"""),"")</f>
        <v/>
      </c>
      <c r="I551" s="36" t="str">
        <f ca="1">IFERROR(__xludf.DUMMYFUNCTION("""COMPUTED_VALUE"""),"")</f>
        <v/>
      </c>
      <c r="J551" s="36" t="str">
        <f ca="1">IFERROR(__xludf.DUMMYFUNCTION("""COMPUTED_VALUE"""),"")</f>
        <v/>
      </c>
      <c r="K551" s="36" t="str">
        <f ca="1">IFERROR(__xludf.DUMMYFUNCTION("""COMPUTED_VALUE"""),"")</f>
        <v/>
      </c>
      <c r="L551" s="36" t="str">
        <f ca="1">IFERROR(__xludf.DUMMYFUNCTION("""COMPUTED_VALUE"""),"")</f>
        <v/>
      </c>
      <c r="M551" s="36" t="str">
        <f ca="1">IFERROR(__xludf.DUMMYFUNCTION("""COMPUTED_VALUE"""),"")</f>
        <v/>
      </c>
      <c r="N551" s="36" t="str">
        <f ca="1">IFERROR(__xludf.DUMMYFUNCTION("""COMPUTED_VALUE"""),"")</f>
        <v/>
      </c>
      <c r="O551" s="36" t="str">
        <f ca="1">IFERROR(__xludf.DUMMYFUNCTION("""COMPUTED_VALUE"""),"")</f>
        <v/>
      </c>
      <c r="P551" s="36" t="str">
        <f ca="1">IFERROR(__xludf.DUMMYFUNCTION("""COMPUTED_VALUE"""),"")</f>
        <v/>
      </c>
      <c r="Q551" s="36" t="str">
        <f ca="1">IFERROR(__xludf.DUMMYFUNCTION("""COMPUTED_VALUE"""),"")</f>
        <v/>
      </c>
      <c r="R551" s="36" t="str">
        <f ca="1">IFERROR(__xludf.DUMMYFUNCTION("""COMPUTED_VALUE"""),"")</f>
        <v/>
      </c>
      <c r="S551" s="36" t="str">
        <f ca="1">IFERROR(__xludf.DUMMYFUNCTION("""COMPUTED_VALUE"""),"")</f>
        <v/>
      </c>
      <c r="T551" s="36" t="str">
        <f ca="1">IFERROR(__xludf.DUMMYFUNCTION("""COMPUTED_VALUE"""),"")</f>
        <v/>
      </c>
      <c r="U551" s="36" t="str">
        <f ca="1">IFERROR(__xludf.DUMMYFUNCTION("""COMPUTED_VALUE"""),"")</f>
        <v/>
      </c>
      <c r="V551" s="36" t="str">
        <f ca="1">IFERROR(__xludf.DUMMYFUNCTION("""COMPUTED_VALUE"""),"")</f>
        <v/>
      </c>
      <c r="W551" s="36" t="str">
        <f ca="1">IFERROR(__xludf.DUMMYFUNCTION("""COMPUTED_VALUE"""),"")</f>
        <v/>
      </c>
      <c r="X551" s="36"/>
      <c r="Y551" s="36"/>
      <c r="Z551" s="36"/>
    </row>
    <row r="552" spans="1:26" ht="12.75" hidden="1">
      <c r="A552" s="36" t="str">
        <f ca="1">IFERROR(__xludf.DUMMYFUNCTION("""COMPUTED_VALUE"""),"")</f>
        <v/>
      </c>
      <c r="B552" s="36" t="str">
        <f ca="1">IFERROR(__xludf.DUMMYFUNCTION("""COMPUTED_VALUE"""),"")</f>
        <v/>
      </c>
      <c r="C552" s="36" t="str">
        <f ca="1">IFERROR(__xludf.DUMMYFUNCTION("""COMPUTED_VALUE"""),"")</f>
        <v/>
      </c>
      <c r="D552" s="36" t="str">
        <f ca="1">IFERROR(__xludf.DUMMYFUNCTION("""COMPUTED_VALUE"""),"")</f>
        <v/>
      </c>
      <c r="E552" s="36" t="str">
        <f ca="1">IFERROR(__xludf.DUMMYFUNCTION("""COMPUTED_VALUE"""),"")</f>
        <v/>
      </c>
      <c r="F552" s="36" t="str">
        <f ca="1">IFERROR(__xludf.DUMMYFUNCTION("""COMPUTED_VALUE"""),"")</f>
        <v/>
      </c>
      <c r="G552" s="36" t="str">
        <f ca="1">IFERROR(__xludf.DUMMYFUNCTION("""COMPUTED_VALUE"""),"")</f>
        <v/>
      </c>
      <c r="H552" s="36" t="str">
        <f ca="1">IFERROR(__xludf.DUMMYFUNCTION("""COMPUTED_VALUE"""),"")</f>
        <v/>
      </c>
      <c r="I552" s="36" t="str">
        <f ca="1">IFERROR(__xludf.DUMMYFUNCTION("""COMPUTED_VALUE"""),"")</f>
        <v/>
      </c>
      <c r="J552" s="36" t="str">
        <f ca="1">IFERROR(__xludf.DUMMYFUNCTION("""COMPUTED_VALUE"""),"")</f>
        <v/>
      </c>
      <c r="K552" s="36" t="str">
        <f ca="1">IFERROR(__xludf.DUMMYFUNCTION("""COMPUTED_VALUE"""),"")</f>
        <v/>
      </c>
      <c r="L552" s="36" t="str">
        <f ca="1">IFERROR(__xludf.DUMMYFUNCTION("""COMPUTED_VALUE"""),"")</f>
        <v/>
      </c>
      <c r="M552" s="36" t="str">
        <f ca="1">IFERROR(__xludf.DUMMYFUNCTION("""COMPUTED_VALUE"""),"")</f>
        <v/>
      </c>
      <c r="N552" s="36" t="str">
        <f ca="1">IFERROR(__xludf.DUMMYFUNCTION("""COMPUTED_VALUE"""),"")</f>
        <v/>
      </c>
      <c r="O552" s="36" t="str">
        <f ca="1">IFERROR(__xludf.DUMMYFUNCTION("""COMPUTED_VALUE"""),"")</f>
        <v/>
      </c>
      <c r="P552" s="36" t="str">
        <f ca="1">IFERROR(__xludf.DUMMYFUNCTION("""COMPUTED_VALUE"""),"")</f>
        <v/>
      </c>
      <c r="Q552" s="36" t="str">
        <f ca="1">IFERROR(__xludf.DUMMYFUNCTION("""COMPUTED_VALUE"""),"")</f>
        <v/>
      </c>
      <c r="R552" s="36" t="str">
        <f ca="1">IFERROR(__xludf.DUMMYFUNCTION("""COMPUTED_VALUE"""),"")</f>
        <v/>
      </c>
      <c r="S552" s="36" t="str">
        <f ca="1">IFERROR(__xludf.DUMMYFUNCTION("""COMPUTED_VALUE"""),"")</f>
        <v/>
      </c>
      <c r="T552" s="36" t="str">
        <f ca="1">IFERROR(__xludf.DUMMYFUNCTION("""COMPUTED_VALUE"""),"")</f>
        <v/>
      </c>
      <c r="U552" s="36" t="str">
        <f ca="1">IFERROR(__xludf.DUMMYFUNCTION("""COMPUTED_VALUE"""),"")</f>
        <v/>
      </c>
      <c r="V552" s="36" t="str">
        <f ca="1">IFERROR(__xludf.DUMMYFUNCTION("""COMPUTED_VALUE"""),"")</f>
        <v/>
      </c>
      <c r="W552" s="36" t="str">
        <f ca="1">IFERROR(__xludf.DUMMYFUNCTION("""COMPUTED_VALUE"""),"")</f>
        <v/>
      </c>
      <c r="X552" s="36"/>
      <c r="Y552" s="36"/>
      <c r="Z552" s="36"/>
    </row>
    <row r="553" spans="1:26" ht="12.75" hidden="1">
      <c r="A553" s="36" t="str">
        <f ca="1">IFERROR(__xludf.DUMMYFUNCTION("""COMPUTED_VALUE"""),"")</f>
        <v/>
      </c>
      <c r="B553" s="36" t="str">
        <f ca="1">IFERROR(__xludf.DUMMYFUNCTION("""COMPUTED_VALUE"""),"")</f>
        <v/>
      </c>
      <c r="C553" s="36" t="str">
        <f ca="1">IFERROR(__xludf.DUMMYFUNCTION("""COMPUTED_VALUE"""),"")</f>
        <v/>
      </c>
      <c r="D553" s="36" t="str">
        <f ca="1">IFERROR(__xludf.DUMMYFUNCTION("""COMPUTED_VALUE"""),"")</f>
        <v/>
      </c>
      <c r="E553" s="36" t="str">
        <f ca="1">IFERROR(__xludf.DUMMYFUNCTION("""COMPUTED_VALUE"""),"")</f>
        <v/>
      </c>
      <c r="F553" s="36" t="str">
        <f ca="1">IFERROR(__xludf.DUMMYFUNCTION("""COMPUTED_VALUE"""),"")</f>
        <v/>
      </c>
      <c r="G553" s="36" t="str">
        <f ca="1">IFERROR(__xludf.DUMMYFUNCTION("""COMPUTED_VALUE"""),"")</f>
        <v/>
      </c>
      <c r="H553" s="36" t="str">
        <f ca="1">IFERROR(__xludf.DUMMYFUNCTION("""COMPUTED_VALUE"""),"")</f>
        <v/>
      </c>
      <c r="I553" s="36" t="str">
        <f ca="1">IFERROR(__xludf.DUMMYFUNCTION("""COMPUTED_VALUE"""),"")</f>
        <v/>
      </c>
      <c r="J553" s="36" t="str">
        <f ca="1">IFERROR(__xludf.DUMMYFUNCTION("""COMPUTED_VALUE"""),"")</f>
        <v/>
      </c>
      <c r="K553" s="36" t="str">
        <f ca="1">IFERROR(__xludf.DUMMYFUNCTION("""COMPUTED_VALUE"""),"")</f>
        <v/>
      </c>
      <c r="L553" s="36" t="str">
        <f ca="1">IFERROR(__xludf.DUMMYFUNCTION("""COMPUTED_VALUE"""),"")</f>
        <v/>
      </c>
      <c r="M553" s="36" t="str">
        <f ca="1">IFERROR(__xludf.DUMMYFUNCTION("""COMPUTED_VALUE"""),"")</f>
        <v/>
      </c>
      <c r="N553" s="36" t="str">
        <f ca="1">IFERROR(__xludf.DUMMYFUNCTION("""COMPUTED_VALUE"""),"")</f>
        <v/>
      </c>
      <c r="O553" s="36" t="str">
        <f ca="1">IFERROR(__xludf.DUMMYFUNCTION("""COMPUTED_VALUE"""),"")</f>
        <v/>
      </c>
      <c r="P553" s="36" t="str">
        <f ca="1">IFERROR(__xludf.DUMMYFUNCTION("""COMPUTED_VALUE"""),"")</f>
        <v/>
      </c>
      <c r="Q553" s="36" t="str">
        <f ca="1">IFERROR(__xludf.DUMMYFUNCTION("""COMPUTED_VALUE"""),"")</f>
        <v/>
      </c>
      <c r="R553" s="36" t="str">
        <f ca="1">IFERROR(__xludf.DUMMYFUNCTION("""COMPUTED_VALUE"""),"")</f>
        <v/>
      </c>
      <c r="S553" s="36" t="str">
        <f ca="1">IFERROR(__xludf.DUMMYFUNCTION("""COMPUTED_VALUE"""),"")</f>
        <v/>
      </c>
      <c r="T553" s="36" t="str">
        <f ca="1">IFERROR(__xludf.DUMMYFUNCTION("""COMPUTED_VALUE"""),"")</f>
        <v/>
      </c>
      <c r="U553" s="36" t="str">
        <f ca="1">IFERROR(__xludf.DUMMYFUNCTION("""COMPUTED_VALUE"""),"")</f>
        <v/>
      </c>
      <c r="V553" s="36" t="str">
        <f ca="1">IFERROR(__xludf.DUMMYFUNCTION("""COMPUTED_VALUE"""),"")</f>
        <v/>
      </c>
      <c r="W553" s="36" t="str">
        <f ca="1">IFERROR(__xludf.DUMMYFUNCTION("""COMPUTED_VALUE"""),"")</f>
        <v/>
      </c>
      <c r="X553" s="36"/>
      <c r="Y553" s="36"/>
      <c r="Z553" s="36"/>
    </row>
    <row r="554" spans="1:26" ht="12.75" hidden="1">
      <c r="A554" s="36" t="str">
        <f ca="1">IFERROR(__xludf.DUMMYFUNCTION("""COMPUTED_VALUE"""),"")</f>
        <v/>
      </c>
      <c r="B554" s="36" t="str">
        <f ca="1">IFERROR(__xludf.DUMMYFUNCTION("""COMPUTED_VALUE"""),"")</f>
        <v/>
      </c>
      <c r="C554" s="36" t="str">
        <f ca="1">IFERROR(__xludf.DUMMYFUNCTION("""COMPUTED_VALUE"""),"")</f>
        <v/>
      </c>
      <c r="D554" s="36" t="str">
        <f ca="1">IFERROR(__xludf.DUMMYFUNCTION("""COMPUTED_VALUE"""),"")</f>
        <v/>
      </c>
      <c r="E554" s="36" t="str">
        <f ca="1">IFERROR(__xludf.DUMMYFUNCTION("""COMPUTED_VALUE"""),"")</f>
        <v/>
      </c>
      <c r="F554" s="36" t="str">
        <f ca="1">IFERROR(__xludf.DUMMYFUNCTION("""COMPUTED_VALUE"""),"")</f>
        <v/>
      </c>
      <c r="G554" s="36" t="str">
        <f ca="1">IFERROR(__xludf.DUMMYFUNCTION("""COMPUTED_VALUE"""),"")</f>
        <v/>
      </c>
      <c r="H554" s="36" t="str">
        <f ca="1">IFERROR(__xludf.DUMMYFUNCTION("""COMPUTED_VALUE"""),"")</f>
        <v/>
      </c>
      <c r="I554" s="36" t="str">
        <f ca="1">IFERROR(__xludf.DUMMYFUNCTION("""COMPUTED_VALUE"""),"")</f>
        <v/>
      </c>
      <c r="J554" s="36" t="str">
        <f ca="1">IFERROR(__xludf.DUMMYFUNCTION("""COMPUTED_VALUE"""),"")</f>
        <v/>
      </c>
      <c r="K554" s="36" t="str">
        <f ca="1">IFERROR(__xludf.DUMMYFUNCTION("""COMPUTED_VALUE"""),"")</f>
        <v/>
      </c>
      <c r="L554" s="36" t="str">
        <f ca="1">IFERROR(__xludf.DUMMYFUNCTION("""COMPUTED_VALUE"""),"")</f>
        <v/>
      </c>
      <c r="M554" s="36" t="str">
        <f ca="1">IFERROR(__xludf.DUMMYFUNCTION("""COMPUTED_VALUE"""),"")</f>
        <v/>
      </c>
      <c r="N554" s="36" t="str">
        <f ca="1">IFERROR(__xludf.DUMMYFUNCTION("""COMPUTED_VALUE"""),"")</f>
        <v/>
      </c>
      <c r="O554" s="36" t="str">
        <f ca="1">IFERROR(__xludf.DUMMYFUNCTION("""COMPUTED_VALUE"""),"")</f>
        <v/>
      </c>
      <c r="P554" s="36" t="str">
        <f ca="1">IFERROR(__xludf.DUMMYFUNCTION("""COMPUTED_VALUE"""),"")</f>
        <v/>
      </c>
      <c r="Q554" s="36" t="str">
        <f ca="1">IFERROR(__xludf.DUMMYFUNCTION("""COMPUTED_VALUE"""),"")</f>
        <v/>
      </c>
      <c r="R554" s="36" t="str">
        <f ca="1">IFERROR(__xludf.DUMMYFUNCTION("""COMPUTED_VALUE"""),"")</f>
        <v/>
      </c>
      <c r="S554" s="36" t="str">
        <f ca="1">IFERROR(__xludf.DUMMYFUNCTION("""COMPUTED_VALUE"""),"")</f>
        <v/>
      </c>
      <c r="T554" s="36" t="str">
        <f ca="1">IFERROR(__xludf.DUMMYFUNCTION("""COMPUTED_VALUE"""),"")</f>
        <v/>
      </c>
      <c r="U554" s="36" t="str">
        <f ca="1">IFERROR(__xludf.DUMMYFUNCTION("""COMPUTED_VALUE"""),"")</f>
        <v/>
      </c>
      <c r="V554" s="36" t="str">
        <f ca="1">IFERROR(__xludf.DUMMYFUNCTION("""COMPUTED_VALUE"""),"")</f>
        <v/>
      </c>
      <c r="W554" s="36" t="str">
        <f ca="1">IFERROR(__xludf.DUMMYFUNCTION("""COMPUTED_VALUE"""),"")</f>
        <v/>
      </c>
      <c r="X554" s="36"/>
      <c r="Y554" s="36"/>
      <c r="Z554" s="36"/>
    </row>
    <row r="555" spans="1:26" ht="12.75" hidden="1">
      <c r="A555" s="36" t="str">
        <f ca="1">IFERROR(__xludf.DUMMYFUNCTION("""COMPUTED_VALUE"""),"")</f>
        <v/>
      </c>
      <c r="B555" s="36" t="str">
        <f ca="1">IFERROR(__xludf.DUMMYFUNCTION("""COMPUTED_VALUE"""),"")</f>
        <v/>
      </c>
      <c r="C555" s="36" t="str">
        <f ca="1">IFERROR(__xludf.DUMMYFUNCTION("""COMPUTED_VALUE"""),"")</f>
        <v/>
      </c>
      <c r="D555" s="36" t="str">
        <f ca="1">IFERROR(__xludf.DUMMYFUNCTION("""COMPUTED_VALUE"""),"")</f>
        <v/>
      </c>
      <c r="E555" s="36" t="str">
        <f ca="1">IFERROR(__xludf.DUMMYFUNCTION("""COMPUTED_VALUE"""),"")</f>
        <v/>
      </c>
      <c r="F555" s="36" t="str">
        <f ca="1">IFERROR(__xludf.DUMMYFUNCTION("""COMPUTED_VALUE"""),"")</f>
        <v/>
      </c>
      <c r="G555" s="36" t="str">
        <f ca="1">IFERROR(__xludf.DUMMYFUNCTION("""COMPUTED_VALUE"""),"")</f>
        <v/>
      </c>
      <c r="H555" s="36" t="str">
        <f ca="1">IFERROR(__xludf.DUMMYFUNCTION("""COMPUTED_VALUE"""),"")</f>
        <v/>
      </c>
      <c r="I555" s="36" t="str">
        <f ca="1">IFERROR(__xludf.DUMMYFUNCTION("""COMPUTED_VALUE"""),"")</f>
        <v/>
      </c>
      <c r="J555" s="36" t="str">
        <f ca="1">IFERROR(__xludf.DUMMYFUNCTION("""COMPUTED_VALUE"""),"")</f>
        <v/>
      </c>
      <c r="K555" s="36" t="str">
        <f ca="1">IFERROR(__xludf.DUMMYFUNCTION("""COMPUTED_VALUE"""),"")</f>
        <v/>
      </c>
      <c r="L555" s="36" t="str">
        <f ca="1">IFERROR(__xludf.DUMMYFUNCTION("""COMPUTED_VALUE"""),"")</f>
        <v/>
      </c>
      <c r="M555" s="36" t="str">
        <f ca="1">IFERROR(__xludf.DUMMYFUNCTION("""COMPUTED_VALUE"""),"")</f>
        <v/>
      </c>
      <c r="N555" s="36" t="str">
        <f ca="1">IFERROR(__xludf.DUMMYFUNCTION("""COMPUTED_VALUE"""),"")</f>
        <v/>
      </c>
      <c r="O555" s="36" t="str">
        <f ca="1">IFERROR(__xludf.DUMMYFUNCTION("""COMPUTED_VALUE"""),"")</f>
        <v/>
      </c>
      <c r="P555" s="36" t="str">
        <f ca="1">IFERROR(__xludf.DUMMYFUNCTION("""COMPUTED_VALUE"""),"")</f>
        <v/>
      </c>
      <c r="Q555" s="36" t="str">
        <f ca="1">IFERROR(__xludf.DUMMYFUNCTION("""COMPUTED_VALUE"""),"")</f>
        <v/>
      </c>
      <c r="R555" s="36" t="str">
        <f ca="1">IFERROR(__xludf.DUMMYFUNCTION("""COMPUTED_VALUE"""),"")</f>
        <v/>
      </c>
      <c r="S555" s="36" t="str">
        <f ca="1">IFERROR(__xludf.DUMMYFUNCTION("""COMPUTED_VALUE"""),"")</f>
        <v/>
      </c>
      <c r="T555" s="36" t="str">
        <f ca="1">IFERROR(__xludf.DUMMYFUNCTION("""COMPUTED_VALUE"""),"")</f>
        <v/>
      </c>
      <c r="U555" s="36" t="str">
        <f ca="1">IFERROR(__xludf.DUMMYFUNCTION("""COMPUTED_VALUE"""),"")</f>
        <v/>
      </c>
      <c r="V555" s="36" t="str">
        <f ca="1">IFERROR(__xludf.DUMMYFUNCTION("""COMPUTED_VALUE"""),"")</f>
        <v/>
      </c>
      <c r="W555" s="36" t="str">
        <f ca="1">IFERROR(__xludf.DUMMYFUNCTION("""COMPUTED_VALUE"""),"")</f>
        <v/>
      </c>
      <c r="X555" s="36"/>
      <c r="Y555" s="36"/>
      <c r="Z555" s="36"/>
    </row>
    <row r="556" spans="1:26" ht="12.75" hidden="1">
      <c r="A556" s="36" t="str">
        <f ca="1">IFERROR(__xludf.DUMMYFUNCTION("""COMPUTED_VALUE"""),"")</f>
        <v/>
      </c>
      <c r="B556" s="36" t="str">
        <f ca="1">IFERROR(__xludf.DUMMYFUNCTION("""COMPUTED_VALUE"""),"")</f>
        <v/>
      </c>
      <c r="C556" s="36" t="str">
        <f ca="1">IFERROR(__xludf.DUMMYFUNCTION("""COMPUTED_VALUE"""),"")</f>
        <v/>
      </c>
      <c r="D556" s="36" t="str">
        <f ca="1">IFERROR(__xludf.DUMMYFUNCTION("""COMPUTED_VALUE"""),"")</f>
        <v/>
      </c>
      <c r="E556" s="36" t="str">
        <f ca="1">IFERROR(__xludf.DUMMYFUNCTION("""COMPUTED_VALUE"""),"")</f>
        <v/>
      </c>
      <c r="F556" s="36" t="str">
        <f ca="1">IFERROR(__xludf.DUMMYFUNCTION("""COMPUTED_VALUE"""),"")</f>
        <v/>
      </c>
      <c r="G556" s="36" t="str">
        <f ca="1">IFERROR(__xludf.DUMMYFUNCTION("""COMPUTED_VALUE"""),"")</f>
        <v/>
      </c>
      <c r="H556" s="36" t="str">
        <f ca="1">IFERROR(__xludf.DUMMYFUNCTION("""COMPUTED_VALUE"""),"")</f>
        <v/>
      </c>
      <c r="I556" s="36" t="str">
        <f ca="1">IFERROR(__xludf.DUMMYFUNCTION("""COMPUTED_VALUE"""),"")</f>
        <v/>
      </c>
      <c r="J556" s="36" t="str">
        <f ca="1">IFERROR(__xludf.DUMMYFUNCTION("""COMPUTED_VALUE"""),"")</f>
        <v/>
      </c>
      <c r="K556" s="36" t="str">
        <f ca="1">IFERROR(__xludf.DUMMYFUNCTION("""COMPUTED_VALUE"""),"")</f>
        <v/>
      </c>
      <c r="L556" s="36" t="str">
        <f ca="1">IFERROR(__xludf.DUMMYFUNCTION("""COMPUTED_VALUE"""),"")</f>
        <v/>
      </c>
      <c r="M556" s="36" t="str">
        <f ca="1">IFERROR(__xludf.DUMMYFUNCTION("""COMPUTED_VALUE"""),"")</f>
        <v/>
      </c>
      <c r="N556" s="36" t="str">
        <f ca="1">IFERROR(__xludf.DUMMYFUNCTION("""COMPUTED_VALUE"""),"")</f>
        <v/>
      </c>
      <c r="O556" s="36" t="str">
        <f ca="1">IFERROR(__xludf.DUMMYFUNCTION("""COMPUTED_VALUE"""),"")</f>
        <v/>
      </c>
      <c r="P556" s="36" t="str">
        <f ca="1">IFERROR(__xludf.DUMMYFUNCTION("""COMPUTED_VALUE"""),"")</f>
        <v/>
      </c>
      <c r="Q556" s="36" t="str">
        <f ca="1">IFERROR(__xludf.DUMMYFUNCTION("""COMPUTED_VALUE"""),"")</f>
        <v/>
      </c>
      <c r="R556" s="36" t="str">
        <f ca="1">IFERROR(__xludf.DUMMYFUNCTION("""COMPUTED_VALUE"""),"")</f>
        <v/>
      </c>
      <c r="S556" s="36" t="str">
        <f ca="1">IFERROR(__xludf.DUMMYFUNCTION("""COMPUTED_VALUE"""),"")</f>
        <v/>
      </c>
      <c r="T556" s="36" t="str">
        <f ca="1">IFERROR(__xludf.DUMMYFUNCTION("""COMPUTED_VALUE"""),"")</f>
        <v/>
      </c>
      <c r="U556" s="36" t="str">
        <f ca="1">IFERROR(__xludf.DUMMYFUNCTION("""COMPUTED_VALUE"""),"")</f>
        <v/>
      </c>
      <c r="V556" s="36" t="str">
        <f ca="1">IFERROR(__xludf.DUMMYFUNCTION("""COMPUTED_VALUE"""),"")</f>
        <v/>
      </c>
      <c r="W556" s="36" t="str">
        <f ca="1">IFERROR(__xludf.DUMMYFUNCTION("""COMPUTED_VALUE"""),"")</f>
        <v/>
      </c>
      <c r="X556" s="36"/>
      <c r="Y556" s="36"/>
      <c r="Z556" s="36"/>
    </row>
    <row r="557" spans="1:26" ht="12.75" hidden="1">
      <c r="A557" s="36" t="str">
        <f ca="1">IFERROR(__xludf.DUMMYFUNCTION("""COMPUTED_VALUE"""),"")</f>
        <v/>
      </c>
      <c r="B557" s="36" t="str">
        <f ca="1">IFERROR(__xludf.DUMMYFUNCTION("""COMPUTED_VALUE"""),"")</f>
        <v/>
      </c>
      <c r="C557" s="36" t="str">
        <f ca="1">IFERROR(__xludf.DUMMYFUNCTION("""COMPUTED_VALUE"""),"")</f>
        <v/>
      </c>
      <c r="D557" s="36" t="str">
        <f ca="1">IFERROR(__xludf.DUMMYFUNCTION("""COMPUTED_VALUE"""),"")</f>
        <v/>
      </c>
      <c r="E557" s="36" t="str">
        <f ca="1">IFERROR(__xludf.DUMMYFUNCTION("""COMPUTED_VALUE"""),"")</f>
        <v/>
      </c>
      <c r="F557" s="36" t="str">
        <f ca="1">IFERROR(__xludf.DUMMYFUNCTION("""COMPUTED_VALUE"""),"")</f>
        <v/>
      </c>
      <c r="G557" s="36" t="str">
        <f ca="1">IFERROR(__xludf.DUMMYFUNCTION("""COMPUTED_VALUE"""),"")</f>
        <v/>
      </c>
      <c r="H557" s="36" t="str">
        <f ca="1">IFERROR(__xludf.DUMMYFUNCTION("""COMPUTED_VALUE"""),"")</f>
        <v/>
      </c>
      <c r="I557" s="36" t="str">
        <f ca="1">IFERROR(__xludf.DUMMYFUNCTION("""COMPUTED_VALUE"""),"")</f>
        <v/>
      </c>
      <c r="J557" s="36" t="str">
        <f ca="1">IFERROR(__xludf.DUMMYFUNCTION("""COMPUTED_VALUE"""),"")</f>
        <v/>
      </c>
      <c r="K557" s="36" t="str">
        <f ca="1">IFERROR(__xludf.DUMMYFUNCTION("""COMPUTED_VALUE"""),"")</f>
        <v/>
      </c>
      <c r="L557" s="36" t="str">
        <f ca="1">IFERROR(__xludf.DUMMYFUNCTION("""COMPUTED_VALUE"""),"")</f>
        <v/>
      </c>
      <c r="M557" s="36" t="str">
        <f ca="1">IFERROR(__xludf.DUMMYFUNCTION("""COMPUTED_VALUE"""),"")</f>
        <v/>
      </c>
      <c r="N557" s="36" t="str">
        <f ca="1">IFERROR(__xludf.DUMMYFUNCTION("""COMPUTED_VALUE"""),"")</f>
        <v/>
      </c>
      <c r="O557" s="36" t="str">
        <f ca="1">IFERROR(__xludf.DUMMYFUNCTION("""COMPUTED_VALUE"""),"")</f>
        <v/>
      </c>
      <c r="P557" s="36" t="str">
        <f ca="1">IFERROR(__xludf.DUMMYFUNCTION("""COMPUTED_VALUE"""),"")</f>
        <v/>
      </c>
      <c r="Q557" s="36" t="str">
        <f ca="1">IFERROR(__xludf.DUMMYFUNCTION("""COMPUTED_VALUE"""),"")</f>
        <v/>
      </c>
      <c r="R557" s="36" t="str">
        <f ca="1">IFERROR(__xludf.DUMMYFUNCTION("""COMPUTED_VALUE"""),"")</f>
        <v/>
      </c>
      <c r="S557" s="36" t="str">
        <f ca="1">IFERROR(__xludf.DUMMYFUNCTION("""COMPUTED_VALUE"""),"")</f>
        <v/>
      </c>
      <c r="T557" s="36" t="str">
        <f ca="1">IFERROR(__xludf.DUMMYFUNCTION("""COMPUTED_VALUE"""),"")</f>
        <v/>
      </c>
      <c r="U557" s="36" t="str">
        <f ca="1">IFERROR(__xludf.DUMMYFUNCTION("""COMPUTED_VALUE"""),"")</f>
        <v/>
      </c>
      <c r="V557" s="36" t="str">
        <f ca="1">IFERROR(__xludf.DUMMYFUNCTION("""COMPUTED_VALUE"""),"")</f>
        <v/>
      </c>
      <c r="W557" s="36" t="str">
        <f ca="1">IFERROR(__xludf.DUMMYFUNCTION("""COMPUTED_VALUE"""),"")</f>
        <v/>
      </c>
      <c r="X557" s="36"/>
      <c r="Y557" s="36"/>
      <c r="Z557" s="36"/>
    </row>
    <row r="558" spans="1:26" ht="12.75" hidden="1">
      <c r="A558" s="36" t="str">
        <f ca="1">IFERROR(__xludf.DUMMYFUNCTION("""COMPUTED_VALUE"""),"")</f>
        <v/>
      </c>
      <c r="B558" s="36" t="str">
        <f ca="1">IFERROR(__xludf.DUMMYFUNCTION("""COMPUTED_VALUE"""),"")</f>
        <v/>
      </c>
      <c r="C558" s="36" t="str">
        <f ca="1">IFERROR(__xludf.DUMMYFUNCTION("""COMPUTED_VALUE"""),"")</f>
        <v/>
      </c>
      <c r="D558" s="36" t="str">
        <f ca="1">IFERROR(__xludf.DUMMYFUNCTION("""COMPUTED_VALUE"""),"")</f>
        <v/>
      </c>
      <c r="E558" s="36" t="str">
        <f ca="1">IFERROR(__xludf.DUMMYFUNCTION("""COMPUTED_VALUE"""),"")</f>
        <v/>
      </c>
      <c r="F558" s="36" t="str">
        <f ca="1">IFERROR(__xludf.DUMMYFUNCTION("""COMPUTED_VALUE"""),"")</f>
        <v/>
      </c>
      <c r="G558" s="36" t="str">
        <f ca="1">IFERROR(__xludf.DUMMYFUNCTION("""COMPUTED_VALUE"""),"")</f>
        <v/>
      </c>
      <c r="H558" s="36" t="str">
        <f ca="1">IFERROR(__xludf.DUMMYFUNCTION("""COMPUTED_VALUE"""),"")</f>
        <v/>
      </c>
      <c r="I558" s="36" t="str">
        <f ca="1">IFERROR(__xludf.DUMMYFUNCTION("""COMPUTED_VALUE"""),"")</f>
        <v/>
      </c>
      <c r="J558" s="36" t="str">
        <f ca="1">IFERROR(__xludf.DUMMYFUNCTION("""COMPUTED_VALUE"""),"")</f>
        <v/>
      </c>
      <c r="K558" s="36" t="str">
        <f ca="1">IFERROR(__xludf.DUMMYFUNCTION("""COMPUTED_VALUE"""),"")</f>
        <v/>
      </c>
      <c r="L558" s="36" t="str">
        <f ca="1">IFERROR(__xludf.DUMMYFUNCTION("""COMPUTED_VALUE"""),"")</f>
        <v/>
      </c>
      <c r="M558" s="36" t="str">
        <f ca="1">IFERROR(__xludf.DUMMYFUNCTION("""COMPUTED_VALUE"""),"")</f>
        <v/>
      </c>
      <c r="N558" s="36" t="str">
        <f ca="1">IFERROR(__xludf.DUMMYFUNCTION("""COMPUTED_VALUE"""),"")</f>
        <v/>
      </c>
      <c r="O558" s="36" t="str">
        <f ca="1">IFERROR(__xludf.DUMMYFUNCTION("""COMPUTED_VALUE"""),"")</f>
        <v/>
      </c>
      <c r="P558" s="36" t="str">
        <f ca="1">IFERROR(__xludf.DUMMYFUNCTION("""COMPUTED_VALUE"""),"")</f>
        <v/>
      </c>
      <c r="Q558" s="36" t="str">
        <f ca="1">IFERROR(__xludf.DUMMYFUNCTION("""COMPUTED_VALUE"""),"")</f>
        <v/>
      </c>
      <c r="R558" s="36" t="str">
        <f ca="1">IFERROR(__xludf.DUMMYFUNCTION("""COMPUTED_VALUE"""),"")</f>
        <v/>
      </c>
      <c r="S558" s="36" t="str">
        <f ca="1">IFERROR(__xludf.DUMMYFUNCTION("""COMPUTED_VALUE"""),"")</f>
        <v/>
      </c>
      <c r="T558" s="36" t="str">
        <f ca="1">IFERROR(__xludf.DUMMYFUNCTION("""COMPUTED_VALUE"""),"")</f>
        <v/>
      </c>
      <c r="U558" s="36" t="str">
        <f ca="1">IFERROR(__xludf.DUMMYFUNCTION("""COMPUTED_VALUE"""),"")</f>
        <v/>
      </c>
      <c r="V558" s="36" t="str">
        <f ca="1">IFERROR(__xludf.DUMMYFUNCTION("""COMPUTED_VALUE"""),"")</f>
        <v/>
      </c>
      <c r="W558" s="36" t="str">
        <f ca="1">IFERROR(__xludf.DUMMYFUNCTION("""COMPUTED_VALUE"""),"")</f>
        <v/>
      </c>
      <c r="X558" s="36"/>
      <c r="Y558" s="36"/>
      <c r="Z558" s="36"/>
    </row>
    <row r="559" spans="1:26" ht="12.75" hidden="1">
      <c r="A559" s="36" t="str">
        <f ca="1">IFERROR(__xludf.DUMMYFUNCTION("""COMPUTED_VALUE"""),"")</f>
        <v/>
      </c>
      <c r="B559" s="36" t="str">
        <f ca="1">IFERROR(__xludf.DUMMYFUNCTION("""COMPUTED_VALUE"""),"")</f>
        <v/>
      </c>
      <c r="C559" s="36" t="str">
        <f ca="1">IFERROR(__xludf.DUMMYFUNCTION("""COMPUTED_VALUE"""),"")</f>
        <v/>
      </c>
      <c r="D559" s="36" t="str">
        <f ca="1">IFERROR(__xludf.DUMMYFUNCTION("""COMPUTED_VALUE"""),"")</f>
        <v/>
      </c>
      <c r="E559" s="36" t="str">
        <f ca="1">IFERROR(__xludf.DUMMYFUNCTION("""COMPUTED_VALUE"""),"")</f>
        <v/>
      </c>
      <c r="F559" s="36" t="str">
        <f ca="1">IFERROR(__xludf.DUMMYFUNCTION("""COMPUTED_VALUE"""),"")</f>
        <v/>
      </c>
      <c r="G559" s="36" t="str">
        <f ca="1">IFERROR(__xludf.DUMMYFUNCTION("""COMPUTED_VALUE"""),"")</f>
        <v/>
      </c>
      <c r="H559" s="36" t="str">
        <f ca="1">IFERROR(__xludf.DUMMYFUNCTION("""COMPUTED_VALUE"""),"")</f>
        <v/>
      </c>
      <c r="I559" s="36" t="str">
        <f ca="1">IFERROR(__xludf.DUMMYFUNCTION("""COMPUTED_VALUE"""),"")</f>
        <v/>
      </c>
      <c r="J559" s="36" t="str">
        <f ca="1">IFERROR(__xludf.DUMMYFUNCTION("""COMPUTED_VALUE"""),"")</f>
        <v/>
      </c>
      <c r="K559" s="36" t="str">
        <f ca="1">IFERROR(__xludf.DUMMYFUNCTION("""COMPUTED_VALUE"""),"")</f>
        <v/>
      </c>
      <c r="L559" s="36" t="str">
        <f ca="1">IFERROR(__xludf.DUMMYFUNCTION("""COMPUTED_VALUE"""),"")</f>
        <v/>
      </c>
      <c r="M559" s="36" t="str">
        <f ca="1">IFERROR(__xludf.DUMMYFUNCTION("""COMPUTED_VALUE"""),"")</f>
        <v/>
      </c>
      <c r="N559" s="36" t="str">
        <f ca="1">IFERROR(__xludf.DUMMYFUNCTION("""COMPUTED_VALUE"""),"")</f>
        <v/>
      </c>
      <c r="O559" s="36" t="str">
        <f ca="1">IFERROR(__xludf.DUMMYFUNCTION("""COMPUTED_VALUE"""),"")</f>
        <v/>
      </c>
      <c r="P559" s="36" t="str">
        <f ca="1">IFERROR(__xludf.DUMMYFUNCTION("""COMPUTED_VALUE"""),"")</f>
        <v/>
      </c>
      <c r="Q559" s="36" t="str">
        <f ca="1">IFERROR(__xludf.DUMMYFUNCTION("""COMPUTED_VALUE"""),"")</f>
        <v/>
      </c>
      <c r="R559" s="36" t="str">
        <f ca="1">IFERROR(__xludf.DUMMYFUNCTION("""COMPUTED_VALUE"""),"")</f>
        <v/>
      </c>
      <c r="S559" s="36" t="str">
        <f ca="1">IFERROR(__xludf.DUMMYFUNCTION("""COMPUTED_VALUE"""),"")</f>
        <v/>
      </c>
      <c r="T559" s="36" t="str">
        <f ca="1">IFERROR(__xludf.DUMMYFUNCTION("""COMPUTED_VALUE"""),"")</f>
        <v/>
      </c>
      <c r="U559" s="36" t="str">
        <f ca="1">IFERROR(__xludf.DUMMYFUNCTION("""COMPUTED_VALUE"""),"")</f>
        <v/>
      </c>
      <c r="V559" s="36" t="str">
        <f ca="1">IFERROR(__xludf.DUMMYFUNCTION("""COMPUTED_VALUE"""),"")</f>
        <v/>
      </c>
      <c r="W559" s="36" t="str">
        <f ca="1">IFERROR(__xludf.DUMMYFUNCTION("""COMPUTED_VALUE"""),"")</f>
        <v/>
      </c>
      <c r="X559" s="36"/>
      <c r="Y559" s="36"/>
      <c r="Z559" s="36"/>
    </row>
    <row r="560" spans="1:26" ht="12.75" hidden="1">
      <c r="A560" s="36" t="str">
        <f ca="1">IFERROR(__xludf.DUMMYFUNCTION("""COMPUTED_VALUE"""),"")</f>
        <v/>
      </c>
      <c r="B560" s="36" t="str">
        <f ca="1">IFERROR(__xludf.DUMMYFUNCTION("""COMPUTED_VALUE"""),"")</f>
        <v/>
      </c>
      <c r="C560" s="36" t="str">
        <f ca="1">IFERROR(__xludf.DUMMYFUNCTION("""COMPUTED_VALUE"""),"")</f>
        <v/>
      </c>
      <c r="D560" s="36" t="str">
        <f ca="1">IFERROR(__xludf.DUMMYFUNCTION("""COMPUTED_VALUE"""),"")</f>
        <v/>
      </c>
      <c r="E560" s="36" t="str">
        <f ca="1">IFERROR(__xludf.DUMMYFUNCTION("""COMPUTED_VALUE"""),"")</f>
        <v/>
      </c>
      <c r="F560" s="36" t="str">
        <f ca="1">IFERROR(__xludf.DUMMYFUNCTION("""COMPUTED_VALUE"""),"")</f>
        <v/>
      </c>
      <c r="G560" s="36" t="str">
        <f ca="1">IFERROR(__xludf.DUMMYFUNCTION("""COMPUTED_VALUE"""),"")</f>
        <v/>
      </c>
      <c r="H560" s="36" t="str">
        <f ca="1">IFERROR(__xludf.DUMMYFUNCTION("""COMPUTED_VALUE"""),"")</f>
        <v/>
      </c>
      <c r="I560" s="36" t="str">
        <f ca="1">IFERROR(__xludf.DUMMYFUNCTION("""COMPUTED_VALUE"""),"")</f>
        <v/>
      </c>
      <c r="J560" s="36" t="str">
        <f ca="1">IFERROR(__xludf.DUMMYFUNCTION("""COMPUTED_VALUE"""),"")</f>
        <v/>
      </c>
      <c r="K560" s="36" t="str">
        <f ca="1">IFERROR(__xludf.DUMMYFUNCTION("""COMPUTED_VALUE"""),"")</f>
        <v/>
      </c>
      <c r="L560" s="36" t="str">
        <f ca="1">IFERROR(__xludf.DUMMYFUNCTION("""COMPUTED_VALUE"""),"")</f>
        <v/>
      </c>
      <c r="M560" s="36" t="str">
        <f ca="1">IFERROR(__xludf.DUMMYFUNCTION("""COMPUTED_VALUE"""),"")</f>
        <v/>
      </c>
      <c r="N560" s="36" t="str">
        <f ca="1">IFERROR(__xludf.DUMMYFUNCTION("""COMPUTED_VALUE"""),"")</f>
        <v/>
      </c>
      <c r="O560" s="36" t="str">
        <f ca="1">IFERROR(__xludf.DUMMYFUNCTION("""COMPUTED_VALUE"""),"")</f>
        <v/>
      </c>
      <c r="P560" s="36" t="str">
        <f ca="1">IFERROR(__xludf.DUMMYFUNCTION("""COMPUTED_VALUE"""),"")</f>
        <v/>
      </c>
      <c r="Q560" s="36" t="str">
        <f ca="1">IFERROR(__xludf.DUMMYFUNCTION("""COMPUTED_VALUE"""),"")</f>
        <v/>
      </c>
      <c r="R560" s="36" t="str">
        <f ca="1">IFERROR(__xludf.DUMMYFUNCTION("""COMPUTED_VALUE"""),"")</f>
        <v/>
      </c>
      <c r="S560" s="36" t="str">
        <f ca="1">IFERROR(__xludf.DUMMYFUNCTION("""COMPUTED_VALUE"""),"")</f>
        <v/>
      </c>
      <c r="T560" s="36" t="str">
        <f ca="1">IFERROR(__xludf.DUMMYFUNCTION("""COMPUTED_VALUE"""),"")</f>
        <v/>
      </c>
      <c r="U560" s="36" t="str">
        <f ca="1">IFERROR(__xludf.DUMMYFUNCTION("""COMPUTED_VALUE"""),"")</f>
        <v/>
      </c>
      <c r="V560" s="36" t="str">
        <f ca="1">IFERROR(__xludf.DUMMYFUNCTION("""COMPUTED_VALUE"""),"")</f>
        <v/>
      </c>
      <c r="W560" s="36" t="str">
        <f ca="1">IFERROR(__xludf.DUMMYFUNCTION("""COMPUTED_VALUE"""),"")</f>
        <v/>
      </c>
      <c r="X560" s="36"/>
      <c r="Y560" s="36"/>
      <c r="Z560" s="36"/>
    </row>
    <row r="561" spans="1:26" ht="12.75" hidden="1">
      <c r="A561" s="36" t="str">
        <f ca="1">IFERROR(__xludf.DUMMYFUNCTION("""COMPUTED_VALUE"""),"")</f>
        <v/>
      </c>
      <c r="B561" s="36" t="str">
        <f ca="1">IFERROR(__xludf.DUMMYFUNCTION("""COMPUTED_VALUE"""),"")</f>
        <v/>
      </c>
      <c r="C561" s="36" t="str">
        <f ca="1">IFERROR(__xludf.DUMMYFUNCTION("""COMPUTED_VALUE"""),"")</f>
        <v/>
      </c>
      <c r="D561" s="36" t="str">
        <f ca="1">IFERROR(__xludf.DUMMYFUNCTION("""COMPUTED_VALUE"""),"")</f>
        <v/>
      </c>
      <c r="E561" s="36" t="str">
        <f ca="1">IFERROR(__xludf.DUMMYFUNCTION("""COMPUTED_VALUE"""),"")</f>
        <v/>
      </c>
      <c r="F561" s="36" t="str">
        <f ca="1">IFERROR(__xludf.DUMMYFUNCTION("""COMPUTED_VALUE"""),"")</f>
        <v/>
      </c>
      <c r="G561" s="36" t="str">
        <f ca="1">IFERROR(__xludf.DUMMYFUNCTION("""COMPUTED_VALUE"""),"")</f>
        <v/>
      </c>
      <c r="H561" s="36" t="str">
        <f ca="1">IFERROR(__xludf.DUMMYFUNCTION("""COMPUTED_VALUE"""),"")</f>
        <v/>
      </c>
      <c r="I561" s="36" t="str">
        <f ca="1">IFERROR(__xludf.DUMMYFUNCTION("""COMPUTED_VALUE"""),"")</f>
        <v/>
      </c>
      <c r="J561" s="36" t="str">
        <f ca="1">IFERROR(__xludf.DUMMYFUNCTION("""COMPUTED_VALUE"""),"")</f>
        <v/>
      </c>
      <c r="K561" s="36" t="str">
        <f ca="1">IFERROR(__xludf.DUMMYFUNCTION("""COMPUTED_VALUE"""),"")</f>
        <v/>
      </c>
      <c r="L561" s="36" t="str">
        <f ca="1">IFERROR(__xludf.DUMMYFUNCTION("""COMPUTED_VALUE"""),"")</f>
        <v/>
      </c>
      <c r="M561" s="36" t="str">
        <f ca="1">IFERROR(__xludf.DUMMYFUNCTION("""COMPUTED_VALUE"""),"")</f>
        <v/>
      </c>
      <c r="N561" s="36" t="str">
        <f ca="1">IFERROR(__xludf.DUMMYFUNCTION("""COMPUTED_VALUE"""),"")</f>
        <v/>
      </c>
      <c r="O561" s="36" t="str">
        <f ca="1">IFERROR(__xludf.DUMMYFUNCTION("""COMPUTED_VALUE"""),"")</f>
        <v/>
      </c>
      <c r="P561" s="36" t="str">
        <f ca="1">IFERROR(__xludf.DUMMYFUNCTION("""COMPUTED_VALUE"""),"")</f>
        <v/>
      </c>
      <c r="Q561" s="36" t="str">
        <f ca="1">IFERROR(__xludf.DUMMYFUNCTION("""COMPUTED_VALUE"""),"")</f>
        <v/>
      </c>
      <c r="R561" s="36" t="str">
        <f ca="1">IFERROR(__xludf.DUMMYFUNCTION("""COMPUTED_VALUE"""),"")</f>
        <v/>
      </c>
      <c r="S561" s="36" t="str">
        <f ca="1">IFERROR(__xludf.DUMMYFUNCTION("""COMPUTED_VALUE"""),"")</f>
        <v/>
      </c>
      <c r="T561" s="36" t="str">
        <f ca="1">IFERROR(__xludf.DUMMYFUNCTION("""COMPUTED_VALUE"""),"")</f>
        <v/>
      </c>
      <c r="U561" s="36" t="str">
        <f ca="1">IFERROR(__xludf.DUMMYFUNCTION("""COMPUTED_VALUE"""),"")</f>
        <v/>
      </c>
      <c r="V561" s="36" t="str">
        <f ca="1">IFERROR(__xludf.DUMMYFUNCTION("""COMPUTED_VALUE"""),"")</f>
        <v/>
      </c>
      <c r="W561" s="36" t="str">
        <f ca="1">IFERROR(__xludf.DUMMYFUNCTION("""COMPUTED_VALUE"""),"")</f>
        <v/>
      </c>
      <c r="X561" s="36"/>
      <c r="Y561" s="36"/>
      <c r="Z561" s="36"/>
    </row>
    <row r="562" spans="1:26" ht="12.75" hidden="1">
      <c r="A562" s="36" t="str">
        <f ca="1">IFERROR(__xludf.DUMMYFUNCTION("""COMPUTED_VALUE"""),"")</f>
        <v/>
      </c>
      <c r="B562" s="36" t="str">
        <f ca="1">IFERROR(__xludf.DUMMYFUNCTION("""COMPUTED_VALUE"""),"")</f>
        <v/>
      </c>
      <c r="C562" s="36" t="str">
        <f ca="1">IFERROR(__xludf.DUMMYFUNCTION("""COMPUTED_VALUE"""),"")</f>
        <v/>
      </c>
      <c r="D562" s="36" t="str">
        <f ca="1">IFERROR(__xludf.DUMMYFUNCTION("""COMPUTED_VALUE"""),"")</f>
        <v/>
      </c>
      <c r="E562" s="36" t="str">
        <f ca="1">IFERROR(__xludf.DUMMYFUNCTION("""COMPUTED_VALUE"""),"")</f>
        <v/>
      </c>
      <c r="F562" s="36" t="str">
        <f ca="1">IFERROR(__xludf.DUMMYFUNCTION("""COMPUTED_VALUE"""),"")</f>
        <v/>
      </c>
      <c r="G562" s="36" t="str">
        <f ca="1">IFERROR(__xludf.DUMMYFUNCTION("""COMPUTED_VALUE"""),"")</f>
        <v/>
      </c>
      <c r="H562" s="36" t="str">
        <f ca="1">IFERROR(__xludf.DUMMYFUNCTION("""COMPUTED_VALUE"""),"")</f>
        <v/>
      </c>
      <c r="I562" s="36" t="str">
        <f ca="1">IFERROR(__xludf.DUMMYFUNCTION("""COMPUTED_VALUE"""),"")</f>
        <v/>
      </c>
      <c r="J562" s="36" t="str">
        <f ca="1">IFERROR(__xludf.DUMMYFUNCTION("""COMPUTED_VALUE"""),"")</f>
        <v/>
      </c>
      <c r="K562" s="36" t="str">
        <f ca="1">IFERROR(__xludf.DUMMYFUNCTION("""COMPUTED_VALUE"""),"")</f>
        <v/>
      </c>
      <c r="L562" s="36" t="str">
        <f ca="1">IFERROR(__xludf.DUMMYFUNCTION("""COMPUTED_VALUE"""),"")</f>
        <v/>
      </c>
      <c r="M562" s="36" t="str">
        <f ca="1">IFERROR(__xludf.DUMMYFUNCTION("""COMPUTED_VALUE"""),"")</f>
        <v/>
      </c>
      <c r="N562" s="36" t="str">
        <f ca="1">IFERROR(__xludf.DUMMYFUNCTION("""COMPUTED_VALUE"""),"")</f>
        <v/>
      </c>
      <c r="O562" s="36" t="str">
        <f ca="1">IFERROR(__xludf.DUMMYFUNCTION("""COMPUTED_VALUE"""),"")</f>
        <v/>
      </c>
      <c r="P562" s="36" t="str">
        <f ca="1">IFERROR(__xludf.DUMMYFUNCTION("""COMPUTED_VALUE"""),"")</f>
        <v/>
      </c>
      <c r="Q562" s="36" t="str">
        <f ca="1">IFERROR(__xludf.DUMMYFUNCTION("""COMPUTED_VALUE"""),"")</f>
        <v/>
      </c>
      <c r="R562" s="36" t="str">
        <f ca="1">IFERROR(__xludf.DUMMYFUNCTION("""COMPUTED_VALUE"""),"")</f>
        <v/>
      </c>
      <c r="S562" s="36" t="str">
        <f ca="1">IFERROR(__xludf.DUMMYFUNCTION("""COMPUTED_VALUE"""),"")</f>
        <v/>
      </c>
      <c r="T562" s="36" t="str">
        <f ca="1">IFERROR(__xludf.DUMMYFUNCTION("""COMPUTED_VALUE"""),"")</f>
        <v/>
      </c>
      <c r="U562" s="36" t="str">
        <f ca="1">IFERROR(__xludf.DUMMYFUNCTION("""COMPUTED_VALUE"""),"")</f>
        <v/>
      </c>
      <c r="V562" s="36" t="str">
        <f ca="1">IFERROR(__xludf.DUMMYFUNCTION("""COMPUTED_VALUE"""),"")</f>
        <v/>
      </c>
      <c r="W562" s="36" t="str">
        <f ca="1">IFERROR(__xludf.DUMMYFUNCTION("""COMPUTED_VALUE"""),"")</f>
        <v/>
      </c>
      <c r="X562" s="36"/>
      <c r="Y562" s="36"/>
      <c r="Z562" s="36"/>
    </row>
    <row r="563" spans="1:26" ht="12.75" hidden="1">
      <c r="A563" s="36" t="str">
        <f ca="1">IFERROR(__xludf.DUMMYFUNCTION("""COMPUTED_VALUE"""),"")</f>
        <v/>
      </c>
      <c r="B563" s="36" t="str">
        <f ca="1">IFERROR(__xludf.DUMMYFUNCTION("""COMPUTED_VALUE"""),"")</f>
        <v/>
      </c>
      <c r="C563" s="36" t="str">
        <f ca="1">IFERROR(__xludf.DUMMYFUNCTION("""COMPUTED_VALUE"""),"")</f>
        <v/>
      </c>
      <c r="D563" s="36" t="str">
        <f ca="1">IFERROR(__xludf.DUMMYFUNCTION("""COMPUTED_VALUE"""),"")</f>
        <v/>
      </c>
      <c r="E563" s="36" t="str">
        <f ca="1">IFERROR(__xludf.DUMMYFUNCTION("""COMPUTED_VALUE"""),"")</f>
        <v/>
      </c>
      <c r="F563" s="36" t="str">
        <f ca="1">IFERROR(__xludf.DUMMYFUNCTION("""COMPUTED_VALUE"""),"")</f>
        <v/>
      </c>
      <c r="G563" s="36" t="str">
        <f ca="1">IFERROR(__xludf.DUMMYFUNCTION("""COMPUTED_VALUE"""),"")</f>
        <v/>
      </c>
      <c r="H563" s="36" t="str">
        <f ca="1">IFERROR(__xludf.DUMMYFUNCTION("""COMPUTED_VALUE"""),"")</f>
        <v/>
      </c>
      <c r="I563" s="36" t="str">
        <f ca="1">IFERROR(__xludf.DUMMYFUNCTION("""COMPUTED_VALUE"""),"")</f>
        <v/>
      </c>
      <c r="J563" s="36" t="str">
        <f ca="1">IFERROR(__xludf.DUMMYFUNCTION("""COMPUTED_VALUE"""),"")</f>
        <v/>
      </c>
      <c r="K563" s="36" t="str">
        <f ca="1">IFERROR(__xludf.DUMMYFUNCTION("""COMPUTED_VALUE"""),"")</f>
        <v/>
      </c>
      <c r="L563" s="36" t="str">
        <f ca="1">IFERROR(__xludf.DUMMYFUNCTION("""COMPUTED_VALUE"""),"")</f>
        <v/>
      </c>
      <c r="M563" s="36" t="str">
        <f ca="1">IFERROR(__xludf.DUMMYFUNCTION("""COMPUTED_VALUE"""),"")</f>
        <v/>
      </c>
      <c r="N563" s="36" t="str">
        <f ca="1">IFERROR(__xludf.DUMMYFUNCTION("""COMPUTED_VALUE"""),"")</f>
        <v/>
      </c>
      <c r="O563" s="36" t="str">
        <f ca="1">IFERROR(__xludf.DUMMYFUNCTION("""COMPUTED_VALUE"""),"")</f>
        <v/>
      </c>
      <c r="P563" s="36" t="str">
        <f ca="1">IFERROR(__xludf.DUMMYFUNCTION("""COMPUTED_VALUE"""),"")</f>
        <v/>
      </c>
      <c r="Q563" s="36" t="str">
        <f ca="1">IFERROR(__xludf.DUMMYFUNCTION("""COMPUTED_VALUE"""),"")</f>
        <v/>
      </c>
      <c r="R563" s="36" t="str">
        <f ca="1">IFERROR(__xludf.DUMMYFUNCTION("""COMPUTED_VALUE"""),"")</f>
        <v/>
      </c>
      <c r="S563" s="36" t="str">
        <f ca="1">IFERROR(__xludf.DUMMYFUNCTION("""COMPUTED_VALUE"""),"")</f>
        <v/>
      </c>
      <c r="T563" s="36" t="str">
        <f ca="1">IFERROR(__xludf.DUMMYFUNCTION("""COMPUTED_VALUE"""),"")</f>
        <v/>
      </c>
      <c r="U563" s="36" t="str">
        <f ca="1">IFERROR(__xludf.DUMMYFUNCTION("""COMPUTED_VALUE"""),"")</f>
        <v/>
      </c>
      <c r="V563" s="36" t="str">
        <f ca="1">IFERROR(__xludf.DUMMYFUNCTION("""COMPUTED_VALUE"""),"")</f>
        <v/>
      </c>
      <c r="W563" s="36" t="str">
        <f ca="1">IFERROR(__xludf.DUMMYFUNCTION("""COMPUTED_VALUE"""),"")</f>
        <v/>
      </c>
      <c r="X563" s="36"/>
      <c r="Y563" s="36"/>
      <c r="Z563" s="36"/>
    </row>
    <row r="564" spans="1:26" ht="12.75" hidden="1">
      <c r="A564" s="36" t="str">
        <f ca="1">IFERROR(__xludf.DUMMYFUNCTION("""COMPUTED_VALUE"""),"")</f>
        <v/>
      </c>
      <c r="B564" s="36" t="str">
        <f ca="1">IFERROR(__xludf.DUMMYFUNCTION("""COMPUTED_VALUE"""),"")</f>
        <v/>
      </c>
      <c r="C564" s="36" t="str">
        <f ca="1">IFERROR(__xludf.DUMMYFUNCTION("""COMPUTED_VALUE"""),"")</f>
        <v/>
      </c>
      <c r="D564" s="36" t="str">
        <f ca="1">IFERROR(__xludf.DUMMYFUNCTION("""COMPUTED_VALUE"""),"")</f>
        <v/>
      </c>
      <c r="E564" s="36" t="str">
        <f ca="1">IFERROR(__xludf.DUMMYFUNCTION("""COMPUTED_VALUE"""),"")</f>
        <v/>
      </c>
      <c r="F564" s="36" t="str">
        <f ca="1">IFERROR(__xludf.DUMMYFUNCTION("""COMPUTED_VALUE"""),"")</f>
        <v/>
      </c>
      <c r="G564" s="36" t="str">
        <f ca="1">IFERROR(__xludf.DUMMYFUNCTION("""COMPUTED_VALUE"""),"")</f>
        <v/>
      </c>
      <c r="H564" s="36" t="str">
        <f ca="1">IFERROR(__xludf.DUMMYFUNCTION("""COMPUTED_VALUE"""),"")</f>
        <v/>
      </c>
      <c r="I564" s="36" t="str">
        <f ca="1">IFERROR(__xludf.DUMMYFUNCTION("""COMPUTED_VALUE"""),"")</f>
        <v/>
      </c>
      <c r="J564" s="36" t="str">
        <f ca="1">IFERROR(__xludf.DUMMYFUNCTION("""COMPUTED_VALUE"""),"")</f>
        <v/>
      </c>
      <c r="K564" s="36" t="str">
        <f ca="1">IFERROR(__xludf.DUMMYFUNCTION("""COMPUTED_VALUE"""),"")</f>
        <v/>
      </c>
      <c r="L564" s="36" t="str">
        <f ca="1">IFERROR(__xludf.DUMMYFUNCTION("""COMPUTED_VALUE"""),"")</f>
        <v/>
      </c>
      <c r="M564" s="36" t="str">
        <f ca="1">IFERROR(__xludf.DUMMYFUNCTION("""COMPUTED_VALUE"""),"")</f>
        <v/>
      </c>
      <c r="N564" s="36" t="str">
        <f ca="1">IFERROR(__xludf.DUMMYFUNCTION("""COMPUTED_VALUE"""),"")</f>
        <v/>
      </c>
      <c r="O564" s="36" t="str">
        <f ca="1">IFERROR(__xludf.DUMMYFUNCTION("""COMPUTED_VALUE"""),"")</f>
        <v/>
      </c>
      <c r="P564" s="36" t="str">
        <f ca="1">IFERROR(__xludf.DUMMYFUNCTION("""COMPUTED_VALUE"""),"")</f>
        <v/>
      </c>
      <c r="Q564" s="36" t="str">
        <f ca="1">IFERROR(__xludf.DUMMYFUNCTION("""COMPUTED_VALUE"""),"")</f>
        <v/>
      </c>
      <c r="R564" s="36" t="str">
        <f ca="1">IFERROR(__xludf.DUMMYFUNCTION("""COMPUTED_VALUE"""),"")</f>
        <v/>
      </c>
      <c r="S564" s="36" t="str">
        <f ca="1">IFERROR(__xludf.DUMMYFUNCTION("""COMPUTED_VALUE"""),"")</f>
        <v/>
      </c>
      <c r="T564" s="36" t="str">
        <f ca="1">IFERROR(__xludf.DUMMYFUNCTION("""COMPUTED_VALUE"""),"")</f>
        <v/>
      </c>
      <c r="U564" s="36" t="str">
        <f ca="1">IFERROR(__xludf.DUMMYFUNCTION("""COMPUTED_VALUE"""),"")</f>
        <v/>
      </c>
      <c r="V564" s="36" t="str">
        <f ca="1">IFERROR(__xludf.DUMMYFUNCTION("""COMPUTED_VALUE"""),"")</f>
        <v/>
      </c>
      <c r="W564" s="36" t="str">
        <f ca="1">IFERROR(__xludf.DUMMYFUNCTION("""COMPUTED_VALUE"""),"")</f>
        <v/>
      </c>
      <c r="X564" s="36"/>
      <c r="Y564" s="36"/>
      <c r="Z564" s="36"/>
    </row>
    <row r="565" spans="1:26" ht="12.75" hidden="1">
      <c r="A565" s="36" t="str">
        <f ca="1">IFERROR(__xludf.DUMMYFUNCTION("""COMPUTED_VALUE"""),"")</f>
        <v/>
      </c>
      <c r="B565" s="36" t="str">
        <f ca="1">IFERROR(__xludf.DUMMYFUNCTION("""COMPUTED_VALUE"""),"")</f>
        <v/>
      </c>
      <c r="C565" s="36" t="str">
        <f ca="1">IFERROR(__xludf.DUMMYFUNCTION("""COMPUTED_VALUE"""),"")</f>
        <v/>
      </c>
      <c r="D565" s="36" t="str">
        <f ca="1">IFERROR(__xludf.DUMMYFUNCTION("""COMPUTED_VALUE"""),"")</f>
        <v/>
      </c>
      <c r="E565" s="36" t="str">
        <f ca="1">IFERROR(__xludf.DUMMYFUNCTION("""COMPUTED_VALUE"""),"")</f>
        <v/>
      </c>
      <c r="F565" s="36" t="str">
        <f ca="1">IFERROR(__xludf.DUMMYFUNCTION("""COMPUTED_VALUE"""),"")</f>
        <v/>
      </c>
      <c r="G565" s="36" t="str">
        <f ca="1">IFERROR(__xludf.DUMMYFUNCTION("""COMPUTED_VALUE"""),"")</f>
        <v/>
      </c>
      <c r="H565" s="36" t="str">
        <f ca="1">IFERROR(__xludf.DUMMYFUNCTION("""COMPUTED_VALUE"""),"")</f>
        <v/>
      </c>
      <c r="I565" s="36" t="str">
        <f ca="1">IFERROR(__xludf.DUMMYFUNCTION("""COMPUTED_VALUE"""),"")</f>
        <v/>
      </c>
      <c r="J565" s="36" t="str">
        <f ca="1">IFERROR(__xludf.DUMMYFUNCTION("""COMPUTED_VALUE"""),"")</f>
        <v/>
      </c>
      <c r="K565" s="36" t="str">
        <f ca="1">IFERROR(__xludf.DUMMYFUNCTION("""COMPUTED_VALUE"""),"")</f>
        <v/>
      </c>
      <c r="L565" s="36" t="str">
        <f ca="1">IFERROR(__xludf.DUMMYFUNCTION("""COMPUTED_VALUE"""),"")</f>
        <v/>
      </c>
      <c r="M565" s="36" t="str">
        <f ca="1">IFERROR(__xludf.DUMMYFUNCTION("""COMPUTED_VALUE"""),"")</f>
        <v/>
      </c>
      <c r="N565" s="36" t="str">
        <f ca="1">IFERROR(__xludf.DUMMYFUNCTION("""COMPUTED_VALUE"""),"")</f>
        <v/>
      </c>
      <c r="O565" s="36" t="str">
        <f ca="1">IFERROR(__xludf.DUMMYFUNCTION("""COMPUTED_VALUE"""),"")</f>
        <v/>
      </c>
      <c r="P565" s="36" t="str">
        <f ca="1">IFERROR(__xludf.DUMMYFUNCTION("""COMPUTED_VALUE"""),"")</f>
        <v/>
      </c>
      <c r="Q565" s="36" t="str">
        <f ca="1">IFERROR(__xludf.DUMMYFUNCTION("""COMPUTED_VALUE"""),"")</f>
        <v/>
      </c>
      <c r="R565" s="36" t="str">
        <f ca="1">IFERROR(__xludf.DUMMYFUNCTION("""COMPUTED_VALUE"""),"")</f>
        <v/>
      </c>
      <c r="S565" s="36" t="str">
        <f ca="1">IFERROR(__xludf.DUMMYFUNCTION("""COMPUTED_VALUE"""),"")</f>
        <v/>
      </c>
      <c r="T565" s="36" t="str">
        <f ca="1">IFERROR(__xludf.DUMMYFUNCTION("""COMPUTED_VALUE"""),"")</f>
        <v/>
      </c>
      <c r="U565" s="36" t="str">
        <f ca="1">IFERROR(__xludf.DUMMYFUNCTION("""COMPUTED_VALUE"""),"")</f>
        <v/>
      </c>
      <c r="V565" s="36" t="str">
        <f ca="1">IFERROR(__xludf.DUMMYFUNCTION("""COMPUTED_VALUE"""),"")</f>
        <v/>
      </c>
      <c r="W565" s="36" t="str">
        <f ca="1">IFERROR(__xludf.DUMMYFUNCTION("""COMPUTED_VALUE"""),"")</f>
        <v/>
      </c>
      <c r="X565" s="36"/>
      <c r="Y565" s="36"/>
      <c r="Z565" s="36"/>
    </row>
    <row r="566" spans="1:26" ht="12.75" hidden="1">
      <c r="A566" s="36" t="str">
        <f ca="1">IFERROR(__xludf.DUMMYFUNCTION("""COMPUTED_VALUE"""),"")</f>
        <v/>
      </c>
      <c r="B566" s="36" t="str">
        <f ca="1">IFERROR(__xludf.DUMMYFUNCTION("""COMPUTED_VALUE"""),"")</f>
        <v/>
      </c>
      <c r="C566" s="36" t="str">
        <f ca="1">IFERROR(__xludf.DUMMYFUNCTION("""COMPUTED_VALUE"""),"")</f>
        <v/>
      </c>
      <c r="D566" s="36" t="str">
        <f ca="1">IFERROR(__xludf.DUMMYFUNCTION("""COMPUTED_VALUE"""),"")</f>
        <v/>
      </c>
      <c r="E566" s="36" t="str">
        <f ca="1">IFERROR(__xludf.DUMMYFUNCTION("""COMPUTED_VALUE"""),"")</f>
        <v/>
      </c>
      <c r="F566" s="36" t="str">
        <f ca="1">IFERROR(__xludf.DUMMYFUNCTION("""COMPUTED_VALUE"""),"")</f>
        <v/>
      </c>
      <c r="G566" s="36" t="str">
        <f ca="1">IFERROR(__xludf.DUMMYFUNCTION("""COMPUTED_VALUE"""),"")</f>
        <v/>
      </c>
      <c r="H566" s="36" t="str">
        <f ca="1">IFERROR(__xludf.DUMMYFUNCTION("""COMPUTED_VALUE"""),"")</f>
        <v/>
      </c>
      <c r="I566" s="36" t="str">
        <f ca="1">IFERROR(__xludf.DUMMYFUNCTION("""COMPUTED_VALUE"""),"")</f>
        <v/>
      </c>
      <c r="J566" s="36" t="str">
        <f ca="1">IFERROR(__xludf.DUMMYFUNCTION("""COMPUTED_VALUE"""),"")</f>
        <v/>
      </c>
      <c r="K566" s="36" t="str">
        <f ca="1">IFERROR(__xludf.DUMMYFUNCTION("""COMPUTED_VALUE"""),"")</f>
        <v/>
      </c>
      <c r="L566" s="36" t="str">
        <f ca="1">IFERROR(__xludf.DUMMYFUNCTION("""COMPUTED_VALUE"""),"")</f>
        <v/>
      </c>
      <c r="M566" s="36" t="str">
        <f ca="1">IFERROR(__xludf.DUMMYFUNCTION("""COMPUTED_VALUE"""),"")</f>
        <v/>
      </c>
      <c r="N566" s="36" t="str">
        <f ca="1">IFERROR(__xludf.DUMMYFUNCTION("""COMPUTED_VALUE"""),"")</f>
        <v/>
      </c>
      <c r="O566" s="36" t="str">
        <f ca="1">IFERROR(__xludf.DUMMYFUNCTION("""COMPUTED_VALUE"""),"")</f>
        <v/>
      </c>
      <c r="P566" s="36" t="str">
        <f ca="1">IFERROR(__xludf.DUMMYFUNCTION("""COMPUTED_VALUE"""),"")</f>
        <v/>
      </c>
      <c r="Q566" s="36" t="str">
        <f ca="1">IFERROR(__xludf.DUMMYFUNCTION("""COMPUTED_VALUE"""),"")</f>
        <v/>
      </c>
      <c r="R566" s="36" t="str">
        <f ca="1">IFERROR(__xludf.DUMMYFUNCTION("""COMPUTED_VALUE"""),"")</f>
        <v/>
      </c>
      <c r="S566" s="36" t="str">
        <f ca="1">IFERROR(__xludf.DUMMYFUNCTION("""COMPUTED_VALUE"""),"")</f>
        <v/>
      </c>
      <c r="T566" s="36" t="str">
        <f ca="1">IFERROR(__xludf.DUMMYFUNCTION("""COMPUTED_VALUE"""),"")</f>
        <v/>
      </c>
      <c r="U566" s="36" t="str">
        <f ca="1">IFERROR(__xludf.DUMMYFUNCTION("""COMPUTED_VALUE"""),"")</f>
        <v/>
      </c>
      <c r="V566" s="36" t="str">
        <f ca="1">IFERROR(__xludf.DUMMYFUNCTION("""COMPUTED_VALUE"""),"")</f>
        <v/>
      </c>
      <c r="W566" s="36" t="str">
        <f ca="1">IFERROR(__xludf.DUMMYFUNCTION("""COMPUTED_VALUE"""),"")</f>
        <v/>
      </c>
      <c r="X566" s="36"/>
      <c r="Y566" s="36"/>
      <c r="Z566" s="36"/>
    </row>
    <row r="567" spans="1:26" ht="12.75" hidden="1">
      <c r="A567" s="36" t="str">
        <f ca="1">IFERROR(__xludf.DUMMYFUNCTION("""COMPUTED_VALUE"""),"")</f>
        <v/>
      </c>
      <c r="B567" s="36" t="str">
        <f ca="1">IFERROR(__xludf.DUMMYFUNCTION("""COMPUTED_VALUE"""),"")</f>
        <v/>
      </c>
      <c r="C567" s="36" t="str">
        <f ca="1">IFERROR(__xludf.DUMMYFUNCTION("""COMPUTED_VALUE"""),"")</f>
        <v/>
      </c>
      <c r="D567" s="36" t="str">
        <f ca="1">IFERROR(__xludf.DUMMYFUNCTION("""COMPUTED_VALUE"""),"")</f>
        <v/>
      </c>
      <c r="E567" s="36" t="str">
        <f ca="1">IFERROR(__xludf.DUMMYFUNCTION("""COMPUTED_VALUE"""),"")</f>
        <v/>
      </c>
      <c r="F567" s="36" t="str">
        <f ca="1">IFERROR(__xludf.DUMMYFUNCTION("""COMPUTED_VALUE"""),"")</f>
        <v/>
      </c>
      <c r="G567" s="36" t="str">
        <f ca="1">IFERROR(__xludf.DUMMYFUNCTION("""COMPUTED_VALUE"""),"")</f>
        <v/>
      </c>
      <c r="H567" s="36" t="str">
        <f ca="1">IFERROR(__xludf.DUMMYFUNCTION("""COMPUTED_VALUE"""),"")</f>
        <v/>
      </c>
      <c r="I567" s="36" t="str">
        <f ca="1">IFERROR(__xludf.DUMMYFUNCTION("""COMPUTED_VALUE"""),"")</f>
        <v/>
      </c>
      <c r="J567" s="36" t="str">
        <f ca="1">IFERROR(__xludf.DUMMYFUNCTION("""COMPUTED_VALUE"""),"")</f>
        <v/>
      </c>
      <c r="K567" s="36" t="str">
        <f ca="1">IFERROR(__xludf.DUMMYFUNCTION("""COMPUTED_VALUE"""),"")</f>
        <v/>
      </c>
      <c r="L567" s="36" t="str">
        <f ca="1">IFERROR(__xludf.DUMMYFUNCTION("""COMPUTED_VALUE"""),"")</f>
        <v/>
      </c>
      <c r="M567" s="36" t="str">
        <f ca="1">IFERROR(__xludf.DUMMYFUNCTION("""COMPUTED_VALUE"""),"")</f>
        <v/>
      </c>
      <c r="N567" s="36" t="str">
        <f ca="1">IFERROR(__xludf.DUMMYFUNCTION("""COMPUTED_VALUE"""),"")</f>
        <v/>
      </c>
      <c r="O567" s="36" t="str">
        <f ca="1">IFERROR(__xludf.DUMMYFUNCTION("""COMPUTED_VALUE"""),"")</f>
        <v/>
      </c>
      <c r="P567" s="36" t="str">
        <f ca="1">IFERROR(__xludf.DUMMYFUNCTION("""COMPUTED_VALUE"""),"")</f>
        <v/>
      </c>
      <c r="Q567" s="36" t="str">
        <f ca="1">IFERROR(__xludf.DUMMYFUNCTION("""COMPUTED_VALUE"""),"")</f>
        <v/>
      </c>
      <c r="R567" s="36" t="str">
        <f ca="1">IFERROR(__xludf.DUMMYFUNCTION("""COMPUTED_VALUE"""),"")</f>
        <v/>
      </c>
      <c r="S567" s="36" t="str">
        <f ca="1">IFERROR(__xludf.DUMMYFUNCTION("""COMPUTED_VALUE"""),"")</f>
        <v/>
      </c>
      <c r="T567" s="36" t="str">
        <f ca="1">IFERROR(__xludf.DUMMYFUNCTION("""COMPUTED_VALUE"""),"")</f>
        <v/>
      </c>
      <c r="U567" s="36" t="str">
        <f ca="1">IFERROR(__xludf.DUMMYFUNCTION("""COMPUTED_VALUE"""),"")</f>
        <v/>
      </c>
      <c r="V567" s="36" t="str">
        <f ca="1">IFERROR(__xludf.DUMMYFUNCTION("""COMPUTED_VALUE"""),"")</f>
        <v/>
      </c>
      <c r="W567" s="36" t="str">
        <f ca="1">IFERROR(__xludf.DUMMYFUNCTION("""COMPUTED_VALUE"""),"")</f>
        <v/>
      </c>
      <c r="X567" s="36"/>
      <c r="Y567" s="36"/>
      <c r="Z567" s="36"/>
    </row>
    <row r="568" spans="1:26" ht="12.75" hidden="1">
      <c r="A568" s="36" t="str">
        <f ca="1">IFERROR(__xludf.DUMMYFUNCTION("""COMPUTED_VALUE"""),"")</f>
        <v/>
      </c>
      <c r="B568" s="36" t="str">
        <f ca="1">IFERROR(__xludf.DUMMYFUNCTION("""COMPUTED_VALUE"""),"")</f>
        <v/>
      </c>
      <c r="C568" s="36" t="str">
        <f ca="1">IFERROR(__xludf.DUMMYFUNCTION("""COMPUTED_VALUE"""),"")</f>
        <v/>
      </c>
      <c r="D568" s="36" t="str">
        <f ca="1">IFERROR(__xludf.DUMMYFUNCTION("""COMPUTED_VALUE"""),"")</f>
        <v/>
      </c>
      <c r="E568" s="36" t="str">
        <f ca="1">IFERROR(__xludf.DUMMYFUNCTION("""COMPUTED_VALUE"""),"")</f>
        <v/>
      </c>
      <c r="F568" s="36" t="str">
        <f ca="1">IFERROR(__xludf.DUMMYFUNCTION("""COMPUTED_VALUE"""),"")</f>
        <v/>
      </c>
      <c r="G568" s="36" t="str">
        <f ca="1">IFERROR(__xludf.DUMMYFUNCTION("""COMPUTED_VALUE"""),"")</f>
        <v/>
      </c>
      <c r="H568" s="36" t="str">
        <f ca="1">IFERROR(__xludf.DUMMYFUNCTION("""COMPUTED_VALUE"""),"")</f>
        <v/>
      </c>
      <c r="I568" s="36" t="str">
        <f ca="1">IFERROR(__xludf.DUMMYFUNCTION("""COMPUTED_VALUE"""),"")</f>
        <v/>
      </c>
      <c r="J568" s="36" t="str">
        <f ca="1">IFERROR(__xludf.DUMMYFUNCTION("""COMPUTED_VALUE"""),"")</f>
        <v/>
      </c>
      <c r="K568" s="36" t="str">
        <f ca="1">IFERROR(__xludf.DUMMYFUNCTION("""COMPUTED_VALUE"""),"")</f>
        <v/>
      </c>
      <c r="L568" s="36" t="str">
        <f ca="1">IFERROR(__xludf.DUMMYFUNCTION("""COMPUTED_VALUE"""),"")</f>
        <v/>
      </c>
      <c r="M568" s="36" t="str">
        <f ca="1">IFERROR(__xludf.DUMMYFUNCTION("""COMPUTED_VALUE"""),"")</f>
        <v/>
      </c>
      <c r="N568" s="36" t="str">
        <f ca="1">IFERROR(__xludf.DUMMYFUNCTION("""COMPUTED_VALUE"""),"")</f>
        <v/>
      </c>
      <c r="O568" s="36" t="str">
        <f ca="1">IFERROR(__xludf.DUMMYFUNCTION("""COMPUTED_VALUE"""),"")</f>
        <v/>
      </c>
      <c r="P568" s="36" t="str">
        <f ca="1">IFERROR(__xludf.DUMMYFUNCTION("""COMPUTED_VALUE"""),"")</f>
        <v/>
      </c>
      <c r="Q568" s="36" t="str">
        <f ca="1">IFERROR(__xludf.DUMMYFUNCTION("""COMPUTED_VALUE"""),"")</f>
        <v/>
      </c>
      <c r="R568" s="36" t="str">
        <f ca="1">IFERROR(__xludf.DUMMYFUNCTION("""COMPUTED_VALUE"""),"")</f>
        <v/>
      </c>
      <c r="S568" s="36" t="str">
        <f ca="1">IFERROR(__xludf.DUMMYFUNCTION("""COMPUTED_VALUE"""),"")</f>
        <v/>
      </c>
      <c r="T568" s="36" t="str">
        <f ca="1">IFERROR(__xludf.DUMMYFUNCTION("""COMPUTED_VALUE"""),"")</f>
        <v/>
      </c>
      <c r="U568" s="36" t="str">
        <f ca="1">IFERROR(__xludf.DUMMYFUNCTION("""COMPUTED_VALUE"""),"")</f>
        <v/>
      </c>
      <c r="V568" s="36" t="str">
        <f ca="1">IFERROR(__xludf.DUMMYFUNCTION("""COMPUTED_VALUE"""),"")</f>
        <v/>
      </c>
      <c r="W568" s="36" t="str">
        <f ca="1">IFERROR(__xludf.DUMMYFUNCTION("""COMPUTED_VALUE"""),"")</f>
        <v/>
      </c>
      <c r="X568" s="36"/>
      <c r="Y568" s="36"/>
      <c r="Z568" s="36"/>
    </row>
    <row r="569" spans="1:26" ht="12.75" hidden="1">
      <c r="A569" s="36" t="str">
        <f ca="1">IFERROR(__xludf.DUMMYFUNCTION("""COMPUTED_VALUE"""),"")</f>
        <v/>
      </c>
      <c r="B569" s="36" t="str">
        <f ca="1">IFERROR(__xludf.DUMMYFUNCTION("""COMPUTED_VALUE"""),"")</f>
        <v/>
      </c>
      <c r="C569" s="36" t="str">
        <f ca="1">IFERROR(__xludf.DUMMYFUNCTION("""COMPUTED_VALUE"""),"")</f>
        <v/>
      </c>
      <c r="D569" s="36" t="str">
        <f ca="1">IFERROR(__xludf.DUMMYFUNCTION("""COMPUTED_VALUE"""),"")</f>
        <v/>
      </c>
      <c r="E569" s="36" t="str">
        <f ca="1">IFERROR(__xludf.DUMMYFUNCTION("""COMPUTED_VALUE"""),"")</f>
        <v/>
      </c>
      <c r="F569" s="36" t="str">
        <f ca="1">IFERROR(__xludf.DUMMYFUNCTION("""COMPUTED_VALUE"""),"")</f>
        <v/>
      </c>
      <c r="G569" s="36" t="str">
        <f ca="1">IFERROR(__xludf.DUMMYFUNCTION("""COMPUTED_VALUE"""),"")</f>
        <v/>
      </c>
      <c r="H569" s="36" t="str">
        <f ca="1">IFERROR(__xludf.DUMMYFUNCTION("""COMPUTED_VALUE"""),"")</f>
        <v/>
      </c>
      <c r="I569" s="36" t="str">
        <f ca="1">IFERROR(__xludf.DUMMYFUNCTION("""COMPUTED_VALUE"""),"")</f>
        <v/>
      </c>
      <c r="J569" s="36" t="str">
        <f ca="1">IFERROR(__xludf.DUMMYFUNCTION("""COMPUTED_VALUE"""),"")</f>
        <v/>
      </c>
      <c r="K569" s="36" t="str">
        <f ca="1">IFERROR(__xludf.DUMMYFUNCTION("""COMPUTED_VALUE"""),"")</f>
        <v/>
      </c>
      <c r="L569" s="36" t="str">
        <f ca="1">IFERROR(__xludf.DUMMYFUNCTION("""COMPUTED_VALUE"""),"")</f>
        <v/>
      </c>
      <c r="M569" s="36" t="str">
        <f ca="1">IFERROR(__xludf.DUMMYFUNCTION("""COMPUTED_VALUE"""),"")</f>
        <v/>
      </c>
      <c r="N569" s="36" t="str">
        <f ca="1">IFERROR(__xludf.DUMMYFUNCTION("""COMPUTED_VALUE"""),"")</f>
        <v/>
      </c>
      <c r="O569" s="36" t="str">
        <f ca="1">IFERROR(__xludf.DUMMYFUNCTION("""COMPUTED_VALUE"""),"")</f>
        <v/>
      </c>
      <c r="P569" s="36" t="str">
        <f ca="1">IFERROR(__xludf.DUMMYFUNCTION("""COMPUTED_VALUE"""),"")</f>
        <v/>
      </c>
      <c r="Q569" s="36" t="str">
        <f ca="1">IFERROR(__xludf.DUMMYFUNCTION("""COMPUTED_VALUE"""),"")</f>
        <v/>
      </c>
      <c r="R569" s="36" t="str">
        <f ca="1">IFERROR(__xludf.DUMMYFUNCTION("""COMPUTED_VALUE"""),"")</f>
        <v/>
      </c>
      <c r="S569" s="36" t="str">
        <f ca="1">IFERROR(__xludf.DUMMYFUNCTION("""COMPUTED_VALUE"""),"")</f>
        <v/>
      </c>
      <c r="T569" s="36" t="str">
        <f ca="1">IFERROR(__xludf.DUMMYFUNCTION("""COMPUTED_VALUE"""),"")</f>
        <v/>
      </c>
      <c r="U569" s="36" t="str">
        <f ca="1">IFERROR(__xludf.DUMMYFUNCTION("""COMPUTED_VALUE"""),"")</f>
        <v/>
      </c>
      <c r="V569" s="36" t="str">
        <f ca="1">IFERROR(__xludf.DUMMYFUNCTION("""COMPUTED_VALUE"""),"")</f>
        <v/>
      </c>
      <c r="W569" s="36" t="str">
        <f ca="1">IFERROR(__xludf.DUMMYFUNCTION("""COMPUTED_VALUE"""),"")</f>
        <v/>
      </c>
      <c r="X569" s="36"/>
      <c r="Y569" s="36"/>
      <c r="Z569" s="36"/>
    </row>
    <row r="570" spans="1:26" ht="12.75" hidden="1">
      <c r="A570" s="36" t="str">
        <f ca="1">IFERROR(__xludf.DUMMYFUNCTION("""COMPUTED_VALUE"""),"")</f>
        <v/>
      </c>
      <c r="B570" s="36" t="str">
        <f ca="1">IFERROR(__xludf.DUMMYFUNCTION("""COMPUTED_VALUE"""),"")</f>
        <v/>
      </c>
      <c r="C570" s="36" t="str">
        <f ca="1">IFERROR(__xludf.DUMMYFUNCTION("""COMPUTED_VALUE"""),"")</f>
        <v/>
      </c>
      <c r="D570" s="36" t="str">
        <f ca="1">IFERROR(__xludf.DUMMYFUNCTION("""COMPUTED_VALUE"""),"")</f>
        <v/>
      </c>
      <c r="E570" s="36" t="str">
        <f ca="1">IFERROR(__xludf.DUMMYFUNCTION("""COMPUTED_VALUE"""),"")</f>
        <v/>
      </c>
      <c r="F570" s="36" t="str">
        <f ca="1">IFERROR(__xludf.DUMMYFUNCTION("""COMPUTED_VALUE"""),"")</f>
        <v/>
      </c>
      <c r="G570" s="36" t="str">
        <f ca="1">IFERROR(__xludf.DUMMYFUNCTION("""COMPUTED_VALUE"""),"")</f>
        <v/>
      </c>
      <c r="H570" s="36" t="str">
        <f ca="1">IFERROR(__xludf.DUMMYFUNCTION("""COMPUTED_VALUE"""),"")</f>
        <v/>
      </c>
      <c r="I570" s="36" t="str">
        <f ca="1">IFERROR(__xludf.DUMMYFUNCTION("""COMPUTED_VALUE"""),"")</f>
        <v/>
      </c>
      <c r="J570" s="36" t="str">
        <f ca="1">IFERROR(__xludf.DUMMYFUNCTION("""COMPUTED_VALUE"""),"")</f>
        <v/>
      </c>
      <c r="K570" s="36" t="str">
        <f ca="1">IFERROR(__xludf.DUMMYFUNCTION("""COMPUTED_VALUE"""),"")</f>
        <v/>
      </c>
      <c r="L570" s="36" t="str">
        <f ca="1">IFERROR(__xludf.DUMMYFUNCTION("""COMPUTED_VALUE"""),"")</f>
        <v/>
      </c>
      <c r="M570" s="36" t="str">
        <f ca="1">IFERROR(__xludf.DUMMYFUNCTION("""COMPUTED_VALUE"""),"")</f>
        <v/>
      </c>
      <c r="N570" s="36" t="str">
        <f ca="1">IFERROR(__xludf.DUMMYFUNCTION("""COMPUTED_VALUE"""),"")</f>
        <v/>
      </c>
      <c r="O570" s="36" t="str">
        <f ca="1">IFERROR(__xludf.DUMMYFUNCTION("""COMPUTED_VALUE"""),"")</f>
        <v/>
      </c>
      <c r="P570" s="36" t="str">
        <f ca="1">IFERROR(__xludf.DUMMYFUNCTION("""COMPUTED_VALUE"""),"")</f>
        <v/>
      </c>
      <c r="Q570" s="36" t="str">
        <f ca="1">IFERROR(__xludf.DUMMYFUNCTION("""COMPUTED_VALUE"""),"")</f>
        <v/>
      </c>
      <c r="R570" s="36" t="str">
        <f ca="1">IFERROR(__xludf.DUMMYFUNCTION("""COMPUTED_VALUE"""),"")</f>
        <v/>
      </c>
      <c r="S570" s="36" t="str">
        <f ca="1">IFERROR(__xludf.DUMMYFUNCTION("""COMPUTED_VALUE"""),"")</f>
        <v/>
      </c>
      <c r="T570" s="36" t="str">
        <f ca="1">IFERROR(__xludf.DUMMYFUNCTION("""COMPUTED_VALUE"""),"")</f>
        <v/>
      </c>
      <c r="U570" s="36" t="str">
        <f ca="1">IFERROR(__xludf.DUMMYFUNCTION("""COMPUTED_VALUE"""),"")</f>
        <v/>
      </c>
      <c r="V570" s="36" t="str">
        <f ca="1">IFERROR(__xludf.DUMMYFUNCTION("""COMPUTED_VALUE"""),"")</f>
        <v/>
      </c>
      <c r="W570" s="36" t="str">
        <f ca="1">IFERROR(__xludf.DUMMYFUNCTION("""COMPUTED_VALUE"""),"")</f>
        <v/>
      </c>
      <c r="X570" s="36"/>
      <c r="Y570" s="36"/>
      <c r="Z570" s="36"/>
    </row>
    <row r="571" spans="1:26" ht="12.75" hidden="1">
      <c r="A571" s="36" t="str">
        <f ca="1">IFERROR(__xludf.DUMMYFUNCTION("""COMPUTED_VALUE"""),"")</f>
        <v/>
      </c>
      <c r="B571" s="36" t="str">
        <f ca="1">IFERROR(__xludf.DUMMYFUNCTION("""COMPUTED_VALUE"""),"")</f>
        <v/>
      </c>
      <c r="C571" s="36" t="str">
        <f ca="1">IFERROR(__xludf.DUMMYFUNCTION("""COMPUTED_VALUE"""),"")</f>
        <v/>
      </c>
      <c r="D571" s="36" t="str">
        <f ca="1">IFERROR(__xludf.DUMMYFUNCTION("""COMPUTED_VALUE"""),"")</f>
        <v/>
      </c>
      <c r="E571" s="36" t="str">
        <f ca="1">IFERROR(__xludf.DUMMYFUNCTION("""COMPUTED_VALUE"""),"")</f>
        <v/>
      </c>
      <c r="F571" s="36" t="str">
        <f ca="1">IFERROR(__xludf.DUMMYFUNCTION("""COMPUTED_VALUE"""),"")</f>
        <v/>
      </c>
      <c r="G571" s="36" t="str">
        <f ca="1">IFERROR(__xludf.DUMMYFUNCTION("""COMPUTED_VALUE"""),"")</f>
        <v/>
      </c>
      <c r="H571" s="36" t="str">
        <f ca="1">IFERROR(__xludf.DUMMYFUNCTION("""COMPUTED_VALUE"""),"")</f>
        <v/>
      </c>
      <c r="I571" s="36" t="str">
        <f ca="1">IFERROR(__xludf.DUMMYFUNCTION("""COMPUTED_VALUE"""),"")</f>
        <v/>
      </c>
      <c r="J571" s="36" t="str">
        <f ca="1">IFERROR(__xludf.DUMMYFUNCTION("""COMPUTED_VALUE"""),"")</f>
        <v/>
      </c>
      <c r="K571" s="36" t="str">
        <f ca="1">IFERROR(__xludf.DUMMYFUNCTION("""COMPUTED_VALUE"""),"")</f>
        <v/>
      </c>
      <c r="L571" s="36" t="str">
        <f ca="1">IFERROR(__xludf.DUMMYFUNCTION("""COMPUTED_VALUE"""),"")</f>
        <v/>
      </c>
      <c r="M571" s="36" t="str">
        <f ca="1">IFERROR(__xludf.DUMMYFUNCTION("""COMPUTED_VALUE"""),"")</f>
        <v/>
      </c>
      <c r="N571" s="36" t="str">
        <f ca="1">IFERROR(__xludf.DUMMYFUNCTION("""COMPUTED_VALUE"""),"")</f>
        <v/>
      </c>
      <c r="O571" s="36" t="str">
        <f ca="1">IFERROR(__xludf.DUMMYFUNCTION("""COMPUTED_VALUE"""),"")</f>
        <v/>
      </c>
      <c r="P571" s="36" t="str">
        <f ca="1">IFERROR(__xludf.DUMMYFUNCTION("""COMPUTED_VALUE"""),"")</f>
        <v/>
      </c>
      <c r="Q571" s="36" t="str">
        <f ca="1">IFERROR(__xludf.DUMMYFUNCTION("""COMPUTED_VALUE"""),"")</f>
        <v/>
      </c>
      <c r="R571" s="36" t="str">
        <f ca="1">IFERROR(__xludf.DUMMYFUNCTION("""COMPUTED_VALUE"""),"")</f>
        <v/>
      </c>
      <c r="S571" s="36" t="str">
        <f ca="1">IFERROR(__xludf.DUMMYFUNCTION("""COMPUTED_VALUE"""),"")</f>
        <v/>
      </c>
      <c r="T571" s="36" t="str">
        <f ca="1">IFERROR(__xludf.DUMMYFUNCTION("""COMPUTED_VALUE"""),"")</f>
        <v/>
      </c>
      <c r="U571" s="36" t="str">
        <f ca="1">IFERROR(__xludf.DUMMYFUNCTION("""COMPUTED_VALUE"""),"")</f>
        <v/>
      </c>
      <c r="V571" s="36" t="str">
        <f ca="1">IFERROR(__xludf.DUMMYFUNCTION("""COMPUTED_VALUE"""),"")</f>
        <v/>
      </c>
      <c r="W571" s="36" t="str">
        <f ca="1">IFERROR(__xludf.DUMMYFUNCTION("""COMPUTED_VALUE"""),"")</f>
        <v/>
      </c>
      <c r="X571" s="36"/>
      <c r="Y571" s="36"/>
      <c r="Z571" s="36"/>
    </row>
    <row r="572" spans="1:26" ht="12.75" hidden="1">
      <c r="A572" s="36" t="str">
        <f ca="1">IFERROR(__xludf.DUMMYFUNCTION("""COMPUTED_VALUE"""),"")</f>
        <v/>
      </c>
      <c r="B572" s="36" t="str">
        <f ca="1">IFERROR(__xludf.DUMMYFUNCTION("""COMPUTED_VALUE"""),"")</f>
        <v/>
      </c>
      <c r="C572" s="36" t="str">
        <f ca="1">IFERROR(__xludf.DUMMYFUNCTION("""COMPUTED_VALUE"""),"")</f>
        <v/>
      </c>
      <c r="D572" s="36" t="str">
        <f ca="1">IFERROR(__xludf.DUMMYFUNCTION("""COMPUTED_VALUE"""),"")</f>
        <v/>
      </c>
      <c r="E572" s="36" t="str">
        <f ca="1">IFERROR(__xludf.DUMMYFUNCTION("""COMPUTED_VALUE"""),"")</f>
        <v/>
      </c>
      <c r="F572" s="36" t="str">
        <f ca="1">IFERROR(__xludf.DUMMYFUNCTION("""COMPUTED_VALUE"""),"")</f>
        <v/>
      </c>
      <c r="G572" s="36" t="str">
        <f ca="1">IFERROR(__xludf.DUMMYFUNCTION("""COMPUTED_VALUE"""),"")</f>
        <v/>
      </c>
      <c r="H572" s="36" t="str">
        <f ca="1">IFERROR(__xludf.DUMMYFUNCTION("""COMPUTED_VALUE"""),"")</f>
        <v/>
      </c>
      <c r="I572" s="36" t="str">
        <f ca="1">IFERROR(__xludf.DUMMYFUNCTION("""COMPUTED_VALUE"""),"")</f>
        <v/>
      </c>
      <c r="J572" s="36" t="str">
        <f ca="1">IFERROR(__xludf.DUMMYFUNCTION("""COMPUTED_VALUE"""),"")</f>
        <v/>
      </c>
      <c r="K572" s="36" t="str">
        <f ca="1">IFERROR(__xludf.DUMMYFUNCTION("""COMPUTED_VALUE"""),"")</f>
        <v/>
      </c>
      <c r="L572" s="36" t="str">
        <f ca="1">IFERROR(__xludf.DUMMYFUNCTION("""COMPUTED_VALUE"""),"")</f>
        <v/>
      </c>
      <c r="M572" s="36" t="str">
        <f ca="1">IFERROR(__xludf.DUMMYFUNCTION("""COMPUTED_VALUE"""),"")</f>
        <v/>
      </c>
      <c r="N572" s="36" t="str">
        <f ca="1">IFERROR(__xludf.DUMMYFUNCTION("""COMPUTED_VALUE"""),"")</f>
        <v/>
      </c>
      <c r="O572" s="36" t="str">
        <f ca="1">IFERROR(__xludf.DUMMYFUNCTION("""COMPUTED_VALUE"""),"")</f>
        <v/>
      </c>
      <c r="P572" s="36" t="str">
        <f ca="1">IFERROR(__xludf.DUMMYFUNCTION("""COMPUTED_VALUE"""),"")</f>
        <v/>
      </c>
      <c r="Q572" s="36" t="str">
        <f ca="1">IFERROR(__xludf.DUMMYFUNCTION("""COMPUTED_VALUE"""),"")</f>
        <v/>
      </c>
      <c r="R572" s="36" t="str">
        <f ca="1">IFERROR(__xludf.DUMMYFUNCTION("""COMPUTED_VALUE"""),"")</f>
        <v/>
      </c>
      <c r="S572" s="36" t="str">
        <f ca="1">IFERROR(__xludf.DUMMYFUNCTION("""COMPUTED_VALUE"""),"")</f>
        <v/>
      </c>
      <c r="T572" s="36" t="str">
        <f ca="1">IFERROR(__xludf.DUMMYFUNCTION("""COMPUTED_VALUE"""),"")</f>
        <v/>
      </c>
      <c r="U572" s="36" t="str">
        <f ca="1">IFERROR(__xludf.DUMMYFUNCTION("""COMPUTED_VALUE"""),"")</f>
        <v/>
      </c>
      <c r="V572" s="36" t="str">
        <f ca="1">IFERROR(__xludf.DUMMYFUNCTION("""COMPUTED_VALUE"""),"")</f>
        <v/>
      </c>
      <c r="W572" s="36" t="str">
        <f ca="1">IFERROR(__xludf.DUMMYFUNCTION("""COMPUTED_VALUE"""),"")</f>
        <v/>
      </c>
      <c r="X572" s="36"/>
      <c r="Y572" s="36"/>
      <c r="Z572" s="36"/>
    </row>
    <row r="573" spans="1:26" ht="12.75" hidden="1">
      <c r="A573" s="36" t="str">
        <f ca="1">IFERROR(__xludf.DUMMYFUNCTION("""COMPUTED_VALUE"""),"")</f>
        <v/>
      </c>
      <c r="B573" s="36" t="str">
        <f ca="1">IFERROR(__xludf.DUMMYFUNCTION("""COMPUTED_VALUE"""),"")</f>
        <v/>
      </c>
      <c r="C573" s="36" t="str">
        <f ca="1">IFERROR(__xludf.DUMMYFUNCTION("""COMPUTED_VALUE"""),"")</f>
        <v/>
      </c>
      <c r="D573" s="36" t="str">
        <f ca="1">IFERROR(__xludf.DUMMYFUNCTION("""COMPUTED_VALUE"""),"")</f>
        <v/>
      </c>
      <c r="E573" s="36" t="str">
        <f ca="1">IFERROR(__xludf.DUMMYFUNCTION("""COMPUTED_VALUE"""),"")</f>
        <v/>
      </c>
      <c r="F573" s="36" t="str">
        <f ca="1">IFERROR(__xludf.DUMMYFUNCTION("""COMPUTED_VALUE"""),"")</f>
        <v/>
      </c>
      <c r="G573" s="36" t="str">
        <f ca="1">IFERROR(__xludf.DUMMYFUNCTION("""COMPUTED_VALUE"""),"")</f>
        <v/>
      </c>
      <c r="H573" s="36" t="str">
        <f ca="1">IFERROR(__xludf.DUMMYFUNCTION("""COMPUTED_VALUE"""),"")</f>
        <v/>
      </c>
      <c r="I573" s="36" t="str">
        <f ca="1">IFERROR(__xludf.DUMMYFUNCTION("""COMPUTED_VALUE"""),"")</f>
        <v/>
      </c>
      <c r="J573" s="36" t="str">
        <f ca="1">IFERROR(__xludf.DUMMYFUNCTION("""COMPUTED_VALUE"""),"")</f>
        <v/>
      </c>
      <c r="K573" s="36" t="str">
        <f ca="1">IFERROR(__xludf.DUMMYFUNCTION("""COMPUTED_VALUE"""),"")</f>
        <v/>
      </c>
      <c r="L573" s="36" t="str">
        <f ca="1">IFERROR(__xludf.DUMMYFUNCTION("""COMPUTED_VALUE"""),"")</f>
        <v/>
      </c>
      <c r="M573" s="36" t="str">
        <f ca="1">IFERROR(__xludf.DUMMYFUNCTION("""COMPUTED_VALUE"""),"")</f>
        <v/>
      </c>
      <c r="N573" s="36" t="str">
        <f ca="1">IFERROR(__xludf.DUMMYFUNCTION("""COMPUTED_VALUE"""),"")</f>
        <v/>
      </c>
      <c r="O573" s="36" t="str">
        <f ca="1">IFERROR(__xludf.DUMMYFUNCTION("""COMPUTED_VALUE"""),"")</f>
        <v/>
      </c>
      <c r="P573" s="36" t="str">
        <f ca="1">IFERROR(__xludf.DUMMYFUNCTION("""COMPUTED_VALUE"""),"")</f>
        <v/>
      </c>
      <c r="Q573" s="36" t="str">
        <f ca="1">IFERROR(__xludf.DUMMYFUNCTION("""COMPUTED_VALUE"""),"")</f>
        <v/>
      </c>
      <c r="R573" s="36" t="str">
        <f ca="1">IFERROR(__xludf.DUMMYFUNCTION("""COMPUTED_VALUE"""),"")</f>
        <v/>
      </c>
      <c r="S573" s="36" t="str">
        <f ca="1">IFERROR(__xludf.DUMMYFUNCTION("""COMPUTED_VALUE"""),"")</f>
        <v/>
      </c>
      <c r="T573" s="36" t="str">
        <f ca="1">IFERROR(__xludf.DUMMYFUNCTION("""COMPUTED_VALUE"""),"")</f>
        <v/>
      </c>
      <c r="U573" s="36" t="str">
        <f ca="1">IFERROR(__xludf.DUMMYFUNCTION("""COMPUTED_VALUE"""),"")</f>
        <v/>
      </c>
      <c r="V573" s="36" t="str">
        <f ca="1">IFERROR(__xludf.DUMMYFUNCTION("""COMPUTED_VALUE"""),"")</f>
        <v/>
      </c>
      <c r="W573" s="36" t="str">
        <f ca="1">IFERROR(__xludf.DUMMYFUNCTION("""COMPUTED_VALUE"""),"")</f>
        <v/>
      </c>
      <c r="X573" s="36"/>
      <c r="Y573" s="36"/>
      <c r="Z573" s="36"/>
    </row>
    <row r="574" spans="1:26" ht="12.75" hidden="1">
      <c r="A574" s="36" t="str">
        <f ca="1">IFERROR(__xludf.DUMMYFUNCTION("""COMPUTED_VALUE"""),"")</f>
        <v/>
      </c>
      <c r="B574" s="36" t="str">
        <f ca="1">IFERROR(__xludf.DUMMYFUNCTION("""COMPUTED_VALUE"""),"")</f>
        <v/>
      </c>
      <c r="C574" s="36" t="str">
        <f ca="1">IFERROR(__xludf.DUMMYFUNCTION("""COMPUTED_VALUE"""),"")</f>
        <v/>
      </c>
      <c r="D574" s="36" t="str">
        <f ca="1">IFERROR(__xludf.DUMMYFUNCTION("""COMPUTED_VALUE"""),"")</f>
        <v/>
      </c>
      <c r="E574" s="36" t="str">
        <f ca="1">IFERROR(__xludf.DUMMYFUNCTION("""COMPUTED_VALUE"""),"")</f>
        <v/>
      </c>
      <c r="F574" s="36" t="str">
        <f ca="1">IFERROR(__xludf.DUMMYFUNCTION("""COMPUTED_VALUE"""),"")</f>
        <v/>
      </c>
      <c r="G574" s="36" t="str">
        <f ca="1">IFERROR(__xludf.DUMMYFUNCTION("""COMPUTED_VALUE"""),"")</f>
        <v/>
      </c>
      <c r="H574" s="36" t="str">
        <f ca="1">IFERROR(__xludf.DUMMYFUNCTION("""COMPUTED_VALUE"""),"")</f>
        <v/>
      </c>
      <c r="I574" s="36" t="str">
        <f ca="1">IFERROR(__xludf.DUMMYFUNCTION("""COMPUTED_VALUE"""),"")</f>
        <v/>
      </c>
      <c r="J574" s="36" t="str">
        <f ca="1">IFERROR(__xludf.DUMMYFUNCTION("""COMPUTED_VALUE"""),"")</f>
        <v/>
      </c>
      <c r="K574" s="36" t="str">
        <f ca="1">IFERROR(__xludf.DUMMYFUNCTION("""COMPUTED_VALUE"""),"")</f>
        <v/>
      </c>
      <c r="L574" s="36" t="str">
        <f ca="1">IFERROR(__xludf.DUMMYFUNCTION("""COMPUTED_VALUE"""),"")</f>
        <v/>
      </c>
      <c r="M574" s="36" t="str">
        <f ca="1">IFERROR(__xludf.DUMMYFUNCTION("""COMPUTED_VALUE"""),"")</f>
        <v/>
      </c>
      <c r="N574" s="36" t="str">
        <f ca="1">IFERROR(__xludf.DUMMYFUNCTION("""COMPUTED_VALUE"""),"")</f>
        <v/>
      </c>
      <c r="O574" s="36" t="str">
        <f ca="1">IFERROR(__xludf.DUMMYFUNCTION("""COMPUTED_VALUE"""),"")</f>
        <v/>
      </c>
      <c r="P574" s="36" t="str">
        <f ca="1">IFERROR(__xludf.DUMMYFUNCTION("""COMPUTED_VALUE"""),"")</f>
        <v/>
      </c>
      <c r="Q574" s="36" t="str">
        <f ca="1">IFERROR(__xludf.DUMMYFUNCTION("""COMPUTED_VALUE"""),"")</f>
        <v/>
      </c>
      <c r="R574" s="36" t="str">
        <f ca="1">IFERROR(__xludf.DUMMYFUNCTION("""COMPUTED_VALUE"""),"")</f>
        <v/>
      </c>
      <c r="S574" s="36" t="str">
        <f ca="1">IFERROR(__xludf.DUMMYFUNCTION("""COMPUTED_VALUE"""),"")</f>
        <v/>
      </c>
      <c r="T574" s="36" t="str">
        <f ca="1">IFERROR(__xludf.DUMMYFUNCTION("""COMPUTED_VALUE"""),"")</f>
        <v/>
      </c>
      <c r="U574" s="36" t="str">
        <f ca="1">IFERROR(__xludf.DUMMYFUNCTION("""COMPUTED_VALUE"""),"")</f>
        <v/>
      </c>
      <c r="V574" s="36" t="str">
        <f ca="1">IFERROR(__xludf.DUMMYFUNCTION("""COMPUTED_VALUE"""),"")</f>
        <v/>
      </c>
      <c r="W574" s="36" t="str">
        <f ca="1">IFERROR(__xludf.DUMMYFUNCTION("""COMPUTED_VALUE"""),"")</f>
        <v/>
      </c>
      <c r="X574" s="36"/>
      <c r="Y574" s="36"/>
      <c r="Z574" s="36"/>
    </row>
    <row r="575" spans="1:26" ht="12.75" hidden="1">
      <c r="A575" s="36" t="str">
        <f ca="1">IFERROR(__xludf.DUMMYFUNCTION("""COMPUTED_VALUE"""),"")</f>
        <v/>
      </c>
      <c r="B575" s="36" t="str">
        <f ca="1">IFERROR(__xludf.DUMMYFUNCTION("""COMPUTED_VALUE"""),"")</f>
        <v/>
      </c>
      <c r="C575" s="36" t="str">
        <f ca="1">IFERROR(__xludf.DUMMYFUNCTION("""COMPUTED_VALUE"""),"")</f>
        <v/>
      </c>
      <c r="D575" s="36" t="str">
        <f ca="1">IFERROR(__xludf.DUMMYFUNCTION("""COMPUTED_VALUE"""),"")</f>
        <v/>
      </c>
      <c r="E575" s="36" t="str">
        <f ca="1">IFERROR(__xludf.DUMMYFUNCTION("""COMPUTED_VALUE"""),"")</f>
        <v/>
      </c>
      <c r="F575" s="36" t="str">
        <f ca="1">IFERROR(__xludf.DUMMYFUNCTION("""COMPUTED_VALUE"""),"")</f>
        <v/>
      </c>
      <c r="G575" s="36" t="str">
        <f ca="1">IFERROR(__xludf.DUMMYFUNCTION("""COMPUTED_VALUE"""),"")</f>
        <v/>
      </c>
      <c r="H575" s="36" t="str">
        <f ca="1">IFERROR(__xludf.DUMMYFUNCTION("""COMPUTED_VALUE"""),"")</f>
        <v/>
      </c>
      <c r="I575" s="36" t="str">
        <f ca="1">IFERROR(__xludf.DUMMYFUNCTION("""COMPUTED_VALUE"""),"")</f>
        <v/>
      </c>
      <c r="J575" s="36" t="str">
        <f ca="1">IFERROR(__xludf.DUMMYFUNCTION("""COMPUTED_VALUE"""),"")</f>
        <v/>
      </c>
      <c r="K575" s="36" t="str">
        <f ca="1">IFERROR(__xludf.DUMMYFUNCTION("""COMPUTED_VALUE"""),"")</f>
        <v/>
      </c>
      <c r="L575" s="36" t="str">
        <f ca="1">IFERROR(__xludf.DUMMYFUNCTION("""COMPUTED_VALUE"""),"")</f>
        <v/>
      </c>
      <c r="M575" s="36" t="str">
        <f ca="1">IFERROR(__xludf.DUMMYFUNCTION("""COMPUTED_VALUE"""),"")</f>
        <v/>
      </c>
      <c r="N575" s="36" t="str">
        <f ca="1">IFERROR(__xludf.DUMMYFUNCTION("""COMPUTED_VALUE"""),"")</f>
        <v/>
      </c>
      <c r="O575" s="36" t="str">
        <f ca="1">IFERROR(__xludf.DUMMYFUNCTION("""COMPUTED_VALUE"""),"")</f>
        <v/>
      </c>
      <c r="P575" s="36" t="str">
        <f ca="1">IFERROR(__xludf.DUMMYFUNCTION("""COMPUTED_VALUE"""),"")</f>
        <v/>
      </c>
      <c r="Q575" s="36" t="str">
        <f ca="1">IFERROR(__xludf.DUMMYFUNCTION("""COMPUTED_VALUE"""),"")</f>
        <v/>
      </c>
      <c r="R575" s="36" t="str">
        <f ca="1">IFERROR(__xludf.DUMMYFUNCTION("""COMPUTED_VALUE"""),"")</f>
        <v/>
      </c>
      <c r="S575" s="36" t="str">
        <f ca="1">IFERROR(__xludf.DUMMYFUNCTION("""COMPUTED_VALUE"""),"")</f>
        <v/>
      </c>
      <c r="T575" s="36" t="str">
        <f ca="1">IFERROR(__xludf.DUMMYFUNCTION("""COMPUTED_VALUE"""),"")</f>
        <v/>
      </c>
      <c r="U575" s="36" t="str">
        <f ca="1">IFERROR(__xludf.DUMMYFUNCTION("""COMPUTED_VALUE"""),"")</f>
        <v/>
      </c>
      <c r="V575" s="36" t="str">
        <f ca="1">IFERROR(__xludf.DUMMYFUNCTION("""COMPUTED_VALUE"""),"")</f>
        <v/>
      </c>
      <c r="W575" s="36" t="str">
        <f ca="1">IFERROR(__xludf.DUMMYFUNCTION("""COMPUTED_VALUE"""),"")</f>
        <v/>
      </c>
      <c r="X575" s="36"/>
      <c r="Y575" s="36"/>
      <c r="Z575" s="36"/>
    </row>
    <row r="576" spans="1:26" ht="12.75" hidden="1">
      <c r="A576" s="36" t="str">
        <f ca="1">IFERROR(__xludf.DUMMYFUNCTION("""COMPUTED_VALUE"""),"")</f>
        <v/>
      </c>
      <c r="B576" s="36" t="str">
        <f ca="1">IFERROR(__xludf.DUMMYFUNCTION("""COMPUTED_VALUE"""),"")</f>
        <v/>
      </c>
      <c r="C576" s="36" t="str">
        <f ca="1">IFERROR(__xludf.DUMMYFUNCTION("""COMPUTED_VALUE"""),"")</f>
        <v/>
      </c>
      <c r="D576" s="36" t="str">
        <f ca="1">IFERROR(__xludf.DUMMYFUNCTION("""COMPUTED_VALUE"""),"")</f>
        <v/>
      </c>
      <c r="E576" s="36" t="str">
        <f ca="1">IFERROR(__xludf.DUMMYFUNCTION("""COMPUTED_VALUE"""),"")</f>
        <v/>
      </c>
      <c r="F576" s="36" t="str">
        <f ca="1">IFERROR(__xludf.DUMMYFUNCTION("""COMPUTED_VALUE"""),"")</f>
        <v/>
      </c>
      <c r="G576" s="36" t="str">
        <f ca="1">IFERROR(__xludf.DUMMYFUNCTION("""COMPUTED_VALUE"""),"")</f>
        <v/>
      </c>
      <c r="H576" s="36" t="str">
        <f ca="1">IFERROR(__xludf.DUMMYFUNCTION("""COMPUTED_VALUE"""),"")</f>
        <v/>
      </c>
      <c r="I576" s="36" t="str">
        <f ca="1">IFERROR(__xludf.DUMMYFUNCTION("""COMPUTED_VALUE"""),"")</f>
        <v/>
      </c>
      <c r="J576" s="36" t="str">
        <f ca="1">IFERROR(__xludf.DUMMYFUNCTION("""COMPUTED_VALUE"""),"")</f>
        <v/>
      </c>
      <c r="K576" s="36" t="str">
        <f ca="1">IFERROR(__xludf.DUMMYFUNCTION("""COMPUTED_VALUE"""),"")</f>
        <v/>
      </c>
      <c r="L576" s="36" t="str">
        <f ca="1">IFERROR(__xludf.DUMMYFUNCTION("""COMPUTED_VALUE"""),"")</f>
        <v/>
      </c>
      <c r="M576" s="36" t="str">
        <f ca="1">IFERROR(__xludf.DUMMYFUNCTION("""COMPUTED_VALUE"""),"")</f>
        <v/>
      </c>
      <c r="N576" s="36" t="str">
        <f ca="1">IFERROR(__xludf.DUMMYFUNCTION("""COMPUTED_VALUE"""),"")</f>
        <v/>
      </c>
      <c r="O576" s="36" t="str">
        <f ca="1">IFERROR(__xludf.DUMMYFUNCTION("""COMPUTED_VALUE"""),"")</f>
        <v/>
      </c>
      <c r="P576" s="36" t="str">
        <f ca="1">IFERROR(__xludf.DUMMYFUNCTION("""COMPUTED_VALUE"""),"")</f>
        <v/>
      </c>
      <c r="Q576" s="36" t="str">
        <f ca="1">IFERROR(__xludf.DUMMYFUNCTION("""COMPUTED_VALUE"""),"")</f>
        <v/>
      </c>
      <c r="R576" s="36" t="str">
        <f ca="1">IFERROR(__xludf.DUMMYFUNCTION("""COMPUTED_VALUE"""),"")</f>
        <v/>
      </c>
      <c r="S576" s="36" t="str">
        <f ca="1">IFERROR(__xludf.DUMMYFUNCTION("""COMPUTED_VALUE"""),"")</f>
        <v/>
      </c>
      <c r="T576" s="36" t="str">
        <f ca="1">IFERROR(__xludf.DUMMYFUNCTION("""COMPUTED_VALUE"""),"")</f>
        <v/>
      </c>
      <c r="U576" s="36" t="str">
        <f ca="1">IFERROR(__xludf.DUMMYFUNCTION("""COMPUTED_VALUE"""),"")</f>
        <v/>
      </c>
      <c r="V576" s="36" t="str">
        <f ca="1">IFERROR(__xludf.DUMMYFUNCTION("""COMPUTED_VALUE"""),"")</f>
        <v/>
      </c>
      <c r="W576" s="36" t="str">
        <f ca="1">IFERROR(__xludf.DUMMYFUNCTION("""COMPUTED_VALUE"""),"")</f>
        <v/>
      </c>
      <c r="X576" s="36"/>
      <c r="Y576" s="36"/>
      <c r="Z576" s="36"/>
    </row>
    <row r="577" spans="1:26" ht="12.75" hidden="1">
      <c r="A577" s="36" t="str">
        <f ca="1">IFERROR(__xludf.DUMMYFUNCTION("""COMPUTED_VALUE"""),"")</f>
        <v/>
      </c>
      <c r="B577" s="36" t="str">
        <f ca="1">IFERROR(__xludf.DUMMYFUNCTION("""COMPUTED_VALUE"""),"")</f>
        <v/>
      </c>
      <c r="C577" s="36" t="str">
        <f ca="1">IFERROR(__xludf.DUMMYFUNCTION("""COMPUTED_VALUE"""),"")</f>
        <v/>
      </c>
      <c r="D577" s="36" t="str">
        <f ca="1">IFERROR(__xludf.DUMMYFUNCTION("""COMPUTED_VALUE"""),"")</f>
        <v/>
      </c>
      <c r="E577" s="36" t="str">
        <f ca="1">IFERROR(__xludf.DUMMYFUNCTION("""COMPUTED_VALUE"""),"")</f>
        <v/>
      </c>
      <c r="F577" s="36" t="str">
        <f ca="1">IFERROR(__xludf.DUMMYFUNCTION("""COMPUTED_VALUE"""),"")</f>
        <v/>
      </c>
      <c r="G577" s="36" t="str">
        <f ca="1">IFERROR(__xludf.DUMMYFUNCTION("""COMPUTED_VALUE"""),"")</f>
        <v/>
      </c>
      <c r="H577" s="36" t="str">
        <f ca="1">IFERROR(__xludf.DUMMYFUNCTION("""COMPUTED_VALUE"""),"")</f>
        <v/>
      </c>
      <c r="I577" s="36" t="str">
        <f ca="1">IFERROR(__xludf.DUMMYFUNCTION("""COMPUTED_VALUE"""),"")</f>
        <v/>
      </c>
      <c r="J577" s="36" t="str">
        <f ca="1">IFERROR(__xludf.DUMMYFUNCTION("""COMPUTED_VALUE"""),"")</f>
        <v/>
      </c>
      <c r="K577" s="36" t="str">
        <f ca="1">IFERROR(__xludf.DUMMYFUNCTION("""COMPUTED_VALUE"""),"")</f>
        <v/>
      </c>
      <c r="L577" s="36" t="str">
        <f ca="1">IFERROR(__xludf.DUMMYFUNCTION("""COMPUTED_VALUE"""),"")</f>
        <v/>
      </c>
      <c r="M577" s="36" t="str">
        <f ca="1">IFERROR(__xludf.DUMMYFUNCTION("""COMPUTED_VALUE"""),"")</f>
        <v/>
      </c>
      <c r="N577" s="36" t="str">
        <f ca="1">IFERROR(__xludf.DUMMYFUNCTION("""COMPUTED_VALUE"""),"")</f>
        <v/>
      </c>
      <c r="O577" s="36" t="str">
        <f ca="1">IFERROR(__xludf.DUMMYFUNCTION("""COMPUTED_VALUE"""),"")</f>
        <v/>
      </c>
      <c r="P577" s="36" t="str">
        <f ca="1">IFERROR(__xludf.DUMMYFUNCTION("""COMPUTED_VALUE"""),"")</f>
        <v/>
      </c>
      <c r="Q577" s="36" t="str">
        <f ca="1">IFERROR(__xludf.DUMMYFUNCTION("""COMPUTED_VALUE"""),"")</f>
        <v/>
      </c>
      <c r="R577" s="36" t="str">
        <f ca="1">IFERROR(__xludf.DUMMYFUNCTION("""COMPUTED_VALUE"""),"")</f>
        <v/>
      </c>
      <c r="S577" s="36" t="str">
        <f ca="1">IFERROR(__xludf.DUMMYFUNCTION("""COMPUTED_VALUE"""),"")</f>
        <v/>
      </c>
      <c r="T577" s="36" t="str">
        <f ca="1">IFERROR(__xludf.DUMMYFUNCTION("""COMPUTED_VALUE"""),"")</f>
        <v/>
      </c>
      <c r="U577" s="36" t="str">
        <f ca="1">IFERROR(__xludf.DUMMYFUNCTION("""COMPUTED_VALUE"""),"")</f>
        <v/>
      </c>
      <c r="V577" s="36" t="str">
        <f ca="1">IFERROR(__xludf.DUMMYFUNCTION("""COMPUTED_VALUE"""),"")</f>
        <v/>
      </c>
      <c r="W577" s="36" t="str">
        <f ca="1">IFERROR(__xludf.DUMMYFUNCTION("""COMPUTED_VALUE"""),"")</f>
        <v/>
      </c>
      <c r="X577" s="36"/>
      <c r="Y577" s="36"/>
      <c r="Z577" s="36"/>
    </row>
    <row r="578" spans="1:26" ht="12.75" hidden="1">
      <c r="A578" s="36" t="str">
        <f ca="1">IFERROR(__xludf.DUMMYFUNCTION("""COMPUTED_VALUE"""),"")</f>
        <v/>
      </c>
      <c r="B578" s="36" t="str">
        <f ca="1">IFERROR(__xludf.DUMMYFUNCTION("""COMPUTED_VALUE"""),"")</f>
        <v/>
      </c>
      <c r="C578" s="36" t="str">
        <f ca="1">IFERROR(__xludf.DUMMYFUNCTION("""COMPUTED_VALUE"""),"")</f>
        <v/>
      </c>
      <c r="D578" s="36" t="str">
        <f ca="1">IFERROR(__xludf.DUMMYFUNCTION("""COMPUTED_VALUE"""),"")</f>
        <v/>
      </c>
      <c r="E578" s="36" t="str">
        <f ca="1">IFERROR(__xludf.DUMMYFUNCTION("""COMPUTED_VALUE"""),"")</f>
        <v/>
      </c>
      <c r="F578" s="36" t="str">
        <f ca="1">IFERROR(__xludf.DUMMYFUNCTION("""COMPUTED_VALUE"""),"")</f>
        <v/>
      </c>
      <c r="G578" s="36" t="str">
        <f ca="1">IFERROR(__xludf.DUMMYFUNCTION("""COMPUTED_VALUE"""),"")</f>
        <v/>
      </c>
      <c r="H578" s="36" t="str">
        <f ca="1">IFERROR(__xludf.DUMMYFUNCTION("""COMPUTED_VALUE"""),"")</f>
        <v/>
      </c>
      <c r="I578" s="36" t="str">
        <f ca="1">IFERROR(__xludf.DUMMYFUNCTION("""COMPUTED_VALUE"""),"")</f>
        <v/>
      </c>
      <c r="J578" s="36" t="str">
        <f ca="1">IFERROR(__xludf.DUMMYFUNCTION("""COMPUTED_VALUE"""),"")</f>
        <v/>
      </c>
      <c r="K578" s="36" t="str">
        <f ca="1">IFERROR(__xludf.DUMMYFUNCTION("""COMPUTED_VALUE"""),"")</f>
        <v/>
      </c>
      <c r="L578" s="36" t="str">
        <f ca="1">IFERROR(__xludf.DUMMYFUNCTION("""COMPUTED_VALUE"""),"")</f>
        <v/>
      </c>
      <c r="M578" s="36" t="str">
        <f ca="1">IFERROR(__xludf.DUMMYFUNCTION("""COMPUTED_VALUE"""),"")</f>
        <v/>
      </c>
      <c r="N578" s="36" t="str">
        <f ca="1">IFERROR(__xludf.DUMMYFUNCTION("""COMPUTED_VALUE"""),"")</f>
        <v/>
      </c>
      <c r="O578" s="36" t="str">
        <f ca="1">IFERROR(__xludf.DUMMYFUNCTION("""COMPUTED_VALUE"""),"")</f>
        <v/>
      </c>
      <c r="P578" s="36" t="str">
        <f ca="1">IFERROR(__xludf.DUMMYFUNCTION("""COMPUTED_VALUE"""),"")</f>
        <v/>
      </c>
      <c r="Q578" s="36" t="str">
        <f ca="1">IFERROR(__xludf.DUMMYFUNCTION("""COMPUTED_VALUE"""),"")</f>
        <v/>
      </c>
      <c r="R578" s="36" t="str">
        <f ca="1">IFERROR(__xludf.DUMMYFUNCTION("""COMPUTED_VALUE"""),"")</f>
        <v/>
      </c>
      <c r="S578" s="36" t="str">
        <f ca="1">IFERROR(__xludf.DUMMYFUNCTION("""COMPUTED_VALUE"""),"")</f>
        <v/>
      </c>
      <c r="T578" s="36" t="str">
        <f ca="1">IFERROR(__xludf.DUMMYFUNCTION("""COMPUTED_VALUE"""),"")</f>
        <v/>
      </c>
      <c r="U578" s="36" t="str">
        <f ca="1">IFERROR(__xludf.DUMMYFUNCTION("""COMPUTED_VALUE"""),"")</f>
        <v/>
      </c>
      <c r="V578" s="36" t="str">
        <f ca="1">IFERROR(__xludf.DUMMYFUNCTION("""COMPUTED_VALUE"""),"")</f>
        <v/>
      </c>
      <c r="W578" s="36" t="str">
        <f ca="1">IFERROR(__xludf.DUMMYFUNCTION("""COMPUTED_VALUE"""),"")</f>
        <v/>
      </c>
      <c r="X578" s="36"/>
      <c r="Y578" s="36"/>
      <c r="Z578" s="36"/>
    </row>
    <row r="579" spans="1:26" ht="12.75" hidden="1">
      <c r="A579" s="36" t="str">
        <f ca="1">IFERROR(__xludf.DUMMYFUNCTION("""COMPUTED_VALUE"""),"")</f>
        <v/>
      </c>
      <c r="B579" s="36" t="str">
        <f ca="1">IFERROR(__xludf.DUMMYFUNCTION("""COMPUTED_VALUE"""),"")</f>
        <v/>
      </c>
      <c r="C579" s="36" t="str">
        <f ca="1">IFERROR(__xludf.DUMMYFUNCTION("""COMPUTED_VALUE"""),"")</f>
        <v/>
      </c>
      <c r="D579" s="36" t="str">
        <f ca="1">IFERROR(__xludf.DUMMYFUNCTION("""COMPUTED_VALUE"""),"")</f>
        <v/>
      </c>
      <c r="E579" s="36" t="str">
        <f ca="1">IFERROR(__xludf.DUMMYFUNCTION("""COMPUTED_VALUE"""),"")</f>
        <v/>
      </c>
      <c r="F579" s="36" t="str">
        <f ca="1">IFERROR(__xludf.DUMMYFUNCTION("""COMPUTED_VALUE"""),"")</f>
        <v/>
      </c>
      <c r="G579" s="36" t="str">
        <f ca="1">IFERROR(__xludf.DUMMYFUNCTION("""COMPUTED_VALUE"""),"")</f>
        <v/>
      </c>
      <c r="H579" s="36" t="str">
        <f ca="1">IFERROR(__xludf.DUMMYFUNCTION("""COMPUTED_VALUE"""),"")</f>
        <v/>
      </c>
      <c r="I579" s="36" t="str">
        <f ca="1">IFERROR(__xludf.DUMMYFUNCTION("""COMPUTED_VALUE"""),"")</f>
        <v/>
      </c>
      <c r="J579" s="36" t="str">
        <f ca="1">IFERROR(__xludf.DUMMYFUNCTION("""COMPUTED_VALUE"""),"")</f>
        <v/>
      </c>
      <c r="K579" s="36" t="str">
        <f ca="1">IFERROR(__xludf.DUMMYFUNCTION("""COMPUTED_VALUE"""),"")</f>
        <v/>
      </c>
      <c r="L579" s="36" t="str">
        <f ca="1">IFERROR(__xludf.DUMMYFUNCTION("""COMPUTED_VALUE"""),"")</f>
        <v/>
      </c>
      <c r="M579" s="36" t="str">
        <f ca="1">IFERROR(__xludf.DUMMYFUNCTION("""COMPUTED_VALUE"""),"")</f>
        <v/>
      </c>
      <c r="N579" s="36" t="str">
        <f ca="1">IFERROR(__xludf.DUMMYFUNCTION("""COMPUTED_VALUE"""),"")</f>
        <v/>
      </c>
      <c r="O579" s="36" t="str">
        <f ca="1">IFERROR(__xludf.DUMMYFUNCTION("""COMPUTED_VALUE"""),"")</f>
        <v/>
      </c>
      <c r="P579" s="36" t="str">
        <f ca="1">IFERROR(__xludf.DUMMYFUNCTION("""COMPUTED_VALUE"""),"")</f>
        <v/>
      </c>
      <c r="Q579" s="36" t="str">
        <f ca="1">IFERROR(__xludf.DUMMYFUNCTION("""COMPUTED_VALUE"""),"")</f>
        <v/>
      </c>
      <c r="R579" s="36" t="str">
        <f ca="1">IFERROR(__xludf.DUMMYFUNCTION("""COMPUTED_VALUE"""),"")</f>
        <v/>
      </c>
      <c r="S579" s="36" t="str">
        <f ca="1">IFERROR(__xludf.DUMMYFUNCTION("""COMPUTED_VALUE"""),"")</f>
        <v/>
      </c>
      <c r="T579" s="36" t="str">
        <f ca="1">IFERROR(__xludf.DUMMYFUNCTION("""COMPUTED_VALUE"""),"")</f>
        <v/>
      </c>
      <c r="U579" s="36" t="str">
        <f ca="1">IFERROR(__xludf.DUMMYFUNCTION("""COMPUTED_VALUE"""),"")</f>
        <v/>
      </c>
      <c r="V579" s="36" t="str">
        <f ca="1">IFERROR(__xludf.DUMMYFUNCTION("""COMPUTED_VALUE"""),"")</f>
        <v/>
      </c>
      <c r="W579" s="36" t="str">
        <f ca="1">IFERROR(__xludf.DUMMYFUNCTION("""COMPUTED_VALUE"""),"")</f>
        <v/>
      </c>
      <c r="X579" s="36"/>
      <c r="Y579" s="36"/>
      <c r="Z579" s="36"/>
    </row>
    <row r="580" spans="1:26" ht="12.75" hidden="1">
      <c r="A580" s="36" t="str">
        <f ca="1">IFERROR(__xludf.DUMMYFUNCTION("""COMPUTED_VALUE"""),"")</f>
        <v/>
      </c>
      <c r="B580" s="36" t="str">
        <f ca="1">IFERROR(__xludf.DUMMYFUNCTION("""COMPUTED_VALUE"""),"")</f>
        <v/>
      </c>
      <c r="C580" s="36" t="str">
        <f ca="1">IFERROR(__xludf.DUMMYFUNCTION("""COMPUTED_VALUE"""),"")</f>
        <v/>
      </c>
      <c r="D580" s="36" t="str">
        <f ca="1">IFERROR(__xludf.DUMMYFUNCTION("""COMPUTED_VALUE"""),"")</f>
        <v/>
      </c>
      <c r="E580" s="36" t="str">
        <f ca="1">IFERROR(__xludf.DUMMYFUNCTION("""COMPUTED_VALUE"""),"")</f>
        <v/>
      </c>
      <c r="F580" s="36" t="str">
        <f ca="1">IFERROR(__xludf.DUMMYFUNCTION("""COMPUTED_VALUE"""),"")</f>
        <v/>
      </c>
      <c r="G580" s="36" t="str">
        <f ca="1">IFERROR(__xludf.DUMMYFUNCTION("""COMPUTED_VALUE"""),"")</f>
        <v/>
      </c>
      <c r="H580" s="36" t="str">
        <f ca="1">IFERROR(__xludf.DUMMYFUNCTION("""COMPUTED_VALUE"""),"")</f>
        <v/>
      </c>
      <c r="I580" s="36" t="str">
        <f ca="1">IFERROR(__xludf.DUMMYFUNCTION("""COMPUTED_VALUE"""),"")</f>
        <v/>
      </c>
      <c r="J580" s="36" t="str">
        <f ca="1">IFERROR(__xludf.DUMMYFUNCTION("""COMPUTED_VALUE"""),"")</f>
        <v/>
      </c>
      <c r="K580" s="36" t="str">
        <f ca="1">IFERROR(__xludf.DUMMYFUNCTION("""COMPUTED_VALUE"""),"")</f>
        <v/>
      </c>
      <c r="L580" s="36" t="str">
        <f ca="1">IFERROR(__xludf.DUMMYFUNCTION("""COMPUTED_VALUE"""),"")</f>
        <v/>
      </c>
      <c r="M580" s="36" t="str">
        <f ca="1">IFERROR(__xludf.DUMMYFUNCTION("""COMPUTED_VALUE"""),"")</f>
        <v/>
      </c>
      <c r="N580" s="36" t="str">
        <f ca="1">IFERROR(__xludf.DUMMYFUNCTION("""COMPUTED_VALUE"""),"")</f>
        <v/>
      </c>
      <c r="O580" s="36" t="str">
        <f ca="1">IFERROR(__xludf.DUMMYFUNCTION("""COMPUTED_VALUE"""),"")</f>
        <v/>
      </c>
      <c r="P580" s="36" t="str">
        <f ca="1">IFERROR(__xludf.DUMMYFUNCTION("""COMPUTED_VALUE"""),"")</f>
        <v/>
      </c>
      <c r="Q580" s="36" t="str">
        <f ca="1">IFERROR(__xludf.DUMMYFUNCTION("""COMPUTED_VALUE"""),"")</f>
        <v/>
      </c>
      <c r="R580" s="36" t="str">
        <f ca="1">IFERROR(__xludf.DUMMYFUNCTION("""COMPUTED_VALUE"""),"")</f>
        <v/>
      </c>
      <c r="S580" s="36" t="str">
        <f ca="1">IFERROR(__xludf.DUMMYFUNCTION("""COMPUTED_VALUE"""),"")</f>
        <v/>
      </c>
      <c r="T580" s="36" t="str">
        <f ca="1">IFERROR(__xludf.DUMMYFUNCTION("""COMPUTED_VALUE"""),"")</f>
        <v/>
      </c>
      <c r="U580" s="36" t="str">
        <f ca="1">IFERROR(__xludf.DUMMYFUNCTION("""COMPUTED_VALUE"""),"")</f>
        <v/>
      </c>
      <c r="V580" s="36" t="str">
        <f ca="1">IFERROR(__xludf.DUMMYFUNCTION("""COMPUTED_VALUE"""),"")</f>
        <v/>
      </c>
      <c r="W580" s="36" t="str">
        <f ca="1">IFERROR(__xludf.DUMMYFUNCTION("""COMPUTED_VALUE"""),"")</f>
        <v/>
      </c>
      <c r="X580" s="36"/>
      <c r="Y580" s="36"/>
      <c r="Z580" s="36"/>
    </row>
    <row r="581" spans="1:26" ht="12.75" hidden="1">
      <c r="A581" s="36" t="str">
        <f ca="1">IFERROR(__xludf.DUMMYFUNCTION("""COMPUTED_VALUE"""),"")</f>
        <v/>
      </c>
      <c r="B581" s="36" t="str">
        <f ca="1">IFERROR(__xludf.DUMMYFUNCTION("""COMPUTED_VALUE"""),"")</f>
        <v/>
      </c>
      <c r="C581" s="36" t="str">
        <f ca="1">IFERROR(__xludf.DUMMYFUNCTION("""COMPUTED_VALUE"""),"")</f>
        <v/>
      </c>
      <c r="D581" s="36" t="str">
        <f ca="1">IFERROR(__xludf.DUMMYFUNCTION("""COMPUTED_VALUE"""),"")</f>
        <v/>
      </c>
      <c r="E581" s="36" t="str">
        <f ca="1">IFERROR(__xludf.DUMMYFUNCTION("""COMPUTED_VALUE"""),"")</f>
        <v/>
      </c>
      <c r="F581" s="36" t="str">
        <f ca="1">IFERROR(__xludf.DUMMYFUNCTION("""COMPUTED_VALUE"""),"")</f>
        <v/>
      </c>
      <c r="G581" s="36" t="str">
        <f ca="1">IFERROR(__xludf.DUMMYFUNCTION("""COMPUTED_VALUE"""),"")</f>
        <v/>
      </c>
      <c r="H581" s="36" t="str">
        <f ca="1">IFERROR(__xludf.DUMMYFUNCTION("""COMPUTED_VALUE"""),"")</f>
        <v/>
      </c>
      <c r="I581" s="36" t="str">
        <f ca="1">IFERROR(__xludf.DUMMYFUNCTION("""COMPUTED_VALUE"""),"")</f>
        <v/>
      </c>
      <c r="J581" s="36" t="str">
        <f ca="1">IFERROR(__xludf.DUMMYFUNCTION("""COMPUTED_VALUE"""),"")</f>
        <v/>
      </c>
      <c r="K581" s="36" t="str">
        <f ca="1">IFERROR(__xludf.DUMMYFUNCTION("""COMPUTED_VALUE"""),"")</f>
        <v/>
      </c>
      <c r="L581" s="36" t="str">
        <f ca="1">IFERROR(__xludf.DUMMYFUNCTION("""COMPUTED_VALUE"""),"")</f>
        <v/>
      </c>
      <c r="M581" s="36" t="str">
        <f ca="1">IFERROR(__xludf.DUMMYFUNCTION("""COMPUTED_VALUE"""),"")</f>
        <v/>
      </c>
      <c r="N581" s="36" t="str">
        <f ca="1">IFERROR(__xludf.DUMMYFUNCTION("""COMPUTED_VALUE"""),"")</f>
        <v/>
      </c>
      <c r="O581" s="36" t="str">
        <f ca="1">IFERROR(__xludf.DUMMYFUNCTION("""COMPUTED_VALUE"""),"")</f>
        <v/>
      </c>
      <c r="P581" s="36" t="str">
        <f ca="1">IFERROR(__xludf.DUMMYFUNCTION("""COMPUTED_VALUE"""),"")</f>
        <v/>
      </c>
      <c r="Q581" s="36" t="str">
        <f ca="1">IFERROR(__xludf.DUMMYFUNCTION("""COMPUTED_VALUE"""),"")</f>
        <v/>
      </c>
      <c r="R581" s="36" t="str">
        <f ca="1">IFERROR(__xludf.DUMMYFUNCTION("""COMPUTED_VALUE"""),"")</f>
        <v/>
      </c>
      <c r="S581" s="36" t="str">
        <f ca="1">IFERROR(__xludf.DUMMYFUNCTION("""COMPUTED_VALUE"""),"")</f>
        <v/>
      </c>
      <c r="T581" s="36" t="str">
        <f ca="1">IFERROR(__xludf.DUMMYFUNCTION("""COMPUTED_VALUE"""),"")</f>
        <v/>
      </c>
      <c r="U581" s="36" t="str">
        <f ca="1">IFERROR(__xludf.DUMMYFUNCTION("""COMPUTED_VALUE"""),"")</f>
        <v/>
      </c>
      <c r="V581" s="36" t="str">
        <f ca="1">IFERROR(__xludf.DUMMYFUNCTION("""COMPUTED_VALUE"""),"")</f>
        <v/>
      </c>
      <c r="W581" s="36" t="str">
        <f ca="1">IFERROR(__xludf.DUMMYFUNCTION("""COMPUTED_VALUE"""),"")</f>
        <v/>
      </c>
      <c r="X581" s="36"/>
      <c r="Y581" s="36"/>
      <c r="Z581" s="36"/>
    </row>
    <row r="582" spans="1:26" ht="12.75" hidden="1">
      <c r="A582" s="36" t="str">
        <f ca="1">IFERROR(__xludf.DUMMYFUNCTION("""COMPUTED_VALUE"""),"")</f>
        <v/>
      </c>
      <c r="B582" s="36" t="str">
        <f ca="1">IFERROR(__xludf.DUMMYFUNCTION("""COMPUTED_VALUE"""),"")</f>
        <v/>
      </c>
      <c r="C582" s="36" t="str">
        <f ca="1">IFERROR(__xludf.DUMMYFUNCTION("""COMPUTED_VALUE"""),"")</f>
        <v/>
      </c>
      <c r="D582" s="36" t="str">
        <f ca="1">IFERROR(__xludf.DUMMYFUNCTION("""COMPUTED_VALUE"""),"")</f>
        <v/>
      </c>
      <c r="E582" s="36" t="str">
        <f ca="1">IFERROR(__xludf.DUMMYFUNCTION("""COMPUTED_VALUE"""),"")</f>
        <v/>
      </c>
      <c r="F582" s="36" t="str">
        <f ca="1">IFERROR(__xludf.DUMMYFUNCTION("""COMPUTED_VALUE"""),"")</f>
        <v/>
      </c>
      <c r="G582" s="36" t="str">
        <f ca="1">IFERROR(__xludf.DUMMYFUNCTION("""COMPUTED_VALUE"""),"")</f>
        <v/>
      </c>
      <c r="H582" s="36" t="str">
        <f ca="1">IFERROR(__xludf.DUMMYFUNCTION("""COMPUTED_VALUE"""),"")</f>
        <v/>
      </c>
      <c r="I582" s="36" t="str">
        <f ca="1">IFERROR(__xludf.DUMMYFUNCTION("""COMPUTED_VALUE"""),"")</f>
        <v/>
      </c>
      <c r="J582" s="36" t="str">
        <f ca="1">IFERROR(__xludf.DUMMYFUNCTION("""COMPUTED_VALUE"""),"")</f>
        <v/>
      </c>
      <c r="K582" s="36" t="str">
        <f ca="1">IFERROR(__xludf.DUMMYFUNCTION("""COMPUTED_VALUE"""),"")</f>
        <v/>
      </c>
      <c r="L582" s="36" t="str">
        <f ca="1">IFERROR(__xludf.DUMMYFUNCTION("""COMPUTED_VALUE"""),"")</f>
        <v/>
      </c>
      <c r="M582" s="36" t="str">
        <f ca="1">IFERROR(__xludf.DUMMYFUNCTION("""COMPUTED_VALUE"""),"")</f>
        <v/>
      </c>
      <c r="N582" s="36" t="str">
        <f ca="1">IFERROR(__xludf.DUMMYFUNCTION("""COMPUTED_VALUE"""),"")</f>
        <v/>
      </c>
      <c r="O582" s="36" t="str">
        <f ca="1">IFERROR(__xludf.DUMMYFUNCTION("""COMPUTED_VALUE"""),"")</f>
        <v/>
      </c>
      <c r="P582" s="36" t="str">
        <f ca="1">IFERROR(__xludf.DUMMYFUNCTION("""COMPUTED_VALUE"""),"")</f>
        <v/>
      </c>
      <c r="Q582" s="36" t="str">
        <f ca="1">IFERROR(__xludf.DUMMYFUNCTION("""COMPUTED_VALUE"""),"")</f>
        <v/>
      </c>
      <c r="R582" s="36" t="str">
        <f ca="1">IFERROR(__xludf.DUMMYFUNCTION("""COMPUTED_VALUE"""),"")</f>
        <v/>
      </c>
      <c r="S582" s="36" t="str">
        <f ca="1">IFERROR(__xludf.DUMMYFUNCTION("""COMPUTED_VALUE"""),"")</f>
        <v/>
      </c>
      <c r="T582" s="36" t="str">
        <f ca="1">IFERROR(__xludf.DUMMYFUNCTION("""COMPUTED_VALUE"""),"")</f>
        <v/>
      </c>
      <c r="U582" s="36" t="str">
        <f ca="1">IFERROR(__xludf.DUMMYFUNCTION("""COMPUTED_VALUE"""),"")</f>
        <v/>
      </c>
      <c r="V582" s="36" t="str">
        <f ca="1">IFERROR(__xludf.DUMMYFUNCTION("""COMPUTED_VALUE"""),"")</f>
        <v/>
      </c>
      <c r="W582" s="36" t="str">
        <f ca="1">IFERROR(__xludf.DUMMYFUNCTION("""COMPUTED_VALUE"""),"")</f>
        <v/>
      </c>
      <c r="X582" s="36"/>
      <c r="Y582" s="36"/>
      <c r="Z582" s="36"/>
    </row>
    <row r="583" spans="1:26" ht="12.75" hidden="1">
      <c r="A583" s="36" t="str">
        <f ca="1">IFERROR(__xludf.DUMMYFUNCTION("""COMPUTED_VALUE"""),"")</f>
        <v/>
      </c>
      <c r="B583" s="36" t="str">
        <f ca="1">IFERROR(__xludf.DUMMYFUNCTION("""COMPUTED_VALUE"""),"")</f>
        <v/>
      </c>
      <c r="C583" s="36" t="str">
        <f ca="1">IFERROR(__xludf.DUMMYFUNCTION("""COMPUTED_VALUE"""),"")</f>
        <v/>
      </c>
      <c r="D583" s="36" t="str">
        <f ca="1">IFERROR(__xludf.DUMMYFUNCTION("""COMPUTED_VALUE"""),"")</f>
        <v/>
      </c>
      <c r="E583" s="36" t="str">
        <f ca="1">IFERROR(__xludf.DUMMYFUNCTION("""COMPUTED_VALUE"""),"")</f>
        <v/>
      </c>
      <c r="F583" s="36" t="str">
        <f ca="1">IFERROR(__xludf.DUMMYFUNCTION("""COMPUTED_VALUE"""),"")</f>
        <v/>
      </c>
      <c r="G583" s="36" t="str">
        <f ca="1">IFERROR(__xludf.DUMMYFUNCTION("""COMPUTED_VALUE"""),"")</f>
        <v/>
      </c>
      <c r="H583" s="36" t="str">
        <f ca="1">IFERROR(__xludf.DUMMYFUNCTION("""COMPUTED_VALUE"""),"")</f>
        <v/>
      </c>
      <c r="I583" s="36" t="str">
        <f ca="1">IFERROR(__xludf.DUMMYFUNCTION("""COMPUTED_VALUE"""),"")</f>
        <v/>
      </c>
      <c r="J583" s="36" t="str">
        <f ca="1">IFERROR(__xludf.DUMMYFUNCTION("""COMPUTED_VALUE"""),"")</f>
        <v/>
      </c>
      <c r="K583" s="36" t="str">
        <f ca="1">IFERROR(__xludf.DUMMYFUNCTION("""COMPUTED_VALUE"""),"")</f>
        <v/>
      </c>
      <c r="L583" s="36" t="str">
        <f ca="1">IFERROR(__xludf.DUMMYFUNCTION("""COMPUTED_VALUE"""),"")</f>
        <v/>
      </c>
      <c r="M583" s="36" t="str">
        <f ca="1">IFERROR(__xludf.DUMMYFUNCTION("""COMPUTED_VALUE"""),"")</f>
        <v/>
      </c>
      <c r="N583" s="36" t="str">
        <f ca="1">IFERROR(__xludf.DUMMYFUNCTION("""COMPUTED_VALUE"""),"")</f>
        <v/>
      </c>
      <c r="O583" s="36" t="str">
        <f ca="1">IFERROR(__xludf.DUMMYFUNCTION("""COMPUTED_VALUE"""),"")</f>
        <v/>
      </c>
      <c r="P583" s="36" t="str">
        <f ca="1">IFERROR(__xludf.DUMMYFUNCTION("""COMPUTED_VALUE"""),"")</f>
        <v/>
      </c>
      <c r="Q583" s="36" t="str">
        <f ca="1">IFERROR(__xludf.DUMMYFUNCTION("""COMPUTED_VALUE"""),"")</f>
        <v/>
      </c>
      <c r="R583" s="36" t="str">
        <f ca="1">IFERROR(__xludf.DUMMYFUNCTION("""COMPUTED_VALUE"""),"")</f>
        <v/>
      </c>
      <c r="S583" s="36" t="str">
        <f ca="1">IFERROR(__xludf.DUMMYFUNCTION("""COMPUTED_VALUE"""),"")</f>
        <v/>
      </c>
      <c r="T583" s="36" t="str">
        <f ca="1">IFERROR(__xludf.DUMMYFUNCTION("""COMPUTED_VALUE"""),"")</f>
        <v/>
      </c>
      <c r="U583" s="36" t="str">
        <f ca="1">IFERROR(__xludf.DUMMYFUNCTION("""COMPUTED_VALUE"""),"")</f>
        <v/>
      </c>
      <c r="V583" s="36" t="str">
        <f ca="1">IFERROR(__xludf.DUMMYFUNCTION("""COMPUTED_VALUE"""),"")</f>
        <v/>
      </c>
      <c r="W583" s="36" t="str">
        <f ca="1">IFERROR(__xludf.DUMMYFUNCTION("""COMPUTED_VALUE"""),"")</f>
        <v/>
      </c>
      <c r="X583" s="36"/>
      <c r="Y583" s="36"/>
      <c r="Z583" s="36"/>
    </row>
    <row r="584" spans="1:26" ht="12.75" hidden="1">
      <c r="A584" s="36" t="str">
        <f ca="1">IFERROR(__xludf.DUMMYFUNCTION("""COMPUTED_VALUE"""),"")</f>
        <v/>
      </c>
      <c r="B584" s="36" t="str">
        <f ca="1">IFERROR(__xludf.DUMMYFUNCTION("""COMPUTED_VALUE"""),"")</f>
        <v/>
      </c>
      <c r="C584" s="36" t="str">
        <f ca="1">IFERROR(__xludf.DUMMYFUNCTION("""COMPUTED_VALUE"""),"")</f>
        <v/>
      </c>
      <c r="D584" s="36" t="str">
        <f ca="1">IFERROR(__xludf.DUMMYFUNCTION("""COMPUTED_VALUE"""),"")</f>
        <v/>
      </c>
      <c r="E584" s="36" t="str">
        <f ca="1">IFERROR(__xludf.DUMMYFUNCTION("""COMPUTED_VALUE"""),"")</f>
        <v/>
      </c>
      <c r="F584" s="36" t="str">
        <f ca="1">IFERROR(__xludf.DUMMYFUNCTION("""COMPUTED_VALUE"""),"")</f>
        <v/>
      </c>
      <c r="G584" s="36" t="str">
        <f ca="1">IFERROR(__xludf.DUMMYFUNCTION("""COMPUTED_VALUE"""),"")</f>
        <v/>
      </c>
      <c r="H584" s="36" t="str">
        <f ca="1">IFERROR(__xludf.DUMMYFUNCTION("""COMPUTED_VALUE"""),"")</f>
        <v/>
      </c>
      <c r="I584" s="36" t="str">
        <f ca="1">IFERROR(__xludf.DUMMYFUNCTION("""COMPUTED_VALUE"""),"")</f>
        <v/>
      </c>
      <c r="J584" s="36" t="str">
        <f ca="1">IFERROR(__xludf.DUMMYFUNCTION("""COMPUTED_VALUE"""),"")</f>
        <v/>
      </c>
      <c r="K584" s="36" t="str">
        <f ca="1">IFERROR(__xludf.DUMMYFUNCTION("""COMPUTED_VALUE"""),"")</f>
        <v/>
      </c>
      <c r="L584" s="36" t="str">
        <f ca="1">IFERROR(__xludf.DUMMYFUNCTION("""COMPUTED_VALUE"""),"")</f>
        <v/>
      </c>
      <c r="M584" s="36" t="str">
        <f ca="1">IFERROR(__xludf.DUMMYFUNCTION("""COMPUTED_VALUE"""),"")</f>
        <v/>
      </c>
      <c r="N584" s="36" t="str">
        <f ca="1">IFERROR(__xludf.DUMMYFUNCTION("""COMPUTED_VALUE"""),"")</f>
        <v/>
      </c>
      <c r="O584" s="36" t="str">
        <f ca="1">IFERROR(__xludf.DUMMYFUNCTION("""COMPUTED_VALUE"""),"")</f>
        <v/>
      </c>
      <c r="P584" s="36" t="str">
        <f ca="1">IFERROR(__xludf.DUMMYFUNCTION("""COMPUTED_VALUE"""),"")</f>
        <v/>
      </c>
      <c r="Q584" s="36" t="str">
        <f ca="1">IFERROR(__xludf.DUMMYFUNCTION("""COMPUTED_VALUE"""),"")</f>
        <v/>
      </c>
      <c r="R584" s="36" t="str">
        <f ca="1">IFERROR(__xludf.DUMMYFUNCTION("""COMPUTED_VALUE"""),"")</f>
        <v/>
      </c>
      <c r="S584" s="36" t="str">
        <f ca="1">IFERROR(__xludf.DUMMYFUNCTION("""COMPUTED_VALUE"""),"")</f>
        <v/>
      </c>
      <c r="T584" s="36" t="str">
        <f ca="1">IFERROR(__xludf.DUMMYFUNCTION("""COMPUTED_VALUE"""),"")</f>
        <v/>
      </c>
      <c r="U584" s="36" t="str">
        <f ca="1">IFERROR(__xludf.DUMMYFUNCTION("""COMPUTED_VALUE"""),"")</f>
        <v/>
      </c>
      <c r="V584" s="36" t="str">
        <f ca="1">IFERROR(__xludf.DUMMYFUNCTION("""COMPUTED_VALUE"""),"")</f>
        <v/>
      </c>
      <c r="W584" s="36" t="str">
        <f ca="1">IFERROR(__xludf.DUMMYFUNCTION("""COMPUTED_VALUE"""),"")</f>
        <v/>
      </c>
      <c r="X584" s="36"/>
      <c r="Y584" s="36"/>
      <c r="Z584" s="36"/>
    </row>
    <row r="585" spans="1:26" ht="12.75" hidden="1">
      <c r="A585" s="36" t="str">
        <f ca="1">IFERROR(__xludf.DUMMYFUNCTION("""COMPUTED_VALUE"""),"")</f>
        <v/>
      </c>
      <c r="B585" s="36" t="str">
        <f ca="1">IFERROR(__xludf.DUMMYFUNCTION("""COMPUTED_VALUE"""),"")</f>
        <v/>
      </c>
      <c r="C585" s="36" t="str">
        <f ca="1">IFERROR(__xludf.DUMMYFUNCTION("""COMPUTED_VALUE"""),"")</f>
        <v/>
      </c>
      <c r="D585" s="36" t="str">
        <f ca="1">IFERROR(__xludf.DUMMYFUNCTION("""COMPUTED_VALUE"""),"")</f>
        <v/>
      </c>
      <c r="E585" s="36" t="str">
        <f ca="1">IFERROR(__xludf.DUMMYFUNCTION("""COMPUTED_VALUE"""),"")</f>
        <v/>
      </c>
      <c r="F585" s="36" t="str">
        <f ca="1">IFERROR(__xludf.DUMMYFUNCTION("""COMPUTED_VALUE"""),"")</f>
        <v/>
      </c>
      <c r="G585" s="36" t="str">
        <f ca="1">IFERROR(__xludf.DUMMYFUNCTION("""COMPUTED_VALUE"""),"")</f>
        <v/>
      </c>
      <c r="H585" s="36" t="str">
        <f ca="1">IFERROR(__xludf.DUMMYFUNCTION("""COMPUTED_VALUE"""),"")</f>
        <v/>
      </c>
      <c r="I585" s="36" t="str">
        <f ca="1">IFERROR(__xludf.DUMMYFUNCTION("""COMPUTED_VALUE"""),"")</f>
        <v/>
      </c>
      <c r="J585" s="36" t="str">
        <f ca="1">IFERROR(__xludf.DUMMYFUNCTION("""COMPUTED_VALUE"""),"")</f>
        <v/>
      </c>
      <c r="K585" s="36" t="str">
        <f ca="1">IFERROR(__xludf.DUMMYFUNCTION("""COMPUTED_VALUE"""),"")</f>
        <v/>
      </c>
      <c r="L585" s="36" t="str">
        <f ca="1">IFERROR(__xludf.DUMMYFUNCTION("""COMPUTED_VALUE"""),"")</f>
        <v/>
      </c>
      <c r="M585" s="36" t="str">
        <f ca="1">IFERROR(__xludf.DUMMYFUNCTION("""COMPUTED_VALUE"""),"")</f>
        <v/>
      </c>
      <c r="N585" s="36" t="str">
        <f ca="1">IFERROR(__xludf.DUMMYFUNCTION("""COMPUTED_VALUE"""),"")</f>
        <v/>
      </c>
      <c r="O585" s="36" t="str">
        <f ca="1">IFERROR(__xludf.DUMMYFUNCTION("""COMPUTED_VALUE"""),"")</f>
        <v/>
      </c>
      <c r="P585" s="36" t="str">
        <f ca="1">IFERROR(__xludf.DUMMYFUNCTION("""COMPUTED_VALUE"""),"")</f>
        <v/>
      </c>
      <c r="Q585" s="36" t="str">
        <f ca="1">IFERROR(__xludf.DUMMYFUNCTION("""COMPUTED_VALUE"""),"")</f>
        <v/>
      </c>
      <c r="R585" s="36" t="str">
        <f ca="1">IFERROR(__xludf.DUMMYFUNCTION("""COMPUTED_VALUE"""),"")</f>
        <v/>
      </c>
      <c r="S585" s="36" t="str">
        <f ca="1">IFERROR(__xludf.DUMMYFUNCTION("""COMPUTED_VALUE"""),"")</f>
        <v/>
      </c>
      <c r="T585" s="36" t="str">
        <f ca="1">IFERROR(__xludf.DUMMYFUNCTION("""COMPUTED_VALUE"""),"")</f>
        <v/>
      </c>
      <c r="U585" s="36" t="str">
        <f ca="1">IFERROR(__xludf.DUMMYFUNCTION("""COMPUTED_VALUE"""),"")</f>
        <v/>
      </c>
      <c r="V585" s="36" t="str">
        <f ca="1">IFERROR(__xludf.DUMMYFUNCTION("""COMPUTED_VALUE"""),"")</f>
        <v/>
      </c>
      <c r="W585" s="36" t="str">
        <f ca="1">IFERROR(__xludf.DUMMYFUNCTION("""COMPUTED_VALUE"""),"")</f>
        <v/>
      </c>
      <c r="X585" s="36"/>
      <c r="Y585" s="36"/>
      <c r="Z585" s="36"/>
    </row>
    <row r="586" spans="1:26" ht="12.75" hidden="1">
      <c r="A586" s="36" t="str">
        <f ca="1">IFERROR(__xludf.DUMMYFUNCTION("""COMPUTED_VALUE"""),"")</f>
        <v/>
      </c>
      <c r="B586" s="36" t="str">
        <f ca="1">IFERROR(__xludf.DUMMYFUNCTION("""COMPUTED_VALUE"""),"")</f>
        <v/>
      </c>
      <c r="C586" s="36" t="str">
        <f ca="1">IFERROR(__xludf.DUMMYFUNCTION("""COMPUTED_VALUE"""),"")</f>
        <v/>
      </c>
      <c r="D586" s="36" t="str">
        <f ca="1">IFERROR(__xludf.DUMMYFUNCTION("""COMPUTED_VALUE"""),"")</f>
        <v/>
      </c>
      <c r="E586" s="36" t="str">
        <f ca="1">IFERROR(__xludf.DUMMYFUNCTION("""COMPUTED_VALUE"""),"")</f>
        <v/>
      </c>
      <c r="F586" s="36" t="str">
        <f ca="1">IFERROR(__xludf.DUMMYFUNCTION("""COMPUTED_VALUE"""),"")</f>
        <v/>
      </c>
      <c r="G586" s="36" t="str">
        <f ca="1">IFERROR(__xludf.DUMMYFUNCTION("""COMPUTED_VALUE"""),"")</f>
        <v/>
      </c>
      <c r="H586" s="36" t="str">
        <f ca="1">IFERROR(__xludf.DUMMYFUNCTION("""COMPUTED_VALUE"""),"")</f>
        <v/>
      </c>
      <c r="I586" s="36" t="str">
        <f ca="1">IFERROR(__xludf.DUMMYFUNCTION("""COMPUTED_VALUE"""),"")</f>
        <v/>
      </c>
      <c r="J586" s="36" t="str">
        <f ca="1">IFERROR(__xludf.DUMMYFUNCTION("""COMPUTED_VALUE"""),"")</f>
        <v/>
      </c>
      <c r="K586" s="36" t="str">
        <f ca="1">IFERROR(__xludf.DUMMYFUNCTION("""COMPUTED_VALUE"""),"")</f>
        <v/>
      </c>
      <c r="L586" s="36" t="str">
        <f ca="1">IFERROR(__xludf.DUMMYFUNCTION("""COMPUTED_VALUE"""),"")</f>
        <v/>
      </c>
      <c r="M586" s="36" t="str">
        <f ca="1">IFERROR(__xludf.DUMMYFUNCTION("""COMPUTED_VALUE"""),"")</f>
        <v/>
      </c>
      <c r="N586" s="36" t="str">
        <f ca="1">IFERROR(__xludf.DUMMYFUNCTION("""COMPUTED_VALUE"""),"")</f>
        <v/>
      </c>
      <c r="O586" s="36" t="str">
        <f ca="1">IFERROR(__xludf.DUMMYFUNCTION("""COMPUTED_VALUE"""),"")</f>
        <v/>
      </c>
      <c r="P586" s="36" t="str">
        <f ca="1">IFERROR(__xludf.DUMMYFUNCTION("""COMPUTED_VALUE"""),"")</f>
        <v/>
      </c>
      <c r="Q586" s="36" t="str">
        <f ca="1">IFERROR(__xludf.DUMMYFUNCTION("""COMPUTED_VALUE"""),"")</f>
        <v/>
      </c>
      <c r="R586" s="36" t="str">
        <f ca="1">IFERROR(__xludf.DUMMYFUNCTION("""COMPUTED_VALUE"""),"")</f>
        <v/>
      </c>
      <c r="S586" s="36" t="str">
        <f ca="1">IFERROR(__xludf.DUMMYFUNCTION("""COMPUTED_VALUE"""),"")</f>
        <v/>
      </c>
      <c r="T586" s="36" t="str">
        <f ca="1">IFERROR(__xludf.DUMMYFUNCTION("""COMPUTED_VALUE"""),"")</f>
        <v/>
      </c>
      <c r="U586" s="36" t="str">
        <f ca="1">IFERROR(__xludf.DUMMYFUNCTION("""COMPUTED_VALUE"""),"")</f>
        <v/>
      </c>
      <c r="V586" s="36" t="str">
        <f ca="1">IFERROR(__xludf.DUMMYFUNCTION("""COMPUTED_VALUE"""),"")</f>
        <v/>
      </c>
      <c r="W586" s="36" t="str">
        <f ca="1">IFERROR(__xludf.DUMMYFUNCTION("""COMPUTED_VALUE"""),"")</f>
        <v/>
      </c>
      <c r="X586" s="36"/>
      <c r="Y586" s="36"/>
      <c r="Z586" s="36"/>
    </row>
    <row r="587" spans="1:26" ht="12.75" hidden="1">
      <c r="A587" s="36" t="str">
        <f ca="1">IFERROR(__xludf.DUMMYFUNCTION("""COMPUTED_VALUE"""),"")</f>
        <v/>
      </c>
      <c r="B587" s="36" t="str">
        <f ca="1">IFERROR(__xludf.DUMMYFUNCTION("""COMPUTED_VALUE"""),"")</f>
        <v/>
      </c>
      <c r="C587" s="36" t="str">
        <f ca="1">IFERROR(__xludf.DUMMYFUNCTION("""COMPUTED_VALUE"""),"")</f>
        <v/>
      </c>
      <c r="D587" s="36" t="str">
        <f ca="1">IFERROR(__xludf.DUMMYFUNCTION("""COMPUTED_VALUE"""),"")</f>
        <v/>
      </c>
      <c r="E587" s="36" t="str">
        <f ca="1">IFERROR(__xludf.DUMMYFUNCTION("""COMPUTED_VALUE"""),"")</f>
        <v/>
      </c>
      <c r="F587" s="36" t="str">
        <f ca="1">IFERROR(__xludf.DUMMYFUNCTION("""COMPUTED_VALUE"""),"")</f>
        <v/>
      </c>
      <c r="G587" s="36" t="str">
        <f ca="1">IFERROR(__xludf.DUMMYFUNCTION("""COMPUTED_VALUE"""),"")</f>
        <v/>
      </c>
      <c r="H587" s="36" t="str">
        <f ca="1">IFERROR(__xludf.DUMMYFUNCTION("""COMPUTED_VALUE"""),"")</f>
        <v/>
      </c>
      <c r="I587" s="36" t="str">
        <f ca="1">IFERROR(__xludf.DUMMYFUNCTION("""COMPUTED_VALUE"""),"")</f>
        <v/>
      </c>
      <c r="J587" s="36" t="str">
        <f ca="1">IFERROR(__xludf.DUMMYFUNCTION("""COMPUTED_VALUE"""),"")</f>
        <v/>
      </c>
      <c r="K587" s="36" t="str">
        <f ca="1">IFERROR(__xludf.DUMMYFUNCTION("""COMPUTED_VALUE"""),"")</f>
        <v/>
      </c>
      <c r="L587" s="36" t="str">
        <f ca="1">IFERROR(__xludf.DUMMYFUNCTION("""COMPUTED_VALUE"""),"")</f>
        <v/>
      </c>
      <c r="M587" s="36" t="str">
        <f ca="1">IFERROR(__xludf.DUMMYFUNCTION("""COMPUTED_VALUE"""),"")</f>
        <v/>
      </c>
      <c r="N587" s="36" t="str">
        <f ca="1">IFERROR(__xludf.DUMMYFUNCTION("""COMPUTED_VALUE"""),"")</f>
        <v/>
      </c>
      <c r="O587" s="36" t="str">
        <f ca="1">IFERROR(__xludf.DUMMYFUNCTION("""COMPUTED_VALUE"""),"")</f>
        <v/>
      </c>
      <c r="P587" s="36" t="str">
        <f ca="1">IFERROR(__xludf.DUMMYFUNCTION("""COMPUTED_VALUE"""),"")</f>
        <v/>
      </c>
      <c r="Q587" s="36" t="str">
        <f ca="1">IFERROR(__xludf.DUMMYFUNCTION("""COMPUTED_VALUE"""),"")</f>
        <v/>
      </c>
      <c r="R587" s="36" t="str">
        <f ca="1">IFERROR(__xludf.DUMMYFUNCTION("""COMPUTED_VALUE"""),"")</f>
        <v/>
      </c>
      <c r="S587" s="36" t="str">
        <f ca="1">IFERROR(__xludf.DUMMYFUNCTION("""COMPUTED_VALUE"""),"")</f>
        <v/>
      </c>
      <c r="T587" s="36" t="str">
        <f ca="1">IFERROR(__xludf.DUMMYFUNCTION("""COMPUTED_VALUE"""),"")</f>
        <v/>
      </c>
      <c r="U587" s="36" t="str">
        <f ca="1">IFERROR(__xludf.DUMMYFUNCTION("""COMPUTED_VALUE"""),"")</f>
        <v/>
      </c>
      <c r="V587" s="36" t="str">
        <f ca="1">IFERROR(__xludf.DUMMYFUNCTION("""COMPUTED_VALUE"""),"")</f>
        <v/>
      </c>
      <c r="W587" s="36" t="str">
        <f ca="1">IFERROR(__xludf.DUMMYFUNCTION("""COMPUTED_VALUE"""),"")</f>
        <v/>
      </c>
      <c r="X587" s="36"/>
      <c r="Y587" s="36"/>
      <c r="Z587" s="36"/>
    </row>
    <row r="588" spans="1:26" ht="12.75" hidden="1">
      <c r="A588" s="36" t="str">
        <f ca="1">IFERROR(__xludf.DUMMYFUNCTION("""COMPUTED_VALUE"""),"")</f>
        <v/>
      </c>
      <c r="B588" s="36" t="str">
        <f ca="1">IFERROR(__xludf.DUMMYFUNCTION("""COMPUTED_VALUE"""),"")</f>
        <v/>
      </c>
      <c r="C588" s="36" t="str">
        <f ca="1">IFERROR(__xludf.DUMMYFUNCTION("""COMPUTED_VALUE"""),"")</f>
        <v/>
      </c>
      <c r="D588" s="36" t="str">
        <f ca="1">IFERROR(__xludf.DUMMYFUNCTION("""COMPUTED_VALUE"""),"")</f>
        <v/>
      </c>
      <c r="E588" s="36" t="str">
        <f ca="1">IFERROR(__xludf.DUMMYFUNCTION("""COMPUTED_VALUE"""),"")</f>
        <v/>
      </c>
      <c r="F588" s="36" t="str">
        <f ca="1">IFERROR(__xludf.DUMMYFUNCTION("""COMPUTED_VALUE"""),"")</f>
        <v/>
      </c>
      <c r="G588" s="36" t="str">
        <f ca="1">IFERROR(__xludf.DUMMYFUNCTION("""COMPUTED_VALUE"""),"")</f>
        <v/>
      </c>
      <c r="H588" s="36" t="str">
        <f ca="1">IFERROR(__xludf.DUMMYFUNCTION("""COMPUTED_VALUE"""),"")</f>
        <v/>
      </c>
      <c r="I588" s="36" t="str">
        <f ca="1">IFERROR(__xludf.DUMMYFUNCTION("""COMPUTED_VALUE"""),"")</f>
        <v/>
      </c>
      <c r="J588" s="36" t="str">
        <f ca="1">IFERROR(__xludf.DUMMYFUNCTION("""COMPUTED_VALUE"""),"")</f>
        <v/>
      </c>
      <c r="K588" s="36" t="str">
        <f ca="1">IFERROR(__xludf.DUMMYFUNCTION("""COMPUTED_VALUE"""),"")</f>
        <v/>
      </c>
      <c r="L588" s="36" t="str">
        <f ca="1">IFERROR(__xludf.DUMMYFUNCTION("""COMPUTED_VALUE"""),"")</f>
        <v/>
      </c>
      <c r="M588" s="36" t="str">
        <f ca="1">IFERROR(__xludf.DUMMYFUNCTION("""COMPUTED_VALUE"""),"")</f>
        <v/>
      </c>
      <c r="N588" s="36" t="str">
        <f ca="1">IFERROR(__xludf.DUMMYFUNCTION("""COMPUTED_VALUE"""),"")</f>
        <v/>
      </c>
      <c r="O588" s="36" t="str">
        <f ca="1">IFERROR(__xludf.DUMMYFUNCTION("""COMPUTED_VALUE"""),"")</f>
        <v/>
      </c>
      <c r="P588" s="36" t="str">
        <f ca="1">IFERROR(__xludf.DUMMYFUNCTION("""COMPUTED_VALUE"""),"")</f>
        <v/>
      </c>
      <c r="Q588" s="36" t="str">
        <f ca="1">IFERROR(__xludf.DUMMYFUNCTION("""COMPUTED_VALUE"""),"")</f>
        <v/>
      </c>
      <c r="R588" s="36" t="str">
        <f ca="1">IFERROR(__xludf.DUMMYFUNCTION("""COMPUTED_VALUE"""),"")</f>
        <v/>
      </c>
      <c r="S588" s="36" t="str">
        <f ca="1">IFERROR(__xludf.DUMMYFUNCTION("""COMPUTED_VALUE"""),"")</f>
        <v/>
      </c>
      <c r="T588" s="36" t="str">
        <f ca="1">IFERROR(__xludf.DUMMYFUNCTION("""COMPUTED_VALUE"""),"")</f>
        <v/>
      </c>
      <c r="U588" s="36" t="str">
        <f ca="1">IFERROR(__xludf.DUMMYFUNCTION("""COMPUTED_VALUE"""),"")</f>
        <v/>
      </c>
      <c r="V588" s="36" t="str">
        <f ca="1">IFERROR(__xludf.DUMMYFUNCTION("""COMPUTED_VALUE"""),"")</f>
        <v/>
      </c>
      <c r="W588" s="36" t="str">
        <f ca="1">IFERROR(__xludf.DUMMYFUNCTION("""COMPUTED_VALUE"""),"")</f>
        <v/>
      </c>
      <c r="X588" s="36"/>
      <c r="Y588" s="36"/>
      <c r="Z588" s="36"/>
    </row>
    <row r="589" spans="1:26" ht="12.75" hidden="1">
      <c r="A589" s="36" t="str">
        <f ca="1">IFERROR(__xludf.DUMMYFUNCTION("""COMPUTED_VALUE"""),"")</f>
        <v/>
      </c>
      <c r="B589" s="36" t="str">
        <f ca="1">IFERROR(__xludf.DUMMYFUNCTION("""COMPUTED_VALUE"""),"")</f>
        <v/>
      </c>
      <c r="C589" s="36" t="str">
        <f ca="1">IFERROR(__xludf.DUMMYFUNCTION("""COMPUTED_VALUE"""),"")</f>
        <v/>
      </c>
      <c r="D589" s="36" t="str">
        <f ca="1">IFERROR(__xludf.DUMMYFUNCTION("""COMPUTED_VALUE"""),"")</f>
        <v/>
      </c>
      <c r="E589" s="36" t="str">
        <f ca="1">IFERROR(__xludf.DUMMYFUNCTION("""COMPUTED_VALUE"""),"")</f>
        <v/>
      </c>
      <c r="F589" s="36" t="str">
        <f ca="1">IFERROR(__xludf.DUMMYFUNCTION("""COMPUTED_VALUE"""),"")</f>
        <v/>
      </c>
      <c r="G589" s="36" t="str">
        <f ca="1">IFERROR(__xludf.DUMMYFUNCTION("""COMPUTED_VALUE"""),"")</f>
        <v/>
      </c>
      <c r="H589" s="36" t="str">
        <f ca="1">IFERROR(__xludf.DUMMYFUNCTION("""COMPUTED_VALUE"""),"")</f>
        <v/>
      </c>
      <c r="I589" s="36" t="str">
        <f ca="1">IFERROR(__xludf.DUMMYFUNCTION("""COMPUTED_VALUE"""),"")</f>
        <v/>
      </c>
      <c r="J589" s="36" t="str">
        <f ca="1">IFERROR(__xludf.DUMMYFUNCTION("""COMPUTED_VALUE"""),"")</f>
        <v/>
      </c>
      <c r="K589" s="36" t="str">
        <f ca="1">IFERROR(__xludf.DUMMYFUNCTION("""COMPUTED_VALUE"""),"")</f>
        <v/>
      </c>
      <c r="L589" s="36" t="str">
        <f ca="1">IFERROR(__xludf.DUMMYFUNCTION("""COMPUTED_VALUE"""),"")</f>
        <v/>
      </c>
      <c r="M589" s="36" t="str">
        <f ca="1">IFERROR(__xludf.DUMMYFUNCTION("""COMPUTED_VALUE"""),"")</f>
        <v/>
      </c>
      <c r="N589" s="36" t="str">
        <f ca="1">IFERROR(__xludf.DUMMYFUNCTION("""COMPUTED_VALUE"""),"")</f>
        <v/>
      </c>
      <c r="O589" s="36" t="str">
        <f ca="1">IFERROR(__xludf.DUMMYFUNCTION("""COMPUTED_VALUE"""),"")</f>
        <v/>
      </c>
      <c r="P589" s="36" t="str">
        <f ca="1">IFERROR(__xludf.DUMMYFUNCTION("""COMPUTED_VALUE"""),"")</f>
        <v/>
      </c>
      <c r="Q589" s="36" t="str">
        <f ca="1">IFERROR(__xludf.DUMMYFUNCTION("""COMPUTED_VALUE"""),"")</f>
        <v/>
      </c>
      <c r="R589" s="36" t="str">
        <f ca="1">IFERROR(__xludf.DUMMYFUNCTION("""COMPUTED_VALUE"""),"")</f>
        <v/>
      </c>
      <c r="S589" s="36" t="str">
        <f ca="1">IFERROR(__xludf.DUMMYFUNCTION("""COMPUTED_VALUE"""),"")</f>
        <v/>
      </c>
      <c r="T589" s="36" t="str">
        <f ca="1">IFERROR(__xludf.DUMMYFUNCTION("""COMPUTED_VALUE"""),"")</f>
        <v/>
      </c>
      <c r="U589" s="36" t="str">
        <f ca="1">IFERROR(__xludf.DUMMYFUNCTION("""COMPUTED_VALUE"""),"")</f>
        <v/>
      </c>
      <c r="V589" s="36" t="str">
        <f ca="1">IFERROR(__xludf.DUMMYFUNCTION("""COMPUTED_VALUE"""),"")</f>
        <v/>
      </c>
      <c r="W589" s="36" t="str">
        <f ca="1">IFERROR(__xludf.DUMMYFUNCTION("""COMPUTED_VALUE"""),"")</f>
        <v/>
      </c>
      <c r="X589" s="36"/>
      <c r="Y589" s="36"/>
      <c r="Z589" s="36"/>
    </row>
    <row r="590" spans="1:26" ht="12.75" hidden="1">
      <c r="A590" s="36" t="str">
        <f ca="1">IFERROR(__xludf.DUMMYFUNCTION("""COMPUTED_VALUE"""),"")</f>
        <v/>
      </c>
      <c r="B590" s="36" t="str">
        <f ca="1">IFERROR(__xludf.DUMMYFUNCTION("""COMPUTED_VALUE"""),"")</f>
        <v/>
      </c>
      <c r="C590" s="36" t="str">
        <f ca="1">IFERROR(__xludf.DUMMYFUNCTION("""COMPUTED_VALUE"""),"")</f>
        <v/>
      </c>
      <c r="D590" s="36" t="str">
        <f ca="1">IFERROR(__xludf.DUMMYFUNCTION("""COMPUTED_VALUE"""),"")</f>
        <v/>
      </c>
      <c r="E590" s="36" t="str">
        <f ca="1">IFERROR(__xludf.DUMMYFUNCTION("""COMPUTED_VALUE"""),"")</f>
        <v/>
      </c>
      <c r="F590" s="36" t="str">
        <f ca="1">IFERROR(__xludf.DUMMYFUNCTION("""COMPUTED_VALUE"""),"")</f>
        <v/>
      </c>
      <c r="G590" s="36" t="str">
        <f ca="1">IFERROR(__xludf.DUMMYFUNCTION("""COMPUTED_VALUE"""),"")</f>
        <v/>
      </c>
      <c r="H590" s="36" t="str">
        <f ca="1">IFERROR(__xludf.DUMMYFUNCTION("""COMPUTED_VALUE"""),"")</f>
        <v/>
      </c>
      <c r="I590" s="36" t="str">
        <f ca="1">IFERROR(__xludf.DUMMYFUNCTION("""COMPUTED_VALUE"""),"")</f>
        <v/>
      </c>
      <c r="J590" s="36" t="str">
        <f ca="1">IFERROR(__xludf.DUMMYFUNCTION("""COMPUTED_VALUE"""),"")</f>
        <v/>
      </c>
      <c r="K590" s="36" t="str">
        <f ca="1">IFERROR(__xludf.DUMMYFUNCTION("""COMPUTED_VALUE"""),"")</f>
        <v/>
      </c>
      <c r="L590" s="36" t="str">
        <f ca="1">IFERROR(__xludf.DUMMYFUNCTION("""COMPUTED_VALUE"""),"")</f>
        <v/>
      </c>
      <c r="M590" s="36" t="str">
        <f ca="1">IFERROR(__xludf.DUMMYFUNCTION("""COMPUTED_VALUE"""),"")</f>
        <v/>
      </c>
      <c r="N590" s="36" t="str">
        <f ca="1">IFERROR(__xludf.DUMMYFUNCTION("""COMPUTED_VALUE"""),"")</f>
        <v/>
      </c>
      <c r="O590" s="36" t="str">
        <f ca="1">IFERROR(__xludf.DUMMYFUNCTION("""COMPUTED_VALUE"""),"")</f>
        <v/>
      </c>
      <c r="P590" s="36" t="str">
        <f ca="1">IFERROR(__xludf.DUMMYFUNCTION("""COMPUTED_VALUE"""),"")</f>
        <v/>
      </c>
      <c r="Q590" s="36" t="str">
        <f ca="1">IFERROR(__xludf.DUMMYFUNCTION("""COMPUTED_VALUE"""),"")</f>
        <v/>
      </c>
      <c r="R590" s="36" t="str">
        <f ca="1">IFERROR(__xludf.DUMMYFUNCTION("""COMPUTED_VALUE"""),"")</f>
        <v/>
      </c>
      <c r="S590" s="36" t="str">
        <f ca="1">IFERROR(__xludf.DUMMYFUNCTION("""COMPUTED_VALUE"""),"")</f>
        <v/>
      </c>
      <c r="T590" s="36" t="str">
        <f ca="1">IFERROR(__xludf.DUMMYFUNCTION("""COMPUTED_VALUE"""),"")</f>
        <v/>
      </c>
      <c r="U590" s="36" t="str">
        <f ca="1">IFERROR(__xludf.DUMMYFUNCTION("""COMPUTED_VALUE"""),"")</f>
        <v/>
      </c>
      <c r="V590" s="36" t="str">
        <f ca="1">IFERROR(__xludf.DUMMYFUNCTION("""COMPUTED_VALUE"""),"")</f>
        <v/>
      </c>
      <c r="W590" s="36" t="str">
        <f ca="1">IFERROR(__xludf.DUMMYFUNCTION("""COMPUTED_VALUE"""),"")</f>
        <v/>
      </c>
      <c r="X590" s="36"/>
      <c r="Y590" s="36"/>
      <c r="Z590" s="36"/>
    </row>
    <row r="591" spans="1:26" ht="12.75" hidden="1">
      <c r="A591" s="36" t="str">
        <f ca="1">IFERROR(__xludf.DUMMYFUNCTION("""COMPUTED_VALUE"""),"")</f>
        <v/>
      </c>
      <c r="B591" s="36" t="str">
        <f ca="1">IFERROR(__xludf.DUMMYFUNCTION("""COMPUTED_VALUE"""),"")</f>
        <v/>
      </c>
      <c r="C591" s="36" t="str">
        <f ca="1">IFERROR(__xludf.DUMMYFUNCTION("""COMPUTED_VALUE"""),"")</f>
        <v/>
      </c>
      <c r="D591" s="36" t="str">
        <f ca="1">IFERROR(__xludf.DUMMYFUNCTION("""COMPUTED_VALUE"""),"")</f>
        <v/>
      </c>
      <c r="E591" s="36" t="str">
        <f ca="1">IFERROR(__xludf.DUMMYFUNCTION("""COMPUTED_VALUE"""),"")</f>
        <v/>
      </c>
      <c r="F591" s="36" t="str">
        <f ca="1">IFERROR(__xludf.DUMMYFUNCTION("""COMPUTED_VALUE"""),"")</f>
        <v/>
      </c>
      <c r="G591" s="36" t="str">
        <f ca="1">IFERROR(__xludf.DUMMYFUNCTION("""COMPUTED_VALUE"""),"")</f>
        <v/>
      </c>
      <c r="H591" s="36" t="str">
        <f ca="1">IFERROR(__xludf.DUMMYFUNCTION("""COMPUTED_VALUE"""),"")</f>
        <v/>
      </c>
      <c r="I591" s="36" t="str">
        <f ca="1">IFERROR(__xludf.DUMMYFUNCTION("""COMPUTED_VALUE"""),"")</f>
        <v/>
      </c>
      <c r="J591" s="36" t="str">
        <f ca="1">IFERROR(__xludf.DUMMYFUNCTION("""COMPUTED_VALUE"""),"")</f>
        <v/>
      </c>
      <c r="K591" s="36" t="str">
        <f ca="1">IFERROR(__xludf.DUMMYFUNCTION("""COMPUTED_VALUE"""),"")</f>
        <v/>
      </c>
      <c r="L591" s="36" t="str">
        <f ca="1">IFERROR(__xludf.DUMMYFUNCTION("""COMPUTED_VALUE"""),"")</f>
        <v/>
      </c>
      <c r="M591" s="36" t="str">
        <f ca="1">IFERROR(__xludf.DUMMYFUNCTION("""COMPUTED_VALUE"""),"")</f>
        <v/>
      </c>
      <c r="N591" s="36" t="str">
        <f ca="1">IFERROR(__xludf.DUMMYFUNCTION("""COMPUTED_VALUE"""),"")</f>
        <v/>
      </c>
      <c r="O591" s="36" t="str">
        <f ca="1">IFERROR(__xludf.DUMMYFUNCTION("""COMPUTED_VALUE"""),"")</f>
        <v/>
      </c>
      <c r="P591" s="36" t="str">
        <f ca="1">IFERROR(__xludf.DUMMYFUNCTION("""COMPUTED_VALUE"""),"")</f>
        <v/>
      </c>
      <c r="Q591" s="36" t="str">
        <f ca="1">IFERROR(__xludf.DUMMYFUNCTION("""COMPUTED_VALUE"""),"")</f>
        <v/>
      </c>
      <c r="R591" s="36" t="str">
        <f ca="1">IFERROR(__xludf.DUMMYFUNCTION("""COMPUTED_VALUE"""),"")</f>
        <v/>
      </c>
      <c r="S591" s="36" t="str">
        <f ca="1">IFERROR(__xludf.DUMMYFUNCTION("""COMPUTED_VALUE"""),"")</f>
        <v/>
      </c>
      <c r="T591" s="36" t="str">
        <f ca="1">IFERROR(__xludf.DUMMYFUNCTION("""COMPUTED_VALUE"""),"")</f>
        <v/>
      </c>
      <c r="U591" s="36" t="str">
        <f ca="1">IFERROR(__xludf.DUMMYFUNCTION("""COMPUTED_VALUE"""),"")</f>
        <v/>
      </c>
      <c r="V591" s="36" t="str">
        <f ca="1">IFERROR(__xludf.DUMMYFUNCTION("""COMPUTED_VALUE"""),"")</f>
        <v/>
      </c>
      <c r="W591" s="36" t="str">
        <f ca="1">IFERROR(__xludf.DUMMYFUNCTION("""COMPUTED_VALUE"""),"")</f>
        <v/>
      </c>
      <c r="X591" s="36"/>
      <c r="Y591" s="36"/>
      <c r="Z591" s="36"/>
    </row>
    <row r="592" spans="1:26" ht="12.75" hidden="1">
      <c r="A592" s="36" t="str">
        <f ca="1">IFERROR(__xludf.DUMMYFUNCTION("""COMPUTED_VALUE"""),"")</f>
        <v/>
      </c>
      <c r="B592" s="36" t="str">
        <f ca="1">IFERROR(__xludf.DUMMYFUNCTION("""COMPUTED_VALUE"""),"")</f>
        <v/>
      </c>
      <c r="C592" s="36" t="str">
        <f ca="1">IFERROR(__xludf.DUMMYFUNCTION("""COMPUTED_VALUE"""),"")</f>
        <v/>
      </c>
      <c r="D592" s="36" t="str">
        <f ca="1">IFERROR(__xludf.DUMMYFUNCTION("""COMPUTED_VALUE"""),"")</f>
        <v/>
      </c>
      <c r="E592" s="36" t="str">
        <f ca="1">IFERROR(__xludf.DUMMYFUNCTION("""COMPUTED_VALUE"""),"")</f>
        <v/>
      </c>
      <c r="F592" s="36" t="str">
        <f ca="1">IFERROR(__xludf.DUMMYFUNCTION("""COMPUTED_VALUE"""),"")</f>
        <v/>
      </c>
      <c r="G592" s="36" t="str">
        <f ca="1">IFERROR(__xludf.DUMMYFUNCTION("""COMPUTED_VALUE"""),"")</f>
        <v/>
      </c>
      <c r="H592" s="36" t="str">
        <f ca="1">IFERROR(__xludf.DUMMYFUNCTION("""COMPUTED_VALUE"""),"")</f>
        <v/>
      </c>
      <c r="I592" s="36" t="str">
        <f ca="1">IFERROR(__xludf.DUMMYFUNCTION("""COMPUTED_VALUE"""),"")</f>
        <v/>
      </c>
      <c r="J592" s="36" t="str">
        <f ca="1">IFERROR(__xludf.DUMMYFUNCTION("""COMPUTED_VALUE"""),"")</f>
        <v/>
      </c>
      <c r="K592" s="36" t="str">
        <f ca="1">IFERROR(__xludf.DUMMYFUNCTION("""COMPUTED_VALUE"""),"")</f>
        <v/>
      </c>
      <c r="L592" s="36" t="str">
        <f ca="1">IFERROR(__xludf.DUMMYFUNCTION("""COMPUTED_VALUE"""),"")</f>
        <v/>
      </c>
      <c r="M592" s="36" t="str">
        <f ca="1">IFERROR(__xludf.DUMMYFUNCTION("""COMPUTED_VALUE"""),"")</f>
        <v/>
      </c>
      <c r="N592" s="36" t="str">
        <f ca="1">IFERROR(__xludf.DUMMYFUNCTION("""COMPUTED_VALUE"""),"")</f>
        <v/>
      </c>
      <c r="O592" s="36" t="str">
        <f ca="1">IFERROR(__xludf.DUMMYFUNCTION("""COMPUTED_VALUE"""),"")</f>
        <v/>
      </c>
      <c r="P592" s="36" t="str">
        <f ca="1">IFERROR(__xludf.DUMMYFUNCTION("""COMPUTED_VALUE"""),"")</f>
        <v/>
      </c>
      <c r="Q592" s="36" t="str">
        <f ca="1">IFERROR(__xludf.DUMMYFUNCTION("""COMPUTED_VALUE"""),"")</f>
        <v/>
      </c>
      <c r="R592" s="36" t="str">
        <f ca="1">IFERROR(__xludf.DUMMYFUNCTION("""COMPUTED_VALUE"""),"")</f>
        <v/>
      </c>
      <c r="S592" s="36" t="str">
        <f ca="1">IFERROR(__xludf.DUMMYFUNCTION("""COMPUTED_VALUE"""),"")</f>
        <v/>
      </c>
      <c r="T592" s="36" t="str">
        <f ca="1">IFERROR(__xludf.DUMMYFUNCTION("""COMPUTED_VALUE"""),"")</f>
        <v/>
      </c>
      <c r="U592" s="36" t="str">
        <f ca="1">IFERROR(__xludf.DUMMYFUNCTION("""COMPUTED_VALUE"""),"")</f>
        <v/>
      </c>
      <c r="V592" s="36" t="str">
        <f ca="1">IFERROR(__xludf.DUMMYFUNCTION("""COMPUTED_VALUE"""),"")</f>
        <v/>
      </c>
      <c r="W592" s="36" t="str">
        <f ca="1">IFERROR(__xludf.DUMMYFUNCTION("""COMPUTED_VALUE"""),"")</f>
        <v/>
      </c>
      <c r="X592" s="36"/>
      <c r="Y592" s="36"/>
      <c r="Z592" s="36"/>
    </row>
    <row r="593" spans="1:26" ht="12.75" hidden="1">
      <c r="A593" s="36" t="str">
        <f ca="1">IFERROR(__xludf.DUMMYFUNCTION("""COMPUTED_VALUE"""),"")</f>
        <v/>
      </c>
      <c r="B593" s="36" t="str">
        <f ca="1">IFERROR(__xludf.DUMMYFUNCTION("""COMPUTED_VALUE"""),"")</f>
        <v/>
      </c>
      <c r="C593" s="36" t="str">
        <f ca="1">IFERROR(__xludf.DUMMYFUNCTION("""COMPUTED_VALUE"""),"")</f>
        <v/>
      </c>
      <c r="D593" s="36" t="str">
        <f ca="1">IFERROR(__xludf.DUMMYFUNCTION("""COMPUTED_VALUE"""),"")</f>
        <v/>
      </c>
      <c r="E593" s="36" t="str">
        <f ca="1">IFERROR(__xludf.DUMMYFUNCTION("""COMPUTED_VALUE"""),"")</f>
        <v/>
      </c>
      <c r="F593" s="36" t="str">
        <f ca="1">IFERROR(__xludf.DUMMYFUNCTION("""COMPUTED_VALUE"""),"")</f>
        <v/>
      </c>
      <c r="G593" s="36" t="str">
        <f ca="1">IFERROR(__xludf.DUMMYFUNCTION("""COMPUTED_VALUE"""),"")</f>
        <v/>
      </c>
      <c r="H593" s="36" t="str">
        <f ca="1">IFERROR(__xludf.DUMMYFUNCTION("""COMPUTED_VALUE"""),"")</f>
        <v/>
      </c>
      <c r="I593" s="36" t="str">
        <f ca="1">IFERROR(__xludf.DUMMYFUNCTION("""COMPUTED_VALUE"""),"")</f>
        <v/>
      </c>
      <c r="J593" s="36" t="str">
        <f ca="1">IFERROR(__xludf.DUMMYFUNCTION("""COMPUTED_VALUE"""),"")</f>
        <v/>
      </c>
      <c r="K593" s="36" t="str">
        <f ca="1">IFERROR(__xludf.DUMMYFUNCTION("""COMPUTED_VALUE"""),"")</f>
        <v/>
      </c>
      <c r="L593" s="36" t="str">
        <f ca="1">IFERROR(__xludf.DUMMYFUNCTION("""COMPUTED_VALUE"""),"")</f>
        <v/>
      </c>
      <c r="M593" s="36" t="str">
        <f ca="1">IFERROR(__xludf.DUMMYFUNCTION("""COMPUTED_VALUE"""),"")</f>
        <v/>
      </c>
      <c r="N593" s="36" t="str">
        <f ca="1">IFERROR(__xludf.DUMMYFUNCTION("""COMPUTED_VALUE"""),"")</f>
        <v/>
      </c>
      <c r="O593" s="36" t="str">
        <f ca="1">IFERROR(__xludf.DUMMYFUNCTION("""COMPUTED_VALUE"""),"")</f>
        <v/>
      </c>
      <c r="P593" s="36" t="str">
        <f ca="1">IFERROR(__xludf.DUMMYFUNCTION("""COMPUTED_VALUE"""),"")</f>
        <v/>
      </c>
      <c r="Q593" s="36" t="str">
        <f ca="1">IFERROR(__xludf.DUMMYFUNCTION("""COMPUTED_VALUE"""),"")</f>
        <v/>
      </c>
      <c r="R593" s="36" t="str">
        <f ca="1">IFERROR(__xludf.DUMMYFUNCTION("""COMPUTED_VALUE"""),"")</f>
        <v/>
      </c>
      <c r="S593" s="36" t="str">
        <f ca="1">IFERROR(__xludf.DUMMYFUNCTION("""COMPUTED_VALUE"""),"")</f>
        <v/>
      </c>
      <c r="T593" s="36" t="str">
        <f ca="1">IFERROR(__xludf.DUMMYFUNCTION("""COMPUTED_VALUE"""),"")</f>
        <v/>
      </c>
      <c r="U593" s="36" t="str">
        <f ca="1">IFERROR(__xludf.DUMMYFUNCTION("""COMPUTED_VALUE"""),"")</f>
        <v/>
      </c>
      <c r="V593" s="36" t="str">
        <f ca="1">IFERROR(__xludf.DUMMYFUNCTION("""COMPUTED_VALUE"""),"")</f>
        <v/>
      </c>
      <c r="W593" s="36" t="str">
        <f ca="1">IFERROR(__xludf.DUMMYFUNCTION("""COMPUTED_VALUE"""),"")</f>
        <v/>
      </c>
      <c r="X593" s="36"/>
      <c r="Y593" s="36"/>
      <c r="Z593" s="36"/>
    </row>
    <row r="594" spans="1:26" ht="12.75" hidden="1">
      <c r="A594" s="36" t="str">
        <f ca="1">IFERROR(__xludf.DUMMYFUNCTION("""COMPUTED_VALUE"""),"")</f>
        <v/>
      </c>
      <c r="B594" s="36" t="str">
        <f ca="1">IFERROR(__xludf.DUMMYFUNCTION("""COMPUTED_VALUE"""),"")</f>
        <v/>
      </c>
      <c r="C594" s="36" t="str">
        <f ca="1">IFERROR(__xludf.DUMMYFUNCTION("""COMPUTED_VALUE"""),"")</f>
        <v/>
      </c>
      <c r="D594" s="36" t="str">
        <f ca="1">IFERROR(__xludf.DUMMYFUNCTION("""COMPUTED_VALUE"""),"")</f>
        <v/>
      </c>
      <c r="E594" s="36" t="str">
        <f ca="1">IFERROR(__xludf.DUMMYFUNCTION("""COMPUTED_VALUE"""),"")</f>
        <v/>
      </c>
      <c r="F594" s="36" t="str">
        <f ca="1">IFERROR(__xludf.DUMMYFUNCTION("""COMPUTED_VALUE"""),"")</f>
        <v/>
      </c>
      <c r="G594" s="36" t="str">
        <f ca="1">IFERROR(__xludf.DUMMYFUNCTION("""COMPUTED_VALUE"""),"")</f>
        <v/>
      </c>
      <c r="H594" s="36" t="str">
        <f ca="1">IFERROR(__xludf.DUMMYFUNCTION("""COMPUTED_VALUE"""),"")</f>
        <v/>
      </c>
      <c r="I594" s="36" t="str">
        <f ca="1">IFERROR(__xludf.DUMMYFUNCTION("""COMPUTED_VALUE"""),"")</f>
        <v/>
      </c>
      <c r="J594" s="36" t="str">
        <f ca="1">IFERROR(__xludf.DUMMYFUNCTION("""COMPUTED_VALUE"""),"")</f>
        <v/>
      </c>
      <c r="K594" s="36" t="str">
        <f ca="1">IFERROR(__xludf.DUMMYFUNCTION("""COMPUTED_VALUE"""),"")</f>
        <v/>
      </c>
      <c r="L594" s="36" t="str">
        <f ca="1">IFERROR(__xludf.DUMMYFUNCTION("""COMPUTED_VALUE"""),"")</f>
        <v/>
      </c>
      <c r="M594" s="36" t="str">
        <f ca="1">IFERROR(__xludf.DUMMYFUNCTION("""COMPUTED_VALUE"""),"")</f>
        <v/>
      </c>
      <c r="N594" s="36" t="str">
        <f ca="1">IFERROR(__xludf.DUMMYFUNCTION("""COMPUTED_VALUE"""),"")</f>
        <v/>
      </c>
      <c r="O594" s="36" t="str">
        <f ca="1">IFERROR(__xludf.DUMMYFUNCTION("""COMPUTED_VALUE"""),"")</f>
        <v/>
      </c>
      <c r="P594" s="36" t="str">
        <f ca="1">IFERROR(__xludf.DUMMYFUNCTION("""COMPUTED_VALUE"""),"")</f>
        <v/>
      </c>
      <c r="Q594" s="36" t="str">
        <f ca="1">IFERROR(__xludf.DUMMYFUNCTION("""COMPUTED_VALUE"""),"")</f>
        <v/>
      </c>
      <c r="R594" s="36" t="str">
        <f ca="1">IFERROR(__xludf.DUMMYFUNCTION("""COMPUTED_VALUE"""),"")</f>
        <v/>
      </c>
      <c r="S594" s="36" t="str">
        <f ca="1">IFERROR(__xludf.DUMMYFUNCTION("""COMPUTED_VALUE"""),"")</f>
        <v/>
      </c>
      <c r="T594" s="36" t="str">
        <f ca="1">IFERROR(__xludf.DUMMYFUNCTION("""COMPUTED_VALUE"""),"")</f>
        <v/>
      </c>
      <c r="U594" s="36" t="str">
        <f ca="1">IFERROR(__xludf.DUMMYFUNCTION("""COMPUTED_VALUE"""),"")</f>
        <v/>
      </c>
      <c r="V594" s="36" t="str">
        <f ca="1">IFERROR(__xludf.DUMMYFUNCTION("""COMPUTED_VALUE"""),"")</f>
        <v/>
      </c>
      <c r="W594" s="36" t="str">
        <f ca="1">IFERROR(__xludf.DUMMYFUNCTION("""COMPUTED_VALUE"""),"")</f>
        <v/>
      </c>
      <c r="X594" s="36"/>
      <c r="Y594" s="36"/>
      <c r="Z594" s="36"/>
    </row>
    <row r="595" spans="1:26" ht="12.75" hidden="1">
      <c r="A595" s="36" t="str">
        <f ca="1">IFERROR(__xludf.DUMMYFUNCTION("""COMPUTED_VALUE"""),"")</f>
        <v/>
      </c>
      <c r="B595" s="36" t="str">
        <f ca="1">IFERROR(__xludf.DUMMYFUNCTION("""COMPUTED_VALUE"""),"")</f>
        <v/>
      </c>
      <c r="C595" s="36" t="str">
        <f ca="1">IFERROR(__xludf.DUMMYFUNCTION("""COMPUTED_VALUE"""),"")</f>
        <v/>
      </c>
      <c r="D595" s="36" t="str">
        <f ca="1">IFERROR(__xludf.DUMMYFUNCTION("""COMPUTED_VALUE"""),"")</f>
        <v/>
      </c>
      <c r="E595" s="36" t="str">
        <f ca="1">IFERROR(__xludf.DUMMYFUNCTION("""COMPUTED_VALUE"""),"")</f>
        <v/>
      </c>
      <c r="F595" s="36" t="str">
        <f ca="1">IFERROR(__xludf.DUMMYFUNCTION("""COMPUTED_VALUE"""),"")</f>
        <v/>
      </c>
      <c r="G595" s="36" t="str">
        <f ca="1">IFERROR(__xludf.DUMMYFUNCTION("""COMPUTED_VALUE"""),"")</f>
        <v/>
      </c>
      <c r="H595" s="36" t="str">
        <f ca="1">IFERROR(__xludf.DUMMYFUNCTION("""COMPUTED_VALUE"""),"")</f>
        <v/>
      </c>
      <c r="I595" s="36" t="str">
        <f ca="1">IFERROR(__xludf.DUMMYFUNCTION("""COMPUTED_VALUE"""),"")</f>
        <v/>
      </c>
      <c r="J595" s="36" t="str">
        <f ca="1">IFERROR(__xludf.DUMMYFUNCTION("""COMPUTED_VALUE"""),"")</f>
        <v/>
      </c>
      <c r="K595" s="36" t="str">
        <f ca="1">IFERROR(__xludf.DUMMYFUNCTION("""COMPUTED_VALUE"""),"")</f>
        <v/>
      </c>
      <c r="L595" s="36" t="str">
        <f ca="1">IFERROR(__xludf.DUMMYFUNCTION("""COMPUTED_VALUE"""),"")</f>
        <v/>
      </c>
      <c r="M595" s="36" t="str">
        <f ca="1">IFERROR(__xludf.DUMMYFUNCTION("""COMPUTED_VALUE"""),"")</f>
        <v/>
      </c>
      <c r="N595" s="36" t="str">
        <f ca="1">IFERROR(__xludf.DUMMYFUNCTION("""COMPUTED_VALUE"""),"")</f>
        <v/>
      </c>
      <c r="O595" s="36" t="str">
        <f ca="1">IFERROR(__xludf.DUMMYFUNCTION("""COMPUTED_VALUE"""),"")</f>
        <v/>
      </c>
      <c r="P595" s="36" t="str">
        <f ca="1">IFERROR(__xludf.DUMMYFUNCTION("""COMPUTED_VALUE"""),"")</f>
        <v/>
      </c>
      <c r="Q595" s="36" t="str">
        <f ca="1">IFERROR(__xludf.DUMMYFUNCTION("""COMPUTED_VALUE"""),"")</f>
        <v/>
      </c>
      <c r="R595" s="36" t="str">
        <f ca="1">IFERROR(__xludf.DUMMYFUNCTION("""COMPUTED_VALUE"""),"")</f>
        <v/>
      </c>
      <c r="S595" s="36" t="str">
        <f ca="1">IFERROR(__xludf.DUMMYFUNCTION("""COMPUTED_VALUE"""),"")</f>
        <v/>
      </c>
      <c r="T595" s="36" t="str">
        <f ca="1">IFERROR(__xludf.DUMMYFUNCTION("""COMPUTED_VALUE"""),"")</f>
        <v/>
      </c>
      <c r="U595" s="36" t="str">
        <f ca="1">IFERROR(__xludf.DUMMYFUNCTION("""COMPUTED_VALUE"""),"")</f>
        <v/>
      </c>
      <c r="V595" s="36" t="str">
        <f ca="1">IFERROR(__xludf.DUMMYFUNCTION("""COMPUTED_VALUE"""),"")</f>
        <v/>
      </c>
      <c r="W595" s="36" t="str">
        <f ca="1">IFERROR(__xludf.DUMMYFUNCTION("""COMPUTED_VALUE"""),"")</f>
        <v/>
      </c>
      <c r="X595" s="36"/>
      <c r="Y595" s="36"/>
      <c r="Z595" s="36"/>
    </row>
    <row r="596" spans="1:26" ht="12.75" hidden="1">
      <c r="A596" s="36" t="str">
        <f ca="1">IFERROR(__xludf.DUMMYFUNCTION("""COMPUTED_VALUE"""),"")</f>
        <v/>
      </c>
      <c r="B596" s="36" t="str">
        <f ca="1">IFERROR(__xludf.DUMMYFUNCTION("""COMPUTED_VALUE"""),"")</f>
        <v/>
      </c>
      <c r="C596" s="36" t="str">
        <f ca="1">IFERROR(__xludf.DUMMYFUNCTION("""COMPUTED_VALUE"""),"")</f>
        <v/>
      </c>
      <c r="D596" s="36" t="str">
        <f ca="1">IFERROR(__xludf.DUMMYFUNCTION("""COMPUTED_VALUE"""),"")</f>
        <v/>
      </c>
      <c r="E596" s="36" t="str">
        <f ca="1">IFERROR(__xludf.DUMMYFUNCTION("""COMPUTED_VALUE"""),"")</f>
        <v/>
      </c>
      <c r="F596" s="36" t="str">
        <f ca="1">IFERROR(__xludf.DUMMYFUNCTION("""COMPUTED_VALUE"""),"")</f>
        <v/>
      </c>
      <c r="G596" s="36" t="str">
        <f ca="1">IFERROR(__xludf.DUMMYFUNCTION("""COMPUTED_VALUE"""),"")</f>
        <v/>
      </c>
      <c r="H596" s="36" t="str">
        <f ca="1">IFERROR(__xludf.DUMMYFUNCTION("""COMPUTED_VALUE"""),"")</f>
        <v/>
      </c>
      <c r="I596" s="36" t="str">
        <f ca="1">IFERROR(__xludf.DUMMYFUNCTION("""COMPUTED_VALUE"""),"")</f>
        <v/>
      </c>
      <c r="J596" s="36" t="str">
        <f ca="1">IFERROR(__xludf.DUMMYFUNCTION("""COMPUTED_VALUE"""),"")</f>
        <v/>
      </c>
      <c r="K596" s="36" t="str">
        <f ca="1">IFERROR(__xludf.DUMMYFUNCTION("""COMPUTED_VALUE"""),"")</f>
        <v/>
      </c>
      <c r="L596" s="36" t="str">
        <f ca="1">IFERROR(__xludf.DUMMYFUNCTION("""COMPUTED_VALUE"""),"")</f>
        <v/>
      </c>
      <c r="M596" s="36" t="str">
        <f ca="1">IFERROR(__xludf.DUMMYFUNCTION("""COMPUTED_VALUE"""),"")</f>
        <v/>
      </c>
      <c r="N596" s="36" t="str">
        <f ca="1">IFERROR(__xludf.DUMMYFUNCTION("""COMPUTED_VALUE"""),"")</f>
        <v/>
      </c>
      <c r="O596" s="36" t="str">
        <f ca="1">IFERROR(__xludf.DUMMYFUNCTION("""COMPUTED_VALUE"""),"")</f>
        <v/>
      </c>
      <c r="P596" s="36" t="str">
        <f ca="1">IFERROR(__xludf.DUMMYFUNCTION("""COMPUTED_VALUE"""),"")</f>
        <v/>
      </c>
      <c r="Q596" s="36" t="str">
        <f ca="1">IFERROR(__xludf.DUMMYFUNCTION("""COMPUTED_VALUE"""),"")</f>
        <v/>
      </c>
      <c r="R596" s="36" t="str">
        <f ca="1">IFERROR(__xludf.DUMMYFUNCTION("""COMPUTED_VALUE"""),"")</f>
        <v/>
      </c>
      <c r="S596" s="36" t="str">
        <f ca="1">IFERROR(__xludf.DUMMYFUNCTION("""COMPUTED_VALUE"""),"")</f>
        <v/>
      </c>
      <c r="T596" s="36" t="str">
        <f ca="1">IFERROR(__xludf.DUMMYFUNCTION("""COMPUTED_VALUE"""),"")</f>
        <v/>
      </c>
      <c r="U596" s="36" t="str">
        <f ca="1">IFERROR(__xludf.DUMMYFUNCTION("""COMPUTED_VALUE"""),"")</f>
        <v/>
      </c>
      <c r="V596" s="36" t="str">
        <f ca="1">IFERROR(__xludf.DUMMYFUNCTION("""COMPUTED_VALUE"""),"")</f>
        <v/>
      </c>
      <c r="W596" s="36" t="str">
        <f ca="1">IFERROR(__xludf.DUMMYFUNCTION("""COMPUTED_VALUE"""),"")</f>
        <v/>
      </c>
      <c r="X596" s="36"/>
      <c r="Y596" s="36"/>
      <c r="Z596" s="36"/>
    </row>
    <row r="597" spans="1:26" ht="12.75" hidden="1">
      <c r="A597" s="36" t="str">
        <f ca="1">IFERROR(__xludf.DUMMYFUNCTION("""COMPUTED_VALUE"""),"")</f>
        <v/>
      </c>
      <c r="B597" s="36" t="str">
        <f ca="1">IFERROR(__xludf.DUMMYFUNCTION("""COMPUTED_VALUE"""),"")</f>
        <v/>
      </c>
      <c r="C597" s="36" t="str">
        <f ca="1">IFERROR(__xludf.DUMMYFUNCTION("""COMPUTED_VALUE"""),"")</f>
        <v/>
      </c>
      <c r="D597" s="36" t="str">
        <f ca="1">IFERROR(__xludf.DUMMYFUNCTION("""COMPUTED_VALUE"""),"")</f>
        <v/>
      </c>
      <c r="E597" s="36" t="str">
        <f ca="1">IFERROR(__xludf.DUMMYFUNCTION("""COMPUTED_VALUE"""),"")</f>
        <v/>
      </c>
      <c r="F597" s="36" t="str">
        <f ca="1">IFERROR(__xludf.DUMMYFUNCTION("""COMPUTED_VALUE"""),"")</f>
        <v/>
      </c>
      <c r="G597" s="36" t="str">
        <f ca="1">IFERROR(__xludf.DUMMYFUNCTION("""COMPUTED_VALUE"""),"")</f>
        <v/>
      </c>
      <c r="H597" s="36" t="str">
        <f ca="1">IFERROR(__xludf.DUMMYFUNCTION("""COMPUTED_VALUE"""),"")</f>
        <v/>
      </c>
      <c r="I597" s="36" t="str">
        <f ca="1">IFERROR(__xludf.DUMMYFUNCTION("""COMPUTED_VALUE"""),"")</f>
        <v/>
      </c>
      <c r="J597" s="36" t="str">
        <f ca="1">IFERROR(__xludf.DUMMYFUNCTION("""COMPUTED_VALUE"""),"")</f>
        <v/>
      </c>
      <c r="K597" s="36" t="str">
        <f ca="1">IFERROR(__xludf.DUMMYFUNCTION("""COMPUTED_VALUE"""),"")</f>
        <v/>
      </c>
      <c r="L597" s="36" t="str">
        <f ca="1">IFERROR(__xludf.DUMMYFUNCTION("""COMPUTED_VALUE"""),"")</f>
        <v/>
      </c>
      <c r="M597" s="36" t="str">
        <f ca="1">IFERROR(__xludf.DUMMYFUNCTION("""COMPUTED_VALUE"""),"")</f>
        <v/>
      </c>
      <c r="N597" s="36" t="str">
        <f ca="1">IFERROR(__xludf.DUMMYFUNCTION("""COMPUTED_VALUE"""),"")</f>
        <v/>
      </c>
      <c r="O597" s="36" t="str">
        <f ca="1">IFERROR(__xludf.DUMMYFUNCTION("""COMPUTED_VALUE"""),"")</f>
        <v/>
      </c>
      <c r="P597" s="36" t="str">
        <f ca="1">IFERROR(__xludf.DUMMYFUNCTION("""COMPUTED_VALUE"""),"")</f>
        <v/>
      </c>
      <c r="Q597" s="36" t="str">
        <f ca="1">IFERROR(__xludf.DUMMYFUNCTION("""COMPUTED_VALUE"""),"")</f>
        <v/>
      </c>
      <c r="R597" s="36" t="str">
        <f ca="1">IFERROR(__xludf.DUMMYFUNCTION("""COMPUTED_VALUE"""),"")</f>
        <v/>
      </c>
      <c r="S597" s="36" t="str">
        <f ca="1">IFERROR(__xludf.DUMMYFUNCTION("""COMPUTED_VALUE"""),"")</f>
        <v/>
      </c>
      <c r="T597" s="36" t="str">
        <f ca="1">IFERROR(__xludf.DUMMYFUNCTION("""COMPUTED_VALUE"""),"")</f>
        <v/>
      </c>
      <c r="U597" s="36" t="str">
        <f ca="1">IFERROR(__xludf.DUMMYFUNCTION("""COMPUTED_VALUE"""),"")</f>
        <v/>
      </c>
      <c r="V597" s="36" t="str">
        <f ca="1">IFERROR(__xludf.DUMMYFUNCTION("""COMPUTED_VALUE"""),"")</f>
        <v/>
      </c>
      <c r="W597" s="36" t="str">
        <f ca="1">IFERROR(__xludf.DUMMYFUNCTION("""COMPUTED_VALUE"""),"")</f>
        <v/>
      </c>
      <c r="X597" s="36"/>
      <c r="Y597" s="36"/>
      <c r="Z597" s="36"/>
    </row>
    <row r="598" spans="1:26" ht="12.75" hidden="1">
      <c r="A598" s="36" t="str">
        <f ca="1">IFERROR(__xludf.DUMMYFUNCTION("""COMPUTED_VALUE"""),"")</f>
        <v/>
      </c>
      <c r="B598" s="36" t="str">
        <f ca="1">IFERROR(__xludf.DUMMYFUNCTION("""COMPUTED_VALUE"""),"")</f>
        <v/>
      </c>
      <c r="C598" s="36" t="str">
        <f ca="1">IFERROR(__xludf.DUMMYFUNCTION("""COMPUTED_VALUE"""),"")</f>
        <v/>
      </c>
      <c r="D598" s="36" t="str">
        <f ca="1">IFERROR(__xludf.DUMMYFUNCTION("""COMPUTED_VALUE"""),"")</f>
        <v/>
      </c>
      <c r="E598" s="36" t="str">
        <f ca="1">IFERROR(__xludf.DUMMYFUNCTION("""COMPUTED_VALUE"""),"")</f>
        <v/>
      </c>
      <c r="F598" s="36" t="str">
        <f ca="1">IFERROR(__xludf.DUMMYFUNCTION("""COMPUTED_VALUE"""),"")</f>
        <v/>
      </c>
      <c r="G598" s="36" t="str">
        <f ca="1">IFERROR(__xludf.DUMMYFUNCTION("""COMPUTED_VALUE"""),"")</f>
        <v/>
      </c>
      <c r="H598" s="36" t="str">
        <f ca="1">IFERROR(__xludf.DUMMYFUNCTION("""COMPUTED_VALUE"""),"")</f>
        <v/>
      </c>
      <c r="I598" s="36" t="str">
        <f ca="1">IFERROR(__xludf.DUMMYFUNCTION("""COMPUTED_VALUE"""),"")</f>
        <v/>
      </c>
      <c r="J598" s="36" t="str">
        <f ca="1">IFERROR(__xludf.DUMMYFUNCTION("""COMPUTED_VALUE"""),"")</f>
        <v/>
      </c>
      <c r="K598" s="36" t="str">
        <f ca="1">IFERROR(__xludf.DUMMYFUNCTION("""COMPUTED_VALUE"""),"")</f>
        <v/>
      </c>
      <c r="L598" s="36" t="str">
        <f ca="1">IFERROR(__xludf.DUMMYFUNCTION("""COMPUTED_VALUE"""),"")</f>
        <v/>
      </c>
      <c r="M598" s="36" t="str">
        <f ca="1">IFERROR(__xludf.DUMMYFUNCTION("""COMPUTED_VALUE"""),"")</f>
        <v/>
      </c>
      <c r="N598" s="36" t="str">
        <f ca="1">IFERROR(__xludf.DUMMYFUNCTION("""COMPUTED_VALUE"""),"")</f>
        <v/>
      </c>
      <c r="O598" s="36" t="str">
        <f ca="1">IFERROR(__xludf.DUMMYFUNCTION("""COMPUTED_VALUE"""),"")</f>
        <v/>
      </c>
      <c r="P598" s="36" t="str">
        <f ca="1">IFERROR(__xludf.DUMMYFUNCTION("""COMPUTED_VALUE"""),"")</f>
        <v/>
      </c>
      <c r="Q598" s="36" t="str">
        <f ca="1">IFERROR(__xludf.DUMMYFUNCTION("""COMPUTED_VALUE"""),"")</f>
        <v/>
      </c>
      <c r="R598" s="36" t="str">
        <f ca="1">IFERROR(__xludf.DUMMYFUNCTION("""COMPUTED_VALUE"""),"")</f>
        <v/>
      </c>
      <c r="S598" s="36" t="str">
        <f ca="1">IFERROR(__xludf.DUMMYFUNCTION("""COMPUTED_VALUE"""),"")</f>
        <v/>
      </c>
      <c r="T598" s="36" t="str">
        <f ca="1">IFERROR(__xludf.DUMMYFUNCTION("""COMPUTED_VALUE"""),"")</f>
        <v/>
      </c>
      <c r="U598" s="36" t="str">
        <f ca="1">IFERROR(__xludf.DUMMYFUNCTION("""COMPUTED_VALUE"""),"")</f>
        <v/>
      </c>
      <c r="V598" s="36" t="str">
        <f ca="1">IFERROR(__xludf.DUMMYFUNCTION("""COMPUTED_VALUE"""),"")</f>
        <v/>
      </c>
      <c r="W598" s="36" t="str">
        <f ca="1">IFERROR(__xludf.DUMMYFUNCTION("""COMPUTED_VALUE"""),"")</f>
        <v/>
      </c>
      <c r="X598" s="36"/>
      <c r="Y598" s="36"/>
      <c r="Z598" s="36"/>
    </row>
    <row r="599" spans="1:26" ht="12.75" hidden="1">
      <c r="A599" s="36" t="str">
        <f ca="1">IFERROR(__xludf.DUMMYFUNCTION("""COMPUTED_VALUE"""),"")</f>
        <v/>
      </c>
      <c r="B599" s="36" t="str">
        <f ca="1">IFERROR(__xludf.DUMMYFUNCTION("""COMPUTED_VALUE"""),"")</f>
        <v/>
      </c>
      <c r="C599" s="36" t="str">
        <f ca="1">IFERROR(__xludf.DUMMYFUNCTION("""COMPUTED_VALUE"""),"")</f>
        <v/>
      </c>
      <c r="D599" s="36" t="str">
        <f ca="1">IFERROR(__xludf.DUMMYFUNCTION("""COMPUTED_VALUE"""),"")</f>
        <v/>
      </c>
      <c r="E599" s="36" t="str">
        <f ca="1">IFERROR(__xludf.DUMMYFUNCTION("""COMPUTED_VALUE"""),"")</f>
        <v/>
      </c>
      <c r="F599" s="36" t="str">
        <f ca="1">IFERROR(__xludf.DUMMYFUNCTION("""COMPUTED_VALUE"""),"")</f>
        <v/>
      </c>
      <c r="G599" s="36" t="str">
        <f ca="1">IFERROR(__xludf.DUMMYFUNCTION("""COMPUTED_VALUE"""),"")</f>
        <v/>
      </c>
      <c r="H599" s="36" t="str">
        <f ca="1">IFERROR(__xludf.DUMMYFUNCTION("""COMPUTED_VALUE"""),"")</f>
        <v/>
      </c>
      <c r="I599" s="36" t="str">
        <f ca="1">IFERROR(__xludf.DUMMYFUNCTION("""COMPUTED_VALUE"""),"")</f>
        <v/>
      </c>
      <c r="J599" s="36" t="str">
        <f ca="1">IFERROR(__xludf.DUMMYFUNCTION("""COMPUTED_VALUE"""),"")</f>
        <v/>
      </c>
      <c r="K599" s="36" t="str">
        <f ca="1">IFERROR(__xludf.DUMMYFUNCTION("""COMPUTED_VALUE"""),"")</f>
        <v/>
      </c>
      <c r="L599" s="36" t="str">
        <f ca="1">IFERROR(__xludf.DUMMYFUNCTION("""COMPUTED_VALUE"""),"")</f>
        <v/>
      </c>
      <c r="M599" s="36" t="str">
        <f ca="1">IFERROR(__xludf.DUMMYFUNCTION("""COMPUTED_VALUE"""),"")</f>
        <v/>
      </c>
      <c r="N599" s="36" t="str">
        <f ca="1">IFERROR(__xludf.DUMMYFUNCTION("""COMPUTED_VALUE"""),"")</f>
        <v/>
      </c>
      <c r="O599" s="36" t="str">
        <f ca="1">IFERROR(__xludf.DUMMYFUNCTION("""COMPUTED_VALUE"""),"")</f>
        <v/>
      </c>
      <c r="P599" s="36" t="str">
        <f ca="1">IFERROR(__xludf.DUMMYFUNCTION("""COMPUTED_VALUE"""),"")</f>
        <v/>
      </c>
      <c r="Q599" s="36" t="str">
        <f ca="1">IFERROR(__xludf.DUMMYFUNCTION("""COMPUTED_VALUE"""),"")</f>
        <v/>
      </c>
      <c r="R599" s="36" t="str">
        <f ca="1">IFERROR(__xludf.DUMMYFUNCTION("""COMPUTED_VALUE"""),"")</f>
        <v/>
      </c>
      <c r="S599" s="36" t="str">
        <f ca="1">IFERROR(__xludf.DUMMYFUNCTION("""COMPUTED_VALUE"""),"")</f>
        <v/>
      </c>
      <c r="T599" s="36" t="str">
        <f ca="1">IFERROR(__xludf.DUMMYFUNCTION("""COMPUTED_VALUE"""),"")</f>
        <v/>
      </c>
      <c r="U599" s="36" t="str">
        <f ca="1">IFERROR(__xludf.DUMMYFUNCTION("""COMPUTED_VALUE"""),"")</f>
        <v/>
      </c>
      <c r="V599" s="36" t="str">
        <f ca="1">IFERROR(__xludf.DUMMYFUNCTION("""COMPUTED_VALUE"""),"")</f>
        <v/>
      </c>
      <c r="W599" s="36" t="str">
        <f ca="1">IFERROR(__xludf.DUMMYFUNCTION("""COMPUTED_VALUE"""),"")</f>
        <v/>
      </c>
      <c r="X599" s="36"/>
      <c r="Y599" s="36"/>
      <c r="Z599" s="36"/>
    </row>
    <row r="600" spans="1:26" ht="12.75" hidden="1">
      <c r="A600" s="36" t="str">
        <f ca="1">IFERROR(__xludf.DUMMYFUNCTION("""COMPUTED_VALUE"""),"")</f>
        <v/>
      </c>
      <c r="B600" s="36" t="str">
        <f ca="1">IFERROR(__xludf.DUMMYFUNCTION("""COMPUTED_VALUE"""),"")</f>
        <v/>
      </c>
      <c r="C600" s="36" t="str">
        <f ca="1">IFERROR(__xludf.DUMMYFUNCTION("""COMPUTED_VALUE"""),"")</f>
        <v/>
      </c>
      <c r="D600" s="36" t="str">
        <f ca="1">IFERROR(__xludf.DUMMYFUNCTION("""COMPUTED_VALUE"""),"")</f>
        <v/>
      </c>
      <c r="E600" s="36" t="str">
        <f ca="1">IFERROR(__xludf.DUMMYFUNCTION("""COMPUTED_VALUE"""),"")</f>
        <v/>
      </c>
      <c r="F600" s="36" t="str">
        <f ca="1">IFERROR(__xludf.DUMMYFUNCTION("""COMPUTED_VALUE"""),"")</f>
        <v/>
      </c>
      <c r="G600" s="36" t="str">
        <f ca="1">IFERROR(__xludf.DUMMYFUNCTION("""COMPUTED_VALUE"""),"")</f>
        <v/>
      </c>
      <c r="H600" s="36" t="str">
        <f ca="1">IFERROR(__xludf.DUMMYFUNCTION("""COMPUTED_VALUE"""),"")</f>
        <v/>
      </c>
      <c r="I600" s="36" t="str">
        <f ca="1">IFERROR(__xludf.DUMMYFUNCTION("""COMPUTED_VALUE"""),"")</f>
        <v/>
      </c>
      <c r="J600" s="36" t="str">
        <f ca="1">IFERROR(__xludf.DUMMYFUNCTION("""COMPUTED_VALUE"""),"")</f>
        <v/>
      </c>
      <c r="K600" s="36" t="str">
        <f ca="1">IFERROR(__xludf.DUMMYFUNCTION("""COMPUTED_VALUE"""),"")</f>
        <v/>
      </c>
      <c r="L600" s="36" t="str">
        <f ca="1">IFERROR(__xludf.DUMMYFUNCTION("""COMPUTED_VALUE"""),"")</f>
        <v/>
      </c>
      <c r="M600" s="36" t="str">
        <f ca="1">IFERROR(__xludf.DUMMYFUNCTION("""COMPUTED_VALUE"""),"")</f>
        <v/>
      </c>
      <c r="N600" s="36" t="str">
        <f ca="1">IFERROR(__xludf.DUMMYFUNCTION("""COMPUTED_VALUE"""),"")</f>
        <v/>
      </c>
      <c r="O600" s="36" t="str">
        <f ca="1">IFERROR(__xludf.DUMMYFUNCTION("""COMPUTED_VALUE"""),"")</f>
        <v/>
      </c>
      <c r="P600" s="36" t="str">
        <f ca="1">IFERROR(__xludf.DUMMYFUNCTION("""COMPUTED_VALUE"""),"")</f>
        <v/>
      </c>
      <c r="Q600" s="36" t="str">
        <f ca="1">IFERROR(__xludf.DUMMYFUNCTION("""COMPUTED_VALUE"""),"")</f>
        <v/>
      </c>
      <c r="R600" s="36" t="str">
        <f ca="1">IFERROR(__xludf.DUMMYFUNCTION("""COMPUTED_VALUE"""),"")</f>
        <v/>
      </c>
      <c r="S600" s="36" t="str">
        <f ca="1">IFERROR(__xludf.DUMMYFUNCTION("""COMPUTED_VALUE"""),"")</f>
        <v/>
      </c>
      <c r="T600" s="36" t="str">
        <f ca="1">IFERROR(__xludf.DUMMYFUNCTION("""COMPUTED_VALUE"""),"")</f>
        <v/>
      </c>
      <c r="U600" s="36" t="str">
        <f ca="1">IFERROR(__xludf.DUMMYFUNCTION("""COMPUTED_VALUE"""),"")</f>
        <v/>
      </c>
      <c r="V600" s="36" t="str">
        <f ca="1">IFERROR(__xludf.DUMMYFUNCTION("""COMPUTED_VALUE"""),"")</f>
        <v/>
      </c>
      <c r="W600" s="36" t="str">
        <f ca="1">IFERROR(__xludf.DUMMYFUNCTION("""COMPUTED_VALUE"""),"")</f>
        <v/>
      </c>
      <c r="X600" s="36"/>
      <c r="Y600" s="36"/>
      <c r="Z600" s="36"/>
    </row>
    <row r="601" spans="1:26" ht="12.75" hidden="1">
      <c r="A601" s="36" t="str">
        <f ca="1">IFERROR(__xludf.DUMMYFUNCTION("""COMPUTED_VALUE"""),"")</f>
        <v/>
      </c>
      <c r="B601" s="36" t="str">
        <f ca="1">IFERROR(__xludf.DUMMYFUNCTION("""COMPUTED_VALUE"""),"")</f>
        <v/>
      </c>
      <c r="C601" s="36" t="str">
        <f ca="1">IFERROR(__xludf.DUMMYFUNCTION("""COMPUTED_VALUE"""),"")</f>
        <v/>
      </c>
      <c r="D601" s="36" t="str">
        <f ca="1">IFERROR(__xludf.DUMMYFUNCTION("""COMPUTED_VALUE"""),"")</f>
        <v/>
      </c>
      <c r="E601" s="36" t="str">
        <f ca="1">IFERROR(__xludf.DUMMYFUNCTION("""COMPUTED_VALUE"""),"")</f>
        <v/>
      </c>
      <c r="F601" s="36" t="str">
        <f ca="1">IFERROR(__xludf.DUMMYFUNCTION("""COMPUTED_VALUE"""),"")</f>
        <v/>
      </c>
      <c r="G601" s="36" t="str">
        <f ca="1">IFERROR(__xludf.DUMMYFUNCTION("""COMPUTED_VALUE"""),"")</f>
        <v/>
      </c>
      <c r="H601" s="36" t="str">
        <f ca="1">IFERROR(__xludf.DUMMYFUNCTION("""COMPUTED_VALUE"""),"")</f>
        <v/>
      </c>
      <c r="I601" s="36" t="str">
        <f ca="1">IFERROR(__xludf.DUMMYFUNCTION("""COMPUTED_VALUE"""),"")</f>
        <v/>
      </c>
      <c r="J601" s="36" t="str">
        <f ca="1">IFERROR(__xludf.DUMMYFUNCTION("""COMPUTED_VALUE"""),"")</f>
        <v/>
      </c>
      <c r="K601" s="36" t="str">
        <f ca="1">IFERROR(__xludf.DUMMYFUNCTION("""COMPUTED_VALUE"""),"")</f>
        <v/>
      </c>
      <c r="L601" s="36" t="str">
        <f ca="1">IFERROR(__xludf.DUMMYFUNCTION("""COMPUTED_VALUE"""),"")</f>
        <v/>
      </c>
      <c r="M601" s="36" t="str">
        <f ca="1">IFERROR(__xludf.DUMMYFUNCTION("""COMPUTED_VALUE"""),"")</f>
        <v/>
      </c>
      <c r="N601" s="36" t="str">
        <f ca="1">IFERROR(__xludf.DUMMYFUNCTION("""COMPUTED_VALUE"""),"")</f>
        <v/>
      </c>
      <c r="O601" s="36" t="str">
        <f ca="1">IFERROR(__xludf.DUMMYFUNCTION("""COMPUTED_VALUE"""),"")</f>
        <v/>
      </c>
      <c r="P601" s="36" t="str">
        <f ca="1">IFERROR(__xludf.DUMMYFUNCTION("""COMPUTED_VALUE"""),"")</f>
        <v/>
      </c>
      <c r="Q601" s="36" t="str">
        <f ca="1">IFERROR(__xludf.DUMMYFUNCTION("""COMPUTED_VALUE"""),"")</f>
        <v/>
      </c>
      <c r="R601" s="36" t="str">
        <f ca="1">IFERROR(__xludf.DUMMYFUNCTION("""COMPUTED_VALUE"""),"")</f>
        <v/>
      </c>
      <c r="S601" s="36" t="str">
        <f ca="1">IFERROR(__xludf.DUMMYFUNCTION("""COMPUTED_VALUE"""),"")</f>
        <v/>
      </c>
      <c r="T601" s="36" t="str">
        <f ca="1">IFERROR(__xludf.DUMMYFUNCTION("""COMPUTED_VALUE"""),"")</f>
        <v/>
      </c>
      <c r="U601" s="36" t="str">
        <f ca="1">IFERROR(__xludf.DUMMYFUNCTION("""COMPUTED_VALUE"""),"")</f>
        <v/>
      </c>
      <c r="V601" s="36" t="str">
        <f ca="1">IFERROR(__xludf.DUMMYFUNCTION("""COMPUTED_VALUE"""),"")</f>
        <v/>
      </c>
      <c r="W601" s="36" t="str">
        <f ca="1">IFERROR(__xludf.DUMMYFUNCTION("""COMPUTED_VALUE"""),"")</f>
        <v/>
      </c>
      <c r="X601" s="36"/>
      <c r="Y601" s="36"/>
      <c r="Z601" s="36"/>
    </row>
    <row r="602" spans="1:26" ht="12.75" hidden="1">
      <c r="A602" s="36" t="str">
        <f ca="1">IFERROR(__xludf.DUMMYFUNCTION("""COMPUTED_VALUE"""),"")</f>
        <v/>
      </c>
      <c r="B602" s="36" t="str">
        <f ca="1">IFERROR(__xludf.DUMMYFUNCTION("""COMPUTED_VALUE"""),"")</f>
        <v/>
      </c>
      <c r="C602" s="36" t="str">
        <f ca="1">IFERROR(__xludf.DUMMYFUNCTION("""COMPUTED_VALUE"""),"")</f>
        <v/>
      </c>
      <c r="D602" s="36" t="str">
        <f ca="1">IFERROR(__xludf.DUMMYFUNCTION("""COMPUTED_VALUE"""),"")</f>
        <v/>
      </c>
      <c r="E602" s="36" t="str">
        <f ca="1">IFERROR(__xludf.DUMMYFUNCTION("""COMPUTED_VALUE"""),"")</f>
        <v/>
      </c>
      <c r="F602" s="36" t="str">
        <f ca="1">IFERROR(__xludf.DUMMYFUNCTION("""COMPUTED_VALUE"""),"")</f>
        <v/>
      </c>
      <c r="G602" s="36" t="str">
        <f ca="1">IFERROR(__xludf.DUMMYFUNCTION("""COMPUTED_VALUE"""),"")</f>
        <v/>
      </c>
      <c r="H602" s="36" t="str">
        <f ca="1">IFERROR(__xludf.DUMMYFUNCTION("""COMPUTED_VALUE"""),"")</f>
        <v/>
      </c>
      <c r="I602" s="36" t="str">
        <f ca="1">IFERROR(__xludf.DUMMYFUNCTION("""COMPUTED_VALUE"""),"")</f>
        <v/>
      </c>
      <c r="J602" s="36" t="str">
        <f ca="1">IFERROR(__xludf.DUMMYFUNCTION("""COMPUTED_VALUE"""),"")</f>
        <v/>
      </c>
      <c r="K602" s="36" t="str">
        <f ca="1">IFERROR(__xludf.DUMMYFUNCTION("""COMPUTED_VALUE"""),"")</f>
        <v/>
      </c>
      <c r="L602" s="36" t="str">
        <f ca="1">IFERROR(__xludf.DUMMYFUNCTION("""COMPUTED_VALUE"""),"")</f>
        <v/>
      </c>
      <c r="M602" s="36" t="str">
        <f ca="1">IFERROR(__xludf.DUMMYFUNCTION("""COMPUTED_VALUE"""),"")</f>
        <v/>
      </c>
      <c r="N602" s="36" t="str">
        <f ca="1">IFERROR(__xludf.DUMMYFUNCTION("""COMPUTED_VALUE"""),"")</f>
        <v/>
      </c>
      <c r="O602" s="36" t="str">
        <f ca="1">IFERROR(__xludf.DUMMYFUNCTION("""COMPUTED_VALUE"""),"")</f>
        <v/>
      </c>
      <c r="P602" s="36" t="str">
        <f ca="1">IFERROR(__xludf.DUMMYFUNCTION("""COMPUTED_VALUE"""),"")</f>
        <v/>
      </c>
      <c r="Q602" s="36" t="str">
        <f ca="1">IFERROR(__xludf.DUMMYFUNCTION("""COMPUTED_VALUE"""),"")</f>
        <v/>
      </c>
      <c r="R602" s="36" t="str">
        <f ca="1">IFERROR(__xludf.DUMMYFUNCTION("""COMPUTED_VALUE"""),"")</f>
        <v/>
      </c>
      <c r="S602" s="36" t="str">
        <f ca="1">IFERROR(__xludf.DUMMYFUNCTION("""COMPUTED_VALUE"""),"")</f>
        <v/>
      </c>
      <c r="T602" s="36" t="str">
        <f ca="1">IFERROR(__xludf.DUMMYFUNCTION("""COMPUTED_VALUE"""),"")</f>
        <v/>
      </c>
      <c r="U602" s="36" t="str">
        <f ca="1">IFERROR(__xludf.DUMMYFUNCTION("""COMPUTED_VALUE"""),"")</f>
        <v/>
      </c>
      <c r="V602" s="36" t="str">
        <f ca="1">IFERROR(__xludf.DUMMYFUNCTION("""COMPUTED_VALUE"""),"")</f>
        <v/>
      </c>
      <c r="W602" s="36" t="str">
        <f ca="1">IFERROR(__xludf.DUMMYFUNCTION("""COMPUTED_VALUE"""),"")</f>
        <v/>
      </c>
      <c r="X602" s="36"/>
      <c r="Y602" s="36"/>
      <c r="Z602" s="36"/>
    </row>
    <row r="603" spans="1:26" ht="12.75" hidden="1">
      <c r="A603" s="36" t="str">
        <f ca="1">IFERROR(__xludf.DUMMYFUNCTION("""COMPUTED_VALUE"""),"")</f>
        <v/>
      </c>
      <c r="B603" s="36" t="str">
        <f ca="1">IFERROR(__xludf.DUMMYFUNCTION("""COMPUTED_VALUE"""),"")</f>
        <v/>
      </c>
      <c r="C603" s="36" t="str">
        <f ca="1">IFERROR(__xludf.DUMMYFUNCTION("""COMPUTED_VALUE"""),"")</f>
        <v/>
      </c>
      <c r="D603" s="36" t="str">
        <f ca="1">IFERROR(__xludf.DUMMYFUNCTION("""COMPUTED_VALUE"""),"")</f>
        <v/>
      </c>
      <c r="E603" s="36" t="str">
        <f ca="1">IFERROR(__xludf.DUMMYFUNCTION("""COMPUTED_VALUE"""),"")</f>
        <v/>
      </c>
      <c r="F603" s="36" t="str">
        <f ca="1">IFERROR(__xludf.DUMMYFUNCTION("""COMPUTED_VALUE"""),"")</f>
        <v/>
      </c>
      <c r="G603" s="36" t="str">
        <f ca="1">IFERROR(__xludf.DUMMYFUNCTION("""COMPUTED_VALUE"""),"")</f>
        <v/>
      </c>
      <c r="H603" s="36" t="str">
        <f ca="1">IFERROR(__xludf.DUMMYFUNCTION("""COMPUTED_VALUE"""),"")</f>
        <v/>
      </c>
      <c r="I603" s="36" t="str">
        <f ca="1">IFERROR(__xludf.DUMMYFUNCTION("""COMPUTED_VALUE"""),"")</f>
        <v/>
      </c>
      <c r="J603" s="36" t="str">
        <f ca="1">IFERROR(__xludf.DUMMYFUNCTION("""COMPUTED_VALUE"""),"")</f>
        <v/>
      </c>
      <c r="K603" s="36" t="str">
        <f ca="1">IFERROR(__xludf.DUMMYFUNCTION("""COMPUTED_VALUE"""),"")</f>
        <v/>
      </c>
      <c r="L603" s="36" t="str">
        <f ca="1">IFERROR(__xludf.DUMMYFUNCTION("""COMPUTED_VALUE"""),"")</f>
        <v/>
      </c>
      <c r="M603" s="36" t="str">
        <f ca="1">IFERROR(__xludf.DUMMYFUNCTION("""COMPUTED_VALUE"""),"")</f>
        <v/>
      </c>
      <c r="N603" s="36" t="str">
        <f ca="1">IFERROR(__xludf.DUMMYFUNCTION("""COMPUTED_VALUE"""),"")</f>
        <v/>
      </c>
      <c r="O603" s="36" t="str">
        <f ca="1">IFERROR(__xludf.DUMMYFUNCTION("""COMPUTED_VALUE"""),"")</f>
        <v/>
      </c>
      <c r="P603" s="36" t="str">
        <f ca="1">IFERROR(__xludf.DUMMYFUNCTION("""COMPUTED_VALUE"""),"")</f>
        <v/>
      </c>
      <c r="Q603" s="36" t="str">
        <f ca="1">IFERROR(__xludf.DUMMYFUNCTION("""COMPUTED_VALUE"""),"")</f>
        <v/>
      </c>
      <c r="R603" s="36" t="str">
        <f ca="1">IFERROR(__xludf.DUMMYFUNCTION("""COMPUTED_VALUE"""),"")</f>
        <v/>
      </c>
      <c r="S603" s="36" t="str">
        <f ca="1">IFERROR(__xludf.DUMMYFUNCTION("""COMPUTED_VALUE"""),"")</f>
        <v/>
      </c>
      <c r="T603" s="36" t="str">
        <f ca="1">IFERROR(__xludf.DUMMYFUNCTION("""COMPUTED_VALUE"""),"")</f>
        <v/>
      </c>
      <c r="U603" s="36" t="str">
        <f ca="1">IFERROR(__xludf.DUMMYFUNCTION("""COMPUTED_VALUE"""),"")</f>
        <v/>
      </c>
      <c r="V603" s="36" t="str">
        <f ca="1">IFERROR(__xludf.DUMMYFUNCTION("""COMPUTED_VALUE"""),"")</f>
        <v/>
      </c>
      <c r="W603" s="36" t="str">
        <f ca="1">IFERROR(__xludf.DUMMYFUNCTION("""COMPUTED_VALUE"""),"")</f>
        <v/>
      </c>
      <c r="X603" s="36"/>
      <c r="Y603" s="36"/>
      <c r="Z603" s="36"/>
    </row>
    <row r="604" spans="1:26" ht="12.75" hidden="1">
      <c r="A604" s="36" t="str">
        <f ca="1">IFERROR(__xludf.DUMMYFUNCTION("""COMPUTED_VALUE"""),"")</f>
        <v/>
      </c>
      <c r="B604" s="36" t="str">
        <f ca="1">IFERROR(__xludf.DUMMYFUNCTION("""COMPUTED_VALUE"""),"")</f>
        <v/>
      </c>
      <c r="C604" s="36" t="str">
        <f ca="1">IFERROR(__xludf.DUMMYFUNCTION("""COMPUTED_VALUE"""),"")</f>
        <v/>
      </c>
      <c r="D604" s="36" t="str">
        <f ca="1">IFERROR(__xludf.DUMMYFUNCTION("""COMPUTED_VALUE"""),"")</f>
        <v/>
      </c>
      <c r="E604" s="36" t="str">
        <f ca="1">IFERROR(__xludf.DUMMYFUNCTION("""COMPUTED_VALUE"""),"")</f>
        <v/>
      </c>
      <c r="F604" s="36" t="str">
        <f ca="1">IFERROR(__xludf.DUMMYFUNCTION("""COMPUTED_VALUE"""),"")</f>
        <v/>
      </c>
      <c r="G604" s="36" t="str">
        <f ca="1">IFERROR(__xludf.DUMMYFUNCTION("""COMPUTED_VALUE"""),"")</f>
        <v/>
      </c>
      <c r="H604" s="36" t="str">
        <f ca="1">IFERROR(__xludf.DUMMYFUNCTION("""COMPUTED_VALUE"""),"")</f>
        <v/>
      </c>
      <c r="I604" s="36" t="str">
        <f ca="1">IFERROR(__xludf.DUMMYFUNCTION("""COMPUTED_VALUE"""),"")</f>
        <v/>
      </c>
      <c r="J604" s="36" t="str">
        <f ca="1">IFERROR(__xludf.DUMMYFUNCTION("""COMPUTED_VALUE"""),"")</f>
        <v/>
      </c>
      <c r="K604" s="36" t="str">
        <f ca="1">IFERROR(__xludf.DUMMYFUNCTION("""COMPUTED_VALUE"""),"")</f>
        <v/>
      </c>
      <c r="L604" s="36" t="str">
        <f ca="1">IFERROR(__xludf.DUMMYFUNCTION("""COMPUTED_VALUE"""),"")</f>
        <v/>
      </c>
      <c r="M604" s="36" t="str">
        <f ca="1">IFERROR(__xludf.DUMMYFUNCTION("""COMPUTED_VALUE"""),"")</f>
        <v/>
      </c>
      <c r="N604" s="36" t="str">
        <f ca="1">IFERROR(__xludf.DUMMYFUNCTION("""COMPUTED_VALUE"""),"")</f>
        <v/>
      </c>
      <c r="O604" s="36" t="str">
        <f ca="1">IFERROR(__xludf.DUMMYFUNCTION("""COMPUTED_VALUE"""),"")</f>
        <v/>
      </c>
      <c r="P604" s="36" t="str">
        <f ca="1">IFERROR(__xludf.DUMMYFUNCTION("""COMPUTED_VALUE"""),"")</f>
        <v/>
      </c>
      <c r="Q604" s="36" t="str">
        <f ca="1">IFERROR(__xludf.DUMMYFUNCTION("""COMPUTED_VALUE"""),"")</f>
        <v/>
      </c>
      <c r="R604" s="36" t="str">
        <f ca="1">IFERROR(__xludf.DUMMYFUNCTION("""COMPUTED_VALUE"""),"")</f>
        <v/>
      </c>
      <c r="S604" s="36" t="str">
        <f ca="1">IFERROR(__xludf.DUMMYFUNCTION("""COMPUTED_VALUE"""),"")</f>
        <v/>
      </c>
      <c r="T604" s="36" t="str">
        <f ca="1">IFERROR(__xludf.DUMMYFUNCTION("""COMPUTED_VALUE"""),"")</f>
        <v/>
      </c>
      <c r="U604" s="36" t="str">
        <f ca="1">IFERROR(__xludf.DUMMYFUNCTION("""COMPUTED_VALUE"""),"")</f>
        <v/>
      </c>
      <c r="V604" s="36" t="str">
        <f ca="1">IFERROR(__xludf.DUMMYFUNCTION("""COMPUTED_VALUE"""),"")</f>
        <v/>
      </c>
      <c r="W604" s="36" t="str">
        <f ca="1">IFERROR(__xludf.DUMMYFUNCTION("""COMPUTED_VALUE"""),"")</f>
        <v/>
      </c>
      <c r="X604" s="36"/>
      <c r="Y604" s="36"/>
      <c r="Z604" s="36"/>
    </row>
    <row r="605" spans="1:26" ht="12.75" hidden="1">
      <c r="A605" s="36" t="str">
        <f ca="1">IFERROR(__xludf.DUMMYFUNCTION("""COMPUTED_VALUE"""),"")</f>
        <v/>
      </c>
      <c r="B605" s="36" t="str">
        <f ca="1">IFERROR(__xludf.DUMMYFUNCTION("""COMPUTED_VALUE"""),"")</f>
        <v/>
      </c>
      <c r="C605" s="36" t="str">
        <f ca="1">IFERROR(__xludf.DUMMYFUNCTION("""COMPUTED_VALUE"""),"")</f>
        <v/>
      </c>
      <c r="D605" s="36" t="str">
        <f ca="1">IFERROR(__xludf.DUMMYFUNCTION("""COMPUTED_VALUE"""),"")</f>
        <v/>
      </c>
      <c r="E605" s="36" t="str">
        <f ca="1">IFERROR(__xludf.DUMMYFUNCTION("""COMPUTED_VALUE"""),"")</f>
        <v/>
      </c>
      <c r="F605" s="36" t="str">
        <f ca="1">IFERROR(__xludf.DUMMYFUNCTION("""COMPUTED_VALUE"""),"")</f>
        <v/>
      </c>
      <c r="G605" s="36" t="str">
        <f ca="1">IFERROR(__xludf.DUMMYFUNCTION("""COMPUTED_VALUE"""),"")</f>
        <v/>
      </c>
      <c r="H605" s="36" t="str">
        <f ca="1">IFERROR(__xludf.DUMMYFUNCTION("""COMPUTED_VALUE"""),"")</f>
        <v/>
      </c>
      <c r="I605" s="36" t="str">
        <f ca="1">IFERROR(__xludf.DUMMYFUNCTION("""COMPUTED_VALUE"""),"")</f>
        <v/>
      </c>
      <c r="J605" s="36" t="str">
        <f ca="1">IFERROR(__xludf.DUMMYFUNCTION("""COMPUTED_VALUE"""),"")</f>
        <v/>
      </c>
      <c r="K605" s="36" t="str">
        <f ca="1">IFERROR(__xludf.DUMMYFUNCTION("""COMPUTED_VALUE"""),"")</f>
        <v/>
      </c>
      <c r="L605" s="36" t="str">
        <f ca="1">IFERROR(__xludf.DUMMYFUNCTION("""COMPUTED_VALUE"""),"")</f>
        <v/>
      </c>
      <c r="M605" s="36" t="str">
        <f ca="1">IFERROR(__xludf.DUMMYFUNCTION("""COMPUTED_VALUE"""),"")</f>
        <v/>
      </c>
      <c r="N605" s="36" t="str">
        <f ca="1">IFERROR(__xludf.DUMMYFUNCTION("""COMPUTED_VALUE"""),"")</f>
        <v/>
      </c>
      <c r="O605" s="36" t="str">
        <f ca="1">IFERROR(__xludf.DUMMYFUNCTION("""COMPUTED_VALUE"""),"")</f>
        <v/>
      </c>
      <c r="P605" s="36" t="str">
        <f ca="1">IFERROR(__xludf.DUMMYFUNCTION("""COMPUTED_VALUE"""),"")</f>
        <v/>
      </c>
      <c r="Q605" s="36" t="str">
        <f ca="1">IFERROR(__xludf.DUMMYFUNCTION("""COMPUTED_VALUE"""),"")</f>
        <v/>
      </c>
      <c r="R605" s="36" t="str">
        <f ca="1">IFERROR(__xludf.DUMMYFUNCTION("""COMPUTED_VALUE"""),"")</f>
        <v/>
      </c>
      <c r="S605" s="36" t="str">
        <f ca="1">IFERROR(__xludf.DUMMYFUNCTION("""COMPUTED_VALUE"""),"")</f>
        <v/>
      </c>
      <c r="T605" s="36" t="str">
        <f ca="1">IFERROR(__xludf.DUMMYFUNCTION("""COMPUTED_VALUE"""),"")</f>
        <v/>
      </c>
      <c r="U605" s="36" t="str">
        <f ca="1">IFERROR(__xludf.DUMMYFUNCTION("""COMPUTED_VALUE"""),"")</f>
        <v/>
      </c>
      <c r="V605" s="36" t="str">
        <f ca="1">IFERROR(__xludf.DUMMYFUNCTION("""COMPUTED_VALUE"""),"")</f>
        <v/>
      </c>
      <c r="W605" s="36" t="str">
        <f ca="1">IFERROR(__xludf.DUMMYFUNCTION("""COMPUTED_VALUE"""),"")</f>
        <v/>
      </c>
      <c r="X605" s="36"/>
      <c r="Y605" s="36"/>
      <c r="Z605" s="36"/>
    </row>
    <row r="606" spans="1:26" ht="12.75" hidden="1">
      <c r="A606" s="36" t="str">
        <f ca="1">IFERROR(__xludf.DUMMYFUNCTION("""COMPUTED_VALUE"""),"")</f>
        <v/>
      </c>
      <c r="B606" s="36" t="str">
        <f ca="1">IFERROR(__xludf.DUMMYFUNCTION("""COMPUTED_VALUE"""),"")</f>
        <v/>
      </c>
      <c r="C606" s="36" t="str">
        <f ca="1">IFERROR(__xludf.DUMMYFUNCTION("""COMPUTED_VALUE"""),"")</f>
        <v/>
      </c>
      <c r="D606" s="36" t="str">
        <f ca="1">IFERROR(__xludf.DUMMYFUNCTION("""COMPUTED_VALUE"""),"")</f>
        <v/>
      </c>
      <c r="E606" s="36" t="str">
        <f ca="1">IFERROR(__xludf.DUMMYFUNCTION("""COMPUTED_VALUE"""),"")</f>
        <v/>
      </c>
      <c r="F606" s="36" t="str">
        <f ca="1">IFERROR(__xludf.DUMMYFUNCTION("""COMPUTED_VALUE"""),"")</f>
        <v/>
      </c>
      <c r="G606" s="36" t="str">
        <f ca="1">IFERROR(__xludf.DUMMYFUNCTION("""COMPUTED_VALUE"""),"")</f>
        <v/>
      </c>
      <c r="H606" s="36" t="str">
        <f ca="1">IFERROR(__xludf.DUMMYFUNCTION("""COMPUTED_VALUE"""),"")</f>
        <v/>
      </c>
      <c r="I606" s="36" t="str">
        <f ca="1">IFERROR(__xludf.DUMMYFUNCTION("""COMPUTED_VALUE"""),"")</f>
        <v/>
      </c>
      <c r="J606" s="36" t="str">
        <f ca="1">IFERROR(__xludf.DUMMYFUNCTION("""COMPUTED_VALUE"""),"")</f>
        <v/>
      </c>
      <c r="K606" s="36" t="str">
        <f ca="1">IFERROR(__xludf.DUMMYFUNCTION("""COMPUTED_VALUE"""),"")</f>
        <v/>
      </c>
      <c r="L606" s="36" t="str">
        <f ca="1">IFERROR(__xludf.DUMMYFUNCTION("""COMPUTED_VALUE"""),"")</f>
        <v/>
      </c>
      <c r="M606" s="36" t="str">
        <f ca="1">IFERROR(__xludf.DUMMYFUNCTION("""COMPUTED_VALUE"""),"")</f>
        <v/>
      </c>
      <c r="N606" s="36" t="str">
        <f ca="1">IFERROR(__xludf.DUMMYFUNCTION("""COMPUTED_VALUE"""),"")</f>
        <v/>
      </c>
      <c r="O606" s="36" t="str">
        <f ca="1">IFERROR(__xludf.DUMMYFUNCTION("""COMPUTED_VALUE"""),"")</f>
        <v/>
      </c>
      <c r="P606" s="36" t="str">
        <f ca="1">IFERROR(__xludf.DUMMYFUNCTION("""COMPUTED_VALUE"""),"")</f>
        <v/>
      </c>
      <c r="Q606" s="36" t="str">
        <f ca="1">IFERROR(__xludf.DUMMYFUNCTION("""COMPUTED_VALUE"""),"")</f>
        <v/>
      </c>
      <c r="R606" s="36" t="str">
        <f ca="1">IFERROR(__xludf.DUMMYFUNCTION("""COMPUTED_VALUE"""),"")</f>
        <v/>
      </c>
      <c r="S606" s="36" t="str">
        <f ca="1">IFERROR(__xludf.DUMMYFUNCTION("""COMPUTED_VALUE"""),"")</f>
        <v/>
      </c>
      <c r="T606" s="36" t="str">
        <f ca="1">IFERROR(__xludf.DUMMYFUNCTION("""COMPUTED_VALUE"""),"")</f>
        <v/>
      </c>
      <c r="U606" s="36" t="str">
        <f ca="1">IFERROR(__xludf.DUMMYFUNCTION("""COMPUTED_VALUE"""),"")</f>
        <v/>
      </c>
      <c r="V606" s="36" t="str">
        <f ca="1">IFERROR(__xludf.DUMMYFUNCTION("""COMPUTED_VALUE"""),"")</f>
        <v/>
      </c>
      <c r="W606" s="36" t="str">
        <f ca="1">IFERROR(__xludf.DUMMYFUNCTION("""COMPUTED_VALUE"""),"")</f>
        <v/>
      </c>
      <c r="X606" s="36"/>
      <c r="Y606" s="36"/>
      <c r="Z606" s="36"/>
    </row>
    <row r="607" spans="1:26" ht="12.75" hidden="1">
      <c r="A607" s="36" t="str">
        <f ca="1">IFERROR(__xludf.DUMMYFUNCTION("""COMPUTED_VALUE"""),"")</f>
        <v/>
      </c>
      <c r="B607" s="36" t="str">
        <f ca="1">IFERROR(__xludf.DUMMYFUNCTION("""COMPUTED_VALUE"""),"")</f>
        <v/>
      </c>
      <c r="C607" s="36" t="str">
        <f ca="1">IFERROR(__xludf.DUMMYFUNCTION("""COMPUTED_VALUE"""),"")</f>
        <v/>
      </c>
      <c r="D607" s="36" t="str">
        <f ca="1">IFERROR(__xludf.DUMMYFUNCTION("""COMPUTED_VALUE"""),"")</f>
        <v/>
      </c>
      <c r="E607" s="36" t="str">
        <f ca="1">IFERROR(__xludf.DUMMYFUNCTION("""COMPUTED_VALUE"""),"")</f>
        <v/>
      </c>
      <c r="F607" s="36" t="str">
        <f ca="1">IFERROR(__xludf.DUMMYFUNCTION("""COMPUTED_VALUE"""),"")</f>
        <v/>
      </c>
      <c r="G607" s="36" t="str">
        <f ca="1">IFERROR(__xludf.DUMMYFUNCTION("""COMPUTED_VALUE"""),"")</f>
        <v/>
      </c>
      <c r="H607" s="36" t="str">
        <f ca="1">IFERROR(__xludf.DUMMYFUNCTION("""COMPUTED_VALUE"""),"")</f>
        <v/>
      </c>
      <c r="I607" s="36" t="str">
        <f ca="1">IFERROR(__xludf.DUMMYFUNCTION("""COMPUTED_VALUE"""),"")</f>
        <v/>
      </c>
      <c r="J607" s="36" t="str">
        <f ca="1">IFERROR(__xludf.DUMMYFUNCTION("""COMPUTED_VALUE"""),"")</f>
        <v/>
      </c>
      <c r="K607" s="36" t="str">
        <f ca="1">IFERROR(__xludf.DUMMYFUNCTION("""COMPUTED_VALUE"""),"")</f>
        <v/>
      </c>
      <c r="L607" s="36" t="str">
        <f ca="1">IFERROR(__xludf.DUMMYFUNCTION("""COMPUTED_VALUE"""),"")</f>
        <v/>
      </c>
      <c r="M607" s="36" t="str">
        <f ca="1">IFERROR(__xludf.DUMMYFUNCTION("""COMPUTED_VALUE"""),"")</f>
        <v/>
      </c>
      <c r="N607" s="36" t="str">
        <f ca="1">IFERROR(__xludf.DUMMYFUNCTION("""COMPUTED_VALUE"""),"")</f>
        <v/>
      </c>
      <c r="O607" s="36" t="str">
        <f ca="1">IFERROR(__xludf.DUMMYFUNCTION("""COMPUTED_VALUE"""),"")</f>
        <v/>
      </c>
      <c r="P607" s="36" t="str">
        <f ca="1">IFERROR(__xludf.DUMMYFUNCTION("""COMPUTED_VALUE"""),"")</f>
        <v/>
      </c>
      <c r="Q607" s="36" t="str">
        <f ca="1">IFERROR(__xludf.DUMMYFUNCTION("""COMPUTED_VALUE"""),"")</f>
        <v/>
      </c>
      <c r="R607" s="36" t="str">
        <f ca="1">IFERROR(__xludf.DUMMYFUNCTION("""COMPUTED_VALUE"""),"")</f>
        <v/>
      </c>
      <c r="S607" s="36" t="str">
        <f ca="1">IFERROR(__xludf.DUMMYFUNCTION("""COMPUTED_VALUE"""),"")</f>
        <v/>
      </c>
      <c r="T607" s="36" t="str">
        <f ca="1">IFERROR(__xludf.DUMMYFUNCTION("""COMPUTED_VALUE"""),"")</f>
        <v/>
      </c>
      <c r="U607" s="36" t="str">
        <f ca="1">IFERROR(__xludf.DUMMYFUNCTION("""COMPUTED_VALUE"""),"")</f>
        <v/>
      </c>
      <c r="V607" s="36" t="str">
        <f ca="1">IFERROR(__xludf.DUMMYFUNCTION("""COMPUTED_VALUE"""),"")</f>
        <v/>
      </c>
      <c r="W607" s="36" t="str">
        <f ca="1">IFERROR(__xludf.DUMMYFUNCTION("""COMPUTED_VALUE"""),"")</f>
        <v/>
      </c>
      <c r="X607" s="36"/>
      <c r="Y607" s="36"/>
      <c r="Z607" s="36"/>
    </row>
    <row r="608" spans="1:26" ht="12.75" hidden="1">
      <c r="A608" s="36" t="str">
        <f ca="1">IFERROR(__xludf.DUMMYFUNCTION("""COMPUTED_VALUE"""),"")</f>
        <v/>
      </c>
      <c r="B608" s="36" t="str">
        <f ca="1">IFERROR(__xludf.DUMMYFUNCTION("""COMPUTED_VALUE"""),"")</f>
        <v/>
      </c>
      <c r="C608" s="36" t="str">
        <f ca="1">IFERROR(__xludf.DUMMYFUNCTION("""COMPUTED_VALUE"""),"")</f>
        <v/>
      </c>
      <c r="D608" s="36" t="str">
        <f ca="1">IFERROR(__xludf.DUMMYFUNCTION("""COMPUTED_VALUE"""),"")</f>
        <v/>
      </c>
      <c r="E608" s="36" t="str">
        <f ca="1">IFERROR(__xludf.DUMMYFUNCTION("""COMPUTED_VALUE"""),"")</f>
        <v/>
      </c>
      <c r="F608" s="36" t="str">
        <f ca="1">IFERROR(__xludf.DUMMYFUNCTION("""COMPUTED_VALUE"""),"")</f>
        <v/>
      </c>
      <c r="G608" s="36" t="str">
        <f ca="1">IFERROR(__xludf.DUMMYFUNCTION("""COMPUTED_VALUE"""),"")</f>
        <v/>
      </c>
      <c r="H608" s="36" t="str">
        <f ca="1">IFERROR(__xludf.DUMMYFUNCTION("""COMPUTED_VALUE"""),"")</f>
        <v/>
      </c>
      <c r="I608" s="36" t="str">
        <f ca="1">IFERROR(__xludf.DUMMYFUNCTION("""COMPUTED_VALUE"""),"")</f>
        <v/>
      </c>
      <c r="J608" s="36" t="str">
        <f ca="1">IFERROR(__xludf.DUMMYFUNCTION("""COMPUTED_VALUE"""),"")</f>
        <v/>
      </c>
      <c r="K608" s="36" t="str">
        <f ca="1">IFERROR(__xludf.DUMMYFUNCTION("""COMPUTED_VALUE"""),"")</f>
        <v/>
      </c>
      <c r="L608" s="36" t="str">
        <f ca="1">IFERROR(__xludf.DUMMYFUNCTION("""COMPUTED_VALUE"""),"")</f>
        <v/>
      </c>
      <c r="M608" s="36" t="str">
        <f ca="1">IFERROR(__xludf.DUMMYFUNCTION("""COMPUTED_VALUE"""),"")</f>
        <v/>
      </c>
      <c r="N608" s="36" t="str">
        <f ca="1">IFERROR(__xludf.DUMMYFUNCTION("""COMPUTED_VALUE"""),"")</f>
        <v/>
      </c>
      <c r="O608" s="36" t="str">
        <f ca="1">IFERROR(__xludf.DUMMYFUNCTION("""COMPUTED_VALUE"""),"")</f>
        <v/>
      </c>
      <c r="P608" s="36" t="str">
        <f ca="1">IFERROR(__xludf.DUMMYFUNCTION("""COMPUTED_VALUE"""),"")</f>
        <v/>
      </c>
      <c r="Q608" s="36" t="str">
        <f ca="1">IFERROR(__xludf.DUMMYFUNCTION("""COMPUTED_VALUE"""),"")</f>
        <v/>
      </c>
      <c r="R608" s="36" t="str">
        <f ca="1">IFERROR(__xludf.DUMMYFUNCTION("""COMPUTED_VALUE"""),"")</f>
        <v/>
      </c>
      <c r="S608" s="36" t="str">
        <f ca="1">IFERROR(__xludf.DUMMYFUNCTION("""COMPUTED_VALUE"""),"")</f>
        <v/>
      </c>
      <c r="T608" s="36" t="str">
        <f ca="1">IFERROR(__xludf.DUMMYFUNCTION("""COMPUTED_VALUE"""),"")</f>
        <v/>
      </c>
      <c r="U608" s="36" t="str">
        <f ca="1">IFERROR(__xludf.DUMMYFUNCTION("""COMPUTED_VALUE"""),"")</f>
        <v/>
      </c>
      <c r="V608" s="36" t="str">
        <f ca="1">IFERROR(__xludf.DUMMYFUNCTION("""COMPUTED_VALUE"""),"")</f>
        <v/>
      </c>
      <c r="W608" s="36" t="str">
        <f ca="1">IFERROR(__xludf.DUMMYFUNCTION("""COMPUTED_VALUE"""),"")</f>
        <v/>
      </c>
      <c r="X608" s="36"/>
      <c r="Y608" s="36"/>
      <c r="Z608" s="36"/>
    </row>
    <row r="609" spans="1:26" ht="12.75" hidden="1">
      <c r="A609" s="36" t="str">
        <f ca="1">IFERROR(__xludf.DUMMYFUNCTION("""COMPUTED_VALUE"""),"")</f>
        <v/>
      </c>
      <c r="B609" s="36" t="str">
        <f ca="1">IFERROR(__xludf.DUMMYFUNCTION("""COMPUTED_VALUE"""),"")</f>
        <v/>
      </c>
      <c r="C609" s="36" t="str">
        <f ca="1">IFERROR(__xludf.DUMMYFUNCTION("""COMPUTED_VALUE"""),"")</f>
        <v/>
      </c>
      <c r="D609" s="36" t="str">
        <f ca="1">IFERROR(__xludf.DUMMYFUNCTION("""COMPUTED_VALUE"""),"")</f>
        <v/>
      </c>
      <c r="E609" s="36" t="str">
        <f ca="1">IFERROR(__xludf.DUMMYFUNCTION("""COMPUTED_VALUE"""),"")</f>
        <v/>
      </c>
      <c r="F609" s="36" t="str">
        <f ca="1">IFERROR(__xludf.DUMMYFUNCTION("""COMPUTED_VALUE"""),"")</f>
        <v/>
      </c>
      <c r="G609" s="36" t="str">
        <f ca="1">IFERROR(__xludf.DUMMYFUNCTION("""COMPUTED_VALUE"""),"")</f>
        <v/>
      </c>
      <c r="H609" s="36" t="str">
        <f ca="1">IFERROR(__xludf.DUMMYFUNCTION("""COMPUTED_VALUE"""),"")</f>
        <v/>
      </c>
      <c r="I609" s="36" t="str">
        <f ca="1">IFERROR(__xludf.DUMMYFUNCTION("""COMPUTED_VALUE"""),"")</f>
        <v/>
      </c>
      <c r="J609" s="36" t="str">
        <f ca="1">IFERROR(__xludf.DUMMYFUNCTION("""COMPUTED_VALUE"""),"")</f>
        <v/>
      </c>
      <c r="K609" s="36" t="str">
        <f ca="1">IFERROR(__xludf.DUMMYFUNCTION("""COMPUTED_VALUE"""),"")</f>
        <v/>
      </c>
      <c r="L609" s="36" t="str">
        <f ca="1">IFERROR(__xludf.DUMMYFUNCTION("""COMPUTED_VALUE"""),"")</f>
        <v/>
      </c>
      <c r="M609" s="36" t="str">
        <f ca="1">IFERROR(__xludf.DUMMYFUNCTION("""COMPUTED_VALUE"""),"")</f>
        <v/>
      </c>
      <c r="N609" s="36" t="str">
        <f ca="1">IFERROR(__xludf.DUMMYFUNCTION("""COMPUTED_VALUE"""),"")</f>
        <v/>
      </c>
      <c r="O609" s="36" t="str">
        <f ca="1">IFERROR(__xludf.DUMMYFUNCTION("""COMPUTED_VALUE"""),"")</f>
        <v/>
      </c>
      <c r="P609" s="36" t="str">
        <f ca="1">IFERROR(__xludf.DUMMYFUNCTION("""COMPUTED_VALUE"""),"")</f>
        <v/>
      </c>
      <c r="Q609" s="36" t="str">
        <f ca="1">IFERROR(__xludf.DUMMYFUNCTION("""COMPUTED_VALUE"""),"")</f>
        <v/>
      </c>
      <c r="R609" s="36" t="str">
        <f ca="1">IFERROR(__xludf.DUMMYFUNCTION("""COMPUTED_VALUE"""),"")</f>
        <v/>
      </c>
      <c r="S609" s="36" t="str">
        <f ca="1">IFERROR(__xludf.DUMMYFUNCTION("""COMPUTED_VALUE"""),"")</f>
        <v/>
      </c>
      <c r="T609" s="36" t="str">
        <f ca="1">IFERROR(__xludf.DUMMYFUNCTION("""COMPUTED_VALUE"""),"")</f>
        <v/>
      </c>
      <c r="U609" s="36" t="str">
        <f ca="1">IFERROR(__xludf.DUMMYFUNCTION("""COMPUTED_VALUE"""),"")</f>
        <v/>
      </c>
      <c r="V609" s="36" t="str">
        <f ca="1">IFERROR(__xludf.DUMMYFUNCTION("""COMPUTED_VALUE"""),"")</f>
        <v/>
      </c>
      <c r="W609" s="36" t="str">
        <f ca="1">IFERROR(__xludf.DUMMYFUNCTION("""COMPUTED_VALUE"""),"")</f>
        <v/>
      </c>
      <c r="X609" s="36"/>
      <c r="Y609" s="36"/>
      <c r="Z609" s="36"/>
    </row>
    <row r="610" spans="1:26" ht="12.75" hidden="1">
      <c r="A610" s="36" t="str">
        <f ca="1">IFERROR(__xludf.DUMMYFUNCTION("""COMPUTED_VALUE"""),"")</f>
        <v/>
      </c>
      <c r="B610" s="36" t="str">
        <f ca="1">IFERROR(__xludf.DUMMYFUNCTION("""COMPUTED_VALUE"""),"")</f>
        <v/>
      </c>
      <c r="C610" s="36" t="str">
        <f ca="1">IFERROR(__xludf.DUMMYFUNCTION("""COMPUTED_VALUE"""),"")</f>
        <v/>
      </c>
      <c r="D610" s="36" t="str">
        <f ca="1">IFERROR(__xludf.DUMMYFUNCTION("""COMPUTED_VALUE"""),"")</f>
        <v/>
      </c>
      <c r="E610" s="36" t="str">
        <f ca="1">IFERROR(__xludf.DUMMYFUNCTION("""COMPUTED_VALUE"""),"")</f>
        <v/>
      </c>
      <c r="F610" s="36" t="str">
        <f ca="1">IFERROR(__xludf.DUMMYFUNCTION("""COMPUTED_VALUE"""),"")</f>
        <v/>
      </c>
      <c r="G610" s="36" t="str">
        <f ca="1">IFERROR(__xludf.DUMMYFUNCTION("""COMPUTED_VALUE"""),"")</f>
        <v/>
      </c>
      <c r="H610" s="36" t="str">
        <f ca="1">IFERROR(__xludf.DUMMYFUNCTION("""COMPUTED_VALUE"""),"")</f>
        <v/>
      </c>
      <c r="I610" s="36" t="str">
        <f ca="1">IFERROR(__xludf.DUMMYFUNCTION("""COMPUTED_VALUE"""),"")</f>
        <v/>
      </c>
      <c r="J610" s="36" t="str">
        <f ca="1">IFERROR(__xludf.DUMMYFUNCTION("""COMPUTED_VALUE"""),"")</f>
        <v/>
      </c>
      <c r="K610" s="36" t="str">
        <f ca="1">IFERROR(__xludf.DUMMYFUNCTION("""COMPUTED_VALUE"""),"")</f>
        <v/>
      </c>
      <c r="L610" s="36" t="str">
        <f ca="1">IFERROR(__xludf.DUMMYFUNCTION("""COMPUTED_VALUE"""),"")</f>
        <v/>
      </c>
      <c r="M610" s="36" t="str">
        <f ca="1">IFERROR(__xludf.DUMMYFUNCTION("""COMPUTED_VALUE"""),"")</f>
        <v/>
      </c>
      <c r="N610" s="36" t="str">
        <f ca="1">IFERROR(__xludf.DUMMYFUNCTION("""COMPUTED_VALUE"""),"")</f>
        <v/>
      </c>
      <c r="O610" s="36" t="str">
        <f ca="1">IFERROR(__xludf.DUMMYFUNCTION("""COMPUTED_VALUE"""),"")</f>
        <v/>
      </c>
      <c r="P610" s="36" t="str">
        <f ca="1">IFERROR(__xludf.DUMMYFUNCTION("""COMPUTED_VALUE"""),"")</f>
        <v/>
      </c>
      <c r="Q610" s="36" t="str">
        <f ca="1">IFERROR(__xludf.DUMMYFUNCTION("""COMPUTED_VALUE"""),"")</f>
        <v/>
      </c>
      <c r="R610" s="36" t="str">
        <f ca="1">IFERROR(__xludf.DUMMYFUNCTION("""COMPUTED_VALUE"""),"")</f>
        <v/>
      </c>
      <c r="S610" s="36" t="str">
        <f ca="1">IFERROR(__xludf.DUMMYFUNCTION("""COMPUTED_VALUE"""),"")</f>
        <v/>
      </c>
      <c r="T610" s="36" t="str">
        <f ca="1">IFERROR(__xludf.DUMMYFUNCTION("""COMPUTED_VALUE"""),"")</f>
        <v/>
      </c>
      <c r="U610" s="36" t="str">
        <f ca="1">IFERROR(__xludf.DUMMYFUNCTION("""COMPUTED_VALUE"""),"")</f>
        <v/>
      </c>
      <c r="V610" s="36" t="str">
        <f ca="1">IFERROR(__xludf.DUMMYFUNCTION("""COMPUTED_VALUE"""),"")</f>
        <v/>
      </c>
      <c r="W610" s="36" t="str">
        <f ca="1">IFERROR(__xludf.DUMMYFUNCTION("""COMPUTED_VALUE"""),"")</f>
        <v/>
      </c>
      <c r="X610" s="36"/>
      <c r="Y610" s="36"/>
      <c r="Z610" s="36"/>
    </row>
    <row r="611" spans="1:26" ht="12.75" hidden="1">
      <c r="A611" s="36" t="str">
        <f ca="1">IFERROR(__xludf.DUMMYFUNCTION("""COMPUTED_VALUE"""),"")</f>
        <v/>
      </c>
      <c r="B611" s="36" t="str">
        <f ca="1">IFERROR(__xludf.DUMMYFUNCTION("""COMPUTED_VALUE"""),"")</f>
        <v/>
      </c>
      <c r="C611" s="36" t="str">
        <f ca="1">IFERROR(__xludf.DUMMYFUNCTION("""COMPUTED_VALUE"""),"")</f>
        <v/>
      </c>
      <c r="D611" s="36" t="str">
        <f ca="1">IFERROR(__xludf.DUMMYFUNCTION("""COMPUTED_VALUE"""),"")</f>
        <v/>
      </c>
      <c r="E611" s="36" t="str">
        <f ca="1">IFERROR(__xludf.DUMMYFUNCTION("""COMPUTED_VALUE"""),"")</f>
        <v/>
      </c>
      <c r="F611" s="36" t="str">
        <f ca="1">IFERROR(__xludf.DUMMYFUNCTION("""COMPUTED_VALUE"""),"")</f>
        <v/>
      </c>
      <c r="G611" s="36" t="str">
        <f ca="1">IFERROR(__xludf.DUMMYFUNCTION("""COMPUTED_VALUE"""),"")</f>
        <v/>
      </c>
      <c r="H611" s="36" t="str">
        <f ca="1">IFERROR(__xludf.DUMMYFUNCTION("""COMPUTED_VALUE"""),"")</f>
        <v/>
      </c>
      <c r="I611" s="36" t="str">
        <f ca="1">IFERROR(__xludf.DUMMYFUNCTION("""COMPUTED_VALUE"""),"")</f>
        <v/>
      </c>
      <c r="J611" s="36" t="str">
        <f ca="1">IFERROR(__xludf.DUMMYFUNCTION("""COMPUTED_VALUE"""),"")</f>
        <v/>
      </c>
      <c r="K611" s="36" t="str">
        <f ca="1">IFERROR(__xludf.DUMMYFUNCTION("""COMPUTED_VALUE"""),"")</f>
        <v/>
      </c>
      <c r="L611" s="36" t="str">
        <f ca="1">IFERROR(__xludf.DUMMYFUNCTION("""COMPUTED_VALUE"""),"")</f>
        <v/>
      </c>
      <c r="M611" s="36" t="str">
        <f ca="1">IFERROR(__xludf.DUMMYFUNCTION("""COMPUTED_VALUE"""),"")</f>
        <v/>
      </c>
      <c r="N611" s="36" t="str">
        <f ca="1">IFERROR(__xludf.DUMMYFUNCTION("""COMPUTED_VALUE"""),"")</f>
        <v/>
      </c>
      <c r="O611" s="36" t="str">
        <f ca="1">IFERROR(__xludf.DUMMYFUNCTION("""COMPUTED_VALUE"""),"")</f>
        <v/>
      </c>
      <c r="P611" s="36" t="str">
        <f ca="1">IFERROR(__xludf.DUMMYFUNCTION("""COMPUTED_VALUE"""),"")</f>
        <v/>
      </c>
      <c r="Q611" s="36" t="str">
        <f ca="1">IFERROR(__xludf.DUMMYFUNCTION("""COMPUTED_VALUE"""),"")</f>
        <v/>
      </c>
      <c r="R611" s="36" t="str">
        <f ca="1">IFERROR(__xludf.DUMMYFUNCTION("""COMPUTED_VALUE"""),"")</f>
        <v/>
      </c>
      <c r="S611" s="36" t="str">
        <f ca="1">IFERROR(__xludf.DUMMYFUNCTION("""COMPUTED_VALUE"""),"")</f>
        <v/>
      </c>
      <c r="T611" s="36" t="str">
        <f ca="1">IFERROR(__xludf.DUMMYFUNCTION("""COMPUTED_VALUE"""),"")</f>
        <v/>
      </c>
      <c r="U611" s="36" t="str">
        <f ca="1">IFERROR(__xludf.DUMMYFUNCTION("""COMPUTED_VALUE"""),"")</f>
        <v/>
      </c>
      <c r="V611" s="36" t="str">
        <f ca="1">IFERROR(__xludf.DUMMYFUNCTION("""COMPUTED_VALUE"""),"")</f>
        <v/>
      </c>
      <c r="W611" s="36" t="str">
        <f ca="1">IFERROR(__xludf.DUMMYFUNCTION("""COMPUTED_VALUE"""),"")</f>
        <v/>
      </c>
      <c r="X611" s="36"/>
      <c r="Y611" s="36"/>
      <c r="Z611" s="36"/>
    </row>
    <row r="612" spans="1:26" ht="12.75" hidden="1">
      <c r="A612" s="36" t="str">
        <f ca="1">IFERROR(__xludf.DUMMYFUNCTION("""COMPUTED_VALUE"""),"")</f>
        <v/>
      </c>
      <c r="B612" s="36" t="str">
        <f ca="1">IFERROR(__xludf.DUMMYFUNCTION("""COMPUTED_VALUE"""),"")</f>
        <v/>
      </c>
      <c r="C612" s="36" t="str">
        <f ca="1">IFERROR(__xludf.DUMMYFUNCTION("""COMPUTED_VALUE"""),"")</f>
        <v/>
      </c>
      <c r="D612" s="36" t="str">
        <f ca="1">IFERROR(__xludf.DUMMYFUNCTION("""COMPUTED_VALUE"""),"")</f>
        <v/>
      </c>
      <c r="E612" s="36" t="str">
        <f ca="1">IFERROR(__xludf.DUMMYFUNCTION("""COMPUTED_VALUE"""),"")</f>
        <v/>
      </c>
      <c r="F612" s="36" t="str">
        <f ca="1">IFERROR(__xludf.DUMMYFUNCTION("""COMPUTED_VALUE"""),"")</f>
        <v/>
      </c>
      <c r="G612" s="36" t="str">
        <f ca="1">IFERROR(__xludf.DUMMYFUNCTION("""COMPUTED_VALUE"""),"")</f>
        <v/>
      </c>
      <c r="H612" s="36" t="str">
        <f ca="1">IFERROR(__xludf.DUMMYFUNCTION("""COMPUTED_VALUE"""),"")</f>
        <v/>
      </c>
      <c r="I612" s="36" t="str">
        <f ca="1">IFERROR(__xludf.DUMMYFUNCTION("""COMPUTED_VALUE"""),"")</f>
        <v/>
      </c>
      <c r="J612" s="36" t="str">
        <f ca="1">IFERROR(__xludf.DUMMYFUNCTION("""COMPUTED_VALUE"""),"")</f>
        <v/>
      </c>
      <c r="K612" s="36" t="str">
        <f ca="1">IFERROR(__xludf.DUMMYFUNCTION("""COMPUTED_VALUE"""),"")</f>
        <v/>
      </c>
      <c r="L612" s="36" t="str">
        <f ca="1">IFERROR(__xludf.DUMMYFUNCTION("""COMPUTED_VALUE"""),"")</f>
        <v/>
      </c>
      <c r="M612" s="36" t="str">
        <f ca="1">IFERROR(__xludf.DUMMYFUNCTION("""COMPUTED_VALUE"""),"")</f>
        <v/>
      </c>
      <c r="N612" s="36" t="str">
        <f ca="1">IFERROR(__xludf.DUMMYFUNCTION("""COMPUTED_VALUE"""),"")</f>
        <v/>
      </c>
      <c r="O612" s="36" t="str">
        <f ca="1">IFERROR(__xludf.DUMMYFUNCTION("""COMPUTED_VALUE"""),"")</f>
        <v/>
      </c>
      <c r="P612" s="36" t="str">
        <f ca="1">IFERROR(__xludf.DUMMYFUNCTION("""COMPUTED_VALUE"""),"")</f>
        <v/>
      </c>
      <c r="Q612" s="36" t="str">
        <f ca="1">IFERROR(__xludf.DUMMYFUNCTION("""COMPUTED_VALUE"""),"")</f>
        <v/>
      </c>
      <c r="R612" s="36" t="str">
        <f ca="1">IFERROR(__xludf.DUMMYFUNCTION("""COMPUTED_VALUE"""),"")</f>
        <v/>
      </c>
      <c r="S612" s="36" t="str">
        <f ca="1">IFERROR(__xludf.DUMMYFUNCTION("""COMPUTED_VALUE"""),"")</f>
        <v/>
      </c>
      <c r="T612" s="36" t="str">
        <f ca="1">IFERROR(__xludf.DUMMYFUNCTION("""COMPUTED_VALUE"""),"")</f>
        <v/>
      </c>
      <c r="U612" s="36" t="str">
        <f ca="1">IFERROR(__xludf.DUMMYFUNCTION("""COMPUTED_VALUE"""),"")</f>
        <v/>
      </c>
      <c r="V612" s="36" t="str">
        <f ca="1">IFERROR(__xludf.DUMMYFUNCTION("""COMPUTED_VALUE"""),"")</f>
        <v/>
      </c>
      <c r="W612" s="36" t="str">
        <f ca="1">IFERROR(__xludf.DUMMYFUNCTION("""COMPUTED_VALUE"""),"")</f>
        <v/>
      </c>
      <c r="X612" s="36"/>
      <c r="Y612" s="36"/>
      <c r="Z612" s="36"/>
    </row>
    <row r="613" spans="1:26" ht="12.75" hidden="1">
      <c r="A613" s="36" t="str">
        <f ca="1">IFERROR(__xludf.DUMMYFUNCTION("""COMPUTED_VALUE"""),"")</f>
        <v/>
      </c>
      <c r="B613" s="36" t="str">
        <f ca="1">IFERROR(__xludf.DUMMYFUNCTION("""COMPUTED_VALUE"""),"")</f>
        <v/>
      </c>
      <c r="C613" s="36" t="str">
        <f ca="1">IFERROR(__xludf.DUMMYFUNCTION("""COMPUTED_VALUE"""),"")</f>
        <v/>
      </c>
      <c r="D613" s="36" t="str">
        <f ca="1">IFERROR(__xludf.DUMMYFUNCTION("""COMPUTED_VALUE"""),"")</f>
        <v/>
      </c>
      <c r="E613" s="36" t="str">
        <f ca="1">IFERROR(__xludf.DUMMYFUNCTION("""COMPUTED_VALUE"""),"")</f>
        <v/>
      </c>
      <c r="F613" s="36" t="str">
        <f ca="1">IFERROR(__xludf.DUMMYFUNCTION("""COMPUTED_VALUE"""),"")</f>
        <v/>
      </c>
      <c r="G613" s="36" t="str">
        <f ca="1">IFERROR(__xludf.DUMMYFUNCTION("""COMPUTED_VALUE"""),"")</f>
        <v/>
      </c>
      <c r="H613" s="36" t="str">
        <f ca="1">IFERROR(__xludf.DUMMYFUNCTION("""COMPUTED_VALUE"""),"")</f>
        <v/>
      </c>
      <c r="I613" s="36" t="str">
        <f ca="1">IFERROR(__xludf.DUMMYFUNCTION("""COMPUTED_VALUE"""),"")</f>
        <v/>
      </c>
      <c r="J613" s="36" t="str">
        <f ca="1">IFERROR(__xludf.DUMMYFUNCTION("""COMPUTED_VALUE"""),"")</f>
        <v/>
      </c>
      <c r="K613" s="36" t="str">
        <f ca="1">IFERROR(__xludf.DUMMYFUNCTION("""COMPUTED_VALUE"""),"")</f>
        <v/>
      </c>
      <c r="L613" s="36" t="str">
        <f ca="1">IFERROR(__xludf.DUMMYFUNCTION("""COMPUTED_VALUE"""),"")</f>
        <v/>
      </c>
      <c r="M613" s="36" t="str">
        <f ca="1">IFERROR(__xludf.DUMMYFUNCTION("""COMPUTED_VALUE"""),"")</f>
        <v/>
      </c>
      <c r="N613" s="36" t="str">
        <f ca="1">IFERROR(__xludf.DUMMYFUNCTION("""COMPUTED_VALUE"""),"")</f>
        <v/>
      </c>
      <c r="O613" s="36" t="str">
        <f ca="1">IFERROR(__xludf.DUMMYFUNCTION("""COMPUTED_VALUE"""),"")</f>
        <v/>
      </c>
      <c r="P613" s="36" t="str">
        <f ca="1">IFERROR(__xludf.DUMMYFUNCTION("""COMPUTED_VALUE"""),"")</f>
        <v/>
      </c>
      <c r="Q613" s="36" t="str">
        <f ca="1">IFERROR(__xludf.DUMMYFUNCTION("""COMPUTED_VALUE"""),"")</f>
        <v/>
      </c>
      <c r="R613" s="36" t="str">
        <f ca="1">IFERROR(__xludf.DUMMYFUNCTION("""COMPUTED_VALUE"""),"")</f>
        <v/>
      </c>
      <c r="S613" s="36" t="str">
        <f ca="1">IFERROR(__xludf.DUMMYFUNCTION("""COMPUTED_VALUE"""),"")</f>
        <v/>
      </c>
      <c r="T613" s="36" t="str">
        <f ca="1">IFERROR(__xludf.DUMMYFUNCTION("""COMPUTED_VALUE"""),"")</f>
        <v/>
      </c>
      <c r="U613" s="36" t="str">
        <f ca="1">IFERROR(__xludf.DUMMYFUNCTION("""COMPUTED_VALUE"""),"")</f>
        <v/>
      </c>
      <c r="V613" s="36" t="str">
        <f ca="1">IFERROR(__xludf.DUMMYFUNCTION("""COMPUTED_VALUE"""),"")</f>
        <v/>
      </c>
      <c r="W613" s="36" t="str">
        <f ca="1">IFERROR(__xludf.DUMMYFUNCTION("""COMPUTED_VALUE"""),"")</f>
        <v/>
      </c>
      <c r="X613" s="36"/>
      <c r="Y613" s="36"/>
      <c r="Z613" s="36"/>
    </row>
    <row r="614" spans="1:26" ht="12.75" hidden="1">
      <c r="A614" s="36" t="str">
        <f ca="1">IFERROR(__xludf.DUMMYFUNCTION("""COMPUTED_VALUE"""),"")</f>
        <v/>
      </c>
      <c r="B614" s="36" t="str">
        <f ca="1">IFERROR(__xludf.DUMMYFUNCTION("""COMPUTED_VALUE"""),"")</f>
        <v/>
      </c>
      <c r="C614" s="36" t="str">
        <f ca="1">IFERROR(__xludf.DUMMYFUNCTION("""COMPUTED_VALUE"""),"")</f>
        <v/>
      </c>
      <c r="D614" s="36" t="str">
        <f ca="1">IFERROR(__xludf.DUMMYFUNCTION("""COMPUTED_VALUE"""),"")</f>
        <v/>
      </c>
      <c r="E614" s="36" t="str">
        <f ca="1">IFERROR(__xludf.DUMMYFUNCTION("""COMPUTED_VALUE"""),"")</f>
        <v/>
      </c>
      <c r="F614" s="36" t="str">
        <f ca="1">IFERROR(__xludf.DUMMYFUNCTION("""COMPUTED_VALUE"""),"")</f>
        <v/>
      </c>
      <c r="G614" s="36" t="str">
        <f ca="1">IFERROR(__xludf.DUMMYFUNCTION("""COMPUTED_VALUE"""),"")</f>
        <v/>
      </c>
      <c r="H614" s="36" t="str">
        <f ca="1">IFERROR(__xludf.DUMMYFUNCTION("""COMPUTED_VALUE"""),"")</f>
        <v/>
      </c>
      <c r="I614" s="36" t="str">
        <f ca="1">IFERROR(__xludf.DUMMYFUNCTION("""COMPUTED_VALUE"""),"")</f>
        <v/>
      </c>
      <c r="J614" s="36" t="str">
        <f ca="1">IFERROR(__xludf.DUMMYFUNCTION("""COMPUTED_VALUE"""),"")</f>
        <v/>
      </c>
      <c r="K614" s="36" t="str">
        <f ca="1">IFERROR(__xludf.DUMMYFUNCTION("""COMPUTED_VALUE"""),"")</f>
        <v/>
      </c>
      <c r="L614" s="36" t="str">
        <f ca="1">IFERROR(__xludf.DUMMYFUNCTION("""COMPUTED_VALUE"""),"")</f>
        <v/>
      </c>
      <c r="M614" s="36" t="str">
        <f ca="1">IFERROR(__xludf.DUMMYFUNCTION("""COMPUTED_VALUE"""),"")</f>
        <v/>
      </c>
      <c r="N614" s="36" t="str">
        <f ca="1">IFERROR(__xludf.DUMMYFUNCTION("""COMPUTED_VALUE"""),"")</f>
        <v/>
      </c>
      <c r="O614" s="36" t="str">
        <f ca="1">IFERROR(__xludf.DUMMYFUNCTION("""COMPUTED_VALUE"""),"")</f>
        <v/>
      </c>
      <c r="P614" s="36" t="str">
        <f ca="1">IFERROR(__xludf.DUMMYFUNCTION("""COMPUTED_VALUE"""),"")</f>
        <v/>
      </c>
      <c r="Q614" s="36" t="str">
        <f ca="1">IFERROR(__xludf.DUMMYFUNCTION("""COMPUTED_VALUE"""),"")</f>
        <v/>
      </c>
      <c r="R614" s="36" t="str">
        <f ca="1">IFERROR(__xludf.DUMMYFUNCTION("""COMPUTED_VALUE"""),"")</f>
        <v/>
      </c>
      <c r="S614" s="36" t="str">
        <f ca="1">IFERROR(__xludf.DUMMYFUNCTION("""COMPUTED_VALUE"""),"")</f>
        <v/>
      </c>
      <c r="T614" s="36" t="str">
        <f ca="1">IFERROR(__xludf.DUMMYFUNCTION("""COMPUTED_VALUE"""),"")</f>
        <v/>
      </c>
      <c r="U614" s="36" t="str">
        <f ca="1">IFERROR(__xludf.DUMMYFUNCTION("""COMPUTED_VALUE"""),"")</f>
        <v/>
      </c>
      <c r="V614" s="36" t="str">
        <f ca="1">IFERROR(__xludf.DUMMYFUNCTION("""COMPUTED_VALUE"""),"")</f>
        <v/>
      </c>
      <c r="W614" s="36" t="str">
        <f ca="1">IFERROR(__xludf.DUMMYFUNCTION("""COMPUTED_VALUE"""),"")</f>
        <v/>
      </c>
      <c r="X614" s="36"/>
      <c r="Y614" s="36"/>
      <c r="Z614" s="36"/>
    </row>
    <row r="615" spans="1:26" ht="12.75" hidden="1">
      <c r="A615" s="36" t="str">
        <f ca="1">IFERROR(__xludf.DUMMYFUNCTION("""COMPUTED_VALUE"""),"")</f>
        <v/>
      </c>
      <c r="B615" s="36" t="str">
        <f ca="1">IFERROR(__xludf.DUMMYFUNCTION("""COMPUTED_VALUE"""),"")</f>
        <v/>
      </c>
      <c r="C615" s="36" t="str">
        <f ca="1">IFERROR(__xludf.DUMMYFUNCTION("""COMPUTED_VALUE"""),"")</f>
        <v/>
      </c>
      <c r="D615" s="36" t="str">
        <f ca="1">IFERROR(__xludf.DUMMYFUNCTION("""COMPUTED_VALUE"""),"")</f>
        <v/>
      </c>
      <c r="E615" s="36" t="str">
        <f ca="1">IFERROR(__xludf.DUMMYFUNCTION("""COMPUTED_VALUE"""),"")</f>
        <v/>
      </c>
      <c r="F615" s="36" t="str">
        <f ca="1">IFERROR(__xludf.DUMMYFUNCTION("""COMPUTED_VALUE"""),"")</f>
        <v/>
      </c>
      <c r="G615" s="36" t="str">
        <f ca="1">IFERROR(__xludf.DUMMYFUNCTION("""COMPUTED_VALUE"""),"")</f>
        <v/>
      </c>
      <c r="H615" s="36" t="str">
        <f ca="1">IFERROR(__xludf.DUMMYFUNCTION("""COMPUTED_VALUE"""),"")</f>
        <v/>
      </c>
      <c r="I615" s="36" t="str">
        <f ca="1">IFERROR(__xludf.DUMMYFUNCTION("""COMPUTED_VALUE"""),"")</f>
        <v/>
      </c>
      <c r="J615" s="36" t="str">
        <f ca="1">IFERROR(__xludf.DUMMYFUNCTION("""COMPUTED_VALUE"""),"")</f>
        <v/>
      </c>
      <c r="K615" s="36" t="str">
        <f ca="1">IFERROR(__xludf.DUMMYFUNCTION("""COMPUTED_VALUE"""),"")</f>
        <v/>
      </c>
      <c r="L615" s="36" t="str">
        <f ca="1">IFERROR(__xludf.DUMMYFUNCTION("""COMPUTED_VALUE"""),"")</f>
        <v/>
      </c>
      <c r="M615" s="36" t="str">
        <f ca="1">IFERROR(__xludf.DUMMYFUNCTION("""COMPUTED_VALUE"""),"")</f>
        <v/>
      </c>
      <c r="N615" s="36" t="str">
        <f ca="1">IFERROR(__xludf.DUMMYFUNCTION("""COMPUTED_VALUE"""),"")</f>
        <v/>
      </c>
      <c r="O615" s="36" t="str">
        <f ca="1">IFERROR(__xludf.DUMMYFUNCTION("""COMPUTED_VALUE"""),"")</f>
        <v/>
      </c>
      <c r="P615" s="36" t="str">
        <f ca="1">IFERROR(__xludf.DUMMYFUNCTION("""COMPUTED_VALUE"""),"")</f>
        <v/>
      </c>
      <c r="Q615" s="36" t="str">
        <f ca="1">IFERROR(__xludf.DUMMYFUNCTION("""COMPUTED_VALUE"""),"")</f>
        <v/>
      </c>
      <c r="R615" s="36" t="str">
        <f ca="1">IFERROR(__xludf.DUMMYFUNCTION("""COMPUTED_VALUE"""),"")</f>
        <v/>
      </c>
      <c r="S615" s="36" t="str">
        <f ca="1">IFERROR(__xludf.DUMMYFUNCTION("""COMPUTED_VALUE"""),"")</f>
        <v/>
      </c>
      <c r="T615" s="36" t="str">
        <f ca="1">IFERROR(__xludf.DUMMYFUNCTION("""COMPUTED_VALUE"""),"")</f>
        <v/>
      </c>
      <c r="U615" s="36" t="str">
        <f ca="1">IFERROR(__xludf.DUMMYFUNCTION("""COMPUTED_VALUE"""),"")</f>
        <v/>
      </c>
      <c r="V615" s="36" t="str">
        <f ca="1">IFERROR(__xludf.DUMMYFUNCTION("""COMPUTED_VALUE"""),"")</f>
        <v/>
      </c>
      <c r="W615" s="36" t="str">
        <f ca="1">IFERROR(__xludf.DUMMYFUNCTION("""COMPUTED_VALUE"""),"")</f>
        <v/>
      </c>
      <c r="X615" s="36"/>
      <c r="Y615" s="36"/>
      <c r="Z615" s="36"/>
    </row>
    <row r="616" spans="1:26" ht="12.75" hidden="1">
      <c r="A616" s="36" t="str">
        <f ca="1">IFERROR(__xludf.DUMMYFUNCTION("""COMPUTED_VALUE"""),"")</f>
        <v/>
      </c>
      <c r="B616" s="36" t="str">
        <f ca="1">IFERROR(__xludf.DUMMYFUNCTION("""COMPUTED_VALUE"""),"")</f>
        <v/>
      </c>
      <c r="C616" s="36" t="str">
        <f ca="1">IFERROR(__xludf.DUMMYFUNCTION("""COMPUTED_VALUE"""),"")</f>
        <v/>
      </c>
      <c r="D616" s="36" t="str">
        <f ca="1">IFERROR(__xludf.DUMMYFUNCTION("""COMPUTED_VALUE"""),"")</f>
        <v/>
      </c>
      <c r="E616" s="36" t="str">
        <f ca="1">IFERROR(__xludf.DUMMYFUNCTION("""COMPUTED_VALUE"""),"")</f>
        <v/>
      </c>
      <c r="F616" s="36" t="str">
        <f ca="1">IFERROR(__xludf.DUMMYFUNCTION("""COMPUTED_VALUE"""),"")</f>
        <v/>
      </c>
      <c r="G616" s="36" t="str">
        <f ca="1">IFERROR(__xludf.DUMMYFUNCTION("""COMPUTED_VALUE"""),"")</f>
        <v/>
      </c>
      <c r="H616" s="36" t="str">
        <f ca="1">IFERROR(__xludf.DUMMYFUNCTION("""COMPUTED_VALUE"""),"")</f>
        <v/>
      </c>
      <c r="I616" s="36" t="str">
        <f ca="1">IFERROR(__xludf.DUMMYFUNCTION("""COMPUTED_VALUE"""),"")</f>
        <v/>
      </c>
      <c r="J616" s="36" t="str">
        <f ca="1">IFERROR(__xludf.DUMMYFUNCTION("""COMPUTED_VALUE"""),"")</f>
        <v/>
      </c>
      <c r="K616" s="36" t="str">
        <f ca="1">IFERROR(__xludf.DUMMYFUNCTION("""COMPUTED_VALUE"""),"")</f>
        <v/>
      </c>
      <c r="L616" s="36" t="str">
        <f ca="1">IFERROR(__xludf.DUMMYFUNCTION("""COMPUTED_VALUE"""),"")</f>
        <v/>
      </c>
      <c r="M616" s="36" t="str">
        <f ca="1">IFERROR(__xludf.DUMMYFUNCTION("""COMPUTED_VALUE"""),"")</f>
        <v/>
      </c>
      <c r="N616" s="36" t="str">
        <f ca="1">IFERROR(__xludf.DUMMYFUNCTION("""COMPUTED_VALUE"""),"")</f>
        <v/>
      </c>
      <c r="O616" s="36" t="str">
        <f ca="1">IFERROR(__xludf.DUMMYFUNCTION("""COMPUTED_VALUE"""),"")</f>
        <v/>
      </c>
      <c r="P616" s="36" t="str">
        <f ca="1">IFERROR(__xludf.DUMMYFUNCTION("""COMPUTED_VALUE"""),"")</f>
        <v/>
      </c>
      <c r="Q616" s="36" t="str">
        <f ca="1">IFERROR(__xludf.DUMMYFUNCTION("""COMPUTED_VALUE"""),"")</f>
        <v/>
      </c>
      <c r="R616" s="36" t="str">
        <f ca="1">IFERROR(__xludf.DUMMYFUNCTION("""COMPUTED_VALUE"""),"")</f>
        <v/>
      </c>
      <c r="S616" s="36" t="str">
        <f ca="1">IFERROR(__xludf.DUMMYFUNCTION("""COMPUTED_VALUE"""),"")</f>
        <v/>
      </c>
      <c r="T616" s="36" t="str">
        <f ca="1">IFERROR(__xludf.DUMMYFUNCTION("""COMPUTED_VALUE"""),"")</f>
        <v/>
      </c>
      <c r="U616" s="36" t="str">
        <f ca="1">IFERROR(__xludf.DUMMYFUNCTION("""COMPUTED_VALUE"""),"")</f>
        <v/>
      </c>
      <c r="V616" s="36" t="str">
        <f ca="1">IFERROR(__xludf.DUMMYFUNCTION("""COMPUTED_VALUE"""),"")</f>
        <v/>
      </c>
      <c r="W616" s="36" t="str">
        <f ca="1">IFERROR(__xludf.DUMMYFUNCTION("""COMPUTED_VALUE"""),"")</f>
        <v/>
      </c>
      <c r="X616" s="36"/>
      <c r="Y616" s="36"/>
      <c r="Z616" s="36"/>
    </row>
    <row r="617" spans="1:26" ht="12.75" hidden="1">
      <c r="A617" s="36" t="str">
        <f ca="1">IFERROR(__xludf.DUMMYFUNCTION("""COMPUTED_VALUE"""),"")</f>
        <v/>
      </c>
      <c r="B617" s="36" t="str">
        <f ca="1">IFERROR(__xludf.DUMMYFUNCTION("""COMPUTED_VALUE"""),"")</f>
        <v/>
      </c>
      <c r="C617" s="36" t="str">
        <f ca="1">IFERROR(__xludf.DUMMYFUNCTION("""COMPUTED_VALUE"""),"")</f>
        <v/>
      </c>
      <c r="D617" s="36" t="str">
        <f ca="1">IFERROR(__xludf.DUMMYFUNCTION("""COMPUTED_VALUE"""),"")</f>
        <v/>
      </c>
      <c r="E617" s="36" t="str">
        <f ca="1">IFERROR(__xludf.DUMMYFUNCTION("""COMPUTED_VALUE"""),"")</f>
        <v/>
      </c>
      <c r="F617" s="36" t="str">
        <f ca="1">IFERROR(__xludf.DUMMYFUNCTION("""COMPUTED_VALUE"""),"")</f>
        <v/>
      </c>
      <c r="G617" s="36" t="str">
        <f ca="1">IFERROR(__xludf.DUMMYFUNCTION("""COMPUTED_VALUE"""),"")</f>
        <v/>
      </c>
      <c r="H617" s="36" t="str">
        <f ca="1">IFERROR(__xludf.DUMMYFUNCTION("""COMPUTED_VALUE"""),"")</f>
        <v/>
      </c>
      <c r="I617" s="36" t="str">
        <f ca="1">IFERROR(__xludf.DUMMYFUNCTION("""COMPUTED_VALUE"""),"")</f>
        <v/>
      </c>
      <c r="J617" s="36" t="str">
        <f ca="1">IFERROR(__xludf.DUMMYFUNCTION("""COMPUTED_VALUE"""),"")</f>
        <v/>
      </c>
      <c r="K617" s="36" t="str">
        <f ca="1">IFERROR(__xludf.DUMMYFUNCTION("""COMPUTED_VALUE"""),"")</f>
        <v/>
      </c>
      <c r="L617" s="36" t="str">
        <f ca="1">IFERROR(__xludf.DUMMYFUNCTION("""COMPUTED_VALUE"""),"")</f>
        <v/>
      </c>
      <c r="M617" s="36" t="str">
        <f ca="1">IFERROR(__xludf.DUMMYFUNCTION("""COMPUTED_VALUE"""),"")</f>
        <v/>
      </c>
      <c r="N617" s="36" t="str">
        <f ca="1">IFERROR(__xludf.DUMMYFUNCTION("""COMPUTED_VALUE"""),"")</f>
        <v/>
      </c>
      <c r="O617" s="36" t="str">
        <f ca="1">IFERROR(__xludf.DUMMYFUNCTION("""COMPUTED_VALUE"""),"")</f>
        <v/>
      </c>
      <c r="P617" s="36" t="str">
        <f ca="1">IFERROR(__xludf.DUMMYFUNCTION("""COMPUTED_VALUE"""),"")</f>
        <v/>
      </c>
      <c r="Q617" s="36" t="str">
        <f ca="1">IFERROR(__xludf.DUMMYFUNCTION("""COMPUTED_VALUE"""),"")</f>
        <v/>
      </c>
      <c r="R617" s="36" t="str">
        <f ca="1">IFERROR(__xludf.DUMMYFUNCTION("""COMPUTED_VALUE"""),"")</f>
        <v/>
      </c>
      <c r="S617" s="36" t="str">
        <f ca="1">IFERROR(__xludf.DUMMYFUNCTION("""COMPUTED_VALUE"""),"")</f>
        <v/>
      </c>
      <c r="T617" s="36" t="str">
        <f ca="1">IFERROR(__xludf.DUMMYFUNCTION("""COMPUTED_VALUE"""),"")</f>
        <v/>
      </c>
      <c r="U617" s="36" t="str">
        <f ca="1">IFERROR(__xludf.DUMMYFUNCTION("""COMPUTED_VALUE"""),"")</f>
        <v/>
      </c>
      <c r="V617" s="36" t="str">
        <f ca="1">IFERROR(__xludf.DUMMYFUNCTION("""COMPUTED_VALUE"""),"")</f>
        <v/>
      </c>
      <c r="W617" s="36" t="str">
        <f ca="1">IFERROR(__xludf.DUMMYFUNCTION("""COMPUTED_VALUE"""),"")</f>
        <v/>
      </c>
      <c r="X617" s="36"/>
      <c r="Y617" s="36"/>
      <c r="Z617" s="36"/>
    </row>
    <row r="618" spans="1:26" ht="12.75" hidden="1">
      <c r="A618" s="36" t="str">
        <f ca="1">IFERROR(__xludf.DUMMYFUNCTION("""COMPUTED_VALUE"""),"")</f>
        <v/>
      </c>
      <c r="B618" s="36" t="str">
        <f ca="1">IFERROR(__xludf.DUMMYFUNCTION("""COMPUTED_VALUE"""),"")</f>
        <v/>
      </c>
      <c r="C618" s="36" t="str">
        <f ca="1">IFERROR(__xludf.DUMMYFUNCTION("""COMPUTED_VALUE"""),"")</f>
        <v/>
      </c>
      <c r="D618" s="36" t="str">
        <f ca="1">IFERROR(__xludf.DUMMYFUNCTION("""COMPUTED_VALUE"""),"")</f>
        <v/>
      </c>
      <c r="E618" s="36" t="str">
        <f ca="1">IFERROR(__xludf.DUMMYFUNCTION("""COMPUTED_VALUE"""),"")</f>
        <v/>
      </c>
      <c r="F618" s="36" t="str">
        <f ca="1">IFERROR(__xludf.DUMMYFUNCTION("""COMPUTED_VALUE"""),"")</f>
        <v/>
      </c>
      <c r="G618" s="36" t="str">
        <f ca="1">IFERROR(__xludf.DUMMYFUNCTION("""COMPUTED_VALUE"""),"")</f>
        <v/>
      </c>
      <c r="H618" s="36" t="str">
        <f ca="1">IFERROR(__xludf.DUMMYFUNCTION("""COMPUTED_VALUE"""),"")</f>
        <v/>
      </c>
      <c r="I618" s="36" t="str">
        <f ca="1">IFERROR(__xludf.DUMMYFUNCTION("""COMPUTED_VALUE"""),"")</f>
        <v/>
      </c>
      <c r="J618" s="36" t="str">
        <f ca="1">IFERROR(__xludf.DUMMYFUNCTION("""COMPUTED_VALUE"""),"")</f>
        <v/>
      </c>
      <c r="K618" s="36" t="str">
        <f ca="1">IFERROR(__xludf.DUMMYFUNCTION("""COMPUTED_VALUE"""),"")</f>
        <v/>
      </c>
      <c r="L618" s="36" t="str">
        <f ca="1">IFERROR(__xludf.DUMMYFUNCTION("""COMPUTED_VALUE"""),"")</f>
        <v/>
      </c>
      <c r="M618" s="36" t="str">
        <f ca="1">IFERROR(__xludf.DUMMYFUNCTION("""COMPUTED_VALUE"""),"")</f>
        <v/>
      </c>
      <c r="N618" s="36" t="str">
        <f ca="1">IFERROR(__xludf.DUMMYFUNCTION("""COMPUTED_VALUE"""),"")</f>
        <v/>
      </c>
      <c r="O618" s="36" t="str">
        <f ca="1">IFERROR(__xludf.DUMMYFUNCTION("""COMPUTED_VALUE"""),"")</f>
        <v/>
      </c>
      <c r="P618" s="36" t="str">
        <f ca="1">IFERROR(__xludf.DUMMYFUNCTION("""COMPUTED_VALUE"""),"")</f>
        <v/>
      </c>
      <c r="Q618" s="36" t="str">
        <f ca="1">IFERROR(__xludf.DUMMYFUNCTION("""COMPUTED_VALUE"""),"")</f>
        <v/>
      </c>
      <c r="R618" s="36" t="str">
        <f ca="1">IFERROR(__xludf.DUMMYFUNCTION("""COMPUTED_VALUE"""),"")</f>
        <v/>
      </c>
      <c r="S618" s="36" t="str">
        <f ca="1">IFERROR(__xludf.DUMMYFUNCTION("""COMPUTED_VALUE"""),"")</f>
        <v/>
      </c>
      <c r="T618" s="36" t="str">
        <f ca="1">IFERROR(__xludf.DUMMYFUNCTION("""COMPUTED_VALUE"""),"")</f>
        <v/>
      </c>
      <c r="U618" s="36" t="str">
        <f ca="1">IFERROR(__xludf.DUMMYFUNCTION("""COMPUTED_VALUE"""),"")</f>
        <v/>
      </c>
      <c r="V618" s="36" t="str">
        <f ca="1">IFERROR(__xludf.DUMMYFUNCTION("""COMPUTED_VALUE"""),"")</f>
        <v/>
      </c>
      <c r="W618" s="36" t="str">
        <f ca="1">IFERROR(__xludf.DUMMYFUNCTION("""COMPUTED_VALUE"""),"")</f>
        <v/>
      </c>
      <c r="X618" s="36"/>
      <c r="Y618" s="36"/>
      <c r="Z618" s="36"/>
    </row>
    <row r="619" spans="1:26" ht="12.75" hidden="1">
      <c r="A619" s="36" t="str">
        <f ca="1">IFERROR(__xludf.DUMMYFUNCTION("""COMPUTED_VALUE"""),"")</f>
        <v/>
      </c>
      <c r="B619" s="36" t="str">
        <f ca="1">IFERROR(__xludf.DUMMYFUNCTION("""COMPUTED_VALUE"""),"")</f>
        <v/>
      </c>
      <c r="C619" s="36" t="str">
        <f ca="1">IFERROR(__xludf.DUMMYFUNCTION("""COMPUTED_VALUE"""),"")</f>
        <v/>
      </c>
      <c r="D619" s="36" t="str">
        <f ca="1">IFERROR(__xludf.DUMMYFUNCTION("""COMPUTED_VALUE"""),"")</f>
        <v/>
      </c>
      <c r="E619" s="36" t="str">
        <f ca="1">IFERROR(__xludf.DUMMYFUNCTION("""COMPUTED_VALUE"""),"")</f>
        <v/>
      </c>
      <c r="F619" s="36" t="str">
        <f ca="1">IFERROR(__xludf.DUMMYFUNCTION("""COMPUTED_VALUE"""),"")</f>
        <v/>
      </c>
      <c r="G619" s="36" t="str">
        <f ca="1">IFERROR(__xludf.DUMMYFUNCTION("""COMPUTED_VALUE"""),"")</f>
        <v/>
      </c>
      <c r="H619" s="36" t="str">
        <f ca="1">IFERROR(__xludf.DUMMYFUNCTION("""COMPUTED_VALUE"""),"")</f>
        <v/>
      </c>
      <c r="I619" s="36" t="str">
        <f ca="1">IFERROR(__xludf.DUMMYFUNCTION("""COMPUTED_VALUE"""),"")</f>
        <v/>
      </c>
      <c r="J619" s="36" t="str">
        <f ca="1">IFERROR(__xludf.DUMMYFUNCTION("""COMPUTED_VALUE"""),"")</f>
        <v/>
      </c>
      <c r="K619" s="36" t="str">
        <f ca="1">IFERROR(__xludf.DUMMYFUNCTION("""COMPUTED_VALUE"""),"")</f>
        <v/>
      </c>
      <c r="L619" s="36" t="str">
        <f ca="1">IFERROR(__xludf.DUMMYFUNCTION("""COMPUTED_VALUE"""),"")</f>
        <v/>
      </c>
      <c r="M619" s="36" t="str">
        <f ca="1">IFERROR(__xludf.DUMMYFUNCTION("""COMPUTED_VALUE"""),"")</f>
        <v/>
      </c>
      <c r="N619" s="36" t="str">
        <f ca="1">IFERROR(__xludf.DUMMYFUNCTION("""COMPUTED_VALUE"""),"")</f>
        <v/>
      </c>
      <c r="O619" s="36" t="str">
        <f ca="1">IFERROR(__xludf.DUMMYFUNCTION("""COMPUTED_VALUE"""),"")</f>
        <v/>
      </c>
      <c r="P619" s="36" t="str">
        <f ca="1">IFERROR(__xludf.DUMMYFUNCTION("""COMPUTED_VALUE"""),"")</f>
        <v/>
      </c>
      <c r="Q619" s="36" t="str">
        <f ca="1">IFERROR(__xludf.DUMMYFUNCTION("""COMPUTED_VALUE"""),"")</f>
        <v/>
      </c>
      <c r="R619" s="36" t="str">
        <f ca="1">IFERROR(__xludf.DUMMYFUNCTION("""COMPUTED_VALUE"""),"")</f>
        <v/>
      </c>
      <c r="S619" s="36" t="str">
        <f ca="1">IFERROR(__xludf.DUMMYFUNCTION("""COMPUTED_VALUE"""),"")</f>
        <v/>
      </c>
      <c r="T619" s="36" t="str">
        <f ca="1">IFERROR(__xludf.DUMMYFUNCTION("""COMPUTED_VALUE"""),"")</f>
        <v/>
      </c>
      <c r="U619" s="36" t="str">
        <f ca="1">IFERROR(__xludf.DUMMYFUNCTION("""COMPUTED_VALUE"""),"")</f>
        <v/>
      </c>
      <c r="V619" s="36" t="str">
        <f ca="1">IFERROR(__xludf.DUMMYFUNCTION("""COMPUTED_VALUE"""),"")</f>
        <v/>
      </c>
      <c r="W619" s="36" t="str">
        <f ca="1">IFERROR(__xludf.DUMMYFUNCTION("""COMPUTED_VALUE"""),"")</f>
        <v/>
      </c>
      <c r="X619" s="36"/>
      <c r="Y619" s="36"/>
      <c r="Z619" s="36"/>
    </row>
    <row r="620" spans="1:26" ht="12.75" hidden="1">
      <c r="A620" s="36" t="str">
        <f ca="1">IFERROR(__xludf.DUMMYFUNCTION("""COMPUTED_VALUE"""),"")</f>
        <v/>
      </c>
      <c r="B620" s="36" t="str">
        <f ca="1">IFERROR(__xludf.DUMMYFUNCTION("""COMPUTED_VALUE"""),"")</f>
        <v/>
      </c>
      <c r="C620" s="36" t="str">
        <f ca="1">IFERROR(__xludf.DUMMYFUNCTION("""COMPUTED_VALUE"""),"")</f>
        <v/>
      </c>
      <c r="D620" s="36" t="str">
        <f ca="1">IFERROR(__xludf.DUMMYFUNCTION("""COMPUTED_VALUE"""),"")</f>
        <v/>
      </c>
      <c r="E620" s="36" t="str">
        <f ca="1">IFERROR(__xludf.DUMMYFUNCTION("""COMPUTED_VALUE"""),"")</f>
        <v/>
      </c>
      <c r="F620" s="36" t="str">
        <f ca="1">IFERROR(__xludf.DUMMYFUNCTION("""COMPUTED_VALUE"""),"")</f>
        <v/>
      </c>
      <c r="G620" s="36" t="str">
        <f ca="1">IFERROR(__xludf.DUMMYFUNCTION("""COMPUTED_VALUE"""),"")</f>
        <v/>
      </c>
      <c r="H620" s="36" t="str">
        <f ca="1">IFERROR(__xludf.DUMMYFUNCTION("""COMPUTED_VALUE"""),"")</f>
        <v/>
      </c>
      <c r="I620" s="36" t="str">
        <f ca="1">IFERROR(__xludf.DUMMYFUNCTION("""COMPUTED_VALUE"""),"")</f>
        <v/>
      </c>
      <c r="J620" s="36" t="str">
        <f ca="1">IFERROR(__xludf.DUMMYFUNCTION("""COMPUTED_VALUE"""),"")</f>
        <v/>
      </c>
      <c r="K620" s="36" t="str">
        <f ca="1">IFERROR(__xludf.DUMMYFUNCTION("""COMPUTED_VALUE"""),"")</f>
        <v/>
      </c>
      <c r="L620" s="36" t="str">
        <f ca="1">IFERROR(__xludf.DUMMYFUNCTION("""COMPUTED_VALUE"""),"")</f>
        <v/>
      </c>
      <c r="M620" s="36" t="str">
        <f ca="1">IFERROR(__xludf.DUMMYFUNCTION("""COMPUTED_VALUE"""),"")</f>
        <v/>
      </c>
      <c r="N620" s="36" t="str">
        <f ca="1">IFERROR(__xludf.DUMMYFUNCTION("""COMPUTED_VALUE"""),"")</f>
        <v/>
      </c>
      <c r="O620" s="36" t="str">
        <f ca="1">IFERROR(__xludf.DUMMYFUNCTION("""COMPUTED_VALUE"""),"")</f>
        <v/>
      </c>
      <c r="P620" s="36" t="str">
        <f ca="1">IFERROR(__xludf.DUMMYFUNCTION("""COMPUTED_VALUE"""),"")</f>
        <v/>
      </c>
      <c r="Q620" s="36" t="str">
        <f ca="1">IFERROR(__xludf.DUMMYFUNCTION("""COMPUTED_VALUE"""),"")</f>
        <v/>
      </c>
      <c r="R620" s="36" t="str">
        <f ca="1">IFERROR(__xludf.DUMMYFUNCTION("""COMPUTED_VALUE"""),"")</f>
        <v/>
      </c>
      <c r="S620" s="36" t="str">
        <f ca="1">IFERROR(__xludf.DUMMYFUNCTION("""COMPUTED_VALUE"""),"")</f>
        <v/>
      </c>
      <c r="T620" s="36" t="str">
        <f ca="1">IFERROR(__xludf.DUMMYFUNCTION("""COMPUTED_VALUE"""),"")</f>
        <v/>
      </c>
      <c r="U620" s="36" t="str">
        <f ca="1">IFERROR(__xludf.DUMMYFUNCTION("""COMPUTED_VALUE"""),"")</f>
        <v/>
      </c>
      <c r="V620" s="36" t="str">
        <f ca="1">IFERROR(__xludf.DUMMYFUNCTION("""COMPUTED_VALUE"""),"")</f>
        <v/>
      </c>
      <c r="W620" s="36" t="str">
        <f ca="1">IFERROR(__xludf.DUMMYFUNCTION("""COMPUTED_VALUE"""),"")</f>
        <v/>
      </c>
      <c r="X620" s="36"/>
      <c r="Y620" s="36"/>
      <c r="Z620" s="36"/>
    </row>
    <row r="621" spans="1:26" ht="12.75" hidden="1">
      <c r="A621" s="36" t="str">
        <f ca="1">IFERROR(__xludf.DUMMYFUNCTION("""COMPUTED_VALUE"""),"")</f>
        <v/>
      </c>
      <c r="B621" s="36" t="str">
        <f ca="1">IFERROR(__xludf.DUMMYFUNCTION("""COMPUTED_VALUE"""),"")</f>
        <v/>
      </c>
      <c r="C621" s="36" t="str">
        <f ca="1">IFERROR(__xludf.DUMMYFUNCTION("""COMPUTED_VALUE"""),"")</f>
        <v/>
      </c>
      <c r="D621" s="36" t="str">
        <f ca="1">IFERROR(__xludf.DUMMYFUNCTION("""COMPUTED_VALUE"""),"")</f>
        <v/>
      </c>
      <c r="E621" s="36" t="str">
        <f ca="1">IFERROR(__xludf.DUMMYFUNCTION("""COMPUTED_VALUE"""),"")</f>
        <v/>
      </c>
      <c r="F621" s="36" t="str">
        <f ca="1">IFERROR(__xludf.DUMMYFUNCTION("""COMPUTED_VALUE"""),"")</f>
        <v/>
      </c>
      <c r="G621" s="36" t="str">
        <f ca="1">IFERROR(__xludf.DUMMYFUNCTION("""COMPUTED_VALUE"""),"")</f>
        <v/>
      </c>
      <c r="H621" s="36" t="str">
        <f ca="1">IFERROR(__xludf.DUMMYFUNCTION("""COMPUTED_VALUE"""),"")</f>
        <v/>
      </c>
      <c r="I621" s="36" t="str">
        <f ca="1">IFERROR(__xludf.DUMMYFUNCTION("""COMPUTED_VALUE"""),"")</f>
        <v/>
      </c>
      <c r="J621" s="36" t="str">
        <f ca="1">IFERROR(__xludf.DUMMYFUNCTION("""COMPUTED_VALUE"""),"")</f>
        <v/>
      </c>
      <c r="K621" s="36" t="str">
        <f ca="1">IFERROR(__xludf.DUMMYFUNCTION("""COMPUTED_VALUE"""),"")</f>
        <v/>
      </c>
      <c r="L621" s="36" t="str">
        <f ca="1">IFERROR(__xludf.DUMMYFUNCTION("""COMPUTED_VALUE"""),"")</f>
        <v/>
      </c>
      <c r="M621" s="36" t="str">
        <f ca="1">IFERROR(__xludf.DUMMYFUNCTION("""COMPUTED_VALUE"""),"")</f>
        <v/>
      </c>
      <c r="N621" s="36" t="str">
        <f ca="1">IFERROR(__xludf.DUMMYFUNCTION("""COMPUTED_VALUE"""),"")</f>
        <v/>
      </c>
      <c r="O621" s="36" t="str">
        <f ca="1">IFERROR(__xludf.DUMMYFUNCTION("""COMPUTED_VALUE"""),"")</f>
        <v/>
      </c>
      <c r="P621" s="36" t="str">
        <f ca="1">IFERROR(__xludf.DUMMYFUNCTION("""COMPUTED_VALUE"""),"")</f>
        <v/>
      </c>
      <c r="Q621" s="36" t="str">
        <f ca="1">IFERROR(__xludf.DUMMYFUNCTION("""COMPUTED_VALUE"""),"")</f>
        <v/>
      </c>
      <c r="R621" s="36" t="str">
        <f ca="1">IFERROR(__xludf.DUMMYFUNCTION("""COMPUTED_VALUE"""),"")</f>
        <v/>
      </c>
      <c r="S621" s="36" t="str">
        <f ca="1">IFERROR(__xludf.DUMMYFUNCTION("""COMPUTED_VALUE"""),"")</f>
        <v/>
      </c>
      <c r="T621" s="36" t="str">
        <f ca="1">IFERROR(__xludf.DUMMYFUNCTION("""COMPUTED_VALUE"""),"")</f>
        <v/>
      </c>
      <c r="U621" s="36" t="str">
        <f ca="1">IFERROR(__xludf.DUMMYFUNCTION("""COMPUTED_VALUE"""),"")</f>
        <v/>
      </c>
      <c r="V621" s="36" t="str">
        <f ca="1">IFERROR(__xludf.DUMMYFUNCTION("""COMPUTED_VALUE"""),"")</f>
        <v/>
      </c>
      <c r="W621" s="36" t="str">
        <f ca="1">IFERROR(__xludf.DUMMYFUNCTION("""COMPUTED_VALUE"""),"")</f>
        <v/>
      </c>
      <c r="X621" s="36"/>
      <c r="Y621" s="36"/>
      <c r="Z621" s="36"/>
    </row>
    <row r="622" spans="1:26" ht="12.75" hidden="1">
      <c r="A622" s="36" t="str">
        <f ca="1">IFERROR(__xludf.DUMMYFUNCTION("""COMPUTED_VALUE"""),"")</f>
        <v/>
      </c>
      <c r="B622" s="36" t="str">
        <f ca="1">IFERROR(__xludf.DUMMYFUNCTION("""COMPUTED_VALUE"""),"")</f>
        <v/>
      </c>
      <c r="C622" s="36" t="str">
        <f ca="1">IFERROR(__xludf.DUMMYFUNCTION("""COMPUTED_VALUE"""),"")</f>
        <v/>
      </c>
      <c r="D622" s="36" t="str">
        <f ca="1">IFERROR(__xludf.DUMMYFUNCTION("""COMPUTED_VALUE"""),"")</f>
        <v/>
      </c>
      <c r="E622" s="36" t="str">
        <f ca="1">IFERROR(__xludf.DUMMYFUNCTION("""COMPUTED_VALUE"""),"")</f>
        <v/>
      </c>
      <c r="F622" s="36" t="str">
        <f ca="1">IFERROR(__xludf.DUMMYFUNCTION("""COMPUTED_VALUE"""),"")</f>
        <v/>
      </c>
      <c r="G622" s="36" t="str">
        <f ca="1">IFERROR(__xludf.DUMMYFUNCTION("""COMPUTED_VALUE"""),"")</f>
        <v/>
      </c>
      <c r="H622" s="36" t="str">
        <f ca="1">IFERROR(__xludf.DUMMYFUNCTION("""COMPUTED_VALUE"""),"")</f>
        <v/>
      </c>
      <c r="I622" s="36" t="str">
        <f ca="1">IFERROR(__xludf.DUMMYFUNCTION("""COMPUTED_VALUE"""),"")</f>
        <v/>
      </c>
      <c r="J622" s="36" t="str">
        <f ca="1">IFERROR(__xludf.DUMMYFUNCTION("""COMPUTED_VALUE"""),"")</f>
        <v/>
      </c>
      <c r="K622" s="36" t="str">
        <f ca="1">IFERROR(__xludf.DUMMYFUNCTION("""COMPUTED_VALUE"""),"")</f>
        <v/>
      </c>
      <c r="L622" s="36" t="str">
        <f ca="1">IFERROR(__xludf.DUMMYFUNCTION("""COMPUTED_VALUE"""),"")</f>
        <v/>
      </c>
      <c r="M622" s="36" t="str">
        <f ca="1">IFERROR(__xludf.DUMMYFUNCTION("""COMPUTED_VALUE"""),"")</f>
        <v/>
      </c>
      <c r="N622" s="36" t="str">
        <f ca="1">IFERROR(__xludf.DUMMYFUNCTION("""COMPUTED_VALUE"""),"")</f>
        <v/>
      </c>
      <c r="O622" s="36" t="str">
        <f ca="1">IFERROR(__xludf.DUMMYFUNCTION("""COMPUTED_VALUE"""),"")</f>
        <v/>
      </c>
      <c r="P622" s="36" t="str">
        <f ca="1">IFERROR(__xludf.DUMMYFUNCTION("""COMPUTED_VALUE"""),"")</f>
        <v/>
      </c>
      <c r="Q622" s="36" t="str">
        <f ca="1">IFERROR(__xludf.DUMMYFUNCTION("""COMPUTED_VALUE"""),"")</f>
        <v/>
      </c>
      <c r="R622" s="36" t="str">
        <f ca="1">IFERROR(__xludf.DUMMYFUNCTION("""COMPUTED_VALUE"""),"")</f>
        <v/>
      </c>
      <c r="S622" s="36" t="str">
        <f ca="1">IFERROR(__xludf.DUMMYFUNCTION("""COMPUTED_VALUE"""),"")</f>
        <v/>
      </c>
      <c r="T622" s="36" t="str">
        <f ca="1">IFERROR(__xludf.DUMMYFUNCTION("""COMPUTED_VALUE"""),"")</f>
        <v/>
      </c>
      <c r="U622" s="36" t="str">
        <f ca="1">IFERROR(__xludf.DUMMYFUNCTION("""COMPUTED_VALUE"""),"")</f>
        <v/>
      </c>
      <c r="V622" s="36" t="str">
        <f ca="1">IFERROR(__xludf.DUMMYFUNCTION("""COMPUTED_VALUE"""),"")</f>
        <v/>
      </c>
      <c r="W622" s="36" t="str">
        <f ca="1">IFERROR(__xludf.DUMMYFUNCTION("""COMPUTED_VALUE"""),"")</f>
        <v/>
      </c>
      <c r="X622" s="36"/>
      <c r="Y622" s="36"/>
      <c r="Z622" s="36"/>
    </row>
    <row r="623" spans="1:26" ht="12.75" hidden="1">
      <c r="A623" s="36" t="str">
        <f ca="1">IFERROR(__xludf.DUMMYFUNCTION("""COMPUTED_VALUE"""),"")</f>
        <v/>
      </c>
      <c r="B623" s="36" t="str">
        <f ca="1">IFERROR(__xludf.DUMMYFUNCTION("""COMPUTED_VALUE"""),"")</f>
        <v/>
      </c>
      <c r="C623" s="36" t="str">
        <f ca="1">IFERROR(__xludf.DUMMYFUNCTION("""COMPUTED_VALUE"""),"")</f>
        <v/>
      </c>
      <c r="D623" s="36" t="str">
        <f ca="1">IFERROR(__xludf.DUMMYFUNCTION("""COMPUTED_VALUE"""),"")</f>
        <v/>
      </c>
      <c r="E623" s="36" t="str">
        <f ca="1">IFERROR(__xludf.DUMMYFUNCTION("""COMPUTED_VALUE"""),"")</f>
        <v/>
      </c>
      <c r="F623" s="36" t="str">
        <f ca="1">IFERROR(__xludf.DUMMYFUNCTION("""COMPUTED_VALUE"""),"")</f>
        <v/>
      </c>
      <c r="G623" s="36" t="str">
        <f ca="1">IFERROR(__xludf.DUMMYFUNCTION("""COMPUTED_VALUE"""),"")</f>
        <v/>
      </c>
      <c r="H623" s="36" t="str">
        <f ca="1">IFERROR(__xludf.DUMMYFUNCTION("""COMPUTED_VALUE"""),"")</f>
        <v/>
      </c>
      <c r="I623" s="36" t="str">
        <f ca="1">IFERROR(__xludf.DUMMYFUNCTION("""COMPUTED_VALUE"""),"")</f>
        <v/>
      </c>
      <c r="J623" s="36" t="str">
        <f ca="1">IFERROR(__xludf.DUMMYFUNCTION("""COMPUTED_VALUE"""),"")</f>
        <v/>
      </c>
      <c r="K623" s="36" t="str">
        <f ca="1">IFERROR(__xludf.DUMMYFUNCTION("""COMPUTED_VALUE"""),"")</f>
        <v/>
      </c>
      <c r="L623" s="36" t="str">
        <f ca="1">IFERROR(__xludf.DUMMYFUNCTION("""COMPUTED_VALUE"""),"")</f>
        <v/>
      </c>
      <c r="M623" s="36" t="str">
        <f ca="1">IFERROR(__xludf.DUMMYFUNCTION("""COMPUTED_VALUE"""),"")</f>
        <v/>
      </c>
      <c r="N623" s="36" t="str">
        <f ca="1">IFERROR(__xludf.DUMMYFUNCTION("""COMPUTED_VALUE"""),"")</f>
        <v/>
      </c>
      <c r="O623" s="36" t="str">
        <f ca="1">IFERROR(__xludf.DUMMYFUNCTION("""COMPUTED_VALUE"""),"")</f>
        <v/>
      </c>
      <c r="P623" s="36" t="str">
        <f ca="1">IFERROR(__xludf.DUMMYFUNCTION("""COMPUTED_VALUE"""),"")</f>
        <v/>
      </c>
      <c r="Q623" s="36" t="str">
        <f ca="1">IFERROR(__xludf.DUMMYFUNCTION("""COMPUTED_VALUE"""),"")</f>
        <v/>
      </c>
      <c r="R623" s="36" t="str">
        <f ca="1">IFERROR(__xludf.DUMMYFUNCTION("""COMPUTED_VALUE"""),"")</f>
        <v/>
      </c>
      <c r="S623" s="36" t="str">
        <f ca="1">IFERROR(__xludf.DUMMYFUNCTION("""COMPUTED_VALUE"""),"")</f>
        <v/>
      </c>
      <c r="T623" s="36" t="str">
        <f ca="1">IFERROR(__xludf.DUMMYFUNCTION("""COMPUTED_VALUE"""),"")</f>
        <v/>
      </c>
      <c r="U623" s="36" t="str">
        <f ca="1">IFERROR(__xludf.DUMMYFUNCTION("""COMPUTED_VALUE"""),"")</f>
        <v/>
      </c>
      <c r="V623" s="36" t="str">
        <f ca="1">IFERROR(__xludf.DUMMYFUNCTION("""COMPUTED_VALUE"""),"")</f>
        <v/>
      </c>
      <c r="W623" s="36" t="str">
        <f ca="1">IFERROR(__xludf.DUMMYFUNCTION("""COMPUTED_VALUE"""),"")</f>
        <v/>
      </c>
      <c r="X623" s="36"/>
      <c r="Y623" s="36"/>
      <c r="Z623" s="36"/>
    </row>
    <row r="624" spans="1:26" ht="12.75" hidden="1">
      <c r="A624" s="36" t="str">
        <f ca="1">IFERROR(__xludf.DUMMYFUNCTION("""COMPUTED_VALUE"""),"")</f>
        <v/>
      </c>
      <c r="B624" s="36" t="str">
        <f ca="1">IFERROR(__xludf.DUMMYFUNCTION("""COMPUTED_VALUE"""),"")</f>
        <v/>
      </c>
      <c r="C624" s="36" t="str">
        <f ca="1">IFERROR(__xludf.DUMMYFUNCTION("""COMPUTED_VALUE"""),"")</f>
        <v/>
      </c>
      <c r="D624" s="36" t="str">
        <f ca="1">IFERROR(__xludf.DUMMYFUNCTION("""COMPUTED_VALUE"""),"")</f>
        <v/>
      </c>
      <c r="E624" s="36" t="str">
        <f ca="1">IFERROR(__xludf.DUMMYFUNCTION("""COMPUTED_VALUE"""),"")</f>
        <v/>
      </c>
      <c r="F624" s="36" t="str">
        <f ca="1">IFERROR(__xludf.DUMMYFUNCTION("""COMPUTED_VALUE"""),"")</f>
        <v/>
      </c>
      <c r="G624" s="36" t="str">
        <f ca="1">IFERROR(__xludf.DUMMYFUNCTION("""COMPUTED_VALUE"""),"")</f>
        <v/>
      </c>
      <c r="H624" s="36" t="str">
        <f ca="1">IFERROR(__xludf.DUMMYFUNCTION("""COMPUTED_VALUE"""),"")</f>
        <v/>
      </c>
      <c r="I624" s="36" t="str">
        <f ca="1">IFERROR(__xludf.DUMMYFUNCTION("""COMPUTED_VALUE"""),"")</f>
        <v/>
      </c>
      <c r="J624" s="36" t="str">
        <f ca="1">IFERROR(__xludf.DUMMYFUNCTION("""COMPUTED_VALUE"""),"")</f>
        <v/>
      </c>
      <c r="K624" s="36" t="str">
        <f ca="1">IFERROR(__xludf.DUMMYFUNCTION("""COMPUTED_VALUE"""),"")</f>
        <v/>
      </c>
      <c r="L624" s="36" t="str">
        <f ca="1">IFERROR(__xludf.DUMMYFUNCTION("""COMPUTED_VALUE"""),"")</f>
        <v/>
      </c>
      <c r="M624" s="36" t="str">
        <f ca="1">IFERROR(__xludf.DUMMYFUNCTION("""COMPUTED_VALUE"""),"")</f>
        <v/>
      </c>
      <c r="N624" s="36" t="str">
        <f ca="1">IFERROR(__xludf.DUMMYFUNCTION("""COMPUTED_VALUE"""),"")</f>
        <v/>
      </c>
      <c r="O624" s="36" t="str">
        <f ca="1">IFERROR(__xludf.DUMMYFUNCTION("""COMPUTED_VALUE"""),"")</f>
        <v/>
      </c>
      <c r="P624" s="36" t="str">
        <f ca="1">IFERROR(__xludf.DUMMYFUNCTION("""COMPUTED_VALUE"""),"")</f>
        <v/>
      </c>
      <c r="Q624" s="36" t="str">
        <f ca="1">IFERROR(__xludf.DUMMYFUNCTION("""COMPUTED_VALUE"""),"")</f>
        <v/>
      </c>
      <c r="R624" s="36" t="str">
        <f ca="1">IFERROR(__xludf.DUMMYFUNCTION("""COMPUTED_VALUE"""),"")</f>
        <v/>
      </c>
      <c r="S624" s="36" t="str">
        <f ca="1">IFERROR(__xludf.DUMMYFUNCTION("""COMPUTED_VALUE"""),"")</f>
        <v/>
      </c>
      <c r="T624" s="36" t="str">
        <f ca="1">IFERROR(__xludf.DUMMYFUNCTION("""COMPUTED_VALUE"""),"")</f>
        <v/>
      </c>
      <c r="U624" s="36" t="str">
        <f ca="1">IFERROR(__xludf.DUMMYFUNCTION("""COMPUTED_VALUE"""),"")</f>
        <v/>
      </c>
      <c r="V624" s="36" t="str">
        <f ca="1">IFERROR(__xludf.DUMMYFUNCTION("""COMPUTED_VALUE"""),"")</f>
        <v/>
      </c>
      <c r="W624" s="36" t="str">
        <f ca="1">IFERROR(__xludf.DUMMYFUNCTION("""COMPUTED_VALUE"""),"")</f>
        <v/>
      </c>
      <c r="X624" s="36"/>
      <c r="Y624" s="36"/>
      <c r="Z624" s="36"/>
    </row>
    <row r="625" spans="1:26" ht="12.75" hidden="1">
      <c r="A625" s="36" t="str">
        <f ca="1">IFERROR(__xludf.DUMMYFUNCTION("""COMPUTED_VALUE"""),"")</f>
        <v/>
      </c>
      <c r="B625" s="36" t="str">
        <f ca="1">IFERROR(__xludf.DUMMYFUNCTION("""COMPUTED_VALUE"""),"")</f>
        <v/>
      </c>
      <c r="C625" s="36" t="str">
        <f ca="1">IFERROR(__xludf.DUMMYFUNCTION("""COMPUTED_VALUE"""),"")</f>
        <v/>
      </c>
      <c r="D625" s="36" t="str">
        <f ca="1">IFERROR(__xludf.DUMMYFUNCTION("""COMPUTED_VALUE"""),"")</f>
        <v/>
      </c>
      <c r="E625" s="36" t="str">
        <f ca="1">IFERROR(__xludf.DUMMYFUNCTION("""COMPUTED_VALUE"""),"")</f>
        <v/>
      </c>
      <c r="F625" s="36" t="str">
        <f ca="1">IFERROR(__xludf.DUMMYFUNCTION("""COMPUTED_VALUE"""),"")</f>
        <v/>
      </c>
      <c r="G625" s="36" t="str">
        <f ca="1">IFERROR(__xludf.DUMMYFUNCTION("""COMPUTED_VALUE"""),"")</f>
        <v/>
      </c>
      <c r="H625" s="36" t="str">
        <f ca="1">IFERROR(__xludf.DUMMYFUNCTION("""COMPUTED_VALUE"""),"")</f>
        <v/>
      </c>
      <c r="I625" s="36" t="str">
        <f ca="1">IFERROR(__xludf.DUMMYFUNCTION("""COMPUTED_VALUE"""),"")</f>
        <v/>
      </c>
      <c r="J625" s="36" t="str">
        <f ca="1">IFERROR(__xludf.DUMMYFUNCTION("""COMPUTED_VALUE"""),"")</f>
        <v/>
      </c>
      <c r="K625" s="36" t="str">
        <f ca="1">IFERROR(__xludf.DUMMYFUNCTION("""COMPUTED_VALUE"""),"")</f>
        <v/>
      </c>
      <c r="L625" s="36" t="str">
        <f ca="1">IFERROR(__xludf.DUMMYFUNCTION("""COMPUTED_VALUE"""),"")</f>
        <v/>
      </c>
      <c r="M625" s="36" t="str">
        <f ca="1">IFERROR(__xludf.DUMMYFUNCTION("""COMPUTED_VALUE"""),"")</f>
        <v/>
      </c>
      <c r="N625" s="36" t="str">
        <f ca="1">IFERROR(__xludf.DUMMYFUNCTION("""COMPUTED_VALUE"""),"")</f>
        <v/>
      </c>
      <c r="O625" s="36" t="str">
        <f ca="1">IFERROR(__xludf.DUMMYFUNCTION("""COMPUTED_VALUE"""),"")</f>
        <v/>
      </c>
      <c r="P625" s="36" t="str">
        <f ca="1">IFERROR(__xludf.DUMMYFUNCTION("""COMPUTED_VALUE"""),"")</f>
        <v/>
      </c>
      <c r="Q625" s="36" t="str">
        <f ca="1">IFERROR(__xludf.DUMMYFUNCTION("""COMPUTED_VALUE"""),"")</f>
        <v/>
      </c>
      <c r="R625" s="36" t="str">
        <f ca="1">IFERROR(__xludf.DUMMYFUNCTION("""COMPUTED_VALUE"""),"")</f>
        <v/>
      </c>
      <c r="S625" s="36" t="str">
        <f ca="1">IFERROR(__xludf.DUMMYFUNCTION("""COMPUTED_VALUE"""),"")</f>
        <v/>
      </c>
      <c r="T625" s="36" t="str">
        <f ca="1">IFERROR(__xludf.DUMMYFUNCTION("""COMPUTED_VALUE"""),"")</f>
        <v/>
      </c>
      <c r="U625" s="36" t="str">
        <f ca="1">IFERROR(__xludf.DUMMYFUNCTION("""COMPUTED_VALUE"""),"")</f>
        <v/>
      </c>
      <c r="V625" s="36" t="str">
        <f ca="1">IFERROR(__xludf.DUMMYFUNCTION("""COMPUTED_VALUE"""),"")</f>
        <v/>
      </c>
      <c r="W625" s="36" t="str">
        <f ca="1">IFERROR(__xludf.DUMMYFUNCTION("""COMPUTED_VALUE"""),"")</f>
        <v/>
      </c>
      <c r="X625" s="36"/>
      <c r="Y625" s="36"/>
      <c r="Z625" s="36"/>
    </row>
    <row r="626" spans="1:26" ht="12.75" hidden="1">
      <c r="A626" s="36" t="str">
        <f ca="1">IFERROR(__xludf.DUMMYFUNCTION("""COMPUTED_VALUE"""),"")</f>
        <v/>
      </c>
      <c r="B626" s="36" t="str">
        <f ca="1">IFERROR(__xludf.DUMMYFUNCTION("""COMPUTED_VALUE"""),"")</f>
        <v/>
      </c>
      <c r="C626" s="36" t="str">
        <f ca="1">IFERROR(__xludf.DUMMYFUNCTION("""COMPUTED_VALUE"""),"")</f>
        <v/>
      </c>
      <c r="D626" s="36" t="str">
        <f ca="1">IFERROR(__xludf.DUMMYFUNCTION("""COMPUTED_VALUE"""),"")</f>
        <v/>
      </c>
      <c r="E626" s="36" t="str">
        <f ca="1">IFERROR(__xludf.DUMMYFUNCTION("""COMPUTED_VALUE"""),"")</f>
        <v/>
      </c>
      <c r="F626" s="36" t="str">
        <f ca="1">IFERROR(__xludf.DUMMYFUNCTION("""COMPUTED_VALUE"""),"")</f>
        <v/>
      </c>
      <c r="G626" s="36" t="str">
        <f ca="1">IFERROR(__xludf.DUMMYFUNCTION("""COMPUTED_VALUE"""),"")</f>
        <v/>
      </c>
      <c r="H626" s="36" t="str">
        <f ca="1">IFERROR(__xludf.DUMMYFUNCTION("""COMPUTED_VALUE"""),"")</f>
        <v/>
      </c>
      <c r="I626" s="36" t="str">
        <f ca="1">IFERROR(__xludf.DUMMYFUNCTION("""COMPUTED_VALUE"""),"")</f>
        <v/>
      </c>
      <c r="J626" s="36" t="str">
        <f ca="1">IFERROR(__xludf.DUMMYFUNCTION("""COMPUTED_VALUE"""),"")</f>
        <v/>
      </c>
      <c r="K626" s="36" t="str">
        <f ca="1">IFERROR(__xludf.DUMMYFUNCTION("""COMPUTED_VALUE"""),"")</f>
        <v/>
      </c>
      <c r="L626" s="36" t="str">
        <f ca="1">IFERROR(__xludf.DUMMYFUNCTION("""COMPUTED_VALUE"""),"")</f>
        <v/>
      </c>
      <c r="M626" s="36" t="str">
        <f ca="1">IFERROR(__xludf.DUMMYFUNCTION("""COMPUTED_VALUE"""),"")</f>
        <v/>
      </c>
      <c r="N626" s="36" t="str">
        <f ca="1">IFERROR(__xludf.DUMMYFUNCTION("""COMPUTED_VALUE"""),"")</f>
        <v/>
      </c>
      <c r="O626" s="36" t="str">
        <f ca="1">IFERROR(__xludf.DUMMYFUNCTION("""COMPUTED_VALUE"""),"")</f>
        <v/>
      </c>
      <c r="P626" s="36" t="str">
        <f ca="1">IFERROR(__xludf.DUMMYFUNCTION("""COMPUTED_VALUE"""),"")</f>
        <v/>
      </c>
      <c r="Q626" s="36" t="str">
        <f ca="1">IFERROR(__xludf.DUMMYFUNCTION("""COMPUTED_VALUE"""),"")</f>
        <v/>
      </c>
      <c r="R626" s="36" t="str">
        <f ca="1">IFERROR(__xludf.DUMMYFUNCTION("""COMPUTED_VALUE"""),"")</f>
        <v/>
      </c>
      <c r="S626" s="36" t="str">
        <f ca="1">IFERROR(__xludf.DUMMYFUNCTION("""COMPUTED_VALUE"""),"")</f>
        <v/>
      </c>
      <c r="T626" s="36" t="str">
        <f ca="1">IFERROR(__xludf.DUMMYFUNCTION("""COMPUTED_VALUE"""),"")</f>
        <v/>
      </c>
      <c r="U626" s="36" t="str">
        <f ca="1">IFERROR(__xludf.DUMMYFUNCTION("""COMPUTED_VALUE"""),"")</f>
        <v/>
      </c>
      <c r="V626" s="36" t="str">
        <f ca="1">IFERROR(__xludf.DUMMYFUNCTION("""COMPUTED_VALUE"""),"")</f>
        <v/>
      </c>
      <c r="W626" s="36" t="str">
        <f ca="1">IFERROR(__xludf.DUMMYFUNCTION("""COMPUTED_VALUE"""),"")</f>
        <v/>
      </c>
      <c r="X626" s="36"/>
      <c r="Y626" s="36"/>
      <c r="Z626" s="36"/>
    </row>
    <row r="627" spans="1:26" ht="12.75" hidden="1">
      <c r="A627" s="36" t="str">
        <f ca="1">IFERROR(__xludf.DUMMYFUNCTION("""COMPUTED_VALUE"""),"")</f>
        <v/>
      </c>
      <c r="B627" s="36" t="str">
        <f ca="1">IFERROR(__xludf.DUMMYFUNCTION("""COMPUTED_VALUE"""),"")</f>
        <v/>
      </c>
      <c r="C627" s="36" t="str">
        <f ca="1">IFERROR(__xludf.DUMMYFUNCTION("""COMPUTED_VALUE"""),"")</f>
        <v/>
      </c>
      <c r="D627" s="36" t="str">
        <f ca="1">IFERROR(__xludf.DUMMYFUNCTION("""COMPUTED_VALUE"""),"")</f>
        <v/>
      </c>
      <c r="E627" s="36" t="str">
        <f ca="1">IFERROR(__xludf.DUMMYFUNCTION("""COMPUTED_VALUE"""),"")</f>
        <v/>
      </c>
      <c r="F627" s="36" t="str">
        <f ca="1">IFERROR(__xludf.DUMMYFUNCTION("""COMPUTED_VALUE"""),"")</f>
        <v/>
      </c>
      <c r="G627" s="36" t="str">
        <f ca="1">IFERROR(__xludf.DUMMYFUNCTION("""COMPUTED_VALUE"""),"")</f>
        <v/>
      </c>
      <c r="H627" s="36" t="str">
        <f ca="1">IFERROR(__xludf.DUMMYFUNCTION("""COMPUTED_VALUE"""),"")</f>
        <v/>
      </c>
      <c r="I627" s="36" t="str">
        <f ca="1">IFERROR(__xludf.DUMMYFUNCTION("""COMPUTED_VALUE"""),"")</f>
        <v/>
      </c>
      <c r="J627" s="36" t="str">
        <f ca="1">IFERROR(__xludf.DUMMYFUNCTION("""COMPUTED_VALUE"""),"")</f>
        <v/>
      </c>
      <c r="K627" s="36" t="str">
        <f ca="1">IFERROR(__xludf.DUMMYFUNCTION("""COMPUTED_VALUE"""),"")</f>
        <v/>
      </c>
      <c r="L627" s="36" t="str">
        <f ca="1">IFERROR(__xludf.DUMMYFUNCTION("""COMPUTED_VALUE"""),"")</f>
        <v/>
      </c>
      <c r="M627" s="36" t="str">
        <f ca="1">IFERROR(__xludf.DUMMYFUNCTION("""COMPUTED_VALUE"""),"")</f>
        <v/>
      </c>
      <c r="N627" s="36" t="str">
        <f ca="1">IFERROR(__xludf.DUMMYFUNCTION("""COMPUTED_VALUE"""),"")</f>
        <v/>
      </c>
      <c r="O627" s="36" t="str">
        <f ca="1">IFERROR(__xludf.DUMMYFUNCTION("""COMPUTED_VALUE"""),"")</f>
        <v/>
      </c>
      <c r="P627" s="36" t="str">
        <f ca="1">IFERROR(__xludf.DUMMYFUNCTION("""COMPUTED_VALUE"""),"")</f>
        <v/>
      </c>
      <c r="Q627" s="36" t="str">
        <f ca="1">IFERROR(__xludf.DUMMYFUNCTION("""COMPUTED_VALUE"""),"")</f>
        <v/>
      </c>
      <c r="R627" s="36" t="str">
        <f ca="1">IFERROR(__xludf.DUMMYFUNCTION("""COMPUTED_VALUE"""),"")</f>
        <v/>
      </c>
      <c r="S627" s="36" t="str">
        <f ca="1">IFERROR(__xludf.DUMMYFUNCTION("""COMPUTED_VALUE"""),"")</f>
        <v/>
      </c>
      <c r="T627" s="36" t="str">
        <f ca="1">IFERROR(__xludf.DUMMYFUNCTION("""COMPUTED_VALUE"""),"")</f>
        <v/>
      </c>
      <c r="U627" s="36" t="str">
        <f ca="1">IFERROR(__xludf.DUMMYFUNCTION("""COMPUTED_VALUE"""),"")</f>
        <v/>
      </c>
      <c r="V627" s="36" t="str">
        <f ca="1">IFERROR(__xludf.DUMMYFUNCTION("""COMPUTED_VALUE"""),"")</f>
        <v/>
      </c>
      <c r="W627" s="36" t="str">
        <f ca="1">IFERROR(__xludf.DUMMYFUNCTION("""COMPUTED_VALUE"""),"")</f>
        <v/>
      </c>
      <c r="X627" s="36"/>
      <c r="Y627" s="36"/>
      <c r="Z627" s="36"/>
    </row>
    <row r="628" spans="1:26" ht="12.75" hidden="1">
      <c r="A628" s="36" t="str">
        <f ca="1">IFERROR(__xludf.DUMMYFUNCTION("""COMPUTED_VALUE"""),"")</f>
        <v/>
      </c>
      <c r="B628" s="36" t="str">
        <f ca="1">IFERROR(__xludf.DUMMYFUNCTION("""COMPUTED_VALUE"""),"")</f>
        <v/>
      </c>
      <c r="C628" s="36" t="str">
        <f ca="1">IFERROR(__xludf.DUMMYFUNCTION("""COMPUTED_VALUE"""),"")</f>
        <v/>
      </c>
      <c r="D628" s="36" t="str">
        <f ca="1">IFERROR(__xludf.DUMMYFUNCTION("""COMPUTED_VALUE"""),"")</f>
        <v/>
      </c>
      <c r="E628" s="36" t="str">
        <f ca="1">IFERROR(__xludf.DUMMYFUNCTION("""COMPUTED_VALUE"""),"")</f>
        <v/>
      </c>
      <c r="F628" s="36" t="str">
        <f ca="1">IFERROR(__xludf.DUMMYFUNCTION("""COMPUTED_VALUE"""),"")</f>
        <v/>
      </c>
      <c r="G628" s="36" t="str">
        <f ca="1">IFERROR(__xludf.DUMMYFUNCTION("""COMPUTED_VALUE"""),"")</f>
        <v/>
      </c>
      <c r="H628" s="36" t="str">
        <f ca="1">IFERROR(__xludf.DUMMYFUNCTION("""COMPUTED_VALUE"""),"")</f>
        <v/>
      </c>
      <c r="I628" s="36" t="str">
        <f ca="1">IFERROR(__xludf.DUMMYFUNCTION("""COMPUTED_VALUE"""),"")</f>
        <v/>
      </c>
      <c r="J628" s="36" t="str">
        <f ca="1">IFERROR(__xludf.DUMMYFUNCTION("""COMPUTED_VALUE"""),"")</f>
        <v/>
      </c>
      <c r="K628" s="36" t="str">
        <f ca="1">IFERROR(__xludf.DUMMYFUNCTION("""COMPUTED_VALUE"""),"")</f>
        <v/>
      </c>
      <c r="L628" s="36" t="str">
        <f ca="1">IFERROR(__xludf.DUMMYFUNCTION("""COMPUTED_VALUE"""),"")</f>
        <v/>
      </c>
      <c r="M628" s="36" t="str">
        <f ca="1">IFERROR(__xludf.DUMMYFUNCTION("""COMPUTED_VALUE"""),"")</f>
        <v/>
      </c>
      <c r="N628" s="36" t="str">
        <f ca="1">IFERROR(__xludf.DUMMYFUNCTION("""COMPUTED_VALUE"""),"")</f>
        <v/>
      </c>
      <c r="O628" s="36" t="str">
        <f ca="1">IFERROR(__xludf.DUMMYFUNCTION("""COMPUTED_VALUE"""),"")</f>
        <v/>
      </c>
      <c r="P628" s="36" t="str">
        <f ca="1">IFERROR(__xludf.DUMMYFUNCTION("""COMPUTED_VALUE"""),"")</f>
        <v/>
      </c>
      <c r="Q628" s="36" t="str">
        <f ca="1">IFERROR(__xludf.DUMMYFUNCTION("""COMPUTED_VALUE"""),"")</f>
        <v/>
      </c>
      <c r="R628" s="36" t="str">
        <f ca="1">IFERROR(__xludf.DUMMYFUNCTION("""COMPUTED_VALUE"""),"")</f>
        <v/>
      </c>
      <c r="S628" s="36" t="str">
        <f ca="1">IFERROR(__xludf.DUMMYFUNCTION("""COMPUTED_VALUE"""),"")</f>
        <v/>
      </c>
      <c r="T628" s="36" t="str">
        <f ca="1">IFERROR(__xludf.DUMMYFUNCTION("""COMPUTED_VALUE"""),"")</f>
        <v/>
      </c>
      <c r="U628" s="36" t="str">
        <f ca="1">IFERROR(__xludf.DUMMYFUNCTION("""COMPUTED_VALUE"""),"")</f>
        <v/>
      </c>
      <c r="V628" s="36" t="str">
        <f ca="1">IFERROR(__xludf.DUMMYFUNCTION("""COMPUTED_VALUE"""),"")</f>
        <v/>
      </c>
      <c r="W628" s="36" t="str">
        <f ca="1">IFERROR(__xludf.DUMMYFUNCTION("""COMPUTED_VALUE"""),"")</f>
        <v/>
      </c>
      <c r="X628" s="36"/>
      <c r="Y628" s="36"/>
      <c r="Z628" s="36"/>
    </row>
    <row r="629" spans="1:26" ht="12.75" hidden="1">
      <c r="A629" s="36" t="str">
        <f ca="1">IFERROR(__xludf.DUMMYFUNCTION("""COMPUTED_VALUE"""),"")</f>
        <v/>
      </c>
      <c r="B629" s="36" t="str">
        <f ca="1">IFERROR(__xludf.DUMMYFUNCTION("""COMPUTED_VALUE"""),"")</f>
        <v/>
      </c>
      <c r="C629" s="36" t="str">
        <f ca="1">IFERROR(__xludf.DUMMYFUNCTION("""COMPUTED_VALUE"""),"")</f>
        <v/>
      </c>
      <c r="D629" s="36" t="str">
        <f ca="1">IFERROR(__xludf.DUMMYFUNCTION("""COMPUTED_VALUE"""),"")</f>
        <v/>
      </c>
      <c r="E629" s="36" t="str">
        <f ca="1">IFERROR(__xludf.DUMMYFUNCTION("""COMPUTED_VALUE"""),"")</f>
        <v/>
      </c>
      <c r="F629" s="36" t="str">
        <f ca="1">IFERROR(__xludf.DUMMYFUNCTION("""COMPUTED_VALUE"""),"")</f>
        <v/>
      </c>
      <c r="G629" s="36" t="str">
        <f ca="1">IFERROR(__xludf.DUMMYFUNCTION("""COMPUTED_VALUE"""),"")</f>
        <v/>
      </c>
      <c r="H629" s="36" t="str">
        <f ca="1">IFERROR(__xludf.DUMMYFUNCTION("""COMPUTED_VALUE"""),"")</f>
        <v/>
      </c>
      <c r="I629" s="36" t="str">
        <f ca="1">IFERROR(__xludf.DUMMYFUNCTION("""COMPUTED_VALUE"""),"")</f>
        <v/>
      </c>
      <c r="J629" s="36" t="str">
        <f ca="1">IFERROR(__xludf.DUMMYFUNCTION("""COMPUTED_VALUE"""),"")</f>
        <v/>
      </c>
      <c r="K629" s="36" t="str">
        <f ca="1">IFERROR(__xludf.DUMMYFUNCTION("""COMPUTED_VALUE"""),"")</f>
        <v/>
      </c>
      <c r="L629" s="36" t="str">
        <f ca="1">IFERROR(__xludf.DUMMYFUNCTION("""COMPUTED_VALUE"""),"")</f>
        <v/>
      </c>
      <c r="M629" s="36" t="str">
        <f ca="1">IFERROR(__xludf.DUMMYFUNCTION("""COMPUTED_VALUE"""),"")</f>
        <v/>
      </c>
      <c r="N629" s="36" t="str">
        <f ca="1">IFERROR(__xludf.DUMMYFUNCTION("""COMPUTED_VALUE"""),"")</f>
        <v/>
      </c>
      <c r="O629" s="36" t="str">
        <f ca="1">IFERROR(__xludf.DUMMYFUNCTION("""COMPUTED_VALUE"""),"")</f>
        <v/>
      </c>
      <c r="P629" s="36" t="str">
        <f ca="1">IFERROR(__xludf.DUMMYFUNCTION("""COMPUTED_VALUE"""),"")</f>
        <v/>
      </c>
      <c r="Q629" s="36" t="str">
        <f ca="1">IFERROR(__xludf.DUMMYFUNCTION("""COMPUTED_VALUE"""),"")</f>
        <v/>
      </c>
      <c r="R629" s="36" t="str">
        <f ca="1">IFERROR(__xludf.DUMMYFUNCTION("""COMPUTED_VALUE"""),"")</f>
        <v/>
      </c>
      <c r="S629" s="36" t="str">
        <f ca="1">IFERROR(__xludf.DUMMYFUNCTION("""COMPUTED_VALUE"""),"")</f>
        <v/>
      </c>
      <c r="T629" s="36" t="str">
        <f ca="1">IFERROR(__xludf.DUMMYFUNCTION("""COMPUTED_VALUE"""),"")</f>
        <v/>
      </c>
      <c r="U629" s="36" t="str">
        <f ca="1">IFERROR(__xludf.DUMMYFUNCTION("""COMPUTED_VALUE"""),"")</f>
        <v/>
      </c>
      <c r="V629" s="36" t="str">
        <f ca="1">IFERROR(__xludf.DUMMYFUNCTION("""COMPUTED_VALUE"""),"")</f>
        <v/>
      </c>
      <c r="W629" s="36" t="str">
        <f ca="1">IFERROR(__xludf.DUMMYFUNCTION("""COMPUTED_VALUE"""),"")</f>
        <v/>
      </c>
      <c r="X629" s="36"/>
      <c r="Y629" s="36"/>
      <c r="Z629" s="36"/>
    </row>
    <row r="630" spans="1:26" ht="12.75" hidden="1">
      <c r="A630" s="36" t="str">
        <f ca="1">IFERROR(__xludf.DUMMYFUNCTION("""COMPUTED_VALUE"""),"")</f>
        <v/>
      </c>
      <c r="B630" s="36" t="str">
        <f ca="1">IFERROR(__xludf.DUMMYFUNCTION("""COMPUTED_VALUE"""),"")</f>
        <v/>
      </c>
      <c r="C630" s="36" t="str">
        <f ca="1">IFERROR(__xludf.DUMMYFUNCTION("""COMPUTED_VALUE"""),"")</f>
        <v/>
      </c>
      <c r="D630" s="36" t="str">
        <f ca="1">IFERROR(__xludf.DUMMYFUNCTION("""COMPUTED_VALUE"""),"")</f>
        <v/>
      </c>
      <c r="E630" s="36" t="str">
        <f ca="1">IFERROR(__xludf.DUMMYFUNCTION("""COMPUTED_VALUE"""),"")</f>
        <v/>
      </c>
      <c r="F630" s="36" t="str">
        <f ca="1">IFERROR(__xludf.DUMMYFUNCTION("""COMPUTED_VALUE"""),"")</f>
        <v/>
      </c>
      <c r="G630" s="36" t="str">
        <f ca="1">IFERROR(__xludf.DUMMYFUNCTION("""COMPUTED_VALUE"""),"")</f>
        <v/>
      </c>
      <c r="H630" s="36" t="str">
        <f ca="1">IFERROR(__xludf.DUMMYFUNCTION("""COMPUTED_VALUE"""),"")</f>
        <v/>
      </c>
      <c r="I630" s="36" t="str">
        <f ca="1">IFERROR(__xludf.DUMMYFUNCTION("""COMPUTED_VALUE"""),"")</f>
        <v/>
      </c>
      <c r="J630" s="36" t="str">
        <f ca="1">IFERROR(__xludf.DUMMYFUNCTION("""COMPUTED_VALUE"""),"")</f>
        <v/>
      </c>
      <c r="K630" s="36" t="str">
        <f ca="1">IFERROR(__xludf.DUMMYFUNCTION("""COMPUTED_VALUE"""),"")</f>
        <v/>
      </c>
      <c r="L630" s="36" t="str">
        <f ca="1">IFERROR(__xludf.DUMMYFUNCTION("""COMPUTED_VALUE"""),"")</f>
        <v/>
      </c>
      <c r="M630" s="36" t="str">
        <f ca="1">IFERROR(__xludf.DUMMYFUNCTION("""COMPUTED_VALUE"""),"")</f>
        <v/>
      </c>
      <c r="N630" s="36" t="str">
        <f ca="1">IFERROR(__xludf.DUMMYFUNCTION("""COMPUTED_VALUE"""),"")</f>
        <v/>
      </c>
      <c r="O630" s="36" t="str">
        <f ca="1">IFERROR(__xludf.DUMMYFUNCTION("""COMPUTED_VALUE"""),"")</f>
        <v/>
      </c>
      <c r="P630" s="36" t="str">
        <f ca="1">IFERROR(__xludf.DUMMYFUNCTION("""COMPUTED_VALUE"""),"")</f>
        <v/>
      </c>
      <c r="Q630" s="36" t="str">
        <f ca="1">IFERROR(__xludf.DUMMYFUNCTION("""COMPUTED_VALUE"""),"")</f>
        <v/>
      </c>
      <c r="R630" s="36" t="str">
        <f ca="1">IFERROR(__xludf.DUMMYFUNCTION("""COMPUTED_VALUE"""),"")</f>
        <v/>
      </c>
      <c r="S630" s="36" t="str">
        <f ca="1">IFERROR(__xludf.DUMMYFUNCTION("""COMPUTED_VALUE"""),"")</f>
        <v/>
      </c>
      <c r="T630" s="36" t="str">
        <f ca="1">IFERROR(__xludf.DUMMYFUNCTION("""COMPUTED_VALUE"""),"")</f>
        <v/>
      </c>
      <c r="U630" s="36" t="str">
        <f ca="1">IFERROR(__xludf.DUMMYFUNCTION("""COMPUTED_VALUE"""),"")</f>
        <v/>
      </c>
      <c r="V630" s="36" t="str">
        <f ca="1">IFERROR(__xludf.DUMMYFUNCTION("""COMPUTED_VALUE"""),"")</f>
        <v/>
      </c>
      <c r="W630" s="36" t="str">
        <f ca="1">IFERROR(__xludf.DUMMYFUNCTION("""COMPUTED_VALUE"""),"")</f>
        <v/>
      </c>
      <c r="X630" s="36"/>
      <c r="Y630" s="36"/>
      <c r="Z630" s="36"/>
    </row>
    <row r="631" spans="1:26" ht="12.75" hidden="1">
      <c r="A631" s="36" t="str">
        <f ca="1">IFERROR(__xludf.DUMMYFUNCTION("""COMPUTED_VALUE"""),"")</f>
        <v/>
      </c>
      <c r="B631" s="36" t="str">
        <f ca="1">IFERROR(__xludf.DUMMYFUNCTION("""COMPUTED_VALUE"""),"")</f>
        <v/>
      </c>
      <c r="C631" s="36" t="str">
        <f ca="1">IFERROR(__xludf.DUMMYFUNCTION("""COMPUTED_VALUE"""),"")</f>
        <v/>
      </c>
      <c r="D631" s="36" t="str">
        <f ca="1">IFERROR(__xludf.DUMMYFUNCTION("""COMPUTED_VALUE"""),"")</f>
        <v/>
      </c>
      <c r="E631" s="36" t="str">
        <f ca="1">IFERROR(__xludf.DUMMYFUNCTION("""COMPUTED_VALUE"""),"")</f>
        <v/>
      </c>
      <c r="F631" s="36" t="str">
        <f ca="1">IFERROR(__xludf.DUMMYFUNCTION("""COMPUTED_VALUE"""),"")</f>
        <v/>
      </c>
      <c r="G631" s="36" t="str">
        <f ca="1">IFERROR(__xludf.DUMMYFUNCTION("""COMPUTED_VALUE"""),"")</f>
        <v/>
      </c>
      <c r="H631" s="36" t="str">
        <f ca="1">IFERROR(__xludf.DUMMYFUNCTION("""COMPUTED_VALUE"""),"")</f>
        <v/>
      </c>
      <c r="I631" s="36" t="str">
        <f ca="1">IFERROR(__xludf.DUMMYFUNCTION("""COMPUTED_VALUE"""),"")</f>
        <v/>
      </c>
      <c r="J631" s="36" t="str">
        <f ca="1">IFERROR(__xludf.DUMMYFUNCTION("""COMPUTED_VALUE"""),"")</f>
        <v/>
      </c>
      <c r="K631" s="36" t="str">
        <f ca="1">IFERROR(__xludf.DUMMYFUNCTION("""COMPUTED_VALUE"""),"")</f>
        <v/>
      </c>
      <c r="L631" s="36" t="str">
        <f ca="1">IFERROR(__xludf.DUMMYFUNCTION("""COMPUTED_VALUE"""),"")</f>
        <v/>
      </c>
      <c r="M631" s="36" t="str">
        <f ca="1">IFERROR(__xludf.DUMMYFUNCTION("""COMPUTED_VALUE"""),"")</f>
        <v/>
      </c>
      <c r="N631" s="36" t="str">
        <f ca="1">IFERROR(__xludf.DUMMYFUNCTION("""COMPUTED_VALUE"""),"")</f>
        <v/>
      </c>
      <c r="O631" s="36" t="str">
        <f ca="1">IFERROR(__xludf.DUMMYFUNCTION("""COMPUTED_VALUE"""),"")</f>
        <v/>
      </c>
      <c r="P631" s="36" t="str">
        <f ca="1">IFERROR(__xludf.DUMMYFUNCTION("""COMPUTED_VALUE"""),"")</f>
        <v/>
      </c>
      <c r="Q631" s="36" t="str">
        <f ca="1">IFERROR(__xludf.DUMMYFUNCTION("""COMPUTED_VALUE"""),"")</f>
        <v/>
      </c>
      <c r="R631" s="36" t="str">
        <f ca="1">IFERROR(__xludf.DUMMYFUNCTION("""COMPUTED_VALUE"""),"")</f>
        <v/>
      </c>
      <c r="S631" s="36" t="str">
        <f ca="1">IFERROR(__xludf.DUMMYFUNCTION("""COMPUTED_VALUE"""),"")</f>
        <v/>
      </c>
      <c r="T631" s="36" t="str">
        <f ca="1">IFERROR(__xludf.DUMMYFUNCTION("""COMPUTED_VALUE"""),"")</f>
        <v/>
      </c>
      <c r="U631" s="36" t="str">
        <f ca="1">IFERROR(__xludf.DUMMYFUNCTION("""COMPUTED_VALUE"""),"")</f>
        <v/>
      </c>
      <c r="V631" s="36" t="str">
        <f ca="1">IFERROR(__xludf.DUMMYFUNCTION("""COMPUTED_VALUE"""),"")</f>
        <v/>
      </c>
      <c r="W631" s="36" t="str">
        <f ca="1">IFERROR(__xludf.DUMMYFUNCTION("""COMPUTED_VALUE"""),"")</f>
        <v/>
      </c>
      <c r="X631" s="36"/>
      <c r="Y631" s="36"/>
      <c r="Z631" s="36"/>
    </row>
    <row r="632" spans="1:26" ht="12.75" hidden="1">
      <c r="A632" s="36" t="str">
        <f ca="1">IFERROR(__xludf.DUMMYFUNCTION("""COMPUTED_VALUE"""),"")</f>
        <v/>
      </c>
      <c r="B632" s="36" t="str">
        <f ca="1">IFERROR(__xludf.DUMMYFUNCTION("""COMPUTED_VALUE"""),"")</f>
        <v/>
      </c>
      <c r="C632" s="36" t="str">
        <f ca="1">IFERROR(__xludf.DUMMYFUNCTION("""COMPUTED_VALUE"""),"")</f>
        <v/>
      </c>
      <c r="D632" s="36" t="str">
        <f ca="1">IFERROR(__xludf.DUMMYFUNCTION("""COMPUTED_VALUE"""),"")</f>
        <v/>
      </c>
      <c r="E632" s="36" t="str">
        <f ca="1">IFERROR(__xludf.DUMMYFUNCTION("""COMPUTED_VALUE"""),"")</f>
        <v/>
      </c>
      <c r="F632" s="36" t="str">
        <f ca="1">IFERROR(__xludf.DUMMYFUNCTION("""COMPUTED_VALUE"""),"")</f>
        <v/>
      </c>
      <c r="G632" s="36" t="str">
        <f ca="1">IFERROR(__xludf.DUMMYFUNCTION("""COMPUTED_VALUE"""),"")</f>
        <v/>
      </c>
      <c r="H632" s="36" t="str">
        <f ca="1">IFERROR(__xludf.DUMMYFUNCTION("""COMPUTED_VALUE"""),"")</f>
        <v/>
      </c>
      <c r="I632" s="36" t="str">
        <f ca="1">IFERROR(__xludf.DUMMYFUNCTION("""COMPUTED_VALUE"""),"")</f>
        <v/>
      </c>
      <c r="J632" s="36" t="str">
        <f ca="1">IFERROR(__xludf.DUMMYFUNCTION("""COMPUTED_VALUE"""),"")</f>
        <v/>
      </c>
      <c r="K632" s="36" t="str">
        <f ca="1">IFERROR(__xludf.DUMMYFUNCTION("""COMPUTED_VALUE"""),"")</f>
        <v/>
      </c>
      <c r="L632" s="36" t="str">
        <f ca="1">IFERROR(__xludf.DUMMYFUNCTION("""COMPUTED_VALUE"""),"")</f>
        <v/>
      </c>
      <c r="M632" s="36" t="str">
        <f ca="1">IFERROR(__xludf.DUMMYFUNCTION("""COMPUTED_VALUE"""),"")</f>
        <v/>
      </c>
      <c r="N632" s="36" t="str">
        <f ca="1">IFERROR(__xludf.DUMMYFUNCTION("""COMPUTED_VALUE"""),"")</f>
        <v/>
      </c>
      <c r="O632" s="36" t="str">
        <f ca="1">IFERROR(__xludf.DUMMYFUNCTION("""COMPUTED_VALUE"""),"")</f>
        <v/>
      </c>
      <c r="P632" s="36" t="str">
        <f ca="1">IFERROR(__xludf.DUMMYFUNCTION("""COMPUTED_VALUE"""),"")</f>
        <v/>
      </c>
      <c r="Q632" s="36" t="str">
        <f ca="1">IFERROR(__xludf.DUMMYFUNCTION("""COMPUTED_VALUE"""),"")</f>
        <v/>
      </c>
      <c r="R632" s="36" t="str">
        <f ca="1">IFERROR(__xludf.DUMMYFUNCTION("""COMPUTED_VALUE"""),"")</f>
        <v/>
      </c>
      <c r="S632" s="36" t="str">
        <f ca="1">IFERROR(__xludf.DUMMYFUNCTION("""COMPUTED_VALUE"""),"")</f>
        <v/>
      </c>
      <c r="T632" s="36" t="str">
        <f ca="1">IFERROR(__xludf.DUMMYFUNCTION("""COMPUTED_VALUE"""),"")</f>
        <v/>
      </c>
      <c r="U632" s="36" t="str">
        <f ca="1">IFERROR(__xludf.DUMMYFUNCTION("""COMPUTED_VALUE"""),"")</f>
        <v/>
      </c>
      <c r="V632" s="36" t="str">
        <f ca="1">IFERROR(__xludf.DUMMYFUNCTION("""COMPUTED_VALUE"""),"")</f>
        <v/>
      </c>
      <c r="W632" s="36" t="str">
        <f ca="1">IFERROR(__xludf.DUMMYFUNCTION("""COMPUTED_VALUE"""),"")</f>
        <v/>
      </c>
      <c r="X632" s="36"/>
      <c r="Y632" s="36"/>
      <c r="Z632" s="36"/>
    </row>
    <row r="633" spans="1:26" ht="12.75" hidden="1">
      <c r="A633" s="36" t="str">
        <f ca="1">IFERROR(__xludf.DUMMYFUNCTION("""COMPUTED_VALUE"""),"")</f>
        <v/>
      </c>
      <c r="B633" s="36" t="str">
        <f ca="1">IFERROR(__xludf.DUMMYFUNCTION("""COMPUTED_VALUE"""),"")</f>
        <v/>
      </c>
      <c r="C633" s="36" t="str">
        <f ca="1">IFERROR(__xludf.DUMMYFUNCTION("""COMPUTED_VALUE"""),"")</f>
        <v/>
      </c>
      <c r="D633" s="36" t="str">
        <f ca="1">IFERROR(__xludf.DUMMYFUNCTION("""COMPUTED_VALUE"""),"")</f>
        <v/>
      </c>
      <c r="E633" s="36" t="str">
        <f ca="1">IFERROR(__xludf.DUMMYFUNCTION("""COMPUTED_VALUE"""),"")</f>
        <v/>
      </c>
      <c r="F633" s="36" t="str">
        <f ca="1">IFERROR(__xludf.DUMMYFUNCTION("""COMPUTED_VALUE"""),"")</f>
        <v/>
      </c>
      <c r="G633" s="36" t="str">
        <f ca="1">IFERROR(__xludf.DUMMYFUNCTION("""COMPUTED_VALUE"""),"")</f>
        <v/>
      </c>
      <c r="H633" s="36" t="str">
        <f ca="1">IFERROR(__xludf.DUMMYFUNCTION("""COMPUTED_VALUE"""),"")</f>
        <v/>
      </c>
      <c r="I633" s="36" t="str">
        <f ca="1">IFERROR(__xludf.DUMMYFUNCTION("""COMPUTED_VALUE"""),"")</f>
        <v/>
      </c>
      <c r="J633" s="36" t="str">
        <f ca="1">IFERROR(__xludf.DUMMYFUNCTION("""COMPUTED_VALUE"""),"")</f>
        <v/>
      </c>
      <c r="K633" s="36" t="str">
        <f ca="1">IFERROR(__xludf.DUMMYFUNCTION("""COMPUTED_VALUE"""),"")</f>
        <v/>
      </c>
      <c r="L633" s="36" t="str">
        <f ca="1">IFERROR(__xludf.DUMMYFUNCTION("""COMPUTED_VALUE"""),"")</f>
        <v/>
      </c>
      <c r="M633" s="36" t="str">
        <f ca="1">IFERROR(__xludf.DUMMYFUNCTION("""COMPUTED_VALUE"""),"")</f>
        <v/>
      </c>
      <c r="N633" s="36" t="str">
        <f ca="1">IFERROR(__xludf.DUMMYFUNCTION("""COMPUTED_VALUE"""),"")</f>
        <v/>
      </c>
      <c r="O633" s="36" t="str">
        <f ca="1">IFERROR(__xludf.DUMMYFUNCTION("""COMPUTED_VALUE"""),"")</f>
        <v/>
      </c>
      <c r="P633" s="36" t="str">
        <f ca="1">IFERROR(__xludf.DUMMYFUNCTION("""COMPUTED_VALUE"""),"")</f>
        <v/>
      </c>
      <c r="Q633" s="36" t="str">
        <f ca="1">IFERROR(__xludf.DUMMYFUNCTION("""COMPUTED_VALUE"""),"")</f>
        <v/>
      </c>
      <c r="R633" s="36" t="str">
        <f ca="1">IFERROR(__xludf.DUMMYFUNCTION("""COMPUTED_VALUE"""),"")</f>
        <v/>
      </c>
      <c r="S633" s="36" t="str">
        <f ca="1">IFERROR(__xludf.DUMMYFUNCTION("""COMPUTED_VALUE"""),"")</f>
        <v/>
      </c>
      <c r="T633" s="36" t="str">
        <f ca="1">IFERROR(__xludf.DUMMYFUNCTION("""COMPUTED_VALUE"""),"")</f>
        <v/>
      </c>
      <c r="U633" s="36" t="str">
        <f ca="1">IFERROR(__xludf.DUMMYFUNCTION("""COMPUTED_VALUE"""),"")</f>
        <v/>
      </c>
      <c r="V633" s="36" t="str">
        <f ca="1">IFERROR(__xludf.DUMMYFUNCTION("""COMPUTED_VALUE"""),"")</f>
        <v/>
      </c>
      <c r="W633" s="36" t="str">
        <f ca="1">IFERROR(__xludf.DUMMYFUNCTION("""COMPUTED_VALUE"""),"")</f>
        <v/>
      </c>
      <c r="X633" s="36"/>
      <c r="Y633" s="36"/>
      <c r="Z633" s="36"/>
    </row>
    <row r="634" spans="1:26" ht="12.75" hidden="1">
      <c r="A634" s="36" t="str">
        <f ca="1">IFERROR(__xludf.DUMMYFUNCTION("""COMPUTED_VALUE"""),"")</f>
        <v/>
      </c>
      <c r="B634" s="36" t="str">
        <f ca="1">IFERROR(__xludf.DUMMYFUNCTION("""COMPUTED_VALUE"""),"")</f>
        <v/>
      </c>
      <c r="C634" s="36" t="str">
        <f ca="1">IFERROR(__xludf.DUMMYFUNCTION("""COMPUTED_VALUE"""),"")</f>
        <v/>
      </c>
      <c r="D634" s="36" t="str">
        <f ca="1">IFERROR(__xludf.DUMMYFUNCTION("""COMPUTED_VALUE"""),"")</f>
        <v/>
      </c>
      <c r="E634" s="36" t="str">
        <f ca="1">IFERROR(__xludf.DUMMYFUNCTION("""COMPUTED_VALUE"""),"")</f>
        <v/>
      </c>
      <c r="F634" s="36" t="str">
        <f ca="1">IFERROR(__xludf.DUMMYFUNCTION("""COMPUTED_VALUE"""),"")</f>
        <v/>
      </c>
      <c r="G634" s="36" t="str">
        <f ca="1">IFERROR(__xludf.DUMMYFUNCTION("""COMPUTED_VALUE"""),"")</f>
        <v/>
      </c>
      <c r="H634" s="36" t="str">
        <f ca="1">IFERROR(__xludf.DUMMYFUNCTION("""COMPUTED_VALUE"""),"")</f>
        <v/>
      </c>
      <c r="I634" s="36" t="str">
        <f ca="1">IFERROR(__xludf.DUMMYFUNCTION("""COMPUTED_VALUE"""),"")</f>
        <v/>
      </c>
      <c r="J634" s="36" t="str">
        <f ca="1">IFERROR(__xludf.DUMMYFUNCTION("""COMPUTED_VALUE"""),"")</f>
        <v/>
      </c>
      <c r="K634" s="36" t="str">
        <f ca="1">IFERROR(__xludf.DUMMYFUNCTION("""COMPUTED_VALUE"""),"")</f>
        <v/>
      </c>
      <c r="L634" s="36" t="str">
        <f ca="1">IFERROR(__xludf.DUMMYFUNCTION("""COMPUTED_VALUE"""),"")</f>
        <v/>
      </c>
      <c r="M634" s="36" t="str">
        <f ca="1">IFERROR(__xludf.DUMMYFUNCTION("""COMPUTED_VALUE"""),"")</f>
        <v/>
      </c>
      <c r="N634" s="36" t="str">
        <f ca="1">IFERROR(__xludf.DUMMYFUNCTION("""COMPUTED_VALUE"""),"")</f>
        <v/>
      </c>
      <c r="O634" s="36" t="str">
        <f ca="1">IFERROR(__xludf.DUMMYFUNCTION("""COMPUTED_VALUE"""),"")</f>
        <v/>
      </c>
      <c r="P634" s="36" t="str">
        <f ca="1">IFERROR(__xludf.DUMMYFUNCTION("""COMPUTED_VALUE"""),"")</f>
        <v/>
      </c>
      <c r="Q634" s="36" t="str">
        <f ca="1">IFERROR(__xludf.DUMMYFUNCTION("""COMPUTED_VALUE"""),"")</f>
        <v/>
      </c>
      <c r="R634" s="36" t="str">
        <f ca="1">IFERROR(__xludf.DUMMYFUNCTION("""COMPUTED_VALUE"""),"")</f>
        <v/>
      </c>
      <c r="S634" s="36" t="str">
        <f ca="1">IFERROR(__xludf.DUMMYFUNCTION("""COMPUTED_VALUE"""),"")</f>
        <v/>
      </c>
      <c r="T634" s="36" t="str">
        <f ca="1">IFERROR(__xludf.DUMMYFUNCTION("""COMPUTED_VALUE"""),"")</f>
        <v/>
      </c>
      <c r="U634" s="36" t="str">
        <f ca="1">IFERROR(__xludf.DUMMYFUNCTION("""COMPUTED_VALUE"""),"")</f>
        <v/>
      </c>
      <c r="V634" s="36" t="str">
        <f ca="1">IFERROR(__xludf.DUMMYFUNCTION("""COMPUTED_VALUE"""),"")</f>
        <v/>
      </c>
      <c r="W634" s="36" t="str">
        <f ca="1">IFERROR(__xludf.DUMMYFUNCTION("""COMPUTED_VALUE"""),"")</f>
        <v/>
      </c>
      <c r="X634" s="36"/>
      <c r="Y634" s="36"/>
      <c r="Z634" s="36"/>
    </row>
    <row r="635" spans="1:26" ht="12.75" hidden="1">
      <c r="A635" s="36" t="str">
        <f ca="1">IFERROR(__xludf.DUMMYFUNCTION("""COMPUTED_VALUE"""),"")</f>
        <v/>
      </c>
      <c r="B635" s="36" t="str">
        <f ca="1">IFERROR(__xludf.DUMMYFUNCTION("""COMPUTED_VALUE"""),"")</f>
        <v/>
      </c>
      <c r="C635" s="36" t="str">
        <f ca="1">IFERROR(__xludf.DUMMYFUNCTION("""COMPUTED_VALUE"""),"")</f>
        <v/>
      </c>
      <c r="D635" s="36" t="str">
        <f ca="1">IFERROR(__xludf.DUMMYFUNCTION("""COMPUTED_VALUE"""),"")</f>
        <v/>
      </c>
      <c r="E635" s="36" t="str">
        <f ca="1">IFERROR(__xludf.DUMMYFUNCTION("""COMPUTED_VALUE"""),"")</f>
        <v/>
      </c>
      <c r="F635" s="36" t="str">
        <f ca="1">IFERROR(__xludf.DUMMYFUNCTION("""COMPUTED_VALUE"""),"")</f>
        <v/>
      </c>
      <c r="G635" s="36" t="str">
        <f ca="1">IFERROR(__xludf.DUMMYFUNCTION("""COMPUTED_VALUE"""),"")</f>
        <v/>
      </c>
      <c r="H635" s="36" t="str">
        <f ca="1">IFERROR(__xludf.DUMMYFUNCTION("""COMPUTED_VALUE"""),"")</f>
        <v/>
      </c>
      <c r="I635" s="36" t="str">
        <f ca="1">IFERROR(__xludf.DUMMYFUNCTION("""COMPUTED_VALUE"""),"")</f>
        <v/>
      </c>
      <c r="J635" s="36" t="str">
        <f ca="1">IFERROR(__xludf.DUMMYFUNCTION("""COMPUTED_VALUE"""),"")</f>
        <v/>
      </c>
      <c r="K635" s="36" t="str">
        <f ca="1">IFERROR(__xludf.DUMMYFUNCTION("""COMPUTED_VALUE"""),"")</f>
        <v/>
      </c>
      <c r="L635" s="36" t="str">
        <f ca="1">IFERROR(__xludf.DUMMYFUNCTION("""COMPUTED_VALUE"""),"")</f>
        <v/>
      </c>
      <c r="M635" s="36" t="str">
        <f ca="1">IFERROR(__xludf.DUMMYFUNCTION("""COMPUTED_VALUE"""),"")</f>
        <v/>
      </c>
      <c r="N635" s="36" t="str">
        <f ca="1">IFERROR(__xludf.DUMMYFUNCTION("""COMPUTED_VALUE"""),"")</f>
        <v/>
      </c>
      <c r="O635" s="36" t="str">
        <f ca="1">IFERROR(__xludf.DUMMYFUNCTION("""COMPUTED_VALUE"""),"")</f>
        <v/>
      </c>
      <c r="P635" s="36" t="str">
        <f ca="1">IFERROR(__xludf.DUMMYFUNCTION("""COMPUTED_VALUE"""),"")</f>
        <v/>
      </c>
      <c r="Q635" s="36" t="str">
        <f ca="1">IFERROR(__xludf.DUMMYFUNCTION("""COMPUTED_VALUE"""),"")</f>
        <v/>
      </c>
      <c r="R635" s="36" t="str">
        <f ca="1">IFERROR(__xludf.DUMMYFUNCTION("""COMPUTED_VALUE"""),"")</f>
        <v/>
      </c>
      <c r="S635" s="36" t="str">
        <f ca="1">IFERROR(__xludf.DUMMYFUNCTION("""COMPUTED_VALUE"""),"")</f>
        <v/>
      </c>
      <c r="T635" s="36" t="str">
        <f ca="1">IFERROR(__xludf.DUMMYFUNCTION("""COMPUTED_VALUE"""),"")</f>
        <v/>
      </c>
      <c r="U635" s="36" t="str">
        <f ca="1">IFERROR(__xludf.DUMMYFUNCTION("""COMPUTED_VALUE"""),"")</f>
        <v/>
      </c>
      <c r="V635" s="36" t="str">
        <f ca="1">IFERROR(__xludf.DUMMYFUNCTION("""COMPUTED_VALUE"""),"")</f>
        <v/>
      </c>
      <c r="W635" s="36" t="str">
        <f ca="1">IFERROR(__xludf.DUMMYFUNCTION("""COMPUTED_VALUE"""),"")</f>
        <v/>
      </c>
      <c r="X635" s="36"/>
      <c r="Y635" s="36"/>
      <c r="Z635" s="36"/>
    </row>
    <row r="636" spans="1:26" ht="12.75" hidden="1">
      <c r="A636" s="36" t="str">
        <f ca="1">IFERROR(__xludf.DUMMYFUNCTION("""COMPUTED_VALUE"""),"")</f>
        <v/>
      </c>
      <c r="B636" s="36" t="str">
        <f ca="1">IFERROR(__xludf.DUMMYFUNCTION("""COMPUTED_VALUE"""),"")</f>
        <v/>
      </c>
      <c r="C636" s="36" t="str">
        <f ca="1">IFERROR(__xludf.DUMMYFUNCTION("""COMPUTED_VALUE"""),"")</f>
        <v/>
      </c>
      <c r="D636" s="36" t="str">
        <f ca="1">IFERROR(__xludf.DUMMYFUNCTION("""COMPUTED_VALUE"""),"")</f>
        <v/>
      </c>
      <c r="E636" s="36" t="str">
        <f ca="1">IFERROR(__xludf.DUMMYFUNCTION("""COMPUTED_VALUE"""),"")</f>
        <v/>
      </c>
      <c r="F636" s="36" t="str">
        <f ca="1">IFERROR(__xludf.DUMMYFUNCTION("""COMPUTED_VALUE"""),"")</f>
        <v/>
      </c>
      <c r="G636" s="36" t="str">
        <f ca="1">IFERROR(__xludf.DUMMYFUNCTION("""COMPUTED_VALUE"""),"")</f>
        <v/>
      </c>
      <c r="H636" s="36" t="str">
        <f ca="1">IFERROR(__xludf.DUMMYFUNCTION("""COMPUTED_VALUE"""),"")</f>
        <v/>
      </c>
      <c r="I636" s="36" t="str">
        <f ca="1">IFERROR(__xludf.DUMMYFUNCTION("""COMPUTED_VALUE"""),"")</f>
        <v/>
      </c>
      <c r="J636" s="36" t="str">
        <f ca="1">IFERROR(__xludf.DUMMYFUNCTION("""COMPUTED_VALUE"""),"")</f>
        <v/>
      </c>
      <c r="K636" s="36" t="str">
        <f ca="1">IFERROR(__xludf.DUMMYFUNCTION("""COMPUTED_VALUE"""),"")</f>
        <v/>
      </c>
      <c r="L636" s="36" t="str">
        <f ca="1">IFERROR(__xludf.DUMMYFUNCTION("""COMPUTED_VALUE"""),"")</f>
        <v/>
      </c>
      <c r="M636" s="36" t="str">
        <f ca="1">IFERROR(__xludf.DUMMYFUNCTION("""COMPUTED_VALUE"""),"")</f>
        <v/>
      </c>
      <c r="N636" s="36" t="str">
        <f ca="1">IFERROR(__xludf.DUMMYFUNCTION("""COMPUTED_VALUE"""),"")</f>
        <v/>
      </c>
      <c r="O636" s="36" t="str">
        <f ca="1">IFERROR(__xludf.DUMMYFUNCTION("""COMPUTED_VALUE"""),"")</f>
        <v/>
      </c>
      <c r="P636" s="36" t="str">
        <f ca="1">IFERROR(__xludf.DUMMYFUNCTION("""COMPUTED_VALUE"""),"")</f>
        <v/>
      </c>
      <c r="Q636" s="36" t="str">
        <f ca="1">IFERROR(__xludf.DUMMYFUNCTION("""COMPUTED_VALUE"""),"")</f>
        <v/>
      </c>
      <c r="R636" s="36" t="str">
        <f ca="1">IFERROR(__xludf.DUMMYFUNCTION("""COMPUTED_VALUE"""),"")</f>
        <v/>
      </c>
      <c r="S636" s="36" t="str">
        <f ca="1">IFERROR(__xludf.DUMMYFUNCTION("""COMPUTED_VALUE"""),"")</f>
        <v/>
      </c>
      <c r="T636" s="36" t="str">
        <f ca="1">IFERROR(__xludf.DUMMYFUNCTION("""COMPUTED_VALUE"""),"")</f>
        <v/>
      </c>
      <c r="U636" s="36" t="str">
        <f ca="1">IFERROR(__xludf.DUMMYFUNCTION("""COMPUTED_VALUE"""),"")</f>
        <v/>
      </c>
      <c r="V636" s="36" t="str">
        <f ca="1">IFERROR(__xludf.DUMMYFUNCTION("""COMPUTED_VALUE"""),"")</f>
        <v/>
      </c>
      <c r="W636" s="36" t="str">
        <f ca="1">IFERROR(__xludf.DUMMYFUNCTION("""COMPUTED_VALUE"""),"")</f>
        <v/>
      </c>
      <c r="X636" s="36"/>
      <c r="Y636" s="36"/>
      <c r="Z636" s="36"/>
    </row>
    <row r="637" spans="1:26" ht="12.75" hidden="1">
      <c r="A637" s="36" t="str">
        <f ca="1">IFERROR(__xludf.DUMMYFUNCTION("""COMPUTED_VALUE"""),"")</f>
        <v/>
      </c>
      <c r="B637" s="36" t="str">
        <f ca="1">IFERROR(__xludf.DUMMYFUNCTION("""COMPUTED_VALUE"""),"")</f>
        <v/>
      </c>
      <c r="C637" s="36" t="str">
        <f ca="1">IFERROR(__xludf.DUMMYFUNCTION("""COMPUTED_VALUE"""),"")</f>
        <v/>
      </c>
      <c r="D637" s="36" t="str">
        <f ca="1">IFERROR(__xludf.DUMMYFUNCTION("""COMPUTED_VALUE"""),"")</f>
        <v/>
      </c>
      <c r="E637" s="36" t="str">
        <f ca="1">IFERROR(__xludf.DUMMYFUNCTION("""COMPUTED_VALUE"""),"")</f>
        <v/>
      </c>
      <c r="F637" s="36" t="str">
        <f ca="1">IFERROR(__xludf.DUMMYFUNCTION("""COMPUTED_VALUE"""),"")</f>
        <v/>
      </c>
      <c r="G637" s="36" t="str">
        <f ca="1">IFERROR(__xludf.DUMMYFUNCTION("""COMPUTED_VALUE"""),"")</f>
        <v/>
      </c>
      <c r="H637" s="36" t="str">
        <f ca="1">IFERROR(__xludf.DUMMYFUNCTION("""COMPUTED_VALUE"""),"")</f>
        <v/>
      </c>
      <c r="I637" s="36" t="str">
        <f ca="1">IFERROR(__xludf.DUMMYFUNCTION("""COMPUTED_VALUE"""),"")</f>
        <v/>
      </c>
      <c r="J637" s="36" t="str">
        <f ca="1">IFERROR(__xludf.DUMMYFUNCTION("""COMPUTED_VALUE"""),"")</f>
        <v/>
      </c>
      <c r="K637" s="36" t="str">
        <f ca="1">IFERROR(__xludf.DUMMYFUNCTION("""COMPUTED_VALUE"""),"")</f>
        <v/>
      </c>
      <c r="L637" s="36" t="str">
        <f ca="1">IFERROR(__xludf.DUMMYFUNCTION("""COMPUTED_VALUE"""),"")</f>
        <v/>
      </c>
      <c r="M637" s="36" t="str">
        <f ca="1">IFERROR(__xludf.DUMMYFUNCTION("""COMPUTED_VALUE"""),"")</f>
        <v/>
      </c>
      <c r="N637" s="36" t="str">
        <f ca="1">IFERROR(__xludf.DUMMYFUNCTION("""COMPUTED_VALUE"""),"")</f>
        <v/>
      </c>
      <c r="O637" s="36" t="str">
        <f ca="1">IFERROR(__xludf.DUMMYFUNCTION("""COMPUTED_VALUE"""),"")</f>
        <v/>
      </c>
      <c r="P637" s="36" t="str">
        <f ca="1">IFERROR(__xludf.DUMMYFUNCTION("""COMPUTED_VALUE"""),"")</f>
        <v/>
      </c>
      <c r="Q637" s="36" t="str">
        <f ca="1">IFERROR(__xludf.DUMMYFUNCTION("""COMPUTED_VALUE"""),"")</f>
        <v/>
      </c>
      <c r="R637" s="36" t="str">
        <f ca="1">IFERROR(__xludf.DUMMYFUNCTION("""COMPUTED_VALUE"""),"")</f>
        <v/>
      </c>
      <c r="S637" s="36" t="str">
        <f ca="1">IFERROR(__xludf.DUMMYFUNCTION("""COMPUTED_VALUE"""),"")</f>
        <v/>
      </c>
      <c r="T637" s="36" t="str">
        <f ca="1">IFERROR(__xludf.DUMMYFUNCTION("""COMPUTED_VALUE"""),"")</f>
        <v/>
      </c>
      <c r="U637" s="36" t="str">
        <f ca="1">IFERROR(__xludf.DUMMYFUNCTION("""COMPUTED_VALUE"""),"")</f>
        <v/>
      </c>
      <c r="V637" s="36" t="str">
        <f ca="1">IFERROR(__xludf.DUMMYFUNCTION("""COMPUTED_VALUE"""),"")</f>
        <v/>
      </c>
      <c r="W637" s="36" t="str">
        <f ca="1">IFERROR(__xludf.DUMMYFUNCTION("""COMPUTED_VALUE"""),"")</f>
        <v/>
      </c>
      <c r="X637" s="36"/>
      <c r="Y637" s="36"/>
      <c r="Z637" s="36"/>
    </row>
    <row r="638" spans="1:26" ht="12.75" hidden="1">
      <c r="A638" s="36" t="str">
        <f ca="1">IFERROR(__xludf.DUMMYFUNCTION("""COMPUTED_VALUE"""),"")</f>
        <v/>
      </c>
      <c r="B638" s="36" t="str">
        <f ca="1">IFERROR(__xludf.DUMMYFUNCTION("""COMPUTED_VALUE"""),"")</f>
        <v/>
      </c>
      <c r="C638" s="36" t="str">
        <f ca="1">IFERROR(__xludf.DUMMYFUNCTION("""COMPUTED_VALUE"""),"")</f>
        <v/>
      </c>
      <c r="D638" s="36" t="str">
        <f ca="1">IFERROR(__xludf.DUMMYFUNCTION("""COMPUTED_VALUE"""),"")</f>
        <v/>
      </c>
      <c r="E638" s="36" t="str">
        <f ca="1">IFERROR(__xludf.DUMMYFUNCTION("""COMPUTED_VALUE"""),"")</f>
        <v/>
      </c>
      <c r="F638" s="36" t="str">
        <f ca="1">IFERROR(__xludf.DUMMYFUNCTION("""COMPUTED_VALUE"""),"")</f>
        <v/>
      </c>
      <c r="G638" s="36" t="str">
        <f ca="1">IFERROR(__xludf.DUMMYFUNCTION("""COMPUTED_VALUE"""),"")</f>
        <v/>
      </c>
      <c r="H638" s="36" t="str">
        <f ca="1">IFERROR(__xludf.DUMMYFUNCTION("""COMPUTED_VALUE"""),"")</f>
        <v/>
      </c>
      <c r="I638" s="36" t="str">
        <f ca="1">IFERROR(__xludf.DUMMYFUNCTION("""COMPUTED_VALUE"""),"")</f>
        <v/>
      </c>
      <c r="J638" s="36" t="str">
        <f ca="1">IFERROR(__xludf.DUMMYFUNCTION("""COMPUTED_VALUE"""),"")</f>
        <v/>
      </c>
      <c r="K638" s="36" t="str">
        <f ca="1">IFERROR(__xludf.DUMMYFUNCTION("""COMPUTED_VALUE"""),"")</f>
        <v/>
      </c>
      <c r="L638" s="36" t="str">
        <f ca="1">IFERROR(__xludf.DUMMYFUNCTION("""COMPUTED_VALUE"""),"")</f>
        <v/>
      </c>
      <c r="M638" s="36" t="str">
        <f ca="1">IFERROR(__xludf.DUMMYFUNCTION("""COMPUTED_VALUE"""),"")</f>
        <v/>
      </c>
      <c r="N638" s="36" t="str">
        <f ca="1">IFERROR(__xludf.DUMMYFUNCTION("""COMPUTED_VALUE"""),"")</f>
        <v/>
      </c>
      <c r="O638" s="36" t="str">
        <f ca="1">IFERROR(__xludf.DUMMYFUNCTION("""COMPUTED_VALUE"""),"")</f>
        <v/>
      </c>
      <c r="P638" s="36" t="str">
        <f ca="1">IFERROR(__xludf.DUMMYFUNCTION("""COMPUTED_VALUE"""),"")</f>
        <v/>
      </c>
      <c r="Q638" s="36" t="str">
        <f ca="1">IFERROR(__xludf.DUMMYFUNCTION("""COMPUTED_VALUE"""),"")</f>
        <v/>
      </c>
      <c r="R638" s="36" t="str">
        <f ca="1">IFERROR(__xludf.DUMMYFUNCTION("""COMPUTED_VALUE"""),"")</f>
        <v/>
      </c>
      <c r="S638" s="36" t="str">
        <f ca="1">IFERROR(__xludf.DUMMYFUNCTION("""COMPUTED_VALUE"""),"")</f>
        <v/>
      </c>
      <c r="T638" s="36" t="str">
        <f ca="1">IFERROR(__xludf.DUMMYFUNCTION("""COMPUTED_VALUE"""),"")</f>
        <v/>
      </c>
      <c r="U638" s="36" t="str">
        <f ca="1">IFERROR(__xludf.DUMMYFUNCTION("""COMPUTED_VALUE"""),"")</f>
        <v/>
      </c>
      <c r="V638" s="36" t="str">
        <f ca="1">IFERROR(__xludf.DUMMYFUNCTION("""COMPUTED_VALUE"""),"")</f>
        <v/>
      </c>
      <c r="W638" s="36" t="str">
        <f ca="1">IFERROR(__xludf.DUMMYFUNCTION("""COMPUTED_VALUE"""),"")</f>
        <v/>
      </c>
      <c r="X638" s="36"/>
      <c r="Y638" s="36"/>
      <c r="Z638" s="36"/>
    </row>
    <row r="639" spans="1:26" ht="12.75" hidden="1">
      <c r="A639" s="36" t="str">
        <f ca="1">IFERROR(__xludf.DUMMYFUNCTION("""COMPUTED_VALUE"""),"")</f>
        <v/>
      </c>
      <c r="B639" s="36" t="str">
        <f ca="1">IFERROR(__xludf.DUMMYFUNCTION("""COMPUTED_VALUE"""),"")</f>
        <v/>
      </c>
      <c r="C639" s="36" t="str">
        <f ca="1">IFERROR(__xludf.DUMMYFUNCTION("""COMPUTED_VALUE"""),"")</f>
        <v/>
      </c>
      <c r="D639" s="36" t="str">
        <f ca="1">IFERROR(__xludf.DUMMYFUNCTION("""COMPUTED_VALUE"""),"")</f>
        <v/>
      </c>
      <c r="E639" s="36" t="str">
        <f ca="1">IFERROR(__xludf.DUMMYFUNCTION("""COMPUTED_VALUE"""),"")</f>
        <v/>
      </c>
      <c r="F639" s="36" t="str">
        <f ca="1">IFERROR(__xludf.DUMMYFUNCTION("""COMPUTED_VALUE"""),"")</f>
        <v/>
      </c>
      <c r="G639" s="36" t="str">
        <f ca="1">IFERROR(__xludf.DUMMYFUNCTION("""COMPUTED_VALUE"""),"")</f>
        <v/>
      </c>
      <c r="H639" s="36" t="str">
        <f ca="1">IFERROR(__xludf.DUMMYFUNCTION("""COMPUTED_VALUE"""),"")</f>
        <v/>
      </c>
      <c r="I639" s="36" t="str">
        <f ca="1">IFERROR(__xludf.DUMMYFUNCTION("""COMPUTED_VALUE"""),"")</f>
        <v/>
      </c>
      <c r="J639" s="36" t="str">
        <f ca="1">IFERROR(__xludf.DUMMYFUNCTION("""COMPUTED_VALUE"""),"")</f>
        <v/>
      </c>
      <c r="K639" s="36" t="str">
        <f ca="1">IFERROR(__xludf.DUMMYFUNCTION("""COMPUTED_VALUE"""),"")</f>
        <v/>
      </c>
      <c r="L639" s="36" t="str">
        <f ca="1">IFERROR(__xludf.DUMMYFUNCTION("""COMPUTED_VALUE"""),"")</f>
        <v/>
      </c>
      <c r="M639" s="36" t="str">
        <f ca="1">IFERROR(__xludf.DUMMYFUNCTION("""COMPUTED_VALUE"""),"")</f>
        <v/>
      </c>
      <c r="N639" s="36" t="str">
        <f ca="1">IFERROR(__xludf.DUMMYFUNCTION("""COMPUTED_VALUE"""),"")</f>
        <v/>
      </c>
      <c r="O639" s="36" t="str">
        <f ca="1">IFERROR(__xludf.DUMMYFUNCTION("""COMPUTED_VALUE"""),"")</f>
        <v/>
      </c>
      <c r="P639" s="36" t="str">
        <f ca="1">IFERROR(__xludf.DUMMYFUNCTION("""COMPUTED_VALUE"""),"")</f>
        <v/>
      </c>
      <c r="Q639" s="36" t="str">
        <f ca="1">IFERROR(__xludf.DUMMYFUNCTION("""COMPUTED_VALUE"""),"")</f>
        <v/>
      </c>
      <c r="R639" s="36" t="str">
        <f ca="1">IFERROR(__xludf.DUMMYFUNCTION("""COMPUTED_VALUE"""),"")</f>
        <v/>
      </c>
      <c r="S639" s="36" t="str">
        <f ca="1">IFERROR(__xludf.DUMMYFUNCTION("""COMPUTED_VALUE"""),"")</f>
        <v/>
      </c>
      <c r="T639" s="36" t="str">
        <f ca="1">IFERROR(__xludf.DUMMYFUNCTION("""COMPUTED_VALUE"""),"")</f>
        <v/>
      </c>
      <c r="U639" s="36" t="str">
        <f ca="1">IFERROR(__xludf.DUMMYFUNCTION("""COMPUTED_VALUE"""),"")</f>
        <v/>
      </c>
      <c r="V639" s="36" t="str">
        <f ca="1">IFERROR(__xludf.DUMMYFUNCTION("""COMPUTED_VALUE"""),"")</f>
        <v/>
      </c>
      <c r="W639" s="36" t="str">
        <f ca="1">IFERROR(__xludf.DUMMYFUNCTION("""COMPUTED_VALUE"""),"")</f>
        <v/>
      </c>
      <c r="X639" s="36"/>
      <c r="Y639" s="36"/>
      <c r="Z639" s="36"/>
    </row>
    <row r="640" spans="1:26" ht="12.75" hidden="1">
      <c r="A640" s="36" t="str">
        <f ca="1">IFERROR(__xludf.DUMMYFUNCTION("""COMPUTED_VALUE"""),"")</f>
        <v/>
      </c>
      <c r="B640" s="36" t="str">
        <f ca="1">IFERROR(__xludf.DUMMYFUNCTION("""COMPUTED_VALUE"""),"")</f>
        <v/>
      </c>
      <c r="C640" s="36" t="str">
        <f ca="1">IFERROR(__xludf.DUMMYFUNCTION("""COMPUTED_VALUE"""),"")</f>
        <v/>
      </c>
      <c r="D640" s="36" t="str">
        <f ca="1">IFERROR(__xludf.DUMMYFUNCTION("""COMPUTED_VALUE"""),"")</f>
        <v/>
      </c>
      <c r="E640" s="36" t="str">
        <f ca="1">IFERROR(__xludf.DUMMYFUNCTION("""COMPUTED_VALUE"""),"")</f>
        <v/>
      </c>
      <c r="F640" s="36" t="str">
        <f ca="1">IFERROR(__xludf.DUMMYFUNCTION("""COMPUTED_VALUE"""),"")</f>
        <v/>
      </c>
      <c r="G640" s="36" t="str">
        <f ca="1">IFERROR(__xludf.DUMMYFUNCTION("""COMPUTED_VALUE"""),"")</f>
        <v/>
      </c>
      <c r="H640" s="36" t="str">
        <f ca="1">IFERROR(__xludf.DUMMYFUNCTION("""COMPUTED_VALUE"""),"")</f>
        <v/>
      </c>
      <c r="I640" s="36" t="str">
        <f ca="1">IFERROR(__xludf.DUMMYFUNCTION("""COMPUTED_VALUE"""),"")</f>
        <v/>
      </c>
      <c r="J640" s="36" t="str">
        <f ca="1">IFERROR(__xludf.DUMMYFUNCTION("""COMPUTED_VALUE"""),"")</f>
        <v/>
      </c>
      <c r="K640" s="36" t="str">
        <f ca="1">IFERROR(__xludf.DUMMYFUNCTION("""COMPUTED_VALUE"""),"")</f>
        <v/>
      </c>
      <c r="L640" s="36" t="str">
        <f ca="1">IFERROR(__xludf.DUMMYFUNCTION("""COMPUTED_VALUE"""),"")</f>
        <v/>
      </c>
      <c r="M640" s="36" t="str">
        <f ca="1">IFERROR(__xludf.DUMMYFUNCTION("""COMPUTED_VALUE"""),"")</f>
        <v/>
      </c>
      <c r="N640" s="36" t="str">
        <f ca="1">IFERROR(__xludf.DUMMYFUNCTION("""COMPUTED_VALUE"""),"")</f>
        <v/>
      </c>
      <c r="O640" s="36" t="str">
        <f ca="1">IFERROR(__xludf.DUMMYFUNCTION("""COMPUTED_VALUE"""),"")</f>
        <v/>
      </c>
      <c r="P640" s="36" t="str">
        <f ca="1">IFERROR(__xludf.DUMMYFUNCTION("""COMPUTED_VALUE"""),"")</f>
        <v/>
      </c>
      <c r="Q640" s="36" t="str">
        <f ca="1">IFERROR(__xludf.DUMMYFUNCTION("""COMPUTED_VALUE"""),"")</f>
        <v/>
      </c>
      <c r="R640" s="36" t="str">
        <f ca="1">IFERROR(__xludf.DUMMYFUNCTION("""COMPUTED_VALUE"""),"")</f>
        <v/>
      </c>
      <c r="S640" s="36" t="str">
        <f ca="1">IFERROR(__xludf.DUMMYFUNCTION("""COMPUTED_VALUE"""),"")</f>
        <v/>
      </c>
      <c r="T640" s="36" t="str">
        <f ca="1">IFERROR(__xludf.DUMMYFUNCTION("""COMPUTED_VALUE"""),"")</f>
        <v/>
      </c>
      <c r="U640" s="36" t="str">
        <f ca="1">IFERROR(__xludf.DUMMYFUNCTION("""COMPUTED_VALUE"""),"")</f>
        <v/>
      </c>
      <c r="V640" s="36" t="str">
        <f ca="1">IFERROR(__xludf.DUMMYFUNCTION("""COMPUTED_VALUE"""),"")</f>
        <v/>
      </c>
      <c r="W640" s="36" t="str">
        <f ca="1">IFERROR(__xludf.DUMMYFUNCTION("""COMPUTED_VALUE"""),"")</f>
        <v/>
      </c>
      <c r="X640" s="36"/>
      <c r="Y640" s="36"/>
      <c r="Z640" s="36"/>
    </row>
    <row r="641" spans="1:26" ht="12.75" hidden="1">
      <c r="A641" s="36" t="str">
        <f ca="1">IFERROR(__xludf.DUMMYFUNCTION("""COMPUTED_VALUE"""),"")</f>
        <v/>
      </c>
      <c r="B641" s="36" t="str">
        <f ca="1">IFERROR(__xludf.DUMMYFUNCTION("""COMPUTED_VALUE"""),"")</f>
        <v/>
      </c>
      <c r="C641" s="36" t="str">
        <f ca="1">IFERROR(__xludf.DUMMYFUNCTION("""COMPUTED_VALUE"""),"")</f>
        <v/>
      </c>
      <c r="D641" s="36" t="str">
        <f ca="1">IFERROR(__xludf.DUMMYFUNCTION("""COMPUTED_VALUE"""),"")</f>
        <v/>
      </c>
      <c r="E641" s="36" t="str">
        <f ca="1">IFERROR(__xludf.DUMMYFUNCTION("""COMPUTED_VALUE"""),"")</f>
        <v/>
      </c>
      <c r="F641" s="36" t="str">
        <f ca="1">IFERROR(__xludf.DUMMYFUNCTION("""COMPUTED_VALUE"""),"")</f>
        <v/>
      </c>
      <c r="G641" s="36" t="str">
        <f ca="1">IFERROR(__xludf.DUMMYFUNCTION("""COMPUTED_VALUE"""),"")</f>
        <v/>
      </c>
      <c r="H641" s="36" t="str">
        <f ca="1">IFERROR(__xludf.DUMMYFUNCTION("""COMPUTED_VALUE"""),"")</f>
        <v/>
      </c>
      <c r="I641" s="36" t="str">
        <f ca="1">IFERROR(__xludf.DUMMYFUNCTION("""COMPUTED_VALUE"""),"")</f>
        <v/>
      </c>
      <c r="J641" s="36" t="str">
        <f ca="1">IFERROR(__xludf.DUMMYFUNCTION("""COMPUTED_VALUE"""),"")</f>
        <v/>
      </c>
      <c r="K641" s="36" t="str">
        <f ca="1">IFERROR(__xludf.DUMMYFUNCTION("""COMPUTED_VALUE"""),"")</f>
        <v/>
      </c>
      <c r="L641" s="36" t="str">
        <f ca="1">IFERROR(__xludf.DUMMYFUNCTION("""COMPUTED_VALUE"""),"")</f>
        <v/>
      </c>
      <c r="M641" s="36" t="str">
        <f ca="1">IFERROR(__xludf.DUMMYFUNCTION("""COMPUTED_VALUE"""),"")</f>
        <v/>
      </c>
      <c r="N641" s="36" t="str">
        <f ca="1">IFERROR(__xludf.DUMMYFUNCTION("""COMPUTED_VALUE"""),"")</f>
        <v/>
      </c>
      <c r="O641" s="36" t="str">
        <f ca="1">IFERROR(__xludf.DUMMYFUNCTION("""COMPUTED_VALUE"""),"")</f>
        <v/>
      </c>
      <c r="P641" s="36" t="str">
        <f ca="1">IFERROR(__xludf.DUMMYFUNCTION("""COMPUTED_VALUE"""),"")</f>
        <v/>
      </c>
      <c r="Q641" s="36" t="str">
        <f ca="1">IFERROR(__xludf.DUMMYFUNCTION("""COMPUTED_VALUE"""),"")</f>
        <v/>
      </c>
      <c r="R641" s="36" t="str">
        <f ca="1">IFERROR(__xludf.DUMMYFUNCTION("""COMPUTED_VALUE"""),"")</f>
        <v/>
      </c>
      <c r="S641" s="36" t="str">
        <f ca="1">IFERROR(__xludf.DUMMYFUNCTION("""COMPUTED_VALUE"""),"")</f>
        <v/>
      </c>
      <c r="T641" s="36" t="str">
        <f ca="1">IFERROR(__xludf.DUMMYFUNCTION("""COMPUTED_VALUE"""),"")</f>
        <v/>
      </c>
      <c r="U641" s="36" t="str">
        <f ca="1">IFERROR(__xludf.DUMMYFUNCTION("""COMPUTED_VALUE"""),"")</f>
        <v/>
      </c>
      <c r="V641" s="36" t="str">
        <f ca="1">IFERROR(__xludf.DUMMYFUNCTION("""COMPUTED_VALUE"""),"")</f>
        <v/>
      </c>
      <c r="W641" s="36" t="str">
        <f ca="1">IFERROR(__xludf.DUMMYFUNCTION("""COMPUTED_VALUE"""),"")</f>
        <v/>
      </c>
      <c r="X641" s="36"/>
      <c r="Y641" s="36"/>
      <c r="Z641" s="36"/>
    </row>
    <row r="642" spans="1:26" ht="12.75" hidden="1">
      <c r="A642" s="36" t="str">
        <f ca="1">IFERROR(__xludf.DUMMYFUNCTION("""COMPUTED_VALUE"""),"")</f>
        <v/>
      </c>
      <c r="B642" s="36" t="str">
        <f ca="1">IFERROR(__xludf.DUMMYFUNCTION("""COMPUTED_VALUE"""),"")</f>
        <v/>
      </c>
      <c r="C642" s="36" t="str">
        <f ca="1">IFERROR(__xludf.DUMMYFUNCTION("""COMPUTED_VALUE"""),"")</f>
        <v/>
      </c>
      <c r="D642" s="36" t="str">
        <f ca="1">IFERROR(__xludf.DUMMYFUNCTION("""COMPUTED_VALUE"""),"")</f>
        <v/>
      </c>
      <c r="E642" s="36" t="str">
        <f ca="1">IFERROR(__xludf.DUMMYFUNCTION("""COMPUTED_VALUE"""),"")</f>
        <v/>
      </c>
      <c r="F642" s="36" t="str">
        <f ca="1">IFERROR(__xludf.DUMMYFUNCTION("""COMPUTED_VALUE"""),"")</f>
        <v/>
      </c>
      <c r="G642" s="36" t="str">
        <f ca="1">IFERROR(__xludf.DUMMYFUNCTION("""COMPUTED_VALUE"""),"")</f>
        <v/>
      </c>
      <c r="H642" s="36" t="str">
        <f ca="1">IFERROR(__xludf.DUMMYFUNCTION("""COMPUTED_VALUE"""),"")</f>
        <v/>
      </c>
      <c r="I642" s="36" t="str">
        <f ca="1">IFERROR(__xludf.DUMMYFUNCTION("""COMPUTED_VALUE"""),"")</f>
        <v/>
      </c>
      <c r="J642" s="36" t="str">
        <f ca="1">IFERROR(__xludf.DUMMYFUNCTION("""COMPUTED_VALUE"""),"")</f>
        <v/>
      </c>
      <c r="K642" s="36" t="str">
        <f ca="1">IFERROR(__xludf.DUMMYFUNCTION("""COMPUTED_VALUE"""),"")</f>
        <v/>
      </c>
      <c r="L642" s="36" t="str">
        <f ca="1">IFERROR(__xludf.DUMMYFUNCTION("""COMPUTED_VALUE"""),"")</f>
        <v/>
      </c>
      <c r="M642" s="36" t="str">
        <f ca="1">IFERROR(__xludf.DUMMYFUNCTION("""COMPUTED_VALUE"""),"")</f>
        <v/>
      </c>
      <c r="N642" s="36" t="str">
        <f ca="1">IFERROR(__xludf.DUMMYFUNCTION("""COMPUTED_VALUE"""),"")</f>
        <v/>
      </c>
      <c r="O642" s="36" t="str">
        <f ca="1">IFERROR(__xludf.DUMMYFUNCTION("""COMPUTED_VALUE"""),"")</f>
        <v/>
      </c>
      <c r="P642" s="36" t="str">
        <f ca="1">IFERROR(__xludf.DUMMYFUNCTION("""COMPUTED_VALUE"""),"")</f>
        <v/>
      </c>
      <c r="Q642" s="36" t="str">
        <f ca="1">IFERROR(__xludf.DUMMYFUNCTION("""COMPUTED_VALUE"""),"")</f>
        <v/>
      </c>
      <c r="R642" s="36" t="str">
        <f ca="1">IFERROR(__xludf.DUMMYFUNCTION("""COMPUTED_VALUE"""),"")</f>
        <v/>
      </c>
      <c r="S642" s="36" t="str">
        <f ca="1">IFERROR(__xludf.DUMMYFUNCTION("""COMPUTED_VALUE"""),"")</f>
        <v/>
      </c>
      <c r="T642" s="36" t="str">
        <f ca="1">IFERROR(__xludf.DUMMYFUNCTION("""COMPUTED_VALUE"""),"")</f>
        <v/>
      </c>
      <c r="U642" s="36" t="str">
        <f ca="1">IFERROR(__xludf.DUMMYFUNCTION("""COMPUTED_VALUE"""),"")</f>
        <v/>
      </c>
      <c r="V642" s="36" t="str">
        <f ca="1">IFERROR(__xludf.DUMMYFUNCTION("""COMPUTED_VALUE"""),"")</f>
        <v/>
      </c>
      <c r="W642" s="36" t="str">
        <f ca="1">IFERROR(__xludf.DUMMYFUNCTION("""COMPUTED_VALUE"""),"")</f>
        <v/>
      </c>
      <c r="X642" s="36"/>
      <c r="Y642" s="36"/>
      <c r="Z642" s="36"/>
    </row>
    <row r="643" spans="1:26" ht="12.75" hidden="1">
      <c r="A643" s="36" t="str">
        <f ca="1">IFERROR(__xludf.DUMMYFUNCTION("""COMPUTED_VALUE"""),"")</f>
        <v/>
      </c>
      <c r="B643" s="36" t="str">
        <f ca="1">IFERROR(__xludf.DUMMYFUNCTION("""COMPUTED_VALUE"""),"")</f>
        <v/>
      </c>
      <c r="C643" s="36" t="str">
        <f ca="1">IFERROR(__xludf.DUMMYFUNCTION("""COMPUTED_VALUE"""),"")</f>
        <v/>
      </c>
      <c r="D643" s="36" t="str">
        <f ca="1">IFERROR(__xludf.DUMMYFUNCTION("""COMPUTED_VALUE"""),"")</f>
        <v/>
      </c>
      <c r="E643" s="36" t="str">
        <f ca="1">IFERROR(__xludf.DUMMYFUNCTION("""COMPUTED_VALUE"""),"")</f>
        <v/>
      </c>
      <c r="F643" s="36" t="str">
        <f ca="1">IFERROR(__xludf.DUMMYFUNCTION("""COMPUTED_VALUE"""),"")</f>
        <v/>
      </c>
      <c r="G643" s="36" t="str">
        <f ca="1">IFERROR(__xludf.DUMMYFUNCTION("""COMPUTED_VALUE"""),"")</f>
        <v/>
      </c>
      <c r="H643" s="36" t="str">
        <f ca="1">IFERROR(__xludf.DUMMYFUNCTION("""COMPUTED_VALUE"""),"")</f>
        <v/>
      </c>
      <c r="I643" s="36" t="str">
        <f ca="1">IFERROR(__xludf.DUMMYFUNCTION("""COMPUTED_VALUE"""),"")</f>
        <v/>
      </c>
      <c r="J643" s="36" t="str">
        <f ca="1">IFERROR(__xludf.DUMMYFUNCTION("""COMPUTED_VALUE"""),"")</f>
        <v/>
      </c>
      <c r="K643" s="36" t="str">
        <f ca="1">IFERROR(__xludf.DUMMYFUNCTION("""COMPUTED_VALUE"""),"")</f>
        <v/>
      </c>
      <c r="L643" s="36" t="str">
        <f ca="1">IFERROR(__xludf.DUMMYFUNCTION("""COMPUTED_VALUE"""),"")</f>
        <v/>
      </c>
      <c r="M643" s="36" t="str">
        <f ca="1">IFERROR(__xludf.DUMMYFUNCTION("""COMPUTED_VALUE"""),"")</f>
        <v/>
      </c>
      <c r="N643" s="36" t="str">
        <f ca="1">IFERROR(__xludf.DUMMYFUNCTION("""COMPUTED_VALUE"""),"")</f>
        <v/>
      </c>
      <c r="O643" s="36" t="str">
        <f ca="1">IFERROR(__xludf.DUMMYFUNCTION("""COMPUTED_VALUE"""),"")</f>
        <v/>
      </c>
      <c r="P643" s="36" t="str">
        <f ca="1">IFERROR(__xludf.DUMMYFUNCTION("""COMPUTED_VALUE"""),"")</f>
        <v/>
      </c>
      <c r="Q643" s="36" t="str">
        <f ca="1">IFERROR(__xludf.DUMMYFUNCTION("""COMPUTED_VALUE"""),"")</f>
        <v/>
      </c>
      <c r="R643" s="36" t="str">
        <f ca="1">IFERROR(__xludf.DUMMYFUNCTION("""COMPUTED_VALUE"""),"")</f>
        <v/>
      </c>
      <c r="S643" s="36" t="str">
        <f ca="1">IFERROR(__xludf.DUMMYFUNCTION("""COMPUTED_VALUE"""),"")</f>
        <v/>
      </c>
      <c r="T643" s="36" t="str">
        <f ca="1">IFERROR(__xludf.DUMMYFUNCTION("""COMPUTED_VALUE"""),"")</f>
        <v/>
      </c>
      <c r="U643" s="36" t="str">
        <f ca="1">IFERROR(__xludf.DUMMYFUNCTION("""COMPUTED_VALUE"""),"")</f>
        <v/>
      </c>
      <c r="V643" s="36" t="str">
        <f ca="1">IFERROR(__xludf.DUMMYFUNCTION("""COMPUTED_VALUE"""),"")</f>
        <v/>
      </c>
      <c r="W643" s="36" t="str">
        <f ca="1">IFERROR(__xludf.DUMMYFUNCTION("""COMPUTED_VALUE"""),"")</f>
        <v/>
      </c>
      <c r="X643" s="36"/>
      <c r="Y643" s="36"/>
      <c r="Z643" s="36"/>
    </row>
    <row r="644" spans="1:26" ht="12.75" hidden="1">
      <c r="A644" s="36" t="str">
        <f ca="1">IFERROR(__xludf.DUMMYFUNCTION("""COMPUTED_VALUE"""),"")</f>
        <v/>
      </c>
      <c r="B644" s="36" t="str">
        <f ca="1">IFERROR(__xludf.DUMMYFUNCTION("""COMPUTED_VALUE"""),"")</f>
        <v/>
      </c>
      <c r="C644" s="36" t="str">
        <f ca="1">IFERROR(__xludf.DUMMYFUNCTION("""COMPUTED_VALUE"""),"")</f>
        <v/>
      </c>
      <c r="D644" s="36" t="str">
        <f ca="1">IFERROR(__xludf.DUMMYFUNCTION("""COMPUTED_VALUE"""),"")</f>
        <v/>
      </c>
      <c r="E644" s="36" t="str">
        <f ca="1">IFERROR(__xludf.DUMMYFUNCTION("""COMPUTED_VALUE"""),"")</f>
        <v/>
      </c>
      <c r="F644" s="36" t="str">
        <f ca="1">IFERROR(__xludf.DUMMYFUNCTION("""COMPUTED_VALUE"""),"")</f>
        <v/>
      </c>
      <c r="G644" s="36" t="str">
        <f ca="1">IFERROR(__xludf.DUMMYFUNCTION("""COMPUTED_VALUE"""),"")</f>
        <v/>
      </c>
      <c r="H644" s="36" t="str">
        <f ca="1">IFERROR(__xludf.DUMMYFUNCTION("""COMPUTED_VALUE"""),"")</f>
        <v/>
      </c>
      <c r="I644" s="36" t="str">
        <f ca="1">IFERROR(__xludf.DUMMYFUNCTION("""COMPUTED_VALUE"""),"")</f>
        <v/>
      </c>
      <c r="J644" s="36" t="str">
        <f ca="1">IFERROR(__xludf.DUMMYFUNCTION("""COMPUTED_VALUE"""),"")</f>
        <v/>
      </c>
      <c r="K644" s="36" t="str">
        <f ca="1">IFERROR(__xludf.DUMMYFUNCTION("""COMPUTED_VALUE"""),"")</f>
        <v/>
      </c>
      <c r="L644" s="36" t="str">
        <f ca="1">IFERROR(__xludf.DUMMYFUNCTION("""COMPUTED_VALUE"""),"")</f>
        <v/>
      </c>
      <c r="M644" s="36" t="str">
        <f ca="1">IFERROR(__xludf.DUMMYFUNCTION("""COMPUTED_VALUE"""),"")</f>
        <v/>
      </c>
      <c r="N644" s="36" t="str">
        <f ca="1">IFERROR(__xludf.DUMMYFUNCTION("""COMPUTED_VALUE"""),"")</f>
        <v/>
      </c>
      <c r="O644" s="36" t="str">
        <f ca="1">IFERROR(__xludf.DUMMYFUNCTION("""COMPUTED_VALUE"""),"")</f>
        <v/>
      </c>
      <c r="P644" s="36" t="str">
        <f ca="1">IFERROR(__xludf.DUMMYFUNCTION("""COMPUTED_VALUE"""),"")</f>
        <v/>
      </c>
      <c r="Q644" s="36" t="str">
        <f ca="1">IFERROR(__xludf.DUMMYFUNCTION("""COMPUTED_VALUE"""),"")</f>
        <v/>
      </c>
      <c r="R644" s="36" t="str">
        <f ca="1">IFERROR(__xludf.DUMMYFUNCTION("""COMPUTED_VALUE"""),"")</f>
        <v/>
      </c>
      <c r="S644" s="36" t="str">
        <f ca="1">IFERROR(__xludf.DUMMYFUNCTION("""COMPUTED_VALUE"""),"")</f>
        <v/>
      </c>
      <c r="T644" s="36" t="str">
        <f ca="1">IFERROR(__xludf.DUMMYFUNCTION("""COMPUTED_VALUE"""),"")</f>
        <v/>
      </c>
      <c r="U644" s="36" t="str">
        <f ca="1">IFERROR(__xludf.DUMMYFUNCTION("""COMPUTED_VALUE"""),"")</f>
        <v/>
      </c>
      <c r="V644" s="36" t="str">
        <f ca="1">IFERROR(__xludf.DUMMYFUNCTION("""COMPUTED_VALUE"""),"")</f>
        <v/>
      </c>
      <c r="W644" s="36" t="str">
        <f ca="1">IFERROR(__xludf.DUMMYFUNCTION("""COMPUTED_VALUE"""),"")</f>
        <v/>
      </c>
      <c r="X644" s="36"/>
      <c r="Y644" s="36"/>
      <c r="Z644" s="36"/>
    </row>
    <row r="645" spans="1:26" ht="12.75" hidden="1">
      <c r="A645" s="36" t="str">
        <f ca="1">IFERROR(__xludf.DUMMYFUNCTION("""COMPUTED_VALUE"""),"")</f>
        <v/>
      </c>
      <c r="B645" s="36" t="str">
        <f ca="1">IFERROR(__xludf.DUMMYFUNCTION("""COMPUTED_VALUE"""),"")</f>
        <v/>
      </c>
      <c r="C645" s="36" t="str">
        <f ca="1">IFERROR(__xludf.DUMMYFUNCTION("""COMPUTED_VALUE"""),"")</f>
        <v/>
      </c>
      <c r="D645" s="36" t="str">
        <f ca="1">IFERROR(__xludf.DUMMYFUNCTION("""COMPUTED_VALUE"""),"")</f>
        <v/>
      </c>
      <c r="E645" s="36" t="str">
        <f ca="1">IFERROR(__xludf.DUMMYFUNCTION("""COMPUTED_VALUE"""),"")</f>
        <v/>
      </c>
      <c r="F645" s="36" t="str">
        <f ca="1">IFERROR(__xludf.DUMMYFUNCTION("""COMPUTED_VALUE"""),"")</f>
        <v/>
      </c>
      <c r="G645" s="36" t="str">
        <f ca="1">IFERROR(__xludf.DUMMYFUNCTION("""COMPUTED_VALUE"""),"")</f>
        <v/>
      </c>
      <c r="H645" s="36" t="str">
        <f ca="1">IFERROR(__xludf.DUMMYFUNCTION("""COMPUTED_VALUE"""),"")</f>
        <v/>
      </c>
      <c r="I645" s="36" t="str">
        <f ca="1">IFERROR(__xludf.DUMMYFUNCTION("""COMPUTED_VALUE"""),"")</f>
        <v/>
      </c>
      <c r="J645" s="36" t="str">
        <f ca="1">IFERROR(__xludf.DUMMYFUNCTION("""COMPUTED_VALUE"""),"")</f>
        <v/>
      </c>
      <c r="K645" s="36" t="str">
        <f ca="1">IFERROR(__xludf.DUMMYFUNCTION("""COMPUTED_VALUE"""),"")</f>
        <v/>
      </c>
      <c r="L645" s="36" t="str">
        <f ca="1">IFERROR(__xludf.DUMMYFUNCTION("""COMPUTED_VALUE"""),"")</f>
        <v/>
      </c>
      <c r="M645" s="36" t="str">
        <f ca="1">IFERROR(__xludf.DUMMYFUNCTION("""COMPUTED_VALUE"""),"")</f>
        <v/>
      </c>
      <c r="N645" s="36" t="str">
        <f ca="1">IFERROR(__xludf.DUMMYFUNCTION("""COMPUTED_VALUE"""),"")</f>
        <v/>
      </c>
      <c r="O645" s="36" t="str">
        <f ca="1">IFERROR(__xludf.DUMMYFUNCTION("""COMPUTED_VALUE"""),"")</f>
        <v/>
      </c>
      <c r="P645" s="36" t="str">
        <f ca="1">IFERROR(__xludf.DUMMYFUNCTION("""COMPUTED_VALUE"""),"")</f>
        <v/>
      </c>
      <c r="Q645" s="36" t="str">
        <f ca="1">IFERROR(__xludf.DUMMYFUNCTION("""COMPUTED_VALUE"""),"")</f>
        <v/>
      </c>
      <c r="R645" s="36" t="str">
        <f ca="1">IFERROR(__xludf.DUMMYFUNCTION("""COMPUTED_VALUE"""),"")</f>
        <v/>
      </c>
      <c r="S645" s="36" t="str">
        <f ca="1">IFERROR(__xludf.DUMMYFUNCTION("""COMPUTED_VALUE"""),"")</f>
        <v/>
      </c>
      <c r="T645" s="36" t="str">
        <f ca="1">IFERROR(__xludf.DUMMYFUNCTION("""COMPUTED_VALUE"""),"")</f>
        <v/>
      </c>
      <c r="U645" s="36" t="str">
        <f ca="1">IFERROR(__xludf.DUMMYFUNCTION("""COMPUTED_VALUE"""),"")</f>
        <v/>
      </c>
      <c r="V645" s="36" t="str">
        <f ca="1">IFERROR(__xludf.DUMMYFUNCTION("""COMPUTED_VALUE"""),"")</f>
        <v/>
      </c>
      <c r="W645" s="36" t="str">
        <f ca="1">IFERROR(__xludf.DUMMYFUNCTION("""COMPUTED_VALUE"""),"")</f>
        <v/>
      </c>
      <c r="X645" s="36"/>
      <c r="Y645" s="36"/>
      <c r="Z645" s="36"/>
    </row>
    <row r="646" spans="1:26" ht="12.75" hidden="1">
      <c r="A646" s="36" t="str">
        <f ca="1">IFERROR(__xludf.DUMMYFUNCTION("""COMPUTED_VALUE"""),"")</f>
        <v/>
      </c>
      <c r="B646" s="36" t="str">
        <f ca="1">IFERROR(__xludf.DUMMYFUNCTION("""COMPUTED_VALUE"""),"")</f>
        <v/>
      </c>
      <c r="C646" s="36" t="str">
        <f ca="1">IFERROR(__xludf.DUMMYFUNCTION("""COMPUTED_VALUE"""),"")</f>
        <v/>
      </c>
      <c r="D646" s="36" t="str">
        <f ca="1">IFERROR(__xludf.DUMMYFUNCTION("""COMPUTED_VALUE"""),"")</f>
        <v/>
      </c>
      <c r="E646" s="36" t="str">
        <f ca="1">IFERROR(__xludf.DUMMYFUNCTION("""COMPUTED_VALUE"""),"")</f>
        <v/>
      </c>
      <c r="F646" s="36" t="str">
        <f ca="1">IFERROR(__xludf.DUMMYFUNCTION("""COMPUTED_VALUE"""),"")</f>
        <v/>
      </c>
      <c r="G646" s="36" t="str">
        <f ca="1">IFERROR(__xludf.DUMMYFUNCTION("""COMPUTED_VALUE"""),"")</f>
        <v/>
      </c>
      <c r="H646" s="36" t="str">
        <f ca="1">IFERROR(__xludf.DUMMYFUNCTION("""COMPUTED_VALUE"""),"")</f>
        <v/>
      </c>
      <c r="I646" s="36" t="str">
        <f ca="1">IFERROR(__xludf.DUMMYFUNCTION("""COMPUTED_VALUE"""),"")</f>
        <v/>
      </c>
      <c r="J646" s="36" t="str">
        <f ca="1">IFERROR(__xludf.DUMMYFUNCTION("""COMPUTED_VALUE"""),"")</f>
        <v/>
      </c>
      <c r="K646" s="36" t="str">
        <f ca="1">IFERROR(__xludf.DUMMYFUNCTION("""COMPUTED_VALUE"""),"")</f>
        <v/>
      </c>
      <c r="L646" s="36" t="str">
        <f ca="1">IFERROR(__xludf.DUMMYFUNCTION("""COMPUTED_VALUE"""),"")</f>
        <v/>
      </c>
      <c r="M646" s="36" t="str">
        <f ca="1">IFERROR(__xludf.DUMMYFUNCTION("""COMPUTED_VALUE"""),"")</f>
        <v/>
      </c>
      <c r="N646" s="36" t="str">
        <f ca="1">IFERROR(__xludf.DUMMYFUNCTION("""COMPUTED_VALUE"""),"")</f>
        <v/>
      </c>
      <c r="O646" s="36" t="str">
        <f ca="1">IFERROR(__xludf.DUMMYFUNCTION("""COMPUTED_VALUE"""),"")</f>
        <v/>
      </c>
      <c r="P646" s="36" t="str">
        <f ca="1">IFERROR(__xludf.DUMMYFUNCTION("""COMPUTED_VALUE"""),"")</f>
        <v/>
      </c>
      <c r="Q646" s="36" t="str">
        <f ca="1">IFERROR(__xludf.DUMMYFUNCTION("""COMPUTED_VALUE"""),"")</f>
        <v/>
      </c>
      <c r="R646" s="36" t="str">
        <f ca="1">IFERROR(__xludf.DUMMYFUNCTION("""COMPUTED_VALUE"""),"")</f>
        <v/>
      </c>
      <c r="S646" s="36" t="str">
        <f ca="1">IFERROR(__xludf.DUMMYFUNCTION("""COMPUTED_VALUE"""),"")</f>
        <v/>
      </c>
      <c r="T646" s="36" t="str">
        <f ca="1">IFERROR(__xludf.DUMMYFUNCTION("""COMPUTED_VALUE"""),"")</f>
        <v/>
      </c>
      <c r="U646" s="36" t="str">
        <f ca="1">IFERROR(__xludf.DUMMYFUNCTION("""COMPUTED_VALUE"""),"")</f>
        <v/>
      </c>
      <c r="V646" s="36" t="str">
        <f ca="1">IFERROR(__xludf.DUMMYFUNCTION("""COMPUTED_VALUE"""),"")</f>
        <v/>
      </c>
      <c r="W646" s="36" t="str">
        <f ca="1">IFERROR(__xludf.DUMMYFUNCTION("""COMPUTED_VALUE"""),"")</f>
        <v/>
      </c>
      <c r="X646" s="36"/>
      <c r="Y646" s="36"/>
      <c r="Z646" s="36"/>
    </row>
    <row r="647" spans="1:26" ht="12.75" hidden="1">
      <c r="A647" s="36" t="str">
        <f ca="1">IFERROR(__xludf.DUMMYFUNCTION("""COMPUTED_VALUE"""),"")</f>
        <v/>
      </c>
      <c r="B647" s="36" t="str">
        <f ca="1">IFERROR(__xludf.DUMMYFUNCTION("""COMPUTED_VALUE"""),"")</f>
        <v/>
      </c>
      <c r="C647" s="36" t="str">
        <f ca="1">IFERROR(__xludf.DUMMYFUNCTION("""COMPUTED_VALUE"""),"")</f>
        <v/>
      </c>
      <c r="D647" s="36" t="str">
        <f ca="1">IFERROR(__xludf.DUMMYFUNCTION("""COMPUTED_VALUE"""),"")</f>
        <v/>
      </c>
      <c r="E647" s="36" t="str">
        <f ca="1">IFERROR(__xludf.DUMMYFUNCTION("""COMPUTED_VALUE"""),"")</f>
        <v/>
      </c>
      <c r="F647" s="36" t="str">
        <f ca="1">IFERROR(__xludf.DUMMYFUNCTION("""COMPUTED_VALUE"""),"")</f>
        <v/>
      </c>
      <c r="G647" s="36" t="str">
        <f ca="1">IFERROR(__xludf.DUMMYFUNCTION("""COMPUTED_VALUE"""),"")</f>
        <v/>
      </c>
      <c r="H647" s="36" t="str">
        <f ca="1">IFERROR(__xludf.DUMMYFUNCTION("""COMPUTED_VALUE"""),"")</f>
        <v/>
      </c>
      <c r="I647" s="36" t="str">
        <f ca="1">IFERROR(__xludf.DUMMYFUNCTION("""COMPUTED_VALUE"""),"")</f>
        <v/>
      </c>
      <c r="J647" s="36" t="str">
        <f ca="1">IFERROR(__xludf.DUMMYFUNCTION("""COMPUTED_VALUE"""),"")</f>
        <v/>
      </c>
      <c r="K647" s="36" t="str">
        <f ca="1">IFERROR(__xludf.DUMMYFUNCTION("""COMPUTED_VALUE"""),"")</f>
        <v/>
      </c>
      <c r="L647" s="36" t="str">
        <f ca="1">IFERROR(__xludf.DUMMYFUNCTION("""COMPUTED_VALUE"""),"")</f>
        <v/>
      </c>
      <c r="M647" s="36" t="str">
        <f ca="1">IFERROR(__xludf.DUMMYFUNCTION("""COMPUTED_VALUE"""),"")</f>
        <v/>
      </c>
      <c r="N647" s="36" t="str">
        <f ca="1">IFERROR(__xludf.DUMMYFUNCTION("""COMPUTED_VALUE"""),"")</f>
        <v/>
      </c>
      <c r="O647" s="36" t="str">
        <f ca="1">IFERROR(__xludf.DUMMYFUNCTION("""COMPUTED_VALUE"""),"")</f>
        <v/>
      </c>
      <c r="P647" s="36" t="str">
        <f ca="1">IFERROR(__xludf.DUMMYFUNCTION("""COMPUTED_VALUE"""),"")</f>
        <v/>
      </c>
      <c r="Q647" s="36" t="str">
        <f ca="1">IFERROR(__xludf.DUMMYFUNCTION("""COMPUTED_VALUE"""),"")</f>
        <v/>
      </c>
      <c r="R647" s="36" t="str">
        <f ca="1">IFERROR(__xludf.DUMMYFUNCTION("""COMPUTED_VALUE"""),"")</f>
        <v/>
      </c>
      <c r="S647" s="36" t="str">
        <f ca="1">IFERROR(__xludf.DUMMYFUNCTION("""COMPUTED_VALUE"""),"")</f>
        <v/>
      </c>
      <c r="T647" s="36" t="str">
        <f ca="1">IFERROR(__xludf.DUMMYFUNCTION("""COMPUTED_VALUE"""),"")</f>
        <v/>
      </c>
      <c r="U647" s="36" t="str">
        <f ca="1">IFERROR(__xludf.DUMMYFUNCTION("""COMPUTED_VALUE"""),"")</f>
        <v/>
      </c>
      <c r="V647" s="36" t="str">
        <f ca="1">IFERROR(__xludf.DUMMYFUNCTION("""COMPUTED_VALUE"""),"")</f>
        <v/>
      </c>
      <c r="W647" s="36" t="str">
        <f ca="1">IFERROR(__xludf.DUMMYFUNCTION("""COMPUTED_VALUE"""),"")</f>
        <v/>
      </c>
      <c r="X647" s="36"/>
      <c r="Y647" s="36"/>
      <c r="Z647" s="36"/>
    </row>
    <row r="648" spans="1:26" ht="12.75" hidden="1">
      <c r="A648" s="36" t="str">
        <f ca="1">IFERROR(__xludf.DUMMYFUNCTION("""COMPUTED_VALUE"""),"")</f>
        <v/>
      </c>
      <c r="B648" s="36" t="str">
        <f ca="1">IFERROR(__xludf.DUMMYFUNCTION("""COMPUTED_VALUE"""),"")</f>
        <v/>
      </c>
      <c r="C648" s="36" t="str">
        <f ca="1">IFERROR(__xludf.DUMMYFUNCTION("""COMPUTED_VALUE"""),"")</f>
        <v/>
      </c>
      <c r="D648" s="36" t="str">
        <f ca="1">IFERROR(__xludf.DUMMYFUNCTION("""COMPUTED_VALUE"""),"")</f>
        <v/>
      </c>
      <c r="E648" s="36" t="str">
        <f ca="1">IFERROR(__xludf.DUMMYFUNCTION("""COMPUTED_VALUE"""),"")</f>
        <v/>
      </c>
      <c r="F648" s="36" t="str">
        <f ca="1">IFERROR(__xludf.DUMMYFUNCTION("""COMPUTED_VALUE"""),"")</f>
        <v/>
      </c>
      <c r="G648" s="36" t="str">
        <f ca="1">IFERROR(__xludf.DUMMYFUNCTION("""COMPUTED_VALUE"""),"")</f>
        <v/>
      </c>
      <c r="H648" s="36" t="str">
        <f ca="1">IFERROR(__xludf.DUMMYFUNCTION("""COMPUTED_VALUE"""),"")</f>
        <v/>
      </c>
      <c r="I648" s="36" t="str">
        <f ca="1">IFERROR(__xludf.DUMMYFUNCTION("""COMPUTED_VALUE"""),"")</f>
        <v/>
      </c>
      <c r="J648" s="36" t="str">
        <f ca="1">IFERROR(__xludf.DUMMYFUNCTION("""COMPUTED_VALUE"""),"")</f>
        <v/>
      </c>
      <c r="K648" s="36" t="str">
        <f ca="1">IFERROR(__xludf.DUMMYFUNCTION("""COMPUTED_VALUE"""),"")</f>
        <v/>
      </c>
      <c r="L648" s="36" t="str">
        <f ca="1">IFERROR(__xludf.DUMMYFUNCTION("""COMPUTED_VALUE"""),"")</f>
        <v/>
      </c>
      <c r="M648" s="36" t="str">
        <f ca="1">IFERROR(__xludf.DUMMYFUNCTION("""COMPUTED_VALUE"""),"")</f>
        <v/>
      </c>
      <c r="N648" s="36" t="str">
        <f ca="1">IFERROR(__xludf.DUMMYFUNCTION("""COMPUTED_VALUE"""),"")</f>
        <v/>
      </c>
      <c r="O648" s="36" t="str">
        <f ca="1">IFERROR(__xludf.DUMMYFUNCTION("""COMPUTED_VALUE"""),"")</f>
        <v/>
      </c>
      <c r="P648" s="36" t="str">
        <f ca="1">IFERROR(__xludf.DUMMYFUNCTION("""COMPUTED_VALUE"""),"")</f>
        <v/>
      </c>
      <c r="Q648" s="36" t="str">
        <f ca="1">IFERROR(__xludf.DUMMYFUNCTION("""COMPUTED_VALUE"""),"")</f>
        <v/>
      </c>
      <c r="R648" s="36" t="str">
        <f ca="1">IFERROR(__xludf.DUMMYFUNCTION("""COMPUTED_VALUE"""),"")</f>
        <v/>
      </c>
      <c r="S648" s="36" t="str">
        <f ca="1">IFERROR(__xludf.DUMMYFUNCTION("""COMPUTED_VALUE"""),"")</f>
        <v/>
      </c>
      <c r="T648" s="36" t="str">
        <f ca="1">IFERROR(__xludf.DUMMYFUNCTION("""COMPUTED_VALUE"""),"")</f>
        <v/>
      </c>
      <c r="U648" s="36" t="str">
        <f ca="1">IFERROR(__xludf.DUMMYFUNCTION("""COMPUTED_VALUE"""),"")</f>
        <v/>
      </c>
      <c r="V648" s="36" t="str">
        <f ca="1">IFERROR(__xludf.DUMMYFUNCTION("""COMPUTED_VALUE"""),"")</f>
        <v/>
      </c>
      <c r="W648" s="36" t="str">
        <f ca="1">IFERROR(__xludf.DUMMYFUNCTION("""COMPUTED_VALUE"""),"")</f>
        <v/>
      </c>
      <c r="X648" s="36"/>
      <c r="Y648" s="36"/>
      <c r="Z648" s="36"/>
    </row>
    <row r="649" spans="1:26" ht="12.75" hidden="1">
      <c r="A649" s="36" t="str">
        <f ca="1">IFERROR(__xludf.DUMMYFUNCTION("""COMPUTED_VALUE"""),"")</f>
        <v/>
      </c>
      <c r="B649" s="36" t="str">
        <f ca="1">IFERROR(__xludf.DUMMYFUNCTION("""COMPUTED_VALUE"""),"")</f>
        <v/>
      </c>
      <c r="C649" s="36" t="str">
        <f ca="1">IFERROR(__xludf.DUMMYFUNCTION("""COMPUTED_VALUE"""),"")</f>
        <v/>
      </c>
      <c r="D649" s="36" t="str">
        <f ca="1">IFERROR(__xludf.DUMMYFUNCTION("""COMPUTED_VALUE"""),"")</f>
        <v/>
      </c>
      <c r="E649" s="36" t="str">
        <f ca="1">IFERROR(__xludf.DUMMYFUNCTION("""COMPUTED_VALUE"""),"")</f>
        <v/>
      </c>
      <c r="F649" s="36" t="str">
        <f ca="1">IFERROR(__xludf.DUMMYFUNCTION("""COMPUTED_VALUE"""),"")</f>
        <v/>
      </c>
      <c r="G649" s="36" t="str">
        <f ca="1">IFERROR(__xludf.DUMMYFUNCTION("""COMPUTED_VALUE"""),"")</f>
        <v/>
      </c>
      <c r="H649" s="36" t="str">
        <f ca="1">IFERROR(__xludf.DUMMYFUNCTION("""COMPUTED_VALUE"""),"")</f>
        <v/>
      </c>
      <c r="I649" s="36" t="str">
        <f ca="1">IFERROR(__xludf.DUMMYFUNCTION("""COMPUTED_VALUE"""),"")</f>
        <v/>
      </c>
      <c r="J649" s="36" t="str">
        <f ca="1">IFERROR(__xludf.DUMMYFUNCTION("""COMPUTED_VALUE"""),"")</f>
        <v/>
      </c>
      <c r="K649" s="36" t="str">
        <f ca="1">IFERROR(__xludf.DUMMYFUNCTION("""COMPUTED_VALUE"""),"")</f>
        <v/>
      </c>
      <c r="L649" s="36" t="str">
        <f ca="1">IFERROR(__xludf.DUMMYFUNCTION("""COMPUTED_VALUE"""),"")</f>
        <v/>
      </c>
      <c r="M649" s="36" t="str">
        <f ca="1">IFERROR(__xludf.DUMMYFUNCTION("""COMPUTED_VALUE"""),"")</f>
        <v/>
      </c>
      <c r="N649" s="36" t="str">
        <f ca="1">IFERROR(__xludf.DUMMYFUNCTION("""COMPUTED_VALUE"""),"")</f>
        <v/>
      </c>
      <c r="O649" s="36" t="str">
        <f ca="1">IFERROR(__xludf.DUMMYFUNCTION("""COMPUTED_VALUE"""),"")</f>
        <v/>
      </c>
      <c r="P649" s="36" t="str">
        <f ca="1">IFERROR(__xludf.DUMMYFUNCTION("""COMPUTED_VALUE"""),"")</f>
        <v/>
      </c>
      <c r="Q649" s="36" t="str">
        <f ca="1">IFERROR(__xludf.DUMMYFUNCTION("""COMPUTED_VALUE"""),"")</f>
        <v/>
      </c>
      <c r="R649" s="36" t="str">
        <f ca="1">IFERROR(__xludf.DUMMYFUNCTION("""COMPUTED_VALUE"""),"")</f>
        <v/>
      </c>
      <c r="S649" s="36" t="str">
        <f ca="1">IFERROR(__xludf.DUMMYFUNCTION("""COMPUTED_VALUE"""),"")</f>
        <v/>
      </c>
      <c r="T649" s="36" t="str">
        <f ca="1">IFERROR(__xludf.DUMMYFUNCTION("""COMPUTED_VALUE"""),"")</f>
        <v/>
      </c>
      <c r="U649" s="36" t="str">
        <f ca="1">IFERROR(__xludf.DUMMYFUNCTION("""COMPUTED_VALUE"""),"")</f>
        <v/>
      </c>
      <c r="V649" s="36" t="str">
        <f ca="1">IFERROR(__xludf.DUMMYFUNCTION("""COMPUTED_VALUE"""),"")</f>
        <v/>
      </c>
      <c r="W649" s="36" t="str">
        <f ca="1">IFERROR(__xludf.DUMMYFUNCTION("""COMPUTED_VALUE"""),"")</f>
        <v/>
      </c>
      <c r="X649" s="36"/>
      <c r="Y649" s="36"/>
      <c r="Z649" s="36"/>
    </row>
    <row r="650" spans="1:26" ht="12.75" hidden="1">
      <c r="A650" s="36" t="str">
        <f ca="1">IFERROR(__xludf.DUMMYFUNCTION("""COMPUTED_VALUE"""),"")</f>
        <v/>
      </c>
      <c r="B650" s="36" t="str">
        <f ca="1">IFERROR(__xludf.DUMMYFUNCTION("""COMPUTED_VALUE"""),"")</f>
        <v/>
      </c>
      <c r="C650" s="36" t="str">
        <f ca="1">IFERROR(__xludf.DUMMYFUNCTION("""COMPUTED_VALUE"""),"")</f>
        <v/>
      </c>
      <c r="D650" s="36" t="str">
        <f ca="1">IFERROR(__xludf.DUMMYFUNCTION("""COMPUTED_VALUE"""),"")</f>
        <v/>
      </c>
      <c r="E650" s="36" t="str">
        <f ca="1">IFERROR(__xludf.DUMMYFUNCTION("""COMPUTED_VALUE"""),"")</f>
        <v/>
      </c>
      <c r="F650" s="36" t="str">
        <f ca="1">IFERROR(__xludf.DUMMYFUNCTION("""COMPUTED_VALUE"""),"")</f>
        <v/>
      </c>
      <c r="G650" s="36" t="str">
        <f ca="1">IFERROR(__xludf.DUMMYFUNCTION("""COMPUTED_VALUE"""),"")</f>
        <v/>
      </c>
      <c r="H650" s="36" t="str">
        <f ca="1">IFERROR(__xludf.DUMMYFUNCTION("""COMPUTED_VALUE"""),"")</f>
        <v/>
      </c>
      <c r="I650" s="36" t="str">
        <f ca="1">IFERROR(__xludf.DUMMYFUNCTION("""COMPUTED_VALUE"""),"")</f>
        <v/>
      </c>
      <c r="J650" s="36" t="str">
        <f ca="1">IFERROR(__xludf.DUMMYFUNCTION("""COMPUTED_VALUE"""),"")</f>
        <v/>
      </c>
      <c r="K650" s="36" t="str">
        <f ca="1">IFERROR(__xludf.DUMMYFUNCTION("""COMPUTED_VALUE"""),"")</f>
        <v/>
      </c>
      <c r="L650" s="36" t="str">
        <f ca="1">IFERROR(__xludf.DUMMYFUNCTION("""COMPUTED_VALUE"""),"")</f>
        <v/>
      </c>
      <c r="M650" s="36" t="str">
        <f ca="1">IFERROR(__xludf.DUMMYFUNCTION("""COMPUTED_VALUE"""),"")</f>
        <v/>
      </c>
      <c r="N650" s="36" t="str">
        <f ca="1">IFERROR(__xludf.DUMMYFUNCTION("""COMPUTED_VALUE"""),"")</f>
        <v/>
      </c>
      <c r="O650" s="36" t="str">
        <f ca="1">IFERROR(__xludf.DUMMYFUNCTION("""COMPUTED_VALUE"""),"")</f>
        <v/>
      </c>
      <c r="P650" s="36" t="str">
        <f ca="1">IFERROR(__xludf.DUMMYFUNCTION("""COMPUTED_VALUE"""),"")</f>
        <v/>
      </c>
      <c r="Q650" s="36" t="str">
        <f ca="1">IFERROR(__xludf.DUMMYFUNCTION("""COMPUTED_VALUE"""),"")</f>
        <v/>
      </c>
      <c r="R650" s="36" t="str">
        <f ca="1">IFERROR(__xludf.DUMMYFUNCTION("""COMPUTED_VALUE"""),"")</f>
        <v/>
      </c>
      <c r="S650" s="36" t="str">
        <f ca="1">IFERROR(__xludf.DUMMYFUNCTION("""COMPUTED_VALUE"""),"")</f>
        <v/>
      </c>
      <c r="T650" s="36" t="str">
        <f ca="1">IFERROR(__xludf.DUMMYFUNCTION("""COMPUTED_VALUE"""),"")</f>
        <v/>
      </c>
      <c r="U650" s="36" t="str">
        <f ca="1">IFERROR(__xludf.DUMMYFUNCTION("""COMPUTED_VALUE"""),"")</f>
        <v/>
      </c>
      <c r="V650" s="36" t="str">
        <f ca="1">IFERROR(__xludf.DUMMYFUNCTION("""COMPUTED_VALUE"""),"")</f>
        <v/>
      </c>
      <c r="W650" s="36" t="str">
        <f ca="1">IFERROR(__xludf.DUMMYFUNCTION("""COMPUTED_VALUE"""),"")</f>
        <v/>
      </c>
      <c r="X650" s="36"/>
      <c r="Y650" s="36"/>
      <c r="Z650" s="36"/>
    </row>
    <row r="651" spans="1:26" ht="12.75" hidden="1">
      <c r="A651" s="36" t="str">
        <f ca="1">IFERROR(__xludf.DUMMYFUNCTION("""COMPUTED_VALUE"""),"")</f>
        <v/>
      </c>
      <c r="B651" s="36" t="str">
        <f ca="1">IFERROR(__xludf.DUMMYFUNCTION("""COMPUTED_VALUE"""),"")</f>
        <v/>
      </c>
      <c r="C651" s="36" t="str">
        <f ca="1">IFERROR(__xludf.DUMMYFUNCTION("""COMPUTED_VALUE"""),"")</f>
        <v/>
      </c>
      <c r="D651" s="36" t="str">
        <f ca="1">IFERROR(__xludf.DUMMYFUNCTION("""COMPUTED_VALUE"""),"")</f>
        <v/>
      </c>
      <c r="E651" s="36" t="str">
        <f ca="1">IFERROR(__xludf.DUMMYFUNCTION("""COMPUTED_VALUE"""),"")</f>
        <v/>
      </c>
      <c r="F651" s="36" t="str">
        <f ca="1">IFERROR(__xludf.DUMMYFUNCTION("""COMPUTED_VALUE"""),"")</f>
        <v/>
      </c>
      <c r="G651" s="36" t="str">
        <f ca="1">IFERROR(__xludf.DUMMYFUNCTION("""COMPUTED_VALUE"""),"")</f>
        <v/>
      </c>
      <c r="H651" s="36" t="str">
        <f ca="1">IFERROR(__xludf.DUMMYFUNCTION("""COMPUTED_VALUE"""),"")</f>
        <v/>
      </c>
      <c r="I651" s="36" t="str">
        <f ca="1">IFERROR(__xludf.DUMMYFUNCTION("""COMPUTED_VALUE"""),"")</f>
        <v/>
      </c>
      <c r="J651" s="36" t="str">
        <f ca="1">IFERROR(__xludf.DUMMYFUNCTION("""COMPUTED_VALUE"""),"")</f>
        <v/>
      </c>
      <c r="K651" s="36" t="str">
        <f ca="1">IFERROR(__xludf.DUMMYFUNCTION("""COMPUTED_VALUE"""),"")</f>
        <v/>
      </c>
      <c r="L651" s="36" t="str">
        <f ca="1">IFERROR(__xludf.DUMMYFUNCTION("""COMPUTED_VALUE"""),"")</f>
        <v/>
      </c>
      <c r="M651" s="36" t="str">
        <f ca="1">IFERROR(__xludf.DUMMYFUNCTION("""COMPUTED_VALUE"""),"")</f>
        <v/>
      </c>
      <c r="N651" s="36" t="str">
        <f ca="1">IFERROR(__xludf.DUMMYFUNCTION("""COMPUTED_VALUE"""),"")</f>
        <v/>
      </c>
      <c r="O651" s="36" t="str">
        <f ca="1">IFERROR(__xludf.DUMMYFUNCTION("""COMPUTED_VALUE"""),"")</f>
        <v/>
      </c>
      <c r="P651" s="36" t="str">
        <f ca="1">IFERROR(__xludf.DUMMYFUNCTION("""COMPUTED_VALUE"""),"")</f>
        <v/>
      </c>
      <c r="Q651" s="36" t="str">
        <f ca="1">IFERROR(__xludf.DUMMYFUNCTION("""COMPUTED_VALUE"""),"")</f>
        <v/>
      </c>
      <c r="R651" s="36" t="str">
        <f ca="1">IFERROR(__xludf.DUMMYFUNCTION("""COMPUTED_VALUE"""),"")</f>
        <v/>
      </c>
      <c r="S651" s="36" t="str">
        <f ca="1">IFERROR(__xludf.DUMMYFUNCTION("""COMPUTED_VALUE"""),"")</f>
        <v/>
      </c>
      <c r="T651" s="36" t="str">
        <f ca="1">IFERROR(__xludf.DUMMYFUNCTION("""COMPUTED_VALUE"""),"")</f>
        <v/>
      </c>
      <c r="U651" s="36" t="str">
        <f ca="1">IFERROR(__xludf.DUMMYFUNCTION("""COMPUTED_VALUE"""),"")</f>
        <v/>
      </c>
      <c r="V651" s="36" t="str">
        <f ca="1">IFERROR(__xludf.DUMMYFUNCTION("""COMPUTED_VALUE"""),"")</f>
        <v/>
      </c>
      <c r="W651" s="36" t="str">
        <f ca="1">IFERROR(__xludf.DUMMYFUNCTION("""COMPUTED_VALUE"""),"")</f>
        <v/>
      </c>
      <c r="X651" s="36"/>
      <c r="Y651" s="36"/>
      <c r="Z651" s="36"/>
    </row>
    <row r="652" spans="1:26" ht="12.75" hidden="1">
      <c r="A652" s="36" t="str">
        <f ca="1">IFERROR(__xludf.DUMMYFUNCTION("""COMPUTED_VALUE"""),"")</f>
        <v/>
      </c>
      <c r="B652" s="36" t="str">
        <f ca="1">IFERROR(__xludf.DUMMYFUNCTION("""COMPUTED_VALUE"""),"")</f>
        <v/>
      </c>
      <c r="C652" s="36" t="str">
        <f ca="1">IFERROR(__xludf.DUMMYFUNCTION("""COMPUTED_VALUE"""),"")</f>
        <v/>
      </c>
      <c r="D652" s="36" t="str">
        <f ca="1">IFERROR(__xludf.DUMMYFUNCTION("""COMPUTED_VALUE"""),"")</f>
        <v/>
      </c>
      <c r="E652" s="36" t="str">
        <f ca="1">IFERROR(__xludf.DUMMYFUNCTION("""COMPUTED_VALUE"""),"")</f>
        <v/>
      </c>
      <c r="F652" s="36" t="str">
        <f ca="1">IFERROR(__xludf.DUMMYFUNCTION("""COMPUTED_VALUE"""),"")</f>
        <v/>
      </c>
      <c r="G652" s="36" t="str">
        <f ca="1">IFERROR(__xludf.DUMMYFUNCTION("""COMPUTED_VALUE"""),"")</f>
        <v/>
      </c>
      <c r="H652" s="36" t="str">
        <f ca="1">IFERROR(__xludf.DUMMYFUNCTION("""COMPUTED_VALUE"""),"")</f>
        <v/>
      </c>
      <c r="I652" s="36" t="str">
        <f ca="1">IFERROR(__xludf.DUMMYFUNCTION("""COMPUTED_VALUE"""),"")</f>
        <v/>
      </c>
      <c r="J652" s="36" t="str">
        <f ca="1">IFERROR(__xludf.DUMMYFUNCTION("""COMPUTED_VALUE"""),"")</f>
        <v/>
      </c>
      <c r="K652" s="36" t="str">
        <f ca="1">IFERROR(__xludf.DUMMYFUNCTION("""COMPUTED_VALUE"""),"")</f>
        <v/>
      </c>
      <c r="L652" s="36" t="str">
        <f ca="1">IFERROR(__xludf.DUMMYFUNCTION("""COMPUTED_VALUE"""),"")</f>
        <v/>
      </c>
      <c r="M652" s="36" t="str">
        <f ca="1">IFERROR(__xludf.DUMMYFUNCTION("""COMPUTED_VALUE"""),"")</f>
        <v/>
      </c>
      <c r="N652" s="36" t="str">
        <f ca="1">IFERROR(__xludf.DUMMYFUNCTION("""COMPUTED_VALUE"""),"")</f>
        <v/>
      </c>
      <c r="O652" s="36" t="str">
        <f ca="1">IFERROR(__xludf.DUMMYFUNCTION("""COMPUTED_VALUE"""),"")</f>
        <v/>
      </c>
      <c r="P652" s="36" t="str">
        <f ca="1">IFERROR(__xludf.DUMMYFUNCTION("""COMPUTED_VALUE"""),"")</f>
        <v/>
      </c>
      <c r="Q652" s="36" t="str">
        <f ca="1">IFERROR(__xludf.DUMMYFUNCTION("""COMPUTED_VALUE"""),"")</f>
        <v/>
      </c>
      <c r="R652" s="36" t="str">
        <f ca="1">IFERROR(__xludf.DUMMYFUNCTION("""COMPUTED_VALUE"""),"")</f>
        <v/>
      </c>
      <c r="S652" s="36" t="str">
        <f ca="1">IFERROR(__xludf.DUMMYFUNCTION("""COMPUTED_VALUE"""),"")</f>
        <v/>
      </c>
      <c r="T652" s="36" t="str">
        <f ca="1">IFERROR(__xludf.DUMMYFUNCTION("""COMPUTED_VALUE"""),"")</f>
        <v/>
      </c>
      <c r="U652" s="36" t="str">
        <f ca="1">IFERROR(__xludf.DUMMYFUNCTION("""COMPUTED_VALUE"""),"")</f>
        <v/>
      </c>
      <c r="V652" s="36" t="str">
        <f ca="1">IFERROR(__xludf.DUMMYFUNCTION("""COMPUTED_VALUE"""),"")</f>
        <v/>
      </c>
      <c r="W652" s="36" t="str">
        <f ca="1">IFERROR(__xludf.DUMMYFUNCTION("""COMPUTED_VALUE"""),"")</f>
        <v/>
      </c>
      <c r="X652" s="36"/>
      <c r="Y652" s="36"/>
      <c r="Z652" s="36"/>
    </row>
    <row r="653" spans="1:26" ht="12.75" hidden="1">
      <c r="A653" s="36" t="str">
        <f ca="1">IFERROR(__xludf.DUMMYFUNCTION("""COMPUTED_VALUE"""),"")</f>
        <v/>
      </c>
      <c r="B653" s="36" t="str">
        <f ca="1">IFERROR(__xludf.DUMMYFUNCTION("""COMPUTED_VALUE"""),"")</f>
        <v/>
      </c>
      <c r="C653" s="36" t="str">
        <f ca="1">IFERROR(__xludf.DUMMYFUNCTION("""COMPUTED_VALUE"""),"")</f>
        <v/>
      </c>
      <c r="D653" s="36" t="str">
        <f ca="1">IFERROR(__xludf.DUMMYFUNCTION("""COMPUTED_VALUE"""),"")</f>
        <v/>
      </c>
      <c r="E653" s="36" t="str">
        <f ca="1">IFERROR(__xludf.DUMMYFUNCTION("""COMPUTED_VALUE"""),"")</f>
        <v/>
      </c>
      <c r="F653" s="36" t="str">
        <f ca="1">IFERROR(__xludf.DUMMYFUNCTION("""COMPUTED_VALUE"""),"")</f>
        <v/>
      </c>
      <c r="G653" s="36" t="str">
        <f ca="1">IFERROR(__xludf.DUMMYFUNCTION("""COMPUTED_VALUE"""),"")</f>
        <v/>
      </c>
      <c r="H653" s="36" t="str">
        <f ca="1">IFERROR(__xludf.DUMMYFUNCTION("""COMPUTED_VALUE"""),"")</f>
        <v/>
      </c>
      <c r="I653" s="36" t="str">
        <f ca="1">IFERROR(__xludf.DUMMYFUNCTION("""COMPUTED_VALUE"""),"")</f>
        <v/>
      </c>
      <c r="J653" s="36" t="str">
        <f ca="1">IFERROR(__xludf.DUMMYFUNCTION("""COMPUTED_VALUE"""),"")</f>
        <v/>
      </c>
      <c r="K653" s="36" t="str">
        <f ca="1">IFERROR(__xludf.DUMMYFUNCTION("""COMPUTED_VALUE"""),"")</f>
        <v/>
      </c>
      <c r="L653" s="36" t="str">
        <f ca="1">IFERROR(__xludf.DUMMYFUNCTION("""COMPUTED_VALUE"""),"")</f>
        <v/>
      </c>
      <c r="M653" s="36" t="str">
        <f ca="1">IFERROR(__xludf.DUMMYFUNCTION("""COMPUTED_VALUE"""),"")</f>
        <v/>
      </c>
      <c r="N653" s="36" t="str">
        <f ca="1">IFERROR(__xludf.DUMMYFUNCTION("""COMPUTED_VALUE"""),"")</f>
        <v/>
      </c>
      <c r="O653" s="36" t="str">
        <f ca="1">IFERROR(__xludf.DUMMYFUNCTION("""COMPUTED_VALUE"""),"")</f>
        <v/>
      </c>
      <c r="P653" s="36" t="str">
        <f ca="1">IFERROR(__xludf.DUMMYFUNCTION("""COMPUTED_VALUE"""),"")</f>
        <v/>
      </c>
      <c r="Q653" s="36" t="str">
        <f ca="1">IFERROR(__xludf.DUMMYFUNCTION("""COMPUTED_VALUE"""),"")</f>
        <v/>
      </c>
      <c r="R653" s="36" t="str">
        <f ca="1">IFERROR(__xludf.DUMMYFUNCTION("""COMPUTED_VALUE"""),"")</f>
        <v/>
      </c>
      <c r="S653" s="36" t="str">
        <f ca="1">IFERROR(__xludf.DUMMYFUNCTION("""COMPUTED_VALUE"""),"")</f>
        <v/>
      </c>
      <c r="T653" s="36" t="str">
        <f ca="1">IFERROR(__xludf.DUMMYFUNCTION("""COMPUTED_VALUE"""),"")</f>
        <v/>
      </c>
      <c r="U653" s="36" t="str">
        <f ca="1">IFERROR(__xludf.DUMMYFUNCTION("""COMPUTED_VALUE"""),"")</f>
        <v/>
      </c>
      <c r="V653" s="36" t="str">
        <f ca="1">IFERROR(__xludf.DUMMYFUNCTION("""COMPUTED_VALUE"""),"")</f>
        <v/>
      </c>
      <c r="W653" s="36" t="str">
        <f ca="1">IFERROR(__xludf.DUMMYFUNCTION("""COMPUTED_VALUE"""),"")</f>
        <v/>
      </c>
      <c r="X653" s="36"/>
      <c r="Y653" s="36"/>
      <c r="Z653" s="36"/>
    </row>
    <row r="654" spans="1:26" ht="12.75" hidden="1">
      <c r="A654" s="36" t="str">
        <f ca="1">IFERROR(__xludf.DUMMYFUNCTION("""COMPUTED_VALUE"""),"")</f>
        <v/>
      </c>
      <c r="B654" s="36" t="str">
        <f ca="1">IFERROR(__xludf.DUMMYFUNCTION("""COMPUTED_VALUE"""),"")</f>
        <v/>
      </c>
      <c r="C654" s="36" t="str">
        <f ca="1">IFERROR(__xludf.DUMMYFUNCTION("""COMPUTED_VALUE"""),"")</f>
        <v/>
      </c>
      <c r="D654" s="36" t="str">
        <f ca="1">IFERROR(__xludf.DUMMYFUNCTION("""COMPUTED_VALUE"""),"")</f>
        <v/>
      </c>
      <c r="E654" s="36" t="str">
        <f ca="1">IFERROR(__xludf.DUMMYFUNCTION("""COMPUTED_VALUE"""),"")</f>
        <v/>
      </c>
      <c r="F654" s="36" t="str">
        <f ca="1">IFERROR(__xludf.DUMMYFUNCTION("""COMPUTED_VALUE"""),"")</f>
        <v/>
      </c>
      <c r="G654" s="36" t="str">
        <f ca="1">IFERROR(__xludf.DUMMYFUNCTION("""COMPUTED_VALUE"""),"")</f>
        <v/>
      </c>
      <c r="H654" s="36" t="str">
        <f ca="1">IFERROR(__xludf.DUMMYFUNCTION("""COMPUTED_VALUE"""),"")</f>
        <v/>
      </c>
      <c r="I654" s="36" t="str">
        <f ca="1">IFERROR(__xludf.DUMMYFUNCTION("""COMPUTED_VALUE"""),"")</f>
        <v/>
      </c>
      <c r="J654" s="36" t="str">
        <f ca="1">IFERROR(__xludf.DUMMYFUNCTION("""COMPUTED_VALUE"""),"")</f>
        <v/>
      </c>
      <c r="K654" s="36" t="str">
        <f ca="1">IFERROR(__xludf.DUMMYFUNCTION("""COMPUTED_VALUE"""),"")</f>
        <v/>
      </c>
      <c r="L654" s="36" t="str">
        <f ca="1">IFERROR(__xludf.DUMMYFUNCTION("""COMPUTED_VALUE"""),"")</f>
        <v/>
      </c>
      <c r="M654" s="36" t="str">
        <f ca="1">IFERROR(__xludf.DUMMYFUNCTION("""COMPUTED_VALUE"""),"")</f>
        <v/>
      </c>
      <c r="N654" s="36" t="str">
        <f ca="1">IFERROR(__xludf.DUMMYFUNCTION("""COMPUTED_VALUE"""),"")</f>
        <v/>
      </c>
      <c r="O654" s="36" t="str">
        <f ca="1">IFERROR(__xludf.DUMMYFUNCTION("""COMPUTED_VALUE"""),"")</f>
        <v/>
      </c>
      <c r="P654" s="36" t="str">
        <f ca="1">IFERROR(__xludf.DUMMYFUNCTION("""COMPUTED_VALUE"""),"")</f>
        <v/>
      </c>
      <c r="Q654" s="36" t="str">
        <f ca="1">IFERROR(__xludf.DUMMYFUNCTION("""COMPUTED_VALUE"""),"")</f>
        <v/>
      </c>
      <c r="R654" s="36" t="str">
        <f ca="1">IFERROR(__xludf.DUMMYFUNCTION("""COMPUTED_VALUE"""),"")</f>
        <v/>
      </c>
      <c r="S654" s="36" t="str">
        <f ca="1">IFERROR(__xludf.DUMMYFUNCTION("""COMPUTED_VALUE"""),"")</f>
        <v/>
      </c>
      <c r="T654" s="36" t="str">
        <f ca="1">IFERROR(__xludf.DUMMYFUNCTION("""COMPUTED_VALUE"""),"")</f>
        <v/>
      </c>
      <c r="U654" s="36" t="str">
        <f ca="1">IFERROR(__xludf.DUMMYFUNCTION("""COMPUTED_VALUE"""),"")</f>
        <v/>
      </c>
      <c r="V654" s="36" t="str">
        <f ca="1">IFERROR(__xludf.DUMMYFUNCTION("""COMPUTED_VALUE"""),"")</f>
        <v/>
      </c>
      <c r="W654" s="36" t="str">
        <f ca="1">IFERROR(__xludf.DUMMYFUNCTION("""COMPUTED_VALUE"""),"")</f>
        <v/>
      </c>
      <c r="X654" s="36"/>
      <c r="Y654" s="36"/>
      <c r="Z654" s="36"/>
    </row>
    <row r="655" spans="1:26" ht="12.75" hidden="1">
      <c r="A655" s="36" t="str">
        <f ca="1">IFERROR(__xludf.DUMMYFUNCTION("""COMPUTED_VALUE"""),"")</f>
        <v/>
      </c>
      <c r="B655" s="36" t="str">
        <f ca="1">IFERROR(__xludf.DUMMYFUNCTION("""COMPUTED_VALUE"""),"")</f>
        <v/>
      </c>
      <c r="C655" s="36" t="str">
        <f ca="1">IFERROR(__xludf.DUMMYFUNCTION("""COMPUTED_VALUE"""),"")</f>
        <v/>
      </c>
      <c r="D655" s="36" t="str">
        <f ca="1">IFERROR(__xludf.DUMMYFUNCTION("""COMPUTED_VALUE"""),"")</f>
        <v/>
      </c>
      <c r="E655" s="36" t="str">
        <f ca="1">IFERROR(__xludf.DUMMYFUNCTION("""COMPUTED_VALUE"""),"")</f>
        <v/>
      </c>
      <c r="F655" s="36" t="str">
        <f ca="1">IFERROR(__xludf.DUMMYFUNCTION("""COMPUTED_VALUE"""),"")</f>
        <v/>
      </c>
      <c r="G655" s="36" t="str">
        <f ca="1">IFERROR(__xludf.DUMMYFUNCTION("""COMPUTED_VALUE"""),"")</f>
        <v/>
      </c>
      <c r="H655" s="36" t="str">
        <f ca="1">IFERROR(__xludf.DUMMYFUNCTION("""COMPUTED_VALUE"""),"")</f>
        <v/>
      </c>
      <c r="I655" s="36" t="str">
        <f ca="1">IFERROR(__xludf.DUMMYFUNCTION("""COMPUTED_VALUE"""),"")</f>
        <v/>
      </c>
      <c r="J655" s="36" t="str">
        <f ca="1">IFERROR(__xludf.DUMMYFUNCTION("""COMPUTED_VALUE"""),"")</f>
        <v/>
      </c>
      <c r="K655" s="36" t="str">
        <f ca="1">IFERROR(__xludf.DUMMYFUNCTION("""COMPUTED_VALUE"""),"")</f>
        <v/>
      </c>
      <c r="L655" s="36" t="str">
        <f ca="1">IFERROR(__xludf.DUMMYFUNCTION("""COMPUTED_VALUE"""),"")</f>
        <v/>
      </c>
      <c r="M655" s="36" t="str">
        <f ca="1">IFERROR(__xludf.DUMMYFUNCTION("""COMPUTED_VALUE"""),"")</f>
        <v/>
      </c>
      <c r="N655" s="36" t="str">
        <f ca="1">IFERROR(__xludf.DUMMYFUNCTION("""COMPUTED_VALUE"""),"")</f>
        <v/>
      </c>
      <c r="O655" s="36" t="str">
        <f ca="1">IFERROR(__xludf.DUMMYFUNCTION("""COMPUTED_VALUE"""),"")</f>
        <v/>
      </c>
      <c r="P655" s="36" t="str">
        <f ca="1">IFERROR(__xludf.DUMMYFUNCTION("""COMPUTED_VALUE"""),"")</f>
        <v/>
      </c>
      <c r="Q655" s="36" t="str">
        <f ca="1">IFERROR(__xludf.DUMMYFUNCTION("""COMPUTED_VALUE"""),"")</f>
        <v/>
      </c>
      <c r="R655" s="36" t="str">
        <f ca="1">IFERROR(__xludf.DUMMYFUNCTION("""COMPUTED_VALUE"""),"")</f>
        <v/>
      </c>
      <c r="S655" s="36" t="str">
        <f ca="1">IFERROR(__xludf.DUMMYFUNCTION("""COMPUTED_VALUE"""),"")</f>
        <v/>
      </c>
      <c r="T655" s="36" t="str">
        <f ca="1">IFERROR(__xludf.DUMMYFUNCTION("""COMPUTED_VALUE"""),"")</f>
        <v/>
      </c>
      <c r="U655" s="36" t="str">
        <f ca="1">IFERROR(__xludf.DUMMYFUNCTION("""COMPUTED_VALUE"""),"")</f>
        <v/>
      </c>
      <c r="V655" s="36" t="str">
        <f ca="1">IFERROR(__xludf.DUMMYFUNCTION("""COMPUTED_VALUE"""),"")</f>
        <v/>
      </c>
      <c r="W655" s="36" t="str">
        <f ca="1">IFERROR(__xludf.DUMMYFUNCTION("""COMPUTED_VALUE"""),"")</f>
        <v/>
      </c>
      <c r="X655" s="36"/>
      <c r="Y655" s="36"/>
      <c r="Z655" s="36"/>
    </row>
    <row r="656" spans="1:26" ht="12.75" hidden="1">
      <c r="A656" s="36" t="str">
        <f ca="1">IFERROR(__xludf.DUMMYFUNCTION("""COMPUTED_VALUE"""),"")</f>
        <v/>
      </c>
      <c r="B656" s="36" t="str">
        <f ca="1">IFERROR(__xludf.DUMMYFUNCTION("""COMPUTED_VALUE"""),"")</f>
        <v/>
      </c>
      <c r="C656" s="36" t="str">
        <f ca="1">IFERROR(__xludf.DUMMYFUNCTION("""COMPUTED_VALUE"""),"")</f>
        <v/>
      </c>
      <c r="D656" s="36" t="str">
        <f ca="1">IFERROR(__xludf.DUMMYFUNCTION("""COMPUTED_VALUE"""),"")</f>
        <v/>
      </c>
      <c r="E656" s="36" t="str">
        <f ca="1">IFERROR(__xludf.DUMMYFUNCTION("""COMPUTED_VALUE"""),"")</f>
        <v/>
      </c>
      <c r="F656" s="36" t="str">
        <f ca="1">IFERROR(__xludf.DUMMYFUNCTION("""COMPUTED_VALUE"""),"")</f>
        <v/>
      </c>
      <c r="G656" s="36" t="str">
        <f ca="1">IFERROR(__xludf.DUMMYFUNCTION("""COMPUTED_VALUE"""),"")</f>
        <v/>
      </c>
      <c r="H656" s="36" t="str">
        <f ca="1">IFERROR(__xludf.DUMMYFUNCTION("""COMPUTED_VALUE"""),"")</f>
        <v/>
      </c>
      <c r="I656" s="36" t="str">
        <f ca="1">IFERROR(__xludf.DUMMYFUNCTION("""COMPUTED_VALUE"""),"")</f>
        <v/>
      </c>
      <c r="J656" s="36" t="str">
        <f ca="1">IFERROR(__xludf.DUMMYFUNCTION("""COMPUTED_VALUE"""),"")</f>
        <v/>
      </c>
      <c r="K656" s="36" t="str">
        <f ca="1">IFERROR(__xludf.DUMMYFUNCTION("""COMPUTED_VALUE"""),"")</f>
        <v/>
      </c>
      <c r="L656" s="36" t="str">
        <f ca="1">IFERROR(__xludf.DUMMYFUNCTION("""COMPUTED_VALUE"""),"")</f>
        <v/>
      </c>
      <c r="M656" s="36" t="str">
        <f ca="1">IFERROR(__xludf.DUMMYFUNCTION("""COMPUTED_VALUE"""),"")</f>
        <v/>
      </c>
      <c r="N656" s="36" t="str">
        <f ca="1">IFERROR(__xludf.DUMMYFUNCTION("""COMPUTED_VALUE"""),"")</f>
        <v/>
      </c>
      <c r="O656" s="36" t="str">
        <f ca="1">IFERROR(__xludf.DUMMYFUNCTION("""COMPUTED_VALUE"""),"")</f>
        <v/>
      </c>
      <c r="P656" s="36" t="str">
        <f ca="1">IFERROR(__xludf.DUMMYFUNCTION("""COMPUTED_VALUE"""),"")</f>
        <v/>
      </c>
      <c r="Q656" s="36" t="str">
        <f ca="1">IFERROR(__xludf.DUMMYFUNCTION("""COMPUTED_VALUE"""),"")</f>
        <v/>
      </c>
      <c r="R656" s="36" t="str">
        <f ca="1">IFERROR(__xludf.DUMMYFUNCTION("""COMPUTED_VALUE"""),"")</f>
        <v/>
      </c>
      <c r="S656" s="36" t="str">
        <f ca="1">IFERROR(__xludf.DUMMYFUNCTION("""COMPUTED_VALUE"""),"")</f>
        <v/>
      </c>
      <c r="T656" s="36" t="str">
        <f ca="1">IFERROR(__xludf.DUMMYFUNCTION("""COMPUTED_VALUE"""),"")</f>
        <v/>
      </c>
      <c r="U656" s="36" t="str">
        <f ca="1">IFERROR(__xludf.DUMMYFUNCTION("""COMPUTED_VALUE"""),"")</f>
        <v/>
      </c>
      <c r="V656" s="36" t="str">
        <f ca="1">IFERROR(__xludf.DUMMYFUNCTION("""COMPUTED_VALUE"""),"")</f>
        <v/>
      </c>
      <c r="W656" s="36" t="str">
        <f ca="1">IFERROR(__xludf.DUMMYFUNCTION("""COMPUTED_VALUE"""),"")</f>
        <v/>
      </c>
      <c r="X656" s="36"/>
      <c r="Y656" s="36"/>
      <c r="Z656" s="36"/>
    </row>
    <row r="657" spans="1:26" ht="12.75" hidden="1">
      <c r="A657" s="36" t="str">
        <f ca="1">IFERROR(__xludf.DUMMYFUNCTION("""COMPUTED_VALUE"""),"")</f>
        <v/>
      </c>
      <c r="B657" s="36" t="str">
        <f ca="1">IFERROR(__xludf.DUMMYFUNCTION("""COMPUTED_VALUE"""),"")</f>
        <v/>
      </c>
      <c r="C657" s="36" t="str">
        <f ca="1">IFERROR(__xludf.DUMMYFUNCTION("""COMPUTED_VALUE"""),"")</f>
        <v/>
      </c>
      <c r="D657" s="36" t="str">
        <f ca="1">IFERROR(__xludf.DUMMYFUNCTION("""COMPUTED_VALUE"""),"")</f>
        <v/>
      </c>
      <c r="E657" s="36" t="str">
        <f ca="1">IFERROR(__xludf.DUMMYFUNCTION("""COMPUTED_VALUE"""),"")</f>
        <v/>
      </c>
      <c r="F657" s="36" t="str">
        <f ca="1">IFERROR(__xludf.DUMMYFUNCTION("""COMPUTED_VALUE"""),"")</f>
        <v/>
      </c>
      <c r="G657" s="36" t="str">
        <f ca="1">IFERROR(__xludf.DUMMYFUNCTION("""COMPUTED_VALUE"""),"")</f>
        <v/>
      </c>
      <c r="H657" s="36" t="str">
        <f ca="1">IFERROR(__xludf.DUMMYFUNCTION("""COMPUTED_VALUE"""),"")</f>
        <v/>
      </c>
      <c r="I657" s="36" t="str">
        <f ca="1">IFERROR(__xludf.DUMMYFUNCTION("""COMPUTED_VALUE"""),"")</f>
        <v/>
      </c>
      <c r="J657" s="36" t="str">
        <f ca="1">IFERROR(__xludf.DUMMYFUNCTION("""COMPUTED_VALUE"""),"")</f>
        <v/>
      </c>
      <c r="K657" s="36" t="str">
        <f ca="1">IFERROR(__xludf.DUMMYFUNCTION("""COMPUTED_VALUE"""),"")</f>
        <v/>
      </c>
      <c r="L657" s="36" t="str">
        <f ca="1">IFERROR(__xludf.DUMMYFUNCTION("""COMPUTED_VALUE"""),"")</f>
        <v/>
      </c>
      <c r="M657" s="36" t="str">
        <f ca="1">IFERROR(__xludf.DUMMYFUNCTION("""COMPUTED_VALUE"""),"")</f>
        <v/>
      </c>
      <c r="N657" s="36" t="str">
        <f ca="1">IFERROR(__xludf.DUMMYFUNCTION("""COMPUTED_VALUE"""),"")</f>
        <v/>
      </c>
      <c r="O657" s="36" t="str">
        <f ca="1">IFERROR(__xludf.DUMMYFUNCTION("""COMPUTED_VALUE"""),"")</f>
        <v/>
      </c>
      <c r="P657" s="36" t="str">
        <f ca="1">IFERROR(__xludf.DUMMYFUNCTION("""COMPUTED_VALUE"""),"")</f>
        <v/>
      </c>
      <c r="Q657" s="36" t="str">
        <f ca="1">IFERROR(__xludf.DUMMYFUNCTION("""COMPUTED_VALUE"""),"")</f>
        <v/>
      </c>
      <c r="R657" s="36" t="str">
        <f ca="1">IFERROR(__xludf.DUMMYFUNCTION("""COMPUTED_VALUE"""),"")</f>
        <v/>
      </c>
      <c r="S657" s="36" t="str">
        <f ca="1">IFERROR(__xludf.DUMMYFUNCTION("""COMPUTED_VALUE"""),"")</f>
        <v/>
      </c>
      <c r="T657" s="36" t="str">
        <f ca="1">IFERROR(__xludf.DUMMYFUNCTION("""COMPUTED_VALUE"""),"")</f>
        <v/>
      </c>
      <c r="U657" s="36" t="str">
        <f ca="1">IFERROR(__xludf.DUMMYFUNCTION("""COMPUTED_VALUE"""),"")</f>
        <v/>
      </c>
      <c r="V657" s="36" t="str">
        <f ca="1">IFERROR(__xludf.DUMMYFUNCTION("""COMPUTED_VALUE"""),"")</f>
        <v/>
      </c>
      <c r="W657" s="36" t="str">
        <f ca="1">IFERROR(__xludf.DUMMYFUNCTION("""COMPUTED_VALUE"""),"")</f>
        <v/>
      </c>
      <c r="X657" s="36"/>
      <c r="Y657" s="36"/>
      <c r="Z657" s="36"/>
    </row>
    <row r="658" spans="1:26" ht="12.75" hidden="1">
      <c r="A658" s="36" t="str">
        <f ca="1">IFERROR(__xludf.DUMMYFUNCTION("""COMPUTED_VALUE"""),"")</f>
        <v/>
      </c>
      <c r="B658" s="36" t="str">
        <f ca="1">IFERROR(__xludf.DUMMYFUNCTION("""COMPUTED_VALUE"""),"")</f>
        <v/>
      </c>
      <c r="C658" s="36" t="str">
        <f ca="1">IFERROR(__xludf.DUMMYFUNCTION("""COMPUTED_VALUE"""),"")</f>
        <v/>
      </c>
      <c r="D658" s="36" t="str">
        <f ca="1">IFERROR(__xludf.DUMMYFUNCTION("""COMPUTED_VALUE"""),"")</f>
        <v/>
      </c>
      <c r="E658" s="36" t="str">
        <f ca="1">IFERROR(__xludf.DUMMYFUNCTION("""COMPUTED_VALUE"""),"")</f>
        <v/>
      </c>
      <c r="F658" s="36" t="str">
        <f ca="1">IFERROR(__xludf.DUMMYFUNCTION("""COMPUTED_VALUE"""),"")</f>
        <v/>
      </c>
      <c r="G658" s="36" t="str">
        <f ca="1">IFERROR(__xludf.DUMMYFUNCTION("""COMPUTED_VALUE"""),"")</f>
        <v/>
      </c>
      <c r="H658" s="36" t="str">
        <f ca="1">IFERROR(__xludf.DUMMYFUNCTION("""COMPUTED_VALUE"""),"")</f>
        <v/>
      </c>
      <c r="I658" s="36" t="str">
        <f ca="1">IFERROR(__xludf.DUMMYFUNCTION("""COMPUTED_VALUE"""),"")</f>
        <v/>
      </c>
      <c r="J658" s="36" t="str">
        <f ca="1">IFERROR(__xludf.DUMMYFUNCTION("""COMPUTED_VALUE"""),"")</f>
        <v/>
      </c>
      <c r="K658" s="36" t="str">
        <f ca="1">IFERROR(__xludf.DUMMYFUNCTION("""COMPUTED_VALUE"""),"")</f>
        <v/>
      </c>
      <c r="L658" s="36" t="str">
        <f ca="1">IFERROR(__xludf.DUMMYFUNCTION("""COMPUTED_VALUE"""),"")</f>
        <v/>
      </c>
      <c r="M658" s="36" t="str">
        <f ca="1">IFERROR(__xludf.DUMMYFUNCTION("""COMPUTED_VALUE"""),"")</f>
        <v/>
      </c>
      <c r="N658" s="36" t="str">
        <f ca="1">IFERROR(__xludf.DUMMYFUNCTION("""COMPUTED_VALUE"""),"")</f>
        <v/>
      </c>
      <c r="O658" s="36" t="str">
        <f ca="1">IFERROR(__xludf.DUMMYFUNCTION("""COMPUTED_VALUE"""),"")</f>
        <v/>
      </c>
      <c r="P658" s="36" t="str">
        <f ca="1">IFERROR(__xludf.DUMMYFUNCTION("""COMPUTED_VALUE"""),"")</f>
        <v/>
      </c>
      <c r="Q658" s="36" t="str">
        <f ca="1">IFERROR(__xludf.DUMMYFUNCTION("""COMPUTED_VALUE"""),"")</f>
        <v/>
      </c>
      <c r="R658" s="36" t="str">
        <f ca="1">IFERROR(__xludf.DUMMYFUNCTION("""COMPUTED_VALUE"""),"")</f>
        <v/>
      </c>
      <c r="S658" s="36" t="str">
        <f ca="1">IFERROR(__xludf.DUMMYFUNCTION("""COMPUTED_VALUE"""),"")</f>
        <v/>
      </c>
      <c r="T658" s="36" t="str">
        <f ca="1">IFERROR(__xludf.DUMMYFUNCTION("""COMPUTED_VALUE"""),"")</f>
        <v/>
      </c>
      <c r="U658" s="36" t="str">
        <f ca="1">IFERROR(__xludf.DUMMYFUNCTION("""COMPUTED_VALUE"""),"")</f>
        <v/>
      </c>
      <c r="V658" s="36" t="str">
        <f ca="1">IFERROR(__xludf.DUMMYFUNCTION("""COMPUTED_VALUE"""),"")</f>
        <v/>
      </c>
      <c r="W658" s="36" t="str">
        <f ca="1">IFERROR(__xludf.DUMMYFUNCTION("""COMPUTED_VALUE"""),"")</f>
        <v/>
      </c>
      <c r="X658" s="36"/>
      <c r="Y658" s="36"/>
      <c r="Z658" s="36"/>
    </row>
    <row r="659" spans="1:26" ht="12.75" hidden="1">
      <c r="A659" s="36" t="str">
        <f ca="1">IFERROR(__xludf.DUMMYFUNCTION("""COMPUTED_VALUE"""),"")</f>
        <v/>
      </c>
      <c r="B659" s="36" t="str">
        <f ca="1">IFERROR(__xludf.DUMMYFUNCTION("""COMPUTED_VALUE"""),"")</f>
        <v/>
      </c>
      <c r="C659" s="36" t="str">
        <f ca="1">IFERROR(__xludf.DUMMYFUNCTION("""COMPUTED_VALUE"""),"")</f>
        <v/>
      </c>
      <c r="D659" s="36" t="str">
        <f ca="1">IFERROR(__xludf.DUMMYFUNCTION("""COMPUTED_VALUE"""),"")</f>
        <v/>
      </c>
      <c r="E659" s="36" t="str">
        <f ca="1">IFERROR(__xludf.DUMMYFUNCTION("""COMPUTED_VALUE"""),"")</f>
        <v/>
      </c>
      <c r="F659" s="36" t="str">
        <f ca="1">IFERROR(__xludf.DUMMYFUNCTION("""COMPUTED_VALUE"""),"")</f>
        <v/>
      </c>
      <c r="G659" s="36" t="str">
        <f ca="1">IFERROR(__xludf.DUMMYFUNCTION("""COMPUTED_VALUE"""),"")</f>
        <v/>
      </c>
      <c r="H659" s="36" t="str">
        <f ca="1">IFERROR(__xludf.DUMMYFUNCTION("""COMPUTED_VALUE"""),"")</f>
        <v/>
      </c>
      <c r="I659" s="36" t="str">
        <f ca="1">IFERROR(__xludf.DUMMYFUNCTION("""COMPUTED_VALUE"""),"")</f>
        <v/>
      </c>
      <c r="J659" s="36" t="str">
        <f ca="1">IFERROR(__xludf.DUMMYFUNCTION("""COMPUTED_VALUE"""),"")</f>
        <v/>
      </c>
      <c r="K659" s="36" t="str">
        <f ca="1">IFERROR(__xludf.DUMMYFUNCTION("""COMPUTED_VALUE"""),"")</f>
        <v/>
      </c>
      <c r="L659" s="36" t="str">
        <f ca="1">IFERROR(__xludf.DUMMYFUNCTION("""COMPUTED_VALUE"""),"")</f>
        <v/>
      </c>
      <c r="M659" s="36" t="str">
        <f ca="1">IFERROR(__xludf.DUMMYFUNCTION("""COMPUTED_VALUE"""),"")</f>
        <v/>
      </c>
      <c r="N659" s="36" t="str">
        <f ca="1">IFERROR(__xludf.DUMMYFUNCTION("""COMPUTED_VALUE"""),"")</f>
        <v/>
      </c>
      <c r="O659" s="36" t="str">
        <f ca="1">IFERROR(__xludf.DUMMYFUNCTION("""COMPUTED_VALUE"""),"")</f>
        <v/>
      </c>
      <c r="P659" s="36" t="str">
        <f ca="1">IFERROR(__xludf.DUMMYFUNCTION("""COMPUTED_VALUE"""),"")</f>
        <v/>
      </c>
      <c r="Q659" s="36" t="str">
        <f ca="1">IFERROR(__xludf.DUMMYFUNCTION("""COMPUTED_VALUE"""),"")</f>
        <v/>
      </c>
      <c r="R659" s="36" t="str">
        <f ca="1">IFERROR(__xludf.DUMMYFUNCTION("""COMPUTED_VALUE"""),"")</f>
        <v/>
      </c>
      <c r="S659" s="36" t="str">
        <f ca="1">IFERROR(__xludf.DUMMYFUNCTION("""COMPUTED_VALUE"""),"")</f>
        <v/>
      </c>
      <c r="T659" s="36" t="str">
        <f ca="1">IFERROR(__xludf.DUMMYFUNCTION("""COMPUTED_VALUE"""),"")</f>
        <v/>
      </c>
      <c r="U659" s="36" t="str">
        <f ca="1">IFERROR(__xludf.DUMMYFUNCTION("""COMPUTED_VALUE"""),"")</f>
        <v/>
      </c>
      <c r="V659" s="36" t="str">
        <f ca="1">IFERROR(__xludf.DUMMYFUNCTION("""COMPUTED_VALUE"""),"")</f>
        <v/>
      </c>
      <c r="W659" s="36" t="str">
        <f ca="1">IFERROR(__xludf.DUMMYFUNCTION("""COMPUTED_VALUE"""),"")</f>
        <v/>
      </c>
      <c r="X659" s="36"/>
      <c r="Y659" s="36"/>
      <c r="Z659" s="36"/>
    </row>
    <row r="660" spans="1:26" ht="12.75" hidden="1">
      <c r="A660" s="36" t="str">
        <f ca="1">IFERROR(__xludf.DUMMYFUNCTION("""COMPUTED_VALUE"""),"")</f>
        <v/>
      </c>
      <c r="B660" s="36" t="str">
        <f ca="1">IFERROR(__xludf.DUMMYFUNCTION("""COMPUTED_VALUE"""),"")</f>
        <v/>
      </c>
      <c r="C660" s="36" t="str">
        <f ca="1">IFERROR(__xludf.DUMMYFUNCTION("""COMPUTED_VALUE"""),"")</f>
        <v/>
      </c>
      <c r="D660" s="36" t="str">
        <f ca="1">IFERROR(__xludf.DUMMYFUNCTION("""COMPUTED_VALUE"""),"")</f>
        <v/>
      </c>
      <c r="E660" s="36" t="str">
        <f ca="1">IFERROR(__xludf.DUMMYFUNCTION("""COMPUTED_VALUE"""),"")</f>
        <v/>
      </c>
      <c r="F660" s="36" t="str">
        <f ca="1">IFERROR(__xludf.DUMMYFUNCTION("""COMPUTED_VALUE"""),"")</f>
        <v/>
      </c>
      <c r="G660" s="36" t="str">
        <f ca="1">IFERROR(__xludf.DUMMYFUNCTION("""COMPUTED_VALUE"""),"")</f>
        <v/>
      </c>
      <c r="H660" s="36" t="str">
        <f ca="1">IFERROR(__xludf.DUMMYFUNCTION("""COMPUTED_VALUE"""),"")</f>
        <v/>
      </c>
      <c r="I660" s="36" t="str">
        <f ca="1">IFERROR(__xludf.DUMMYFUNCTION("""COMPUTED_VALUE"""),"")</f>
        <v/>
      </c>
      <c r="J660" s="36" t="str">
        <f ca="1">IFERROR(__xludf.DUMMYFUNCTION("""COMPUTED_VALUE"""),"")</f>
        <v/>
      </c>
      <c r="K660" s="36" t="str">
        <f ca="1">IFERROR(__xludf.DUMMYFUNCTION("""COMPUTED_VALUE"""),"")</f>
        <v/>
      </c>
      <c r="L660" s="36" t="str">
        <f ca="1">IFERROR(__xludf.DUMMYFUNCTION("""COMPUTED_VALUE"""),"")</f>
        <v/>
      </c>
      <c r="M660" s="36" t="str">
        <f ca="1">IFERROR(__xludf.DUMMYFUNCTION("""COMPUTED_VALUE"""),"")</f>
        <v/>
      </c>
      <c r="N660" s="36" t="str">
        <f ca="1">IFERROR(__xludf.DUMMYFUNCTION("""COMPUTED_VALUE"""),"")</f>
        <v/>
      </c>
      <c r="O660" s="36" t="str">
        <f ca="1">IFERROR(__xludf.DUMMYFUNCTION("""COMPUTED_VALUE"""),"")</f>
        <v/>
      </c>
      <c r="P660" s="36" t="str">
        <f ca="1">IFERROR(__xludf.DUMMYFUNCTION("""COMPUTED_VALUE"""),"")</f>
        <v/>
      </c>
      <c r="Q660" s="36" t="str">
        <f ca="1">IFERROR(__xludf.DUMMYFUNCTION("""COMPUTED_VALUE"""),"")</f>
        <v/>
      </c>
      <c r="R660" s="36" t="str">
        <f ca="1">IFERROR(__xludf.DUMMYFUNCTION("""COMPUTED_VALUE"""),"")</f>
        <v/>
      </c>
      <c r="S660" s="36" t="str">
        <f ca="1">IFERROR(__xludf.DUMMYFUNCTION("""COMPUTED_VALUE"""),"")</f>
        <v/>
      </c>
      <c r="T660" s="36" t="str">
        <f ca="1">IFERROR(__xludf.DUMMYFUNCTION("""COMPUTED_VALUE"""),"")</f>
        <v/>
      </c>
      <c r="U660" s="36" t="str">
        <f ca="1">IFERROR(__xludf.DUMMYFUNCTION("""COMPUTED_VALUE"""),"")</f>
        <v/>
      </c>
      <c r="V660" s="36" t="str">
        <f ca="1">IFERROR(__xludf.DUMMYFUNCTION("""COMPUTED_VALUE"""),"")</f>
        <v/>
      </c>
      <c r="W660" s="36" t="str">
        <f ca="1">IFERROR(__xludf.DUMMYFUNCTION("""COMPUTED_VALUE"""),"")</f>
        <v/>
      </c>
      <c r="X660" s="36"/>
      <c r="Y660" s="36"/>
      <c r="Z660" s="36"/>
    </row>
    <row r="661" spans="1:26" ht="12.75" hidden="1">
      <c r="A661" s="36" t="str">
        <f ca="1">IFERROR(__xludf.DUMMYFUNCTION("""COMPUTED_VALUE"""),"")</f>
        <v/>
      </c>
      <c r="B661" s="36" t="str">
        <f ca="1">IFERROR(__xludf.DUMMYFUNCTION("""COMPUTED_VALUE"""),"")</f>
        <v/>
      </c>
      <c r="C661" s="36" t="str">
        <f ca="1">IFERROR(__xludf.DUMMYFUNCTION("""COMPUTED_VALUE"""),"")</f>
        <v/>
      </c>
      <c r="D661" s="36" t="str">
        <f ca="1">IFERROR(__xludf.DUMMYFUNCTION("""COMPUTED_VALUE"""),"")</f>
        <v/>
      </c>
      <c r="E661" s="36" t="str">
        <f ca="1">IFERROR(__xludf.DUMMYFUNCTION("""COMPUTED_VALUE"""),"")</f>
        <v/>
      </c>
      <c r="F661" s="36" t="str">
        <f ca="1">IFERROR(__xludf.DUMMYFUNCTION("""COMPUTED_VALUE"""),"")</f>
        <v/>
      </c>
      <c r="G661" s="36" t="str">
        <f ca="1">IFERROR(__xludf.DUMMYFUNCTION("""COMPUTED_VALUE"""),"")</f>
        <v/>
      </c>
      <c r="H661" s="36" t="str">
        <f ca="1">IFERROR(__xludf.DUMMYFUNCTION("""COMPUTED_VALUE"""),"")</f>
        <v/>
      </c>
      <c r="I661" s="36" t="str">
        <f ca="1">IFERROR(__xludf.DUMMYFUNCTION("""COMPUTED_VALUE"""),"")</f>
        <v/>
      </c>
      <c r="J661" s="36" t="str">
        <f ca="1">IFERROR(__xludf.DUMMYFUNCTION("""COMPUTED_VALUE"""),"")</f>
        <v/>
      </c>
      <c r="K661" s="36" t="str">
        <f ca="1">IFERROR(__xludf.DUMMYFUNCTION("""COMPUTED_VALUE"""),"")</f>
        <v/>
      </c>
      <c r="L661" s="36" t="str">
        <f ca="1">IFERROR(__xludf.DUMMYFUNCTION("""COMPUTED_VALUE"""),"")</f>
        <v/>
      </c>
      <c r="M661" s="36" t="str">
        <f ca="1">IFERROR(__xludf.DUMMYFUNCTION("""COMPUTED_VALUE"""),"")</f>
        <v/>
      </c>
      <c r="N661" s="36" t="str">
        <f ca="1">IFERROR(__xludf.DUMMYFUNCTION("""COMPUTED_VALUE"""),"")</f>
        <v/>
      </c>
      <c r="O661" s="36" t="str">
        <f ca="1">IFERROR(__xludf.DUMMYFUNCTION("""COMPUTED_VALUE"""),"")</f>
        <v/>
      </c>
      <c r="P661" s="36" t="str">
        <f ca="1">IFERROR(__xludf.DUMMYFUNCTION("""COMPUTED_VALUE"""),"")</f>
        <v/>
      </c>
      <c r="Q661" s="36" t="str">
        <f ca="1">IFERROR(__xludf.DUMMYFUNCTION("""COMPUTED_VALUE"""),"")</f>
        <v/>
      </c>
      <c r="R661" s="36" t="str">
        <f ca="1">IFERROR(__xludf.DUMMYFUNCTION("""COMPUTED_VALUE"""),"")</f>
        <v/>
      </c>
      <c r="S661" s="36" t="str">
        <f ca="1">IFERROR(__xludf.DUMMYFUNCTION("""COMPUTED_VALUE"""),"")</f>
        <v/>
      </c>
      <c r="T661" s="36" t="str">
        <f ca="1">IFERROR(__xludf.DUMMYFUNCTION("""COMPUTED_VALUE"""),"")</f>
        <v/>
      </c>
      <c r="U661" s="36" t="str">
        <f ca="1">IFERROR(__xludf.DUMMYFUNCTION("""COMPUTED_VALUE"""),"")</f>
        <v/>
      </c>
      <c r="V661" s="36" t="str">
        <f ca="1">IFERROR(__xludf.DUMMYFUNCTION("""COMPUTED_VALUE"""),"")</f>
        <v/>
      </c>
      <c r="W661" s="36" t="str">
        <f ca="1">IFERROR(__xludf.DUMMYFUNCTION("""COMPUTED_VALUE"""),"")</f>
        <v/>
      </c>
      <c r="X661" s="36"/>
      <c r="Y661" s="36"/>
      <c r="Z661" s="36"/>
    </row>
    <row r="662" spans="1:26" ht="12.75" hidden="1">
      <c r="A662" s="36" t="str">
        <f ca="1">IFERROR(__xludf.DUMMYFUNCTION("""COMPUTED_VALUE"""),"")</f>
        <v/>
      </c>
      <c r="B662" s="36" t="str">
        <f ca="1">IFERROR(__xludf.DUMMYFUNCTION("""COMPUTED_VALUE"""),"")</f>
        <v/>
      </c>
      <c r="C662" s="36" t="str">
        <f ca="1">IFERROR(__xludf.DUMMYFUNCTION("""COMPUTED_VALUE"""),"")</f>
        <v/>
      </c>
      <c r="D662" s="36" t="str">
        <f ca="1">IFERROR(__xludf.DUMMYFUNCTION("""COMPUTED_VALUE"""),"")</f>
        <v/>
      </c>
      <c r="E662" s="36" t="str">
        <f ca="1">IFERROR(__xludf.DUMMYFUNCTION("""COMPUTED_VALUE"""),"")</f>
        <v/>
      </c>
      <c r="F662" s="36" t="str">
        <f ca="1">IFERROR(__xludf.DUMMYFUNCTION("""COMPUTED_VALUE"""),"")</f>
        <v/>
      </c>
      <c r="G662" s="36" t="str">
        <f ca="1">IFERROR(__xludf.DUMMYFUNCTION("""COMPUTED_VALUE"""),"")</f>
        <v/>
      </c>
      <c r="H662" s="36" t="str">
        <f ca="1">IFERROR(__xludf.DUMMYFUNCTION("""COMPUTED_VALUE"""),"")</f>
        <v/>
      </c>
      <c r="I662" s="36" t="str">
        <f ca="1">IFERROR(__xludf.DUMMYFUNCTION("""COMPUTED_VALUE"""),"")</f>
        <v/>
      </c>
      <c r="J662" s="36" t="str">
        <f ca="1">IFERROR(__xludf.DUMMYFUNCTION("""COMPUTED_VALUE"""),"")</f>
        <v/>
      </c>
      <c r="K662" s="36" t="str">
        <f ca="1">IFERROR(__xludf.DUMMYFUNCTION("""COMPUTED_VALUE"""),"")</f>
        <v/>
      </c>
      <c r="L662" s="36" t="str">
        <f ca="1">IFERROR(__xludf.DUMMYFUNCTION("""COMPUTED_VALUE"""),"")</f>
        <v/>
      </c>
      <c r="M662" s="36" t="str">
        <f ca="1">IFERROR(__xludf.DUMMYFUNCTION("""COMPUTED_VALUE"""),"")</f>
        <v/>
      </c>
      <c r="N662" s="36" t="str">
        <f ca="1">IFERROR(__xludf.DUMMYFUNCTION("""COMPUTED_VALUE"""),"")</f>
        <v/>
      </c>
      <c r="O662" s="36" t="str">
        <f ca="1">IFERROR(__xludf.DUMMYFUNCTION("""COMPUTED_VALUE"""),"")</f>
        <v/>
      </c>
      <c r="P662" s="36" t="str">
        <f ca="1">IFERROR(__xludf.DUMMYFUNCTION("""COMPUTED_VALUE"""),"")</f>
        <v/>
      </c>
      <c r="Q662" s="36" t="str">
        <f ca="1">IFERROR(__xludf.DUMMYFUNCTION("""COMPUTED_VALUE"""),"")</f>
        <v/>
      </c>
      <c r="R662" s="36" t="str">
        <f ca="1">IFERROR(__xludf.DUMMYFUNCTION("""COMPUTED_VALUE"""),"")</f>
        <v/>
      </c>
      <c r="S662" s="36" t="str">
        <f ca="1">IFERROR(__xludf.DUMMYFUNCTION("""COMPUTED_VALUE"""),"")</f>
        <v/>
      </c>
      <c r="T662" s="36" t="str">
        <f ca="1">IFERROR(__xludf.DUMMYFUNCTION("""COMPUTED_VALUE"""),"")</f>
        <v/>
      </c>
      <c r="U662" s="36" t="str">
        <f ca="1">IFERROR(__xludf.DUMMYFUNCTION("""COMPUTED_VALUE"""),"")</f>
        <v/>
      </c>
      <c r="V662" s="36" t="str">
        <f ca="1">IFERROR(__xludf.DUMMYFUNCTION("""COMPUTED_VALUE"""),"")</f>
        <v/>
      </c>
      <c r="W662" s="36" t="str">
        <f ca="1">IFERROR(__xludf.DUMMYFUNCTION("""COMPUTED_VALUE"""),"")</f>
        <v/>
      </c>
      <c r="X662" s="36"/>
      <c r="Y662" s="36"/>
      <c r="Z662" s="36"/>
    </row>
    <row r="663" spans="1:26" ht="12.75" hidden="1">
      <c r="A663" s="36" t="str">
        <f ca="1">IFERROR(__xludf.DUMMYFUNCTION("""COMPUTED_VALUE"""),"")</f>
        <v/>
      </c>
      <c r="B663" s="36" t="str">
        <f ca="1">IFERROR(__xludf.DUMMYFUNCTION("""COMPUTED_VALUE"""),"")</f>
        <v/>
      </c>
      <c r="C663" s="36" t="str">
        <f ca="1">IFERROR(__xludf.DUMMYFUNCTION("""COMPUTED_VALUE"""),"")</f>
        <v/>
      </c>
      <c r="D663" s="36" t="str">
        <f ca="1">IFERROR(__xludf.DUMMYFUNCTION("""COMPUTED_VALUE"""),"")</f>
        <v/>
      </c>
      <c r="E663" s="36" t="str">
        <f ca="1">IFERROR(__xludf.DUMMYFUNCTION("""COMPUTED_VALUE"""),"")</f>
        <v/>
      </c>
      <c r="F663" s="36" t="str">
        <f ca="1">IFERROR(__xludf.DUMMYFUNCTION("""COMPUTED_VALUE"""),"")</f>
        <v/>
      </c>
      <c r="G663" s="36" t="str">
        <f ca="1">IFERROR(__xludf.DUMMYFUNCTION("""COMPUTED_VALUE"""),"")</f>
        <v/>
      </c>
      <c r="H663" s="36" t="str">
        <f ca="1">IFERROR(__xludf.DUMMYFUNCTION("""COMPUTED_VALUE"""),"")</f>
        <v/>
      </c>
      <c r="I663" s="36" t="str">
        <f ca="1">IFERROR(__xludf.DUMMYFUNCTION("""COMPUTED_VALUE"""),"")</f>
        <v/>
      </c>
      <c r="J663" s="36" t="str">
        <f ca="1">IFERROR(__xludf.DUMMYFUNCTION("""COMPUTED_VALUE"""),"")</f>
        <v/>
      </c>
      <c r="K663" s="36" t="str">
        <f ca="1">IFERROR(__xludf.DUMMYFUNCTION("""COMPUTED_VALUE"""),"")</f>
        <v/>
      </c>
      <c r="L663" s="36" t="str">
        <f ca="1">IFERROR(__xludf.DUMMYFUNCTION("""COMPUTED_VALUE"""),"")</f>
        <v/>
      </c>
      <c r="M663" s="36" t="str">
        <f ca="1">IFERROR(__xludf.DUMMYFUNCTION("""COMPUTED_VALUE"""),"")</f>
        <v/>
      </c>
      <c r="N663" s="36" t="str">
        <f ca="1">IFERROR(__xludf.DUMMYFUNCTION("""COMPUTED_VALUE"""),"")</f>
        <v/>
      </c>
      <c r="O663" s="36" t="str">
        <f ca="1">IFERROR(__xludf.DUMMYFUNCTION("""COMPUTED_VALUE"""),"")</f>
        <v/>
      </c>
      <c r="P663" s="36" t="str">
        <f ca="1">IFERROR(__xludf.DUMMYFUNCTION("""COMPUTED_VALUE"""),"")</f>
        <v/>
      </c>
      <c r="Q663" s="36" t="str">
        <f ca="1">IFERROR(__xludf.DUMMYFUNCTION("""COMPUTED_VALUE"""),"")</f>
        <v/>
      </c>
      <c r="R663" s="36" t="str">
        <f ca="1">IFERROR(__xludf.DUMMYFUNCTION("""COMPUTED_VALUE"""),"")</f>
        <v/>
      </c>
      <c r="S663" s="36" t="str">
        <f ca="1">IFERROR(__xludf.DUMMYFUNCTION("""COMPUTED_VALUE"""),"")</f>
        <v/>
      </c>
      <c r="T663" s="36" t="str">
        <f ca="1">IFERROR(__xludf.DUMMYFUNCTION("""COMPUTED_VALUE"""),"")</f>
        <v/>
      </c>
      <c r="U663" s="36" t="str">
        <f ca="1">IFERROR(__xludf.DUMMYFUNCTION("""COMPUTED_VALUE"""),"")</f>
        <v/>
      </c>
      <c r="V663" s="36" t="str">
        <f ca="1">IFERROR(__xludf.DUMMYFUNCTION("""COMPUTED_VALUE"""),"")</f>
        <v/>
      </c>
      <c r="W663" s="36" t="str">
        <f ca="1">IFERROR(__xludf.DUMMYFUNCTION("""COMPUTED_VALUE"""),"")</f>
        <v/>
      </c>
      <c r="X663" s="36"/>
      <c r="Y663" s="36"/>
      <c r="Z663" s="36"/>
    </row>
    <row r="664" spans="1:26" ht="12.75" hidden="1">
      <c r="A664" s="36" t="str">
        <f ca="1">IFERROR(__xludf.DUMMYFUNCTION("""COMPUTED_VALUE"""),"")</f>
        <v/>
      </c>
      <c r="B664" s="36" t="str">
        <f ca="1">IFERROR(__xludf.DUMMYFUNCTION("""COMPUTED_VALUE"""),"")</f>
        <v/>
      </c>
      <c r="C664" s="36" t="str">
        <f ca="1">IFERROR(__xludf.DUMMYFUNCTION("""COMPUTED_VALUE"""),"")</f>
        <v/>
      </c>
      <c r="D664" s="36" t="str">
        <f ca="1">IFERROR(__xludf.DUMMYFUNCTION("""COMPUTED_VALUE"""),"")</f>
        <v/>
      </c>
      <c r="E664" s="36" t="str">
        <f ca="1">IFERROR(__xludf.DUMMYFUNCTION("""COMPUTED_VALUE"""),"")</f>
        <v/>
      </c>
      <c r="F664" s="36" t="str">
        <f ca="1">IFERROR(__xludf.DUMMYFUNCTION("""COMPUTED_VALUE"""),"")</f>
        <v/>
      </c>
      <c r="G664" s="36" t="str">
        <f ca="1">IFERROR(__xludf.DUMMYFUNCTION("""COMPUTED_VALUE"""),"")</f>
        <v/>
      </c>
      <c r="H664" s="36" t="str">
        <f ca="1">IFERROR(__xludf.DUMMYFUNCTION("""COMPUTED_VALUE"""),"")</f>
        <v/>
      </c>
      <c r="I664" s="36" t="str">
        <f ca="1">IFERROR(__xludf.DUMMYFUNCTION("""COMPUTED_VALUE"""),"")</f>
        <v/>
      </c>
      <c r="J664" s="36" t="str">
        <f ca="1">IFERROR(__xludf.DUMMYFUNCTION("""COMPUTED_VALUE"""),"")</f>
        <v/>
      </c>
      <c r="K664" s="36" t="str">
        <f ca="1">IFERROR(__xludf.DUMMYFUNCTION("""COMPUTED_VALUE"""),"")</f>
        <v/>
      </c>
      <c r="L664" s="36" t="str">
        <f ca="1">IFERROR(__xludf.DUMMYFUNCTION("""COMPUTED_VALUE"""),"")</f>
        <v/>
      </c>
      <c r="M664" s="36" t="str">
        <f ca="1">IFERROR(__xludf.DUMMYFUNCTION("""COMPUTED_VALUE"""),"")</f>
        <v/>
      </c>
      <c r="N664" s="36" t="str">
        <f ca="1">IFERROR(__xludf.DUMMYFUNCTION("""COMPUTED_VALUE"""),"")</f>
        <v/>
      </c>
      <c r="O664" s="36" t="str">
        <f ca="1">IFERROR(__xludf.DUMMYFUNCTION("""COMPUTED_VALUE"""),"")</f>
        <v/>
      </c>
      <c r="P664" s="36" t="str">
        <f ca="1">IFERROR(__xludf.DUMMYFUNCTION("""COMPUTED_VALUE"""),"")</f>
        <v/>
      </c>
      <c r="Q664" s="36" t="str">
        <f ca="1">IFERROR(__xludf.DUMMYFUNCTION("""COMPUTED_VALUE"""),"")</f>
        <v/>
      </c>
      <c r="R664" s="36" t="str">
        <f ca="1">IFERROR(__xludf.DUMMYFUNCTION("""COMPUTED_VALUE"""),"")</f>
        <v/>
      </c>
      <c r="S664" s="36" t="str">
        <f ca="1">IFERROR(__xludf.DUMMYFUNCTION("""COMPUTED_VALUE"""),"")</f>
        <v/>
      </c>
      <c r="T664" s="36" t="str">
        <f ca="1">IFERROR(__xludf.DUMMYFUNCTION("""COMPUTED_VALUE"""),"")</f>
        <v/>
      </c>
      <c r="U664" s="36" t="str">
        <f ca="1">IFERROR(__xludf.DUMMYFUNCTION("""COMPUTED_VALUE"""),"")</f>
        <v/>
      </c>
      <c r="V664" s="36" t="str">
        <f ca="1">IFERROR(__xludf.DUMMYFUNCTION("""COMPUTED_VALUE"""),"")</f>
        <v/>
      </c>
      <c r="W664" s="36" t="str">
        <f ca="1">IFERROR(__xludf.DUMMYFUNCTION("""COMPUTED_VALUE"""),"")</f>
        <v/>
      </c>
      <c r="X664" s="36"/>
      <c r="Y664" s="36"/>
      <c r="Z664" s="36"/>
    </row>
    <row r="665" spans="1:26" ht="12.75" hidden="1">
      <c r="A665" s="36" t="str">
        <f ca="1">IFERROR(__xludf.DUMMYFUNCTION("""COMPUTED_VALUE"""),"")</f>
        <v/>
      </c>
      <c r="B665" s="36" t="str">
        <f ca="1">IFERROR(__xludf.DUMMYFUNCTION("""COMPUTED_VALUE"""),"")</f>
        <v/>
      </c>
      <c r="C665" s="36" t="str">
        <f ca="1">IFERROR(__xludf.DUMMYFUNCTION("""COMPUTED_VALUE"""),"")</f>
        <v/>
      </c>
      <c r="D665" s="36" t="str">
        <f ca="1">IFERROR(__xludf.DUMMYFUNCTION("""COMPUTED_VALUE"""),"")</f>
        <v/>
      </c>
      <c r="E665" s="36" t="str">
        <f ca="1">IFERROR(__xludf.DUMMYFUNCTION("""COMPUTED_VALUE"""),"")</f>
        <v/>
      </c>
      <c r="F665" s="36" t="str">
        <f ca="1">IFERROR(__xludf.DUMMYFUNCTION("""COMPUTED_VALUE"""),"")</f>
        <v/>
      </c>
      <c r="G665" s="36" t="str">
        <f ca="1">IFERROR(__xludf.DUMMYFUNCTION("""COMPUTED_VALUE"""),"")</f>
        <v/>
      </c>
      <c r="H665" s="36" t="str">
        <f ca="1">IFERROR(__xludf.DUMMYFUNCTION("""COMPUTED_VALUE"""),"")</f>
        <v/>
      </c>
      <c r="I665" s="36" t="str">
        <f ca="1">IFERROR(__xludf.DUMMYFUNCTION("""COMPUTED_VALUE"""),"")</f>
        <v/>
      </c>
      <c r="J665" s="36" t="str">
        <f ca="1">IFERROR(__xludf.DUMMYFUNCTION("""COMPUTED_VALUE"""),"")</f>
        <v/>
      </c>
      <c r="K665" s="36" t="str">
        <f ca="1">IFERROR(__xludf.DUMMYFUNCTION("""COMPUTED_VALUE"""),"")</f>
        <v/>
      </c>
      <c r="L665" s="36" t="str">
        <f ca="1">IFERROR(__xludf.DUMMYFUNCTION("""COMPUTED_VALUE"""),"")</f>
        <v/>
      </c>
      <c r="M665" s="36" t="str">
        <f ca="1">IFERROR(__xludf.DUMMYFUNCTION("""COMPUTED_VALUE"""),"")</f>
        <v/>
      </c>
      <c r="N665" s="36" t="str">
        <f ca="1">IFERROR(__xludf.DUMMYFUNCTION("""COMPUTED_VALUE"""),"")</f>
        <v/>
      </c>
      <c r="O665" s="36" t="str">
        <f ca="1">IFERROR(__xludf.DUMMYFUNCTION("""COMPUTED_VALUE"""),"")</f>
        <v/>
      </c>
      <c r="P665" s="36" t="str">
        <f ca="1">IFERROR(__xludf.DUMMYFUNCTION("""COMPUTED_VALUE"""),"")</f>
        <v/>
      </c>
      <c r="Q665" s="36" t="str">
        <f ca="1">IFERROR(__xludf.DUMMYFUNCTION("""COMPUTED_VALUE"""),"")</f>
        <v/>
      </c>
      <c r="R665" s="36" t="str">
        <f ca="1">IFERROR(__xludf.DUMMYFUNCTION("""COMPUTED_VALUE"""),"")</f>
        <v/>
      </c>
      <c r="S665" s="36" t="str">
        <f ca="1">IFERROR(__xludf.DUMMYFUNCTION("""COMPUTED_VALUE"""),"")</f>
        <v/>
      </c>
      <c r="T665" s="36" t="str">
        <f ca="1">IFERROR(__xludf.DUMMYFUNCTION("""COMPUTED_VALUE"""),"")</f>
        <v/>
      </c>
      <c r="U665" s="36" t="str">
        <f ca="1">IFERROR(__xludf.DUMMYFUNCTION("""COMPUTED_VALUE"""),"")</f>
        <v/>
      </c>
      <c r="V665" s="36" t="str">
        <f ca="1">IFERROR(__xludf.DUMMYFUNCTION("""COMPUTED_VALUE"""),"")</f>
        <v/>
      </c>
      <c r="W665" s="36" t="str">
        <f ca="1">IFERROR(__xludf.DUMMYFUNCTION("""COMPUTED_VALUE"""),"")</f>
        <v/>
      </c>
      <c r="X665" s="36"/>
      <c r="Y665" s="36"/>
      <c r="Z665" s="36"/>
    </row>
    <row r="666" spans="1:26" ht="12.75" hidden="1">
      <c r="A666" s="36" t="str">
        <f ca="1">IFERROR(__xludf.DUMMYFUNCTION("""COMPUTED_VALUE"""),"")</f>
        <v/>
      </c>
      <c r="B666" s="36" t="str">
        <f ca="1">IFERROR(__xludf.DUMMYFUNCTION("""COMPUTED_VALUE"""),"")</f>
        <v/>
      </c>
      <c r="C666" s="36" t="str">
        <f ca="1">IFERROR(__xludf.DUMMYFUNCTION("""COMPUTED_VALUE"""),"")</f>
        <v/>
      </c>
      <c r="D666" s="36" t="str">
        <f ca="1">IFERROR(__xludf.DUMMYFUNCTION("""COMPUTED_VALUE"""),"")</f>
        <v/>
      </c>
      <c r="E666" s="36" t="str">
        <f ca="1">IFERROR(__xludf.DUMMYFUNCTION("""COMPUTED_VALUE"""),"")</f>
        <v/>
      </c>
      <c r="F666" s="36" t="str">
        <f ca="1">IFERROR(__xludf.DUMMYFUNCTION("""COMPUTED_VALUE"""),"")</f>
        <v/>
      </c>
      <c r="G666" s="36" t="str">
        <f ca="1">IFERROR(__xludf.DUMMYFUNCTION("""COMPUTED_VALUE"""),"")</f>
        <v/>
      </c>
      <c r="H666" s="36" t="str">
        <f ca="1">IFERROR(__xludf.DUMMYFUNCTION("""COMPUTED_VALUE"""),"")</f>
        <v/>
      </c>
      <c r="I666" s="36" t="str">
        <f ca="1">IFERROR(__xludf.DUMMYFUNCTION("""COMPUTED_VALUE"""),"")</f>
        <v/>
      </c>
      <c r="J666" s="36" t="str">
        <f ca="1">IFERROR(__xludf.DUMMYFUNCTION("""COMPUTED_VALUE"""),"")</f>
        <v/>
      </c>
      <c r="K666" s="36" t="str">
        <f ca="1">IFERROR(__xludf.DUMMYFUNCTION("""COMPUTED_VALUE"""),"")</f>
        <v/>
      </c>
      <c r="L666" s="36" t="str">
        <f ca="1">IFERROR(__xludf.DUMMYFUNCTION("""COMPUTED_VALUE"""),"")</f>
        <v/>
      </c>
      <c r="M666" s="36" t="str">
        <f ca="1">IFERROR(__xludf.DUMMYFUNCTION("""COMPUTED_VALUE"""),"")</f>
        <v/>
      </c>
      <c r="N666" s="36" t="str">
        <f ca="1">IFERROR(__xludf.DUMMYFUNCTION("""COMPUTED_VALUE"""),"")</f>
        <v/>
      </c>
      <c r="O666" s="36" t="str">
        <f ca="1">IFERROR(__xludf.DUMMYFUNCTION("""COMPUTED_VALUE"""),"")</f>
        <v/>
      </c>
      <c r="P666" s="36" t="str">
        <f ca="1">IFERROR(__xludf.DUMMYFUNCTION("""COMPUTED_VALUE"""),"")</f>
        <v/>
      </c>
      <c r="Q666" s="36" t="str">
        <f ca="1">IFERROR(__xludf.DUMMYFUNCTION("""COMPUTED_VALUE"""),"")</f>
        <v/>
      </c>
      <c r="R666" s="36" t="str">
        <f ca="1">IFERROR(__xludf.DUMMYFUNCTION("""COMPUTED_VALUE"""),"")</f>
        <v/>
      </c>
      <c r="S666" s="36" t="str">
        <f ca="1">IFERROR(__xludf.DUMMYFUNCTION("""COMPUTED_VALUE"""),"")</f>
        <v/>
      </c>
      <c r="T666" s="36" t="str">
        <f ca="1">IFERROR(__xludf.DUMMYFUNCTION("""COMPUTED_VALUE"""),"")</f>
        <v/>
      </c>
      <c r="U666" s="36" t="str">
        <f ca="1">IFERROR(__xludf.DUMMYFUNCTION("""COMPUTED_VALUE"""),"")</f>
        <v/>
      </c>
      <c r="V666" s="36" t="str">
        <f ca="1">IFERROR(__xludf.DUMMYFUNCTION("""COMPUTED_VALUE"""),"")</f>
        <v/>
      </c>
      <c r="W666" s="36" t="str">
        <f ca="1">IFERROR(__xludf.DUMMYFUNCTION("""COMPUTED_VALUE"""),"")</f>
        <v/>
      </c>
      <c r="X666" s="36"/>
      <c r="Y666" s="36"/>
      <c r="Z666" s="36"/>
    </row>
    <row r="667" spans="1:26" ht="12.75" hidden="1">
      <c r="A667" s="36" t="str">
        <f ca="1">IFERROR(__xludf.DUMMYFUNCTION("""COMPUTED_VALUE"""),"")</f>
        <v/>
      </c>
      <c r="B667" s="36" t="str">
        <f ca="1">IFERROR(__xludf.DUMMYFUNCTION("""COMPUTED_VALUE"""),"")</f>
        <v/>
      </c>
      <c r="C667" s="36" t="str">
        <f ca="1">IFERROR(__xludf.DUMMYFUNCTION("""COMPUTED_VALUE"""),"")</f>
        <v/>
      </c>
      <c r="D667" s="36" t="str">
        <f ca="1">IFERROR(__xludf.DUMMYFUNCTION("""COMPUTED_VALUE"""),"")</f>
        <v/>
      </c>
      <c r="E667" s="36" t="str">
        <f ca="1">IFERROR(__xludf.DUMMYFUNCTION("""COMPUTED_VALUE"""),"")</f>
        <v/>
      </c>
      <c r="F667" s="36" t="str">
        <f ca="1">IFERROR(__xludf.DUMMYFUNCTION("""COMPUTED_VALUE"""),"")</f>
        <v/>
      </c>
      <c r="G667" s="36" t="str">
        <f ca="1">IFERROR(__xludf.DUMMYFUNCTION("""COMPUTED_VALUE"""),"")</f>
        <v/>
      </c>
      <c r="H667" s="36" t="str">
        <f ca="1">IFERROR(__xludf.DUMMYFUNCTION("""COMPUTED_VALUE"""),"")</f>
        <v/>
      </c>
      <c r="I667" s="36" t="str">
        <f ca="1">IFERROR(__xludf.DUMMYFUNCTION("""COMPUTED_VALUE"""),"")</f>
        <v/>
      </c>
      <c r="J667" s="36" t="str">
        <f ca="1">IFERROR(__xludf.DUMMYFUNCTION("""COMPUTED_VALUE"""),"")</f>
        <v/>
      </c>
      <c r="K667" s="36" t="str">
        <f ca="1">IFERROR(__xludf.DUMMYFUNCTION("""COMPUTED_VALUE"""),"")</f>
        <v/>
      </c>
      <c r="L667" s="36" t="str">
        <f ca="1">IFERROR(__xludf.DUMMYFUNCTION("""COMPUTED_VALUE"""),"")</f>
        <v/>
      </c>
      <c r="M667" s="36" t="str">
        <f ca="1">IFERROR(__xludf.DUMMYFUNCTION("""COMPUTED_VALUE"""),"")</f>
        <v/>
      </c>
      <c r="N667" s="36" t="str">
        <f ca="1">IFERROR(__xludf.DUMMYFUNCTION("""COMPUTED_VALUE"""),"")</f>
        <v/>
      </c>
      <c r="O667" s="36" t="str">
        <f ca="1">IFERROR(__xludf.DUMMYFUNCTION("""COMPUTED_VALUE"""),"")</f>
        <v/>
      </c>
      <c r="P667" s="36" t="str">
        <f ca="1">IFERROR(__xludf.DUMMYFUNCTION("""COMPUTED_VALUE"""),"")</f>
        <v/>
      </c>
      <c r="Q667" s="36" t="str">
        <f ca="1">IFERROR(__xludf.DUMMYFUNCTION("""COMPUTED_VALUE"""),"")</f>
        <v/>
      </c>
      <c r="R667" s="36" t="str">
        <f ca="1">IFERROR(__xludf.DUMMYFUNCTION("""COMPUTED_VALUE"""),"")</f>
        <v/>
      </c>
      <c r="S667" s="36" t="str">
        <f ca="1">IFERROR(__xludf.DUMMYFUNCTION("""COMPUTED_VALUE"""),"")</f>
        <v/>
      </c>
      <c r="T667" s="36" t="str">
        <f ca="1">IFERROR(__xludf.DUMMYFUNCTION("""COMPUTED_VALUE"""),"")</f>
        <v/>
      </c>
      <c r="U667" s="36" t="str">
        <f ca="1">IFERROR(__xludf.DUMMYFUNCTION("""COMPUTED_VALUE"""),"")</f>
        <v/>
      </c>
      <c r="V667" s="36" t="str">
        <f ca="1">IFERROR(__xludf.DUMMYFUNCTION("""COMPUTED_VALUE"""),"")</f>
        <v/>
      </c>
      <c r="W667" s="36" t="str">
        <f ca="1">IFERROR(__xludf.DUMMYFUNCTION("""COMPUTED_VALUE"""),"")</f>
        <v/>
      </c>
      <c r="X667" s="36"/>
      <c r="Y667" s="36"/>
      <c r="Z667" s="36"/>
    </row>
    <row r="668" spans="1:26" ht="12.75" hidden="1">
      <c r="A668" s="36" t="str">
        <f ca="1">IFERROR(__xludf.DUMMYFUNCTION("""COMPUTED_VALUE"""),"")</f>
        <v/>
      </c>
      <c r="B668" s="36" t="str">
        <f ca="1">IFERROR(__xludf.DUMMYFUNCTION("""COMPUTED_VALUE"""),"")</f>
        <v/>
      </c>
      <c r="C668" s="36" t="str">
        <f ca="1">IFERROR(__xludf.DUMMYFUNCTION("""COMPUTED_VALUE"""),"")</f>
        <v/>
      </c>
      <c r="D668" s="36" t="str">
        <f ca="1">IFERROR(__xludf.DUMMYFUNCTION("""COMPUTED_VALUE"""),"")</f>
        <v/>
      </c>
      <c r="E668" s="36" t="str">
        <f ca="1">IFERROR(__xludf.DUMMYFUNCTION("""COMPUTED_VALUE"""),"")</f>
        <v/>
      </c>
      <c r="F668" s="36" t="str">
        <f ca="1">IFERROR(__xludf.DUMMYFUNCTION("""COMPUTED_VALUE"""),"")</f>
        <v/>
      </c>
      <c r="G668" s="36" t="str">
        <f ca="1">IFERROR(__xludf.DUMMYFUNCTION("""COMPUTED_VALUE"""),"")</f>
        <v/>
      </c>
      <c r="H668" s="36" t="str">
        <f ca="1">IFERROR(__xludf.DUMMYFUNCTION("""COMPUTED_VALUE"""),"")</f>
        <v/>
      </c>
      <c r="I668" s="36" t="str">
        <f ca="1">IFERROR(__xludf.DUMMYFUNCTION("""COMPUTED_VALUE"""),"")</f>
        <v/>
      </c>
      <c r="J668" s="36" t="str">
        <f ca="1">IFERROR(__xludf.DUMMYFUNCTION("""COMPUTED_VALUE"""),"")</f>
        <v/>
      </c>
      <c r="K668" s="36" t="str">
        <f ca="1">IFERROR(__xludf.DUMMYFUNCTION("""COMPUTED_VALUE"""),"")</f>
        <v/>
      </c>
      <c r="L668" s="36" t="str">
        <f ca="1">IFERROR(__xludf.DUMMYFUNCTION("""COMPUTED_VALUE"""),"")</f>
        <v/>
      </c>
      <c r="M668" s="36" t="str">
        <f ca="1">IFERROR(__xludf.DUMMYFUNCTION("""COMPUTED_VALUE"""),"")</f>
        <v/>
      </c>
      <c r="N668" s="36" t="str">
        <f ca="1">IFERROR(__xludf.DUMMYFUNCTION("""COMPUTED_VALUE"""),"")</f>
        <v/>
      </c>
      <c r="O668" s="36" t="str">
        <f ca="1">IFERROR(__xludf.DUMMYFUNCTION("""COMPUTED_VALUE"""),"")</f>
        <v/>
      </c>
      <c r="P668" s="36" t="str">
        <f ca="1">IFERROR(__xludf.DUMMYFUNCTION("""COMPUTED_VALUE"""),"")</f>
        <v/>
      </c>
      <c r="Q668" s="36" t="str">
        <f ca="1">IFERROR(__xludf.DUMMYFUNCTION("""COMPUTED_VALUE"""),"")</f>
        <v/>
      </c>
      <c r="R668" s="36" t="str">
        <f ca="1">IFERROR(__xludf.DUMMYFUNCTION("""COMPUTED_VALUE"""),"")</f>
        <v/>
      </c>
      <c r="S668" s="36" t="str">
        <f ca="1">IFERROR(__xludf.DUMMYFUNCTION("""COMPUTED_VALUE"""),"")</f>
        <v/>
      </c>
      <c r="T668" s="36" t="str">
        <f ca="1">IFERROR(__xludf.DUMMYFUNCTION("""COMPUTED_VALUE"""),"")</f>
        <v/>
      </c>
      <c r="U668" s="36" t="str">
        <f ca="1">IFERROR(__xludf.DUMMYFUNCTION("""COMPUTED_VALUE"""),"")</f>
        <v/>
      </c>
      <c r="V668" s="36" t="str">
        <f ca="1">IFERROR(__xludf.DUMMYFUNCTION("""COMPUTED_VALUE"""),"")</f>
        <v/>
      </c>
      <c r="W668" s="36" t="str">
        <f ca="1">IFERROR(__xludf.DUMMYFUNCTION("""COMPUTED_VALUE"""),"")</f>
        <v/>
      </c>
      <c r="X668" s="36"/>
      <c r="Y668" s="36"/>
      <c r="Z668" s="36"/>
    </row>
    <row r="669" spans="1:26" ht="12.75" hidden="1">
      <c r="A669" s="36" t="str">
        <f ca="1">IFERROR(__xludf.DUMMYFUNCTION("""COMPUTED_VALUE"""),"")</f>
        <v/>
      </c>
      <c r="B669" s="36" t="str">
        <f ca="1">IFERROR(__xludf.DUMMYFUNCTION("""COMPUTED_VALUE"""),"")</f>
        <v/>
      </c>
      <c r="C669" s="36" t="str">
        <f ca="1">IFERROR(__xludf.DUMMYFUNCTION("""COMPUTED_VALUE"""),"")</f>
        <v/>
      </c>
      <c r="D669" s="36" t="str">
        <f ca="1">IFERROR(__xludf.DUMMYFUNCTION("""COMPUTED_VALUE"""),"")</f>
        <v/>
      </c>
      <c r="E669" s="36" t="str">
        <f ca="1">IFERROR(__xludf.DUMMYFUNCTION("""COMPUTED_VALUE"""),"")</f>
        <v/>
      </c>
      <c r="F669" s="36" t="str">
        <f ca="1">IFERROR(__xludf.DUMMYFUNCTION("""COMPUTED_VALUE"""),"")</f>
        <v/>
      </c>
      <c r="G669" s="36" t="str">
        <f ca="1">IFERROR(__xludf.DUMMYFUNCTION("""COMPUTED_VALUE"""),"")</f>
        <v/>
      </c>
      <c r="H669" s="36" t="str">
        <f ca="1">IFERROR(__xludf.DUMMYFUNCTION("""COMPUTED_VALUE"""),"")</f>
        <v/>
      </c>
      <c r="I669" s="36" t="str">
        <f ca="1">IFERROR(__xludf.DUMMYFUNCTION("""COMPUTED_VALUE"""),"")</f>
        <v/>
      </c>
      <c r="J669" s="36" t="str">
        <f ca="1">IFERROR(__xludf.DUMMYFUNCTION("""COMPUTED_VALUE"""),"")</f>
        <v/>
      </c>
      <c r="K669" s="36" t="str">
        <f ca="1">IFERROR(__xludf.DUMMYFUNCTION("""COMPUTED_VALUE"""),"")</f>
        <v/>
      </c>
      <c r="L669" s="36" t="str">
        <f ca="1">IFERROR(__xludf.DUMMYFUNCTION("""COMPUTED_VALUE"""),"")</f>
        <v/>
      </c>
      <c r="M669" s="36" t="str">
        <f ca="1">IFERROR(__xludf.DUMMYFUNCTION("""COMPUTED_VALUE"""),"")</f>
        <v/>
      </c>
      <c r="N669" s="36" t="str">
        <f ca="1">IFERROR(__xludf.DUMMYFUNCTION("""COMPUTED_VALUE"""),"")</f>
        <v/>
      </c>
      <c r="O669" s="36" t="str">
        <f ca="1">IFERROR(__xludf.DUMMYFUNCTION("""COMPUTED_VALUE"""),"")</f>
        <v/>
      </c>
      <c r="P669" s="36" t="str">
        <f ca="1">IFERROR(__xludf.DUMMYFUNCTION("""COMPUTED_VALUE"""),"")</f>
        <v/>
      </c>
      <c r="Q669" s="36" t="str">
        <f ca="1">IFERROR(__xludf.DUMMYFUNCTION("""COMPUTED_VALUE"""),"")</f>
        <v/>
      </c>
      <c r="R669" s="36" t="str">
        <f ca="1">IFERROR(__xludf.DUMMYFUNCTION("""COMPUTED_VALUE"""),"")</f>
        <v/>
      </c>
      <c r="S669" s="36" t="str">
        <f ca="1">IFERROR(__xludf.DUMMYFUNCTION("""COMPUTED_VALUE"""),"")</f>
        <v/>
      </c>
      <c r="T669" s="36" t="str">
        <f ca="1">IFERROR(__xludf.DUMMYFUNCTION("""COMPUTED_VALUE"""),"")</f>
        <v/>
      </c>
      <c r="U669" s="36" t="str">
        <f ca="1">IFERROR(__xludf.DUMMYFUNCTION("""COMPUTED_VALUE"""),"")</f>
        <v/>
      </c>
      <c r="V669" s="36" t="str">
        <f ca="1">IFERROR(__xludf.DUMMYFUNCTION("""COMPUTED_VALUE"""),"")</f>
        <v/>
      </c>
      <c r="W669" s="36" t="str">
        <f ca="1">IFERROR(__xludf.DUMMYFUNCTION("""COMPUTED_VALUE"""),"")</f>
        <v/>
      </c>
      <c r="X669" s="36"/>
      <c r="Y669" s="36"/>
      <c r="Z669" s="36"/>
    </row>
    <row r="670" spans="1:26" ht="12.75" hidden="1">
      <c r="A670" s="36" t="str">
        <f ca="1">IFERROR(__xludf.DUMMYFUNCTION("""COMPUTED_VALUE"""),"")</f>
        <v/>
      </c>
      <c r="B670" s="36" t="str">
        <f ca="1">IFERROR(__xludf.DUMMYFUNCTION("""COMPUTED_VALUE"""),"")</f>
        <v/>
      </c>
      <c r="C670" s="36" t="str">
        <f ca="1">IFERROR(__xludf.DUMMYFUNCTION("""COMPUTED_VALUE"""),"")</f>
        <v/>
      </c>
      <c r="D670" s="36" t="str">
        <f ca="1">IFERROR(__xludf.DUMMYFUNCTION("""COMPUTED_VALUE"""),"")</f>
        <v/>
      </c>
      <c r="E670" s="36" t="str">
        <f ca="1">IFERROR(__xludf.DUMMYFUNCTION("""COMPUTED_VALUE"""),"")</f>
        <v/>
      </c>
      <c r="F670" s="36" t="str">
        <f ca="1">IFERROR(__xludf.DUMMYFUNCTION("""COMPUTED_VALUE"""),"")</f>
        <v/>
      </c>
      <c r="G670" s="36" t="str">
        <f ca="1">IFERROR(__xludf.DUMMYFUNCTION("""COMPUTED_VALUE"""),"")</f>
        <v/>
      </c>
      <c r="H670" s="36" t="str">
        <f ca="1">IFERROR(__xludf.DUMMYFUNCTION("""COMPUTED_VALUE"""),"")</f>
        <v/>
      </c>
      <c r="I670" s="36" t="str">
        <f ca="1">IFERROR(__xludf.DUMMYFUNCTION("""COMPUTED_VALUE"""),"")</f>
        <v/>
      </c>
      <c r="J670" s="36" t="str">
        <f ca="1">IFERROR(__xludf.DUMMYFUNCTION("""COMPUTED_VALUE"""),"")</f>
        <v/>
      </c>
      <c r="K670" s="36" t="str">
        <f ca="1">IFERROR(__xludf.DUMMYFUNCTION("""COMPUTED_VALUE"""),"")</f>
        <v/>
      </c>
      <c r="L670" s="36" t="str">
        <f ca="1">IFERROR(__xludf.DUMMYFUNCTION("""COMPUTED_VALUE"""),"")</f>
        <v/>
      </c>
      <c r="M670" s="36" t="str">
        <f ca="1">IFERROR(__xludf.DUMMYFUNCTION("""COMPUTED_VALUE"""),"")</f>
        <v/>
      </c>
      <c r="N670" s="36" t="str">
        <f ca="1">IFERROR(__xludf.DUMMYFUNCTION("""COMPUTED_VALUE"""),"")</f>
        <v/>
      </c>
      <c r="O670" s="36" t="str">
        <f ca="1">IFERROR(__xludf.DUMMYFUNCTION("""COMPUTED_VALUE"""),"")</f>
        <v/>
      </c>
      <c r="P670" s="36" t="str">
        <f ca="1">IFERROR(__xludf.DUMMYFUNCTION("""COMPUTED_VALUE"""),"")</f>
        <v/>
      </c>
      <c r="Q670" s="36" t="str">
        <f ca="1">IFERROR(__xludf.DUMMYFUNCTION("""COMPUTED_VALUE"""),"")</f>
        <v/>
      </c>
      <c r="R670" s="36" t="str">
        <f ca="1">IFERROR(__xludf.DUMMYFUNCTION("""COMPUTED_VALUE"""),"")</f>
        <v/>
      </c>
      <c r="S670" s="36" t="str">
        <f ca="1">IFERROR(__xludf.DUMMYFUNCTION("""COMPUTED_VALUE"""),"")</f>
        <v/>
      </c>
      <c r="T670" s="36" t="str">
        <f ca="1">IFERROR(__xludf.DUMMYFUNCTION("""COMPUTED_VALUE"""),"")</f>
        <v/>
      </c>
      <c r="U670" s="36" t="str">
        <f ca="1">IFERROR(__xludf.DUMMYFUNCTION("""COMPUTED_VALUE"""),"")</f>
        <v/>
      </c>
      <c r="V670" s="36" t="str">
        <f ca="1">IFERROR(__xludf.DUMMYFUNCTION("""COMPUTED_VALUE"""),"")</f>
        <v/>
      </c>
      <c r="W670" s="36" t="str">
        <f ca="1">IFERROR(__xludf.DUMMYFUNCTION("""COMPUTED_VALUE"""),"")</f>
        <v/>
      </c>
      <c r="X670" s="36"/>
      <c r="Y670" s="36"/>
      <c r="Z670" s="36"/>
    </row>
    <row r="671" spans="1:26" ht="12.75" hidden="1">
      <c r="A671" s="36" t="str">
        <f ca="1">IFERROR(__xludf.DUMMYFUNCTION("""COMPUTED_VALUE"""),"")</f>
        <v/>
      </c>
      <c r="B671" s="36" t="str">
        <f ca="1">IFERROR(__xludf.DUMMYFUNCTION("""COMPUTED_VALUE"""),"")</f>
        <v/>
      </c>
      <c r="C671" s="36" t="str">
        <f ca="1">IFERROR(__xludf.DUMMYFUNCTION("""COMPUTED_VALUE"""),"")</f>
        <v/>
      </c>
      <c r="D671" s="36" t="str">
        <f ca="1">IFERROR(__xludf.DUMMYFUNCTION("""COMPUTED_VALUE"""),"")</f>
        <v/>
      </c>
      <c r="E671" s="36" t="str">
        <f ca="1">IFERROR(__xludf.DUMMYFUNCTION("""COMPUTED_VALUE"""),"")</f>
        <v/>
      </c>
      <c r="F671" s="36" t="str">
        <f ca="1">IFERROR(__xludf.DUMMYFUNCTION("""COMPUTED_VALUE"""),"")</f>
        <v/>
      </c>
      <c r="G671" s="36" t="str">
        <f ca="1">IFERROR(__xludf.DUMMYFUNCTION("""COMPUTED_VALUE"""),"")</f>
        <v/>
      </c>
      <c r="H671" s="36" t="str">
        <f ca="1">IFERROR(__xludf.DUMMYFUNCTION("""COMPUTED_VALUE"""),"")</f>
        <v/>
      </c>
      <c r="I671" s="36" t="str">
        <f ca="1">IFERROR(__xludf.DUMMYFUNCTION("""COMPUTED_VALUE"""),"")</f>
        <v/>
      </c>
      <c r="J671" s="36" t="str">
        <f ca="1">IFERROR(__xludf.DUMMYFUNCTION("""COMPUTED_VALUE"""),"")</f>
        <v/>
      </c>
      <c r="K671" s="36" t="str">
        <f ca="1">IFERROR(__xludf.DUMMYFUNCTION("""COMPUTED_VALUE"""),"")</f>
        <v/>
      </c>
      <c r="L671" s="36" t="str">
        <f ca="1">IFERROR(__xludf.DUMMYFUNCTION("""COMPUTED_VALUE"""),"")</f>
        <v/>
      </c>
      <c r="M671" s="36" t="str">
        <f ca="1">IFERROR(__xludf.DUMMYFUNCTION("""COMPUTED_VALUE"""),"")</f>
        <v/>
      </c>
      <c r="N671" s="36" t="str">
        <f ca="1">IFERROR(__xludf.DUMMYFUNCTION("""COMPUTED_VALUE"""),"")</f>
        <v/>
      </c>
      <c r="O671" s="36" t="str">
        <f ca="1">IFERROR(__xludf.DUMMYFUNCTION("""COMPUTED_VALUE"""),"")</f>
        <v/>
      </c>
      <c r="P671" s="36" t="str">
        <f ca="1">IFERROR(__xludf.DUMMYFUNCTION("""COMPUTED_VALUE"""),"")</f>
        <v/>
      </c>
      <c r="Q671" s="36" t="str">
        <f ca="1">IFERROR(__xludf.DUMMYFUNCTION("""COMPUTED_VALUE"""),"")</f>
        <v/>
      </c>
      <c r="R671" s="36" t="str">
        <f ca="1">IFERROR(__xludf.DUMMYFUNCTION("""COMPUTED_VALUE"""),"")</f>
        <v/>
      </c>
      <c r="S671" s="36" t="str">
        <f ca="1">IFERROR(__xludf.DUMMYFUNCTION("""COMPUTED_VALUE"""),"")</f>
        <v/>
      </c>
      <c r="T671" s="36" t="str">
        <f ca="1">IFERROR(__xludf.DUMMYFUNCTION("""COMPUTED_VALUE"""),"")</f>
        <v/>
      </c>
      <c r="U671" s="36" t="str">
        <f ca="1">IFERROR(__xludf.DUMMYFUNCTION("""COMPUTED_VALUE"""),"")</f>
        <v/>
      </c>
      <c r="V671" s="36" t="str">
        <f ca="1">IFERROR(__xludf.DUMMYFUNCTION("""COMPUTED_VALUE"""),"")</f>
        <v/>
      </c>
      <c r="W671" s="36" t="str">
        <f ca="1">IFERROR(__xludf.DUMMYFUNCTION("""COMPUTED_VALUE"""),"")</f>
        <v/>
      </c>
      <c r="X671" s="36"/>
      <c r="Y671" s="36"/>
      <c r="Z671" s="36"/>
    </row>
    <row r="672" spans="1:26" ht="12.75" hidden="1">
      <c r="A672" s="36" t="str">
        <f ca="1">IFERROR(__xludf.DUMMYFUNCTION("""COMPUTED_VALUE"""),"")</f>
        <v/>
      </c>
      <c r="B672" s="36" t="str">
        <f ca="1">IFERROR(__xludf.DUMMYFUNCTION("""COMPUTED_VALUE"""),"")</f>
        <v/>
      </c>
      <c r="C672" s="36" t="str">
        <f ca="1">IFERROR(__xludf.DUMMYFUNCTION("""COMPUTED_VALUE"""),"")</f>
        <v/>
      </c>
      <c r="D672" s="36" t="str">
        <f ca="1">IFERROR(__xludf.DUMMYFUNCTION("""COMPUTED_VALUE"""),"")</f>
        <v/>
      </c>
      <c r="E672" s="36" t="str">
        <f ca="1">IFERROR(__xludf.DUMMYFUNCTION("""COMPUTED_VALUE"""),"")</f>
        <v/>
      </c>
      <c r="F672" s="36" t="str">
        <f ca="1">IFERROR(__xludf.DUMMYFUNCTION("""COMPUTED_VALUE"""),"")</f>
        <v/>
      </c>
      <c r="G672" s="36" t="str">
        <f ca="1">IFERROR(__xludf.DUMMYFUNCTION("""COMPUTED_VALUE"""),"")</f>
        <v/>
      </c>
      <c r="H672" s="36" t="str">
        <f ca="1">IFERROR(__xludf.DUMMYFUNCTION("""COMPUTED_VALUE"""),"")</f>
        <v/>
      </c>
      <c r="I672" s="36" t="str">
        <f ca="1">IFERROR(__xludf.DUMMYFUNCTION("""COMPUTED_VALUE"""),"")</f>
        <v/>
      </c>
      <c r="J672" s="36" t="str">
        <f ca="1">IFERROR(__xludf.DUMMYFUNCTION("""COMPUTED_VALUE"""),"")</f>
        <v/>
      </c>
      <c r="K672" s="36" t="str">
        <f ca="1">IFERROR(__xludf.DUMMYFUNCTION("""COMPUTED_VALUE"""),"")</f>
        <v/>
      </c>
      <c r="L672" s="36" t="str">
        <f ca="1">IFERROR(__xludf.DUMMYFUNCTION("""COMPUTED_VALUE"""),"")</f>
        <v/>
      </c>
      <c r="M672" s="36" t="str">
        <f ca="1">IFERROR(__xludf.DUMMYFUNCTION("""COMPUTED_VALUE"""),"")</f>
        <v/>
      </c>
      <c r="N672" s="36" t="str">
        <f ca="1">IFERROR(__xludf.DUMMYFUNCTION("""COMPUTED_VALUE"""),"")</f>
        <v/>
      </c>
      <c r="O672" s="36" t="str">
        <f ca="1">IFERROR(__xludf.DUMMYFUNCTION("""COMPUTED_VALUE"""),"")</f>
        <v/>
      </c>
      <c r="P672" s="36" t="str">
        <f ca="1">IFERROR(__xludf.DUMMYFUNCTION("""COMPUTED_VALUE"""),"")</f>
        <v/>
      </c>
      <c r="Q672" s="36" t="str">
        <f ca="1">IFERROR(__xludf.DUMMYFUNCTION("""COMPUTED_VALUE"""),"")</f>
        <v/>
      </c>
      <c r="R672" s="36" t="str">
        <f ca="1">IFERROR(__xludf.DUMMYFUNCTION("""COMPUTED_VALUE"""),"")</f>
        <v/>
      </c>
      <c r="S672" s="36" t="str">
        <f ca="1">IFERROR(__xludf.DUMMYFUNCTION("""COMPUTED_VALUE"""),"")</f>
        <v/>
      </c>
      <c r="T672" s="36" t="str">
        <f ca="1">IFERROR(__xludf.DUMMYFUNCTION("""COMPUTED_VALUE"""),"")</f>
        <v/>
      </c>
      <c r="U672" s="36" t="str">
        <f ca="1">IFERROR(__xludf.DUMMYFUNCTION("""COMPUTED_VALUE"""),"")</f>
        <v/>
      </c>
      <c r="V672" s="36" t="str">
        <f ca="1">IFERROR(__xludf.DUMMYFUNCTION("""COMPUTED_VALUE"""),"")</f>
        <v/>
      </c>
      <c r="W672" s="36" t="str">
        <f ca="1">IFERROR(__xludf.DUMMYFUNCTION("""COMPUTED_VALUE"""),"")</f>
        <v/>
      </c>
      <c r="X672" s="36"/>
      <c r="Y672" s="36"/>
      <c r="Z672" s="36"/>
    </row>
    <row r="673" spans="1:26" ht="12.75" hidden="1">
      <c r="A673" s="36" t="str">
        <f ca="1">IFERROR(__xludf.DUMMYFUNCTION("""COMPUTED_VALUE"""),"")</f>
        <v/>
      </c>
      <c r="B673" s="36" t="str">
        <f ca="1">IFERROR(__xludf.DUMMYFUNCTION("""COMPUTED_VALUE"""),"")</f>
        <v/>
      </c>
      <c r="C673" s="36" t="str">
        <f ca="1">IFERROR(__xludf.DUMMYFUNCTION("""COMPUTED_VALUE"""),"")</f>
        <v/>
      </c>
      <c r="D673" s="36" t="str">
        <f ca="1">IFERROR(__xludf.DUMMYFUNCTION("""COMPUTED_VALUE"""),"")</f>
        <v/>
      </c>
      <c r="E673" s="36" t="str">
        <f ca="1">IFERROR(__xludf.DUMMYFUNCTION("""COMPUTED_VALUE"""),"")</f>
        <v/>
      </c>
      <c r="F673" s="36" t="str">
        <f ca="1">IFERROR(__xludf.DUMMYFUNCTION("""COMPUTED_VALUE"""),"")</f>
        <v/>
      </c>
      <c r="G673" s="36" t="str">
        <f ca="1">IFERROR(__xludf.DUMMYFUNCTION("""COMPUTED_VALUE"""),"")</f>
        <v/>
      </c>
      <c r="H673" s="36" t="str">
        <f ca="1">IFERROR(__xludf.DUMMYFUNCTION("""COMPUTED_VALUE"""),"")</f>
        <v/>
      </c>
      <c r="I673" s="36" t="str">
        <f ca="1">IFERROR(__xludf.DUMMYFUNCTION("""COMPUTED_VALUE"""),"")</f>
        <v/>
      </c>
      <c r="J673" s="36" t="str">
        <f ca="1">IFERROR(__xludf.DUMMYFUNCTION("""COMPUTED_VALUE"""),"")</f>
        <v/>
      </c>
      <c r="K673" s="36" t="str">
        <f ca="1">IFERROR(__xludf.DUMMYFUNCTION("""COMPUTED_VALUE"""),"")</f>
        <v/>
      </c>
      <c r="L673" s="36" t="str">
        <f ca="1">IFERROR(__xludf.DUMMYFUNCTION("""COMPUTED_VALUE"""),"")</f>
        <v/>
      </c>
      <c r="M673" s="36" t="str">
        <f ca="1">IFERROR(__xludf.DUMMYFUNCTION("""COMPUTED_VALUE"""),"")</f>
        <v/>
      </c>
      <c r="N673" s="36" t="str">
        <f ca="1">IFERROR(__xludf.DUMMYFUNCTION("""COMPUTED_VALUE"""),"")</f>
        <v/>
      </c>
      <c r="O673" s="36" t="str">
        <f ca="1">IFERROR(__xludf.DUMMYFUNCTION("""COMPUTED_VALUE"""),"")</f>
        <v/>
      </c>
      <c r="P673" s="36" t="str">
        <f ca="1">IFERROR(__xludf.DUMMYFUNCTION("""COMPUTED_VALUE"""),"")</f>
        <v/>
      </c>
      <c r="Q673" s="36" t="str">
        <f ca="1">IFERROR(__xludf.DUMMYFUNCTION("""COMPUTED_VALUE"""),"")</f>
        <v/>
      </c>
      <c r="R673" s="36" t="str">
        <f ca="1">IFERROR(__xludf.DUMMYFUNCTION("""COMPUTED_VALUE"""),"")</f>
        <v/>
      </c>
      <c r="S673" s="36" t="str">
        <f ca="1">IFERROR(__xludf.DUMMYFUNCTION("""COMPUTED_VALUE"""),"")</f>
        <v/>
      </c>
      <c r="T673" s="36" t="str">
        <f ca="1">IFERROR(__xludf.DUMMYFUNCTION("""COMPUTED_VALUE"""),"")</f>
        <v/>
      </c>
      <c r="U673" s="36" t="str">
        <f ca="1">IFERROR(__xludf.DUMMYFUNCTION("""COMPUTED_VALUE"""),"")</f>
        <v/>
      </c>
      <c r="V673" s="36" t="str">
        <f ca="1">IFERROR(__xludf.DUMMYFUNCTION("""COMPUTED_VALUE"""),"")</f>
        <v/>
      </c>
      <c r="W673" s="36" t="str">
        <f ca="1">IFERROR(__xludf.DUMMYFUNCTION("""COMPUTED_VALUE"""),"")</f>
        <v/>
      </c>
      <c r="X673" s="36"/>
      <c r="Y673" s="36"/>
      <c r="Z673" s="36"/>
    </row>
    <row r="674" spans="1:26" ht="12.75" hidden="1">
      <c r="A674" s="36" t="str">
        <f ca="1">IFERROR(__xludf.DUMMYFUNCTION("""COMPUTED_VALUE"""),"")</f>
        <v/>
      </c>
      <c r="B674" s="36" t="str">
        <f ca="1">IFERROR(__xludf.DUMMYFUNCTION("""COMPUTED_VALUE"""),"")</f>
        <v/>
      </c>
      <c r="C674" s="36" t="str">
        <f ca="1">IFERROR(__xludf.DUMMYFUNCTION("""COMPUTED_VALUE"""),"")</f>
        <v/>
      </c>
      <c r="D674" s="36" t="str">
        <f ca="1">IFERROR(__xludf.DUMMYFUNCTION("""COMPUTED_VALUE"""),"")</f>
        <v/>
      </c>
      <c r="E674" s="36" t="str">
        <f ca="1">IFERROR(__xludf.DUMMYFUNCTION("""COMPUTED_VALUE"""),"")</f>
        <v/>
      </c>
      <c r="F674" s="36" t="str">
        <f ca="1">IFERROR(__xludf.DUMMYFUNCTION("""COMPUTED_VALUE"""),"")</f>
        <v/>
      </c>
      <c r="G674" s="36" t="str">
        <f ca="1">IFERROR(__xludf.DUMMYFUNCTION("""COMPUTED_VALUE"""),"")</f>
        <v/>
      </c>
      <c r="H674" s="36" t="str">
        <f ca="1">IFERROR(__xludf.DUMMYFUNCTION("""COMPUTED_VALUE"""),"")</f>
        <v/>
      </c>
      <c r="I674" s="36" t="str">
        <f ca="1">IFERROR(__xludf.DUMMYFUNCTION("""COMPUTED_VALUE"""),"")</f>
        <v/>
      </c>
      <c r="J674" s="36" t="str">
        <f ca="1">IFERROR(__xludf.DUMMYFUNCTION("""COMPUTED_VALUE"""),"")</f>
        <v/>
      </c>
      <c r="K674" s="36" t="str">
        <f ca="1">IFERROR(__xludf.DUMMYFUNCTION("""COMPUTED_VALUE"""),"")</f>
        <v/>
      </c>
      <c r="L674" s="36" t="str">
        <f ca="1">IFERROR(__xludf.DUMMYFUNCTION("""COMPUTED_VALUE"""),"")</f>
        <v/>
      </c>
      <c r="M674" s="36" t="str">
        <f ca="1">IFERROR(__xludf.DUMMYFUNCTION("""COMPUTED_VALUE"""),"")</f>
        <v/>
      </c>
      <c r="N674" s="36" t="str">
        <f ca="1">IFERROR(__xludf.DUMMYFUNCTION("""COMPUTED_VALUE"""),"")</f>
        <v/>
      </c>
      <c r="O674" s="36" t="str">
        <f ca="1">IFERROR(__xludf.DUMMYFUNCTION("""COMPUTED_VALUE"""),"")</f>
        <v/>
      </c>
      <c r="P674" s="36" t="str">
        <f ca="1">IFERROR(__xludf.DUMMYFUNCTION("""COMPUTED_VALUE"""),"")</f>
        <v/>
      </c>
      <c r="Q674" s="36" t="str">
        <f ca="1">IFERROR(__xludf.DUMMYFUNCTION("""COMPUTED_VALUE"""),"")</f>
        <v/>
      </c>
      <c r="R674" s="36" t="str">
        <f ca="1">IFERROR(__xludf.DUMMYFUNCTION("""COMPUTED_VALUE"""),"")</f>
        <v/>
      </c>
      <c r="S674" s="36" t="str">
        <f ca="1">IFERROR(__xludf.DUMMYFUNCTION("""COMPUTED_VALUE"""),"")</f>
        <v/>
      </c>
      <c r="T674" s="36" t="str">
        <f ca="1">IFERROR(__xludf.DUMMYFUNCTION("""COMPUTED_VALUE"""),"")</f>
        <v/>
      </c>
      <c r="U674" s="36" t="str">
        <f ca="1">IFERROR(__xludf.DUMMYFUNCTION("""COMPUTED_VALUE"""),"")</f>
        <v/>
      </c>
      <c r="V674" s="36" t="str">
        <f ca="1">IFERROR(__xludf.DUMMYFUNCTION("""COMPUTED_VALUE"""),"")</f>
        <v/>
      </c>
      <c r="W674" s="36" t="str">
        <f ca="1">IFERROR(__xludf.DUMMYFUNCTION("""COMPUTED_VALUE"""),"")</f>
        <v/>
      </c>
      <c r="X674" s="36"/>
      <c r="Y674" s="36"/>
      <c r="Z674" s="36"/>
    </row>
    <row r="675" spans="1:26" ht="12.75" hidden="1">
      <c r="A675" s="36" t="str">
        <f ca="1">IFERROR(__xludf.DUMMYFUNCTION("""COMPUTED_VALUE"""),"")</f>
        <v/>
      </c>
      <c r="B675" s="36" t="str">
        <f ca="1">IFERROR(__xludf.DUMMYFUNCTION("""COMPUTED_VALUE"""),"")</f>
        <v/>
      </c>
      <c r="C675" s="36" t="str">
        <f ca="1">IFERROR(__xludf.DUMMYFUNCTION("""COMPUTED_VALUE"""),"")</f>
        <v/>
      </c>
      <c r="D675" s="36" t="str">
        <f ca="1">IFERROR(__xludf.DUMMYFUNCTION("""COMPUTED_VALUE"""),"")</f>
        <v/>
      </c>
      <c r="E675" s="36" t="str">
        <f ca="1">IFERROR(__xludf.DUMMYFUNCTION("""COMPUTED_VALUE"""),"")</f>
        <v/>
      </c>
      <c r="F675" s="36" t="str">
        <f ca="1">IFERROR(__xludf.DUMMYFUNCTION("""COMPUTED_VALUE"""),"")</f>
        <v/>
      </c>
      <c r="G675" s="36" t="str">
        <f ca="1">IFERROR(__xludf.DUMMYFUNCTION("""COMPUTED_VALUE"""),"")</f>
        <v/>
      </c>
      <c r="H675" s="36" t="str">
        <f ca="1">IFERROR(__xludf.DUMMYFUNCTION("""COMPUTED_VALUE"""),"")</f>
        <v/>
      </c>
      <c r="I675" s="36" t="str">
        <f ca="1">IFERROR(__xludf.DUMMYFUNCTION("""COMPUTED_VALUE"""),"")</f>
        <v/>
      </c>
      <c r="J675" s="36" t="str">
        <f ca="1">IFERROR(__xludf.DUMMYFUNCTION("""COMPUTED_VALUE"""),"")</f>
        <v/>
      </c>
      <c r="K675" s="36" t="str">
        <f ca="1">IFERROR(__xludf.DUMMYFUNCTION("""COMPUTED_VALUE"""),"")</f>
        <v/>
      </c>
      <c r="L675" s="36" t="str">
        <f ca="1">IFERROR(__xludf.DUMMYFUNCTION("""COMPUTED_VALUE"""),"")</f>
        <v/>
      </c>
      <c r="M675" s="36" t="str">
        <f ca="1">IFERROR(__xludf.DUMMYFUNCTION("""COMPUTED_VALUE"""),"")</f>
        <v/>
      </c>
      <c r="N675" s="36" t="str">
        <f ca="1">IFERROR(__xludf.DUMMYFUNCTION("""COMPUTED_VALUE"""),"")</f>
        <v/>
      </c>
      <c r="O675" s="36" t="str">
        <f ca="1">IFERROR(__xludf.DUMMYFUNCTION("""COMPUTED_VALUE"""),"")</f>
        <v/>
      </c>
      <c r="P675" s="36" t="str">
        <f ca="1">IFERROR(__xludf.DUMMYFUNCTION("""COMPUTED_VALUE"""),"")</f>
        <v/>
      </c>
      <c r="Q675" s="36" t="str">
        <f ca="1">IFERROR(__xludf.DUMMYFUNCTION("""COMPUTED_VALUE"""),"")</f>
        <v/>
      </c>
      <c r="R675" s="36" t="str">
        <f ca="1">IFERROR(__xludf.DUMMYFUNCTION("""COMPUTED_VALUE"""),"")</f>
        <v/>
      </c>
      <c r="S675" s="36" t="str">
        <f ca="1">IFERROR(__xludf.DUMMYFUNCTION("""COMPUTED_VALUE"""),"")</f>
        <v/>
      </c>
      <c r="T675" s="36" t="str">
        <f ca="1">IFERROR(__xludf.DUMMYFUNCTION("""COMPUTED_VALUE"""),"")</f>
        <v/>
      </c>
      <c r="U675" s="36" t="str">
        <f ca="1">IFERROR(__xludf.DUMMYFUNCTION("""COMPUTED_VALUE"""),"")</f>
        <v/>
      </c>
      <c r="V675" s="36" t="str">
        <f ca="1">IFERROR(__xludf.DUMMYFUNCTION("""COMPUTED_VALUE"""),"")</f>
        <v/>
      </c>
      <c r="W675" s="36" t="str">
        <f ca="1">IFERROR(__xludf.DUMMYFUNCTION("""COMPUTED_VALUE"""),"")</f>
        <v/>
      </c>
      <c r="X675" s="36"/>
      <c r="Y675" s="36"/>
      <c r="Z675" s="36"/>
    </row>
    <row r="676" spans="1:26" ht="12.75" hidden="1">
      <c r="A676" s="36" t="str">
        <f ca="1">IFERROR(__xludf.DUMMYFUNCTION("""COMPUTED_VALUE"""),"")</f>
        <v/>
      </c>
      <c r="B676" s="36" t="str">
        <f ca="1">IFERROR(__xludf.DUMMYFUNCTION("""COMPUTED_VALUE"""),"")</f>
        <v/>
      </c>
      <c r="C676" s="36" t="str">
        <f ca="1">IFERROR(__xludf.DUMMYFUNCTION("""COMPUTED_VALUE"""),"")</f>
        <v/>
      </c>
      <c r="D676" s="36" t="str">
        <f ca="1">IFERROR(__xludf.DUMMYFUNCTION("""COMPUTED_VALUE"""),"")</f>
        <v/>
      </c>
      <c r="E676" s="36" t="str">
        <f ca="1">IFERROR(__xludf.DUMMYFUNCTION("""COMPUTED_VALUE"""),"")</f>
        <v/>
      </c>
      <c r="F676" s="36" t="str">
        <f ca="1">IFERROR(__xludf.DUMMYFUNCTION("""COMPUTED_VALUE"""),"")</f>
        <v/>
      </c>
      <c r="G676" s="36" t="str">
        <f ca="1">IFERROR(__xludf.DUMMYFUNCTION("""COMPUTED_VALUE"""),"")</f>
        <v/>
      </c>
      <c r="H676" s="36" t="str">
        <f ca="1">IFERROR(__xludf.DUMMYFUNCTION("""COMPUTED_VALUE"""),"")</f>
        <v/>
      </c>
      <c r="I676" s="36" t="str">
        <f ca="1">IFERROR(__xludf.DUMMYFUNCTION("""COMPUTED_VALUE"""),"")</f>
        <v/>
      </c>
      <c r="J676" s="36" t="str">
        <f ca="1">IFERROR(__xludf.DUMMYFUNCTION("""COMPUTED_VALUE"""),"")</f>
        <v/>
      </c>
      <c r="K676" s="36" t="str">
        <f ca="1">IFERROR(__xludf.DUMMYFUNCTION("""COMPUTED_VALUE"""),"")</f>
        <v/>
      </c>
      <c r="L676" s="36" t="str">
        <f ca="1">IFERROR(__xludf.DUMMYFUNCTION("""COMPUTED_VALUE"""),"")</f>
        <v/>
      </c>
      <c r="M676" s="36" t="str">
        <f ca="1">IFERROR(__xludf.DUMMYFUNCTION("""COMPUTED_VALUE"""),"")</f>
        <v/>
      </c>
      <c r="N676" s="36" t="str">
        <f ca="1">IFERROR(__xludf.DUMMYFUNCTION("""COMPUTED_VALUE"""),"")</f>
        <v/>
      </c>
      <c r="O676" s="36" t="str">
        <f ca="1">IFERROR(__xludf.DUMMYFUNCTION("""COMPUTED_VALUE"""),"")</f>
        <v/>
      </c>
      <c r="P676" s="36" t="str">
        <f ca="1">IFERROR(__xludf.DUMMYFUNCTION("""COMPUTED_VALUE"""),"")</f>
        <v/>
      </c>
      <c r="Q676" s="36" t="str">
        <f ca="1">IFERROR(__xludf.DUMMYFUNCTION("""COMPUTED_VALUE"""),"")</f>
        <v/>
      </c>
      <c r="R676" s="36" t="str">
        <f ca="1">IFERROR(__xludf.DUMMYFUNCTION("""COMPUTED_VALUE"""),"")</f>
        <v/>
      </c>
      <c r="S676" s="36" t="str">
        <f ca="1">IFERROR(__xludf.DUMMYFUNCTION("""COMPUTED_VALUE"""),"")</f>
        <v/>
      </c>
      <c r="T676" s="36" t="str">
        <f ca="1">IFERROR(__xludf.DUMMYFUNCTION("""COMPUTED_VALUE"""),"")</f>
        <v/>
      </c>
      <c r="U676" s="36" t="str">
        <f ca="1">IFERROR(__xludf.DUMMYFUNCTION("""COMPUTED_VALUE"""),"")</f>
        <v/>
      </c>
      <c r="V676" s="36" t="str">
        <f ca="1">IFERROR(__xludf.DUMMYFUNCTION("""COMPUTED_VALUE"""),"")</f>
        <v/>
      </c>
      <c r="W676" s="36" t="str">
        <f ca="1">IFERROR(__xludf.DUMMYFUNCTION("""COMPUTED_VALUE"""),"")</f>
        <v/>
      </c>
      <c r="X676" s="36"/>
      <c r="Y676" s="36"/>
      <c r="Z676" s="36"/>
    </row>
    <row r="677" spans="1:26" ht="12.75" hidden="1">
      <c r="A677" s="36" t="str">
        <f ca="1">IFERROR(__xludf.DUMMYFUNCTION("""COMPUTED_VALUE"""),"")</f>
        <v/>
      </c>
      <c r="B677" s="36" t="str">
        <f ca="1">IFERROR(__xludf.DUMMYFUNCTION("""COMPUTED_VALUE"""),"")</f>
        <v/>
      </c>
      <c r="C677" s="36" t="str">
        <f ca="1">IFERROR(__xludf.DUMMYFUNCTION("""COMPUTED_VALUE"""),"")</f>
        <v/>
      </c>
      <c r="D677" s="36" t="str">
        <f ca="1">IFERROR(__xludf.DUMMYFUNCTION("""COMPUTED_VALUE"""),"")</f>
        <v/>
      </c>
      <c r="E677" s="36" t="str">
        <f ca="1">IFERROR(__xludf.DUMMYFUNCTION("""COMPUTED_VALUE"""),"")</f>
        <v/>
      </c>
      <c r="F677" s="36" t="str">
        <f ca="1">IFERROR(__xludf.DUMMYFUNCTION("""COMPUTED_VALUE"""),"")</f>
        <v/>
      </c>
      <c r="G677" s="36" t="str">
        <f ca="1">IFERROR(__xludf.DUMMYFUNCTION("""COMPUTED_VALUE"""),"")</f>
        <v/>
      </c>
      <c r="H677" s="36" t="str">
        <f ca="1">IFERROR(__xludf.DUMMYFUNCTION("""COMPUTED_VALUE"""),"")</f>
        <v/>
      </c>
      <c r="I677" s="36" t="str">
        <f ca="1">IFERROR(__xludf.DUMMYFUNCTION("""COMPUTED_VALUE"""),"")</f>
        <v/>
      </c>
      <c r="J677" s="36" t="str">
        <f ca="1">IFERROR(__xludf.DUMMYFUNCTION("""COMPUTED_VALUE"""),"")</f>
        <v/>
      </c>
      <c r="K677" s="36" t="str">
        <f ca="1">IFERROR(__xludf.DUMMYFUNCTION("""COMPUTED_VALUE"""),"")</f>
        <v/>
      </c>
      <c r="L677" s="36" t="str">
        <f ca="1">IFERROR(__xludf.DUMMYFUNCTION("""COMPUTED_VALUE"""),"")</f>
        <v/>
      </c>
      <c r="M677" s="36" t="str">
        <f ca="1">IFERROR(__xludf.DUMMYFUNCTION("""COMPUTED_VALUE"""),"")</f>
        <v/>
      </c>
      <c r="N677" s="36" t="str">
        <f ca="1">IFERROR(__xludf.DUMMYFUNCTION("""COMPUTED_VALUE"""),"")</f>
        <v/>
      </c>
      <c r="O677" s="36" t="str">
        <f ca="1">IFERROR(__xludf.DUMMYFUNCTION("""COMPUTED_VALUE"""),"")</f>
        <v/>
      </c>
      <c r="P677" s="36" t="str">
        <f ca="1">IFERROR(__xludf.DUMMYFUNCTION("""COMPUTED_VALUE"""),"")</f>
        <v/>
      </c>
      <c r="Q677" s="36" t="str">
        <f ca="1">IFERROR(__xludf.DUMMYFUNCTION("""COMPUTED_VALUE"""),"")</f>
        <v/>
      </c>
      <c r="R677" s="36" t="str">
        <f ca="1">IFERROR(__xludf.DUMMYFUNCTION("""COMPUTED_VALUE"""),"")</f>
        <v/>
      </c>
      <c r="S677" s="36" t="str">
        <f ca="1">IFERROR(__xludf.DUMMYFUNCTION("""COMPUTED_VALUE"""),"")</f>
        <v/>
      </c>
      <c r="T677" s="36" t="str">
        <f ca="1">IFERROR(__xludf.DUMMYFUNCTION("""COMPUTED_VALUE"""),"")</f>
        <v/>
      </c>
      <c r="U677" s="36" t="str">
        <f ca="1">IFERROR(__xludf.DUMMYFUNCTION("""COMPUTED_VALUE"""),"")</f>
        <v/>
      </c>
      <c r="V677" s="36" t="str">
        <f ca="1">IFERROR(__xludf.DUMMYFUNCTION("""COMPUTED_VALUE"""),"")</f>
        <v/>
      </c>
      <c r="W677" s="36" t="str">
        <f ca="1">IFERROR(__xludf.DUMMYFUNCTION("""COMPUTED_VALUE"""),"")</f>
        <v/>
      </c>
      <c r="X677" s="36"/>
      <c r="Y677" s="36"/>
      <c r="Z677" s="36"/>
    </row>
    <row r="678" spans="1:26" ht="12.75" hidden="1">
      <c r="A678" s="36" t="str">
        <f ca="1">IFERROR(__xludf.DUMMYFUNCTION("""COMPUTED_VALUE"""),"")</f>
        <v/>
      </c>
      <c r="B678" s="36" t="str">
        <f ca="1">IFERROR(__xludf.DUMMYFUNCTION("""COMPUTED_VALUE"""),"")</f>
        <v/>
      </c>
      <c r="C678" s="36" t="str">
        <f ca="1">IFERROR(__xludf.DUMMYFUNCTION("""COMPUTED_VALUE"""),"")</f>
        <v/>
      </c>
      <c r="D678" s="36" t="str">
        <f ca="1">IFERROR(__xludf.DUMMYFUNCTION("""COMPUTED_VALUE"""),"")</f>
        <v/>
      </c>
      <c r="E678" s="36" t="str">
        <f ca="1">IFERROR(__xludf.DUMMYFUNCTION("""COMPUTED_VALUE"""),"")</f>
        <v/>
      </c>
      <c r="F678" s="36" t="str">
        <f ca="1">IFERROR(__xludf.DUMMYFUNCTION("""COMPUTED_VALUE"""),"")</f>
        <v/>
      </c>
      <c r="G678" s="36" t="str">
        <f ca="1">IFERROR(__xludf.DUMMYFUNCTION("""COMPUTED_VALUE"""),"")</f>
        <v/>
      </c>
      <c r="H678" s="36" t="str">
        <f ca="1">IFERROR(__xludf.DUMMYFUNCTION("""COMPUTED_VALUE"""),"")</f>
        <v/>
      </c>
      <c r="I678" s="36" t="str">
        <f ca="1">IFERROR(__xludf.DUMMYFUNCTION("""COMPUTED_VALUE"""),"")</f>
        <v/>
      </c>
      <c r="J678" s="36" t="str">
        <f ca="1">IFERROR(__xludf.DUMMYFUNCTION("""COMPUTED_VALUE"""),"")</f>
        <v/>
      </c>
      <c r="K678" s="36" t="str">
        <f ca="1">IFERROR(__xludf.DUMMYFUNCTION("""COMPUTED_VALUE"""),"")</f>
        <v/>
      </c>
      <c r="L678" s="36" t="str">
        <f ca="1">IFERROR(__xludf.DUMMYFUNCTION("""COMPUTED_VALUE"""),"")</f>
        <v/>
      </c>
      <c r="M678" s="36" t="str">
        <f ca="1">IFERROR(__xludf.DUMMYFUNCTION("""COMPUTED_VALUE"""),"")</f>
        <v/>
      </c>
      <c r="N678" s="36" t="str">
        <f ca="1">IFERROR(__xludf.DUMMYFUNCTION("""COMPUTED_VALUE"""),"")</f>
        <v/>
      </c>
      <c r="O678" s="36" t="str">
        <f ca="1">IFERROR(__xludf.DUMMYFUNCTION("""COMPUTED_VALUE"""),"")</f>
        <v/>
      </c>
      <c r="P678" s="36" t="str">
        <f ca="1">IFERROR(__xludf.DUMMYFUNCTION("""COMPUTED_VALUE"""),"")</f>
        <v/>
      </c>
      <c r="Q678" s="36" t="str">
        <f ca="1">IFERROR(__xludf.DUMMYFUNCTION("""COMPUTED_VALUE"""),"")</f>
        <v/>
      </c>
      <c r="R678" s="36" t="str">
        <f ca="1">IFERROR(__xludf.DUMMYFUNCTION("""COMPUTED_VALUE"""),"")</f>
        <v/>
      </c>
      <c r="S678" s="36" t="str">
        <f ca="1">IFERROR(__xludf.DUMMYFUNCTION("""COMPUTED_VALUE"""),"")</f>
        <v/>
      </c>
      <c r="T678" s="36" t="str">
        <f ca="1">IFERROR(__xludf.DUMMYFUNCTION("""COMPUTED_VALUE"""),"")</f>
        <v/>
      </c>
      <c r="U678" s="36" t="str">
        <f ca="1">IFERROR(__xludf.DUMMYFUNCTION("""COMPUTED_VALUE"""),"")</f>
        <v/>
      </c>
      <c r="V678" s="36" t="str">
        <f ca="1">IFERROR(__xludf.DUMMYFUNCTION("""COMPUTED_VALUE"""),"")</f>
        <v/>
      </c>
      <c r="W678" s="36" t="str">
        <f ca="1">IFERROR(__xludf.DUMMYFUNCTION("""COMPUTED_VALUE"""),"")</f>
        <v/>
      </c>
      <c r="X678" s="36"/>
      <c r="Y678" s="36"/>
      <c r="Z678" s="36"/>
    </row>
    <row r="679" spans="1:26" ht="12.75" hidden="1">
      <c r="A679" s="36" t="str">
        <f ca="1">IFERROR(__xludf.DUMMYFUNCTION("""COMPUTED_VALUE"""),"")</f>
        <v/>
      </c>
      <c r="B679" s="36" t="str">
        <f ca="1">IFERROR(__xludf.DUMMYFUNCTION("""COMPUTED_VALUE"""),"")</f>
        <v/>
      </c>
      <c r="C679" s="36" t="str">
        <f ca="1">IFERROR(__xludf.DUMMYFUNCTION("""COMPUTED_VALUE"""),"")</f>
        <v/>
      </c>
      <c r="D679" s="36" t="str">
        <f ca="1">IFERROR(__xludf.DUMMYFUNCTION("""COMPUTED_VALUE"""),"")</f>
        <v/>
      </c>
      <c r="E679" s="36" t="str">
        <f ca="1">IFERROR(__xludf.DUMMYFUNCTION("""COMPUTED_VALUE"""),"")</f>
        <v/>
      </c>
      <c r="F679" s="36" t="str">
        <f ca="1">IFERROR(__xludf.DUMMYFUNCTION("""COMPUTED_VALUE"""),"")</f>
        <v/>
      </c>
      <c r="G679" s="36" t="str">
        <f ca="1">IFERROR(__xludf.DUMMYFUNCTION("""COMPUTED_VALUE"""),"")</f>
        <v/>
      </c>
      <c r="H679" s="36" t="str">
        <f ca="1">IFERROR(__xludf.DUMMYFUNCTION("""COMPUTED_VALUE"""),"")</f>
        <v/>
      </c>
      <c r="I679" s="36" t="str">
        <f ca="1">IFERROR(__xludf.DUMMYFUNCTION("""COMPUTED_VALUE"""),"")</f>
        <v/>
      </c>
      <c r="J679" s="36" t="str">
        <f ca="1">IFERROR(__xludf.DUMMYFUNCTION("""COMPUTED_VALUE"""),"")</f>
        <v/>
      </c>
      <c r="K679" s="36" t="str">
        <f ca="1">IFERROR(__xludf.DUMMYFUNCTION("""COMPUTED_VALUE"""),"")</f>
        <v/>
      </c>
      <c r="L679" s="36" t="str">
        <f ca="1">IFERROR(__xludf.DUMMYFUNCTION("""COMPUTED_VALUE"""),"")</f>
        <v/>
      </c>
      <c r="M679" s="36" t="str">
        <f ca="1">IFERROR(__xludf.DUMMYFUNCTION("""COMPUTED_VALUE"""),"")</f>
        <v/>
      </c>
      <c r="N679" s="36" t="str">
        <f ca="1">IFERROR(__xludf.DUMMYFUNCTION("""COMPUTED_VALUE"""),"")</f>
        <v/>
      </c>
      <c r="O679" s="36" t="str">
        <f ca="1">IFERROR(__xludf.DUMMYFUNCTION("""COMPUTED_VALUE"""),"")</f>
        <v/>
      </c>
      <c r="P679" s="36" t="str">
        <f ca="1">IFERROR(__xludf.DUMMYFUNCTION("""COMPUTED_VALUE"""),"")</f>
        <v/>
      </c>
      <c r="Q679" s="36" t="str">
        <f ca="1">IFERROR(__xludf.DUMMYFUNCTION("""COMPUTED_VALUE"""),"")</f>
        <v/>
      </c>
      <c r="R679" s="36" t="str">
        <f ca="1">IFERROR(__xludf.DUMMYFUNCTION("""COMPUTED_VALUE"""),"")</f>
        <v/>
      </c>
      <c r="S679" s="36" t="str">
        <f ca="1">IFERROR(__xludf.DUMMYFUNCTION("""COMPUTED_VALUE"""),"")</f>
        <v/>
      </c>
      <c r="T679" s="36" t="str">
        <f ca="1">IFERROR(__xludf.DUMMYFUNCTION("""COMPUTED_VALUE"""),"")</f>
        <v/>
      </c>
      <c r="U679" s="36" t="str">
        <f ca="1">IFERROR(__xludf.DUMMYFUNCTION("""COMPUTED_VALUE"""),"")</f>
        <v/>
      </c>
      <c r="V679" s="36" t="str">
        <f ca="1">IFERROR(__xludf.DUMMYFUNCTION("""COMPUTED_VALUE"""),"")</f>
        <v/>
      </c>
      <c r="W679" s="36" t="str">
        <f ca="1">IFERROR(__xludf.DUMMYFUNCTION("""COMPUTED_VALUE"""),"")</f>
        <v/>
      </c>
      <c r="X679" s="36"/>
      <c r="Y679" s="36"/>
      <c r="Z679" s="36"/>
    </row>
    <row r="680" spans="1:26" ht="12.75" hidden="1">
      <c r="A680" s="36" t="str">
        <f ca="1">IFERROR(__xludf.DUMMYFUNCTION("""COMPUTED_VALUE"""),"")</f>
        <v/>
      </c>
      <c r="B680" s="36" t="str">
        <f ca="1">IFERROR(__xludf.DUMMYFUNCTION("""COMPUTED_VALUE"""),"")</f>
        <v/>
      </c>
      <c r="C680" s="36" t="str">
        <f ca="1">IFERROR(__xludf.DUMMYFUNCTION("""COMPUTED_VALUE"""),"")</f>
        <v/>
      </c>
      <c r="D680" s="36" t="str">
        <f ca="1">IFERROR(__xludf.DUMMYFUNCTION("""COMPUTED_VALUE"""),"")</f>
        <v/>
      </c>
      <c r="E680" s="36" t="str">
        <f ca="1">IFERROR(__xludf.DUMMYFUNCTION("""COMPUTED_VALUE"""),"")</f>
        <v/>
      </c>
      <c r="F680" s="36" t="str">
        <f ca="1">IFERROR(__xludf.DUMMYFUNCTION("""COMPUTED_VALUE"""),"")</f>
        <v/>
      </c>
      <c r="G680" s="36" t="str">
        <f ca="1">IFERROR(__xludf.DUMMYFUNCTION("""COMPUTED_VALUE"""),"")</f>
        <v/>
      </c>
      <c r="H680" s="36" t="str">
        <f ca="1">IFERROR(__xludf.DUMMYFUNCTION("""COMPUTED_VALUE"""),"")</f>
        <v/>
      </c>
      <c r="I680" s="36" t="str">
        <f ca="1">IFERROR(__xludf.DUMMYFUNCTION("""COMPUTED_VALUE"""),"")</f>
        <v/>
      </c>
      <c r="J680" s="36" t="str">
        <f ca="1">IFERROR(__xludf.DUMMYFUNCTION("""COMPUTED_VALUE"""),"")</f>
        <v/>
      </c>
      <c r="K680" s="36" t="str">
        <f ca="1">IFERROR(__xludf.DUMMYFUNCTION("""COMPUTED_VALUE"""),"")</f>
        <v/>
      </c>
      <c r="L680" s="36" t="str">
        <f ca="1">IFERROR(__xludf.DUMMYFUNCTION("""COMPUTED_VALUE"""),"")</f>
        <v/>
      </c>
      <c r="M680" s="36" t="str">
        <f ca="1">IFERROR(__xludf.DUMMYFUNCTION("""COMPUTED_VALUE"""),"")</f>
        <v/>
      </c>
      <c r="N680" s="36" t="str">
        <f ca="1">IFERROR(__xludf.DUMMYFUNCTION("""COMPUTED_VALUE"""),"")</f>
        <v/>
      </c>
      <c r="O680" s="36" t="str">
        <f ca="1">IFERROR(__xludf.DUMMYFUNCTION("""COMPUTED_VALUE"""),"")</f>
        <v/>
      </c>
      <c r="P680" s="36" t="str">
        <f ca="1">IFERROR(__xludf.DUMMYFUNCTION("""COMPUTED_VALUE"""),"")</f>
        <v/>
      </c>
      <c r="Q680" s="36" t="str">
        <f ca="1">IFERROR(__xludf.DUMMYFUNCTION("""COMPUTED_VALUE"""),"")</f>
        <v/>
      </c>
      <c r="R680" s="36" t="str">
        <f ca="1">IFERROR(__xludf.DUMMYFUNCTION("""COMPUTED_VALUE"""),"")</f>
        <v/>
      </c>
      <c r="S680" s="36" t="str">
        <f ca="1">IFERROR(__xludf.DUMMYFUNCTION("""COMPUTED_VALUE"""),"")</f>
        <v/>
      </c>
      <c r="T680" s="36" t="str">
        <f ca="1">IFERROR(__xludf.DUMMYFUNCTION("""COMPUTED_VALUE"""),"")</f>
        <v/>
      </c>
      <c r="U680" s="36" t="str">
        <f ca="1">IFERROR(__xludf.DUMMYFUNCTION("""COMPUTED_VALUE"""),"")</f>
        <v/>
      </c>
      <c r="V680" s="36" t="str">
        <f ca="1">IFERROR(__xludf.DUMMYFUNCTION("""COMPUTED_VALUE"""),"")</f>
        <v/>
      </c>
      <c r="W680" s="36" t="str">
        <f ca="1">IFERROR(__xludf.DUMMYFUNCTION("""COMPUTED_VALUE"""),"")</f>
        <v/>
      </c>
      <c r="X680" s="36"/>
      <c r="Y680" s="36"/>
      <c r="Z680" s="36"/>
    </row>
    <row r="681" spans="1:26" ht="12.75" hidden="1">
      <c r="A681" s="36" t="str">
        <f ca="1">IFERROR(__xludf.DUMMYFUNCTION("""COMPUTED_VALUE"""),"")</f>
        <v/>
      </c>
      <c r="B681" s="36" t="str">
        <f ca="1">IFERROR(__xludf.DUMMYFUNCTION("""COMPUTED_VALUE"""),"")</f>
        <v/>
      </c>
      <c r="C681" s="36" t="str">
        <f ca="1">IFERROR(__xludf.DUMMYFUNCTION("""COMPUTED_VALUE"""),"")</f>
        <v/>
      </c>
      <c r="D681" s="36" t="str">
        <f ca="1">IFERROR(__xludf.DUMMYFUNCTION("""COMPUTED_VALUE"""),"")</f>
        <v/>
      </c>
      <c r="E681" s="36" t="str">
        <f ca="1">IFERROR(__xludf.DUMMYFUNCTION("""COMPUTED_VALUE"""),"")</f>
        <v/>
      </c>
      <c r="F681" s="36" t="str">
        <f ca="1">IFERROR(__xludf.DUMMYFUNCTION("""COMPUTED_VALUE"""),"")</f>
        <v/>
      </c>
      <c r="G681" s="36" t="str">
        <f ca="1">IFERROR(__xludf.DUMMYFUNCTION("""COMPUTED_VALUE"""),"")</f>
        <v/>
      </c>
      <c r="H681" s="36" t="str">
        <f ca="1">IFERROR(__xludf.DUMMYFUNCTION("""COMPUTED_VALUE"""),"")</f>
        <v/>
      </c>
      <c r="I681" s="36" t="str">
        <f ca="1">IFERROR(__xludf.DUMMYFUNCTION("""COMPUTED_VALUE"""),"")</f>
        <v/>
      </c>
      <c r="J681" s="36" t="str">
        <f ca="1">IFERROR(__xludf.DUMMYFUNCTION("""COMPUTED_VALUE"""),"")</f>
        <v/>
      </c>
      <c r="K681" s="36" t="str">
        <f ca="1">IFERROR(__xludf.DUMMYFUNCTION("""COMPUTED_VALUE"""),"")</f>
        <v/>
      </c>
      <c r="L681" s="36" t="str">
        <f ca="1">IFERROR(__xludf.DUMMYFUNCTION("""COMPUTED_VALUE"""),"")</f>
        <v/>
      </c>
      <c r="M681" s="36" t="str">
        <f ca="1">IFERROR(__xludf.DUMMYFUNCTION("""COMPUTED_VALUE"""),"")</f>
        <v/>
      </c>
      <c r="N681" s="36" t="str">
        <f ca="1">IFERROR(__xludf.DUMMYFUNCTION("""COMPUTED_VALUE"""),"")</f>
        <v/>
      </c>
      <c r="O681" s="36" t="str">
        <f ca="1">IFERROR(__xludf.DUMMYFUNCTION("""COMPUTED_VALUE"""),"")</f>
        <v/>
      </c>
      <c r="P681" s="36" t="str">
        <f ca="1">IFERROR(__xludf.DUMMYFUNCTION("""COMPUTED_VALUE"""),"")</f>
        <v/>
      </c>
      <c r="Q681" s="36" t="str">
        <f ca="1">IFERROR(__xludf.DUMMYFUNCTION("""COMPUTED_VALUE"""),"")</f>
        <v/>
      </c>
      <c r="R681" s="36" t="str">
        <f ca="1">IFERROR(__xludf.DUMMYFUNCTION("""COMPUTED_VALUE"""),"")</f>
        <v/>
      </c>
      <c r="S681" s="36" t="str">
        <f ca="1">IFERROR(__xludf.DUMMYFUNCTION("""COMPUTED_VALUE"""),"")</f>
        <v/>
      </c>
      <c r="T681" s="36" t="str">
        <f ca="1">IFERROR(__xludf.DUMMYFUNCTION("""COMPUTED_VALUE"""),"")</f>
        <v/>
      </c>
      <c r="U681" s="36" t="str">
        <f ca="1">IFERROR(__xludf.DUMMYFUNCTION("""COMPUTED_VALUE"""),"")</f>
        <v/>
      </c>
      <c r="V681" s="36" t="str">
        <f ca="1">IFERROR(__xludf.DUMMYFUNCTION("""COMPUTED_VALUE"""),"")</f>
        <v/>
      </c>
      <c r="W681" s="36" t="str">
        <f ca="1">IFERROR(__xludf.DUMMYFUNCTION("""COMPUTED_VALUE"""),"")</f>
        <v/>
      </c>
      <c r="X681" s="36"/>
      <c r="Y681" s="36"/>
      <c r="Z681" s="36"/>
    </row>
    <row r="682" spans="1:26" ht="12.75" hidden="1">
      <c r="A682" s="36" t="str">
        <f ca="1">IFERROR(__xludf.DUMMYFUNCTION("""COMPUTED_VALUE"""),"")</f>
        <v/>
      </c>
      <c r="B682" s="36" t="str">
        <f ca="1">IFERROR(__xludf.DUMMYFUNCTION("""COMPUTED_VALUE"""),"")</f>
        <v/>
      </c>
      <c r="C682" s="36" t="str">
        <f ca="1">IFERROR(__xludf.DUMMYFUNCTION("""COMPUTED_VALUE"""),"")</f>
        <v/>
      </c>
      <c r="D682" s="36" t="str">
        <f ca="1">IFERROR(__xludf.DUMMYFUNCTION("""COMPUTED_VALUE"""),"")</f>
        <v/>
      </c>
      <c r="E682" s="36" t="str">
        <f ca="1">IFERROR(__xludf.DUMMYFUNCTION("""COMPUTED_VALUE"""),"")</f>
        <v/>
      </c>
      <c r="F682" s="36" t="str">
        <f ca="1">IFERROR(__xludf.DUMMYFUNCTION("""COMPUTED_VALUE"""),"")</f>
        <v/>
      </c>
      <c r="G682" s="36" t="str">
        <f ca="1">IFERROR(__xludf.DUMMYFUNCTION("""COMPUTED_VALUE"""),"")</f>
        <v/>
      </c>
      <c r="H682" s="36" t="str">
        <f ca="1">IFERROR(__xludf.DUMMYFUNCTION("""COMPUTED_VALUE"""),"")</f>
        <v/>
      </c>
      <c r="I682" s="36" t="str">
        <f ca="1">IFERROR(__xludf.DUMMYFUNCTION("""COMPUTED_VALUE"""),"")</f>
        <v/>
      </c>
      <c r="J682" s="36" t="str">
        <f ca="1">IFERROR(__xludf.DUMMYFUNCTION("""COMPUTED_VALUE"""),"")</f>
        <v/>
      </c>
      <c r="K682" s="36" t="str">
        <f ca="1">IFERROR(__xludf.DUMMYFUNCTION("""COMPUTED_VALUE"""),"")</f>
        <v/>
      </c>
      <c r="L682" s="36" t="str">
        <f ca="1">IFERROR(__xludf.DUMMYFUNCTION("""COMPUTED_VALUE"""),"")</f>
        <v/>
      </c>
      <c r="M682" s="36" t="str">
        <f ca="1">IFERROR(__xludf.DUMMYFUNCTION("""COMPUTED_VALUE"""),"")</f>
        <v/>
      </c>
      <c r="N682" s="36" t="str">
        <f ca="1">IFERROR(__xludf.DUMMYFUNCTION("""COMPUTED_VALUE"""),"")</f>
        <v/>
      </c>
      <c r="O682" s="36" t="str">
        <f ca="1">IFERROR(__xludf.DUMMYFUNCTION("""COMPUTED_VALUE"""),"")</f>
        <v/>
      </c>
      <c r="P682" s="36" t="str">
        <f ca="1">IFERROR(__xludf.DUMMYFUNCTION("""COMPUTED_VALUE"""),"")</f>
        <v/>
      </c>
      <c r="Q682" s="36" t="str">
        <f ca="1">IFERROR(__xludf.DUMMYFUNCTION("""COMPUTED_VALUE"""),"")</f>
        <v/>
      </c>
      <c r="R682" s="36" t="str">
        <f ca="1">IFERROR(__xludf.DUMMYFUNCTION("""COMPUTED_VALUE"""),"")</f>
        <v/>
      </c>
      <c r="S682" s="36" t="str">
        <f ca="1">IFERROR(__xludf.DUMMYFUNCTION("""COMPUTED_VALUE"""),"")</f>
        <v/>
      </c>
      <c r="T682" s="36" t="str">
        <f ca="1">IFERROR(__xludf.DUMMYFUNCTION("""COMPUTED_VALUE"""),"")</f>
        <v/>
      </c>
      <c r="U682" s="36" t="str">
        <f ca="1">IFERROR(__xludf.DUMMYFUNCTION("""COMPUTED_VALUE"""),"")</f>
        <v/>
      </c>
      <c r="V682" s="36" t="str">
        <f ca="1">IFERROR(__xludf.DUMMYFUNCTION("""COMPUTED_VALUE"""),"")</f>
        <v/>
      </c>
      <c r="W682" s="36" t="str">
        <f ca="1">IFERROR(__xludf.DUMMYFUNCTION("""COMPUTED_VALUE"""),"")</f>
        <v/>
      </c>
      <c r="X682" s="36"/>
      <c r="Y682" s="36"/>
      <c r="Z682" s="36"/>
    </row>
    <row r="683" spans="1:26" ht="12.75" hidden="1">
      <c r="A683" s="36" t="str">
        <f ca="1">IFERROR(__xludf.DUMMYFUNCTION("""COMPUTED_VALUE"""),"")</f>
        <v/>
      </c>
      <c r="B683" s="36" t="str">
        <f ca="1">IFERROR(__xludf.DUMMYFUNCTION("""COMPUTED_VALUE"""),"")</f>
        <v/>
      </c>
      <c r="C683" s="36" t="str">
        <f ca="1">IFERROR(__xludf.DUMMYFUNCTION("""COMPUTED_VALUE"""),"")</f>
        <v/>
      </c>
      <c r="D683" s="36" t="str">
        <f ca="1">IFERROR(__xludf.DUMMYFUNCTION("""COMPUTED_VALUE"""),"")</f>
        <v/>
      </c>
      <c r="E683" s="36" t="str">
        <f ca="1">IFERROR(__xludf.DUMMYFUNCTION("""COMPUTED_VALUE"""),"")</f>
        <v/>
      </c>
      <c r="F683" s="36" t="str">
        <f ca="1">IFERROR(__xludf.DUMMYFUNCTION("""COMPUTED_VALUE"""),"")</f>
        <v/>
      </c>
      <c r="G683" s="36" t="str">
        <f ca="1">IFERROR(__xludf.DUMMYFUNCTION("""COMPUTED_VALUE"""),"")</f>
        <v/>
      </c>
      <c r="H683" s="36" t="str">
        <f ca="1">IFERROR(__xludf.DUMMYFUNCTION("""COMPUTED_VALUE"""),"")</f>
        <v/>
      </c>
      <c r="I683" s="36" t="str">
        <f ca="1">IFERROR(__xludf.DUMMYFUNCTION("""COMPUTED_VALUE"""),"")</f>
        <v/>
      </c>
      <c r="J683" s="36" t="str">
        <f ca="1">IFERROR(__xludf.DUMMYFUNCTION("""COMPUTED_VALUE"""),"")</f>
        <v/>
      </c>
      <c r="K683" s="36" t="str">
        <f ca="1">IFERROR(__xludf.DUMMYFUNCTION("""COMPUTED_VALUE"""),"")</f>
        <v/>
      </c>
      <c r="L683" s="36" t="str">
        <f ca="1">IFERROR(__xludf.DUMMYFUNCTION("""COMPUTED_VALUE"""),"")</f>
        <v/>
      </c>
      <c r="M683" s="36" t="str">
        <f ca="1">IFERROR(__xludf.DUMMYFUNCTION("""COMPUTED_VALUE"""),"")</f>
        <v/>
      </c>
      <c r="N683" s="36" t="str">
        <f ca="1">IFERROR(__xludf.DUMMYFUNCTION("""COMPUTED_VALUE"""),"")</f>
        <v/>
      </c>
      <c r="O683" s="36" t="str">
        <f ca="1">IFERROR(__xludf.DUMMYFUNCTION("""COMPUTED_VALUE"""),"")</f>
        <v/>
      </c>
      <c r="P683" s="36" t="str">
        <f ca="1">IFERROR(__xludf.DUMMYFUNCTION("""COMPUTED_VALUE"""),"")</f>
        <v/>
      </c>
      <c r="Q683" s="36" t="str">
        <f ca="1">IFERROR(__xludf.DUMMYFUNCTION("""COMPUTED_VALUE"""),"")</f>
        <v/>
      </c>
      <c r="R683" s="36" t="str">
        <f ca="1">IFERROR(__xludf.DUMMYFUNCTION("""COMPUTED_VALUE"""),"")</f>
        <v/>
      </c>
      <c r="S683" s="36" t="str">
        <f ca="1">IFERROR(__xludf.DUMMYFUNCTION("""COMPUTED_VALUE"""),"")</f>
        <v/>
      </c>
      <c r="T683" s="36" t="str">
        <f ca="1">IFERROR(__xludf.DUMMYFUNCTION("""COMPUTED_VALUE"""),"")</f>
        <v/>
      </c>
      <c r="U683" s="36" t="str">
        <f ca="1">IFERROR(__xludf.DUMMYFUNCTION("""COMPUTED_VALUE"""),"")</f>
        <v/>
      </c>
      <c r="V683" s="36" t="str">
        <f ca="1">IFERROR(__xludf.DUMMYFUNCTION("""COMPUTED_VALUE"""),"")</f>
        <v/>
      </c>
      <c r="W683" s="36" t="str">
        <f ca="1">IFERROR(__xludf.DUMMYFUNCTION("""COMPUTED_VALUE"""),"")</f>
        <v/>
      </c>
      <c r="X683" s="36"/>
      <c r="Y683" s="36"/>
      <c r="Z683" s="36"/>
    </row>
    <row r="684" spans="1:26" ht="12.75" hidden="1">
      <c r="A684" s="36" t="str">
        <f ca="1">IFERROR(__xludf.DUMMYFUNCTION("""COMPUTED_VALUE"""),"")</f>
        <v/>
      </c>
      <c r="B684" s="36" t="str">
        <f ca="1">IFERROR(__xludf.DUMMYFUNCTION("""COMPUTED_VALUE"""),"")</f>
        <v/>
      </c>
      <c r="C684" s="36" t="str">
        <f ca="1">IFERROR(__xludf.DUMMYFUNCTION("""COMPUTED_VALUE"""),"")</f>
        <v/>
      </c>
      <c r="D684" s="36" t="str">
        <f ca="1">IFERROR(__xludf.DUMMYFUNCTION("""COMPUTED_VALUE"""),"")</f>
        <v/>
      </c>
      <c r="E684" s="36" t="str">
        <f ca="1">IFERROR(__xludf.DUMMYFUNCTION("""COMPUTED_VALUE"""),"")</f>
        <v/>
      </c>
      <c r="F684" s="36" t="str">
        <f ca="1">IFERROR(__xludf.DUMMYFUNCTION("""COMPUTED_VALUE"""),"")</f>
        <v/>
      </c>
      <c r="G684" s="36" t="str">
        <f ca="1">IFERROR(__xludf.DUMMYFUNCTION("""COMPUTED_VALUE"""),"")</f>
        <v/>
      </c>
      <c r="H684" s="36" t="str">
        <f ca="1">IFERROR(__xludf.DUMMYFUNCTION("""COMPUTED_VALUE"""),"")</f>
        <v/>
      </c>
      <c r="I684" s="36" t="str">
        <f ca="1">IFERROR(__xludf.DUMMYFUNCTION("""COMPUTED_VALUE"""),"")</f>
        <v/>
      </c>
      <c r="J684" s="36" t="str">
        <f ca="1">IFERROR(__xludf.DUMMYFUNCTION("""COMPUTED_VALUE"""),"")</f>
        <v/>
      </c>
      <c r="K684" s="36" t="str">
        <f ca="1">IFERROR(__xludf.DUMMYFUNCTION("""COMPUTED_VALUE"""),"")</f>
        <v/>
      </c>
      <c r="L684" s="36" t="str">
        <f ca="1">IFERROR(__xludf.DUMMYFUNCTION("""COMPUTED_VALUE"""),"")</f>
        <v/>
      </c>
      <c r="M684" s="36" t="str">
        <f ca="1">IFERROR(__xludf.DUMMYFUNCTION("""COMPUTED_VALUE"""),"")</f>
        <v/>
      </c>
      <c r="N684" s="36" t="str">
        <f ca="1">IFERROR(__xludf.DUMMYFUNCTION("""COMPUTED_VALUE"""),"")</f>
        <v/>
      </c>
      <c r="O684" s="36" t="str">
        <f ca="1">IFERROR(__xludf.DUMMYFUNCTION("""COMPUTED_VALUE"""),"")</f>
        <v/>
      </c>
      <c r="P684" s="36" t="str">
        <f ca="1">IFERROR(__xludf.DUMMYFUNCTION("""COMPUTED_VALUE"""),"")</f>
        <v/>
      </c>
      <c r="Q684" s="36" t="str">
        <f ca="1">IFERROR(__xludf.DUMMYFUNCTION("""COMPUTED_VALUE"""),"")</f>
        <v/>
      </c>
      <c r="R684" s="36" t="str">
        <f ca="1">IFERROR(__xludf.DUMMYFUNCTION("""COMPUTED_VALUE"""),"")</f>
        <v/>
      </c>
      <c r="S684" s="36" t="str">
        <f ca="1">IFERROR(__xludf.DUMMYFUNCTION("""COMPUTED_VALUE"""),"")</f>
        <v/>
      </c>
      <c r="T684" s="36" t="str">
        <f ca="1">IFERROR(__xludf.DUMMYFUNCTION("""COMPUTED_VALUE"""),"")</f>
        <v/>
      </c>
      <c r="U684" s="36" t="str">
        <f ca="1">IFERROR(__xludf.DUMMYFUNCTION("""COMPUTED_VALUE"""),"")</f>
        <v/>
      </c>
      <c r="V684" s="36" t="str">
        <f ca="1">IFERROR(__xludf.DUMMYFUNCTION("""COMPUTED_VALUE"""),"")</f>
        <v/>
      </c>
      <c r="W684" s="36" t="str">
        <f ca="1">IFERROR(__xludf.DUMMYFUNCTION("""COMPUTED_VALUE"""),"")</f>
        <v/>
      </c>
      <c r="X684" s="36"/>
      <c r="Y684" s="36"/>
      <c r="Z684" s="36"/>
    </row>
    <row r="685" spans="1:26" ht="12.75" hidden="1">
      <c r="A685" s="36" t="str">
        <f ca="1">IFERROR(__xludf.DUMMYFUNCTION("""COMPUTED_VALUE"""),"")</f>
        <v/>
      </c>
      <c r="B685" s="36" t="str">
        <f ca="1">IFERROR(__xludf.DUMMYFUNCTION("""COMPUTED_VALUE"""),"")</f>
        <v/>
      </c>
      <c r="C685" s="36" t="str">
        <f ca="1">IFERROR(__xludf.DUMMYFUNCTION("""COMPUTED_VALUE"""),"")</f>
        <v/>
      </c>
      <c r="D685" s="36" t="str">
        <f ca="1">IFERROR(__xludf.DUMMYFUNCTION("""COMPUTED_VALUE"""),"")</f>
        <v/>
      </c>
      <c r="E685" s="36" t="str">
        <f ca="1">IFERROR(__xludf.DUMMYFUNCTION("""COMPUTED_VALUE"""),"")</f>
        <v/>
      </c>
      <c r="F685" s="36" t="str">
        <f ca="1">IFERROR(__xludf.DUMMYFUNCTION("""COMPUTED_VALUE"""),"")</f>
        <v/>
      </c>
      <c r="G685" s="36" t="str">
        <f ca="1">IFERROR(__xludf.DUMMYFUNCTION("""COMPUTED_VALUE"""),"")</f>
        <v/>
      </c>
      <c r="H685" s="36" t="str">
        <f ca="1">IFERROR(__xludf.DUMMYFUNCTION("""COMPUTED_VALUE"""),"")</f>
        <v/>
      </c>
      <c r="I685" s="36" t="str">
        <f ca="1">IFERROR(__xludf.DUMMYFUNCTION("""COMPUTED_VALUE"""),"")</f>
        <v/>
      </c>
      <c r="J685" s="36" t="str">
        <f ca="1">IFERROR(__xludf.DUMMYFUNCTION("""COMPUTED_VALUE"""),"")</f>
        <v/>
      </c>
      <c r="K685" s="36" t="str">
        <f ca="1">IFERROR(__xludf.DUMMYFUNCTION("""COMPUTED_VALUE"""),"")</f>
        <v/>
      </c>
      <c r="L685" s="36" t="str">
        <f ca="1">IFERROR(__xludf.DUMMYFUNCTION("""COMPUTED_VALUE"""),"")</f>
        <v/>
      </c>
      <c r="M685" s="36" t="str">
        <f ca="1">IFERROR(__xludf.DUMMYFUNCTION("""COMPUTED_VALUE"""),"")</f>
        <v/>
      </c>
      <c r="N685" s="36" t="str">
        <f ca="1">IFERROR(__xludf.DUMMYFUNCTION("""COMPUTED_VALUE"""),"")</f>
        <v/>
      </c>
      <c r="O685" s="36" t="str">
        <f ca="1">IFERROR(__xludf.DUMMYFUNCTION("""COMPUTED_VALUE"""),"")</f>
        <v/>
      </c>
      <c r="P685" s="36" t="str">
        <f ca="1">IFERROR(__xludf.DUMMYFUNCTION("""COMPUTED_VALUE"""),"")</f>
        <v/>
      </c>
      <c r="Q685" s="36" t="str">
        <f ca="1">IFERROR(__xludf.DUMMYFUNCTION("""COMPUTED_VALUE"""),"")</f>
        <v/>
      </c>
      <c r="R685" s="36" t="str">
        <f ca="1">IFERROR(__xludf.DUMMYFUNCTION("""COMPUTED_VALUE"""),"")</f>
        <v/>
      </c>
      <c r="S685" s="36" t="str">
        <f ca="1">IFERROR(__xludf.DUMMYFUNCTION("""COMPUTED_VALUE"""),"")</f>
        <v/>
      </c>
      <c r="T685" s="36" t="str">
        <f ca="1">IFERROR(__xludf.DUMMYFUNCTION("""COMPUTED_VALUE"""),"")</f>
        <v/>
      </c>
      <c r="U685" s="36" t="str">
        <f ca="1">IFERROR(__xludf.DUMMYFUNCTION("""COMPUTED_VALUE"""),"")</f>
        <v/>
      </c>
      <c r="V685" s="36" t="str">
        <f ca="1">IFERROR(__xludf.DUMMYFUNCTION("""COMPUTED_VALUE"""),"")</f>
        <v/>
      </c>
      <c r="W685" s="36" t="str">
        <f ca="1">IFERROR(__xludf.DUMMYFUNCTION("""COMPUTED_VALUE"""),"")</f>
        <v/>
      </c>
      <c r="X685" s="36"/>
      <c r="Y685" s="36"/>
      <c r="Z685" s="36"/>
    </row>
    <row r="686" spans="1:26" ht="12.75" hidden="1">
      <c r="A686" s="36" t="str">
        <f ca="1">IFERROR(__xludf.DUMMYFUNCTION("""COMPUTED_VALUE"""),"")</f>
        <v/>
      </c>
      <c r="B686" s="36" t="str">
        <f ca="1">IFERROR(__xludf.DUMMYFUNCTION("""COMPUTED_VALUE"""),"")</f>
        <v/>
      </c>
      <c r="C686" s="36" t="str">
        <f ca="1">IFERROR(__xludf.DUMMYFUNCTION("""COMPUTED_VALUE"""),"")</f>
        <v/>
      </c>
      <c r="D686" s="36" t="str">
        <f ca="1">IFERROR(__xludf.DUMMYFUNCTION("""COMPUTED_VALUE"""),"")</f>
        <v/>
      </c>
      <c r="E686" s="36" t="str">
        <f ca="1">IFERROR(__xludf.DUMMYFUNCTION("""COMPUTED_VALUE"""),"")</f>
        <v/>
      </c>
      <c r="F686" s="36" t="str">
        <f ca="1">IFERROR(__xludf.DUMMYFUNCTION("""COMPUTED_VALUE"""),"")</f>
        <v/>
      </c>
      <c r="G686" s="36" t="str">
        <f ca="1">IFERROR(__xludf.DUMMYFUNCTION("""COMPUTED_VALUE"""),"")</f>
        <v/>
      </c>
      <c r="H686" s="36" t="str">
        <f ca="1">IFERROR(__xludf.DUMMYFUNCTION("""COMPUTED_VALUE"""),"")</f>
        <v/>
      </c>
      <c r="I686" s="36" t="str">
        <f ca="1">IFERROR(__xludf.DUMMYFUNCTION("""COMPUTED_VALUE"""),"")</f>
        <v/>
      </c>
      <c r="J686" s="36" t="str">
        <f ca="1">IFERROR(__xludf.DUMMYFUNCTION("""COMPUTED_VALUE"""),"")</f>
        <v/>
      </c>
      <c r="K686" s="36" t="str">
        <f ca="1">IFERROR(__xludf.DUMMYFUNCTION("""COMPUTED_VALUE"""),"")</f>
        <v/>
      </c>
      <c r="L686" s="36" t="str">
        <f ca="1">IFERROR(__xludf.DUMMYFUNCTION("""COMPUTED_VALUE"""),"")</f>
        <v/>
      </c>
      <c r="M686" s="36" t="str">
        <f ca="1">IFERROR(__xludf.DUMMYFUNCTION("""COMPUTED_VALUE"""),"")</f>
        <v/>
      </c>
      <c r="N686" s="36" t="str">
        <f ca="1">IFERROR(__xludf.DUMMYFUNCTION("""COMPUTED_VALUE"""),"")</f>
        <v/>
      </c>
      <c r="O686" s="36" t="str">
        <f ca="1">IFERROR(__xludf.DUMMYFUNCTION("""COMPUTED_VALUE"""),"")</f>
        <v/>
      </c>
      <c r="P686" s="36" t="str">
        <f ca="1">IFERROR(__xludf.DUMMYFUNCTION("""COMPUTED_VALUE"""),"")</f>
        <v/>
      </c>
      <c r="Q686" s="36" t="str">
        <f ca="1">IFERROR(__xludf.DUMMYFUNCTION("""COMPUTED_VALUE"""),"")</f>
        <v/>
      </c>
      <c r="R686" s="36" t="str">
        <f ca="1">IFERROR(__xludf.DUMMYFUNCTION("""COMPUTED_VALUE"""),"")</f>
        <v/>
      </c>
      <c r="S686" s="36" t="str">
        <f ca="1">IFERROR(__xludf.DUMMYFUNCTION("""COMPUTED_VALUE"""),"")</f>
        <v/>
      </c>
      <c r="T686" s="36" t="str">
        <f ca="1">IFERROR(__xludf.DUMMYFUNCTION("""COMPUTED_VALUE"""),"")</f>
        <v/>
      </c>
      <c r="U686" s="36" t="str">
        <f ca="1">IFERROR(__xludf.DUMMYFUNCTION("""COMPUTED_VALUE"""),"")</f>
        <v/>
      </c>
      <c r="V686" s="36" t="str">
        <f ca="1">IFERROR(__xludf.DUMMYFUNCTION("""COMPUTED_VALUE"""),"")</f>
        <v/>
      </c>
      <c r="W686" s="36" t="str">
        <f ca="1">IFERROR(__xludf.DUMMYFUNCTION("""COMPUTED_VALUE"""),"")</f>
        <v/>
      </c>
      <c r="X686" s="36"/>
      <c r="Y686" s="36"/>
      <c r="Z686" s="36"/>
    </row>
    <row r="687" spans="1:26" ht="12.75" hidden="1">
      <c r="A687" s="36" t="str">
        <f ca="1">IFERROR(__xludf.DUMMYFUNCTION("""COMPUTED_VALUE"""),"")</f>
        <v/>
      </c>
      <c r="B687" s="36" t="str">
        <f ca="1">IFERROR(__xludf.DUMMYFUNCTION("""COMPUTED_VALUE"""),"")</f>
        <v/>
      </c>
      <c r="C687" s="36" t="str">
        <f ca="1">IFERROR(__xludf.DUMMYFUNCTION("""COMPUTED_VALUE"""),"")</f>
        <v/>
      </c>
      <c r="D687" s="36" t="str">
        <f ca="1">IFERROR(__xludf.DUMMYFUNCTION("""COMPUTED_VALUE"""),"")</f>
        <v/>
      </c>
      <c r="E687" s="36" t="str">
        <f ca="1">IFERROR(__xludf.DUMMYFUNCTION("""COMPUTED_VALUE"""),"")</f>
        <v/>
      </c>
      <c r="F687" s="36" t="str">
        <f ca="1">IFERROR(__xludf.DUMMYFUNCTION("""COMPUTED_VALUE"""),"")</f>
        <v/>
      </c>
      <c r="G687" s="36" t="str">
        <f ca="1">IFERROR(__xludf.DUMMYFUNCTION("""COMPUTED_VALUE"""),"")</f>
        <v/>
      </c>
      <c r="H687" s="36" t="str">
        <f ca="1">IFERROR(__xludf.DUMMYFUNCTION("""COMPUTED_VALUE"""),"")</f>
        <v/>
      </c>
      <c r="I687" s="36" t="str">
        <f ca="1">IFERROR(__xludf.DUMMYFUNCTION("""COMPUTED_VALUE"""),"")</f>
        <v/>
      </c>
      <c r="J687" s="36" t="str">
        <f ca="1">IFERROR(__xludf.DUMMYFUNCTION("""COMPUTED_VALUE"""),"")</f>
        <v/>
      </c>
      <c r="K687" s="36" t="str">
        <f ca="1">IFERROR(__xludf.DUMMYFUNCTION("""COMPUTED_VALUE"""),"")</f>
        <v/>
      </c>
      <c r="L687" s="36" t="str">
        <f ca="1">IFERROR(__xludf.DUMMYFUNCTION("""COMPUTED_VALUE"""),"")</f>
        <v/>
      </c>
      <c r="M687" s="36" t="str">
        <f ca="1">IFERROR(__xludf.DUMMYFUNCTION("""COMPUTED_VALUE"""),"")</f>
        <v/>
      </c>
      <c r="N687" s="36" t="str">
        <f ca="1">IFERROR(__xludf.DUMMYFUNCTION("""COMPUTED_VALUE"""),"")</f>
        <v/>
      </c>
      <c r="O687" s="36" t="str">
        <f ca="1">IFERROR(__xludf.DUMMYFUNCTION("""COMPUTED_VALUE"""),"")</f>
        <v/>
      </c>
      <c r="P687" s="36" t="str">
        <f ca="1">IFERROR(__xludf.DUMMYFUNCTION("""COMPUTED_VALUE"""),"")</f>
        <v/>
      </c>
      <c r="Q687" s="36" t="str">
        <f ca="1">IFERROR(__xludf.DUMMYFUNCTION("""COMPUTED_VALUE"""),"")</f>
        <v/>
      </c>
      <c r="R687" s="36" t="str">
        <f ca="1">IFERROR(__xludf.DUMMYFUNCTION("""COMPUTED_VALUE"""),"")</f>
        <v/>
      </c>
      <c r="S687" s="36" t="str">
        <f ca="1">IFERROR(__xludf.DUMMYFUNCTION("""COMPUTED_VALUE"""),"")</f>
        <v/>
      </c>
      <c r="T687" s="36" t="str">
        <f ca="1">IFERROR(__xludf.DUMMYFUNCTION("""COMPUTED_VALUE"""),"")</f>
        <v/>
      </c>
      <c r="U687" s="36" t="str">
        <f ca="1">IFERROR(__xludf.DUMMYFUNCTION("""COMPUTED_VALUE"""),"")</f>
        <v/>
      </c>
      <c r="V687" s="36" t="str">
        <f ca="1">IFERROR(__xludf.DUMMYFUNCTION("""COMPUTED_VALUE"""),"")</f>
        <v/>
      </c>
      <c r="W687" s="36" t="str">
        <f ca="1">IFERROR(__xludf.DUMMYFUNCTION("""COMPUTED_VALUE"""),"")</f>
        <v/>
      </c>
      <c r="X687" s="36"/>
      <c r="Y687" s="36"/>
      <c r="Z687" s="36"/>
    </row>
    <row r="688" spans="1:26" ht="12.75" hidden="1">
      <c r="A688" s="36" t="str">
        <f ca="1">IFERROR(__xludf.DUMMYFUNCTION("""COMPUTED_VALUE"""),"")</f>
        <v/>
      </c>
      <c r="B688" s="36" t="str">
        <f ca="1">IFERROR(__xludf.DUMMYFUNCTION("""COMPUTED_VALUE"""),"")</f>
        <v/>
      </c>
      <c r="C688" s="36" t="str">
        <f ca="1">IFERROR(__xludf.DUMMYFUNCTION("""COMPUTED_VALUE"""),"")</f>
        <v/>
      </c>
      <c r="D688" s="36" t="str">
        <f ca="1">IFERROR(__xludf.DUMMYFUNCTION("""COMPUTED_VALUE"""),"")</f>
        <v/>
      </c>
      <c r="E688" s="36" t="str">
        <f ca="1">IFERROR(__xludf.DUMMYFUNCTION("""COMPUTED_VALUE"""),"")</f>
        <v/>
      </c>
      <c r="F688" s="36" t="str">
        <f ca="1">IFERROR(__xludf.DUMMYFUNCTION("""COMPUTED_VALUE"""),"")</f>
        <v/>
      </c>
      <c r="G688" s="36" t="str">
        <f ca="1">IFERROR(__xludf.DUMMYFUNCTION("""COMPUTED_VALUE"""),"")</f>
        <v/>
      </c>
      <c r="H688" s="36" t="str">
        <f ca="1">IFERROR(__xludf.DUMMYFUNCTION("""COMPUTED_VALUE"""),"")</f>
        <v/>
      </c>
      <c r="I688" s="36" t="str">
        <f ca="1">IFERROR(__xludf.DUMMYFUNCTION("""COMPUTED_VALUE"""),"")</f>
        <v/>
      </c>
      <c r="J688" s="36" t="str">
        <f ca="1">IFERROR(__xludf.DUMMYFUNCTION("""COMPUTED_VALUE"""),"")</f>
        <v/>
      </c>
      <c r="K688" s="36" t="str">
        <f ca="1">IFERROR(__xludf.DUMMYFUNCTION("""COMPUTED_VALUE"""),"")</f>
        <v/>
      </c>
      <c r="L688" s="36" t="str">
        <f ca="1">IFERROR(__xludf.DUMMYFUNCTION("""COMPUTED_VALUE"""),"")</f>
        <v/>
      </c>
      <c r="M688" s="36" t="str">
        <f ca="1">IFERROR(__xludf.DUMMYFUNCTION("""COMPUTED_VALUE"""),"")</f>
        <v/>
      </c>
      <c r="N688" s="36" t="str">
        <f ca="1">IFERROR(__xludf.DUMMYFUNCTION("""COMPUTED_VALUE"""),"")</f>
        <v/>
      </c>
      <c r="O688" s="36" t="str">
        <f ca="1">IFERROR(__xludf.DUMMYFUNCTION("""COMPUTED_VALUE"""),"")</f>
        <v/>
      </c>
      <c r="P688" s="36" t="str">
        <f ca="1">IFERROR(__xludf.DUMMYFUNCTION("""COMPUTED_VALUE"""),"")</f>
        <v/>
      </c>
      <c r="Q688" s="36" t="str">
        <f ca="1">IFERROR(__xludf.DUMMYFUNCTION("""COMPUTED_VALUE"""),"")</f>
        <v/>
      </c>
      <c r="R688" s="36" t="str">
        <f ca="1">IFERROR(__xludf.DUMMYFUNCTION("""COMPUTED_VALUE"""),"")</f>
        <v/>
      </c>
      <c r="S688" s="36" t="str">
        <f ca="1">IFERROR(__xludf.DUMMYFUNCTION("""COMPUTED_VALUE"""),"")</f>
        <v/>
      </c>
      <c r="T688" s="36" t="str">
        <f ca="1">IFERROR(__xludf.DUMMYFUNCTION("""COMPUTED_VALUE"""),"")</f>
        <v/>
      </c>
      <c r="U688" s="36" t="str">
        <f ca="1">IFERROR(__xludf.DUMMYFUNCTION("""COMPUTED_VALUE"""),"")</f>
        <v/>
      </c>
      <c r="V688" s="36" t="str">
        <f ca="1">IFERROR(__xludf.DUMMYFUNCTION("""COMPUTED_VALUE"""),"")</f>
        <v/>
      </c>
      <c r="W688" s="36" t="str">
        <f ca="1">IFERROR(__xludf.DUMMYFUNCTION("""COMPUTED_VALUE"""),"")</f>
        <v/>
      </c>
      <c r="X688" s="36"/>
      <c r="Y688" s="36"/>
      <c r="Z688" s="36"/>
    </row>
    <row r="689" spans="1:26" ht="12.75" hidden="1">
      <c r="A689" s="36" t="str">
        <f ca="1">IFERROR(__xludf.DUMMYFUNCTION("""COMPUTED_VALUE"""),"")</f>
        <v/>
      </c>
      <c r="B689" s="36" t="str">
        <f ca="1">IFERROR(__xludf.DUMMYFUNCTION("""COMPUTED_VALUE"""),"")</f>
        <v/>
      </c>
      <c r="C689" s="36" t="str">
        <f ca="1">IFERROR(__xludf.DUMMYFUNCTION("""COMPUTED_VALUE"""),"")</f>
        <v/>
      </c>
      <c r="D689" s="36" t="str">
        <f ca="1">IFERROR(__xludf.DUMMYFUNCTION("""COMPUTED_VALUE"""),"")</f>
        <v/>
      </c>
      <c r="E689" s="36" t="str">
        <f ca="1">IFERROR(__xludf.DUMMYFUNCTION("""COMPUTED_VALUE"""),"")</f>
        <v/>
      </c>
      <c r="F689" s="36" t="str">
        <f ca="1">IFERROR(__xludf.DUMMYFUNCTION("""COMPUTED_VALUE"""),"")</f>
        <v/>
      </c>
      <c r="G689" s="36" t="str">
        <f ca="1">IFERROR(__xludf.DUMMYFUNCTION("""COMPUTED_VALUE"""),"")</f>
        <v/>
      </c>
      <c r="H689" s="36" t="str">
        <f ca="1">IFERROR(__xludf.DUMMYFUNCTION("""COMPUTED_VALUE"""),"")</f>
        <v/>
      </c>
      <c r="I689" s="36" t="str">
        <f ca="1">IFERROR(__xludf.DUMMYFUNCTION("""COMPUTED_VALUE"""),"")</f>
        <v/>
      </c>
      <c r="J689" s="36" t="str">
        <f ca="1">IFERROR(__xludf.DUMMYFUNCTION("""COMPUTED_VALUE"""),"")</f>
        <v/>
      </c>
      <c r="K689" s="36" t="str">
        <f ca="1">IFERROR(__xludf.DUMMYFUNCTION("""COMPUTED_VALUE"""),"")</f>
        <v/>
      </c>
      <c r="L689" s="36" t="str">
        <f ca="1">IFERROR(__xludf.DUMMYFUNCTION("""COMPUTED_VALUE"""),"")</f>
        <v/>
      </c>
      <c r="M689" s="36" t="str">
        <f ca="1">IFERROR(__xludf.DUMMYFUNCTION("""COMPUTED_VALUE"""),"")</f>
        <v/>
      </c>
      <c r="N689" s="36" t="str">
        <f ca="1">IFERROR(__xludf.DUMMYFUNCTION("""COMPUTED_VALUE"""),"")</f>
        <v/>
      </c>
      <c r="O689" s="36" t="str">
        <f ca="1">IFERROR(__xludf.DUMMYFUNCTION("""COMPUTED_VALUE"""),"")</f>
        <v/>
      </c>
      <c r="P689" s="36" t="str">
        <f ca="1">IFERROR(__xludf.DUMMYFUNCTION("""COMPUTED_VALUE"""),"")</f>
        <v/>
      </c>
      <c r="Q689" s="36" t="str">
        <f ca="1">IFERROR(__xludf.DUMMYFUNCTION("""COMPUTED_VALUE"""),"")</f>
        <v/>
      </c>
      <c r="R689" s="36" t="str">
        <f ca="1">IFERROR(__xludf.DUMMYFUNCTION("""COMPUTED_VALUE"""),"")</f>
        <v/>
      </c>
      <c r="S689" s="36" t="str">
        <f ca="1">IFERROR(__xludf.DUMMYFUNCTION("""COMPUTED_VALUE"""),"")</f>
        <v/>
      </c>
      <c r="T689" s="36" t="str">
        <f ca="1">IFERROR(__xludf.DUMMYFUNCTION("""COMPUTED_VALUE"""),"")</f>
        <v/>
      </c>
      <c r="U689" s="36" t="str">
        <f ca="1">IFERROR(__xludf.DUMMYFUNCTION("""COMPUTED_VALUE"""),"")</f>
        <v/>
      </c>
      <c r="V689" s="36" t="str">
        <f ca="1">IFERROR(__xludf.DUMMYFUNCTION("""COMPUTED_VALUE"""),"")</f>
        <v/>
      </c>
      <c r="W689" s="36" t="str">
        <f ca="1">IFERROR(__xludf.DUMMYFUNCTION("""COMPUTED_VALUE"""),"")</f>
        <v/>
      </c>
      <c r="X689" s="36"/>
      <c r="Y689" s="36"/>
      <c r="Z689" s="36"/>
    </row>
    <row r="690" spans="1:26" ht="12.75" hidden="1">
      <c r="A690" s="36" t="str">
        <f ca="1">IFERROR(__xludf.DUMMYFUNCTION("""COMPUTED_VALUE"""),"")</f>
        <v/>
      </c>
      <c r="B690" s="36" t="str">
        <f ca="1">IFERROR(__xludf.DUMMYFUNCTION("""COMPUTED_VALUE"""),"")</f>
        <v/>
      </c>
      <c r="C690" s="36" t="str">
        <f ca="1">IFERROR(__xludf.DUMMYFUNCTION("""COMPUTED_VALUE"""),"")</f>
        <v/>
      </c>
      <c r="D690" s="36" t="str">
        <f ca="1">IFERROR(__xludf.DUMMYFUNCTION("""COMPUTED_VALUE"""),"")</f>
        <v/>
      </c>
      <c r="E690" s="36" t="str">
        <f ca="1">IFERROR(__xludf.DUMMYFUNCTION("""COMPUTED_VALUE"""),"")</f>
        <v/>
      </c>
      <c r="F690" s="36" t="str">
        <f ca="1">IFERROR(__xludf.DUMMYFUNCTION("""COMPUTED_VALUE"""),"")</f>
        <v/>
      </c>
      <c r="G690" s="36" t="str">
        <f ca="1">IFERROR(__xludf.DUMMYFUNCTION("""COMPUTED_VALUE"""),"")</f>
        <v/>
      </c>
      <c r="H690" s="36" t="str">
        <f ca="1">IFERROR(__xludf.DUMMYFUNCTION("""COMPUTED_VALUE"""),"")</f>
        <v/>
      </c>
      <c r="I690" s="36" t="str">
        <f ca="1">IFERROR(__xludf.DUMMYFUNCTION("""COMPUTED_VALUE"""),"")</f>
        <v/>
      </c>
      <c r="J690" s="36" t="str">
        <f ca="1">IFERROR(__xludf.DUMMYFUNCTION("""COMPUTED_VALUE"""),"")</f>
        <v/>
      </c>
      <c r="K690" s="36" t="str">
        <f ca="1">IFERROR(__xludf.DUMMYFUNCTION("""COMPUTED_VALUE"""),"")</f>
        <v/>
      </c>
      <c r="L690" s="36" t="str">
        <f ca="1">IFERROR(__xludf.DUMMYFUNCTION("""COMPUTED_VALUE"""),"")</f>
        <v/>
      </c>
      <c r="M690" s="36" t="str">
        <f ca="1">IFERROR(__xludf.DUMMYFUNCTION("""COMPUTED_VALUE"""),"")</f>
        <v/>
      </c>
      <c r="N690" s="36" t="str">
        <f ca="1">IFERROR(__xludf.DUMMYFUNCTION("""COMPUTED_VALUE"""),"")</f>
        <v/>
      </c>
      <c r="O690" s="36" t="str">
        <f ca="1">IFERROR(__xludf.DUMMYFUNCTION("""COMPUTED_VALUE"""),"")</f>
        <v/>
      </c>
      <c r="P690" s="36" t="str">
        <f ca="1">IFERROR(__xludf.DUMMYFUNCTION("""COMPUTED_VALUE"""),"")</f>
        <v/>
      </c>
      <c r="Q690" s="36" t="str">
        <f ca="1">IFERROR(__xludf.DUMMYFUNCTION("""COMPUTED_VALUE"""),"")</f>
        <v/>
      </c>
      <c r="R690" s="36" t="str">
        <f ca="1">IFERROR(__xludf.DUMMYFUNCTION("""COMPUTED_VALUE"""),"")</f>
        <v/>
      </c>
      <c r="S690" s="36" t="str">
        <f ca="1">IFERROR(__xludf.DUMMYFUNCTION("""COMPUTED_VALUE"""),"")</f>
        <v/>
      </c>
      <c r="T690" s="36" t="str">
        <f ca="1">IFERROR(__xludf.DUMMYFUNCTION("""COMPUTED_VALUE"""),"")</f>
        <v/>
      </c>
      <c r="U690" s="36" t="str">
        <f ca="1">IFERROR(__xludf.DUMMYFUNCTION("""COMPUTED_VALUE"""),"")</f>
        <v/>
      </c>
      <c r="V690" s="36" t="str">
        <f ca="1">IFERROR(__xludf.DUMMYFUNCTION("""COMPUTED_VALUE"""),"")</f>
        <v/>
      </c>
      <c r="W690" s="36" t="str">
        <f ca="1">IFERROR(__xludf.DUMMYFUNCTION("""COMPUTED_VALUE"""),"")</f>
        <v/>
      </c>
      <c r="X690" s="36"/>
      <c r="Y690" s="36"/>
      <c r="Z690" s="36"/>
    </row>
    <row r="691" spans="1:26" ht="12.75" hidden="1">
      <c r="A691" s="36" t="str">
        <f ca="1">IFERROR(__xludf.DUMMYFUNCTION("""COMPUTED_VALUE"""),"")</f>
        <v/>
      </c>
      <c r="B691" s="36" t="str">
        <f ca="1">IFERROR(__xludf.DUMMYFUNCTION("""COMPUTED_VALUE"""),"")</f>
        <v/>
      </c>
      <c r="C691" s="36" t="str">
        <f ca="1">IFERROR(__xludf.DUMMYFUNCTION("""COMPUTED_VALUE"""),"")</f>
        <v/>
      </c>
      <c r="D691" s="36" t="str">
        <f ca="1">IFERROR(__xludf.DUMMYFUNCTION("""COMPUTED_VALUE"""),"")</f>
        <v/>
      </c>
      <c r="E691" s="36" t="str">
        <f ca="1">IFERROR(__xludf.DUMMYFUNCTION("""COMPUTED_VALUE"""),"")</f>
        <v/>
      </c>
      <c r="F691" s="36" t="str">
        <f ca="1">IFERROR(__xludf.DUMMYFUNCTION("""COMPUTED_VALUE"""),"")</f>
        <v/>
      </c>
      <c r="G691" s="36" t="str">
        <f ca="1">IFERROR(__xludf.DUMMYFUNCTION("""COMPUTED_VALUE"""),"")</f>
        <v/>
      </c>
      <c r="H691" s="36" t="str">
        <f ca="1">IFERROR(__xludf.DUMMYFUNCTION("""COMPUTED_VALUE"""),"")</f>
        <v/>
      </c>
      <c r="I691" s="36" t="str">
        <f ca="1">IFERROR(__xludf.DUMMYFUNCTION("""COMPUTED_VALUE"""),"")</f>
        <v/>
      </c>
      <c r="J691" s="36" t="str">
        <f ca="1">IFERROR(__xludf.DUMMYFUNCTION("""COMPUTED_VALUE"""),"")</f>
        <v/>
      </c>
      <c r="K691" s="36" t="str">
        <f ca="1">IFERROR(__xludf.DUMMYFUNCTION("""COMPUTED_VALUE"""),"")</f>
        <v/>
      </c>
      <c r="L691" s="36" t="str">
        <f ca="1">IFERROR(__xludf.DUMMYFUNCTION("""COMPUTED_VALUE"""),"")</f>
        <v/>
      </c>
      <c r="M691" s="36" t="str">
        <f ca="1">IFERROR(__xludf.DUMMYFUNCTION("""COMPUTED_VALUE"""),"")</f>
        <v/>
      </c>
      <c r="N691" s="36" t="str">
        <f ca="1">IFERROR(__xludf.DUMMYFUNCTION("""COMPUTED_VALUE"""),"")</f>
        <v/>
      </c>
      <c r="O691" s="36" t="str">
        <f ca="1">IFERROR(__xludf.DUMMYFUNCTION("""COMPUTED_VALUE"""),"")</f>
        <v/>
      </c>
      <c r="P691" s="36" t="str">
        <f ca="1">IFERROR(__xludf.DUMMYFUNCTION("""COMPUTED_VALUE"""),"")</f>
        <v/>
      </c>
      <c r="Q691" s="36" t="str">
        <f ca="1">IFERROR(__xludf.DUMMYFUNCTION("""COMPUTED_VALUE"""),"")</f>
        <v/>
      </c>
      <c r="R691" s="36" t="str">
        <f ca="1">IFERROR(__xludf.DUMMYFUNCTION("""COMPUTED_VALUE"""),"")</f>
        <v/>
      </c>
      <c r="S691" s="36" t="str">
        <f ca="1">IFERROR(__xludf.DUMMYFUNCTION("""COMPUTED_VALUE"""),"")</f>
        <v/>
      </c>
      <c r="T691" s="36" t="str">
        <f ca="1">IFERROR(__xludf.DUMMYFUNCTION("""COMPUTED_VALUE"""),"")</f>
        <v/>
      </c>
      <c r="U691" s="36" t="str">
        <f ca="1">IFERROR(__xludf.DUMMYFUNCTION("""COMPUTED_VALUE"""),"")</f>
        <v/>
      </c>
      <c r="V691" s="36" t="str">
        <f ca="1">IFERROR(__xludf.DUMMYFUNCTION("""COMPUTED_VALUE"""),"")</f>
        <v/>
      </c>
      <c r="W691" s="36" t="str">
        <f ca="1">IFERROR(__xludf.DUMMYFUNCTION("""COMPUTED_VALUE"""),"")</f>
        <v/>
      </c>
      <c r="X691" s="36"/>
      <c r="Y691" s="36"/>
      <c r="Z691" s="36"/>
    </row>
    <row r="692" spans="1:26" ht="12.75" hidden="1">
      <c r="A692" s="36" t="str">
        <f ca="1">IFERROR(__xludf.DUMMYFUNCTION("""COMPUTED_VALUE"""),"")</f>
        <v/>
      </c>
      <c r="B692" s="36" t="str">
        <f ca="1">IFERROR(__xludf.DUMMYFUNCTION("""COMPUTED_VALUE"""),"")</f>
        <v/>
      </c>
      <c r="C692" s="36" t="str">
        <f ca="1">IFERROR(__xludf.DUMMYFUNCTION("""COMPUTED_VALUE"""),"")</f>
        <v/>
      </c>
      <c r="D692" s="36" t="str">
        <f ca="1">IFERROR(__xludf.DUMMYFUNCTION("""COMPUTED_VALUE"""),"")</f>
        <v/>
      </c>
      <c r="E692" s="36" t="str">
        <f ca="1">IFERROR(__xludf.DUMMYFUNCTION("""COMPUTED_VALUE"""),"")</f>
        <v/>
      </c>
      <c r="F692" s="36" t="str">
        <f ca="1">IFERROR(__xludf.DUMMYFUNCTION("""COMPUTED_VALUE"""),"")</f>
        <v/>
      </c>
      <c r="G692" s="36" t="str">
        <f ca="1">IFERROR(__xludf.DUMMYFUNCTION("""COMPUTED_VALUE"""),"")</f>
        <v/>
      </c>
      <c r="H692" s="36" t="str">
        <f ca="1">IFERROR(__xludf.DUMMYFUNCTION("""COMPUTED_VALUE"""),"")</f>
        <v/>
      </c>
      <c r="I692" s="36" t="str">
        <f ca="1">IFERROR(__xludf.DUMMYFUNCTION("""COMPUTED_VALUE"""),"")</f>
        <v/>
      </c>
      <c r="J692" s="36" t="str">
        <f ca="1">IFERROR(__xludf.DUMMYFUNCTION("""COMPUTED_VALUE"""),"")</f>
        <v/>
      </c>
      <c r="K692" s="36" t="str">
        <f ca="1">IFERROR(__xludf.DUMMYFUNCTION("""COMPUTED_VALUE"""),"")</f>
        <v/>
      </c>
      <c r="L692" s="36" t="str">
        <f ca="1">IFERROR(__xludf.DUMMYFUNCTION("""COMPUTED_VALUE"""),"")</f>
        <v/>
      </c>
      <c r="M692" s="36" t="str">
        <f ca="1">IFERROR(__xludf.DUMMYFUNCTION("""COMPUTED_VALUE"""),"")</f>
        <v/>
      </c>
      <c r="N692" s="36" t="str">
        <f ca="1">IFERROR(__xludf.DUMMYFUNCTION("""COMPUTED_VALUE"""),"")</f>
        <v/>
      </c>
      <c r="O692" s="36" t="str">
        <f ca="1">IFERROR(__xludf.DUMMYFUNCTION("""COMPUTED_VALUE"""),"")</f>
        <v/>
      </c>
      <c r="P692" s="36" t="str">
        <f ca="1">IFERROR(__xludf.DUMMYFUNCTION("""COMPUTED_VALUE"""),"")</f>
        <v/>
      </c>
      <c r="Q692" s="36" t="str">
        <f ca="1">IFERROR(__xludf.DUMMYFUNCTION("""COMPUTED_VALUE"""),"")</f>
        <v/>
      </c>
      <c r="R692" s="36" t="str">
        <f ca="1">IFERROR(__xludf.DUMMYFUNCTION("""COMPUTED_VALUE"""),"")</f>
        <v/>
      </c>
      <c r="S692" s="36" t="str">
        <f ca="1">IFERROR(__xludf.DUMMYFUNCTION("""COMPUTED_VALUE"""),"")</f>
        <v/>
      </c>
      <c r="T692" s="36" t="str">
        <f ca="1">IFERROR(__xludf.DUMMYFUNCTION("""COMPUTED_VALUE"""),"")</f>
        <v/>
      </c>
      <c r="U692" s="36" t="str">
        <f ca="1">IFERROR(__xludf.DUMMYFUNCTION("""COMPUTED_VALUE"""),"")</f>
        <v/>
      </c>
      <c r="V692" s="36" t="str">
        <f ca="1">IFERROR(__xludf.DUMMYFUNCTION("""COMPUTED_VALUE"""),"")</f>
        <v/>
      </c>
      <c r="W692" s="36" t="str">
        <f ca="1">IFERROR(__xludf.DUMMYFUNCTION("""COMPUTED_VALUE"""),"")</f>
        <v/>
      </c>
      <c r="X692" s="36"/>
      <c r="Y692" s="36"/>
      <c r="Z692" s="36"/>
    </row>
    <row r="693" spans="1:26" ht="12.75" hidden="1">
      <c r="A693" s="36" t="str">
        <f ca="1">IFERROR(__xludf.DUMMYFUNCTION("""COMPUTED_VALUE"""),"")</f>
        <v/>
      </c>
      <c r="B693" s="36" t="str">
        <f ca="1">IFERROR(__xludf.DUMMYFUNCTION("""COMPUTED_VALUE"""),"")</f>
        <v/>
      </c>
      <c r="C693" s="36" t="str">
        <f ca="1">IFERROR(__xludf.DUMMYFUNCTION("""COMPUTED_VALUE"""),"")</f>
        <v/>
      </c>
      <c r="D693" s="36" t="str">
        <f ca="1">IFERROR(__xludf.DUMMYFUNCTION("""COMPUTED_VALUE"""),"")</f>
        <v/>
      </c>
      <c r="E693" s="36" t="str">
        <f ca="1">IFERROR(__xludf.DUMMYFUNCTION("""COMPUTED_VALUE"""),"")</f>
        <v/>
      </c>
      <c r="F693" s="36" t="str">
        <f ca="1">IFERROR(__xludf.DUMMYFUNCTION("""COMPUTED_VALUE"""),"")</f>
        <v/>
      </c>
      <c r="G693" s="36" t="str">
        <f ca="1">IFERROR(__xludf.DUMMYFUNCTION("""COMPUTED_VALUE"""),"")</f>
        <v/>
      </c>
      <c r="H693" s="36" t="str">
        <f ca="1">IFERROR(__xludf.DUMMYFUNCTION("""COMPUTED_VALUE"""),"")</f>
        <v/>
      </c>
      <c r="I693" s="36" t="str">
        <f ca="1">IFERROR(__xludf.DUMMYFUNCTION("""COMPUTED_VALUE"""),"")</f>
        <v/>
      </c>
      <c r="J693" s="36" t="str">
        <f ca="1">IFERROR(__xludf.DUMMYFUNCTION("""COMPUTED_VALUE"""),"")</f>
        <v/>
      </c>
      <c r="K693" s="36" t="str">
        <f ca="1">IFERROR(__xludf.DUMMYFUNCTION("""COMPUTED_VALUE"""),"")</f>
        <v/>
      </c>
      <c r="L693" s="36" t="str">
        <f ca="1">IFERROR(__xludf.DUMMYFUNCTION("""COMPUTED_VALUE"""),"")</f>
        <v/>
      </c>
      <c r="M693" s="36" t="str">
        <f ca="1">IFERROR(__xludf.DUMMYFUNCTION("""COMPUTED_VALUE"""),"")</f>
        <v/>
      </c>
      <c r="N693" s="36" t="str">
        <f ca="1">IFERROR(__xludf.DUMMYFUNCTION("""COMPUTED_VALUE"""),"")</f>
        <v/>
      </c>
      <c r="O693" s="36" t="str">
        <f ca="1">IFERROR(__xludf.DUMMYFUNCTION("""COMPUTED_VALUE"""),"")</f>
        <v/>
      </c>
      <c r="P693" s="36" t="str">
        <f ca="1">IFERROR(__xludf.DUMMYFUNCTION("""COMPUTED_VALUE"""),"")</f>
        <v/>
      </c>
      <c r="Q693" s="36" t="str">
        <f ca="1">IFERROR(__xludf.DUMMYFUNCTION("""COMPUTED_VALUE"""),"")</f>
        <v/>
      </c>
      <c r="R693" s="36" t="str">
        <f ca="1">IFERROR(__xludf.DUMMYFUNCTION("""COMPUTED_VALUE"""),"")</f>
        <v/>
      </c>
      <c r="S693" s="36" t="str">
        <f ca="1">IFERROR(__xludf.DUMMYFUNCTION("""COMPUTED_VALUE"""),"")</f>
        <v/>
      </c>
      <c r="T693" s="36" t="str">
        <f ca="1">IFERROR(__xludf.DUMMYFUNCTION("""COMPUTED_VALUE"""),"")</f>
        <v/>
      </c>
      <c r="U693" s="36" t="str">
        <f ca="1">IFERROR(__xludf.DUMMYFUNCTION("""COMPUTED_VALUE"""),"")</f>
        <v/>
      </c>
      <c r="V693" s="36" t="str">
        <f ca="1">IFERROR(__xludf.DUMMYFUNCTION("""COMPUTED_VALUE"""),"")</f>
        <v/>
      </c>
      <c r="W693" s="36" t="str">
        <f ca="1">IFERROR(__xludf.DUMMYFUNCTION("""COMPUTED_VALUE"""),"")</f>
        <v/>
      </c>
      <c r="X693" s="36"/>
      <c r="Y693" s="36"/>
      <c r="Z693" s="36"/>
    </row>
    <row r="694" spans="1:26" ht="12.75" hidden="1">
      <c r="A694" s="36" t="str">
        <f ca="1">IFERROR(__xludf.DUMMYFUNCTION("""COMPUTED_VALUE"""),"")</f>
        <v/>
      </c>
      <c r="B694" s="36" t="str">
        <f ca="1">IFERROR(__xludf.DUMMYFUNCTION("""COMPUTED_VALUE"""),"")</f>
        <v/>
      </c>
      <c r="C694" s="36" t="str">
        <f ca="1">IFERROR(__xludf.DUMMYFUNCTION("""COMPUTED_VALUE"""),"")</f>
        <v/>
      </c>
      <c r="D694" s="36" t="str">
        <f ca="1">IFERROR(__xludf.DUMMYFUNCTION("""COMPUTED_VALUE"""),"")</f>
        <v/>
      </c>
      <c r="E694" s="36" t="str">
        <f ca="1">IFERROR(__xludf.DUMMYFUNCTION("""COMPUTED_VALUE"""),"")</f>
        <v/>
      </c>
      <c r="F694" s="36" t="str">
        <f ca="1">IFERROR(__xludf.DUMMYFUNCTION("""COMPUTED_VALUE"""),"")</f>
        <v/>
      </c>
      <c r="G694" s="36" t="str">
        <f ca="1">IFERROR(__xludf.DUMMYFUNCTION("""COMPUTED_VALUE"""),"")</f>
        <v/>
      </c>
      <c r="H694" s="36" t="str">
        <f ca="1">IFERROR(__xludf.DUMMYFUNCTION("""COMPUTED_VALUE"""),"")</f>
        <v/>
      </c>
      <c r="I694" s="36" t="str">
        <f ca="1">IFERROR(__xludf.DUMMYFUNCTION("""COMPUTED_VALUE"""),"")</f>
        <v/>
      </c>
      <c r="J694" s="36" t="str">
        <f ca="1">IFERROR(__xludf.DUMMYFUNCTION("""COMPUTED_VALUE"""),"")</f>
        <v/>
      </c>
      <c r="K694" s="36" t="str">
        <f ca="1">IFERROR(__xludf.DUMMYFUNCTION("""COMPUTED_VALUE"""),"")</f>
        <v/>
      </c>
      <c r="L694" s="36" t="str">
        <f ca="1">IFERROR(__xludf.DUMMYFUNCTION("""COMPUTED_VALUE"""),"")</f>
        <v/>
      </c>
      <c r="M694" s="36" t="str">
        <f ca="1">IFERROR(__xludf.DUMMYFUNCTION("""COMPUTED_VALUE"""),"")</f>
        <v/>
      </c>
      <c r="N694" s="36" t="str">
        <f ca="1">IFERROR(__xludf.DUMMYFUNCTION("""COMPUTED_VALUE"""),"")</f>
        <v/>
      </c>
      <c r="O694" s="36" t="str">
        <f ca="1">IFERROR(__xludf.DUMMYFUNCTION("""COMPUTED_VALUE"""),"")</f>
        <v/>
      </c>
      <c r="P694" s="36" t="str">
        <f ca="1">IFERROR(__xludf.DUMMYFUNCTION("""COMPUTED_VALUE"""),"")</f>
        <v/>
      </c>
      <c r="Q694" s="36" t="str">
        <f ca="1">IFERROR(__xludf.DUMMYFUNCTION("""COMPUTED_VALUE"""),"")</f>
        <v/>
      </c>
      <c r="R694" s="36" t="str">
        <f ca="1">IFERROR(__xludf.DUMMYFUNCTION("""COMPUTED_VALUE"""),"")</f>
        <v/>
      </c>
      <c r="S694" s="36" t="str">
        <f ca="1">IFERROR(__xludf.DUMMYFUNCTION("""COMPUTED_VALUE"""),"")</f>
        <v/>
      </c>
      <c r="T694" s="36" t="str">
        <f ca="1">IFERROR(__xludf.DUMMYFUNCTION("""COMPUTED_VALUE"""),"")</f>
        <v/>
      </c>
      <c r="U694" s="36" t="str">
        <f ca="1">IFERROR(__xludf.DUMMYFUNCTION("""COMPUTED_VALUE"""),"")</f>
        <v/>
      </c>
      <c r="V694" s="36" t="str">
        <f ca="1">IFERROR(__xludf.DUMMYFUNCTION("""COMPUTED_VALUE"""),"")</f>
        <v/>
      </c>
      <c r="W694" s="36" t="str">
        <f ca="1">IFERROR(__xludf.DUMMYFUNCTION("""COMPUTED_VALUE"""),"")</f>
        <v/>
      </c>
      <c r="X694" s="36"/>
      <c r="Y694" s="36"/>
      <c r="Z694" s="36"/>
    </row>
    <row r="695" spans="1:26" ht="12.75" hidden="1">
      <c r="A695" s="36" t="str">
        <f ca="1">IFERROR(__xludf.DUMMYFUNCTION("""COMPUTED_VALUE"""),"")</f>
        <v/>
      </c>
      <c r="B695" s="36" t="str">
        <f ca="1">IFERROR(__xludf.DUMMYFUNCTION("""COMPUTED_VALUE"""),"")</f>
        <v/>
      </c>
      <c r="C695" s="36" t="str">
        <f ca="1">IFERROR(__xludf.DUMMYFUNCTION("""COMPUTED_VALUE"""),"")</f>
        <v/>
      </c>
      <c r="D695" s="36" t="str">
        <f ca="1">IFERROR(__xludf.DUMMYFUNCTION("""COMPUTED_VALUE"""),"")</f>
        <v/>
      </c>
      <c r="E695" s="36" t="str">
        <f ca="1">IFERROR(__xludf.DUMMYFUNCTION("""COMPUTED_VALUE"""),"")</f>
        <v/>
      </c>
      <c r="F695" s="36" t="str">
        <f ca="1">IFERROR(__xludf.DUMMYFUNCTION("""COMPUTED_VALUE"""),"")</f>
        <v/>
      </c>
      <c r="G695" s="36" t="str">
        <f ca="1">IFERROR(__xludf.DUMMYFUNCTION("""COMPUTED_VALUE"""),"")</f>
        <v/>
      </c>
      <c r="H695" s="36" t="str">
        <f ca="1">IFERROR(__xludf.DUMMYFUNCTION("""COMPUTED_VALUE"""),"")</f>
        <v/>
      </c>
      <c r="I695" s="36" t="str">
        <f ca="1">IFERROR(__xludf.DUMMYFUNCTION("""COMPUTED_VALUE"""),"")</f>
        <v/>
      </c>
      <c r="J695" s="36" t="str">
        <f ca="1">IFERROR(__xludf.DUMMYFUNCTION("""COMPUTED_VALUE"""),"")</f>
        <v/>
      </c>
      <c r="K695" s="36" t="str">
        <f ca="1">IFERROR(__xludf.DUMMYFUNCTION("""COMPUTED_VALUE"""),"")</f>
        <v/>
      </c>
      <c r="L695" s="36" t="str">
        <f ca="1">IFERROR(__xludf.DUMMYFUNCTION("""COMPUTED_VALUE"""),"")</f>
        <v/>
      </c>
      <c r="M695" s="36" t="str">
        <f ca="1">IFERROR(__xludf.DUMMYFUNCTION("""COMPUTED_VALUE"""),"")</f>
        <v/>
      </c>
      <c r="N695" s="36" t="str">
        <f ca="1">IFERROR(__xludf.DUMMYFUNCTION("""COMPUTED_VALUE"""),"")</f>
        <v/>
      </c>
      <c r="O695" s="36" t="str">
        <f ca="1">IFERROR(__xludf.DUMMYFUNCTION("""COMPUTED_VALUE"""),"")</f>
        <v/>
      </c>
      <c r="P695" s="36" t="str">
        <f ca="1">IFERROR(__xludf.DUMMYFUNCTION("""COMPUTED_VALUE"""),"")</f>
        <v/>
      </c>
      <c r="Q695" s="36" t="str">
        <f ca="1">IFERROR(__xludf.DUMMYFUNCTION("""COMPUTED_VALUE"""),"")</f>
        <v/>
      </c>
      <c r="R695" s="36" t="str">
        <f ca="1">IFERROR(__xludf.DUMMYFUNCTION("""COMPUTED_VALUE"""),"")</f>
        <v/>
      </c>
      <c r="S695" s="36" t="str">
        <f ca="1">IFERROR(__xludf.DUMMYFUNCTION("""COMPUTED_VALUE"""),"")</f>
        <v/>
      </c>
      <c r="T695" s="36" t="str">
        <f ca="1">IFERROR(__xludf.DUMMYFUNCTION("""COMPUTED_VALUE"""),"")</f>
        <v/>
      </c>
      <c r="U695" s="36" t="str">
        <f ca="1">IFERROR(__xludf.DUMMYFUNCTION("""COMPUTED_VALUE"""),"")</f>
        <v/>
      </c>
      <c r="V695" s="36" t="str">
        <f ca="1">IFERROR(__xludf.DUMMYFUNCTION("""COMPUTED_VALUE"""),"")</f>
        <v/>
      </c>
      <c r="W695" s="36" t="str">
        <f ca="1">IFERROR(__xludf.DUMMYFUNCTION("""COMPUTED_VALUE"""),"")</f>
        <v/>
      </c>
      <c r="X695" s="36"/>
      <c r="Y695" s="36"/>
      <c r="Z695" s="36"/>
    </row>
    <row r="696" spans="1:26" ht="12.75" hidden="1">
      <c r="A696" s="36" t="str">
        <f ca="1">IFERROR(__xludf.DUMMYFUNCTION("""COMPUTED_VALUE"""),"")</f>
        <v/>
      </c>
      <c r="B696" s="36" t="str">
        <f ca="1">IFERROR(__xludf.DUMMYFUNCTION("""COMPUTED_VALUE"""),"")</f>
        <v/>
      </c>
      <c r="C696" s="36" t="str">
        <f ca="1">IFERROR(__xludf.DUMMYFUNCTION("""COMPUTED_VALUE"""),"")</f>
        <v/>
      </c>
      <c r="D696" s="36" t="str">
        <f ca="1">IFERROR(__xludf.DUMMYFUNCTION("""COMPUTED_VALUE"""),"")</f>
        <v/>
      </c>
      <c r="E696" s="36" t="str">
        <f ca="1">IFERROR(__xludf.DUMMYFUNCTION("""COMPUTED_VALUE"""),"")</f>
        <v/>
      </c>
      <c r="F696" s="36" t="str">
        <f ca="1">IFERROR(__xludf.DUMMYFUNCTION("""COMPUTED_VALUE"""),"")</f>
        <v/>
      </c>
      <c r="G696" s="36" t="str">
        <f ca="1">IFERROR(__xludf.DUMMYFUNCTION("""COMPUTED_VALUE"""),"")</f>
        <v/>
      </c>
      <c r="H696" s="36" t="str">
        <f ca="1">IFERROR(__xludf.DUMMYFUNCTION("""COMPUTED_VALUE"""),"")</f>
        <v/>
      </c>
      <c r="I696" s="36" t="str">
        <f ca="1">IFERROR(__xludf.DUMMYFUNCTION("""COMPUTED_VALUE"""),"")</f>
        <v/>
      </c>
      <c r="J696" s="36" t="str">
        <f ca="1">IFERROR(__xludf.DUMMYFUNCTION("""COMPUTED_VALUE"""),"")</f>
        <v/>
      </c>
      <c r="K696" s="36" t="str">
        <f ca="1">IFERROR(__xludf.DUMMYFUNCTION("""COMPUTED_VALUE"""),"")</f>
        <v/>
      </c>
      <c r="L696" s="36" t="str">
        <f ca="1">IFERROR(__xludf.DUMMYFUNCTION("""COMPUTED_VALUE"""),"")</f>
        <v/>
      </c>
      <c r="M696" s="36" t="str">
        <f ca="1">IFERROR(__xludf.DUMMYFUNCTION("""COMPUTED_VALUE"""),"")</f>
        <v/>
      </c>
      <c r="N696" s="36" t="str">
        <f ca="1">IFERROR(__xludf.DUMMYFUNCTION("""COMPUTED_VALUE"""),"")</f>
        <v/>
      </c>
      <c r="O696" s="36" t="str">
        <f ca="1">IFERROR(__xludf.DUMMYFUNCTION("""COMPUTED_VALUE"""),"")</f>
        <v/>
      </c>
      <c r="P696" s="36" t="str">
        <f ca="1">IFERROR(__xludf.DUMMYFUNCTION("""COMPUTED_VALUE"""),"")</f>
        <v/>
      </c>
      <c r="Q696" s="36" t="str">
        <f ca="1">IFERROR(__xludf.DUMMYFUNCTION("""COMPUTED_VALUE"""),"")</f>
        <v/>
      </c>
      <c r="R696" s="36" t="str">
        <f ca="1">IFERROR(__xludf.DUMMYFUNCTION("""COMPUTED_VALUE"""),"")</f>
        <v/>
      </c>
      <c r="S696" s="36" t="str">
        <f ca="1">IFERROR(__xludf.DUMMYFUNCTION("""COMPUTED_VALUE"""),"")</f>
        <v/>
      </c>
      <c r="T696" s="36" t="str">
        <f ca="1">IFERROR(__xludf.DUMMYFUNCTION("""COMPUTED_VALUE"""),"")</f>
        <v/>
      </c>
      <c r="U696" s="36" t="str">
        <f ca="1">IFERROR(__xludf.DUMMYFUNCTION("""COMPUTED_VALUE"""),"")</f>
        <v/>
      </c>
      <c r="V696" s="36" t="str">
        <f ca="1">IFERROR(__xludf.DUMMYFUNCTION("""COMPUTED_VALUE"""),"")</f>
        <v/>
      </c>
      <c r="W696" s="36" t="str">
        <f ca="1">IFERROR(__xludf.DUMMYFUNCTION("""COMPUTED_VALUE"""),"")</f>
        <v/>
      </c>
      <c r="X696" s="36"/>
      <c r="Y696" s="36"/>
      <c r="Z696" s="36"/>
    </row>
    <row r="697" spans="1:26" ht="12.75" hidden="1">
      <c r="A697" s="36" t="str">
        <f ca="1">IFERROR(__xludf.DUMMYFUNCTION("""COMPUTED_VALUE"""),"")</f>
        <v/>
      </c>
      <c r="B697" s="36" t="str">
        <f ca="1">IFERROR(__xludf.DUMMYFUNCTION("""COMPUTED_VALUE"""),"")</f>
        <v/>
      </c>
      <c r="C697" s="36" t="str">
        <f ca="1">IFERROR(__xludf.DUMMYFUNCTION("""COMPUTED_VALUE"""),"")</f>
        <v/>
      </c>
      <c r="D697" s="36" t="str">
        <f ca="1">IFERROR(__xludf.DUMMYFUNCTION("""COMPUTED_VALUE"""),"")</f>
        <v/>
      </c>
      <c r="E697" s="36" t="str">
        <f ca="1">IFERROR(__xludf.DUMMYFUNCTION("""COMPUTED_VALUE"""),"")</f>
        <v/>
      </c>
      <c r="F697" s="36" t="str">
        <f ca="1">IFERROR(__xludf.DUMMYFUNCTION("""COMPUTED_VALUE"""),"")</f>
        <v/>
      </c>
      <c r="G697" s="36" t="str">
        <f ca="1">IFERROR(__xludf.DUMMYFUNCTION("""COMPUTED_VALUE"""),"")</f>
        <v/>
      </c>
      <c r="H697" s="36" t="str">
        <f ca="1">IFERROR(__xludf.DUMMYFUNCTION("""COMPUTED_VALUE"""),"")</f>
        <v/>
      </c>
      <c r="I697" s="36" t="str">
        <f ca="1">IFERROR(__xludf.DUMMYFUNCTION("""COMPUTED_VALUE"""),"")</f>
        <v/>
      </c>
      <c r="J697" s="36" t="str">
        <f ca="1">IFERROR(__xludf.DUMMYFUNCTION("""COMPUTED_VALUE"""),"")</f>
        <v/>
      </c>
      <c r="K697" s="36" t="str">
        <f ca="1">IFERROR(__xludf.DUMMYFUNCTION("""COMPUTED_VALUE"""),"")</f>
        <v/>
      </c>
      <c r="L697" s="36" t="str">
        <f ca="1">IFERROR(__xludf.DUMMYFUNCTION("""COMPUTED_VALUE"""),"")</f>
        <v/>
      </c>
      <c r="M697" s="36" t="str">
        <f ca="1">IFERROR(__xludf.DUMMYFUNCTION("""COMPUTED_VALUE"""),"")</f>
        <v/>
      </c>
      <c r="N697" s="36" t="str">
        <f ca="1">IFERROR(__xludf.DUMMYFUNCTION("""COMPUTED_VALUE"""),"")</f>
        <v/>
      </c>
      <c r="O697" s="36" t="str">
        <f ca="1">IFERROR(__xludf.DUMMYFUNCTION("""COMPUTED_VALUE"""),"")</f>
        <v/>
      </c>
      <c r="P697" s="36" t="str">
        <f ca="1">IFERROR(__xludf.DUMMYFUNCTION("""COMPUTED_VALUE"""),"")</f>
        <v/>
      </c>
      <c r="Q697" s="36" t="str">
        <f ca="1">IFERROR(__xludf.DUMMYFUNCTION("""COMPUTED_VALUE"""),"")</f>
        <v/>
      </c>
      <c r="R697" s="36" t="str">
        <f ca="1">IFERROR(__xludf.DUMMYFUNCTION("""COMPUTED_VALUE"""),"")</f>
        <v/>
      </c>
      <c r="S697" s="36" t="str">
        <f ca="1">IFERROR(__xludf.DUMMYFUNCTION("""COMPUTED_VALUE"""),"")</f>
        <v/>
      </c>
      <c r="T697" s="36" t="str">
        <f ca="1">IFERROR(__xludf.DUMMYFUNCTION("""COMPUTED_VALUE"""),"")</f>
        <v/>
      </c>
      <c r="U697" s="36" t="str">
        <f ca="1">IFERROR(__xludf.DUMMYFUNCTION("""COMPUTED_VALUE"""),"")</f>
        <v/>
      </c>
      <c r="V697" s="36" t="str">
        <f ca="1">IFERROR(__xludf.DUMMYFUNCTION("""COMPUTED_VALUE"""),"")</f>
        <v/>
      </c>
      <c r="W697" s="36" t="str">
        <f ca="1">IFERROR(__xludf.DUMMYFUNCTION("""COMPUTED_VALUE"""),"")</f>
        <v/>
      </c>
      <c r="X697" s="36"/>
      <c r="Y697" s="36"/>
      <c r="Z697" s="36"/>
    </row>
    <row r="698" spans="1:26" ht="12.75" hidden="1">
      <c r="A698" s="36" t="str">
        <f ca="1">IFERROR(__xludf.DUMMYFUNCTION("""COMPUTED_VALUE"""),"")</f>
        <v/>
      </c>
      <c r="B698" s="36" t="str">
        <f ca="1">IFERROR(__xludf.DUMMYFUNCTION("""COMPUTED_VALUE"""),"")</f>
        <v/>
      </c>
      <c r="C698" s="36" t="str">
        <f ca="1">IFERROR(__xludf.DUMMYFUNCTION("""COMPUTED_VALUE"""),"")</f>
        <v/>
      </c>
      <c r="D698" s="36" t="str">
        <f ca="1">IFERROR(__xludf.DUMMYFUNCTION("""COMPUTED_VALUE"""),"")</f>
        <v/>
      </c>
      <c r="E698" s="36" t="str">
        <f ca="1">IFERROR(__xludf.DUMMYFUNCTION("""COMPUTED_VALUE"""),"")</f>
        <v/>
      </c>
      <c r="F698" s="36" t="str">
        <f ca="1">IFERROR(__xludf.DUMMYFUNCTION("""COMPUTED_VALUE"""),"")</f>
        <v/>
      </c>
      <c r="G698" s="36" t="str">
        <f ca="1">IFERROR(__xludf.DUMMYFUNCTION("""COMPUTED_VALUE"""),"")</f>
        <v/>
      </c>
      <c r="H698" s="36" t="str">
        <f ca="1">IFERROR(__xludf.DUMMYFUNCTION("""COMPUTED_VALUE"""),"")</f>
        <v/>
      </c>
      <c r="I698" s="36" t="str">
        <f ca="1">IFERROR(__xludf.DUMMYFUNCTION("""COMPUTED_VALUE"""),"")</f>
        <v/>
      </c>
      <c r="J698" s="36" t="str">
        <f ca="1">IFERROR(__xludf.DUMMYFUNCTION("""COMPUTED_VALUE"""),"")</f>
        <v/>
      </c>
      <c r="K698" s="36" t="str">
        <f ca="1">IFERROR(__xludf.DUMMYFUNCTION("""COMPUTED_VALUE"""),"")</f>
        <v/>
      </c>
      <c r="L698" s="36" t="str">
        <f ca="1">IFERROR(__xludf.DUMMYFUNCTION("""COMPUTED_VALUE"""),"")</f>
        <v/>
      </c>
      <c r="M698" s="36" t="str">
        <f ca="1">IFERROR(__xludf.DUMMYFUNCTION("""COMPUTED_VALUE"""),"")</f>
        <v/>
      </c>
      <c r="N698" s="36" t="str">
        <f ca="1">IFERROR(__xludf.DUMMYFUNCTION("""COMPUTED_VALUE"""),"")</f>
        <v/>
      </c>
      <c r="O698" s="36" t="str">
        <f ca="1">IFERROR(__xludf.DUMMYFUNCTION("""COMPUTED_VALUE"""),"")</f>
        <v/>
      </c>
      <c r="P698" s="36" t="str">
        <f ca="1">IFERROR(__xludf.DUMMYFUNCTION("""COMPUTED_VALUE"""),"")</f>
        <v/>
      </c>
      <c r="Q698" s="36" t="str">
        <f ca="1">IFERROR(__xludf.DUMMYFUNCTION("""COMPUTED_VALUE"""),"")</f>
        <v/>
      </c>
      <c r="R698" s="36" t="str">
        <f ca="1">IFERROR(__xludf.DUMMYFUNCTION("""COMPUTED_VALUE"""),"")</f>
        <v/>
      </c>
      <c r="S698" s="36" t="str">
        <f ca="1">IFERROR(__xludf.DUMMYFUNCTION("""COMPUTED_VALUE"""),"")</f>
        <v/>
      </c>
      <c r="T698" s="36" t="str">
        <f ca="1">IFERROR(__xludf.DUMMYFUNCTION("""COMPUTED_VALUE"""),"")</f>
        <v/>
      </c>
      <c r="U698" s="36" t="str">
        <f ca="1">IFERROR(__xludf.DUMMYFUNCTION("""COMPUTED_VALUE"""),"")</f>
        <v/>
      </c>
      <c r="V698" s="36" t="str">
        <f ca="1">IFERROR(__xludf.DUMMYFUNCTION("""COMPUTED_VALUE"""),"")</f>
        <v/>
      </c>
      <c r="W698" s="36" t="str">
        <f ca="1">IFERROR(__xludf.DUMMYFUNCTION("""COMPUTED_VALUE"""),"")</f>
        <v/>
      </c>
      <c r="X698" s="36"/>
      <c r="Y698" s="36"/>
      <c r="Z698" s="36"/>
    </row>
    <row r="699" spans="1:26" ht="12.75" hidden="1">
      <c r="A699" s="36" t="str">
        <f ca="1">IFERROR(__xludf.DUMMYFUNCTION("""COMPUTED_VALUE"""),"")</f>
        <v/>
      </c>
      <c r="B699" s="36" t="str">
        <f ca="1">IFERROR(__xludf.DUMMYFUNCTION("""COMPUTED_VALUE"""),"")</f>
        <v/>
      </c>
      <c r="C699" s="36" t="str">
        <f ca="1">IFERROR(__xludf.DUMMYFUNCTION("""COMPUTED_VALUE"""),"")</f>
        <v/>
      </c>
      <c r="D699" s="36" t="str">
        <f ca="1">IFERROR(__xludf.DUMMYFUNCTION("""COMPUTED_VALUE"""),"")</f>
        <v/>
      </c>
      <c r="E699" s="36" t="str">
        <f ca="1">IFERROR(__xludf.DUMMYFUNCTION("""COMPUTED_VALUE"""),"")</f>
        <v/>
      </c>
      <c r="F699" s="36" t="str">
        <f ca="1">IFERROR(__xludf.DUMMYFUNCTION("""COMPUTED_VALUE"""),"")</f>
        <v/>
      </c>
      <c r="G699" s="36" t="str">
        <f ca="1">IFERROR(__xludf.DUMMYFUNCTION("""COMPUTED_VALUE"""),"")</f>
        <v/>
      </c>
      <c r="H699" s="36" t="str">
        <f ca="1">IFERROR(__xludf.DUMMYFUNCTION("""COMPUTED_VALUE"""),"")</f>
        <v/>
      </c>
      <c r="I699" s="36" t="str">
        <f ca="1">IFERROR(__xludf.DUMMYFUNCTION("""COMPUTED_VALUE"""),"")</f>
        <v/>
      </c>
      <c r="J699" s="36" t="str">
        <f ca="1">IFERROR(__xludf.DUMMYFUNCTION("""COMPUTED_VALUE"""),"")</f>
        <v/>
      </c>
      <c r="K699" s="36" t="str">
        <f ca="1">IFERROR(__xludf.DUMMYFUNCTION("""COMPUTED_VALUE"""),"")</f>
        <v/>
      </c>
      <c r="L699" s="36" t="str">
        <f ca="1">IFERROR(__xludf.DUMMYFUNCTION("""COMPUTED_VALUE"""),"")</f>
        <v/>
      </c>
      <c r="M699" s="36" t="str">
        <f ca="1">IFERROR(__xludf.DUMMYFUNCTION("""COMPUTED_VALUE"""),"")</f>
        <v/>
      </c>
      <c r="N699" s="36" t="str">
        <f ca="1">IFERROR(__xludf.DUMMYFUNCTION("""COMPUTED_VALUE"""),"")</f>
        <v/>
      </c>
      <c r="O699" s="36" t="str">
        <f ca="1">IFERROR(__xludf.DUMMYFUNCTION("""COMPUTED_VALUE"""),"")</f>
        <v/>
      </c>
      <c r="P699" s="36" t="str">
        <f ca="1">IFERROR(__xludf.DUMMYFUNCTION("""COMPUTED_VALUE"""),"")</f>
        <v/>
      </c>
      <c r="Q699" s="36" t="str">
        <f ca="1">IFERROR(__xludf.DUMMYFUNCTION("""COMPUTED_VALUE"""),"")</f>
        <v/>
      </c>
      <c r="R699" s="36" t="str">
        <f ca="1">IFERROR(__xludf.DUMMYFUNCTION("""COMPUTED_VALUE"""),"")</f>
        <v/>
      </c>
      <c r="S699" s="36" t="str">
        <f ca="1">IFERROR(__xludf.DUMMYFUNCTION("""COMPUTED_VALUE"""),"")</f>
        <v/>
      </c>
      <c r="T699" s="36" t="str">
        <f ca="1">IFERROR(__xludf.DUMMYFUNCTION("""COMPUTED_VALUE"""),"")</f>
        <v/>
      </c>
      <c r="U699" s="36" t="str">
        <f ca="1">IFERROR(__xludf.DUMMYFUNCTION("""COMPUTED_VALUE"""),"")</f>
        <v/>
      </c>
      <c r="V699" s="36" t="str">
        <f ca="1">IFERROR(__xludf.DUMMYFUNCTION("""COMPUTED_VALUE"""),"")</f>
        <v/>
      </c>
      <c r="W699" s="36" t="str">
        <f ca="1">IFERROR(__xludf.DUMMYFUNCTION("""COMPUTED_VALUE"""),"")</f>
        <v/>
      </c>
      <c r="X699" s="36"/>
      <c r="Y699" s="36"/>
      <c r="Z699" s="36"/>
    </row>
    <row r="700" spans="1:26" ht="12.75" hidden="1">
      <c r="A700" s="36" t="str">
        <f ca="1">IFERROR(__xludf.DUMMYFUNCTION("""COMPUTED_VALUE"""),"")</f>
        <v/>
      </c>
      <c r="B700" s="36" t="str">
        <f ca="1">IFERROR(__xludf.DUMMYFUNCTION("""COMPUTED_VALUE"""),"")</f>
        <v/>
      </c>
      <c r="C700" s="36" t="str">
        <f ca="1">IFERROR(__xludf.DUMMYFUNCTION("""COMPUTED_VALUE"""),"")</f>
        <v/>
      </c>
      <c r="D700" s="36" t="str">
        <f ca="1">IFERROR(__xludf.DUMMYFUNCTION("""COMPUTED_VALUE"""),"")</f>
        <v/>
      </c>
      <c r="E700" s="36" t="str">
        <f ca="1">IFERROR(__xludf.DUMMYFUNCTION("""COMPUTED_VALUE"""),"")</f>
        <v/>
      </c>
      <c r="F700" s="36" t="str">
        <f ca="1">IFERROR(__xludf.DUMMYFUNCTION("""COMPUTED_VALUE"""),"")</f>
        <v/>
      </c>
      <c r="G700" s="36" t="str">
        <f ca="1">IFERROR(__xludf.DUMMYFUNCTION("""COMPUTED_VALUE"""),"")</f>
        <v/>
      </c>
      <c r="H700" s="36" t="str">
        <f ca="1">IFERROR(__xludf.DUMMYFUNCTION("""COMPUTED_VALUE"""),"")</f>
        <v/>
      </c>
      <c r="I700" s="36" t="str">
        <f ca="1">IFERROR(__xludf.DUMMYFUNCTION("""COMPUTED_VALUE"""),"")</f>
        <v/>
      </c>
      <c r="J700" s="36" t="str">
        <f ca="1">IFERROR(__xludf.DUMMYFUNCTION("""COMPUTED_VALUE"""),"")</f>
        <v/>
      </c>
      <c r="K700" s="36" t="str">
        <f ca="1">IFERROR(__xludf.DUMMYFUNCTION("""COMPUTED_VALUE"""),"")</f>
        <v/>
      </c>
      <c r="L700" s="36" t="str">
        <f ca="1">IFERROR(__xludf.DUMMYFUNCTION("""COMPUTED_VALUE"""),"")</f>
        <v/>
      </c>
      <c r="M700" s="36" t="str">
        <f ca="1">IFERROR(__xludf.DUMMYFUNCTION("""COMPUTED_VALUE"""),"")</f>
        <v/>
      </c>
      <c r="N700" s="36" t="str">
        <f ca="1">IFERROR(__xludf.DUMMYFUNCTION("""COMPUTED_VALUE"""),"")</f>
        <v/>
      </c>
      <c r="O700" s="36" t="str">
        <f ca="1">IFERROR(__xludf.DUMMYFUNCTION("""COMPUTED_VALUE"""),"")</f>
        <v/>
      </c>
      <c r="P700" s="36" t="str">
        <f ca="1">IFERROR(__xludf.DUMMYFUNCTION("""COMPUTED_VALUE"""),"")</f>
        <v/>
      </c>
      <c r="Q700" s="36" t="str">
        <f ca="1">IFERROR(__xludf.DUMMYFUNCTION("""COMPUTED_VALUE"""),"")</f>
        <v/>
      </c>
      <c r="R700" s="36" t="str">
        <f ca="1">IFERROR(__xludf.DUMMYFUNCTION("""COMPUTED_VALUE"""),"")</f>
        <v/>
      </c>
      <c r="S700" s="36" t="str">
        <f ca="1">IFERROR(__xludf.DUMMYFUNCTION("""COMPUTED_VALUE"""),"")</f>
        <v/>
      </c>
      <c r="T700" s="36" t="str">
        <f ca="1">IFERROR(__xludf.DUMMYFUNCTION("""COMPUTED_VALUE"""),"")</f>
        <v/>
      </c>
      <c r="U700" s="36" t="str">
        <f ca="1">IFERROR(__xludf.DUMMYFUNCTION("""COMPUTED_VALUE"""),"")</f>
        <v/>
      </c>
      <c r="V700" s="36" t="str">
        <f ca="1">IFERROR(__xludf.DUMMYFUNCTION("""COMPUTED_VALUE"""),"")</f>
        <v/>
      </c>
      <c r="W700" s="36" t="str">
        <f ca="1">IFERROR(__xludf.DUMMYFUNCTION("""COMPUTED_VALUE"""),"")</f>
        <v/>
      </c>
      <c r="X700" s="36"/>
      <c r="Y700" s="36"/>
      <c r="Z700" s="36"/>
    </row>
    <row r="701" spans="1:26" ht="12.75" hidden="1">
      <c r="A701" s="36" t="str">
        <f ca="1">IFERROR(__xludf.DUMMYFUNCTION("""COMPUTED_VALUE"""),"")</f>
        <v/>
      </c>
      <c r="B701" s="36" t="str">
        <f ca="1">IFERROR(__xludf.DUMMYFUNCTION("""COMPUTED_VALUE"""),"")</f>
        <v/>
      </c>
      <c r="C701" s="36" t="str">
        <f ca="1">IFERROR(__xludf.DUMMYFUNCTION("""COMPUTED_VALUE"""),"")</f>
        <v/>
      </c>
      <c r="D701" s="36" t="str">
        <f ca="1">IFERROR(__xludf.DUMMYFUNCTION("""COMPUTED_VALUE"""),"")</f>
        <v/>
      </c>
      <c r="E701" s="36" t="str">
        <f ca="1">IFERROR(__xludf.DUMMYFUNCTION("""COMPUTED_VALUE"""),"")</f>
        <v/>
      </c>
      <c r="F701" s="36" t="str">
        <f ca="1">IFERROR(__xludf.DUMMYFUNCTION("""COMPUTED_VALUE"""),"")</f>
        <v/>
      </c>
      <c r="G701" s="36" t="str">
        <f ca="1">IFERROR(__xludf.DUMMYFUNCTION("""COMPUTED_VALUE"""),"")</f>
        <v/>
      </c>
      <c r="H701" s="36" t="str">
        <f ca="1">IFERROR(__xludf.DUMMYFUNCTION("""COMPUTED_VALUE"""),"")</f>
        <v/>
      </c>
      <c r="I701" s="36" t="str">
        <f ca="1">IFERROR(__xludf.DUMMYFUNCTION("""COMPUTED_VALUE"""),"")</f>
        <v/>
      </c>
      <c r="J701" s="36" t="str">
        <f ca="1">IFERROR(__xludf.DUMMYFUNCTION("""COMPUTED_VALUE"""),"")</f>
        <v/>
      </c>
      <c r="K701" s="36" t="str">
        <f ca="1">IFERROR(__xludf.DUMMYFUNCTION("""COMPUTED_VALUE"""),"")</f>
        <v/>
      </c>
      <c r="L701" s="36" t="str">
        <f ca="1">IFERROR(__xludf.DUMMYFUNCTION("""COMPUTED_VALUE"""),"")</f>
        <v/>
      </c>
      <c r="M701" s="36" t="str">
        <f ca="1">IFERROR(__xludf.DUMMYFUNCTION("""COMPUTED_VALUE"""),"")</f>
        <v/>
      </c>
      <c r="N701" s="36" t="str">
        <f ca="1">IFERROR(__xludf.DUMMYFUNCTION("""COMPUTED_VALUE"""),"")</f>
        <v/>
      </c>
      <c r="O701" s="36" t="str">
        <f ca="1">IFERROR(__xludf.DUMMYFUNCTION("""COMPUTED_VALUE"""),"")</f>
        <v/>
      </c>
      <c r="P701" s="36" t="str">
        <f ca="1">IFERROR(__xludf.DUMMYFUNCTION("""COMPUTED_VALUE"""),"")</f>
        <v/>
      </c>
      <c r="Q701" s="36" t="str">
        <f ca="1">IFERROR(__xludf.DUMMYFUNCTION("""COMPUTED_VALUE"""),"")</f>
        <v/>
      </c>
      <c r="R701" s="36" t="str">
        <f ca="1">IFERROR(__xludf.DUMMYFUNCTION("""COMPUTED_VALUE"""),"")</f>
        <v/>
      </c>
      <c r="S701" s="36" t="str">
        <f ca="1">IFERROR(__xludf.DUMMYFUNCTION("""COMPUTED_VALUE"""),"")</f>
        <v/>
      </c>
      <c r="T701" s="36" t="str">
        <f ca="1">IFERROR(__xludf.DUMMYFUNCTION("""COMPUTED_VALUE"""),"")</f>
        <v/>
      </c>
      <c r="U701" s="36" t="str">
        <f ca="1">IFERROR(__xludf.DUMMYFUNCTION("""COMPUTED_VALUE"""),"")</f>
        <v/>
      </c>
      <c r="V701" s="36" t="str">
        <f ca="1">IFERROR(__xludf.DUMMYFUNCTION("""COMPUTED_VALUE"""),"")</f>
        <v/>
      </c>
      <c r="W701" s="36" t="str">
        <f ca="1">IFERROR(__xludf.DUMMYFUNCTION("""COMPUTED_VALUE"""),"")</f>
        <v/>
      </c>
      <c r="X701" s="36"/>
      <c r="Y701" s="36"/>
      <c r="Z701" s="36"/>
    </row>
    <row r="702" spans="1:26" ht="12.75" hidden="1">
      <c r="A702" s="36" t="str">
        <f ca="1">IFERROR(__xludf.DUMMYFUNCTION("""COMPUTED_VALUE"""),"")</f>
        <v/>
      </c>
      <c r="B702" s="36" t="str">
        <f ca="1">IFERROR(__xludf.DUMMYFUNCTION("""COMPUTED_VALUE"""),"")</f>
        <v/>
      </c>
      <c r="C702" s="36" t="str">
        <f ca="1">IFERROR(__xludf.DUMMYFUNCTION("""COMPUTED_VALUE"""),"")</f>
        <v/>
      </c>
      <c r="D702" s="36" t="str">
        <f ca="1">IFERROR(__xludf.DUMMYFUNCTION("""COMPUTED_VALUE"""),"")</f>
        <v/>
      </c>
      <c r="E702" s="36" t="str">
        <f ca="1">IFERROR(__xludf.DUMMYFUNCTION("""COMPUTED_VALUE"""),"")</f>
        <v/>
      </c>
      <c r="F702" s="36" t="str">
        <f ca="1">IFERROR(__xludf.DUMMYFUNCTION("""COMPUTED_VALUE"""),"")</f>
        <v/>
      </c>
      <c r="G702" s="36" t="str">
        <f ca="1">IFERROR(__xludf.DUMMYFUNCTION("""COMPUTED_VALUE"""),"")</f>
        <v/>
      </c>
      <c r="H702" s="36" t="str">
        <f ca="1">IFERROR(__xludf.DUMMYFUNCTION("""COMPUTED_VALUE"""),"")</f>
        <v/>
      </c>
      <c r="I702" s="36" t="str">
        <f ca="1">IFERROR(__xludf.DUMMYFUNCTION("""COMPUTED_VALUE"""),"")</f>
        <v/>
      </c>
      <c r="J702" s="36" t="str">
        <f ca="1">IFERROR(__xludf.DUMMYFUNCTION("""COMPUTED_VALUE"""),"")</f>
        <v/>
      </c>
      <c r="K702" s="36" t="str">
        <f ca="1">IFERROR(__xludf.DUMMYFUNCTION("""COMPUTED_VALUE"""),"")</f>
        <v/>
      </c>
      <c r="L702" s="36" t="str">
        <f ca="1">IFERROR(__xludf.DUMMYFUNCTION("""COMPUTED_VALUE"""),"")</f>
        <v/>
      </c>
      <c r="M702" s="36" t="str">
        <f ca="1">IFERROR(__xludf.DUMMYFUNCTION("""COMPUTED_VALUE"""),"")</f>
        <v/>
      </c>
      <c r="N702" s="36" t="str">
        <f ca="1">IFERROR(__xludf.DUMMYFUNCTION("""COMPUTED_VALUE"""),"")</f>
        <v/>
      </c>
      <c r="O702" s="36" t="str">
        <f ca="1">IFERROR(__xludf.DUMMYFUNCTION("""COMPUTED_VALUE"""),"")</f>
        <v/>
      </c>
      <c r="P702" s="36" t="str">
        <f ca="1">IFERROR(__xludf.DUMMYFUNCTION("""COMPUTED_VALUE"""),"")</f>
        <v/>
      </c>
      <c r="Q702" s="36" t="str">
        <f ca="1">IFERROR(__xludf.DUMMYFUNCTION("""COMPUTED_VALUE"""),"")</f>
        <v/>
      </c>
      <c r="R702" s="36" t="str">
        <f ca="1">IFERROR(__xludf.DUMMYFUNCTION("""COMPUTED_VALUE"""),"")</f>
        <v/>
      </c>
      <c r="S702" s="36" t="str">
        <f ca="1">IFERROR(__xludf.DUMMYFUNCTION("""COMPUTED_VALUE"""),"")</f>
        <v/>
      </c>
      <c r="T702" s="36" t="str">
        <f ca="1">IFERROR(__xludf.DUMMYFUNCTION("""COMPUTED_VALUE"""),"")</f>
        <v/>
      </c>
      <c r="U702" s="36" t="str">
        <f ca="1">IFERROR(__xludf.DUMMYFUNCTION("""COMPUTED_VALUE"""),"")</f>
        <v/>
      </c>
      <c r="V702" s="36" t="str">
        <f ca="1">IFERROR(__xludf.DUMMYFUNCTION("""COMPUTED_VALUE"""),"")</f>
        <v/>
      </c>
      <c r="W702" s="36" t="str">
        <f ca="1">IFERROR(__xludf.DUMMYFUNCTION("""COMPUTED_VALUE"""),"")</f>
        <v/>
      </c>
      <c r="X702" s="36"/>
      <c r="Y702" s="36"/>
      <c r="Z702" s="36"/>
    </row>
    <row r="703" spans="1:26" ht="12.75" hidden="1">
      <c r="A703" s="36" t="str">
        <f ca="1">IFERROR(__xludf.DUMMYFUNCTION("""COMPUTED_VALUE"""),"")</f>
        <v/>
      </c>
      <c r="B703" s="36" t="str">
        <f ca="1">IFERROR(__xludf.DUMMYFUNCTION("""COMPUTED_VALUE"""),"")</f>
        <v/>
      </c>
      <c r="C703" s="36" t="str">
        <f ca="1">IFERROR(__xludf.DUMMYFUNCTION("""COMPUTED_VALUE"""),"")</f>
        <v/>
      </c>
      <c r="D703" s="36" t="str">
        <f ca="1">IFERROR(__xludf.DUMMYFUNCTION("""COMPUTED_VALUE"""),"")</f>
        <v/>
      </c>
      <c r="E703" s="36" t="str">
        <f ca="1">IFERROR(__xludf.DUMMYFUNCTION("""COMPUTED_VALUE"""),"")</f>
        <v/>
      </c>
      <c r="F703" s="36" t="str">
        <f ca="1">IFERROR(__xludf.DUMMYFUNCTION("""COMPUTED_VALUE"""),"")</f>
        <v/>
      </c>
      <c r="G703" s="36" t="str">
        <f ca="1">IFERROR(__xludf.DUMMYFUNCTION("""COMPUTED_VALUE"""),"")</f>
        <v/>
      </c>
      <c r="H703" s="36" t="str">
        <f ca="1">IFERROR(__xludf.DUMMYFUNCTION("""COMPUTED_VALUE"""),"")</f>
        <v/>
      </c>
      <c r="I703" s="36" t="str">
        <f ca="1">IFERROR(__xludf.DUMMYFUNCTION("""COMPUTED_VALUE"""),"")</f>
        <v/>
      </c>
      <c r="J703" s="36" t="str">
        <f ca="1">IFERROR(__xludf.DUMMYFUNCTION("""COMPUTED_VALUE"""),"")</f>
        <v/>
      </c>
      <c r="K703" s="36" t="str">
        <f ca="1">IFERROR(__xludf.DUMMYFUNCTION("""COMPUTED_VALUE"""),"")</f>
        <v/>
      </c>
      <c r="L703" s="36" t="str">
        <f ca="1">IFERROR(__xludf.DUMMYFUNCTION("""COMPUTED_VALUE"""),"")</f>
        <v/>
      </c>
      <c r="M703" s="36" t="str">
        <f ca="1">IFERROR(__xludf.DUMMYFUNCTION("""COMPUTED_VALUE"""),"")</f>
        <v/>
      </c>
      <c r="N703" s="36" t="str">
        <f ca="1">IFERROR(__xludf.DUMMYFUNCTION("""COMPUTED_VALUE"""),"")</f>
        <v/>
      </c>
      <c r="O703" s="36" t="str">
        <f ca="1">IFERROR(__xludf.DUMMYFUNCTION("""COMPUTED_VALUE"""),"")</f>
        <v/>
      </c>
      <c r="P703" s="36" t="str">
        <f ca="1">IFERROR(__xludf.DUMMYFUNCTION("""COMPUTED_VALUE"""),"")</f>
        <v/>
      </c>
      <c r="Q703" s="36" t="str">
        <f ca="1">IFERROR(__xludf.DUMMYFUNCTION("""COMPUTED_VALUE"""),"")</f>
        <v/>
      </c>
      <c r="R703" s="36" t="str">
        <f ca="1">IFERROR(__xludf.DUMMYFUNCTION("""COMPUTED_VALUE"""),"")</f>
        <v/>
      </c>
      <c r="S703" s="36" t="str">
        <f ca="1">IFERROR(__xludf.DUMMYFUNCTION("""COMPUTED_VALUE"""),"")</f>
        <v/>
      </c>
      <c r="T703" s="36" t="str">
        <f ca="1">IFERROR(__xludf.DUMMYFUNCTION("""COMPUTED_VALUE"""),"")</f>
        <v/>
      </c>
      <c r="U703" s="36" t="str">
        <f ca="1">IFERROR(__xludf.DUMMYFUNCTION("""COMPUTED_VALUE"""),"")</f>
        <v/>
      </c>
      <c r="V703" s="36" t="str">
        <f ca="1">IFERROR(__xludf.DUMMYFUNCTION("""COMPUTED_VALUE"""),"")</f>
        <v/>
      </c>
      <c r="W703" s="36" t="str">
        <f ca="1">IFERROR(__xludf.DUMMYFUNCTION("""COMPUTED_VALUE"""),"")</f>
        <v/>
      </c>
      <c r="X703" s="36"/>
      <c r="Y703" s="36"/>
      <c r="Z703" s="36"/>
    </row>
    <row r="704" spans="1:26" ht="12.75" hidden="1">
      <c r="A704" s="36" t="str">
        <f ca="1">IFERROR(__xludf.DUMMYFUNCTION("""COMPUTED_VALUE"""),"")</f>
        <v/>
      </c>
      <c r="B704" s="36" t="str">
        <f ca="1">IFERROR(__xludf.DUMMYFUNCTION("""COMPUTED_VALUE"""),"")</f>
        <v/>
      </c>
      <c r="C704" s="36" t="str">
        <f ca="1">IFERROR(__xludf.DUMMYFUNCTION("""COMPUTED_VALUE"""),"")</f>
        <v/>
      </c>
      <c r="D704" s="36" t="str">
        <f ca="1">IFERROR(__xludf.DUMMYFUNCTION("""COMPUTED_VALUE"""),"")</f>
        <v/>
      </c>
      <c r="E704" s="36" t="str">
        <f ca="1">IFERROR(__xludf.DUMMYFUNCTION("""COMPUTED_VALUE"""),"")</f>
        <v/>
      </c>
      <c r="F704" s="36" t="str">
        <f ca="1">IFERROR(__xludf.DUMMYFUNCTION("""COMPUTED_VALUE"""),"")</f>
        <v/>
      </c>
      <c r="G704" s="36" t="str">
        <f ca="1">IFERROR(__xludf.DUMMYFUNCTION("""COMPUTED_VALUE"""),"")</f>
        <v/>
      </c>
      <c r="H704" s="36" t="str">
        <f ca="1">IFERROR(__xludf.DUMMYFUNCTION("""COMPUTED_VALUE"""),"")</f>
        <v/>
      </c>
      <c r="I704" s="36" t="str">
        <f ca="1">IFERROR(__xludf.DUMMYFUNCTION("""COMPUTED_VALUE"""),"")</f>
        <v/>
      </c>
      <c r="J704" s="36" t="str">
        <f ca="1">IFERROR(__xludf.DUMMYFUNCTION("""COMPUTED_VALUE"""),"")</f>
        <v/>
      </c>
      <c r="K704" s="36" t="str">
        <f ca="1">IFERROR(__xludf.DUMMYFUNCTION("""COMPUTED_VALUE"""),"")</f>
        <v/>
      </c>
      <c r="L704" s="36" t="str">
        <f ca="1">IFERROR(__xludf.DUMMYFUNCTION("""COMPUTED_VALUE"""),"")</f>
        <v/>
      </c>
      <c r="M704" s="36" t="str">
        <f ca="1">IFERROR(__xludf.DUMMYFUNCTION("""COMPUTED_VALUE"""),"")</f>
        <v/>
      </c>
      <c r="N704" s="36" t="str">
        <f ca="1">IFERROR(__xludf.DUMMYFUNCTION("""COMPUTED_VALUE"""),"")</f>
        <v/>
      </c>
      <c r="O704" s="36" t="str">
        <f ca="1">IFERROR(__xludf.DUMMYFUNCTION("""COMPUTED_VALUE"""),"")</f>
        <v/>
      </c>
      <c r="P704" s="36" t="str">
        <f ca="1">IFERROR(__xludf.DUMMYFUNCTION("""COMPUTED_VALUE"""),"")</f>
        <v/>
      </c>
      <c r="Q704" s="36" t="str">
        <f ca="1">IFERROR(__xludf.DUMMYFUNCTION("""COMPUTED_VALUE"""),"")</f>
        <v/>
      </c>
      <c r="R704" s="36" t="str">
        <f ca="1">IFERROR(__xludf.DUMMYFUNCTION("""COMPUTED_VALUE"""),"")</f>
        <v/>
      </c>
      <c r="S704" s="36" t="str">
        <f ca="1">IFERROR(__xludf.DUMMYFUNCTION("""COMPUTED_VALUE"""),"")</f>
        <v/>
      </c>
      <c r="T704" s="36" t="str">
        <f ca="1">IFERROR(__xludf.DUMMYFUNCTION("""COMPUTED_VALUE"""),"")</f>
        <v/>
      </c>
      <c r="U704" s="36" t="str">
        <f ca="1">IFERROR(__xludf.DUMMYFUNCTION("""COMPUTED_VALUE"""),"")</f>
        <v/>
      </c>
      <c r="V704" s="36" t="str">
        <f ca="1">IFERROR(__xludf.DUMMYFUNCTION("""COMPUTED_VALUE"""),"")</f>
        <v/>
      </c>
      <c r="W704" s="36" t="str">
        <f ca="1">IFERROR(__xludf.DUMMYFUNCTION("""COMPUTED_VALUE"""),"")</f>
        <v/>
      </c>
      <c r="X704" s="36"/>
      <c r="Y704" s="36"/>
      <c r="Z704" s="36"/>
    </row>
    <row r="705" spans="1:26" ht="12.75" hidden="1">
      <c r="A705" s="36" t="str">
        <f ca="1">IFERROR(__xludf.DUMMYFUNCTION("""COMPUTED_VALUE"""),"")</f>
        <v/>
      </c>
      <c r="B705" s="36" t="str">
        <f ca="1">IFERROR(__xludf.DUMMYFUNCTION("""COMPUTED_VALUE"""),"")</f>
        <v/>
      </c>
      <c r="C705" s="36" t="str">
        <f ca="1">IFERROR(__xludf.DUMMYFUNCTION("""COMPUTED_VALUE"""),"")</f>
        <v/>
      </c>
      <c r="D705" s="36" t="str">
        <f ca="1">IFERROR(__xludf.DUMMYFUNCTION("""COMPUTED_VALUE"""),"")</f>
        <v/>
      </c>
      <c r="E705" s="36" t="str">
        <f ca="1">IFERROR(__xludf.DUMMYFUNCTION("""COMPUTED_VALUE"""),"")</f>
        <v/>
      </c>
      <c r="F705" s="36" t="str">
        <f ca="1">IFERROR(__xludf.DUMMYFUNCTION("""COMPUTED_VALUE"""),"")</f>
        <v/>
      </c>
      <c r="G705" s="36" t="str">
        <f ca="1">IFERROR(__xludf.DUMMYFUNCTION("""COMPUTED_VALUE"""),"")</f>
        <v/>
      </c>
      <c r="H705" s="36" t="str">
        <f ca="1">IFERROR(__xludf.DUMMYFUNCTION("""COMPUTED_VALUE"""),"")</f>
        <v/>
      </c>
      <c r="I705" s="36" t="str">
        <f ca="1">IFERROR(__xludf.DUMMYFUNCTION("""COMPUTED_VALUE"""),"")</f>
        <v/>
      </c>
      <c r="J705" s="36" t="str">
        <f ca="1">IFERROR(__xludf.DUMMYFUNCTION("""COMPUTED_VALUE"""),"")</f>
        <v/>
      </c>
      <c r="K705" s="36" t="str">
        <f ca="1">IFERROR(__xludf.DUMMYFUNCTION("""COMPUTED_VALUE"""),"")</f>
        <v/>
      </c>
      <c r="L705" s="36" t="str">
        <f ca="1">IFERROR(__xludf.DUMMYFUNCTION("""COMPUTED_VALUE"""),"")</f>
        <v/>
      </c>
      <c r="M705" s="36" t="str">
        <f ca="1">IFERROR(__xludf.DUMMYFUNCTION("""COMPUTED_VALUE"""),"")</f>
        <v/>
      </c>
      <c r="N705" s="36" t="str">
        <f ca="1">IFERROR(__xludf.DUMMYFUNCTION("""COMPUTED_VALUE"""),"")</f>
        <v/>
      </c>
      <c r="O705" s="36" t="str">
        <f ca="1">IFERROR(__xludf.DUMMYFUNCTION("""COMPUTED_VALUE"""),"")</f>
        <v/>
      </c>
      <c r="P705" s="36" t="str">
        <f ca="1">IFERROR(__xludf.DUMMYFUNCTION("""COMPUTED_VALUE"""),"")</f>
        <v/>
      </c>
      <c r="Q705" s="36" t="str">
        <f ca="1">IFERROR(__xludf.DUMMYFUNCTION("""COMPUTED_VALUE"""),"")</f>
        <v/>
      </c>
      <c r="R705" s="36" t="str">
        <f ca="1">IFERROR(__xludf.DUMMYFUNCTION("""COMPUTED_VALUE"""),"")</f>
        <v/>
      </c>
      <c r="S705" s="36" t="str">
        <f ca="1">IFERROR(__xludf.DUMMYFUNCTION("""COMPUTED_VALUE"""),"")</f>
        <v/>
      </c>
      <c r="T705" s="36" t="str">
        <f ca="1">IFERROR(__xludf.DUMMYFUNCTION("""COMPUTED_VALUE"""),"")</f>
        <v/>
      </c>
      <c r="U705" s="36" t="str">
        <f ca="1">IFERROR(__xludf.DUMMYFUNCTION("""COMPUTED_VALUE"""),"")</f>
        <v/>
      </c>
      <c r="V705" s="36" t="str">
        <f ca="1">IFERROR(__xludf.DUMMYFUNCTION("""COMPUTED_VALUE"""),"")</f>
        <v/>
      </c>
      <c r="W705" s="36" t="str">
        <f ca="1">IFERROR(__xludf.DUMMYFUNCTION("""COMPUTED_VALUE"""),"")</f>
        <v/>
      </c>
      <c r="X705" s="36"/>
      <c r="Y705" s="36"/>
      <c r="Z705" s="36"/>
    </row>
    <row r="706" spans="1:26" ht="12.75" hidden="1">
      <c r="A706" s="36" t="str">
        <f ca="1">IFERROR(__xludf.DUMMYFUNCTION("""COMPUTED_VALUE"""),"")</f>
        <v/>
      </c>
      <c r="B706" s="36" t="str">
        <f ca="1">IFERROR(__xludf.DUMMYFUNCTION("""COMPUTED_VALUE"""),"")</f>
        <v/>
      </c>
      <c r="C706" s="36" t="str">
        <f ca="1">IFERROR(__xludf.DUMMYFUNCTION("""COMPUTED_VALUE"""),"")</f>
        <v/>
      </c>
      <c r="D706" s="36" t="str">
        <f ca="1">IFERROR(__xludf.DUMMYFUNCTION("""COMPUTED_VALUE"""),"")</f>
        <v/>
      </c>
      <c r="E706" s="36" t="str">
        <f ca="1">IFERROR(__xludf.DUMMYFUNCTION("""COMPUTED_VALUE"""),"")</f>
        <v/>
      </c>
      <c r="F706" s="36" t="str">
        <f ca="1">IFERROR(__xludf.DUMMYFUNCTION("""COMPUTED_VALUE"""),"")</f>
        <v/>
      </c>
      <c r="G706" s="36" t="str">
        <f ca="1">IFERROR(__xludf.DUMMYFUNCTION("""COMPUTED_VALUE"""),"")</f>
        <v/>
      </c>
      <c r="H706" s="36" t="str">
        <f ca="1">IFERROR(__xludf.DUMMYFUNCTION("""COMPUTED_VALUE"""),"")</f>
        <v/>
      </c>
      <c r="I706" s="36" t="str">
        <f ca="1">IFERROR(__xludf.DUMMYFUNCTION("""COMPUTED_VALUE"""),"")</f>
        <v/>
      </c>
      <c r="J706" s="36" t="str">
        <f ca="1">IFERROR(__xludf.DUMMYFUNCTION("""COMPUTED_VALUE"""),"")</f>
        <v/>
      </c>
      <c r="K706" s="36" t="str">
        <f ca="1">IFERROR(__xludf.DUMMYFUNCTION("""COMPUTED_VALUE"""),"")</f>
        <v/>
      </c>
      <c r="L706" s="36" t="str">
        <f ca="1">IFERROR(__xludf.DUMMYFUNCTION("""COMPUTED_VALUE"""),"")</f>
        <v/>
      </c>
      <c r="M706" s="36" t="str">
        <f ca="1">IFERROR(__xludf.DUMMYFUNCTION("""COMPUTED_VALUE"""),"")</f>
        <v/>
      </c>
      <c r="N706" s="36" t="str">
        <f ca="1">IFERROR(__xludf.DUMMYFUNCTION("""COMPUTED_VALUE"""),"")</f>
        <v/>
      </c>
      <c r="O706" s="36" t="str">
        <f ca="1">IFERROR(__xludf.DUMMYFUNCTION("""COMPUTED_VALUE"""),"")</f>
        <v/>
      </c>
      <c r="P706" s="36" t="str">
        <f ca="1">IFERROR(__xludf.DUMMYFUNCTION("""COMPUTED_VALUE"""),"")</f>
        <v/>
      </c>
      <c r="Q706" s="36" t="str">
        <f ca="1">IFERROR(__xludf.DUMMYFUNCTION("""COMPUTED_VALUE"""),"")</f>
        <v/>
      </c>
      <c r="R706" s="36" t="str">
        <f ca="1">IFERROR(__xludf.DUMMYFUNCTION("""COMPUTED_VALUE"""),"")</f>
        <v/>
      </c>
      <c r="S706" s="36" t="str">
        <f ca="1">IFERROR(__xludf.DUMMYFUNCTION("""COMPUTED_VALUE"""),"")</f>
        <v/>
      </c>
      <c r="T706" s="36" t="str">
        <f ca="1">IFERROR(__xludf.DUMMYFUNCTION("""COMPUTED_VALUE"""),"")</f>
        <v/>
      </c>
      <c r="U706" s="36" t="str">
        <f ca="1">IFERROR(__xludf.DUMMYFUNCTION("""COMPUTED_VALUE"""),"")</f>
        <v/>
      </c>
      <c r="V706" s="36" t="str">
        <f ca="1">IFERROR(__xludf.DUMMYFUNCTION("""COMPUTED_VALUE"""),"")</f>
        <v/>
      </c>
      <c r="W706" s="36" t="str">
        <f ca="1">IFERROR(__xludf.DUMMYFUNCTION("""COMPUTED_VALUE"""),"")</f>
        <v/>
      </c>
      <c r="X706" s="36"/>
      <c r="Y706" s="36"/>
      <c r="Z706" s="36"/>
    </row>
    <row r="707" spans="1:26" ht="12.75" hidden="1">
      <c r="A707" s="36" t="str">
        <f ca="1">IFERROR(__xludf.DUMMYFUNCTION("""COMPUTED_VALUE"""),"")</f>
        <v/>
      </c>
      <c r="B707" s="36" t="str">
        <f ca="1">IFERROR(__xludf.DUMMYFUNCTION("""COMPUTED_VALUE"""),"")</f>
        <v/>
      </c>
      <c r="C707" s="36" t="str">
        <f ca="1">IFERROR(__xludf.DUMMYFUNCTION("""COMPUTED_VALUE"""),"")</f>
        <v/>
      </c>
      <c r="D707" s="36" t="str">
        <f ca="1">IFERROR(__xludf.DUMMYFUNCTION("""COMPUTED_VALUE"""),"")</f>
        <v/>
      </c>
      <c r="E707" s="36" t="str">
        <f ca="1">IFERROR(__xludf.DUMMYFUNCTION("""COMPUTED_VALUE"""),"")</f>
        <v/>
      </c>
      <c r="F707" s="36" t="str">
        <f ca="1">IFERROR(__xludf.DUMMYFUNCTION("""COMPUTED_VALUE"""),"")</f>
        <v/>
      </c>
      <c r="G707" s="36" t="str">
        <f ca="1">IFERROR(__xludf.DUMMYFUNCTION("""COMPUTED_VALUE"""),"")</f>
        <v/>
      </c>
      <c r="H707" s="36" t="str">
        <f ca="1">IFERROR(__xludf.DUMMYFUNCTION("""COMPUTED_VALUE"""),"")</f>
        <v/>
      </c>
      <c r="I707" s="36" t="str">
        <f ca="1">IFERROR(__xludf.DUMMYFUNCTION("""COMPUTED_VALUE"""),"")</f>
        <v/>
      </c>
      <c r="J707" s="36" t="str">
        <f ca="1">IFERROR(__xludf.DUMMYFUNCTION("""COMPUTED_VALUE"""),"")</f>
        <v/>
      </c>
      <c r="K707" s="36" t="str">
        <f ca="1">IFERROR(__xludf.DUMMYFUNCTION("""COMPUTED_VALUE"""),"")</f>
        <v/>
      </c>
      <c r="L707" s="36" t="str">
        <f ca="1">IFERROR(__xludf.DUMMYFUNCTION("""COMPUTED_VALUE"""),"")</f>
        <v/>
      </c>
      <c r="M707" s="36" t="str">
        <f ca="1">IFERROR(__xludf.DUMMYFUNCTION("""COMPUTED_VALUE"""),"")</f>
        <v/>
      </c>
      <c r="N707" s="36" t="str">
        <f ca="1">IFERROR(__xludf.DUMMYFUNCTION("""COMPUTED_VALUE"""),"")</f>
        <v/>
      </c>
      <c r="O707" s="36" t="str">
        <f ca="1">IFERROR(__xludf.DUMMYFUNCTION("""COMPUTED_VALUE"""),"")</f>
        <v/>
      </c>
      <c r="P707" s="36" t="str">
        <f ca="1">IFERROR(__xludf.DUMMYFUNCTION("""COMPUTED_VALUE"""),"")</f>
        <v/>
      </c>
      <c r="Q707" s="36" t="str">
        <f ca="1">IFERROR(__xludf.DUMMYFUNCTION("""COMPUTED_VALUE"""),"")</f>
        <v/>
      </c>
      <c r="R707" s="36" t="str">
        <f ca="1">IFERROR(__xludf.DUMMYFUNCTION("""COMPUTED_VALUE"""),"")</f>
        <v/>
      </c>
      <c r="S707" s="36" t="str">
        <f ca="1">IFERROR(__xludf.DUMMYFUNCTION("""COMPUTED_VALUE"""),"")</f>
        <v/>
      </c>
      <c r="T707" s="36" t="str">
        <f ca="1">IFERROR(__xludf.DUMMYFUNCTION("""COMPUTED_VALUE"""),"")</f>
        <v/>
      </c>
      <c r="U707" s="36" t="str">
        <f ca="1">IFERROR(__xludf.DUMMYFUNCTION("""COMPUTED_VALUE"""),"")</f>
        <v/>
      </c>
      <c r="V707" s="36" t="str">
        <f ca="1">IFERROR(__xludf.DUMMYFUNCTION("""COMPUTED_VALUE"""),"")</f>
        <v/>
      </c>
      <c r="W707" s="36" t="str">
        <f ca="1">IFERROR(__xludf.DUMMYFUNCTION("""COMPUTED_VALUE"""),"")</f>
        <v/>
      </c>
      <c r="X707" s="36"/>
      <c r="Y707" s="36"/>
      <c r="Z707" s="36"/>
    </row>
    <row r="708" spans="1:26" ht="12.75" hidden="1">
      <c r="A708" s="36" t="str">
        <f ca="1">IFERROR(__xludf.DUMMYFUNCTION("""COMPUTED_VALUE"""),"")</f>
        <v/>
      </c>
      <c r="B708" s="36" t="str">
        <f ca="1">IFERROR(__xludf.DUMMYFUNCTION("""COMPUTED_VALUE"""),"")</f>
        <v/>
      </c>
      <c r="C708" s="36" t="str">
        <f ca="1">IFERROR(__xludf.DUMMYFUNCTION("""COMPUTED_VALUE"""),"")</f>
        <v/>
      </c>
      <c r="D708" s="36" t="str">
        <f ca="1">IFERROR(__xludf.DUMMYFUNCTION("""COMPUTED_VALUE"""),"")</f>
        <v/>
      </c>
      <c r="E708" s="36" t="str">
        <f ca="1">IFERROR(__xludf.DUMMYFUNCTION("""COMPUTED_VALUE"""),"")</f>
        <v/>
      </c>
      <c r="F708" s="36" t="str">
        <f ca="1">IFERROR(__xludf.DUMMYFUNCTION("""COMPUTED_VALUE"""),"")</f>
        <v/>
      </c>
      <c r="G708" s="36" t="str">
        <f ca="1">IFERROR(__xludf.DUMMYFUNCTION("""COMPUTED_VALUE"""),"")</f>
        <v/>
      </c>
      <c r="H708" s="36" t="str">
        <f ca="1">IFERROR(__xludf.DUMMYFUNCTION("""COMPUTED_VALUE"""),"")</f>
        <v/>
      </c>
      <c r="I708" s="36" t="str">
        <f ca="1">IFERROR(__xludf.DUMMYFUNCTION("""COMPUTED_VALUE"""),"")</f>
        <v/>
      </c>
      <c r="J708" s="36" t="str">
        <f ca="1">IFERROR(__xludf.DUMMYFUNCTION("""COMPUTED_VALUE"""),"")</f>
        <v/>
      </c>
      <c r="K708" s="36" t="str">
        <f ca="1">IFERROR(__xludf.DUMMYFUNCTION("""COMPUTED_VALUE"""),"")</f>
        <v/>
      </c>
      <c r="L708" s="36" t="str">
        <f ca="1">IFERROR(__xludf.DUMMYFUNCTION("""COMPUTED_VALUE"""),"")</f>
        <v/>
      </c>
      <c r="M708" s="36" t="str">
        <f ca="1">IFERROR(__xludf.DUMMYFUNCTION("""COMPUTED_VALUE"""),"")</f>
        <v/>
      </c>
      <c r="N708" s="36" t="str">
        <f ca="1">IFERROR(__xludf.DUMMYFUNCTION("""COMPUTED_VALUE"""),"")</f>
        <v/>
      </c>
      <c r="O708" s="36" t="str">
        <f ca="1">IFERROR(__xludf.DUMMYFUNCTION("""COMPUTED_VALUE"""),"")</f>
        <v/>
      </c>
      <c r="P708" s="36" t="str">
        <f ca="1">IFERROR(__xludf.DUMMYFUNCTION("""COMPUTED_VALUE"""),"")</f>
        <v/>
      </c>
      <c r="Q708" s="36" t="str">
        <f ca="1">IFERROR(__xludf.DUMMYFUNCTION("""COMPUTED_VALUE"""),"")</f>
        <v/>
      </c>
      <c r="R708" s="36" t="str">
        <f ca="1">IFERROR(__xludf.DUMMYFUNCTION("""COMPUTED_VALUE"""),"")</f>
        <v/>
      </c>
      <c r="S708" s="36" t="str">
        <f ca="1">IFERROR(__xludf.DUMMYFUNCTION("""COMPUTED_VALUE"""),"")</f>
        <v/>
      </c>
      <c r="T708" s="36" t="str">
        <f ca="1">IFERROR(__xludf.DUMMYFUNCTION("""COMPUTED_VALUE"""),"")</f>
        <v/>
      </c>
      <c r="U708" s="36" t="str">
        <f ca="1">IFERROR(__xludf.DUMMYFUNCTION("""COMPUTED_VALUE"""),"")</f>
        <v/>
      </c>
      <c r="V708" s="36" t="str">
        <f ca="1">IFERROR(__xludf.DUMMYFUNCTION("""COMPUTED_VALUE"""),"")</f>
        <v/>
      </c>
      <c r="W708" s="36" t="str">
        <f ca="1">IFERROR(__xludf.DUMMYFUNCTION("""COMPUTED_VALUE"""),"")</f>
        <v/>
      </c>
      <c r="X708" s="36"/>
      <c r="Y708" s="36"/>
      <c r="Z708" s="36"/>
    </row>
    <row r="709" spans="1:26" ht="12.75" hidden="1">
      <c r="A709" s="36" t="str">
        <f ca="1">IFERROR(__xludf.DUMMYFUNCTION("""COMPUTED_VALUE"""),"")</f>
        <v/>
      </c>
      <c r="B709" s="36" t="str">
        <f ca="1">IFERROR(__xludf.DUMMYFUNCTION("""COMPUTED_VALUE"""),"")</f>
        <v/>
      </c>
      <c r="C709" s="36" t="str">
        <f ca="1">IFERROR(__xludf.DUMMYFUNCTION("""COMPUTED_VALUE"""),"")</f>
        <v/>
      </c>
      <c r="D709" s="36" t="str">
        <f ca="1">IFERROR(__xludf.DUMMYFUNCTION("""COMPUTED_VALUE"""),"")</f>
        <v/>
      </c>
      <c r="E709" s="36" t="str">
        <f ca="1">IFERROR(__xludf.DUMMYFUNCTION("""COMPUTED_VALUE"""),"")</f>
        <v/>
      </c>
      <c r="F709" s="36" t="str">
        <f ca="1">IFERROR(__xludf.DUMMYFUNCTION("""COMPUTED_VALUE"""),"")</f>
        <v/>
      </c>
      <c r="G709" s="36" t="str">
        <f ca="1">IFERROR(__xludf.DUMMYFUNCTION("""COMPUTED_VALUE"""),"")</f>
        <v/>
      </c>
      <c r="H709" s="36" t="str">
        <f ca="1">IFERROR(__xludf.DUMMYFUNCTION("""COMPUTED_VALUE"""),"")</f>
        <v/>
      </c>
      <c r="I709" s="36" t="str">
        <f ca="1">IFERROR(__xludf.DUMMYFUNCTION("""COMPUTED_VALUE"""),"")</f>
        <v/>
      </c>
      <c r="J709" s="36" t="str">
        <f ca="1">IFERROR(__xludf.DUMMYFUNCTION("""COMPUTED_VALUE"""),"")</f>
        <v/>
      </c>
      <c r="K709" s="36" t="str">
        <f ca="1">IFERROR(__xludf.DUMMYFUNCTION("""COMPUTED_VALUE"""),"")</f>
        <v/>
      </c>
      <c r="L709" s="36" t="str">
        <f ca="1">IFERROR(__xludf.DUMMYFUNCTION("""COMPUTED_VALUE"""),"")</f>
        <v/>
      </c>
      <c r="M709" s="36" t="str">
        <f ca="1">IFERROR(__xludf.DUMMYFUNCTION("""COMPUTED_VALUE"""),"")</f>
        <v/>
      </c>
      <c r="N709" s="36" t="str">
        <f ca="1">IFERROR(__xludf.DUMMYFUNCTION("""COMPUTED_VALUE"""),"")</f>
        <v/>
      </c>
      <c r="O709" s="36" t="str">
        <f ca="1">IFERROR(__xludf.DUMMYFUNCTION("""COMPUTED_VALUE"""),"")</f>
        <v/>
      </c>
      <c r="P709" s="36" t="str">
        <f ca="1">IFERROR(__xludf.DUMMYFUNCTION("""COMPUTED_VALUE"""),"")</f>
        <v/>
      </c>
      <c r="Q709" s="36" t="str">
        <f ca="1">IFERROR(__xludf.DUMMYFUNCTION("""COMPUTED_VALUE"""),"")</f>
        <v/>
      </c>
      <c r="R709" s="36" t="str">
        <f ca="1">IFERROR(__xludf.DUMMYFUNCTION("""COMPUTED_VALUE"""),"")</f>
        <v/>
      </c>
      <c r="S709" s="36" t="str">
        <f ca="1">IFERROR(__xludf.DUMMYFUNCTION("""COMPUTED_VALUE"""),"")</f>
        <v/>
      </c>
      <c r="T709" s="36" t="str">
        <f ca="1">IFERROR(__xludf.DUMMYFUNCTION("""COMPUTED_VALUE"""),"")</f>
        <v/>
      </c>
      <c r="U709" s="36" t="str">
        <f ca="1">IFERROR(__xludf.DUMMYFUNCTION("""COMPUTED_VALUE"""),"")</f>
        <v/>
      </c>
      <c r="V709" s="36" t="str">
        <f ca="1">IFERROR(__xludf.DUMMYFUNCTION("""COMPUTED_VALUE"""),"")</f>
        <v/>
      </c>
      <c r="W709" s="36" t="str">
        <f ca="1">IFERROR(__xludf.DUMMYFUNCTION("""COMPUTED_VALUE"""),"")</f>
        <v/>
      </c>
      <c r="X709" s="36"/>
      <c r="Y709" s="36"/>
      <c r="Z709" s="36"/>
    </row>
    <row r="710" spans="1:26" ht="12.75" hidden="1">
      <c r="A710" s="36" t="str">
        <f ca="1">IFERROR(__xludf.DUMMYFUNCTION("""COMPUTED_VALUE"""),"")</f>
        <v/>
      </c>
      <c r="B710" s="36" t="str">
        <f ca="1">IFERROR(__xludf.DUMMYFUNCTION("""COMPUTED_VALUE"""),"")</f>
        <v/>
      </c>
      <c r="C710" s="36" t="str">
        <f ca="1">IFERROR(__xludf.DUMMYFUNCTION("""COMPUTED_VALUE"""),"")</f>
        <v/>
      </c>
      <c r="D710" s="36" t="str">
        <f ca="1">IFERROR(__xludf.DUMMYFUNCTION("""COMPUTED_VALUE"""),"")</f>
        <v/>
      </c>
      <c r="E710" s="36" t="str">
        <f ca="1">IFERROR(__xludf.DUMMYFUNCTION("""COMPUTED_VALUE"""),"")</f>
        <v/>
      </c>
      <c r="F710" s="36" t="str">
        <f ca="1">IFERROR(__xludf.DUMMYFUNCTION("""COMPUTED_VALUE"""),"")</f>
        <v/>
      </c>
      <c r="G710" s="36" t="str">
        <f ca="1">IFERROR(__xludf.DUMMYFUNCTION("""COMPUTED_VALUE"""),"")</f>
        <v/>
      </c>
      <c r="H710" s="36" t="str">
        <f ca="1">IFERROR(__xludf.DUMMYFUNCTION("""COMPUTED_VALUE"""),"")</f>
        <v/>
      </c>
      <c r="I710" s="36" t="str">
        <f ca="1">IFERROR(__xludf.DUMMYFUNCTION("""COMPUTED_VALUE"""),"")</f>
        <v/>
      </c>
      <c r="J710" s="36" t="str">
        <f ca="1">IFERROR(__xludf.DUMMYFUNCTION("""COMPUTED_VALUE"""),"")</f>
        <v/>
      </c>
      <c r="K710" s="36" t="str">
        <f ca="1">IFERROR(__xludf.DUMMYFUNCTION("""COMPUTED_VALUE"""),"")</f>
        <v/>
      </c>
      <c r="L710" s="36" t="str">
        <f ca="1">IFERROR(__xludf.DUMMYFUNCTION("""COMPUTED_VALUE"""),"")</f>
        <v/>
      </c>
      <c r="M710" s="36" t="str">
        <f ca="1">IFERROR(__xludf.DUMMYFUNCTION("""COMPUTED_VALUE"""),"")</f>
        <v/>
      </c>
      <c r="N710" s="36" t="str">
        <f ca="1">IFERROR(__xludf.DUMMYFUNCTION("""COMPUTED_VALUE"""),"")</f>
        <v/>
      </c>
      <c r="O710" s="36" t="str">
        <f ca="1">IFERROR(__xludf.DUMMYFUNCTION("""COMPUTED_VALUE"""),"")</f>
        <v/>
      </c>
      <c r="P710" s="36" t="str">
        <f ca="1">IFERROR(__xludf.DUMMYFUNCTION("""COMPUTED_VALUE"""),"")</f>
        <v/>
      </c>
      <c r="Q710" s="36" t="str">
        <f ca="1">IFERROR(__xludf.DUMMYFUNCTION("""COMPUTED_VALUE"""),"")</f>
        <v/>
      </c>
      <c r="R710" s="36" t="str">
        <f ca="1">IFERROR(__xludf.DUMMYFUNCTION("""COMPUTED_VALUE"""),"")</f>
        <v/>
      </c>
      <c r="S710" s="36" t="str">
        <f ca="1">IFERROR(__xludf.DUMMYFUNCTION("""COMPUTED_VALUE"""),"")</f>
        <v/>
      </c>
      <c r="T710" s="36" t="str">
        <f ca="1">IFERROR(__xludf.DUMMYFUNCTION("""COMPUTED_VALUE"""),"")</f>
        <v/>
      </c>
      <c r="U710" s="36" t="str">
        <f ca="1">IFERROR(__xludf.DUMMYFUNCTION("""COMPUTED_VALUE"""),"")</f>
        <v/>
      </c>
      <c r="V710" s="36" t="str">
        <f ca="1">IFERROR(__xludf.DUMMYFUNCTION("""COMPUTED_VALUE"""),"")</f>
        <v/>
      </c>
      <c r="W710" s="36" t="str">
        <f ca="1">IFERROR(__xludf.DUMMYFUNCTION("""COMPUTED_VALUE"""),"")</f>
        <v/>
      </c>
      <c r="X710" s="36"/>
      <c r="Y710" s="36"/>
      <c r="Z710" s="36"/>
    </row>
    <row r="711" spans="1:26" ht="12.75" hidden="1">
      <c r="A711" s="36" t="str">
        <f ca="1">IFERROR(__xludf.DUMMYFUNCTION("""COMPUTED_VALUE"""),"")</f>
        <v/>
      </c>
      <c r="B711" s="36" t="str">
        <f ca="1">IFERROR(__xludf.DUMMYFUNCTION("""COMPUTED_VALUE"""),"")</f>
        <v/>
      </c>
      <c r="C711" s="36" t="str">
        <f ca="1">IFERROR(__xludf.DUMMYFUNCTION("""COMPUTED_VALUE"""),"")</f>
        <v/>
      </c>
      <c r="D711" s="36" t="str">
        <f ca="1">IFERROR(__xludf.DUMMYFUNCTION("""COMPUTED_VALUE"""),"")</f>
        <v/>
      </c>
      <c r="E711" s="36" t="str">
        <f ca="1">IFERROR(__xludf.DUMMYFUNCTION("""COMPUTED_VALUE"""),"")</f>
        <v/>
      </c>
      <c r="F711" s="36" t="str">
        <f ca="1">IFERROR(__xludf.DUMMYFUNCTION("""COMPUTED_VALUE"""),"")</f>
        <v/>
      </c>
      <c r="G711" s="36" t="str">
        <f ca="1">IFERROR(__xludf.DUMMYFUNCTION("""COMPUTED_VALUE"""),"")</f>
        <v/>
      </c>
      <c r="H711" s="36" t="str">
        <f ca="1">IFERROR(__xludf.DUMMYFUNCTION("""COMPUTED_VALUE"""),"")</f>
        <v/>
      </c>
      <c r="I711" s="36" t="str">
        <f ca="1">IFERROR(__xludf.DUMMYFUNCTION("""COMPUTED_VALUE"""),"")</f>
        <v/>
      </c>
      <c r="J711" s="36" t="str">
        <f ca="1">IFERROR(__xludf.DUMMYFUNCTION("""COMPUTED_VALUE"""),"")</f>
        <v/>
      </c>
      <c r="K711" s="36" t="str">
        <f ca="1">IFERROR(__xludf.DUMMYFUNCTION("""COMPUTED_VALUE"""),"")</f>
        <v/>
      </c>
      <c r="L711" s="36" t="str">
        <f ca="1">IFERROR(__xludf.DUMMYFUNCTION("""COMPUTED_VALUE"""),"")</f>
        <v/>
      </c>
      <c r="M711" s="36" t="str">
        <f ca="1">IFERROR(__xludf.DUMMYFUNCTION("""COMPUTED_VALUE"""),"")</f>
        <v/>
      </c>
      <c r="N711" s="36" t="str">
        <f ca="1">IFERROR(__xludf.DUMMYFUNCTION("""COMPUTED_VALUE"""),"")</f>
        <v/>
      </c>
      <c r="O711" s="36" t="str">
        <f ca="1">IFERROR(__xludf.DUMMYFUNCTION("""COMPUTED_VALUE"""),"")</f>
        <v/>
      </c>
      <c r="P711" s="36" t="str">
        <f ca="1">IFERROR(__xludf.DUMMYFUNCTION("""COMPUTED_VALUE"""),"")</f>
        <v/>
      </c>
      <c r="Q711" s="36" t="str">
        <f ca="1">IFERROR(__xludf.DUMMYFUNCTION("""COMPUTED_VALUE"""),"")</f>
        <v/>
      </c>
      <c r="R711" s="36" t="str">
        <f ca="1">IFERROR(__xludf.DUMMYFUNCTION("""COMPUTED_VALUE"""),"")</f>
        <v/>
      </c>
      <c r="S711" s="36" t="str">
        <f ca="1">IFERROR(__xludf.DUMMYFUNCTION("""COMPUTED_VALUE"""),"")</f>
        <v/>
      </c>
      <c r="T711" s="36" t="str">
        <f ca="1">IFERROR(__xludf.DUMMYFUNCTION("""COMPUTED_VALUE"""),"")</f>
        <v/>
      </c>
      <c r="U711" s="36" t="str">
        <f ca="1">IFERROR(__xludf.DUMMYFUNCTION("""COMPUTED_VALUE"""),"")</f>
        <v/>
      </c>
      <c r="V711" s="36" t="str">
        <f ca="1">IFERROR(__xludf.DUMMYFUNCTION("""COMPUTED_VALUE"""),"")</f>
        <v/>
      </c>
      <c r="W711" s="36" t="str">
        <f ca="1">IFERROR(__xludf.DUMMYFUNCTION("""COMPUTED_VALUE"""),"")</f>
        <v/>
      </c>
      <c r="X711" s="36"/>
      <c r="Y711" s="36"/>
      <c r="Z711" s="36"/>
    </row>
    <row r="712" spans="1:26" ht="12.75" hidden="1">
      <c r="A712" s="36" t="str">
        <f ca="1">IFERROR(__xludf.DUMMYFUNCTION("""COMPUTED_VALUE"""),"")</f>
        <v/>
      </c>
      <c r="B712" s="36" t="str">
        <f ca="1">IFERROR(__xludf.DUMMYFUNCTION("""COMPUTED_VALUE"""),"")</f>
        <v/>
      </c>
      <c r="C712" s="36" t="str">
        <f ca="1">IFERROR(__xludf.DUMMYFUNCTION("""COMPUTED_VALUE"""),"")</f>
        <v/>
      </c>
      <c r="D712" s="36" t="str">
        <f ca="1">IFERROR(__xludf.DUMMYFUNCTION("""COMPUTED_VALUE"""),"")</f>
        <v/>
      </c>
      <c r="E712" s="36" t="str">
        <f ca="1">IFERROR(__xludf.DUMMYFUNCTION("""COMPUTED_VALUE"""),"")</f>
        <v/>
      </c>
      <c r="F712" s="36" t="str">
        <f ca="1">IFERROR(__xludf.DUMMYFUNCTION("""COMPUTED_VALUE"""),"")</f>
        <v/>
      </c>
      <c r="G712" s="36" t="str">
        <f ca="1">IFERROR(__xludf.DUMMYFUNCTION("""COMPUTED_VALUE"""),"")</f>
        <v/>
      </c>
      <c r="H712" s="36" t="str">
        <f ca="1">IFERROR(__xludf.DUMMYFUNCTION("""COMPUTED_VALUE"""),"")</f>
        <v/>
      </c>
      <c r="I712" s="36" t="str">
        <f ca="1">IFERROR(__xludf.DUMMYFUNCTION("""COMPUTED_VALUE"""),"")</f>
        <v/>
      </c>
      <c r="J712" s="36" t="str">
        <f ca="1">IFERROR(__xludf.DUMMYFUNCTION("""COMPUTED_VALUE"""),"")</f>
        <v/>
      </c>
      <c r="K712" s="36" t="str">
        <f ca="1">IFERROR(__xludf.DUMMYFUNCTION("""COMPUTED_VALUE"""),"")</f>
        <v/>
      </c>
      <c r="L712" s="36" t="str">
        <f ca="1">IFERROR(__xludf.DUMMYFUNCTION("""COMPUTED_VALUE"""),"")</f>
        <v/>
      </c>
      <c r="M712" s="36" t="str">
        <f ca="1">IFERROR(__xludf.DUMMYFUNCTION("""COMPUTED_VALUE"""),"")</f>
        <v/>
      </c>
      <c r="N712" s="36" t="str">
        <f ca="1">IFERROR(__xludf.DUMMYFUNCTION("""COMPUTED_VALUE"""),"")</f>
        <v/>
      </c>
      <c r="O712" s="36" t="str">
        <f ca="1">IFERROR(__xludf.DUMMYFUNCTION("""COMPUTED_VALUE"""),"")</f>
        <v/>
      </c>
      <c r="P712" s="36" t="str">
        <f ca="1">IFERROR(__xludf.DUMMYFUNCTION("""COMPUTED_VALUE"""),"")</f>
        <v/>
      </c>
      <c r="Q712" s="36" t="str">
        <f ca="1">IFERROR(__xludf.DUMMYFUNCTION("""COMPUTED_VALUE"""),"")</f>
        <v/>
      </c>
      <c r="R712" s="36" t="str">
        <f ca="1">IFERROR(__xludf.DUMMYFUNCTION("""COMPUTED_VALUE"""),"")</f>
        <v/>
      </c>
      <c r="S712" s="36" t="str">
        <f ca="1">IFERROR(__xludf.DUMMYFUNCTION("""COMPUTED_VALUE"""),"")</f>
        <v/>
      </c>
      <c r="T712" s="36" t="str">
        <f ca="1">IFERROR(__xludf.DUMMYFUNCTION("""COMPUTED_VALUE"""),"")</f>
        <v/>
      </c>
      <c r="U712" s="36" t="str">
        <f ca="1">IFERROR(__xludf.DUMMYFUNCTION("""COMPUTED_VALUE"""),"")</f>
        <v/>
      </c>
      <c r="V712" s="36" t="str">
        <f ca="1">IFERROR(__xludf.DUMMYFUNCTION("""COMPUTED_VALUE"""),"")</f>
        <v/>
      </c>
      <c r="W712" s="36" t="str">
        <f ca="1">IFERROR(__xludf.DUMMYFUNCTION("""COMPUTED_VALUE"""),"")</f>
        <v/>
      </c>
      <c r="X712" s="36"/>
      <c r="Y712" s="36"/>
      <c r="Z712" s="36"/>
    </row>
    <row r="713" spans="1:26" ht="12.75" hidden="1">
      <c r="A713" s="36" t="str">
        <f ca="1">IFERROR(__xludf.DUMMYFUNCTION("""COMPUTED_VALUE"""),"")</f>
        <v/>
      </c>
      <c r="B713" s="36" t="str">
        <f ca="1">IFERROR(__xludf.DUMMYFUNCTION("""COMPUTED_VALUE"""),"")</f>
        <v/>
      </c>
      <c r="C713" s="36" t="str">
        <f ca="1">IFERROR(__xludf.DUMMYFUNCTION("""COMPUTED_VALUE"""),"")</f>
        <v/>
      </c>
      <c r="D713" s="36" t="str">
        <f ca="1">IFERROR(__xludf.DUMMYFUNCTION("""COMPUTED_VALUE"""),"")</f>
        <v/>
      </c>
      <c r="E713" s="36" t="str">
        <f ca="1">IFERROR(__xludf.DUMMYFUNCTION("""COMPUTED_VALUE"""),"")</f>
        <v/>
      </c>
      <c r="F713" s="36" t="str">
        <f ca="1">IFERROR(__xludf.DUMMYFUNCTION("""COMPUTED_VALUE"""),"")</f>
        <v/>
      </c>
      <c r="G713" s="36" t="str">
        <f ca="1">IFERROR(__xludf.DUMMYFUNCTION("""COMPUTED_VALUE"""),"")</f>
        <v/>
      </c>
      <c r="H713" s="36" t="str">
        <f ca="1">IFERROR(__xludf.DUMMYFUNCTION("""COMPUTED_VALUE"""),"")</f>
        <v/>
      </c>
      <c r="I713" s="36" t="str">
        <f ca="1">IFERROR(__xludf.DUMMYFUNCTION("""COMPUTED_VALUE"""),"")</f>
        <v/>
      </c>
      <c r="J713" s="36" t="str">
        <f ca="1">IFERROR(__xludf.DUMMYFUNCTION("""COMPUTED_VALUE"""),"")</f>
        <v/>
      </c>
      <c r="K713" s="36" t="str">
        <f ca="1">IFERROR(__xludf.DUMMYFUNCTION("""COMPUTED_VALUE"""),"")</f>
        <v/>
      </c>
      <c r="L713" s="36" t="str">
        <f ca="1">IFERROR(__xludf.DUMMYFUNCTION("""COMPUTED_VALUE"""),"")</f>
        <v/>
      </c>
      <c r="M713" s="36" t="str">
        <f ca="1">IFERROR(__xludf.DUMMYFUNCTION("""COMPUTED_VALUE"""),"")</f>
        <v/>
      </c>
      <c r="N713" s="36" t="str">
        <f ca="1">IFERROR(__xludf.DUMMYFUNCTION("""COMPUTED_VALUE"""),"")</f>
        <v/>
      </c>
      <c r="O713" s="36" t="str">
        <f ca="1">IFERROR(__xludf.DUMMYFUNCTION("""COMPUTED_VALUE"""),"")</f>
        <v/>
      </c>
      <c r="P713" s="36" t="str">
        <f ca="1">IFERROR(__xludf.DUMMYFUNCTION("""COMPUTED_VALUE"""),"")</f>
        <v/>
      </c>
      <c r="Q713" s="36" t="str">
        <f ca="1">IFERROR(__xludf.DUMMYFUNCTION("""COMPUTED_VALUE"""),"")</f>
        <v/>
      </c>
      <c r="R713" s="36" t="str">
        <f ca="1">IFERROR(__xludf.DUMMYFUNCTION("""COMPUTED_VALUE"""),"")</f>
        <v/>
      </c>
      <c r="S713" s="36" t="str">
        <f ca="1">IFERROR(__xludf.DUMMYFUNCTION("""COMPUTED_VALUE"""),"")</f>
        <v/>
      </c>
      <c r="T713" s="36" t="str">
        <f ca="1">IFERROR(__xludf.DUMMYFUNCTION("""COMPUTED_VALUE"""),"")</f>
        <v/>
      </c>
      <c r="U713" s="36" t="str">
        <f ca="1">IFERROR(__xludf.DUMMYFUNCTION("""COMPUTED_VALUE"""),"")</f>
        <v/>
      </c>
      <c r="V713" s="36" t="str">
        <f ca="1">IFERROR(__xludf.DUMMYFUNCTION("""COMPUTED_VALUE"""),"")</f>
        <v/>
      </c>
      <c r="W713" s="36" t="str">
        <f ca="1">IFERROR(__xludf.DUMMYFUNCTION("""COMPUTED_VALUE"""),"")</f>
        <v/>
      </c>
      <c r="X713" s="36"/>
      <c r="Y713" s="36"/>
      <c r="Z713" s="36"/>
    </row>
    <row r="714" spans="1:26" ht="12.75" hidden="1">
      <c r="A714" s="36" t="str">
        <f ca="1">IFERROR(__xludf.DUMMYFUNCTION("""COMPUTED_VALUE"""),"")</f>
        <v/>
      </c>
      <c r="B714" s="36" t="str">
        <f ca="1">IFERROR(__xludf.DUMMYFUNCTION("""COMPUTED_VALUE"""),"")</f>
        <v/>
      </c>
      <c r="C714" s="36" t="str">
        <f ca="1">IFERROR(__xludf.DUMMYFUNCTION("""COMPUTED_VALUE"""),"")</f>
        <v/>
      </c>
      <c r="D714" s="36" t="str">
        <f ca="1">IFERROR(__xludf.DUMMYFUNCTION("""COMPUTED_VALUE"""),"")</f>
        <v/>
      </c>
      <c r="E714" s="36" t="str">
        <f ca="1">IFERROR(__xludf.DUMMYFUNCTION("""COMPUTED_VALUE"""),"")</f>
        <v/>
      </c>
      <c r="F714" s="36" t="str">
        <f ca="1">IFERROR(__xludf.DUMMYFUNCTION("""COMPUTED_VALUE"""),"")</f>
        <v/>
      </c>
      <c r="G714" s="36" t="str">
        <f ca="1">IFERROR(__xludf.DUMMYFUNCTION("""COMPUTED_VALUE"""),"")</f>
        <v/>
      </c>
      <c r="H714" s="36" t="str">
        <f ca="1">IFERROR(__xludf.DUMMYFUNCTION("""COMPUTED_VALUE"""),"")</f>
        <v/>
      </c>
      <c r="I714" s="36" t="str">
        <f ca="1">IFERROR(__xludf.DUMMYFUNCTION("""COMPUTED_VALUE"""),"")</f>
        <v/>
      </c>
      <c r="J714" s="36" t="str">
        <f ca="1">IFERROR(__xludf.DUMMYFUNCTION("""COMPUTED_VALUE"""),"")</f>
        <v/>
      </c>
      <c r="K714" s="36" t="str">
        <f ca="1">IFERROR(__xludf.DUMMYFUNCTION("""COMPUTED_VALUE"""),"")</f>
        <v/>
      </c>
      <c r="L714" s="36" t="str">
        <f ca="1">IFERROR(__xludf.DUMMYFUNCTION("""COMPUTED_VALUE"""),"")</f>
        <v/>
      </c>
      <c r="M714" s="36" t="str">
        <f ca="1">IFERROR(__xludf.DUMMYFUNCTION("""COMPUTED_VALUE"""),"")</f>
        <v/>
      </c>
      <c r="N714" s="36" t="str">
        <f ca="1">IFERROR(__xludf.DUMMYFUNCTION("""COMPUTED_VALUE"""),"")</f>
        <v/>
      </c>
      <c r="O714" s="36" t="str">
        <f ca="1">IFERROR(__xludf.DUMMYFUNCTION("""COMPUTED_VALUE"""),"")</f>
        <v/>
      </c>
      <c r="P714" s="36" t="str">
        <f ca="1">IFERROR(__xludf.DUMMYFUNCTION("""COMPUTED_VALUE"""),"")</f>
        <v/>
      </c>
      <c r="Q714" s="36" t="str">
        <f ca="1">IFERROR(__xludf.DUMMYFUNCTION("""COMPUTED_VALUE"""),"")</f>
        <v/>
      </c>
      <c r="R714" s="36" t="str">
        <f ca="1">IFERROR(__xludf.DUMMYFUNCTION("""COMPUTED_VALUE"""),"")</f>
        <v/>
      </c>
      <c r="S714" s="36" t="str">
        <f ca="1">IFERROR(__xludf.DUMMYFUNCTION("""COMPUTED_VALUE"""),"")</f>
        <v/>
      </c>
      <c r="T714" s="36" t="str">
        <f ca="1">IFERROR(__xludf.DUMMYFUNCTION("""COMPUTED_VALUE"""),"")</f>
        <v/>
      </c>
      <c r="U714" s="36" t="str">
        <f ca="1">IFERROR(__xludf.DUMMYFUNCTION("""COMPUTED_VALUE"""),"")</f>
        <v/>
      </c>
      <c r="V714" s="36" t="str">
        <f ca="1">IFERROR(__xludf.DUMMYFUNCTION("""COMPUTED_VALUE"""),"")</f>
        <v/>
      </c>
      <c r="W714" s="36" t="str">
        <f ca="1">IFERROR(__xludf.DUMMYFUNCTION("""COMPUTED_VALUE"""),"")</f>
        <v/>
      </c>
      <c r="X714" s="36"/>
      <c r="Y714" s="36"/>
      <c r="Z714" s="36"/>
    </row>
    <row r="715" spans="1:26" ht="12.75" hidden="1">
      <c r="A715" s="36" t="str">
        <f ca="1">IFERROR(__xludf.DUMMYFUNCTION("""COMPUTED_VALUE"""),"")</f>
        <v/>
      </c>
      <c r="B715" s="36" t="str">
        <f ca="1">IFERROR(__xludf.DUMMYFUNCTION("""COMPUTED_VALUE"""),"")</f>
        <v/>
      </c>
      <c r="C715" s="36" t="str">
        <f ca="1">IFERROR(__xludf.DUMMYFUNCTION("""COMPUTED_VALUE"""),"")</f>
        <v/>
      </c>
      <c r="D715" s="36" t="str">
        <f ca="1">IFERROR(__xludf.DUMMYFUNCTION("""COMPUTED_VALUE"""),"")</f>
        <v/>
      </c>
      <c r="E715" s="36" t="str">
        <f ca="1">IFERROR(__xludf.DUMMYFUNCTION("""COMPUTED_VALUE"""),"")</f>
        <v/>
      </c>
      <c r="F715" s="36" t="str">
        <f ca="1">IFERROR(__xludf.DUMMYFUNCTION("""COMPUTED_VALUE"""),"")</f>
        <v/>
      </c>
      <c r="G715" s="36" t="str">
        <f ca="1">IFERROR(__xludf.DUMMYFUNCTION("""COMPUTED_VALUE"""),"")</f>
        <v/>
      </c>
      <c r="H715" s="36" t="str">
        <f ca="1">IFERROR(__xludf.DUMMYFUNCTION("""COMPUTED_VALUE"""),"")</f>
        <v/>
      </c>
      <c r="I715" s="36" t="str">
        <f ca="1">IFERROR(__xludf.DUMMYFUNCTION("""COMPUTED_VALUE"""),"")</f>
        <v/>
      </c>
      <c r="J715" s="36" t="str">
        <f ca="1">IFERROR(__xludf.DUMMYFUNCTION("""COMPUTED_VALUE"""),"")</f>
        <v/>
      </c>
      <c r="K715" s="36" t="str">
        <f ca="1">IFERROR(__xludf.DUMMYFUNCTION("""COMPUTED_VALUE"""),"")</f>
        <v/>
      </c>
      <c r="L715" s="36" t="str">
        <f ca="1">IFERROR(__xludf.DUMMYFUNCTION("""COMPUTED_VALUE"""),"")</f>
        <v/>
      </c>
      <c r="M715" s="36" t="str">
        <f ca="1">IFERROR(__xludf.DUMMYFUNCTION("""COMPUTED_VALUE"""),"")</f>
        <v/>
      </c>
      <c r="N715" s="36" t="str">
        <f ca="1">IFERROR(__xludf.DUMMYFUNCTION("""COMPUTED_VALUE"""),"")</f>
        <v/>
      </c>
      <c r="O715" s="36" t="str">
        <f ca="1">IFERROR(__xludf.DUMMYFUNCTION("""COMPUTED_VALUE"""),"")</f>
        <v/>
      </c>
      <c r="P715" s="36" t="str">
        <f ca="1">IFERROR(__xludf.DUMMYFUNCTION("""COMPUTED_VALUE"""),"")</f>
        <v/>
      </c>
      <c r="Q715" s="36" t="str">
        <f ca="1">IFERROR(__xludf.DUMMYFUNCTION("""COMPUTED_VALUE"""),"")</f>
        <v/>
      </c>
      <c r="R715" s="36" t="str">
        <f ca="1">IFERROR(__xludf.DUMMYFUNCTION("""COMPUTED_VALUE"""),"")</f>
        <v/>
      </c>
      <c r="S715" s="36" t="str">
        <f ca="1">IFERROR(__xludf.DUMMYFUNCTION("""COMPUTED_VALUE"""),"")</f>
        <v/>
      </c>
      <c r="T715" s="36" t="str">
        <f ca="1">IFERROR(__xludf.DUMMYFUNCTION("""COMPUTED_VALUE"""),"")</f>
        <v/>
      </c>
      <c r="U715" s="36" t="str">
        <f ca="1">IFERROR(__xludf.DUMMYFUNCTION("""COMPUTED_VALUE"""),"")</f>
        <v/>
      </c>
      <c r="V715" s="36" t="str">
        <f ca="1">IFERROR(__xludf.DUMMYFUNCTION("""COMPUTED_VALUE"""),"")</f>
        <v/>
      </c>
      <c r="W715" s="36" t="str">
        <f ca="1">IFERROR(__xludf.DUMMYFUNCTION("""COMPUTED_VALUE"""),"")</f>
        <v/>
      </c>
      <c r="X715" s="36"/>
      <c r="Y715" s="36"/>
      <c r="Z715" s="36"/>
    </row>
    <row r="716" spans="1:26" ht="12.75" hidden="1">
      <c r="A716" s="36" t="str">
        <f ca="1">IFERROR(__xludf.DUMMYFUNCTION("""COMPUTED_VALUE"""),"")</f>
        <v/>
      </c>
      <c r="B716" s="36" t="str">
        <f ca="1">IFERROR(__xludf.DUMMYFUNCTION("""COMPUTED_VALUE"""),"")</f>
        <v/>
      </c>
      <c r="C716" s="36" t="str">
        <f ca="1">IFERROR(__xludf.DUMMYFUNCTION("""COMPUTED_VALUE"""),"")</f>
        <v/>
      </c>
      <c r="D716" s="36" t="str">
        <f ca="1">IFERROR(__xludf.DUMMYFUNCTION("""COMPUTED_VALUE"""),"")</f>
        <v/>
      </c>
      <c r="E716" s="36" t="str">
        <f ca="1">IFERROR(__xludf.DUMMYFUNCTION("""COMPUTED_VALUE"""),"")</f>
        <v/>
      </c>
      <c r="F716" s="36" t="str">
        <f ca="1">IFERROR(__xludf.DUMMYFUNCTION("""COMPUTED_VALUE"""),"")</f>
        <v/>
      </c>
      <c r="G716" s="36" t="str">
        <f ca="1">IFERROR(__xludf.DUMMYFUNCTION("""COMPUTED_VALUE"""),"")</f>
        <v/>
      </c>
      <c r="H716" s="36" t="str">
        <f ca="1">IFERROR(__xludf.DUMMYFUNCTION("""COMPUTED_VALUE"""),"")</f>
        <v/>
      </c>
      <c r="I716" s="36" t="str">
        <f ca="1">IFERROR(__xludf.DUMMYFUNCTION("""COMPUTED_VALUE"""),"")</f>
        <v/>
      </c>
      <c r="J716" s="36" t="str">
        <f ca="1">IFERROR(__xludf.DUMMYFUNCTION("""COMPUTED_VALUE"""),"")</f>
        <v/>
      </c>
      <c r="K716" s="36" t="str">
        <f ca="1">IFERROR(__xludf.DUMMYFUNCTION("""COMPUTED_VALUE"""),"")</f>
        <v/>
      </c>
      <c r="L716" s="36" t="str">
        <f ca="1">IFERROR(__xludf.DUMMYFUNCTION("""COMPUTED_VALUE"""),"")</f>
        <v/>
      </c>
      <c r="M716" s="36" t="str">
        <f ca="1">IFERROR(__xludf.DUMMYFUNCTION("""COMPUTED_VALUE"""),"")</f>
        <v/>
      </c>
      <c r="N716" s="36" t="str">
        <f ca="1">IFERROR(__xludf.DUMMYFUNCTION("""COMPUTED_VALUE"""),"")</f>
        <v/>
      </c>
      <c r="O716" s="36" t="str">
        <f ca="1">IFERROR(__xludf.DUMMYFUNCTION("""COMPUTED_VALUE"""),"")</f>
        <v/>
      </c>
      <c r="P716" s="36" t="str">
        <f ca="1">IFERROR(__xludf.DUMMYFUNCTION("""COMPUTED_VALUE"""),"")</f>
        <v/>
      </c>
      <c r="Q716" s="36" t="str">
        <f ca="1">IFERROR(__xludf.DUMMYFUNCTION("""COMPUTED_VALUE"""),"")</f>
        <v/>
      </c>
      <c r="R716" s="36" t="str">
        <f ca="1">IFERROR(__xludf.DUMMYFUNCTION("""COMPUTED_VALUE"""),"")</f>
        <v/>
      </c>
      <c r="S716" s="36" t="str">
        <f ca="1">IFERROR(__xludf.DUMMYFUNCTION("""COMPUTED_VALUE"""),"")</f>
        <v/>
      </c>
      <c r="T716" s="36" t="str">
        <f ca="1">IFERROR(__xludf.DUMMYFUNCTION("""COMPUTED_VALUE"""),"")</f>
        <v/>
      </c>
      <c r="U716" s="36" t="str">
        <f ca="1">IFERROR(__xludf.DUMMYFUNCTION("""COMPUTED_VALUE"""),"")</f>
        <v/>
      </c>
      <c r="V716" s="36" t="str">
        <f ca="1">IFERROR(__xludf.DUMMYFUNCTION("""COMPUTED_VALUE"""),"")</f>
        <v/>
      </c>
      <c r="W716" s="36" t="str">
        <f ca="1">IFERROR(__xludf.DUMMYFUNCTION("""COMPUTED_VALUE"""),"")</f>
        <v/>
      </c>
      <c r="X716" s="36"/>
      <c r="Y716" s="36"/>
      <c r="Z716" s="36"/>
    </row>
    <row r="717" spans="1:26" ht="12.75" hidden="1">
      <c r="A717" s="36" t="str">
        <f ca="1">IFERROR(__xludf.DUMMYFUNCTION("""COMPUTED_VALUE"""),"")</f>
        <v/>
      </c>
      <c r="B717" s="36" t="str">
        <f ca="1">IFERROR(__xludf.DUMMYFUNCTION("""COMPUTED_VALUE"""),"")</f>
        <v/>
      </c>
      <c r="C717" s="36" t="str">
        <f ca="1">IFERROR(__xludf.DUMMYFUNCTION("""COMPUTED_VALUE"""),"")</f>
        <v/>
      </c>
      <c r="D717" s="36" t="str">
        <f ca="1">IFERROR(__xludf.DUMMYFUNCTION("""COMPUTED_VALUE"""),"")</f>
        <v/>
      </c>
      <c r="E717" s="36" t="str">
        <f ca="1">IFERROR(__xludf.DUMMYFUNCTION("""COMPUTED_VALUE"""),"")</f>
        <v/>
      </c>
      <c r="F717" s="36" t="str">
        <f ca="1">IFERROR(__xludf.DUMMYFUNCTION("""COMPUTED_VALUE"""),"")</f>
        <v/>
      </c>
      <c r="G717" s="36" t="str">
        <f ca="1">IFERROR(__xludf.DUMMYFUNCTION("""COMPUTED_VALUE"""),"")</f>
        <v/>
      </c>
      <c r="H717" s="36" t="str">
        <f ca="1">IFERROR(__xludf.DUMMYFUNCTION("""COMPUTED_VALUE"""),"")</f>
        <v/>
      </c>
      <c r="I717" s="36" t="str">
        <f ca="1">IFERROR(__xludf.DUMMYFUNCTION("""COMPUTED_VALUE"""),"")</f>
        <v/>
      </c>
      <c r="J717" s="36" t="str">
        <f ca="1">IFERROR(__xludf.DUMMYFUNCTION("""COMPUTED_VALUE"""),"")</f>
        <v/>
      </c>
      <c r="K717" s="36" t="str">
        <f ca="1">IFERROR(__xludf.DUMMYFUNCTION("""COMPUTED_VALUE"""),"")</f>
        <v/>
      </c>
      <c r="L717" s="36" t="str">
        <f ca="1">IFERROR(__xludf.DUMMYFUNCTION("""COMPUTED_VALUE"""),"")</f>
        <v/>
      </c>
      <c r="M717" s="36" t="str">
        <f ca="1">IFERROR(__xludf.DUMMYFUNCTION("""COMPUTED_VALUE"""),"")</f>
        <v/>
      </c>
      <c r="N717" s="36" t="str">
        <f ca="1">IFERROR(__xludf.DUMMYFUNCTION("""COMPUTED_VALUE"""),"")</f>
        <v/>
      </c>
      <c r="O717" s="36" t="str">
        <f ca="1">IFERROR(__xludf.DUMMYFUNCTION("""COMPUTED_VALUE"""),"")</f>
        <v/>
      </c>
      <c r="P717" s="36" t="str">
        <f ca="1">IFERROR(__xludf.DUMMYFUNCTION("""COMPUTED_VALUE"""),"")</f>
        <v/>
      </c>
      <c r="Q717" s="36" t="str">
        <f ca="1">IFERROR(__xludf.DUMMYFUNCTION("""COMPUTED_VALUE"""),"")</f>
        <v/>
      </c>
      <c r="R717" s="36" t="str">
        <f ca="1">IFERROR(__xludf.DUMMYFUNCTION("""COMPUTED_VALUE"""),"")</f>
        <v/>
      </c>
      <c r="S717" s="36" t="str">
        <f ca="1">IFERROR(__xludf.DUMMYFUNCTION("""COMPUTED_VALUE"""),"")</f>
        <v/>
      </c>
      <c r="T717" s="36" t="str">
        <f ca="1">IFERROR(__xludf.DUMMYFUNCTION("""COMPUTED_VALUE"""),"")</f>
        <v/>
      </c>
      <c r="U717" s="36" t="str">
        <f ca="1">IFERROR(__xludf.DUMMYFUNCTION("""COMPUTED_VALUE"""),"")</f>
        <v/>
      </c>
      <c r="V717" s="36" t="str">
        <f ca="1">IFERROR(__xludf.DUMMYFUNCTION("""COMPUTED_VALUE"""),"")</f>
        <v/>
      </c>
      <c r="W717" s="36" t="str">
        <f ca="1">IFERROR(__xludf.DUMMYFUNCTION("""COMPUTED_VALUE"""),"")</f>
        <v/>
      </c>
      <c r="X717" s="36"/>
      <c r="Y717" s="36"/>
      <c r="Z717" s="36"/>
    </row>
    <row r="718" spans="1:26" ht="12.75" hidden="1">
      <c r="A718" s="36" t="str">
        <f ca="1">IFERROR(__xludf.DUMMYFUNCTION("""COMPUTED_VALUE"""),"")</f>
        <v/>
      </c>
      <c r="B718" s="36" t="str">
        <f ca="1">IFERROR(__xludf.DUMMYFUNCTION("""COMPUTED_VALUE"""),"")</f>
        <v/>
      </c>
      <c r="C718" s="36" t="str">
        <f ca="1">IFERROR(__xludf.DUMMYFUNCTION("""COMPUTED_VALUE"""),"")</f>
        <v/>
      </c>
      <c r="D718" s="36" t="str">
        <f ca="1">IFERROR(__xludf.DUMMYFUNCTION("""COMPUTED_VALUE"""),"")</f>
        <v/>
      </c>
      <c r="E718" s="36" t="str">
        <f ca="1">IFERROR(__xludf.DUMMYFUNCTION("""COMPUTED_VALUE"""),"")</f>
        <v/>
      </c>
      <c r="F718" s="36" t="str">
        <f ca="1">IFERROR(__xludf.DUMMYFUNCTION("""COMPUTED_VALUE"""),"")</f>
        <v/>
      </c>
      <c r="G718" s="36" t="str">
        <f ca="1">IFERROR(__xludf.DUMMYFUNCTION("""COMPUTED_VALUE"""),"")</f>
        <v/>
      </c>
      <c r="H718" s="36" t="str">
        <f ca="1">IFERROR(__xludf.DUMMYFUNCTION("""COMPUTED_VALUE"""),"")</f>
        <v/>
      </c>
      <c r="I718" s="36" t="str">
        <f ca="1">IFERROR(__xludf.DUMMYFUNCTION("""COMPUTED_VALUE"""),"")</f>
        <v/>
      </c>
      <c r="J718" s="36" t="str">
        <f ca="1">IFERROR(__xludf.DUMMYFUNCTION("""COMPUTED_VALUE"""),"")</f>
        <v/>
      </c>
      <c r="K718" s="36" t="str">
        <f ca="1">IFERROR(__xludf.DUMMYFUNCTION("""COMPUTED_VALUE"""),"")</f>
        <v/>
      </c>
      <c r="L718" s="36" t="str">
        <f ca="1">IFERROR(__xludf.DUMMYFUNCTION("""COMPUTED_VALUE"""),"")</f>
        <v/>
      </c>
      <c r="M718" s="36" t="str">
        <f ca="1">IFERROR(__xludf.DUMMYFUNCTION("""COMPUTED_VALUE"""),"")</f>
        <v/>
      </c>
      <c r="N718" s="36" t="str">
        <f ca="1">IFERROR(__xludf.DUMMYFUNCTION("""COMPUTED_VALUE"""),"")</f>
        <v/>
      </c>
      <c r="O718" s="36" t="str">
        <f ca="1">IFERROR(__xludf.DUMMYFUNCTION("""COMPUTED_VALUE"""),"")</f>
        <v/>
      </c>
      <c r="P718" s="36" t="str">
        <f ca="1">IFERROR(__xludf.DUMMYFUNCTION("""COMPUTED_VALUE"""),"")</f>
        <v/>
      </c>
      <c r="Q718" s="36" t="str">
        <f ca="1">IFERROR(__xludf.DUMMYFUNCTION("""COMPUTED_VALUE"""),"")</f>
        <v/>
      </c>
      <c r="R718" s="36" t="str">
        <f ca="1">IFERROR(__xludf.DUMMYFUNCTION("""COMPUTED_VALUE"""),"")</f>
        <v/>
      </c>
      <c r="S718" s="36" t="str">
        <f ca="1">IFERROR(__xludf.DUMMYFUNCTION("""COMPUTED_VALUE"""),"")</f>
        <v/>
      </c>
      <c r="T718" s="36" t="str">
        <f ca="1">IFERROR(__xludf.DUMMYFUNCTION("""COMPUTED_VALUE"""),"")</f>
        <v/>
      </c>
      <c r="U718" s="36" t="str">
        <f ca="1">IFERROR(__xludf.DUMMYFUNCTION("""COMPUTED_VALUE"""),"")</f>
        <v/>
      </c>
      <c r="V718" s="36" t="str">
        <f ca="1">IFERROR(__xludf.DUMMYFUNCTION("""COMPUTED_VALUE"""),"")</f>
        <v/>
      </c>
      <c r="W718" s="36" t="str">
        <f ca="1">IFERROR(__xludf.DUMMYFUNCTION("""COMPUTED_VALUE"""),"")</f>
        <v/>
      </c>
      <c r="X718" s="36"/>
      <c r="Y718" s="36"/>
      <c r="Z718" s="36"/>
    </row>
    <row r="719" spans="1:26" ht="12.75" hidden="1">
      <c r="A719" s="36" t="str">
        <f ca="1">IFERROR(__xludf.DUMMYFUNCTION("""COMPUTED_VALUE"""),"")</f>
        <v/>
      </c>
      <c r="B719" s="36" t="str">
        <f ca="1">IFERROR(__xludf.DUMMYFUNCTION("""COMPUTED_VALUE"""),"")</f>
        <v/>
      </c>
      <c r="C719" s="36" t="str">
        <f ca="1">IFERROR(__xludf.DUMMYFUNCTION("""COMPUTED_VALUE"""),"")</f>
        <v/>
      </c>
      <c r="D719" s="36" t="str">
        <f ca="1">IFERROR(__xludf.DUMMYFUNCTION("""COMPUTED_VALUE"""),"")</f>
        <v/>
      </c>
      <c r="E719" s="36" t="str">
        <f ca="1">IFERROR(__xludf.DUMMYFUNCTION("""COMPUTED_VALUE"""),"")</f>
        <v/>
      </c>
      <c r="F719" s="36" t="str">
        <f ca="1">IFERROR(__xludf.DUMMYFUNCTION("""COMPUTED_VALUE"""),"")</f>
        <v/>
      </c>
      <c r="G719" s="36" t="str">
        <f ca="1">IFERROR(__xludf.DUMMYFUNCTION("""COMPUTED_VALUE"""),"")</f>
        <v/>
      </c>
      <c r="H719" s="36" t="str">
        <f ca="1">IFERROR(__xludf.DUMMYFUNCTION("""COMPUTED_VALUE"""),"")</f>
        <v/>
      </c>
      <c r="I719" s="36" t="str">
        <f ca="1">IFERROR(__xludf.DUMMYFUNCTION("""COMPUTED_VALUE"""),"")</f>
        <v/>
      </c>
      <c r="J719" s="36" t="str">
        <f ca="1">IFERROR(__xludf.DUMMYFUNCTION("""COMPUTED_VALUE"""),"")</f>
        <v/>
      </c>
      <c r="K719" s="36" t="str">
        <f ca="1">IFERROR(__xludf.DUMMYFUNCTION("""COMPUTED_VALUE"""),"")</f>
        <v/>
      </c>
      <c r="L719" s="36" t="str">
        <f ca="1">IFERROR(__xludf.DUMMYFUNCTION("""COMPUTED_VALUE"""),"")</f>
        <v/>
      </c>
      <c r="M719" s="36" t="str">
        <f ca="1">IFERROR(__xludf.DUMMYFUNCTION("""COMPUTED_VALUE"""),"")</f>
        <v/>
      </c>
      <c r="N719" s="36" t="str">
        <f ca="1">IFERROR(__xludf.DUMMYFUNCTION("""COMPUTED_VALUE"""),"")</f>
        <v/>
      </c>
      <c r="O719" s="36" t="str">
        <f ca="1">IFERROR(__xludf.DUMMYFUNCTION("""COMPUTED_VALUE"""),"")</f>
        <v/>
      </c>
      <c r="P719" s="36" t="str">
        <f ca="1">IFERROR(__xludf.DUMMYFUNCTION("""COMPUTED_VALUE"""),"")</f>
        <v/>
      </c>
      <c r="Q719" s="36" t="str">
        <f ca="1">IFERROR(__xludf.DUMMYFUNCTION("""COMPUTED_VALUE"""),"")</f>
        <v/>
      </c>
      <c r="R719" s="36" t="str">
        <f ca="1">IFERROR(__xludf.DUMMYFUNCTION("""COMPUTED_VALUE"""),"")</f>
        <v/>
      </c>
      <c r="S719" s="36" t="str">
        <f ca="1">IFERROR(__xludf.DUMMYFUNCTION("""COMPUTED_VALUE"""),"")</f>
        <v/>
      </c>
      <c r="T719" s="36" t="str">
        <f ca="1">IFERROR(__xludf.DUMMYFUNCTION("""COMPUTED_VALUE"""),"")</f>
        <v/>
      </c>
      <c r="U719" s="36" t="str">
        <f ca="1">IFERROR(__xludf.DUMMYFUNCTION("""COMPUTED_VALUE"""),"")</f>
        <v/>
      </c>
      <c r="V719" s="36" t="str">
        <f ca="1">IFERROR(__xludf.DUMMYFUNCTION("""COMPUTED_VALUE"""),"")</f>
        <v/>
      </c>
      <c r="W719" s="36" t="str">
        <f ca="1">IFERROR(__xludf.DUMMYFUNCTION("""COMPUTED_VALUE"""),"")</f>
        <v/>
      </c>
      <c r="X719" s="36"/>
      <c r="Y719" s="36"/>
      <c r="Z719" s="36"/>
    </row>
    <row r="720" spans="1:26" ht="12.75" hidden="1">
      <c r="A720" s="36" t="str">
        <f ca="1">IFERROR(__xludf.DUMMYFUNCTION("""COMPUTED_VALUE"""),"")</f>
        <v/>
      </c>
      <c r="B720" s="36" t="str">
        <f ca="1">IFERROR(__xludf.DUMMYFUNCTION("""COMPUTED_VALUE"""),"")</f>
        <v/>
      </c>
      <c r="C720" s="36" t="str">
        <f ca="1">IFERROR(__xludf.DUMMYFUNCTION("""COMPUTED_VALUE"""),"")</f>
        <v/>
      </c>
      <c r="D720" s="36" t="str">
        <f ca="1">IFERROR(__xludf.DUMMYFUNCTION("""COMPUTED_VALUE"""),"")</f>
        <v/>
      </c>
      <c r="E720" s="36" t="str">
        <f ca="1">IFERROR(__xludf.DUMMYFUNCTION("""COMPUTED_VALUE"""),"")</f>
        <v/>
      </c>
      <c r="F720" s="36" t="str">
        <f ca="1">IFERROR(__xludf.DUMMYFUNCTION("""COMPUTED_VALUE"""),"")</f>
        <v/>
      </c>
      <c r="G720" s="36" t="str">
        <f ca="1">IFERROR(__xludf.DUMMYFUNCTION("""COMPUTED_VALUE"""),"")</f>
        <v/>
      </c>
      <c r="H720" s="36" t="str">
        <f ca="1">IFERROR(__xludf.DUMMYFUNCTION("""COMPUTED_VALUE"""),"")</f>
        <v/>
      </c>
      <c r="I720" s="36" t="str">
        <f ca="1">IFERROR(__xludf.DUMMYFUNCTION("""COMPUTED_VALUE"""),"")</f>
        <v/>
      </c>
      <c r="J720" s="36" t="str">
        <f ca="1">IFERROR(__xludf.DUMMYFUNCTION("""COMPUTED_VALUE"""),"")</f>
        <v/>
      </c>
      <c r="K720" s="36" t="str">
        <f ca="1">IFERROR(__xludf.DUMMYFUNCTION("""COMPUTED_VALUE"""),"")</f>
        <v/>
      </c>
      <c r="L720" s="36" t="str">
        <f ca="1">IFERROR(__xludf.DUMMYFUNCTION("""COMPUTED_VALUE"""),"")</f>
        <v/>
      </c>
      <c r="M720" s="36" t="str">
        <f ca="1">IFERROR(__xludf.DUMMYFUNCTION("""COMPUTED_VALUE"""),"")</f>
        <v/>
      </c>
      <c r="N720" s="36" t="str">
        <f ca="1">IFERROR(__xludf.DUMMYFUNCTION("""COMPUTED_VALUE"""),"")</f>
        <v/>
      </c>
      <c r="O720" s="36" t="str">
        <f ca="1">IFERROR(__xludf.DUMMYFUNCTION("""COMPUTED_VALUE"""),"")</f>
        <v/>
      </c>
      <c r="P720" s="36" t="str">
        <f ca="1">IFERROR(__xludf.DUMMYFUNCTION("""COMPUTED_VALUE"""),"")</f>
        <v/>
      </c>
      <c r="Q720" s="36" t="str">
        <f ca="1">IFERROR(__xludf.DUMMYFUNCTION("""COMPUTED_VALUE"""),"")</f>
        <v/>
      </c>
      <c r="R720" s="36" t="str">
        <f ca="1">IFERROR(__xludf.DUMMYFUNCTION("""COMPUTED_VALUE"""),"")</f>
        <v/>
      </c>
      <c r="S720" s="36" t="str">
        <f ca="1">IFERROR(__xludf.DUMMYFUNCTION("""COMPUTED_VALUE"""),"")</f>
        <v/>
      </c>
      <c r="T720" s="36" t="str">
        <f ca="1">IFERROR(__xludf.DUMMYFUNCTION("""COMPUTED_VALUE"""),"")</f>
        <v/>
      </c>
      <c r="U720" s="36" t="str">
        <f ca="1">IFERROR(__xludf.DUMMYFUNCTION("""COMPUTED_VALUE"""),"")</f>
        <v/>
      </c>
      <c r="V720" s="36" t="str">
        <f ca="1">IFERROR(__xludf.DUMMYFUNCTION("""COMPUTED_VALUE"""),"")</f>
        <v/>
      </c>
      <c r="W720" s="36" t="str">
        <f ca="1">IFERROR(__xludf.DUMMYFUNCTION("""COMPUTED_VALUE"""),"")</f>
        <v/>
      </c>
      <c r="X720" s="36"/>
      <c r="Y720" s="36"/>
      <c r="Z720" s="36"/>
    </row>
    <row r="721" spans="1:26" ht="12.75" hidden="1">
      <c r="A721" s="36" t="str">
        <f ca="1">IFERROR(__xludf.DUMMYFUNCTION("""COMPUTED_VALUE"""),"")</f>
        <v/>
      </c>
      <c r="B721" s="36" t="str">
        <f ca="1">IFERROR(__xludf.DUMMYFUNCTION("""COMPUTED_VALUE"""),"")</f>
        <v/>
      </c>
      <c r="C721" s="36" t="str">
        <f ca="1">IFERROR(__xludf.DUMMYFUNCTION("""COMPUTED_VALUE"""),"")</f>
        <v/>
      </c>
      <c r="D721" s="36" t="str">
        <f ca="1">IFERROR(__xludf.DUMMYFUNCTION("""COMPUTED_VALUE"""),"")</f>
        <v/>
      </c>
      <c r="E721" s="36" t="str">
        <f ca="1">IFERROR(__xludf.DUMMYFUNCTION("""COMPUTED_VALUE"""),"")</f>
        <v/>
      </c>
      <c r="F721" s="36" t="str">
        <f ca="1">IFERROR(__xludf.DUMMYFUNCTION("""COMPUTED_VALUE"""),"")</f>
        <v/>
      </c>
      <c r="G721" s="36" t="str">
        <f ca="1">IFERROR(__xludf.DUMMYFUNCTION("""COMPUTED_VALUE"""),"")</f>
        <v/>
      </c>
      <c r="H721" s="36" t="str">
        <f ca="1">IFERROR(__xludf.DUMMYFUNCTION("""COMPUTED_VALUE"""),"")</f>
        <v/>
      </c>
      <c r="I721" s="36" t="str">
        <f ca="1">IFERROR(__xludf.DUMMYFUNCTION("""COMPUTED_VALUE"""),"")</f>
        <v/>
      </c>
      <c r="J721" s="36" t="str">
        <f ca="1">IFERROR(__xludf.DUMMYFUNCTION("""COMPUTED_VALUE"""),"")</f>
        <v/>
      </c>
      <c r="K721" s="36" t="str">
        <f ca="1">IFERROR(__xludf.DUMMYFUNCTION("""COMPUTED_VALUE"""),"")</f>
        <v/>
      </c>
      <c r="L721" s="36" t="str">
        <f ca="1">IFERROR(__xludf.DUMMYFUNCTION("""COMPUTED_VALUE"""),"")</f>
        <v/>
      </c>
      <c r="M721" s="36" t="str">
        <f ca="1">IFERROR(__xludf.DUMMYFUNCTION("""COMPUTED_VALUE"""),"")</f>
        <v/>
      </c>
      <c r="N721" s="36" t="str">
        <f ca="1">IFERROR(__xludf.DUMMYFUNCTION("""COMPUTED_VALUE"""),"")</f>
        <v/>
      </c>
      <c r="O721" s="36" t="str">
        <f ca="1">IFERROR(__xludf.DUMMYFUNCTION("""COMPUTED_VALUE"""),"")</f>
        <v/>
      </c>
      <c r="P721" s="36" t="str">
        <f ca="1">IFERROR(__xludf.DUMMYFUNCTION("""COMPUTED_VALUE"""),"")</f>
        <v/>
      </c>
      <c r="Q721" s="36" t="str">
        <f ca="1">IFERROR(__xludf.DUMMYFUNCTION("""COMPUTED_VALUE"""),"")</f>
        <v/>
      </c>
      <c r="R721" s="36" t="str">
        <f ca="1">IFERROR(__xludf.DUMMYFUNCTION("""COMPUTED_VALUE"""),"")</f>
        <v/>
      </c>
      <c r="S721" s="36" t="str">
        <f ca="1">IFERROR(__xludf.DUMMYFUNCTION("""COMPUTED_VALUE"""),"")</f>
        <v/>
      </c>
      <c r="T721" s="36" t="str">
        <f ca="1">IFERROR(__xludf.DUMMYFUNCTION("""COMPUTED_VALUE"""),"")</f>
        <v/>
      </c>
      <c r="U721" s="36" t="str">
        <f ca="1">IFERROR(__xludf.DUMMYFUNCTION("""COMPUTED_VALUE"""),"")</f>
        <v/>
      </c>
      <c r="V721" s="36" t="str">
        <f ca="1">IFERROR(__xludf.DUMMYFUNCTION("""COMPUTED_VALUE"""),"")</f>
        <v/>
      </c>
      <c r="W721" s="36" t="str">
        <f ca="1">IFERROR(__xludf.DUMMYFUNCTION("""COMPUTED_VALUE"""),"")</f>
        <v/>
      </c>
      <c r="X721" s="36"/>
      <c r="Y721" s="36"/>
      <c r="Z721" s="36"/>
    </row>
    <row r="722" spans="1:26" ht="12.75" hidden="1">
      <c r="A722" s="36" t="str">
        <f ca="1">IFERROR(__xludf.DUMMYFUNCTION("""COMPUTED_VALUE"""),"")</f>
        <v/>
      </c>
      <c r="B722" s="36" t="str">
        <f ca="1">IFERROR(__xludf.DUMMYFUNCTION("""COMPUTED_VALUE"""),"")</f>
        <v/>
      </c>
      <c r="C722" s="36" t="str">
        <f ca="1">IFERROR(__xludf.DUMMYFUNCTION("""COMPUTED_VALUE"""),"")</f>
        <v/>
      </c>
      <c r="D722" s="36" t="str">
        <f ca="1">IFERROR(__xludf.DUMMYFUNCTION("""COMPUTED_VALUE"""),"")</f>
        <v/>
      </c>
      <c r="E722" s="36" t="str">
        <f ca="1">IFERROR(__xludf.DUMMYFUNCTION("""COMPUTED_VALUE"""),"")</f>
        <v/>
      </c>
      <c r="F722" s="36" t="str">
        <f ca="1">IFERROR(__xludf.DUMMYFUNCTION("""COMPUTED_VALUE"""),"")</f>
        <v/>
      </c>
      <c r="G722" s="36" t="str">
        <f ca="1">IFERROR(__xludf.DUMMYFUNCTION("""COMPUTED_VALUE"""),"")</f>
        <v/>
      </c>
      <c r="H722" s="36" t="str">
        <f ca="1">IFERROR(__xludf.DUMMYFUNCTION("""COMPUTED_VALUE"""),"")</f>
        <v/>
      </c>
      <c r="I722" s="36" t="str">
        <f ca="1">IFERROR(__xludf.DUMMYFUNCTION("""COMPUTED_VALUE"""),"")</f>
        <v/>
      </c>
      <c r="J722" s="36" t="str">
        <f ca="1">IFERROR(__xludf.DUMMYFUNCTION("""COMPUTED_VALUE"""),"")</f>
        <v/>
      </c>
      <c r="K722" s="36" t="str">
        <f ca="1">IFERROR(__xludf.DUMMYFUNCTION("""COMPUTED_VALUE"""),"")</f>
        <v/>
      </c>
      <c r="L722" s="36" t="str">
        <f ca="1">IFERROR(__xludf.DUMMYFUNCTION("""COMPUTED_VALUE"""),"")</f>
        <v/>
      </c>
      <c r="M722" s="36" t="str">
        <f ca="1">IFERROR(__xludf.DUMMYFUNCTION("""COMPUTED_VALUE"""),"")</f>
        <v/>
      </c>
      <c r="N722" s="36" t="str">
        <f ca="1">IFERROR(__xludf.DUMMYFUNCTION("""COMPUTED_VALUE"""),"")</f>
        <v/>
      </c>
      <c r="O722" s="36" t="str">
        <f ca="1">IFERROR(__xludf.DUMMYFUNCTION("""COMPUTED_VALUE"""),"")</f>
        <v/>
      </c>
      <c r="P722" s="36" t="str">
        <f ca="1">IFERROR(__xludf.DUMMYFUNCTION("""COMPUTED_VALUE"""),"")</f>
        <v/>
      </c>
      <c r="Q722" s="36" t="str">
        <f ca="1">IFERROR(__xludf.DUMMYFUNCTION("""COMPUTED_VALUE"""),"")</f>
        <v/>
      </c>
      <c r="R722" s="36" t="str">
        <f ca="1">IFERROR(__xludf.DUMMYFUNCTION("""COMPUTED_VALUE"""),"")</f>
        <v/>
      </c>
      <c r="S722" s="36" t="str">
        <f ca="1">IFERROR(__xludf.DUMMYFUNCTION("""COMPUTED_VALUE"""),"")</f>
        <v/>
      </c>
      <c r="T722" s="36" t="str">
        <f ca="1">IFERROR(__xludf.DUMMYFUNCTION("""COMPUTED_VALUE"""),"")</f>
        <v/>
      </c>
      <c r="U722" s="36" t="str">
        <f ca="1">IFERROR(__xludf.DUMMYFUNCTION("""COMPUTED_VALUE"""),"")</f>
        <v/>
      </c>
      <c r="V722" s="36" t="str">
        <f ca="1">IFERROR(__xludf.DUMMYFUNCTION("""COMPUTED_VALUE"""),"")</f>
        <v/>
      </c>
      <c r="W722" s="36" t="str">
        <f ca="1">IFERROR(__xludf.DUMMYFUNCTION("""COMPUTED_VALUE"""),"")</f>
        <v/>
      </c>
      <c r="X722" s="36"/>
      <c r="Y722" s="36"/>
      <c r="Z722" s="36"/>
    </row>
    <row r="723" spans="1:26" ht="12.75" hidden="1">
      <c r="A723" s="36" t="str">
        <f ca="1">IFERROR(__xludf.DUMMYFUNCTION("""COMPUTED_VALUE"""),"")</f>
        <v/>
      </c>
      <c r="B723" s="36" t="str">
        <f ca="1">IFERROR(__xludf.DUMMYFUNCTION("""COMPUTED_VALUE"""),"")</f>
        <v/>
      </c>
      <c r="C723" s="36" t="str">
        <f ca="1">IFERROR(__xludf.DUMMYFUNCTION("""COMPUTED_VALUE"""),"")</f>
        <v/>
      </c>
      <c r="D723" s="36" t="str">
        <f ca="1">IFERROR(__xludf.DUMMYFUNCTION("""COMPUTED_VALUE"""),"")</f>
        <v/>
      </c>
      <c r="E723" s="36" t="str">
        <f ca="1">IFERROR(__xludf.DUMMYFUNCTION("""COMPUTED_VALUE"""),"")</f>
        <v/>
      </c>
      <c r="F723" s="36" t="str">
        <f ca="1">IFERROR(__xludf.DUMMYFUNCTION("""COMPUTED_VALUE"""),"")</f>
        <v/>
      </c>
      <c r="G723" s="36" t="str">
        <f ca="1">IFERROR(__xludf.DUMMYFUNCTION("""COMPUTED_VALUE"""),"")</f>
        <v/>
      </c>
      <c r="H723" s="36" t="str">
        <f ca="1">IFERROR(__xludf.DUMMYFUNCTION("""COMPUTED_VALUE"""),"")</f>
        <v/>
      </c>
      <c r="I723" s="36" t="str">
        <f ca="1">IFERROR(__xludf.DUMMYFUNCTION("""COMPUTED_VALUE"""),"")</f>
        <v/>
      </c>
      <c r="J723" s="36" t="str">
        <f ca="1">IFERROR(__xludf.DUMMYFUNCTION("""COMPUTED_VALUE"""),"")</f>
        <v/>
      </c>
      <c r="K723" s="36" t="str">
        <f ca="1">IFERROR(__xludf.DUMMYFUNCTION("""COMPUTED_VALUE"""),"")</f>
        <v/>
      </c>
      <c r="L723" s="36" t="str">
        <f ca="1">IFERROR(__xludf.DUMMYFUNCTION("""COMPUTED_VALUE"""),"")</f>
        <v/>
      </c>
      <c r="M723" s="36" t="str">
        <f ca="1">IFERROR(__xludf.DUMMYFUNCTION("""COMPUTED_VALUE"""),"")</f>
        <v/>
      </c>
      <c r="N723" s="36" t="str">
        <f ca="1">IFERROR(__xludf.DUMMYFUNCTION("""COMPUTED_VALUE"""),"")</f>
        <v/>
      </c>
      <c r="O723" s="36" t="str">
        <f ca="1">IFERROR(__xludf.DUMMYFUNCTION("""COMPUTED_VALUE"""),"")</f>
        <v/>
      </c>
      <c r="P723" s="36" t="str">
        <f ca="1">IFERROR(__xludf.DUMMYFUNCTION("""COMPUTED_VALUE"""),"")</f>
        <v/>
      </c>
      <c r="Q723" s="36" t="str">
        <f ca="1">IFERROR(__xludf.DUMMYFUNCTION("""COMPUTED_VALUE"""),"")</f>
        <v/>
      </c>
      <c r="R723" s="36" t="str">
        <f ca="1">IFERROR(__xludf.DUMMYFUNCTION("""COMPUTED_VALUE"""),"")</f>
        <v/>
      </c>
      <c r="S723" s="36" t="str">
        <f ca="1">IFERROR(__xludf.DUMMYFUNCTION("""COMPUTED_VALUE"""),"")</f>
        <v/>
      </c>
      <c r="T723" s="36" t="str">
        <f ca="1">IFERROR(__xludf.DUMMYFUNCTION("""COMPUTED_VALUE"""),"")</f>
        <v/>
      </c>
      <c r="U723" s="36" t="str">
        <f ca="1">IFERROR(__xludf.DUMMYFUNCTION("""COMPUTED_VALUE"""),"")</f>
        <v/>
      </c>
      <c r="V723" s="36" t="str">
        <f ca="1">IFERROR(__xludf.DUMMYFUNCTION("""COMPUTED_VALUE"""),"")</f>
        <v/>
      </c>
      <c r="W723" s="36" t="str">
        <f ca="1">IFERROR(__xludf.DUMMYFUNCTION("""COMPUTED_VALUE"""),"")</f>
        <v/>
      </c>
      <c r="X723" s="36"/>
      <c r="Y723" s="36"/>
      <c r="Z723" s="36"/>
    </row>
    <row r="724" spans="1:26" ht="12.75" hidden="1">
      <c r="A724" s="36" t="str">
        <f ca="1">IFERROR(__xludf.DUMMYFUNCTION("""COMPUTED_VALUE"""),"")</f>
        <v/>
      </c>
      <c r="B724" s="36" t="str">
        <f ca="1">IFERROR(__xludf.DUMMYFUNCTION("""COMPUTED_VALUE"""),"")</f>
        <v/>
      </c>
      <c r="C724" s="36" t="str">
        <f ca="1">IFERROR(__xludf.DUMMYFUNCTION("""COMPUTED_VALUE"""),"")</f>
        <v/>
      </c>
      <c r="D724" s="36" t="str">
        <f ca="1">IFERROR(__xludf.DUMMYFUNCTION("""COMPUTED_VALUE"""),"")</f>
        <v/>
      </c>
      <c r="E724" s="36" t="str">
        <f ca="1">IFERROR(__xludf.DUMMYFUNCTION("""COMPUTED_VALUE"""),"")</f>
        <v/>
      </c>
      <c r="F724" s="36" t="str">
        <f ca="1">IFERROR(__xludf.DUMMYFUNCTION("""COMPUTED_VALUE"""),"")</f>
        <v/>
      </c>
      <c r="G724" s="36" t="str">
        <f ca="1">IFERROR(__xludf.DUMMYFUNCTION("""COMPUTED_VALUE"""),"")</f>
        <v/>
      </c>
      <c r="H724" s="36" t="str">
        <f ca="1">IFERROR(__xludf.DUMMYFUNCTION("""COMPUTED_VALUE"""),"")</f>
        <v/>
      </c>
      <c r="I724" s="36" t="str">
        <f ca="1">IFERROR(__xludf.DUMMYFUNCTION("""COMPUTED_VALUE"""),"")</f>
        <v/>
      </c>
      <c r="J724" s="36" t="str">
        <f ca="1">IFERROR(__xludf.DUMMYFUNCTION("""COMPUTED_VALUE"""),"")</f>
        <v/>
      </c>
      <c r="K724" s="36" t="str">
        <f ca="1">IFERROR(__xludf.DUMMYFUNCTION("""COMPUTED_VALUE"""),"")</f>
        <v/>
      </c>
      <c r="L724" s="36" t="str">
        <f ca="1">IFERROR(__xludf.DUMMYFUNCTION("""COMPUTED_VALUE"""),"")</f>
        <v/>
      </c>
      <c r="M724" s="36" t="str">
        <f ca="1">IFERROR(__xludf.DUMMYFUNCTION("""COMPUTED_VALUE"""),"")</f>
        <v/>
      </c>
      <c r="N724" s="36" t="str">
        <f ca="1">IFERROR(__xludf.DUMMYFUNCTION("""COMPUTED_VALUE"""),"")</f>
        <v/>
      </c>
      <c r="O724" s="36" t="str">
        <f ca="1">IFERROR(__xludf.DUMMYFUNCTION("""COMPUTED_VALUE"""),"")</f>
        <v/>
      </c>
      <c r="P724" s="36" t="str">
        <f ca="1">IFERROR(__xludf.DUMMYFUNCTION("""COMPUTED_VALUE"""),"")</f>
        <v/>
      </c>
      <c r="Q724" s="36" t="str">
        <f ca="1">IFERROR(__xludf.DUMMYFUNCTION("""COMPUTED_VALUE"""),"")</f>
        <v/>
      </c>
      <c r="R724" s="36" t="str">
        <f ca="1">IFERROR(__xludf.DUMMYFUNCTION("""COMPUTED_VALUE"""),"")</f>
        <v/>
      </c>
      <c r="S724" s="36" t="str">
        <f ca="1">IFERROR(__xludf.DUMMYFUNCTION("""COMPUTED_VALUE"""),"")</f>
        <v/>
      </c>
      <c r="T724" s="36" t="str">
        <f ca="1">IFERROR(__xludf.DUMMYFUNCTION("""COMPUTED_VALUE"""),"")</f>
        <v/>
      </c>
      <c r="U724" s="36" t="str">
        <f ca="1">IFERROR(__xludf.DUMMYFUNCTION("""COMPUTED_VALUE"""),"")</f>
        <v/>
      </c>
      <c r="V724" s="36" t="str">
        <f ca="1">IFERROR(__xludf.DUMMYFUNCTION("""COMPUTED_VALUE"""),"")</f>
        <v/>
      </c>
      <c r="W724" s="36" t="str">
        <f ca="1">IFERROR(__xludf.DUMMYFUNCTION("""COMPUTED_VALUE"""),"")</f>
        <v/>
      </c>
      <c r="X724" s="36"/>
      <c r="Y724" s="36"/>
      <c r="Z724" s="36"/>
    </row>
    <row r="725" spans="1:26" ht="12.75" hidden="1">
      <c r="A725" s="36" t="str">
        <f ca="1">IFERROR(__xludf.DUMMYFUNCTION("""COMPUTED_VALUE"""),"")</f>
        <v/>
      </c>
      <c r="B725" s="36" t="str">
        <f ca="1">IFERROR(__xludf.DUMMYFUNCTION("""COMPUTED_VALUE"""),"")</f>
        <v/>
      </c>
      <c r="C725" s="36" t="str">
        <f ca="1">IFERROR(__xludf.DUMMYFUNCTION("""COMPUTED_VALUE"""),"")</f>
        <v/>
      </c>
      <c r="D725" s="36" t="str">
        <f ca="1">IFERROR(__xludf.DUMMYFUNCTION("""COMPUTED_VALUE"""),"")</f>
        <v/>
      </c>
      <c r="E725" s="36" t="str">
        <f ca="1">IFERROR(__xludf.DUMMYFUNCTION("""COMPUTED_VALUE"""),"")</f>
        <v/>
      </c>
      <c r="F725" s="36" t="str">
        <f ca="1">IFERROR(__xludf.DUMMYFUNCTION("""COMPUTED_VALUE"""),"")</f>
        <v/>
      </c>
      <c r="G725" s="36" t="str">
        <f ca="1">IFERROR(__xludf.DUMMYFUNCTION("""COMPUTED_VALUE"""),"")</f>
        <v/>
      </c>
      <c r="H725" s="36" t="str">
        <f ca="1">IFERROR(__xludf.DUMMYFUNCTION("""COMPUTED_VALUE"""),"")</f>
        <v/>
      </c>
      <c r="I725" s="36" t="str">
        <f ca="1">IFERROR(__xludf.DUMMYFUNCTION("""COMPUTED_VALUE"""),"")</f>
        <v/>
      </c>
      <c r="J725" s="36" t="str">
        <f ca="1">IFERROR(__xludf.DUMMYFUNCTION("""COMPUTED_VALUE"""),"")</f>
        <v/>
      </c>
      <c r="K725" s="36" t="str">
        <f ca="1">IFERROR(__xludf.DUMMYFUNCTION("""COMPUTED_VALUE"""),"")</f>
        <v/>
      </c>
      <c r="L725" s="36" t="str">
        <f ca="1">IFERROR(__xludf.DUMMYFUNCTION("""COMPUTED_VALUE"""),"")</f>
        <v/>
      </c>
      <c r="M725" s="36" t="str">
        <f ca="1">IFERROR(__xludf.DUMMYFUNCTION("""COMPUTED_VALUE"""),"")</f>
        <v/>
      </c>
      <c r="N725" s="36" t="str">
        <f ca="1">IFERROR(__xludf.DUMMYFUNCTION("""COMPUTED_VALUE"""),"")</f>
        <v/>
      </c>
      <c r="O725" s="36" t="str">
        <f ca="1">IFERROR(__xludf.DUMMYFUNCTION("""COMPUTED_VALUE"""),"")</f>
        <v/>
      </c>
      <c r="P725" s="36" t="str">
        <f ca="1">IFERROR(__xludf.DUMMYFUNCTION("""COMPUTED_VALUE"""),"")</f>
        <v/>
      </c>
      <c r="Q725" s="36" t="str">
        <f ca="1">IFERROR(__xludf.DUMMYFUNCTION("""COMPUTED_VALUE"""),"")</f>
        <v/>
      </c>
      <c r="R725" s="36" t="str">
        <f ca="1">IFERROR(__xludf.DUMMYFUNCTION("""COMPUTED_VALUE"""),"")</f>
        <v/>
      </c>
      <c r="S725" s="36" t="str">
        <f ca="1">IFERROR(__xludf.DUMMYFUNCTION("""COMPUTED_VALUE"""),"")</f>
        <v/>
      </c>
      <c r="T725" s="36" t="str">
        <f ca="1">IFERROR(__xludf.DUMMYFUNCTION("""COMPUTED_VALUE"""),"")</f>
        <v/>
      </c>
      <c r="U725" s="36" t="str">
        <f ca="1">IFERROR(__xludf.DUMMYFUNCTION("""COMPUTED_VALUE"""),"")</f>
        <v/>
      </c>
      <c r="V725" s="36" t="str">
        <f ca="1">IFERROR(__xludf.DUMMYFUNCTION("""COMPUTED_VALUE"""),"")</f>
        <v/>
      </c>
      <c r="W725" s="36" t="str">
        <f ca="1">IFERROR(__xludf.DUMMYFUNCTION("""COMPUTED_VALUE"""),"")</f>
        <v/>
      </c>
      <c r="X725" s="36"/>
      <c r="Y725" s="36"/>
      <c r="Z725" s="36"/>
    </row>
    <row r="726" spans="1:26" ht="12.75" hidden="1">
      <c r="A726" s="36" t="str">
        <f ca="1">IFERROR(__xludf.DUMMYFUNCTION("""COMPUTED_VALUE"""),"")</f>
        <v/>
      </c>
      <c r="B726" s="36" t="str">
        <f ca="1">IFERROR(__xludf.DUMMYFUNCTION("""COMPUTED_VALUE"""),"")</f>
        <v/>
      </c>
      <c r="C726" s="36" t="str">
        <f ca="1">IFERROR(__xludf.DUMMYFUNCTION("""COMPUTED_VALUE"""),"")</f>
        <v/>
      </c>
      <c r="D726" s="36" t="str">
        <f ca="1">IFERROR(__xludf.DUMMYFUNCTION("""COMPUTED_VALUE"""),"")</f>
        <v/>
      </c>
      <c r="E726" s="36" t="str">
        <f ca="1">IFERROR(__xludf.DUMMYFUNCTION("""COMPUTED_VALUE"""),"")</f>
        <v/>
      </c>
      <c r="F726" s="36" t="str">
        <f ca="1">IFERROR(__xludf.DUMMYFUNCTION("""COMPUTED_VALUE"""),"")</f>
        <v/>
      </c>
      <c r="G726" s="36" t="str">
        <f ca="1">IFERROR(__xludf.DUMMYFUNCTION("""COMPUTED_VALUE"""),"")</f>
        <v/>
      </c>
      <c r="H726" s="36" t="str">
        <f ca="1">IFERROR(__xludf.DUMMYFUNCTION("""COMPUTED_VALUE"""),"")</f>
        <v/>
      </c>
      <c r="I726" s="36" t="str">
        <f ca="1">IFERROR(__xludf.DUMMYFUNCTION("""COMPUTED_VALUE"""),"")</f>
        <v/>
      </c>
      <c r="J726" s="36" t="str">
        <f ca="1">IFERROR(__xludf.DUMMYFUNCTION("""COMPUTED_VALUE"""),"")</f>
        <v/>
      </c>
      <c r="K726" s="36" t="str">
        <f ca="1">IFERROR(__xludf.DUMMYFUNCTION("""COMPUTED_VALUE"""),"")</f>
        <v/>
      </c>
      <c r="L726" s="36" t="str">
        <f ca="1">IFERROR(__xludf.DUMMYFUNCTION("""COMPUTED_VALUE"""),"")</f>
        <v/>
      </c>
      <c r="M726" s="36" t="str">
        <f ca="1">IFERROR(__xludf.DUMMYFUNCTION("""COMPUTED_VALUE"""),"")</f>
        <v/>
      </c>
      <c r="N726" s="36" t="str">
        <f ca="1">IFERROR(__xludf.DUMMYFUNCTION("""COMPUTED_VALUE"""),"")</f>
        <v/>
      </c>
      <c r="O726" s="36" t="str">
        <f ca="1">IFERROR(__xludf.DUMMYFUNCTION("""COMPUTED_VALUE"""),"")</f>
        <v/>
      </c>
      <c r="P726" s="36" t="str">
        <f ca="1">IFERROR(__xludf.DUMMYFUNCTION("""COMPUTED_VALUE"""),"")</f>
        <v/>
      </c>
      <c r="Q726" s="36" t="str">
        <f ca="1">IFERROR(__xludf.DUMMYFUNCTION("""COMPUTED_VALUE"""),"")</f>
        <v/>
      </c>
      <c r="R726" s="36" t="str">
        <f ca="1">IFERROR(__xludf.DUMMYFUNCTION("""COMPUTED_VALUE"""),"")</f>
        <v/>
      </c>
      <c r="S726" s="36" t="str">
        <f ca="1">IFERROR(__xludf.DUMMYFUNCTION("""COMPUTED_VALUE"""),"")</f>
        <v/>
      </c>
      <c r="T726" s="36" t="str">
        <f ca="1">IFERROR(__xludf.DUMMYFUNCTION("""COMPUTED_VALUE"""),"")</f>
        <v/>
      </c>
      <c r="U726" s="36" t="str">
        <f ca="1">IFERROR(__xludf.DUMMYFUNCTION("""COMPUTED_VALUE"""),"")</f>
        <v/>
      </c>
      <c r="V726" s="36" t="str">
        <f ca="1">IFERROR(__xludf.DUMMYFUNCTION("""COMPUTED_VALUE"""),"")</f>
        <v/>
      </c>
      <c r="W726" s="36" t="str">
        <f ca="1">IFERROR(__xludf.DUMMYFUNCTION("""COMPUTED_VALUE"""),"")</f>
        <v/>
      </c>
      <c r="X726" s="36"/>
      <c r="Y726" s="36"/>
      <c r="Z726" s="36"/>
    </row>
    <row r="727" spans="1:26" ht="12.75" hidden="1">
      <c r="A727" s="36" t="str">
        <f ca="1">IFERROR(__xludf.DUMMYFUNCTION("""COMPUTED_VALUE"""),"")</f>
        <v/>
      </c>
      <c r="B727" s="36" t="str">
        <f ca="1">IFERROR(__xludf.DUMMYFUNCTION("""COMPUTED_VALUE"""),"")</f>
        <v/>
      </c>
      <c r="C727" s="36" t="str">
        <f ca="1">IFERROR(__xludf.DUMMYFUNCTION("""COMPUTED_VALUE"""),"")</f>
        <v/>
      </c>
      <c r="D727" s="36" t="str">
        <f ca="1">IFERROR(__xludf.DUMMYFUNCTION("""COMPUTED_VALUE"""),"")</f>
        <v/>
      </c>
      <c r="E727" s="36" t="str">
        <f ca="1">IFERROR(__xludf.DUMMYFUNCTION("""COMPUTED_VALUE"""),"")</f>
        <v/>
      </c>
      <c r="F727" s="36" t="str">
        <f ca="1">IFERROR(__xludf.DUMMYFUNCTION("""COMPUTED_VALUE"""),"")</f>
        <v/>
      </c>
      <c r="G727" s="36" t="str">
        <f ca="1">IFERROR(__xludf.DUMMYFUNCTION("""COMPUTED_VALUE"""),"")</f>
        <v/>
      </c>
      <c r="H727" s="36" t="str">
        <f ca="1">IFERROR(__xludf.DUMMYFUNCTION("""COMPUTED_VALUE"""),"")</f>
        <v/>
      </c>
      <c r="I727" s="36" t="str">
        <f ca="1">IFERROR(__xludf.DUMMYFUNCTION("""COMPUTED_VALUE"""),"")</f>
        <v/>
      </c>
      <c r="J727" s="36" t="str">
        <f ca="1">IFERROR(__xludf.DUMMYFUNCTION("""COMPUTED_VALUE"""),"")</f>
        <v/>
      </c>
      <c r="K727" s="36" t="str">
        <f ca="1">IFERROR(__xludf.DUMMYFUNCTION("""COMPUTED_VALUE"""),"")</f>
        <v/>
      </c>
      <c r="L727" s="36" t="str">
        <f ca="1">IFERROR(__xludf.DUMMYFUNCTION("""COMPUTED_VALUE"""),"")</f>
        <v/>
      </c>
      <c r="M727" s="36" t="str">
        <f ca="1">IFERROR(__xludf.DUMMYFUNCTION("""COMPUTED_VALUE"""),"")</f>
        <v/>
      </c>
      <c r="N727" s="36" t="str">
        <f ca="1">IFERROR(__xludf.DUMMYFUNCTION("""COMPUTED_VALUE"""),"")</f>
        <v/>
      </c>
      <c r="O727" s="36" t="str">
        <f ca="1">IFERROR(__xludf.DUMMYFUNCTION("""COMPUTED_VALUE"""),"")</f>
        <v/>
      </c>
      <c r="P727" s="36" t="str">
        <f ca="1">IFERROR(__xludf.DUMMYFUNCTION("""COMPUTED_VALUE"""),"")</f>
        <v/>
      </c>
      <c r="Q727" s="36" t="str">
        <f ca="1">IFERROR(__xludf.DUMMYFUNCTION("""COMPUTED_VALUE"""),"")</f>
        <v/>
      </c>
      <c r="R727" s="36" t="str">
        <f ca="1">IFERROR(__xludf.DUMMYFUNCTION("""COMPUTED_VALUE"""),"")</f>
        <v/>
      </c>
      <c r="S727" s="36" t="str">
        <f ca="1">IFERROR(__xludf.DUMMYFUNCTION("""COMPUTED_VALUE"""),"")</f>
        <v/>
      </c>
      <c r="T727" s="36" t="str">
        <f ca="1">IFERROR(__xludf.DUMMYFUNCTION("""COMPUTED_VALUE"""),"")</f>
        <v/>
      </c>
      <c r="U727" s="36" t="str">
        <f ca="1">IFERROR(__xludf.DUMMYFUNCTION("""COMPUTED_VALUE"""),"")</f>
        <v/>
      </c>
      <c r="V727" s="36" t="str">
        <f ca="1">IFERROR(__xludf.DUMMYFUNCTION("""COMPUTED_VALUE"""),"")</f>
        <v/>
      </c>
      <c r="W727" s="36" t="str">
        <f ca="1">IFERROR(__xludf.DUMMYFUNCTION("""COMPUTED_VALUE"""),"")</f>
        <v/>
      </c>
      <c r="X727" s="36"/>
      <c r="Y727" s="36"/>
      <c r="Z727" s="36"/>
    </row>
    <row r="728" spans="1:26" ht="12.75" hidden="1">
      <c r="A728" s="36" t="str">
        <f ca="1">IFERROR(__xludf.DUMMYFUNCTION("""COMPUTED_VALUE"""),"")</f>
        <v/>
      </c>
      <c r="B728" s="36" t="str">
        <f ca="1">IFERROR(__xludf.DUMMYFUNCTION("""COMPUTED_VALUE"""),"")</f>
        <v/>
      </c>
      <c r="C728" s="36" t="str">
        <f ca="1">IFERROR(__xludf.DUMMYFUNCTION("""COMPUTED_VALUE"""),"")</f>
        <v/>
      </c>
      <c r="D728" s="36" t="str">
        <f ca="1">IFERROR(__xludf.DUMMYFUNCTION("""COMPUTED_VALUE"""),"")</f>
        <v/>
      </c>
      <c r="E728" s="36" t="str">
        <f ca="1">IFERROR(__xludf.DUMMYFUNCTION("""COMPUTED_VALUE"""),"")</f>
        <v/>
      </c>
      <c r="F728" s="36" t="str">
        <f ca="1">IFERROR(__xludf.DUMMYFUNCTION("""COMPUTED_VALUE"""),"")</f>
        <v/>
      </c>
      <c r="G728" s="36" t="str">
        <f ca="1">IFERROR(__xludf.DUMMYFUNCTION("""COMPUTED_VALUE"""),"")</f>
        <v/>
      </c>
      <c r="H728" s="36" t="str">
        <f ca="1">IFERROR(__xludf.DUMMYFUNCTION("""COMPUTED_VALUE"""),"")</f>
        <v/>
      </c>
      <c r="I728" s="36" t="str">
        <f ca="1">IFERROR(__xludf.DUMMYFUNCTION("""COMPUTED_VALUE"""),"")</f>
        <v/>
      </c>
      <c r="J728" s="36" t="str">
        <f ca="1">IFERROR(__xludf.DUMMYFUNCTION("""COMPUTED_VALUE"""),"")</f>
        <v/>
      </c>
      <c r="K728" s="36" t="str">
        <f ca="1">IFERROR(__xludf.DUMMYFUNCTION("""COMPUTED_VALUE"""),"")</f>
        <v/>
      </c>
      <c r="L728" s="36" t="str">
        <f ca="1">IFERROR(__xludf.DUMMYFUNCTION("""COMPUTED_VALUE"""),"")</f>
        <v/>
      </c>
      <c r="M728" s="36" t="str">
        <f ca="1">IFERROR(__xludf.DUMMYFUNCTION("""COMPUTED_VALUE"""),"")</f>
        <v/>
      </c>
      <c r="N728" s="36" t="str">
        <f ca="1">IFERROR(__xludf.DUMMYFUNCTION("""COMPUTED_VALUE"""),"")</f>
        <v/>
      </c>
      <c r="O728" s="36" t="str">
        <f ca="1">IFERROR(__xludf.DUMMYFUNCTION("""COMPUTED_VALUE"""),"")</f>
        <v/>
      </c>
      <c r="P728" s="36" t="str">
        <f ca="1">IFERROR(__xludf.DUMMYFUNCTION("""COMPUTED_VALUE"""),"")</f>
        <v/>
      </c>
      <c r="Q728" s="36" t="str">
        <f ca="1">IFERROR(__xludf.DUMMYFUNCTION("""COMPUTED_VALUE"""),"")</f>
        <v/>
      </c>
      <c r="R728" s="36" t="str">
        <f ca="1">IFERROR(__xludf.DUMMYFUNCTION("""COMPUTED_VALUE"""),"")</f>
        <v/>
      </c>
      <c r="S728" s="36" t="str">
        <f ca="1">IFERROR(__xludf.DUMMYFUNCTION("""COMPUTED_VALUE"""),"")</f>
        <v/>
      </c>
      <c r="T728" s="36" t="str">
        <f ca="1">IFERROR(__xludf.DUMMYFUNCTION("""COMPUTED_VALUE"""),"")</f>
        <v/>
      </c>
      <c r="U728" s="36" t="str">
        <f ca="1">IFERROR(__xludf.DUMMYFUNCTION("""COMPUTED_VALUE"""),"")</f>
        <v/>
      </c>
      <c r="V728" s="36" t="str">
        <f ca="1">IFERROR(__xludf.DUMMYFUNCTION("""COMPUTED_VALUE"""),"")</f>
        <v/>
      </c>
      <c r="W728" s="36" t="str">
        <f ca="1">IFERROR(__xludf.DUMMYFUNCTION("""COMPUTED_VALUE"""),"")</f>
        <v/>
      </c>
      <c r="X728" s="36"/>
      <c r="Y728" s="36"/>
      <c r="Z728" s="36"/>
    </row>
    <row r="729" spans="1:26" ht="12.75" hidden="1">
      <c r="A729" s="36" t="str">
        <f ca="1">IFERROR(__xludf.DUMMYFUNCTION("""COMPUTED_VALUE"""),"")</f>
        <v/>
      </c>
      <c r="B729" s="36" t="str">
        <f ca="1">IFERROR(__xludf.DUMMYFUNCTION("""COMPUTED_VALUE"""),"")</f>
        <v/>
      </c>
      <c r="C729" s="36" t="str">
        <f ca="1">IFERROR(__xludf.DUMMYFUNCTION("""COMPUTED_VALUE"""),"")</f>
        <v/>
      </c>
      <c r="D729" s="36" t="str">
        <f ca="1">IFERROR(__xludf.DUMMYFUNCTION("""COMPUTED_VALUE"""),"")</f>
        <v/>
      </c>
      <c r="E729" s="36" t="str">
        <f ca="1">IFERROR(__xludf.DUMMYFUNCTION("""COMPUTED_VALUE"""),"")</f>
        <v/>
      </c>
      <c r="F729" s="36" t="str">
        <f ca="1">IFERROR(__xludf.DUMMYFUNCTION("""COMPUTED_VALUE"""),"")</f>
        <v/>
      </c>
      <c r="G729" s="36" t="str">
        <f ca="1">IFERROR(__xludf.DUMMYFUNCTION("""COMPUTED_VALUE"""),"")</f>
        <v/>
      </c>
      <c r="H729" s="36" t="str">
        <f ca="1">IFERROR(__xludf.DUMMYFUNCTION("""COMPUTED_VALUE"""),"")</f>
        <v/>
      </c>
      <c r="I729" s="36" t="str">
        <f ca="1">IFERROR(__xludf.DUMMYFUNCTION("""COMPUTED_VALUE"""),"")</f>
        <v/>
      </c>
      <c r="J729" s="36" t="str">
        <f ca="1">IFERROR(__xludf.DUMMYFUNCTION("""COMPUTED_VALUE"""),"")</f>
        <v/>
      </c>
      <c r="K729" s="36" t="str">
        <f ca="1">IFERROR(__xludf.DUMMYFUNCTION("""COMPUTED_VALUE"""),"")</f>
        <v/>
      </c>
      <c r="L729" s="36" t="str">
        <f ca="1">IFERROR(__xludf.DUMMYFUNCTION("""COMPUTED_VALUE"""),"")</f>
        <v/>
      </c>
      <c r="M729" s="36" t="str">
        <f ca="1">IFERROR(__xludf.DUMMYFUNCTION("""COMPUTED_VALUE"""),"")</f>
        <v/>
      </c>
      <c r="N729" s="36" t="str">
        <f ca="1">IFERROR(__xludf.DUMMYFUNCTION("""COMPUTED_VALUE"""),"")</f>
        <v/>
      </c>
      <c r="O729" s="36" t="str">
        <f ca="1">IFERROR(__xludf.DUMMYFUNCTION("""COMPUTED_VALUE"""),"")</f>
        <v/>
      </c>
      <c r="P729" s="36" t="str">
        <f ca="1">IFERROR(__xludf.DUMMYFUNCTION("""COMPUTED_VALUE"""),"")</f>
        <v/>
      </c>
      <c r="Q729" s="36" t="str">
        <f ca="1">IFERROR(__xludf.DUMMYFUNCTION("""COMPUTED_VALUE"""),"")</f>
        <v/>
      </c>
      <c r="R729" s="36" t="str">
        <f ca="1">IFERROR(__xludf.DUMMYFUNCTION("""COMPUTED_VALUE"""),"")</f>
        <v/>
      </c>
      <c r="S729" s="36" t="str">
        <f ca="1">IFERROR(__xludf.DUMMYFUNCTION("""COMPUTED_VALUE"""),"")</f>
        <v/>
      </c>
      <c r="T729" s="36" t="str">
        <f ca="1">IFERROR(__xludf.DUMMYFUNCTION("""COMPUTED_VALUE"""),"")</f>
        <v/>
      </c>
      <c r="U729" s="36" t="str">
        <f ca="1">IFERROR(__xludf.DUMMYFUNCTION("""COMPUTED_VALUE"""),"")</f>
        <v/>
      </c>
      <c r="V729" s="36" t="str">
        <f ca="1">IFERROR(__xludf.DUMMYFUNCTION("""COMPUTED_VALUE"""),"")</f>
        <v/>
      </c>
      <c r="W729" s="36" t="str">
        <f ca="1">IFERROR(__xludf.DUMMYFUNCTION("""COMPUTED_VALUE"""),"")</f>
        <v/>
      </c>
      <c r="X729" s="36"/>
      <c r="Y729" s="36"/>
      <c r="Z729" s="36"/>
    </row>
    <row r="730" spans="1:26" ht="12.75" hidden="1">
      <c r="A730" s="36" t="str">
        <f ca="1">IFERROR(__xludf.DUMMYFUNCTION("""COMPUTED_VALUE"""),"")</f>
        <v/>
      </c>
      <c r="B730" s="36" t="str">
        <f ca="1">IFERROR(__xludf.DUMMYFUNCTION("""COMPUTED_VALUE"""),"")</f>
        <v/>
      </c>
      <c r="C730" s="36" t="str">
        <f ca="1">IFERROR(__xludf.DUMMYFUNCTION("""COMPUTED_VALUE"""),"")</f>
        <v/>
      </c>
      <c r="D730" s="36" t="str">
        <f ca="1">IFERROR(__xludf.DUMMYFUNCTION("""COMPUTED_VALUE"""),"")</f>
        <v/>
      </c>
      <c r="E730" s="36" t="str">
        <f ca="1">IFERROR(__xludf.DUMMYFUNCTION("""COMPUTED_VALUE"""),"")</f>
        <v/>
      </c>
      <c r="F730" s="36" t="str">
        <f ca="1">IFERROR(__xludf.DUMMYFUNCTION("""COMPUTED_VALUE"""),"")</f>
        <v/>
      </c>
      <c r="G730" s="36" t="str">
        <f ca="1">IFERROR(__xludf.DUMMYFUNCTION("""COMPUTED_VALUE"""),"")</f>
        <v/>
      </c>
      <c r="H730" s="36" t="str">
        <f ca="1">IFERROR(__xludf.DUMMYFUNCTION("""COMPUTED_VALUE"""),"")</f>
        <v/>
      </c>
      <c r="I730" s="36" t="str">
        <f ca="1">IFERROR(__xludf.DUMMYFUNCTION("""COMPUTED_VALUE"""),"")</f>
        <v/>
      </c>
      <c r="J730" s="36" t="str">
        <f ca="1">IFERROR(__xludf.DUMMYFUNCTION("""COMPUTED_VALUE"""),"")</f>
        <v/>
      </c>
      <c r="K730" s="36" t="str">
        <f ca="1">IFERROR(__xludf.DUMMYFUNCTION("""COMPUTED_VALUE"""),"")</f>
        <v/>
      </c>
      <c r="L730" s="36" t="str">
        <f ca="1">IFERROR(__xludf.DUMMYFUNCTION("""COMPUTED_VALUE"""),"")</f>
        <v/>
      </c>
      <c r="M730" s="36" t="str">
        <f ca="1">IFERROR(__xludf.DUMMYFUNCTION("""COMPUTED_VALUE"""),"")</f>
        <v/>
      </c>
      <c r="N730" s="36" t="str">
        <f ca="1">IFERROR(__xludf.DUMMYFUNCTION("""COMPUTED_VALUE"""),"")</f>
        <v/>
      </c>
      <c r="O730" s="36" t="str">
        <f ca="1">IFERROR(__xludf.DUMMYFUNCTION("""COMPUTED_VALUE"""),"")</f>
        <v/>
      </c>
      <c r="P730" s="36" t="str">
        <f ca="1">IFERROR(__xludf.DUMMYFUNCTION("""COMPUTED_VALUE"""),"")</f>
        <v/>
      </c>
      <c r="Q730" s="36" t="str">
        <f ca="1">IFERROR(__xludf.DUMMYFUNCTION("""COMPUTED_VALUE"""),"")</f>
        <v/>
      </c>
      <c r="R730" s="36" t="str">
        <f ca="1">IFERROR(__xludf.DUMMYFUNCTION("""COMPUTED_VALUE"""),"")</f>
        <v/>
      </c>
      <c r="S730" s="36" t="str">
        <f ca="1">IFERROR(__xludf.DUMMYFUNCTION("""COMPUTED_VALUE"""),"")</f>
        <v/>
      </c>
      <c r="T730" s="36" t="str">
        <f ca="1">IFERROR(__xludf.DUMMYFUNCTION("""COMPUTED_VALUE"""),"")</f>
        <v/>
      </c>
      <c r="U730" s="36" t="str">
        <f ca="1">IFERROR(__xludf.DUMMYFUNCTION("""COMPUTED_VALUE"""),"")</f>
        <v/>
      </c>
      <c r="V730" s="36" t="str">
        <f ca="1">IFERROR(__xludf.DUMMYFUNCTION("""COMPUTED_VALUE"""),"")</f>
        <v/>
      </c>
      <c r="W730" s="36" t="str">
        <f ca="1">IFERROR(__xludf.DUMMYFUNCTION("""COMPUTED_VALUE"""),"")</f>
        <v/>
      </c>
      <c r="X730" s="36"/>
      <c r="Y730" s="36"/>
      <c r="Z730" s="36"/>
    </row>
    <row r="731" spans="1:26" ht="12.75" hidden="1">
      <c r="A731" s="36" t="str">
        <f ca="1">IFERROR(__xludf.DUMMYFUNCTION("""COMPUTED_VALUE"""),"")</f>
        <v/>
      </c>
      <c r="B731" s="36" t="str">
        <f ca="1">IFERROR(__xludf.DUMMYFUNCTION("""COMPUTED_VALUE"""),"")</f>
        <v/>
      </c>
      <c r="C731" s="36" t="str">
        <f ca="1">IFERROR(__xludf.DUMMYFUNCTION("""COMPUTED_VALUE"""),"")</f>
        <v/>
      </c>
      <c r="D731" s="36" t="str">
        <f ca="1">IFERROR(__xludf.DUMMYFUNCTION("""COMPUTED_VALUE"""),"")</f>
        <v/>
      </c>
      <c r="E731" s="36" t="str">
        <f ca="1">IFERROR(__xludf.DUMMYFUNCTION("""COMPUTED_VALUE"""),"")</f>
        <v/>
      </c>
      <c r="F731" s="36" t="str">
        <f ca="1">IFERROR(__xludf.DUMMYFUNCTION("""COMPUTED_VALUE"""),"")</f>
        <v/>
      </c>
      <c r="G731" s="36" t="str">
        <f ca="1">IFERROR(__xludf.DUMMYFUNCTION("""COMPUTED_VALUE"""),"")</f>
        <v/>
      </c>
      <c r="H731" s="36" t="str">
        <f ca="1">IFERROR(__xludf.DUMMYFUNCTION("""COMPUTED_VALUE"""),"")</f>
        <v/>
      </c>
      <c r="I731" s="36" t="str">
        <f ca="1">IFERROR(__xludf.DUMMYFUNCTION("""COMPUTED_VALUE"""),"")</f>
        <v/>
      </c>
      <c r="J731" s="36" t="str">
        <f ca="1">IFERROR(__xludf.DUMMYFUNCTION("""COMPUTED_VALUE"""),"")</f>
        <v/>
      </c>
      <c r="K731" s="36" t="str">
        <f ca="1">IFERROR(__xludf.DUMMYFUNCTION("""COMPUTED_VALUE"""),"")</f>
        <v/>
      </c>
      <c r="L731" s="36" t="str">
        <f ca="1">IFERROR(__xludf.DUMMYFUNCTION("""COMPUTED_VALUE"""),"")</f>
        <v/>
      </c>
      <c r="M731" s="36" t="str">
        <f ca="1">IFERROR(__xludf.DUMMYFUNCTION("""COMPUTED_VALUE"""),"")</f>
        <v/>
      </c>
      <c r="N731" s="36" t="str">
        <f ca="1">IFERROR(__xludf.DUMMYFUNCTION("""COMPUTED_VALUE"""),"")</f>
        <v/>
      </c>
      <c r="O731" s="36" t="str">
        <f ca="1">IFERROR(__xludf.DUMMYFUNCTION("""COMPUTED_VALUE"""),"")</f>
        <v/>
      </c>
      <c r="P731" s="36" t="str">
        <f ca="1">IFERROR(__xludf.DUMMYFUNCTION("""COMPUTED_VALUE"""),"")</f>
        <v/>
      </c>
      <c r="Q731" s="36" t="str">
        <f ca="1">IFERROR(__xludf.DUMMYFUNCTION("""COMPUTED_VALUE"""),"")</f>
        <v/>
      </c>
      <c r="R731" s="36" t="str">
        <f ca="1">IFERROR(__xludf.DUMMYFUNCTION("""COMPUTED_VALUE"""),"")</f>
        <v/>
      </c>
      <c r="S731" s="36" t="str">
        <f ca="1">IFERROR(__xludf.DUMMYFUNCTION("""COMPUTED_VALUE"""),"")</f>
        <v/>
      </c>
      <c r="T731" s="36" t="str">
        <f ca="1">IFERROR(__xludf.DUMMYFUNCTION("""COMPUTED_VALUE"""),"")</f>
        <v/>
      </c>
      <c r="U731" s="36" t="str">
        <f ca="1">IFERROR(__xludf.DUMMYFUNCTION("""COMPUTED_VALUE"""),"")</f>
        <v/>
      </c>
      <c r="V731" s="36" t="str">
        <f ca="1">IFERROR(__xludf.DUMMYFUNCTION("""COMPUTED_VALUE"""),"")</f>
        <v/>
      </c>
      <c r="W731" s="36" t="str">
        <f ca="1">IFERROR(__xludf.DUMMYFUNCTION("""COMPUTED_VALUE"""),"")</f>
        <v/>
      </c>
      <c r="X731" s="36"/>
      <c r="Y731" s="36"/>
      <c r="Z731" s="36"/>
    </row>
    <row r="732" spans="1:26" ht="12.75" hidden="1">
      <c r="A732" s="36" t="str">
        <f ca="1">IFERROR(__xludf.DUMMYFUNCTION("""COMPUTED_VALUE"""),"")</f>
        <v/>
      </c>
      <c r="B732" s="36" t="str">
        <f ca="1">IFERROR(__xludf.DUMMYFUNCTION("""COMPUTED_VALUE"""),"")</f>
        <v/>
      </c>
      <c r="C732" s="36" t="str">
        <f ca="1">IFERROR(__xludf.DUMMYFUNCTION("""COMPUTED_VALUE"""),"")</f>
        <v/>
      </c>
      <c r="D732" s="36" t="str">
        <f ca="1">IFERROR(__xludf.DUMMYFUNCTION("""COMPUTED_VALUE"""),"")</f>
        <v/>
      </c>
      <c r="E732" s="36" t="str">
        <f ca="1">IFERROR(__xludf.DUMMYFUNCTION("""COMPUTED_VALUE"""),"")</f>
        <v/>
      </c>
      <c r="F732" s="36" t="str">
        <f ca="1">IFERROR(__xludf.DUMMYFUNCTION("""COMPUTED_VALUE"""),"")</f>
        <v/>
      </c>
      <c r="G732" s="36" t="str">
        <f ca="1">IFERROR(__xludf.DUMMYFUNCTION("""COMPUTED_VALUE"""),"")</f>
        <v/>
      </c>
      <c r="H732" s="36" t="str">
        <f ca="1">IFERROR(__xludf.DUMMYFUNCTION("""COMPUTED_VALUE"""),"")</f>
        <v/>
      </c>
      <c r="I732" s="36" t="str">
        <f ca="1">IFERROR(__xludf.DUMMYFUNCTION("""COMPUTED_VALUE"""),"")</f>
        <v/>
      </c>
      <c r="J732" s="36" t="str">
        <f ca="1">IFERROR(__xludf.DUMMYFUNCTION("""COMPUTED_VALUE"""),"")</f>
        <v/>
      </c>
      <c r="K732" s="36" t="str">
        <f ca="1">IFERROR(__xludf.DUMMYFUNCTION("""COMPUTED_VALUE"""),"")</f>
        <v/>
      </c>
      <c r="L732" s="36" t="str">
        <f ca="1">IFERROR(__xludf.DUMMYFUNCTION("""COMPUTED_VALUE"""),"")</f>
        <v/>
      </c>
      <c r="M732" s="36" t="str">
        <f ca="1">IFERROR(__xludf.DUMMYFUNCTION("""COMPUTED_VALUE"""),"")</f>
        <v/>
      </c>
      <c r="N732" s="36" t="str">
        <f ca="1">IFERROR(__xludf.DUMMYFUNCTION("""COMPUTED_VALUE"""),"")</f>
        <v/>
      </c>
      <c r="O732" s="36" t="str">
        <f ca="1">IFERROR(__xludf.DUMMYFUNCTION("""COMPUTED_VALUE"""),"")</f>
        <v/>
      </c>
      <c r="P732" s="36" t="str">
        <f ca="1">IFERROR(__xludf.DUMMYFUNCTION("""COMPUTED_VALUE"""),"")</f>
        <v/>
      </c>
      <c r="Q732" s="36" t="str">
        <f ca="1">IFERROR(__xludf.DUMMYFUNCTION("""COMPUTED_VALUE"""),"")</f>
        <v/>
      </c>
      <c r="R732" s="36" t="str">
        <f ca="1">IFERROR(__xludf.DUMMYFUNCTION("""COMPUTED_VALUE"""),"")</f>
        <v/>
      </c>
      <c r="S732" s="36" t="str">
        <f ca="1">IFERROR(__xludf.DUMMYFUNCTION("""COMPUTED_VALUE"""),"")</f>
        <v/>
      </c>
      <c r="T732" s="36" t="str">
        <f ca="1">IFERROR(__xludf.DUMMYFUNCTION("""COMPUTED_VALUE"""),"")</f>
        <v/>
      </c>
      <c r="U732" s="36" t="str">
        <f ca="1">IFERROR(__xludf.DUMMYFUNCTION("""COMPUTED_VALUE"""),"")</f>
        <v/>
      </c>
      <c r="V732" s="36" t="str">
        <f ca="1">IFERROR(__xludf.DUMMYFUNCTION("""COMPUTED_VALUE"""),"")</f>
        <v/>
      </c>
      <c r="W732" s="36" t="str">
        <f ca="1">IFERROR(__xludf.DUMMYFUNCTION("""COMPUTED_VALUE"""),"")</f>
        <v/>
      </c>
      <c r="X732" s="36"/>
      <c r="Y732" s="36"/>
      <c r="Z732" s="36"/>
    </row>
    <row r="733" spans="1:26" ht="12.75" hidden="1">
      <c r="A733" s="36" t="str">
        <f ca="1">IFERROR(__xludf.DUMMYFUNCTION("""COMPUTED_VALUE"""),"")</f>
        <v/>
      </c>
      <c r="B733" s="36" t="str">
        <f ca="1">IFERROR(__xludf.DUMMYFUNCTION("""COMPUTED_VALUE"""),"")</f>
        <v/>
      </c>
      <c r="C733" s="36" t="str">
        <f ca="1">IFERROR(__xludf.DUMMYFUNCTION("""COMPUTED_VALUE"""),"")</f>
        <v/>
      </c>
      <c r="D733" s="36" t="str">
        <f ca="1">IFERROR(__xludf.DUMMYFUNCTION("""COMPUTED_VALUE"""),"")</f>
        <v/>
      </c>
      <c r="E733" s="36" t="str">
        <f ca="1">IFERROR(__xludf.DUMMYFUNCTION("""COMPUTED_VALUE"""),"")</f>
        <v/>
      </c>
      <c r="F733" s="36" t="str">
        <f ca="1">IFERROR(__xludf.DUMMYFUNCTION("""COMPUTED_VALUE"""),"")</f>
        <v/>
      </c>
      <c r="G733" s="36" t="str">
        <f ca="1">IFERROR(__xludf.DUMMYFUNCTION("""COMPUTED_VALUE"""),"")</f>
        <v/>
      </c>
      <c r="H733" s="36" t="str">
        <f ca="1">IFERROR(__xludf.DUMMYFUNCTION("""COMPUTED_VALUE"""),"")</f>
        <v/>
      </c>
      <c r="I733" s="36" t="str">
        <f ca="1">IFERROR(__xludf.DUMMYFUNCTION("""COMPUTED_VALUE"""),"")</f>
        <v/>
      </c>
      <c r="J733" s="36" t="str">
        <f ca="1">IFERROR(__xludf.DUMMYFUNCTION("""COMPUTED_VALUE"""),"")</f>
        <v/>
      </c>
      <c r="K733" s="36" t="str">
        <f ca="1">IFERROR(__xludf.DUMMYFUNCTION("""COMPUTED_VALUE"""),"")</f>
        <v/>
      </c>
      <c r="L733" s="36" t="str">
        <f ca="1">IFERROR(__xludf.DUMMYFUNCTION("""COMPUTED_VALUE"""),"")</f>
        <v/>
      </c>
      <c r="M733" s="36" t="str">
        <f ca="1">IFERROR(__xludf.DUMMYFUNCTION("""COMPUTED_VALUE"""),"")</f>
        <v/>
      </c>
      <c r="N733" s="36" t="str">
        <f ca="1">IFERROR(__xludf.DUMMYFUNCTION("""COMPUTED_VALUE"""),"")</f>
        <v/>
      </c>
      <c r="O733" s="36" t="str">
        <f ca="1">IFERROR(__xludf.DUMMYFUNCTION("""COMPUTED_VALUE"""),"")</f>
        <v/>
      </c>
      <c r="P733" s="36" t="str">
        <f ca="1">IFERROR(__xludf.DUMMYFUNCTION("""COMPUTED_VALUE"""),"")</f>
        <v/>
      </c>
      <c r="Q733" s="36" t="str">
        <f ca="1">IFERROR(__xludf.DUMMYFUNCTION("""COMPUTED_VALUE"""),"")</f>
        <v/>
      </c>
      <c r="R733" s="36" t="str">
        <f ca="1">IFERROR(__xludf.DUMMYFUNCTION("""COMPUTED_VALUE"""),"")</f>
        <v/>
      </c>
      <c r="S733" s="36" t="str">
        <f ca="1">IFERROR(__xludf.DUMMYFUNCTION("""COMPUTED_VALUE"""),"")</f>
        <v/>
      </c>
      <c r="T733" s="36" t="str">
        <f ca="1">IFERROR(__xludf.DUMMYFUNCTION("""COMPUTED_VALUE"""),"")</f>
        <v/>
      </c>
      <c r="U733" s="36" t="str">
        <f ca="1">IFERROR(__xludf.DUMMYFUNCTION("""COMPUTED_VALUE"""),"")</f>
        <v/>
      </c>
      <c r="V733" s="36" t="str">
        <f ca="1">IFERROR(__xludf.DUMMYFUNCTION("""COMPUTED_VALUE"""),"")</f>
        <v/>
      </c>
      <c r="W733" s="36" t="str">
        <f ca="1">IFERROR(__xludf.DUMMYFUNCTION("""COMPUTED_VALUE"""),"")</f>
        <v/>
      </c>
      <c r="X733" s="36"/>
      <c r="Y733" s="36"/>
      <c r="Z733" s="36"/>
    </row>
    <row r="734" spans="1:26" ht="12.75" hidden="1">
      <c r="A734" s="36" t="str">
        <f ca="1">IFERROR(__xludf.DUMMYFUNCTION("""COMPUTED_VALUE"""),"")</f>
        <v/>
      </c>
      <c r="B734" s="36" t="str">
        <f ca="1">IFERROR(__xludf.DUMMYFUNCTION("""COMPUTED_VALUE"""),"")</f>
        <v/>
      </c>
      <c r="C734" s="36" t="str">
        <f ca="1">IFERROR(__xludf.DUMMYFUNCTION("""COMPUTED_VALUE"""),"")</f>
        <v/>
      </c>
      <c r="D734" s="36" t="str">
        <f ca="1">IFERROR(__xludf.DUMMYFUNCTION("""COMPUTED_VALUE"""),"")</f>
        <v/>
      </c>
      <c r="E734" s="36" t="str">
        <f ca="1">IFERROR(__xludf.DUMMYFUNCTION("""COMPUTED_VALUE"""),"")</f>
        <v/>
      </c>
      <c r="F734" s="36" t="str">
        <f ca="1">IFERROR(__xludf.DUMMYFUNCTION("""COMPUTED_VALUE"""),"")</f>
        <v/>
      </c>
      <c r="G734" s="36" t="str">
        <f ca="1">IFERROR(__xludf.DUMMYFUNCTION("""COMPUTED_VALUE"""),"")</f>
        <v/>
      </c>
      <c r="H734" s="36" t="str">
        <f ca="1">IFERROR(__xludf.DUMMYFUNCTION("""COMPUTED_VALUE"""),"")</f>
        <v/>
      </c>
      <c r="I734" s="36" t="str">
        <f ca="1">IFERROR(__xludf.DUMMYFUNCTION("""COMPUTED_VALUE"""),"")</f>
        <v/>
      </c>
      <c r="J734" s="36" t="str">
        <f ca="1">IFERROR(__xludf.DUMMYFUNCTION("""COMPUTED_VALUE"""),"")</f>
        <v/>
      </c>
      <c r="K734" s="36" t="str">
        <f ca="1">IFERROR(__xludf.DUMMYFUNCTION("""COMPUTED_VALUE"""),"")</f>
        <v/>
      </c>
      <c r="L734" s="36" t="str">
        <f ca="1">IFERROR(__xludf.DUMMYFUNCTION("""COMPUTED_VALUE"""),"")</f>
        <v/>
      </c>
      <c r="M734" s="36" t="str">
        <f ca="1">IFERROR(__xludf.DUMMYFUNCTION("""COMPUTED_VALUE"""),"")</f>
        <v/>
      </c>
      <c r="N734" s="36" t="str">
        <f ca="1">IFERROR(__xludf.DUMMYFUNCTION("""COMPUTED_VALUE"""),"")</f>
        <v/>
      </c>
      <c r="O734" s="36" t="str">
        <f ca="1">IFERROR(__xludf.DUMMYFUNCTION("""COMPUTED_VALUE"""),"")</f>
        <v/>
      </c>
      <c r="P734" s="36" t="str">
        <f ca="1">IFERROR(__xludf.DUMMYFUNCTION("""COMPUTED_VALUE"""),"")</f>
        <v/>
      </c>
      <c r="Q734" s="36" t="str">
        <f ca="1">IFERROR(__xludf.DUMMYFUNCTION("""COMPUTED_VALUE"""),"")</f>
        <v/>
      </c>
      <c r="R734" s="36" t="str">
        <f ca="1">IFERROR(__xludf.DUMMYFUNCTION("""COMPUTED_VALUE"""),"")</f>
        <v/>
      </c>
      <c r="S734" s="36" t="str">
        <f ca="1">IFERROR(__xludf.DUMMYFUNCTION("""COMPUTED_VALUE"""),"")</f>
        <v/>
      </c>
      <c r="T734" s="36" t="str">
        <f ca="1">IFERROR(__xludf.DUMMYFUNCTION("""COMPUTED_VALUE"""),"")</f>
        <v/>
      </c>
      <c r="U734" s="36" t="str">
        <f ca="1">IFERROR(__xludf.DUMMYFUNCTION("""COMPUTED_VALUE"""),"")</f>
        <v/>
      </c>
      <c r="V734" s="36" t="str">
        <f ca="1">IFERROR(__xludf.DUMMYFUNCTION("""COMPUTED_VALUE"""),"")</f>
        <v/>
      </c>
      <c r="W734" s="36" t="str">
        <f ca="1">IFERROR(__xludf.DUMMYFUNCTION("""COMPUTED_VALUE"""),"")</f>
        <v/>
      </c>
      <c r="X734" s="36"/>
      <c r="Y734" s="36"/>
      <c r="Z734" s="36"/>
    </row>
    <row r="735" spans="1:26" ht="12.75" hidden="1">
      <c r="A735" s="36" t="str">
        <f ca="1">IFERROR(__xludf.DUMMYFUNCTION("""COMPUTED_VALUE"""),"")</f>
        <v/>
      </c>
      <c r="B735" s="36" t="str">
        <f ca="1">IFERROR(__xludf.DUMMYFUNCTION("""COMPUTED_VALUE"""),"")</f>
        <v/>
      </c>
      <c r="C735" s="36" t="str">
        <f ca="1">IFERROR(__xludf.DUMMYFUNCTION("""COMPUTED_VALUE"""),"")</f>
        <v/>
      </c>
      <c r="D735" s="36" t="str">
        <f ca="1">IFERROR(__xludf.DUMMYFUNCTION("""COMPUTED_VALUE"""),"")</f>
        <v/>
      </c>
      <c r="E735" s="36" t="str">
        <f ca="1">IFERROR(__xludf.DUMMYFUNCTION("""COMPUTED_VALUE"""),"")</f>
        <v/>
      </c>
      <c r="F735" s="36" t="str">
        <f ca="1">IFERROR(__xludf.DUMMYFUNCTION("""COMPUTED_VALUE"""),"")</f>
        <v/>
      </c>
      <c r="G735" s="36" t="str">
        <f ca="1">IFERROR(__xludf.DUMMYFUNCTION("""COMPUTED_VALUE"""),"")</f>
        <v/>
      </c>
      <c r="H735" s="36" t="str">
        <f ca="1">IFERROR(__xludf.DUMMYFUNCTION("""COMPUTED_VALUE"""),"")</f>
        <v/>
      </c>
      <c r="I735" s="36" t="str">
        <f ca="1">IFERROR(__xludf.DUMMYFUNCTION("""COMPUTED_VALUE"""),"")</f>
        <v/>
      </c>
      <c r="J735" s="36" t="str">
        <f ca="1">IFERROR(__xludf.DUMMYFUNCTION("""COMPUTED_VALUE"""),"")</f>
        <v/>
      </c>
      <c r="K735" s="36" t="str">
        <f ca="1">IFERROR(__xludf.DUMMYFUNCTION("""COMPUTED_VALUE"""),"")</f>
        <v/>
      </c>
      <c r="L735" s="36" t="str">
        <f ca="1">IFERROR(__xludf.DUMMYFUNCTION("""COMPUTED_VALUE"""),"")</f>
        <v/>
      </c>
      <c r="M735" s="36" t="str">
        <f ca="1">IFERROR(__xludf.DUMMYFUNCTION("""COMPUTED_VALUE"""),"")</f>
        <v/>
      </c>
      <c r="N735" s="36" t="str">
        <f ca="1">IFERROR(__xludf.DUMMYFUNCTION("""COMPUTED_VALUE"""),"")</f>
        <v/>
      </c>
      <c r="O735" s="36" t="str">
        <f ca="1">IFERROR(__xludf.DUMMYFUNCTION("""COMPUTED_VALUE"""),"")</f>
        <v/>
      </c>
      <c r="P735" s="36" t="str">
        <f ca="1">IFERROR(__xludf.DUMMYFUNCTION("""COMPUTED_VALUE"""),"")</f>
        <v/>
      </c>
      <c r="Q735" s="36" t="str">
        <f ca="1">IFERROR(__xludf.DUMMYFUNCTION("""COMPUTED_VALUE"""),"")</f>
        <v/>
      </c>
      <c r="R735" s="36" t="str">
        <f ca="1">IFERROR(__xludf.DUMMYFUNCTION("""COMPUTED_VALUE"""),"")</f>
        <v/>
      </c>
      <c r="S735" s="36" t="str">
        <f ca="1">IFERROR(__xludf.DUMMYFUNCTION("""COMPUTED_VALUE"""),"")</f>
        <v/>
      </c>
      <c r="T735" s="36" t="str">
        <f ca="1">IFERROR(__xludf.DUMMYFUNCTION("""COMPUTED_VALUE"""),"")</f>
        <v/>
      </c>
      <c r="U735" s="36" t="str">
        <f ca="1">IFERROR(__xludf.DUMMYFUNCTION("""COMPUTED_VALUE"""),"")</f>
        <v/>
      </c>
      <c r="V735" s="36" t="str">
        <f ca="1">IFERROR(__xludf.DUMMYFUNCTION("""COMPUTED_VALUE"""),"")</f>
        <v/>
      </c>
      <c r="W735" s="36" t="str">
        <f ca="1">IFERROR(__xludf.DUMMYFUNCTION("""COMPUTED_VALUE"""),"")</f>
        <v/>
      </c>
      <c r="X735" s="36"/>
      <c r="Y735" s="36"/>
      <c r="Z735" s="36"/>
    </row>
    <row r="736" spans="1:26" ht="12.75" hidden="1">
      <c r="A736" s="36" t="str">
        <f ca="1">IFERROR(__xludf.DUMMYFUNCTION("""COMPUTED_VALUE"""),"")</f>
        <v/>
      </c>
      <c r="B736" s="36" t="str">
        <f ca="1">IFERROR(__xludf.DUMMYFUNCTION("""COMPUTED_VALUE"""),"")</f>
        <v/>
      </c>
      <c r="C736" s="36" t="str">
        <f ca="1">IFERROR(__xludf.DUMMYFUNCTION("""COMPUTED_VALUE"""),"")</f>
        <v/>
      </c>
      <c r="D736" s="36" t="str">
        <f ca="1">IFERROR(__xludf.DUMMYFUNCTION("""COMPUTED_VALUE"""),"")</f>
        <v/>
      </c>
      <c r="E736" s="36" t="str">
        <f ca="1">IFERROR(__xludf.DUMMYFUNCTION("""COMPUTED_VALUE"""),"")</f>
        <v/>
      </c>
      <c r="F736" s="36" t="str">
        <f ca="1">IFERROR(__xludf.DUMMYFUNCTION("""COMPUTED_VALUE"""),"")</f>
        <v/>
      </c>
      <c r="G736" s="36" t="str">
        <f ca="1">IFERROR(__xludf.DUMMYFUNCTION("""COMPUTED_VALUE"""),"")</f>
        <v/>
      </c>
      <c r="H736" s="36" t="str">
        <f ca="1">IFERROR(__xludf.DUMMYFUNCTION("""COMPUTED_VALUE"""),"")</f>
        <v/>
      </c>
      <c r="I736" s="36" t="str">
        <f ca="1">IFERROR(__xludf.DUMMYFUNCTION("""COMPUTED_VALUE"""),"")</f>
        <v/>
      </c>
      <c r="J736" s="36" t="str">
        <f ca="1">IFERROR(__xludf.DUMMYFUNCTION("""COMPUTED_VALUE"""),"")</f>
        <v/>
      </c>
      <c r="K736" s="36" t="str">
        <f ca="1">IFERROR(__xludf.DUMMYFUNCTION("""COMPUTED_VALUE"""),"")</f>
        <v/>
      </c>
      <c r="L736" s="36" t="str">
        <f ca="1">IFERROR(__xludf.DUMMYFUNCTION("""COMPUTED_VALUE"""),"")</f>
        <v/>
      </c>
      <c r="M736" s="36" t="str">
        <f ca="1">IFERROR(__xludf.DUMMYFUNCTION("""COMPUTED_VALUE"""),"")</f>
        <v/>
      </c>
      <c r="N736" s="36" t="str">
        <f ca="1">IFERROR(__xludf.DUMMYFUNCTION("""COMPUTED_VALUE"""),"")</f>
        <v/>
      </c>
      <c r="O736" s="36" t="str">
        <f ca="1">IFERROR(__xludf.DUMMYFUNCTION("""COMPUTED_VALUE"""),"")</f>
        <v/>
      </c>
      <c r="P736" s="36" t="str">
        <f ca="1">IFERROR(__xludf.DUMMYFUNCTION("""COMPUTED_VALUE"""),"")</f>
        <v/>
      </c>
      <c r="Q736" s="36" t="str">
        <f ca="1">IFERROR(__xludf.DUMMYFUNCTION("""COMPUTED_VALUE"""),"")</f>
        <v/>
      </c>
      <c r="R736" s="36" t="str">
        <f ca="1">IFERROR(__xludf.DUMMYFUNCTION("""COMPUTED_VALUE"""),"")</f>
        <v/>
      </c>
      <c r="S736" s="36" t="str">
        <f ca="1">IFERROR(__xludf.DUMMYFUNCTION("""COMPUTED_VALUE"""),"")</f>
        <v/>
      </c>
      <c r="T736" s="36" t="str">
        <f ca="1">IFERROR(__xludf.DUMMYFUNCTION("""COMPUTED_VALUE"""),"")</f>
        <v/>
      </c>
      <c r="U736" s="36" t="str">
        <f ca="1">IFERROR(__xludf.DUMMYFUNCTION("""COMPUTED_VALUE"""),"")</f>
        <v/>
      </c>
      <c r="V736" s="36" t="str">
        <f ca="1">IFERROR(__xludf.DUMMYFUNCTION("""COMPUTED_VALUE"""),"")</f>
        <v/>
      </c>
      <c r="W736" s="36" t="str">
        <f ca="1">IFERROR(__xludf.DUMMYFUNCTION("""COMPUTED_VALUE"""),"")</f>
        <v/>
      </c>
      <c r="X736" s="36"/>
      <c r="Y736" s="36"/>
      <c r="Z736" s="36"/>
    </row>
    <row r="737" spans="1:26" ht="12.75" hidden="1">
      <c r="A737" s="36" t="str">
        <f ca="1">IFERROR(__xludf.DUMMYFUNCTION("""COMPUTED_VALUE"""),"")</f>
        <v/>
      </c>
      <c r="B737" s="36" t="str">
        <f ca="1">IFERROR(__xludf.DUMMYFUNCTION("""COMPUTED_VALUE"""),"")</f>
        <v/>
      </c>
      <c r="C737" s="36" t="str">
        <f ca="1">IFERROR(__xludf.DUMMYFUNCTION("""COMPUTED_VALUE"""),"")</f>
        <v/>
      </c>
      <c r="D737" s="36" t="str">
        <f ca="1">IFERROR(__xludf.DUMMYFUNCTION("""COMPUTED_VALUE"""),"")</f>
        <v/>
      </c>
      <c r="E737" s="36" t="str">
        <f ca="1">IFERROR(__xludf.DUMMYFUNCTION("""COMPUTED_VALUE"""),"")</f>
        <v/>
      </c>
      <c r="F737" s="36" t="str">
        <f ca="1">IFERROR(__xludf.DUMMYFUNCTION("""COMPUTED_VALUE"""),"")</f>
        <v/>
      </c>
      <c r="G737" s="36" t="str">
        <f ca="1">IFERROR(__xludf.DUMMYFUNCTION("""COMPUTED_VALUE"""),"")</f>
        <v/>
      </c>
      <c r="H737" s="36" t="str">
        <f ca="1">IFERROR(__xludf.DUMMYFUNCTION("""COMPUTED_VALUE"""),"")</f>
        <v/>
      </c>
      <c r="I737" s="36" t="str">
        <f ca="1">IFERROR(__xludf.DUMMYFUNCTION("""COMPUTED_VALUE"""),"")</f>
        <v/>
      </c>
      <c r="J737" s="36" t="str">
        <f ca="1">IFERROR(__xludf.DUMMYFUNCTION("""COMPUTED_VALUE"""),"")</f>
        <v/>
      </c>
      <c r="K737" s="36" t="str">
        <f ca="1">IFERROR(__xludf.DUMMYFUNCTION("""COMPUTED_VALUE"""),"")</f>
        <v/>
      </c>
      <c r="L737" s="36" t="str">
        <f ca="1">IFERROR(__xludf.DUMMYFUNCTION("""COMPUTED_VALUE"""),"")</f>
        <v/>
      </c>
      <c r="M737" s="36" t="str">
        <f ca="1">IFERROR(__xludf.DUMMYFUNCTION("""COMPUTED_VALUE"""),"")</f>
        <v/>
      </c>
      <c r="N737" s="36" t="str">
        <f ca="1">IFERROR(__xludf.DUMMYFUNCTION("""COMPUTED_VALUE"""),"")</f>
        <v/>
      </c>
      <c r="O737" s="36" t="str">
        <f ca="1">IFERROR(__xludf.DUMMYFUNCTION("""COMPUTED_VALUE"""),"")</f>
        <v/>
      </c>
      <c r="P737" s="36" t="str">
        <f ca="1">IFERROR(__xludf.DUMMYFUNCTION("""COMPUTED_VALUE"""),"")</f>
        <v/>
      </c>
      <c r="Q737" s="36" t="str">
        <f ca="1">IFERROR(__xludf.DUMMYFUNCTION("""COMPUTED_VALUE"""),"")</f>
        <v/>
      </c>
      <c r="R737" s="36" t="str">
        <f ca="1">IFERROR(__xludf.DUMMYFUNCTION("""COMPUTED_VALUE"""),"")</f>
        <v/>
      </c>
      <c r="S737" s="36" t="str">
        <f ca="1">IFERROR(__xludf.DUMMYFUNCTION("""COMPUTED_VALUE"""),"")</f>
        <v/>
      </c>
      <c r="T737" s="36" t="str">
        <f ca="1">IFERROR(__xludf.DUMMYFUNCTION("""COMPUTED_VALUE"""),"")</f>
        <v/>
      </c>
      <c r="U737" s="36" t="str">
        <f ca="1">IFERROR(__xludf.DUMMYFUNCTION("""COMPUTED_VALUE"""),"")</f>
        <v/>
      </c>
      <c r="V737" s="36" t="str">
        <f ca="1">IFERROR(__xludf.DUMMYFUNCTION("""COMPUTED_VALUE"""),"")</f>
        <v/>
      </c>
      <c r="W737" s="36" t="str">
        <f ca="1">IFERROR(__xludf.DUMMYFUNCTION("""COMPUTED_VALUE"""),"")</f>
        <v/>
      </c>
      <c r="X737" s="36"/>
      <c r="Y737" s="36"/>
      <c r="Z737" s="36"/>
    </row>
    <row r="738" spans="1:26" ht="12.75" hidden="1">
      <c r="A738" s="36" t="str">
        <f ca="1">IFERROR(__xludf.DUMMYFUNCTION("""COMPUTED_VALUE"""),"")</f>
        <v/>
      </c>
      <c r="B738" s="36" t="str">
        <f ca="1">IFERROR(__xludf.DUMMYFUNCTION("""COMPUTED_VALUE"""),"")</f>
        <v/>
      </c>
      <c r="C738" s="36" t="str">
        <f ca="1">IFERROR(__xludf.DUMMYFUNCTION("""COMPUTED_VALUE"""),"")</f>
        <v/>
      </c>
      <c r="D738" s="36" t="str">
        <f ca="1">IFERROR(__xludf.DUMMYFUNCTION("""COMPUTED_VALUE"""),"")</f>
        <v/>
      </c>
      <c r="E738" s="36" t="str">
        <f ca="1">IFERROR(__xludf.DUMMYFUNCTION("""COMPUTED_VALUE"""),"")</f>
        <v/>
      </c>
      <c r="F738" s="36" t="str">
        <f ca="1">IFERROR(__xludf.DUMMYFUNCTION("""COMPUTED_VALUE"""),"")</f>
        <v/>
      </c>
      <c r="G738" s="36" t="str">
        <f ca="1">IFERROR(__xludf.DUMMYFUNCTION("""COMPUTED_VALUE"""),"")</f>
        <v/>
      </c>
      <c r="H738" s="36" t="str">
        <f ca="1">IFERROR(__xludf.DUMMYFUNCTION("""COMPUTED_VALUE"""),"")</f>
        <v/>
      </c>
      <c r="I738" s="36" t="str">
        <f ca="1">IFERROR(__xludf.DUMMYFUNCTION("""COMPUTED_VALUE"""),"")</f>
        <v/>
      </c>
      <c r="J738" s="36" t="str">
        <f ca="1">IFERROR(__xludf.DUMMYFUNCTION("""COMPUTED_VALUE"""),"")</f>
        <v/>
      </c>
      <c r="K738" s="36" t="str">
        <f ca="1">IFERROR(__xludf.DUMMYFUNCTION("""COMPUTED_VALUE"""),"")</f>
        <v/>
      </c>
      <c r="L738" s="36" t="str">
        <f ca="1">IFERROR(__xludf.DUMMYFUNCTION("""COMPUTED_VALUE"""),"")</f>
        <v/>
      </c>
      <c r="M738" s="36" t="str">
        <f ca="1">IFERROR(__xludf.DUMMYFUNCTION("""COMPUTED_VALUE"""),"")</f>
        <v/>
      </c>
      <c r="N738" s="36" t="str">
        <f ca="1">IFERROR(__xludf.DUMMYFUNCTION("""COMPUTED_VALUE"""),"")</f>
        <v/>
      </c>
      <c r="O738" s="36" t="str">
        <f ca="1">IFERROR(__xludf.DUMMYFUNCTION("""COMPUTED_VALUE"""),"")</f>
        <v/>
      </c>
      <c r="P738" s="36" t="str">
        <f ca="1">IFERROR(__xludf.DUMMYFUNCTION("""COMPUTED_VALUE"""),"")</f>
        <v/>
      </c>
      <c r="Q738" s="36" t="str">
        <f ca="1">IFERROR(__xludf.DUMMYFUNCTION("""COMPUTED_VALUE"""),"")</f>
        <v/>
      </c>
      <c r="R738" s="36" t="str">
        <f ca="1">IFERROR(__xludf.DUMMYFUNCTION("""COMPUTED_VALUE"""),"")</f>
        <v/>
      </c>
      <c r="S738" s="36" t="str">
        <f ca="1">IFERROR(__xludf.DUMMYFUNCTION("""COMPUTED_VALUE"""),"")</f>
        <v/>
      </c>
      <c r="T738" s="36" t="str">
        <f ca="1">IFERROR(__xludf.DUMMYFUNCTION("""COMPUTED_VALUE"""),"")</f>
        <v/>
      </c>
      <c r="U738" s="36" t="str">
        <f ca="1">IFERROR(__xludf.DUMMYFUNCTION("""COMPUTED_VALUE"""),"")</f>
        <v/>
      </c>
      <c r="V738" s="36" t="str">
        <f ca="1">IFERROR(__xludf.DUMMYFUNCTION("""COMPUTED_VALUE"""),"")</f>
        <v/>
      </c>
      <c r="W738" s="36" t="str">
        <f ca="1">IFERROR(__xludf.DUMMYFUNCTION("""COMPUTED_VALUE"""),"")</f>
        <v/>
      </c>
      <c r="X738" s="36"/>
      <c r="Y738" s="36"/>
      <c r="Z738" s="36"/>
    </row>
    <row r="739" spans="1:26" ht="12.75" hidden="1">
      <c r="A739" s="36" t="str">
        <f ca="1">IFERROR(__xludf.DUMMYFUNCTION("""COMPUTED_VALUE"""),"")</f>
        <v/>
      </c>
      <c r="B739" s="36" t="str">
        <f ca="1">IFERROR(__xludf.DUMMYFUNCTION("""COMPUTED_VALUE"""),"")</f>
        <v/>
      </c>
      <c r="C739" s="36" t="str">
        <f ca="1">IFERROR(__xludf.DUMMYFUNCTION("""COMPUTED_VALUE"""),"")</f>
        <v/>
      </c>
      <c r="D739" s="36" t="str">
        <f ca="1">IFERROR(__xludf.DUMMYFUNCTION("""COMPUTED_VALUE"""),"")</f>
        <v/>
      </c>
      <c r="E739" s="36" t="str">
        <f ca="1">IFERROR(__xludf.DUMMYFUNCTION("""COMPUTED_VALUE"""),"")</f>
        <v/>
      </c>
      <c r="F739" s="36" t="str">
        <f ca="1">IFERROR(__xludf.DUMMYFUNCTION("""COMPUTED_VALUE"""),"")</f>
        <v/>
      </c>
      <c r="G739" s="36" t="str">
        <f ca="1">IFERROR(__xludf.DUMMYFUNCTION("""COMPUTED_VALUE"""),"")</f>
        <v/>
      </c>
      <c r="H739" s="36" t="str">
        <f ca="1">IFERROR(__xludf.DUMMYFUNCTION("""COMPUTED_VALUE"""),"")</f>
        <v/>
      </c>
      <c r="I739" s="36" t="str">
        <f ca="1">IFERROR(__xludf.DUMMYFUNCTION("""COMPUTED_VALUE"""),"")</f>
        <v/>
      </c>
      <c r="J739" s="36" t="str">
        <f ca="1">IFERROR(__xludf.DUMMYFUNCTION("""COMPUTED_VALUE"""),"")</f>
        <v/>
      </c>
      <c r="K739" s="36" t="str">
        <f ca="1">IFERROR(__xludf.DUMMYFUNCTION("""COMPUTED_VALUE"""),"")</f>
        <v/>
      </c>
      <c r="L739" s="36" t="str">
        <f ca="1">IFERROR(__xludf.DUMMYFUNCTION("""COMPUTED_VALUE"""),"")</f>
        <v/>
      </c>
      <c r="M739" s="36" t="str">
        <f ca="1">IFERROR(__xludf.DUMMYFUNCTION("""COMPUTED_VALUE"""),"")</f>
        <v/>
      </c>
      <c r="N739" s="36" t="str">
        <f ca="1">IFERROR(__xludf.DUMMYFUNCTION("""COMPUTED_VALUE"""),"")</f>
        <v/>
      </c>
      <c r="O739" s="36" t="str">
        <f ca="1">IFERROR(__xludf.DUMMYFUNCTION("""COMPUTED_VALUE"""),"")</f>
        <v/>
      </c>
      <c r="P739" s="36" t="str">
        <f ca="1">IFERROR(__xludf.DUMMYFUNCTION("""COMPUTED_VALUE"""),"")</f>
        <v/>
      </c>
      <c r="Q739" s="36" t="str">
        <f ca="1">IFERROR(__xludf.DUMMYFUNCTION("""COMPUTED_VALUE"""),"")</f>
        <v/>
      </c>
      <c r="R739" s="36" t="str">
        <f ca="1">IFERROR(__xludf.DUMMYFUNCTION("""COMPUTED_VALUE"""),"")</f>
        <v/>
      </c>
      <c r="S739" s="36" t="str">
        <f ca="1">IFERROR(__xludf.DUMMYFUNCTION("""COMPUTED_VALUE"""),"")</f>
        <v/>
      </c>
      <c r="T739" s="36" t="str">
        <f ca="1">IFERROR(__xludf.DUMMYFUNCTION("""COMPUTED_VALUE"""),"")</f>
        <v/>
      </c>
      <c r="U739" s="36" t="str">
        <f ca="1">IFERROR(__xludf.DUMMYFUNCTION("""COMPUTED_VALUE"""),"")</f>
        <v/>
      </c>
      <c r="V739" s="36" t="str">
        <f ca="1">IFERROR(__xludf.DUMMYFUNCTION("""COMPUTED_VALUE"""),"")</f>
        <v/>
      </c>
      <c r="W739" s="36" t="str">
        <f ca="1">IFERROR(__xludf.DUMMYFUNCTION("""COMPUTED_VALUE"""),"")</f>
        <v/>
      </c>
      <c r="X739" s="36"/>
      <c r="Y739" s="36"/>
      <c r="Z739" s="36"/>
    </row>
    <row r="740" spans="1:26" ht="12.75" hidden="1">
      <c r="A740" s="36" t="str">
        <f ca="1">IFERROR(__xludf.DUMMYFUNCTION("""COMPUTED_VALUE"""),"")</f>
        <v/>
      </c>
      <c r="B740" s="36" t="str">
        <f ca="1">IFERROR(__xludf.DUMMYFUNCTION("""COMPUTED_VALUE"""),"")</f>
        <v/>
      </c>
      <c r="C740" s="36" t="str">
        <f ca="1">IFERROR(__xludf.DUMMYFUNCTION("""COMPUTED_VALUE"""),"")</f>
        <v/>
      </c>
      <c r="D740" s="36" t="str">
        <f ca="1">IFERROR(__xludf.DUMMYFUNCTION("""COMPUTED_VALUE"""),"")</f>
        <v/>
      </c>
      <c r="E740" s="36" t="str">
        <f ca="1">IFERROR(__xludf.DUMMYFUNCTION("""COMPUTED_VALUE"""),"")</f>
        <v/>
      </c>
      <c r="F740" s="36" t="str">
        <f ca="1">IFERROR(__xludf.DUMMYFUNCTION("""COMPUTED_VALUE"""),"")</f>
        <v/>
      </c>
      <c r="G740" s="36" t="str">
        <f ca="1">IFERROR(__xludf.DUMMYFUNCTION("""COMPUTED_VALUE"""),"")</f>
        <v/>
      </c>
      <c r="H740" s="36" t="str">
        <f ca="1">IFERROR(__xludf.DUMMYFUNCTION("""COMPUTED_VALUE"""),"")</f>
        <v/>
      </c>
      <c r="I740" s="36" t="str">
        <f ca="1">IFERROR(__xludf.DUMMYFUNCTION("""COMPUTED_VALUE"""),"")</f>
        <v/>
      </c>
      <c r="J740" s="36" t="str">
        <f ca="1">IFERROR(__xludf.DUMMYFUNCTION("""COMPUTED_VALUE"""),"")</f>
        <v/>
      </c>
      <c r="K740" s="36" t="str">
        <f ca="1">IFERROR(__xludf.DUMMYFUNCTION("""COMPUTED_VALUE"""),"")</f>
        <v/>
      </c>
      <c r="L740" s="36" t="str">
        <f ca="1">IFERROR(__xludf.DUMMYFUNCTION("""COMPUTED_VALUE"""),"")</f>
        <v/>
      </c>
      <c r="M740" s="36" t="str">
        <f ca="1">IFERROR(__xludf.DUMMYFUNCTION("""COMPUTED_VALUE"""),"")</f>
        <v/>
      </c>
      <c r="N740" s="36" t="str">
        <f ca="1">IFERROR(__xludf.DUMMYFUNCTION("""COMPUTED_VALUE"""),"")</f>
        <v/>
      </c>
      <c r="O740" s="36" t="str">
        <f ca="1">IFERROR(__xludf.DUMMYFUNCTION("""COMPUTED_VALUE"""),"")</f>
        <v/>
      </c>
      <c r="P740" s="36" t="str">
        <f ca="1">IFERROR(__xludf.DUMMYFUNCTION("""COMPUTED_VALUE"""),"")</f>
        <v/>
      </c>
      <c r="Q740" s="36" t="str">
        <f ca="1">IFERROR(__xludf.DUMMYFUNCTION("""COMPUTED_VALUE"""),"")</f>
        <v/>
      </c>
      <c r="R740" s="36" t="str">
        <f ca="1">IFERROR(__xludf.DUMMYFUNCTION("""COMPUTED_VALUE"""),"")</f>
        <v/>
      </c>
      <c r="S740" s="36" t="str">
        <f ca="1">IFERROR(__xludf.DUMMYFUNCTION("""COMPUTED_VALUE"""),"")</f>
        <v/>
      </c>
      <c r="T740" s="36" t="str">
        <f ca="1">IFERROR(__xludf.DUMMYFUNCTION("""COMPUTED_VALUE"""),"")</f>
        <v/>
      </c>
      <c r="U740" s="36" t="str">
        <f ca="1">IFERROR(__xludf.DUMMYFUNCTION("""COMPUTED_VALUE"""),"")</f>
        <v/>
      </c>
      <c r="V740" s="36" t="str">
        <f ca="1">IFERROR(__xludf.DUMMYFUNCTION("""COMPUTED_VALUE"""),"")</f>
        <v/>
      </c>
      <c r="W740" s="36" t="str">
        <f ca="1">IFERROR(__xludf.DUMMYFUNCTION("""COMPUTED_VALUE"""),"")</f>
        <v/>
      </c>
      <c r="X740" s="36"/>
      <c r="Y740" s="36"/>
      <c r="Z740" s="36"/>
    </row>
    <row r="741" spans="1:26" ht="12.75" hidden="1">
      <c r="A741" s="36" t="str">
        <f ca="1">IFERROR(__xludf.DUMMYFUNCTION("""COMPUTED_VALUE"""),"")</f>
        <v/>
      </c>
      <c r="B741" s="36" t="str">
        <f ca="1">IFERROR(__xludf.DUMMYFUNCTION("""COMPUTED_VALUE"""),"")</f>
        <v/>
      </c>
      <c r="C741" s="36" t="str">
        <f ca="1">IFERROR(__xludf.DUMMYFUNCTION("""COMPUTED_VALUE"""),"")</f>
        <v/>
      </c>
      <c r="D741" s="36" t="str">
        <f ca="1">IFERROR(__xludf.DUMMYFUNCTION("""COMPUTED_VALUE"""),"")</f>
        <v/>
      </c>
      <c r="E741" s="36" t="str">
        <f ca="1">IFERROR(__xludf.DUMMYFUNCTION("""COMPUTED_VALUE"""),"")</f>
        <v/>
      </c>
      <c r="F741" s="36" t="str">
        <f ca="1">IFERROR(__xludf.DUMMYFUNCTION("""COMPUTED_VALUE"""),"")</f>
        <v/>
      </c>
      <c r="G741" s="36" t="str">
        <f ca="1">IFERROR(__xludf.DUMMYFUNCTION("""COMPUTED_VALUE"""),"")</f>
        <v/>
      </c>
      <c r="H741" s="36" t="str">
        <f ca="1">IFERROR(__xludf.DUMMYFUNCTION("""COMPUTED_VALUE"""),"")</f>
        <v/>
      </c>
      <c r="I741" s="36" t="str">
        <f ca="1">IFERROR(__xludf.DUMMYFUNCTION("""COMPUTED_VALUE"""),"")</f>
        <v/>
      </c>
      <c r="J741" s="36" t="str">
        <f ca="1">IFERROR(__xludf.DUMMYFUNCTION("""COMPUTED_VALUE"""),"")</f>
        <v/>
      </c>
      <c r="K741" s="36" t="str">
        <f ca="1">IFERROR(__xludf.DUMMYFUNCTION("""COMPUTED_VALUE"""),"")</f>
        <v/>
      </c>
      <c r="L741" s="36" t="str">
        <f ca="1">IFERROR(__xludf.DUMMYFUNCTION("""COMPUTED_VALUE"""),"")</f>
        <v/>
      </c>
      <c r="M741" s="36" t="str">
        <f ca="1">IFERROR(__xludf.DUMMYFUNCTION("""COMPUTED_VALUE"""),"")</f>
        <v/>
      </c>
      <c r="N741" s="36" t="str">
        <f ca="1">IFERROR(__xludf.DUMMYFUNCTION("""COMPUTED_VALUE"""),"")</f>
        <v/>
      </c>
      <c r="O741" s="36" t="str">
        <f ca="1">IFERROR(__xludf.DUMMYFUNCTION("""COMPUTED_VALUE"""),"")</f>
        <v/>
      </c>
      <c r="P741" s="36" t="str">
        <f ca="1">IFERROR(__xludf.DUMMYFUNCTION("""COMPUTED_VALUE"""),"")</f>
        <v/>
      </c>
      <c r="Q741" s="36" t="str">
        <f ca="1">IFERROR(__xludf.DUMMYFUNCTION("""COMPUTED_VALUE"""),"")</f>
        <v/>
      </c>
      <c r="R741" s="36" t="str">
        <f ca="1">IFERROR(__xludf.DUMMYFUNCTION("""COMPUTED_VALUE"""),"")</f>
        <v/>
      </c>
      <c r="S741" s="36" t="str">
        <f ca="1">IFERROR(__xludf.DUMMYFUNCTION("""COMPUTED_VALUE"""),"")</f>
        <v/>
      </c>
      <c r="T741" s="36" t="str">
        <f ca="1">IFERROR(__xludf.DUMMYFUNCTION("""COMPUTED_VALUE"""),"")</f>
        <v/>
      </c>
      <c r="U741" s="36" t="str">
        <f ca="1">IFERROR(__xludf.DUMMYFUNCTION("""COMPUTED_VALUE"""),"")</f>
        <v/>
      </c>
      <c r="V741" s="36" t="str">
        <f ca="1">IFERROR(__xludf.DUMMYFUNCTION("""COMPUTED_VALUE"""),"")</f>
        <v/>
      </c>
      <c r="W741" s="36" t="str">
        <f ca="1">IFERROR(__xludf.DUMMYFUNCTION("""COMPUTED_VALUE"""),"")</f>
        <v/>
      </c>
      <c r="X741" s="36"/>
      <c r="Y741" s="36"/>
      <c r="Z741" s="36"/>
    </row>
    <row r="742" spans="1:26" ht="12.75" hidden="1">
      <c r="A742" s="36" t="str">
        <f ca="1">IFERROR(__xludf.DUMMYFUNCTION("""COMPUTED_VALUE"""),"")</f>
        <v/>
      </c>
      <c r="B742" s="36" t="str">
        <f ca="1">IFERROR(__xludf.DUMMYFUNCTION("""COMPUTED_VALUE"""),"")</f>
        <v/>
      </c>
      <c r="C742" s="36" t="str">
        <f ca="1">IFERROR(__xludf.DUMMYFUNCTION("""COMPUTED_VALUE"""),"")</f>
        <v/>
      </c>
      <c r="D742" s="36" t="str">
        <f ca="1">IFERROR(__xludf.DUMMYFUNCTION("""COMPUTED_VALUE"""),"")</f>
        <v/>
      </c>
      <c r="E742" s="36" t="str">
        <f ca="1">IFERROR(__xludf.DUMMYFUNCTION("""COMPUTED_VALUE"""),"")</f>
        <v/>
      </c>
      <c r="F742" s="36" t="str">
        <f ca="1">IFERROR(__xludf.DUMMYFUNCTION("""COMPUTED_VALUE"""),"")</f>
        <v/>
      </c>
      <c r="G742" s="36" t="str">
        <f ca="1">IFERROR(__xludf.DUMMYFUNCTION("""COMPUTED_VALUE"""),"")</f>
        <v/>
      </c>
      <c r="H742" s="36" t="str">
        <f ca="1">IFERROR(__xludf.DUMMYFUNCTION("""COMPUTED_VALUE"""),"")</f>
        <v/>
      </c>
      <c r="I742" s="36" t="str">
        <f ca="1">IFERROR(__xludf.DUMMYFUNCTION("""COMPUTED_VALUE"""),"")</f>
        <v/>
      </c>
      <c r="J742" s="36" t="str">
        <f ca="1">IFERROR(__xludf.DUMMYFUNCTION("""COMPUTED_VALUE"""),"")</f>
        <v/>
      </c>
      <c r="K742" s="36" t="str">
        <f ca="1">IFERROR(__xludf.DUMMYFUNCTION("""COMPUTED_VALUE"""),"")</f>
        <v/>
      </c>
      <c r="L742" s="36" t="str">
        <f ca="1">IFERROR(__xludf.DUMMYFUNCTION("""COMPUTED_VALUE"""),"")</f>
        <v/>
      </c>
      <c r="M742" s="36" t="str">
        <f ca="1">IFERROR(__xludf.DUMMYFUNCTION("""COMPUTED_VALUE"""),"")</f>
        <v/>
      </c>
      <c r="N742" s="36" t="str">
        <f ca="1">IFERROR(__xludf.DUMMYFUNCTION("""COMPUTED_VALUE"""),"")</f>
        <v/>
      </c>
      <c r="O742" s="36" t="str">
        <f ca="1">IFERROR(__xludf.DUMMYFUNCTION("""COMPUTED_VALUE"""),"")</f>
        <v/>
      </c>
      <c r="P742" s="36" t="str">
        <f ca="1">IFERROR(__xludf.DUMMYFUNCTION("""COMPUTED_VALUE"""),"")</f>
        <v/>
      </c>
      <c r="Q742" s="36" t="str">
        <f ca="1">IFERROR(__xludf.DUMMYFUNCTION("""COMPUTED_VALUE"""),"")</f>
        <v/>
      </c>
      <c r="R742" s="36" t="str">
        <f ca="1">IFERROR(__xludf.DUMMYFUNCTION("""COMPUTED_VALUE"""),"")</f>
        <v/>
      </c>
      <c r="S742" s="36" t="str">
        <f ca="1">IFERROR(__xludf.DUMMYFUNCTION("""COMPUTED_VALUE"""),"")</f>
        <v/>
      </c>
      <c r="T742" s="36" t="str">
        <f ca="1">IFERROR(__xludf.DUMMYFUNCTION("""COMPUTED_VALUE"""),"")</f>
        <v/>
      </c>
      <c r="U742" s="36" t="str">
        <f ca="1">IFERROR(__xludf.DUMMYFUNCTION("""COMPUTED_VALUE"""),"")</f>
        <v/>
      </c>
      <c r="V742" s="36" t="str">
        <f ca="1">IFERROR(__xludf.DUMMYFUNCTION("""COMPUTED_VALUE"""),"")</f>
        <v/>
      </c>
      <c r="W742" s="36" t="str">
        <f ca="1">IFERROR(__xludf.DUMMYFUNCTION("""COMPUTED_VALUE"""),"")</f>
        <v/>
      </c>
      <c r="X742" s="36"/>
      <c r="Y742" s="36"/>
      <c r="Z742" s="36"/>
    </row>
    <row r="743" spans="1:26" ht="12.75" hidden="1">
      <c r="A743" s="36" t="str">
        <f ca="1">IFERROR(__xludf.DUMMYFUNCTION("""COMPUTED_VALUE"""),"")</f>
        <v/>
      </c>
      <c r="B743" s="36" t="str">
        <f ca="1">IFERROR(__xludf.DUMMYFUNCTION("""COMPUTED_VALUE"""),"")</f>
        <v/>
      </c>
      <c r="C743" s="36" t="str">
        <f ca="1">IFERROR(__xludf.DUMMYFUNCTION("""COMPUTED_VALUE"""),"")</f>
        <v/>
      </c>
      <c r="D743" s="36" t="str">
        <f ca="1">IFERROR(__xludf.DUMMYFUNCTION("""COMPUTED_VALUE"""),"")</f>
        <v/>
      </c>
      <c r="E743" s="36" t="str">
        <f ca="1">IFERROR(__xludf.DUMMYFUNCTION("""COMPUTED_VALUE"""),"")</f>
        <v/>
      </c>
      <c r="F743" s="36" t="str">
        <f ca="1">IFERROR(__xludf.DUMMYFUNCTION("""COMPUTED_VALUE"""),"")</f>
        <v/>
      </c>
      <c r="G743" s="36" t="str">
        <f ca="1">IFERROR(__xludf.DUMMYFUNCTION("""COMPUTED_VALUE"""),"")</f>
        <v/>
      </c>
      <c r="H743" s="36" t="str">
        <f ca="1">IFERROR(__xludf.DUMMYFUNCTION("""COMPUTED_VALUE"""),"")</f>
        <v/>
      </c>
      <c r="I743" s="36" t="str">
        <f ca="1">IFERROR(__xludf.DUMMYFUNCTION("""COMPUTED_VALUE"""),"")</f>
        <v/>
      </c>
      <c r="J743" s="36" t="str">
        <f ca="1">IFERROR(__xludf.DUMMYFUNCTION("""COMPUTED_VALUE"""),"")</f>
        <v/>
      </c>
      <c r="K743" s="36" t="str">
        <f ca="1">IFERROR(__xludf.DUMMYFUNCTION("""COMPUTED_VALUE"""),"")</f>
        <v/>
      </c>
      <c r="L743" s="36" t="str">
        <f ca="1">IFERROR(__xludf.DUMMYFUNCTION("""COMPUTED_VALUE"""),"")</f>
        <v/>
      </c>
      <c r="M743" s="36" t="str">
        <f ca="1">IFERROR(__xludf.DUMMYFUNCTION("""COMPUTED_VALUE"""),"")</f>
        <v/>
      </c>
      <c r="N743" s="36" t="str">
        <f ca="1">IFERROR(__xludf.DUMMYFUNCTION("""COMPUTED_VALUE"""),"")</f>
        <v/>
      </c>
      <c r="O743" s="36" t="str">
        <f ca="1">IFERROR(__xludf.DUMMYFUNCTION("""COMPUTED_VALUE"""),"")</f>
        <v/>
      </c>
      <c r="P743" s="36" t="str">
        <f ca="1">IFERROR(__xludf.DUMMYFUNCTION("""COMPUTED_VALUE"""),"")</f>
        <v/>
      </c>
      <c r="Q743" s="36" t="str">
        <f ca="1">IFERROR(__xludf.DUMMYFUNCTION("""COMPUTED_VALUE"""),"")</f>
        <v/>
      </c>
      <c r="R743" s="36" t="str">
        <f ca="1">IFERROR(__xludf.DUMMYFUNCTION("""COMPUTED_VALUE"""),"")</f>
        <v/>
      </c>
      <c r="S743" s="36" t="str">
        <f ca="1">IFERROR(__xludf.DUMMYFUNCTION("""COMPUTED_VALUE"""),"")</f>
        <v/>
      </c>
      <c r="T743" s="36" t="str">
        <f ca="1">IFERROR(__xludf.DUMMYFUNCTION("""COMPUTED_VALUE"""),"")</f>
        <v/>
      </c>
      <c r="U743" s="36" t="str">
        <f ca="1">IFERROR(__xludf.DUMMYFUNCTION("""COMPUTED_VALUE"""),"")</f>
        <v/>
      </c>
      <c r="V743" s="36" t="str">
        <f ca="1">IFERROR(__xludf.DUMMYFUNCTION("""COMPUTED_VALUE"""),"")</f>
        <v/>
      </c>
      <c r="W743" s="36" t="str">
        <f ca="1">IFERROR(__xludf.DUMMYFUNCTION("""COMPUTED_VALUE"""),"")</f>
        <v/>
      </c>
      <c r="X743" s="36"/>
      <c r="Y743" s="36"/>
      <c r="Z743" s="36"/>
    </row>
    <row r="744" spans="1:26" ht="12.75" hidden="1">
      <c r="A744" s="36" t="str">
        <f ca="1">IFERROR(__xludf.DUMMYFUNCTION("""COMPUTED_VALUE"""),"")</f>
        <v/>
      </c>
      <c r="B744" s="36" t="str">
        <f ca="1">IFERROR(__xludf.DUMMYFUNCTION("""COMPUTED_VALUE"""),"")</f>
        <v/>
      </c>
      <c r="C744" s="36" t="str">
        <f ca="1">IFERROR(__xludf.DUMMYFUNCTION("""COMPUTED_VALUE"""),"")</f>
        <v/>
      </c>
      <c r="D744" s="36" t="str">
        <f ca="1">IFERROR(__xludf.DUMMYFUNCTION("""COMPUTED_VALUE"""),"")</f>
        <v/>
      </c>
      <c r="E744" s="36" t="str">
        <f ca="1">IFERROR(__xludf.DUMMYFUNCTION("""COMPUTED_VALUE"""),"")</f>
        <v/>
      </c>
      <c r="F744" s="36" t="str">
        <f ca="1">IFERROR(__xludf.DUMMYFUNCTION("""COMPUTED_VALUE"""),"")</f>
        <v/>
      </c>
      <c r="G744" s="36" t="str">
        <f ca="1">IFERROR(__xludf.DUMMYFUNCTION("""COMPUTED_VALUE"""),"")</f>
        <v/>
      </c>
      <c r="H744" s="36" t="str">
        <f ca="1">IFERROR(__xludf.DUMMYFUNCTION("""COMPUTED_VALUE"""),"")</f>
        <v/>
      </c>
      <c r="I744" s="36" t="str">
        <f ca="1">IFERROR(__xludf.DUMMYFUNCTION("""COMPUTED_VALUE"""),"")</f>
        <v/>
      </c>
      <c r="J744" s="36" t="str">
        <f ca="1">IFERROR(__xludf.DUMMYFUNCTION("""COMPUTED_VALUE"""),"")</f>
        <v/>
      </c>
      <c r="K744" s="36" t="str">
        <f ca="1">IFERROR(__xludf.DUMMYFUNCTION("""COMPUTED_VALUE"""),"")</f>
        <v/>
      </c>
      <c r="L744" s="36" t="str">
        <f ca="1">IFERROR(__xludf.DUMMYFUNCTION("""COMPUTED_VALUE"""),"")</f>
        <v/>
      </c>
      <c r="M744" s="36" t="str">
        <f ca="1">IFERROR(__xludf.DUMMYFUNCTION("""COMPUTED_VALUE"""),"")</f>
        <v/>
      </c>
      <c r="N744" s="36" t="str">
        <f ca="1">IFERROR(__xludf.DUMMYFUNCTION("""COMPUTED_VALUE"""),"")</f>
        <v/>
      </c>
      <c r="O744" s="36" t="str">
        <f ca="1">IFERROR(__xludf.DUMMYFUNCTION("""COMPUTED_VALUE"""),"")</f>
        <v/>
      </c>
      <c r="P744" s="36" t="str">
        <f ca="1">IFERROR(__xludf.DUMMYFUNCTION("""COMPUTED_VALUE"""),"")</f>
        <v/>
      </c>
      <c r="Q744" s="36" t="str">
        <f ca="1">IFERROR(__xludf.DUMMYFUNCTION("""COMPUTED_VALUE"""),"")</f>
        <v/>
      </c>
      <c r="R744" s="36" t="str">
        <f ca="1">IFERROR(__xludf.DUMMYFUNCTION("""COMPUTED_VALUE"""),"")</f>
        <v/>
      </c>
      <c r="S744" s="36" t="str">
        <f ca="1">IFERROR(__xludf.DUMMYFUNCTION("""COMPUTED_VALUE"""),"")</f>
        <v/>
      </c>
      <c r="T744" s="36" t="str">
        <f ca="1">IFERROR(__xludf.DUMMYFUNCTION("""COMPUTED_VALUE"""),"")</f>
        <v/>
      </c>
      <c r="U744" s="36" t="str">
        <f ca="1">IFERROR(__xludf.DUMMYFUNCTION("""COMPUTED_VALUE"""),"")</f>
        <v/>
      </c>
      <c r="V744" s="36" t="str">
        <f ca="1">IFERROR(__xludf.DUMMYFUNCTION("""COMPUTED_VALUE"""),"")</f>
        <v/>
      </c>
      <c r="W744" s="36" t="str">
        <f ca="1">IFERROR(__xludf.DUMMYFUNCTION("""COMPUTED_VALUE"""),"")</f>
        <v/>
      </c>
      <c r="X744" s="36"/>
      <c r="Y744" s="36"/>
      <c r="Z744" s="36"/>
    </row>
    <row r="745" spans="1:26" ht="12.75" hidden="1">
      <c r="A745" s="36" t="str">
        <f ca="1">IFERROR(__xludf.DUMMYFUNCTION("""COMPUTED_VALUE"""),"")</f>
        <v/>
      </c>
      <c r="B745" s="36" t="str">
        <f ca="1">IFERROR(__xludf.DUMMYFUNCTION("""COMPUTED_VALUE"""),"")</f>
        <v/>
      </c>
      <c r="C745" s="36" t="str">
        <f ca="1">IFERROR(__xludf.DUMMYFUNCTION("""COMPUTED_VALUE"""),"")</f>
        <v/>
      </c>
      <c r="D745" s="36" t="str">
        <f ca="1">IFERROR(__xludf.DUMMYFUNCTION("""COMPUTED_VALUE"""),"")</f>
        <v/>
      </c>
      <c r="E745" s="36" t="str">
        <f ca="1">IFERROR(__xludf.DUMMYFUNCTION("""COMPUTED_VALUE"""),"")</f>
        <v/>
      </c>
      <c r="F745" s="36" t="str">
        <f ca="1">IFERROR(__xludf.DUMMYFUNCTION("""COMPUTED_VALUE"""),"")</f>
        <v/>
      </c>
      <c r="G745" s="36" t="str">
        <f ca="1">IFERROR(__xludf.DUMMYFUNCTION("""COMPUTED_VALUE"""),"")</f>
        <v/>
      </c>
      <c r="H745" s="36" t="str">
        <f ca="1">IFERROR(__xludf.DUMMYFUNCTION("""COMPUTED_VALUE"""),"")</f>
        <v/>
      </c>
      <c r="I745" s="36" t="str">
        <f ca="1">IFERROR(__xludf.DUMMYFUNCTION("""COMPUTED_VALUE"""),"")</f>
        <v/>
      </c>
      <c r="J745" s="36" t="str">
        <f ca="1">IFERROR(__xludf.DUMMYFUNCTION("""COMPUTED_VALUE"""),"")</f>
        <v/>
      </c>
      <c r="K745" s="36" t="str">
        <f ca="1">IFERROR(__xludf.DUMMYFUNCTION("""COMPUTED_VALUE"""),"")</f>
        <v/>
      </c>
      <c r="L745" s="36" t="str">
        <f ca="1">IFERROR(__xludf.DUMMYFUNCTION("""COMPUTED_VALUE"""),"")</f>
        <v/>
      </c>
      <c r="M745" s="36" t="str">
        <f ca="1">IFERROR(__xludf.DUMMYFUNCTION("""COMPUTED_VALUE"""),"")</f>
        <v/>
      </c>
      <c r="N745" s="36" t="str">
        <f ca="1">IFERROR(__xludf.DUMMYFUNCTION("""COMPUTED_VALUE"""),"")</f>
        <v/>
      </c>
      <c r="O745" s="36" t="str">
        <f ca="1">IFERROR(__xludf.DUMMYFUNCTION("""COMPUTED_VALUE"""),"")</f>
        <v/>
      </c>
      <c r="P745" s="36" t="str">
        <f ca="1">IFERROR(__xludf.DUMMYFUNCTION("""COMPUTED_VALUE"""),"")</f>
        <v/>
      </c>
      <c r="Q745" s="36" t="str">
        <f ca="1">IFERROR(__xludf.DUMMYFUNCTION("""COMPUTED_VALUE"""),"")</f>
        <v/>
      </c>
      <c r="R745" s="36" t="str">
        <f ca="1">IFERROR(__xludf.DUMMYFUNCTION("""COMPUTED_VALUE"""),"")</f>
        <v/>
      </c>
      <c r="S745" s="36" t="str">
        <f ca="1">IFERROR(__xludf.DUMMYFUNCTION("""COMPUTED_VALUE"""),"")</f>
        <v/>
      </c>
      <c r="T745" s="36" t="str">
        <f ca="1">IFERROR(__xludf.DUMMYFUNCTION("""COMPUTED_VALUE"""),"")</f>
        <v/>
      </c>
      <c r="U745" s="36" t="str">
        <f ca="1">IFERROR(__xludf.DUMMYFUNCTION("""COMPUTED_VALUE"""),"")</f>
        <v/>
      </c>
      <c r="V745" s="36" t="str">
        <f ca="1">IFERROR(__xludf.DUMMYFUNCTION("""COMPUTED_VALUE"""),"")</f>
        <v/>
      </c>
      <c r="W745" s="36" t="str">
        <f ca="1">IFERROR(__xludf.DUMMYFUNCTION("""COMPUTED_VALUE"""),"")</f>
        <v/>
      </c>
      <c r="X745" s="36"/>
      <c r="Y745" s="36"/>
      <c r="Z745" s="36"/>
    </row>
    <row r="746" spans="1:26" ht="12.75" hidden="1">
      <c r="A746" s="36" t="str">
        <f ca="1">IFERROR(__xludf.DUMMYFUNCTION("""COMPUTED_VALUE"""),"")</f>
        <v/>
      </c>
      <c r="B746" s="36" t="str">
        <f ca="1">IFERROR(__xludf.DUMMYFUNCTION("""COMPUTED_VALUE"""),"")</f>
        <v/>
      </c>
      <c r="C746" s="36" t="str">
        <f ca="1">IFERROR(__xludf.DUMMYFUNCTION("""COMPUTED_VALUE"""),"")</f>
        <v/>
      </c>
      <c r="D746" s="36" t="str">
        <f ca="1">IFERROR(__xludf.DUMMYFUNCTION("""COMPUTED_VALUE"""),"")</f>
        <v/>
      </c>
      <c r="E746" s="36" t="str">
        <f ca="1">IFERROR(__xludf.DUMMYFUNCTION("""COMPUTED_VALUE"""),"")</f>
        <v/>
      </c>
      <c r="F746" s="36" t="str">
        <f ca="1">IFERROR(__xludf.DUMMYFUNCTION("""COMPUTED_VALUE"""),"")</f>
        <v/>
      </c>
      <c r="G746" s="36" t="str">
        <f ca="1">IFERROR(__xludf.DUMMYFUNCTION("""COMPUTED_VALUE"""),"")</f>
        <v/>
      </c>
      <c r="H746" s="36" t="str">
        <f ca="1">IFERROR(__xludf.DUMMYFUNCTION("""COMPUTED_VALUE"""),"")</f>
        <v/>
      </c>
      <c r="I746" s="36" t="str">
        <f ca="1">IFERROR(__xludf.DUMMYFUNCTION("""COMPUTED_VALUE"""),"")</f>
        <v/>
      </c>
      <c r="J746" s="36" t="str">
        <f ca="1">IFERROR(__xludf.DUMMYFUNCTION("""COMPUTED_VALUE"""),"")</f>
        <v/>
      </c>
      <c r="K746" s="36" t="str">
        <f ca="1">IFERROR(__xludf.DUMMYFUNCTION("""COMPUTED_VALUE"""),"")</f>
        <v/>
      </c>
      <c r="L746" s="36" t="str">
        <f ca="1">IFERROR(__xludf.DUMMYFUNCTION("""COMPUTED_VALUE"""),"")</f>
        <v/>
      </c>
      <c r="M746" s="36" t="str">
        <f ca="1">IFERROR(__xludf.DUMMYFUNCTION("""COMPUTED_VALUE"""),"")</f>
        <v/>
      </c>
      <c r="N746" s="36" t="str">
        <f ca="1">IFERROR(__xludf.DUMMYFUNCTION("""COMPUTED_VALUE"""),"")</f>
        <v/>
      </c>
      <c r="O746" s="36" t="str">
        <f ca="1">IFERROR(__xludf.DUMMYFUNCTION("""COMPUTED_VALUE"""),"")</f>
        <v/>
      </c>
      <c r="P746" s="36" t="str">
        <f ca="1">IFERROR(__xludf.DUMMYFUNCTION("""COMPUTED_VALUE"""),"")</f>
        <v/>
      </c>
      <c r="Q746" s="36" t="str">
        <f ca="1">IFERROR(__xludf.DUMMYFUNCTION("""COMPUTED_VALUE"""),"")</f>
        <v/>
      </c>
      <c r="R746" s="36" t="str">
        <f ca="1">IFERROR(__xludf.DUMMYFUNCTION("""COMPUTED_VALUE"""),"")</f>
        <v/>
      </c>
      <c r="S746" s="36" t="str">
        <f ca="1">IFERROR(__xludf.DUMMYFUNCTION("""COMPUTED_VALUE"""),"")</f>
        <v/>
      </c>
      <c r="T746" s="36" t="str">
        <f ca="1">IFERROR(__xludf.DUMMYFUNCTION("""COMPUTED_VALUE"""),"")</f>
        <v/>
      </c>
      <c r="U746" s="36" t="str">
        <f ca="1">IFERROR(__xludf.DUMMYFUNCTION("""COMPUTED_VALUE"""),"")</f>
        <v/>
      </c>
      <c r="V746" s="36" t="str">
        <f ca="1">IFERROR(__xludf.DUMMYFUNCTION("""COMPUTED_VALUE"""),"")</f>
        <v/>
      </c>
      <c r="W746" s="36" t="str">
        <f ca="1">IFERROR(__xludf.DUMMYFUNCTION("""COMPUTED_VALUE"""),"")</f>
        <v/>
      </c>
      <c r="X746" s="36"/>
      <c r="Y746" s="36"/>
      <c r="Z746" s="36"/>
    </row>
    <row r="747" spans="1:26" ht="12.75" hidden="1">
      <c r="A747" s="36" t="str">
        <f ca="1">IFERROR(__xludf.DUMMYFUNCTION("""COMPUTED_VALUE"""),"")</f>
        <v/>
      </c>
      <c r="B747" s="36" t="str">
        <f ca="1">IFERROR(__xludf.DUMMYFUNCTION("""COMPUTED_VALUE"""),"")</f>
        <v/>
      </c>
      <c r="C747" s="36" t="str">
        <f ca="1">IFERROR(__xludf.DUMMYFUNCTION("""COMPUTED_VALUE"""),"")</f>
        <v/>
      </c>
      <c r="D747" s="36" t="str">
        <f ca="1">IFERROR(__xludf.DUMMYFUNCTION("""COMPUTED_VALUE"""),"")</f>
        <v/>
      </c>
      <c r="E747" s="36" t="str">
        <f ca="1">IFERROR(__xludf.DUMMYFUNCTION("""COMPUTED_VALUE"""),"")</f>
        <v/>
      </c>
      <c r="F747" s="36" t="str">
        <f ca="1">IFERROR(__xludf.DUMMYFUNCTION("""COMPUTED_VALUE"""),"")</f>
        <v/>
      </c>
      <c r="G747" s="36" t="str">
        <f ca="1">IFERROR(__xludf.DUMMYFUNCTION("""COMPUTED_VALUE"""),"")</f>
        <v/>
      </c>
      <c r="H747" s="36" t="str">
        <f ca="1">IFERROR(__xludf.DUMMYFUNCTION("""COMPUTED_VALUE"""),"")</f>
        <v/>
      </c>
      <c r="I747" s="36" t="str">
        <f ca="1">IFERROR(__xludf.DUMMYFUNCTION("""COMPUTED_VALUE"""),"")</f>
        <v/>
      </c>
      <c r="J747" s="36" t="str">
        <f ca="1">IFERROR(__xludf.DUMMYFUNCTION("""COMPUTED_VALUE"""),"")</f>
        <v/>
      </c>
      <c r="K747" s="36" t="str">
        <f ca="1">IFERROR(__xludf.DUMMYFUNCTION("""COMPUTED_VALUE"""),"")</f>
        <v/>
      </c>
      <c r="L747" s="36" t="str">
        <f ca="1">IFERROR(__xludf.DUMMYFUNCTION("""COMPUTED_VALUE"""),"")</f>
        <v/>
      </c>
      <c r="M747" s="36" t="str">
        <f ca="1">IFERROR(__xludf.DUMMYFUNCTION("""COMPUTED_VALUE"""),"")</f>
        <v/>
      </c>
      <c r="N747" s="36" t="str">
        <f ca="1">IFERROR(__xludf.DUMMYFUNCTION("""COMPUTED_VALUE"""),"")</f>
        <v/>
      </c>
      <c r="O747" s="36" t="str">
        <f ca="1">IFERROR(__xludf.DUMMYFUNCTION("""COMPUTED_VALUE"""),"")</f>
        <v/>
      </c>
      <c r="P747" s="36" t="str">
        <f ca="1">IFERROR(__xludf.DUMMYFUNCTION("""COMPUTED_VALUE"""),"")</f>
        <v/>
      </c>
      <c r="Q747" s="36" t="str">
        <f ca="1">IFERROR(__xludf.DUMMYFUNCTION("""COMPUTED_VALUE"""),"")</f>
        <v/>
      </c>
      <c r="R747" s="36" t="str">
        <f ca="1">IFERROR(__xludf.DUMMYFUNCTION("""COMPUTED_VALUE"""),"")</f>
        <v/>
      </c>
      <c r="S747" s="36" t="str">
        <f ca="1">IFERROR(__xludf.DUMMYFUNCTION("""COMPUTED_VALUE"""),"")</f>
        <v/>
      </c>
      <c r="T747" s="36" t="str">
        <f ca="1">IFERROR(__xludf.DUMMYFUNCTION("""COMPUTED_VALUE"""),"")</f>
        <v/>
      </c>
      <c r="U747" s="36" t="str">
        <f ca="1">IFERROR(__xludf.DUMMYFUNCTION("""COMPUTED_VALUE"""),"")</f>
        <v/>
      </c>
      <c r="V747" s="36" t="str">
        <f ca="1">IFERROR(__xludf.DUMMYFUNCTION("""COMPUTED_VALUE"""),"")</f>
        <v/>
      </c>
      <c r="W747" s="36" t="str">
        <f ca="1">IFERROR(__xludf.DUMMYFUNCTION("""COMPUTED_VALUE"""),"")</f>
        <v/>
      </c>
      <c r="X747" s="36"/>
      <c r="Y747" s="36"/>
      <c r="Z747" s="36"/>
    </row>
    <row r="748" spans="1:26" ht="12.75" hidden="1">
      <c r="A748" s="36" t="str">
        <f ca="1">IFERROR(__xludf.DUMMYFUNCTION("""COMPUTED_VALUE"""),"")</f>
        <v/>
      </c>
      <c r="B748" s="36" t="str">
        <f ca="1">IFERROR(__xludf.DUMMYFUNCTION("""COMPUTED_VALUE"""),"")</f>
        <v/>
      </c>
      <c r="C748" s="36" t="str">
        <f ca="1">IFERROR(__xludf.DUMMYFUNCTION("""COMPUTED_VALUE"""),"")</f>
        <v/>
      </c>
      <c r="D748" s="36" t="str">
        <f ca="1">IFERROR(__xludf.DUMMYFUNCTION("""COMPUTED_VALUE"""),"")</f>
        <v/>
      </c>
      <c r="E748" s="36" t="str">
        <f ca="1">IFERROR(__xludf.DUMMYFUNCTION("""COMPUTED_VALUE"""),"")</f>
        <v/>
      </c>
      <c r="F748" s="36" t="str">
        <f ca="1">IFERROR(__xludf.DUMMYFUNCTION("""COMPUTED_VALUE"""),"")</f>
        <v/>
      </c>
      <c r="G748" s="36" t="str">
        <f ca="1">IFERROR(__xludf.DUMMYFUNCTION("""COMPUTED_VALUE"""),"")</f>
        <v/>
      </c>
      <c r="H748" s="36" t="str">
        <f ca="1">IFERROR(__xludf.DUMMYFUNCTION("""COMPUTED_VALUE"""),"")</f>
        <v/>
      </c>
      <c r="I748" s="36" t="str">
        <f ca="1">IFERROR(__xludf.DUMMYFUNCTION("""COMPUTED_VALUE"""),"")</f>
        <v/>
      </c>
      <c r="J748" s="36" t="str">
        <f ca="1">IFERROR(__xludf.DUMMYFUNCTION("""COMPUTED_VALUE"""),"")</f>
        <v/>
      </c>
      <c r="K748" s="36" t="str">
        <f ca="1">IFERROR(__xludf.DUMMYFUNCTION("""COMPUTED_VALUE"""),"")</f>
        <v/>
      </c>
      <c r="L748" s="36" t="str">
        <f ca="1">IFERROR(__xludf.DUMMYFUNCTION("""COMPUTED_VALUE"""),"")</f>
        <v/>
      </c>
      <c r="M748" s="36" t="str">
        <f ca="1">IFERROR(__xludf.DUMMYFUNCTION("""COMPUTED_VALUE"""),"")</f>
        <v/>
      </c>
      <c r="N748" s="36" t="str">
        <f ca="1">IFERROR(__xludf.DUMMYFUNCTION("""COMPUTED_VALUE"""),"")</f>
        <v/>
      </c>
      <c r="O748" s="36" t="str">
        <f ca="1">IFERROR(__xludf.DUMMYFUNCTION("""COMPUTED_VALUE"""),"")</f>
        <v/>
      </c>
      <c r="P748" s="36" t="str">
        <f ca="1">IFERROR(__xludf.DUMMYFUNCTION("""COMPUTED_VALUE"""),"")</f>
        <v/>
      </c>
      <c r="Q748" s="36" t="str">
        <f ca="1">IFERROR(__xludf.DUMMYFUNCTION("""COMPUTED_VALUE"""),"")</f>
        <v/>
      </c>
      <c r="R748" s="36" t="str">
        <f ca="1">IFERROR(__xludf.DUMMYFUNCTION("""COMPUTED_VALUE"""),"")</f>
        <v/>
      </c>
      <c r="S748" s="36" t="str">
        <f ca="1">IFERROR(__xludf.DUMMYFUNCTION("""COMPUTED_VALUE"""),"")</f>
        <v/>
      </c>
      <c r="T748" s="36" t="str">
        <f ca="1">IFERROR(__xludf.DUMMYFUNCTION("""COMPUTED_VALUE"""),"")</f>
        <v/>
      </c>
      <c r="U748" s="36" t="str">
        <f ca="1">IFERROR(__xludf.DUMMYFUNCTION("""COMPUTED_VALUE"""),"")</f>
        <v/>
      </c>
      <c r="V748" s="36" t="str">
        <f ca="1">IFERROR(__xludf.DUMMYFUNCTION("""COMPUTED_VALUE"""),"")</f>
        <v/>
      </c>
      <c r="W748" s="36" t="str">
        <f ca="1">IFERROR(__xludf.DUMMYFUNCTION("""COMPUTED_VALUE"""),"")</f>
        <v/>
      </c>
      <c r="X748" s="36"/>
      <c r="Y748" s="36"/>
      <c r="Z748" s="36"/>
    </row>
    <row r="749" spans="1:26" ht="12.75" hidden="1">
      <c r="A749" s="36" t="str">
        <f ca="1">IFERROR(__xludf.DUMMYFUNCTION("""COMPUTED_VALUE"""),"")</f>
        <v/>
      </c>
      <c r="B749" s="36" t="str">
        <f ca="1">IFERROR(__xludf.DUMMYFUNCTION("""COMPUTED_VALUE"""),"")</f>
        <v/>
      </c>
      <c r="C749" s="36" t="str">
        <f ca="1">IFERROR(__xludf.DUMMYFUNCTION("""COMPUTED_VALUE"""),"")</f>
        <v/>
      </c>
      <c r="D749" s="36" t="str">
        <f ca="1">IFERROR(__xludf.DUMMYFUNCTION("""COMPUTED_VALUE"""),"")</f>
        <v/>
      </c>
      <c r="E749" s="36" t="str">
        <f ca="1">IFERROR(__xludf.DUMMYFUNCTION("""COMPUTED_VALUE"""),"")</f>
        <v/>
      </c>
      <c r="F749" s="36" t="str">
        <f ca="1">IFERROR(__xludf.DUMMYFUNCTION("""COMPUTED_VALUE"""),"")</f>
        <v/>
      </c>
      <c r="G749" s="36" t="str">
        <f ca="1">IFERROR(__xludf.DUMMYFUNCTION("""COMPUTED_VALUE"""),"")</f>
        <v/>
      </c>
      <c r="H749" s="36" t="str">
        <f ca="1">IFERROR(__xludf.DUMMYFUNCTION("""COMPUTED_VALUE"""),"")</f>
        <v/>
      </c>
      <c r="I749" s="36" t="str">
        <f ca="1">IFERROR(__xludf.DUMMYFUNCTION("""COMPUTED_VALUE"""),"")</f>
        <v/>
      </c>
      <c r="J749" s="36" t="str">
        <f ca="1">IFERROR(__xludf.DUMMYFUNCTION("""COMPUTED_VALUE"""),"")</f>
        <v/>
      </c>
      <c r="K749" s="36" t="str">
        <f ca="1">IFERROR(__xludf.DUMMYFUNCTION("""COMPUTED_VALUE"""),"")</f>
        <v/>
      </c>
      <c r="L749" s="36" t="str">
        <f ca="1">IFERROR(__xludf.DUMMYFUNCTION("""COMPUTED_VALUE"""),"")</f>
        <v/>
      </c>
      <c r="M749" s="36" t="str">
        <f ca="1">IFERROR(__xludf.DUMMYFUNCTION("""COMPUTED_VALUE"""),"")</f>
        <v/>
      </c>
      <c r="N749" s="36" t="str">
        <f ca="1">IFERROR(__xludf.DUMMYFUNCTION("""COMPUTED_VALUE"""),"")</f>
        <v/>
      </c>
      <c r="O749" s="36" t="str">
        <f ca="1">IFERROR(__xludf.DUMMYFUNCTION("""COMPUTED_VALUE"""),"")</f>
        <v/>
      </c>
      <c r="P749" s="36" t="str">
        <f ca="1">IFERROR(__xludf.DUMMYFUNCTION("""COMPUTED_VALUE"""),"")</f>
        <v/>
      </c>
      <c r="Q749" s="36" t="str">
        <f ca="1">IFERROR(__xludf.DUMMYFUNCTION("""COMPUTED_VALUE"""),"")</f>
        <v/>
      </c>
      <c r="R749" s="36" t="str">
        <f ca="1">IFERROR(__xludf.DUMMYFUNCTION("""COMPUTED_VALUE"""),"")</f>
        <v/>
      </c>
      <c r="S749" s="36" t="str">
        <f ca="1">IFERROR(__xludf.DUMMYFUNCTION("""COMPUTED_VALUE"""),"")</f>
        <v/>
      </c>
      <c r="T749" s="36" t="str">
        <f ca="1">IFERROR(__xludf.DUMMYFUNCTION("""COMPUTED_VALUE"""),"")</f>
        <v/>
      </c>
      <c r="U749" s="36" t="str">
        <f ca="1">IFERROR(__xludf.DUMMYFUNCTION("""COMPUTED_VALUE"""),"")</f>
        <v/>
      </c>
      <c r="V749" s="36" t="str">
        <f ca="1">IFERROR(__xludf.DUMMYFUNCTION("""COMPUTED_VALUE"""),"")</f>
        <v/>
      </c>
      <c r="W749" s="36" t="str">
        <f ca="1">IFERROR(__xludf.DUMMYFUNCTION("""COMPUTED_VALUE"""),"")</f>
        <v/>
      </c>
      <c r="X749" s="36"/>
      <c r="Y749" s="36"/>
      <c r="Z749" s="36"/>
    </row>
    <row r="750" spans="1:26" ht="12.75" hidden="1">
      <c r="A750" s="36" t="str">
        <f ca="1">IFERROR(__xludf.DUMMYFUNCTION("""COMPUTED_VALUE"""),"")</f>
        <v/>
      </c>
      <c r="B750" s="36" t="str">
        <f ca="1">IFERROR(__xludf.DUMMYFUNCTION("""COMPUTED_VALUE"""),"")</f>
        <v/>
      </c>
      <c r="C750" s="36" t="str">
        <f ca="1">IFERROR(__xludf.DUMMYFUNCTION("""COMPUTED_VALUE"""),"")</f>
        <v/>
      </c>
      <c r="D750" s="36" t="str">
        <f ca="1">IFERROR(__xludf.DUMMYFUNCTION("""COMPUTED_VALUE"""),"")</f>
        <v/>
      </c>
      <c r="E750" s="36" t="str">
        <f ca="1">IFERROR(__xludf.DUMMYFUNCTION("""COMPUTED_VALUE"""),"")</f>
        <v/>
      </c>
      <c r="F750" s="36" t="str">
        <f ca="1">IFERROR(__xludf.DUMMYFUNCTION("""COMPUTED_VALUE"""),"")</f>
        <v/>
      </c>
      <c r="G750" s="36" t="str">
        <f ca="1">IFERROR(__xludf.DUMMYFUNCTION("""COMPUTED_VALUE"""),"")</f>
        <v/>
      </c>
      <c r="H750" s="36" t="str">
        <f ca="1">IFERROR(__xludf.DUMMYFUNCTION("""COMPUTED_VALUE"""),"")</f>
        <v/>
      </c>
      <c r="I750" s="36" t="str">
        <f ca="1">IFERROR(__xludf.DUMMYFUNCTION("""COMPUTED_VALUE"""),"")</f>
        <v/>
      </c>
      <c r="J750" s="36" t="str">
        <f ca="1">IFERROR(__xludf.DUMMYFUNCTION("""COMPUTED_VALUE"""),"")</f>
        <v/>
      </c>
      <c r="K750" s="36" t="str">
        <f ca="1">IFERROR(__xludf.DUMMYFUNCTION("""COMPUTED_VALUE"""),"")</f>
        <v/>
      </c>
      <c r="L750" s="36" t="str">
        <f ca="1">IFERROR(__xludf.DUMMYFUNCTION("""COMPUTED_VALUE"""),"")</f>
        <v/>
      </c>
      <c r="M750" s="36" t="str">
        <f ca="1">IFERROR(__xludf.DUMMYFUNCTION("""COMPUTED_VALUE"""),"")</f>
        <v/>
      </c>
      <c r="N750" s="36" t="str">
        <f ca="1">IFERROR(__xludf.DUMMYFUNCTION("""COMPUTED_VALUE"""),"")</f>
        <v/>
      </c>
      <c r="O750" s="36" t="str">
        <f ca="1">IFERROR(__xludf.DUMMYFUNCTION("""COMPUTED_VALUE"""),"")</f>
        <v/>
      </c>
      <c r="P750" s="36" t="str">
        <f ca="1">IFERROR(__xludf.DUMMYFUNCTION("""COMPUTED_VALUE"""),"")</f>
        <v/>
      </c>
      <c r="Q750" s="36" t="str">
        <f ca="1">IFERROR(__xludf.DUMMYFUNCTION("""COMPUTED_VALUE"""),"")</f>
        <v/>
      </c>
      <c r="R750" s="36" t="str">
        <f ca="1">IFERROR(__xludf.DUMMYFUNCTION("""COMPUTED_VALUE"""),"")</f>
        <v/>
      </c>
      <c r="S750" s="36" t="str">
        <f ca="1">IFERROR(__xludf.DUMMYFUNCTION("""COMPUTED_VALUE"""),"")</f>
        <v/>
      </c>
      <c r="T750" s="36" t="str">
        <f ca="1">IFERROR(__xludf.DUMMYFUNCTION("""COMPUTED_VALUE"""),"")</f>
        <v/>
      </c>
      <c r="U750" s="36" t="str">
        <f ca="1">IFERROR(__xludf.DUMMYFUNCTION("""COMPUTED_VALUE"""),"")</f>
        <v/>
      </c>
      <c r="V750" s="36" t="str">
        <f ca="1">IFERROR(__xludf.DUMMYFUNCTION("""COMPUTED_VALUE"""),"")</f>
        <v/>
      </c>
      <c r="W750" s="36" t="str">
        <f ca="1">IFERROR(__xludf.DUMMYFUNCTION("""COMPUTED_VALUE"""),"")</f>
        <v/>
      </c>
      <c r="X750" s="36"/>
      <c r="Y750" s="36"/>
      <c r="Z750" s="36"/>
    </row>
    <row r="751" spans="1:26" ht="12.75" hidden="1">
      <c r="A751" s="36" t="str">
        <f ca="1">IFERROR(__xludf.DUMMYFUNCTION("""COMPUTED_VALUE"""),"")</f>
        <v/>
      </c>
      <c r="B751" s="36" t="str">
        <f ca="1">IFERROR(__xludf.DUMMYFUNCTION("""COMPUTED_VALUE"""),"")</f>
        <v/>
      </c>
      <c r="C751" s="36" t="str">
        <f ca="1">IFERROR(__xludf.DUMMYFUNCTION("""COMPUTED_VALUE"""),"")</f>
        <v/>
      </c>
      <c r="D751" s="36" t="str">
        <f ca="1">IFERROR(__xludf.DUMMYFUNCTION("""COMPUTED_VALUE"""),"")</f>
        <v/>
      </c>
      <c r="E751" s="36" t="str">
        <f ca="1">IFERROR(__xludf.DUMMYFUNCTION("""COMPUTED_VALUE"""),"")</f>
        <v/>
      </c>
      <c r="F751" s="36" t="str">
        <f ca="1">IFERROR(__xludf.DUMMYFUNCTION("""COMPUTED_VALUE"""),"")</f>
        <v/>
      </c>
      <c r="G751" s="36" t="str">
        <f ca="1">IFERROR(__xludf.DUMMYFUNCTION("""COMPUTED_VALUE"""),"")</f>
        <v/>
      </c>
      <c r="H751" s="36" t="str">
        <f ca="1">IFERROR(__xludf.DUMMYFUNCTION("""COMPUTED_VALUE"""),"")</f>
        <v/>
      </c>
      <c r="I751" s="36" t="str">
        <f ca="1">IFERROR(__xludf.DUMMYFUNCTION("""COMPUTED_VALUE"""),"")</f>
        <v/>
      </c>
      <c r="J751" s="36" t="str">
        <f ca="1">IFERROR(__xludf.DUMMYFUNCTION("""COMPUTED_VALUE"""),"")</f>
        <v/>
      </c>
      <c r="K751" s="36" t="str">
        <f ca="1">IFERROR(__xludf.DUMMYFUNCTION("""COMPUTED_VALUE"""),"")</f>
        <v/>
      </c>
      <c r="L751" s="36" t="str">
        <f ca="1">IFERROR(__xludf.DUMMYFUNCTION("""COMPUTED_VALUE"""),"")</f>
        <v/>
      </c>
      <c r="M751" s="36" t="str">
        <f ca="1">IFERROR(__xludf.DUMMYFUNCTION("""COMPUTED_VALUE"""),"")</f>
        <v/>
      </c>
      <c r="N751" s="36" t="str">
        <f ca="1">IFERROR(__xludf.DUMMYFUNCTION("""COMPUTED_VALUE"""),"")</f>
        <v/>
      </c>
      <c r="O751" s="36" t="str">
        <f ca="1">IFERROR(__xludf.DUMMYFUNCTION("""COMPUTED_VALUE"""),"")</f>
        <v/>
      </c>
      <c r="P751" s="36" t="str">
        <f ca="1">IFERROR(__xludf.DUMMYFUNCTION("""COMPUTED_VALUE"""),"")</f>
        <v/>
      </c>
      <c r="Q751" s="36" t="str">
        <f ca="1">IFERROR(__xludf.DUMMYFUNCTION("""COMPUTED_VALUE"""),"")</f>
        <v/>
      </c>
      <c r="R751" s="36" t="str">
        <f ca="1">IFERROR(__xludf.DUMMYFUNCTION("""COMPUTED_VALUE"""),"")</f>
        <v/>
      </c>
      <c r="S751" s="36" t="str">
        <f ca="1">IFERROR(__xludf.DUMMYFUNCTION("""COMPUTED_VALUE"""),"")</f>
        <v/>
      </c>
      <c r="T751" s="36" t="str">
        <f ca="1">IFERROR(__xludf.DUMMYFUNCTION("""COMPUTED_VALUE"""),"")</f>
        <v/>
      </c>
      <c r="U751" s="36" t="str">
        <f ca="1">IFERROR(__xludf.DUMMYFUNCTION("""COMPUTED_VALUE"""),"")</f>
        <v/>
      </c>
      <c r="V751" s="36" t="str">
        <f ca="1">IFERROR(__xludf.DUMMYFUNCTION("""COMPUTED_VALUE"""),"")</f>
        <v/>
      </c>
      <c r="W751" s="36" t="str">
        <f ca="1">IFERROR(__xludf.DUMMYFUNCTION("""COMPUTED_VALUE"""),"")</f>
        <v/>
      </c>
      <c r="X751" s="36"/>
      <c r="Y751" s="36"/>
      <c r="Z751" s="36"/>
    </row>
    <row r="752" spans="1:26" ht="12.75" hidden="1">
      <c r="A752" s="36" t="str">
        <f ca="1">IFERROR(__xludf.DUMMYFUNCTION("""COMPUTED_VALUE"""),"")</f>
        <v/>
      </c>
      <c r="B752" s="36" t="str">
        <f ca="1">IFERROR(__xludf.DUMMYFUNCTION("""COMPUTED_VALUE"""),"")</f>
        <v/>
      </c>
      <c r="C752" s="36" t="str">
        <f ca="1">IFERROR(__xludf.DUMMYFUNCTION("""COMPUTED_VALUE"""),"")</f>
        <v/>
      </c>
      <c r="D752" s="36" t="str">
        <f ca="1">IFERROR(__xludf.DUMMYFUNCTION("""COMPUTED_VALUE"""),"")</f>
        <v/>
      </c>
      <c r="E752" s="36" t="str">
        <f ca="1">IFERROR(__xludf.DUMMYFUNCTION("""COMPUTED_VALUE"""),"")</f>
        <v/>
      </c>
      <c r="F752" s="36" t="str">
        <f ca="1">IFERROR(__xludf.DUMMYFUNCTION("""COMPUTED_VALUE"""),"")</f>
        <v/>
      </c>
      <c r="G752" s="36" t="str">
        <f ca="1">IFERROR(__xludf.DUMMYFUNCTION("""COMPUTED_VALUE"""),"")</f>
        <v/>
      </c>
      <c r="H752" s="36" t="str">
        <f ca="1">IFERROR(__xludf.DUMMYFUNCTION("""COMPUTED_VALUE"""),"")</f>
        <v/>
      </c>
      <c r="I752" s="36" t="str">
        <f ca="1">IFERROR(__xludf.DUMMYFUNCTION("""COMPUTED_VALUE"""),"")</f>
        <v/>
      </c>
      <c r="J752" s="36" t="str">
        <f ca="1">IFERROR(__xludf.DUMMYFUNCTION("""COMPUTED_VALUE"""),"")</f>
        <v/>
      </c>
      <c r="K752" s="36" t="str">
        <f ca="1">IFERROR(__xludf.DUMMYFUNCTION("""COMPUTED_VALUE"""),"")</f>
        <v/>
      </c>
      <c r="L752" s="36" t="str">
        <f ca="1">IFERROR(__xludf.DUMMYFUNCTION("""COMPUTED_VALUE"""),"")</f>
        <v/>
      </c>
      <c r="M752" s="36" t="str">
        <f ca="1">IFERROR(__xludf.DUMMYFUNCTION("""COMPUTED_VALUE"""),"")</f>
        <v/>
      </c>
      <c r="N752" s="36" t="str">
        <f ca="1">IFERROR(__xludf.DUMMYFUNCTION("""COMPUTED_VALUE"""),"")</f>
        <v/>
      </c>
      <c r="O752" s="36" t="str">
        <f ca="1">IFERROR(__xludf.DUMMYFUNCTION("""COMPUTED_VALUE"""),"")</f>
        <v/>
      </c>
      <c r="P752" s="36" t="str">
        <f ca="1">IFERROR(__xludf.DUMMYFUNCTION("""COMPUTED_VALUE"""),"")</f>
        <v/>
      </c>
      <c r="Q752" s="36" t="str">
        <f ca="1">IFERROR(__xludf.DUMMYFUNCTION("""COMPUTED_VALUE"""),"")</f>
        <v/>
      </c>
      <c r="R752" s="36" t="str">
        <f ca="1">IFERROR(__xludf.DUMMYFUNCTION("""COMPUTED_VALUE"""),"")</f>
        <v/>
      </c>
      <c r="S752" s="36" t="str">
        <f ca="1">IFERROR(__xludf.DUMMYFUNCTION("""COMPUTED_VALUE"""),"")</f>
        <v/>
      </c>
      <c r="T752" s="36" t="str">
        <f ca="1">IFERROR(__xludf.DUMMYFUNCTION("""COMPUTED_VALUE"""),"")</f>
        <v/>
      </c>
      <c r="U752" s="36" t="str">
        <f ca="1">IFERROR(__xludf.DUMMYFUNCTION("""COMPUTED_VALUE"""),"")</f>
        <v/>
      </c>
      <c r="V752" s="36" t="str">
        <f ca="1">IFERROR(__xludf.DUMMYFUNCTION("""COMPUTED_VALUE"""),"")</f>
        <v/>
      </c>
      <c r="W752" s="36" t="str">
        <f ca="1">IFERROR(__xludf.DUMMYFUNCTION("""COMPUTED_VALUE"""),"")</f>
        <v/>
      </c>
      <c r="X752" s="36"/>
      <c r="Y752" s="36"/>
      <c r="Z752" s="36"/>
    </row>
    <row r="753" spans="1:26" ht="12.75" hidden="1">
      <c r="A753" s="36" t="str">
        <f ca="1">IFERROR(__xludf.DUMMYFUNCTION("""COMPUTED_VALUE"""),"")</f>
        <v/>
      </c>
      <c r="B753" s="36" t="str">
        <f ca="1">IFERROR(__xludf.DUMMYFUNCTION("""COMPUTED_VALUE"""),"")</f>
        <v/>
      </c>
      <c r="C753" s="36" t="str">
        <f ca="1">IFERROR(__xludf.DUMMYFUNCTION("""COMPUTED_VALUE"""),"")</f>
        <v/>
      </c>
      <c r="D753" s="36" t="str">
        <f ca="1">IFERROR(__xludf.DUMMYFUNCTION("""COMPUTED_VALUE"""),"")</f>
        <v/>
      </c>
      <c r="E753" s="36" t="str">
        <f ca="1">IFERROR(__xludf.DUMMYFUNCTION("""COMPUTED_VALUE"""),"")</f>
        <v/>
      </c>
      <c r="F753" s="36" t="str">
        <f ca="1">IFERROR(__xludf.DUMMYFUNCTION("""COMPUTED_VALUE"""),"")</f>
        <v/>
      </c>
      <c r="G753" s="36" t="str">
        <f ca="1">IFERROR(__xludf.DUMMYFUNCTION("""COMPUTED_VALUE"""),"")</f>
        <v/>
      </c>
      <c r="H753" s="36" t="str">
        <f ca="1">IFERROR(__xludf.DUMMYFUNCTION("""COMPUTED_VALUE"""),"")</f>
        <v/>
      </c>
      <c r="I753" s="36" t="str">
        <f ca="1">IFERROR(__xludf.DUMMYFUNCTION("""COMPUTED_VALUE"""),"")</f>
        <v/>
      </c>
      <c r="J753" s="36" t="str">
        <f ca="1">IFERROR(__xludf.DUMMYFUNCTION("""COMPUTED_VALUE"""),"")</f>
        <v/>
      </c>
      <c r="K753" s="36" t="str">
        <f ca="1">IFERROR(__xludf.DUMMYFUNCTION("""COMPUTED_VALUE"""),"")</f>
        <v/>
      </c>
      <c r="L753" s="36" t="str">
        <f ca="1">IFERROR(__xludf.DUMMYFUNCTION("""COMPUTED_VALUE"""),"")</f>
        <v/>
      </c>
      <c r="M753" s="36" t="str">
        <f ca="1">IFERROR(__xludf.DUMMYFUNCTION("""COMPUTED_VALUE"""),"")</f>
        <v/>
      </c>
      <c r="N753" s="36" t="str">
        <f ca="1">IFERROR(__xludf.DUMMYFUNCTION("""COMPUTED_VALUE"""),"")</f>
        <v/>
      </c>
      <c r="O753" s="36" t="str">
        <f ca="1">IFERROR(__xludf.DUMMYFUNCTION("""COMPUTED_VALUE"""),"")</f>
        <v/>
      </c>
      <c r="P753" s="36" t="str">
        <f ca="1">IFERROR(__xludf.DUMMYFUNCTION("""COMPUTED_VALUE"""),"")</f>
        <v/>
      </c>
      <c r="Q753" s="36" t="str">
        <f ca="1">IFERROR(__xludf.DUMMYFUNCTION("""COMPUTED_VALUE"""),"")</f>
        <v/>
      </c>
      <c r="R753" s="36" t="str">
        <f ca="1">IFERROR(__xludf.DUMMYFUNCTION("""COMPUTED_VALUE"""),"")</f>
        <v/>
      </c>
      <c r="S753" s="36" t="str">
        <f ca="1">IFERROR(__xludf.DUMMYFUNCTION("""COMPUTED_VALUE"""),"")</f>
        <v/>
      </c>
      <c r="T753" s="36" t="str">
        <f ca="1">IFERROR(__xludf.DUMMYFUNCTION("""COMPUTED_VALUE"""),"")</f>
        <v/>
      </c>
      <c r="U753" s="36" t="str">
        <f ca="1">IFERROR(__xludf.DUMMYFUNCTION("""COMPUTED_VALUE"""),"")</f>
        <v/>
      </c>
      <c r="V753" s="36" t="str">
        <f ca="1">IFERROR(__xludf.DUMMYFUNCTION("""COMPUTED_VALUE"""),"")</f>
        <v/>
      </c>
      <c r="W753" s="36" t="str">
        <f ca="1">IFERROR(__xludf.DUMMYFUNCTION("""COMPUTED_VALUE"""),"")</f>
        <v/>
      </c>
      <c r="X753" s="36"/>
      <c r="Y753" s="36"/>
      <c r="Z753" s="36"/>
    </row>
    <row r="754" spans="1:26" ht="12.75" hidden="1">
      <c r="A754" s="36" t="str">
        <f ca="1">IFERROR(__xludf.DUMMYFUNCTION("""COMPUTED_VALUE"""),"")</f>
        <v/>
      </c>
      <c r="B754" s="36" t="str">
        <f ca="1">IFERROR(__xludf.DUMMYFUNCTION("""COMPUTED_VALUE"""),"")</f>
        <v/>
      </c>
      <c r="C754" s="36" t="str">
        <f ca="1">IFERROR(__xludf.DUMMYFUNCTION("""COMPUTED_VALUE"""),"")</f>
        <v/>
      </c>
      <c r="D754" s="36" t="str">
        <f ca="1">IFERROR(__xludf.DUMMYFUNCTION("""COMPUTED_VALUE"""),"")</f>
        <v/>
      </c>
      <c r="E754" s="36" t="str">
        <f ca="1">IFERROR(__xludf.DUMMYFUNCTION("""COMPUTED_VALUE"""),"")</f>
        <v/>
      </c>
      <c r="F754" s="36" t="str">
        <f ca="1">IFERROR(__xludf.DUMMYFUNCTION("""COMPUTED_VALUE"""),"")</f>
        <v/>
      </c>
      <c r="G754" s="36" t="str">
        <f ca="1">IFERROR(__xludf.DUMMYFUNCTION("""COMPUTED_VALUE"""),"")</f>
        <v/>
      </c>
      <c r="H754" s="36" t="str">
        <f ca="1">IFERROR(__xludf.DUMMYFUNCTION("""COMPUTED_VALUE"""),"")</f>
        <v/>
      </c>
      <c r="I754" s="36" t="str">
        <f ca="1">IFERROR(__xludf.DUMMYFUNCTION("""COMPUTED_VALUE"""),"")</f>
        <v/>
      </c>
      <c r="J754" s="36" t="str">
        <f ca="1">IFERROR(__xludf.DUMMYFUNCTION("""COMPUTED_VALUE"""),"")</f>
        <v/>
      </c>
      <c r="K754" s="36" t="str">
        <f ca="1">IFERROR(__xludf.DUMMYFUNCTION("""COMPUTED_VALUE"""),"")</f>
        <v/>
      </c>
      <c r="L754" s="36" t="str">
        <f ca="1">IFERROR(__xludf.DUMMYFUNCTION("""COMPUTED_VALUE"""),"")</f>
        <v/>
      </c>
      <c r="M754" s="36" t="str">
        <f ca="1">IFERROR(__xludf.DUMMYFUNCTION("""COMPUTED_VALUE"""),"")</f>
        <v/>
      </c>
      <c r="N754" s="36" t="str">
        <f ca="1">IFERROR(__xludf.DUMMYFUNCTION("""COMPUTED_VALUE"""),"")</f>
        <v/>
      </c>
      <c r="O754" s="36" t="str">
        <f ca="1">IFERROR(__xludf.DUMMYFUNCTION("""COMPUTED_VALUE"""),"")</f>
        <v/>
      </c>
      <c r="P754" s="36" t="str">
        <f ca="1">IFERROR(__xludf.DUMMYFUNCTION("""COMPUTED_VALUE"""),"")</f>
        <v/>
      </c>
      <c r="Q754" s="36" t="str">
        <f ca="1">IFERROR(__xludf.DUMMYFUNCTION("""COMPUTED_VALUE"""),"")</f>
        <v/>
      </c>
      <c r="R754" s="36" t="str">
        <f ca="1">IFERROR(__xludf.DUMMYFUNCTION("""COMPUTED_VALUE"""),"")</f>
        <v/>
      </c>
      <c r="S754" s="36" t="str">
        <f ca="1">IFERROR(__xludf.DUMMYFUNCTION("""COMPUTED_VALUE"""),"")</f>
        <v/>
      </c>
      <c r="T754" s="36" t="str">
        <f ca="1">IFERROR(__xludf.DUMMYFUNCTION("""COMPUTED_VALUE"""),"")</f>
        <v/>
      </c>
      <c r="U754" s="36" t="str">
        <f ca="1">IFERROR(__xludf.DUMMYFUNCTION("""COMPUTED_VALUE"""),"")</f>
        <v/>
      </c>
      <c r="V754" s="36" t="str">
        <f ca="1">IFERROR(__xludf.DUMMYFUNCTION("""COMPUTED_VALUE"""),"")</f>
        <v/>
      </c>
      <c r="W754" s="36" t="str">
        <f ca="1">IFERROR(__xludf.DUMMYFUNCTION("""COMPUTED_VALUE"""),"")</f>
        <v/>
      </c>
      <c r="X754" s="36"/>
      <c r="Y754" s="36"/>
      <c r="Z754" s="36"/>
    </row>
    <row r="755" spans="1:26" ht="12.75" hidden="1">
      <c r="A755" s="36" t="str">
        <f ca="1">IFERROR(__xludf.DUMMYFUNCTION("""COMPUTED_VALUE"""),"")</f>
        <v/>
      </c>
      <c r="B755" s="36" t="str">
        <f ca="1">IFERROR(__xludf.DUMMYFUNCTION("""COMPUTED_VALUE"""),"")</f>
        <v/>
      </c>
      <c r="C755" s="36" t="str">
        <f ca="1">IFERROR(__xludf.DUMMYFUNCTION("""COMPUTED_VALUE"""),"")</f>
        <v/>
      </c>
      <c r="D755" s="36" t="str">
        <f ca="1">IFERROR(__xludf.DUMMYFUNCTION("""COMPUTED_VALUE"""),"")</f>
        <v/>
      </c>
      <c r="E755" s="36" t="str">
        <f ca="1">IFERROR(__xludf.DUMMYFUNCTION("""COMPUTED_VALUE"""),"")</f>
        <v/>
      </c>
      <c r="F755" s="36" t="str">
        <f ca="1">IFERROR(__xludf.DUMMYFUNCTION("""COMPUTED_VALUE"""),"")</f>
        <v/>
      </c>
      <c r="G755" s="36" t="str">
        <f ca="1">IFERROR(__xludf.DUMMYFUNCTION("""COMPUTED_VALUE"""),"")</f>
        <v/>
      </c>
      <c r="H755" s="36" t="str">
        <f ca="1">IFERROR(__xludf.DUMMYFUNCTION("""COMPUTED_VALUE"""),"")</f>
        <v/>
      </c>
      <c r="I755" s="36" t="str">
        <f ca="1">IFERROR(__xludf.DUMMYFUNCTION("""COMPUTED_VALUE"""),"")</f>
        <v/>
      </c>
      <c r="J755" s="36" t="str">
        <f ca="1">IFERROR(__xludf.DUMMYFUNCTION("""COMPUTED_VALUE"""),"")</f>
        <v/>
      </c>
      <c r="K755" s="36" t="str">
        <f ca="1">IFERROR(__xludf.DUMMYFUNCTION("""COMPUTED_VALUE"""),"")</f>
        <v/>
      </c>
      <c r="L755" s="36" t="str">
        <f ca="1">IFERROR(__xludf.DUMMYFUNCTION("""COMPUTED_VALUE"""),"")</f>
        <v/>
      </c>
      <c r="M755" s="36" t="str">
        <f ca="1">IFERROR(__xludf.DUMMYFUNCTION("""COMPUTED_VALUE"""),"")</f>
        <v/>
      </c>
      <c r="N755" s="36" t="str">
        <f ca="1">IFERROR(__xludf.DUMMYFUNCTION("""COMPUTED_VALUE"""),"")</f>
        <v/>
      </c>
      <c r="O755" s="36" t="str">
        <f ca="1">IFERROR(__xludf.DUMMYFUNCTION("""COMPUTED_VALUE"""),"")</f>
        <v/>
      </c>
      <c r="P755" s="36" t="str">
        <f ca="1">IFERROR(__xludf.DUMMYFUNCTION("""COMPUTED_VALUE"""),"")</f>
        <v/>
      </c>
      <c r="Q755" s="36" t="str">
        <f ca="1">IFERROR(__xludf.DUMMYFUNCTION("""COMPUTED_VALUE"""),"")</f>
        <v/>
      </c>
      <c r="R755" s="36" t="str">
        <f ca="1">IFERROR(__xludf.DUMMYFUNCTION("""COMPUTED_VALUE"""),"")</f>
        <v/>
      </c>
      <c r="S755" s="36" t="str">
        <f ca="1">IFERROR(__xludf.DUMMYFUNCTION("""COMPUTED_VALUE"""),"")</f>
        <v/>
      </c>
      <c r="T755" s="36" t="str">
        <f ca="1">IFERROR(__xludf.DUMMYFUNCTION("""COMPUTED_VALUE"""),"")</f>
        <v/>
      </c>
      <c r="U755" s="36" t="str">
        <f ca="1">IFERROR(__xludf.DUMMYFUNCTION("""COMPUTED_VALUE"""),"")</f>
        <v/>
      </c>
      <c r="V755" s="36" t="str">
        <f ca="1">IFERROR(__xludf.DUMMYFUNCTION("""COMPUTED_VALUE"""),"")</f>
        <v/>
      </c>
      <c r="W755" s="36" t="str">
        <f ca="1">IFERROR(__xludf.DUMMYFUNCTION("""COMPUTED_VALUE"""),"")</f>
        <v/>
      </c>
      <c r="X755" s="36"/>
      <c r="Y755" s="36"/>
      <c r="Z755" s="36"/>
    </row>
    <row r="756" spans="1:26" ht="12.75" hidden="1">
      <c r="A756" s="36" t="str">
        <f ca="1">IFERROR(__xludf.DUMMYFUNCTION("""COMPUTED_VALUE"""),"")</f>
        <v/>
      </c>
      <c r="B756" s="36" t="str">
        <f ca="1">IFERROR(__xludf.DUMMYFUNCTION("""COMPUTED_VALUE"""),"")</f>
        <v/>
      </c>
      <c r="C756" s="36" t="str">
        <f ca="1">IFERROR(__xludf.DUMMYFUNCTION("""COMPUTED_VALUE"""),"")</f>
        <v/>
      </c>
      <c r="D756" s="36" t="str">
        <f ca="1">IFERROR(__xludf.DUMMYFUNCTION("""COMPUTED_VALUE"""),"")</f>
        <v/>
      </c>
      <c r="E756" s="36" t="str">
        <f ca="1">IFERROR(__xludf.DUMMYFUNCTION("""COMPUTED_VALUE"""),"")</f>
        <v/>
      </c>
      <c r="F756" s="36" t="str">
        <f ca="1">IFERROR(__xludf.DUMMYFUNCTION("""COMPUTED_VALUE"""),"")</f>
        <v/>
      </c>
      <c r="G756" s="36" t="str">
        <f ca="1">IFERROR(__xludf.DUMMYFUNCTION("""COMPUTED_VALUE"""),"")</f>
        <v/>
      </c>
      <c r="H756" s="36" t="str">
        <f ca="1">IFERROR(__xludf.DUMMYFUNCTION("""COMPUTED_VALUE"""),"")</f>
        <v/>
      </c>
      <c r="I756" s="36" t="str">
        <f ca="1">IFERROR(__xludf.DUMMYFUNCTION("""COMPUTED_VALUE"""),"")</f>
        <v/>
      </c>
      <c r="J756" s="36" t="str">
        <f ca="1">IFERROR(__xludf.DUMMYFUNCTION("""COMPUTED_VALUE"""),"")</f>
        <v/>
      </c>
      <c r="K756" s="36" t="str">
        <f ca="1">IFERROR(__xludf.DUMMYFUNCTION("""COMPUTED_VALUE"""),"")</f>
        <v/>
      </c>
      <c r="L756" s="36" t="str">
        <f ca="1">IFERROR(__xludf.DUMMYFUNCTION("""COMPUTED_VALUE"""),"")</f>
        <v/>
      </c>
      <c r="M756" s="36" t="str">
        <f ca="1">IFERROR(__xludf.DUMMYFUNCTION("""COMPUTED_VALUE"""),"")</f>
        <v/>
      </c>
      <c r="N756" s="36" t="str">
        <f ca="1">IFERROR(__xludf.DUMMYFUNCTION("""COMPUTED_VALUE"""),"")</f>
        <v/>
      </c>
      <c r="O756" s="36" t="str">
        <f ca="1">IFERROR(__xludf.DUMMYFUNCTION("""COMPUTED_VALUE"""),"")</f>
        <v/>
      </c>
      <c r="P756" s="36" t="str">
        <f ca="1">IFERROR(__xludf.DUMMYFUNCTION("""COMPUTED_VALUE"""),"")</f>
        <v/>
      </c>
      <c r="Q756" s="36" t="str">
        <f ca="1">IFERROR(__xludf.DUMMYFUNCTION("""COMPUTED_VALUE"""),"")</f>
        <v/>
      </c>
      <c r="R756" s="36" t="str">
        <f ca="1">IFERROR(__xludf.DUMMYFUNCTION("""COMPUTED_VALUE"""),"")</f>
        <v/>
      </c>
      <c r="S756" s="36" t="str">
        <f ca="1">IFERROR(__xludf.DUMMYFUNCTION("""COMPUTED_VALUE"""),"")</f>
        <v/>
      </c>
      <c r="T756" s="36" t="str">
        <f ca="1">IFERROR(__xludf.DUMMYFUNCTION("""COMPUTED_VALUE"""),"")</f>
        <v/>
      </c>
      <c r="U756" s="36" t="str">
        <f ca="1">IFERROR(__xludf.DUMMYFUNCTION("""COMPUTED_VALUE"""),"")</f>
        <v/>
      </c>
      <c r="V756" s="36" t="str">
        <f ca="1">IFERROR(__xludf.DUMMYFUNCTION("""COMPUTED_VALUE"""),"")</f>
        <v/>
      </c>
      <c r="W756" s="36" t="str">
        <f ca="1">IFERROR(__xludf.DUMMYFUNCTION("""COMPUTED_VALUE"""),"")</f>
        <v/>
      </c>
      <c r="X756" s="36"/>
      <c r="Y756" s="36"/>
      <c r="Z756" s="36"/>
    </row>
    <row r="757" spans="1:26" ht="12.75" hidden="1">
      <c r="A757" s="36" t="str">
        <f ca="1">IFERROR(__xludf.DUMMYFUNCTION("""COMPUTED_VALUE"""),"")</f>
        <v/>
      </c>
      <c r="B757" s="36" t="str">
        <f ca="1">IFERROR(__xludf.DUMMYFUNCTION("""COMPUTED_VALUE"""),"")</f>
        <v/>
      </c>
      <c r="C757" s="36" t="str">
        <f ca="1">IFERROR(__xludf.DUMMYFUNCTION("""COMPUTED_VALUE"""),"")</f>
        <v/>
      </c>
      <c r="D757" s="36" t="str">
        <f ca="1">IFERROR(__xludf.DUMMYFUNCTION("""COMPUTED_VALUE"""),"")</f>
        <v/>
      </c>
      <c r="E757" s="36" t="str">
        <f ca="1">IFERROR(__xludf.DUMMYFUNCTION("""COMPUTED_VALUE"""),"")</f>
        <v/>
      </c>
      <c r="F757" s="36" t="str">
        <f ca="1">IFERROR(__xludf.DUMMYFUNCTION("""COMPUTED_VALUE"""),"")</f>
        <v/>
      </c>
      <c r="G757" s="36" t="str">
        <f ca="1">IFERROR(__xludf.DUMMYFUNCTION("""COMPUTED_VALUE"""),"")</f>
        <v/>
      </c>
      <c r="H757" s="36" t="str">
        <f ca="1">IFERROR(__xludf.DUMMYFUNCTION("""COMPUTED_VALUE"""),"")</f>
        <v/>
      </c>
      <c r="I757" s="36" t="str">
        <f ca="1">IFERROR(__xludf.DUMMYFUNCTION("""COMPUTED_VALUE"""),"")</f>
        <v/>
      </c>
      <c r="J757" s="36" t="str">
        <f ca="1">IFERROR(__xludf.DUMMYFUNCTION("""COMPUTED_VALUE"""),"")</f>
        <v/>
      </c>
      <c r="K757" s="36" t="str">
        <f ca="1">IFERROR(__xludf.DUMMYFUNCTION("""COMPUTED_VALUE"""),"")</f>
        <v/>
      </c>
      <c r="L757" s="36" t="str">
        <f ca="1">IFERROR(__xludf.DUMMYFUNCTION("""COMPUTED_VALUE"""),"")</f>
        <v/>
      </c>
      <c r="M757" s="36" t="str">
        <f ca="1">IFERROR(__xludf.DUMMYFUNCTION("""COMPUTED_VALUE"""),"")</f>
        <v/>
      </c>
      <c r="N757" s="36" t="str">
        <f ca="1">IFERROR(__xludf.DUMMYFUNCTION("""COMPUTED_VALUE"""),"")</f>
        <v/>
      </c>
      <c r="O757" s="36" t="str">
        <f ca="1">IFERROR(__xludf.DUMMYFUNCTION("""COMPUTED_VALUE"""),"")</f>
        <v/>
      </c>
      <c r="P757" s="36" t="str">
        <f ca="1">IFERROR(__xludf.DUMMYFUNCTION("""COMPUTED_VALUE"""),"")</f>
        <v/>
      </c>
      <c r="Q757" s="36" t="str">
        <f ca="1">IFERROR(__xludf.DUMMYFUNCTION("""COMPUTED_VALUE"""),"")</f>
        <v/>
      </c>
      <c r="R757" s="36" t="str">
        <f ca="1">IFERROR(__xludf.DUMMYFUNCTION("""COMPUTED_VALUE"""),"")</f>
        <v/>
      </c>
      <c r="S757" s="36" t="str">
        <f ca="1">IFERROR(__xludf.DUMMYFUNCTION("""COMPUTED_VALUE"""),"")</f>
        <v/>
      </c>
      <c r="T757" s="36" t="str">
        <f ca="1">IFERROR(__xludf.DUMMYFUNCTION("""COMPUTED_VALUE"""),"")</f>
        <v/>
      </c>
      <c r="U757" s="36" t="str">
        <f ca="1">IFERROR(__xludf.DUMMYFUNCTION("""COMPUTED_VALUE"""),"")</f>
        <v/>
      </c>
      <c r="V757" s="36" t="str">
        <f ca="1">IFERROR(__xludf.DUMMYFUNCTION("""COMPUTED_VALUE"""),"")</f>
        <v/>
      </c>
      <c r="W757" s="36" t="str">
        <f ca="1">IFERROR(__xludf.DUMMYFUNCTION("""COMPUTED_VALUE"""),"")</f>
        <v/>
      </c>
      <c r="X757" s="36"/>
      <c r="Y757" s="36"/>
      <c r="Z757" s="36"/>
    </row>
    <row r="758" spans="1:26" ht="12.75" hidden="1">
      <c r="A758" s="36" t="str">
        <f ca="1">IFERROR(__xludf.DUMMYFUNCTION("""COMPUTED_VALUE"""),"")</f>
        <v/>
      </c>
      <c r="B758" s="36" t="str">
        <f ca="1">IFERROR(__xludf.DUMMYFUNCTION("""COMPUTED_VALUE"""),"")</f>
        <v/>
      </c>
      <c r="C758" s="36" t="str">
        <f ca="1">IFERROR(__xludf.DUMMYFUNCTION("""COMPUTED_VALUE"""),"")</f>
        <v/>
      </c>
      <c r="D758" s="36" t="str">
        <f ca="1">IFERROR(__xludf.DUMMYFUNCTION("""COMPUTED_VALUE"""),"")</f>
        <v/>
      </c>
      <c r="E758" s="36" t="str">
        <f ca="1">IFERROR(__xludf.DUMMYFUNCTION("""COMPUTED_VALUE"""),"")</f>
        <v/>
      </c>
      <c r="F758" s="36" t="str">
        <f ca="1">IFERROR(__xludf.DUMMYFUNCTION("""COMPUTED_VALUE"""),"")</f>
        <v/>
      </c>
      <c r="G758" s="36" t="str">
        <f ca="1">IFERROR(__xludf.DUMMYFUNCTION("""COMPUTED_VALUE"""),"")</f>
        <v/>
      </c>
      <c r="H758" s="36" t="str">
        <f ca="1">IFERROR(__xludf.DUMMYFUNCTION("""COMPUTED_VALUE"""),"")</f>
        <v/>
      </c>
      <c r="I758" s="36" t="str">
        <f ca="1">IFERROR(__xludf.DUMMYFUNCTION("""COMPUTED_VALUE"""),"")</f>
        <v/>
      </c>
      <c r="J758" s="36" t="str">
        <f ca="1">IFERROR(__xludf.DUMMYFUNCTION("""COMPUTED_VALUE"""),"")</f>
        <v/>
      </c>
      <c r="K758" s="36" t="str">
        <f ca="1">IFERROR(__xludf.DUMMYFUNCTION("""COMPUTED_VALUE"""),"")</f>
        <v/>
      </c>
      <c r="L758" s="36" t="str">
        <f ca="1">IFERROR(__xludf.DUMMYFUNCTION("""COMPUTED_VALUE"""),"")</f>
        <v/>
      </c>
      <c r="M758" s="36" t="str">
        <f ca="1">IFERROR(__xludf.DUMMYFUNCTION("""COMPUTED_VALUE"""),"")</f>
        <v/>
      </c>
      <c r="N758" s="36" t="str">
        <f ca="1">IFERROR(__xludf.DUMMYFUNCTION("""COMPUTED_VALUE"""),"")</f>
        <v/>
      </c>
      <c r="O758" s="36" t="str">
        <f ca="1">IFERROR(__xludf.DUMMYFUNCTION("""COMPUTED_VALUE"""),"")</f>
        <v/>
      </c>
      <c r="P758" s="36" t="str">
        <f ca="1">IFERROR(__xludf.DUMMYFUNCTION("""COMPUTED_VALUE"""),"")</f>
        <v/>
      </c>
      <c r="Q758" s="36" t="str">
        <f ca="1">IFERROR(__xludf.DUMMYFUNCTION("""COMPUTED_VALUE"""),"")</f>
        <v/>
      </c>
      <c r="R758" s="36" t="str">
        <f ca="1">IFERROR(__xludf.DUMMYFUNCTION("""COMPUTED_VALUE"""),"")</f>
        <v/>
      </c>
      <c r="S758" s="36" t="str">
        <f ca="1">IFERROR(__xludf.DUMMYFUNCTION("""COMPUTED_VALUE"""),"")</f>
        <v/>
      </c>
      <c r="T758" s="36" t="str">
        <f ca="1">IFERROR(__xludf.DUMMYFUNCTION("""COMPUTED_VALUE"""),"")</f>
        <v/>
      </c>
      <c r="U758" s="36" t="str">
        <f ca="1">IFERROR(__xludf.DUMMYFUNCTION("""COMPUTED_VALUE"""),"")</f>
        <v/>
      </c>
      <c r="V758" s="36" t="str">
        <f ca="1">IFERROR(__xludf.DUMMYFUNCTION("""COMPUTED_VALUE"""),"")</f>
        <v/>
      </c>
      <c r="W758" s="36" t="str">
        <f ca="1">IFERROR(__xludf.DUMMYFUNCTION("""COMPUTED_VALUE"""),"")</f>
        <v/>
      </c>
      <c r="X758" s="36"/>
      <c r="Y758" s="36"/>
      <c r="Z758" s="36"/>
    </row>
    <row r="759" spans="1:26" ht="12.75" hidden="1">
      <c r="A759" s="36" t="str">
        <f ca="1">IFERROR(__xludf.DUMMYFUNCTION("""COMPUTED_VALUE"""),"")</f>
        <v/>
      </c>
      <c r="B759" s="36" t="str">
        <f ca="1">IFERROR(__xludf.DUMMYFUNCTION("""COMPUTED_VALUE"""),"")</f>
        <v/>
      </c>
      <c r="C759" s="36" t="str">
        <f ca="1">IFERROR(__xludf.DUMMYFUNCTION("""COMPUTED_VALUE"""),"")</f>
        <v/>
      </c>
      <c r="D759" s="36" t="str">
        <f ca="1">IFERROR(__xludf.DUMMYFUNCTION("""COMPUTED_VALUE"""),"")</f>
        <v/>
      </c>
      <c r="E759" s="36" t="str">
        <f ca="1">IFERROR(__xludf.DUMMYFUNCTION("""COMPUTED_VALUE"""),"")</f>
        <v/>
      </c>
      <c r="F759" s="36" t="str">
        <f ca="1">IFERROR(__xludf.DUMMYFUNCTION("""COMPUTED_VALUE"""),"")</f>
        <v/>
      </c>
      <c r="G759" s="36" t="str">
        <f ca="1">IFERROR(__xludf.DUMMYFUNCTION("""COMPUTED_VALUE"""),"")</f>
        <v/>
      </c>
      <c r="H759" s="36" t="str">
        <f ca="1">IFERROR(__xludf.DUMMYFUNCTION("""COMPUTED_VALUE"""),"")</f>
        <v/>
      </c>
      <c r="I759" s="36" t="str">
        <f ca="1">IFERROR(__xludf.DUMMYFUNCTION("""COMPUTED_VALUE"""),"")</f>
        <v/>
      </c>
      <c r="J759" s="36" t="str">
        <f ca="1">IFERROR(__xludf.DUMMYFUNCTION("""COMPUTED_VALUE"""),"")</f>
        <v/>
      </c>
      <c r="K759" s="36" t="str">
        <f ca="1">IFERROR(__xludf.DUMMYFUNCTION("""COMPUTED_VALUE"""),"")</f>
        <v/>
      </c>
      <c r="L759" s="36" t="str">
        <f ca="1">IFERROR(__xludf.DUMMYFUNCTION("""COMPUTED_VALUE"""),"")</f>
        <v/>
      </c>
      <c r="M759" s="36" t="str">
        <f ca="1">IFERROR(__xludf.DUMMYFUNCTION("""COMPUTED_VALUE"""),"")</f>
        <v/>
      </c>
      <c r="N759" s="36" t="str">
        <f ca="1">IFERROR(__xludf.DUMMYFUNCTION("""COMPUTED_VALUE"""),"")</f>
        <v/>
      </c>
      <c r="O759" s="36" t="str">
        <f ca="1">IFERROR(__xludf.DUMMYFUNCTION("""COMPUTED_VALUE"""),"")</f>
        <v/>
      </c>
      <c r="P759" s="36" t="str">
        <f ca="1">IFERROR(__xludf.DUMMYFUNCTION("""COMPUTED_VALUE"""),"")</f>
        <v/>
      </c>
      <c r="Q759" s="36" t="str">
        <f ca="1">IFERROR(__xludf.DUMMYFUNCTION("""COMPUTED_VALUE"""),"")</f>
        <v/>
      </c>
      <c r="R759" s="36" t="str">
        <f ca="1">IFERROR(__xludf.DUMMYFUNCTION("""COMPUTED_VALUE"""),"")</f>
        <v/>
      </c>
      <c r="S759" s="36" t="str">
        <f ca="1">IFERROR(__xludf.DUMMYFUNCTION("""COMPUTED_VALUE"""),"")</f>
        <v/>
      </c>
      <c r="T759" s="36" t="str">
        <f ca="1">IFERROR(__xludf.DUMMYFUNCTION("""COMPUTED_VALUE"""),"")</f>
        <v/>
      </c>
      <c r="U759" s="36" t="str">
        <f ca="1">IFERROR(__xludf.DUMMYFUNCTION("""COMPUTED_VALUE"""),"")</f>
        <v/>
      </c>
      <c r="V759" s="36" t="str">
        <f ca="1">IFERROR(__xludf.DUMMYFUNCTION("""COMPUTED_VALUE"""),"")</f>
        <v/>
      </c>
      <c r="W759" s="36" t="str">
        <f ca="1">IFERROR(__xludf.DUMMYFUNCTION("""COMPUTED_VALUE"""),"")</f>
        <v/>
      </c>
      <c r="X759" s="36"/>
      <c r="Y759" s="36"/>
      <c r="Z759" s="36"/>
    </row>
    <row r="760" spans="1:26" ht="12.75" hidden="1">
      <c r="A760" s="36" t="str">
        <f ca="1">IFERROR(__xludf.DUMMYFUNCTION("""COMPUTED_VALUE"""),"")</f>
        <v/>
      </c>
      <c r="B760" s="36" t="str">
        <f ca="1">IFERROR(__xludf.DUMMYFUNCTION("""COMPUTED_VALUE"""),"")</f>
        <v/>
      </c>
      <c r="C760" s="36" t="str">
        <f ca="1">IFERROR(__xludf.DUMMYFUNCTION("""COMPUTED_VALUE"""),"")</f>
        <v/>
      </c>
      <c r="D760" s="36" t="str">
        <f ca="1">IFERROR(__xludf.DUMMYFUNCTION("""COMPUTED_VALUE"""),"")</f>
        <v/>
      </c>
      <c r="E760" s="36" t="str">
        <f ca="1">IFERROR(__xludf.DUMMYFUNCTION("""COMPUTED_VALUE"""),"")</f>
        <v/>
      </c>
      <c r="F760" s="36" t="str">
        <f ca="1">IFERROR(__xludf.DUMMYFUNCTION("""COMPUTED_VALUE"""),"")</f>
        <v/>
      </c>
      <c r="G760" s="36" t="str">
        <f ca="1">IFERROR(__xludf.DUMMYFUNCTION("""COMPUTED_VALUE"""),"")</f>
        <v/>
      </c>
      <c r="H760" s="36" t="str">
        <f ca="1">IFERROR(__xludf.DUMMYFUNCTION("""COMPUTED_VALUE"""),"")</f>
        <v/>
      </c>
      <c r="I760" s="36" t="str">
        <f ca="1">IFERROR(__xludf.DUMMYFUNCTION("""COMPUTED_VALUE"""),"")</f>
        <v/>
      </c>
      <c r="J760" s="36" t="str">
        <f ca="1">IFERROR(__xludf.DUMMYFUNCTION("""COMPUTED_VALUE"""),"")</f>
        <v/>
      </c>
      <c r="K760" s="36" t="str">
        <f ca="1">IFERROR(__xludf.DUMMYFUNCTION("""COMPUTED_VALUE"""),"")</f>
        <v/>
      </c>
      <c r="L760" s="36" t="str">
        <f ca="1">IFERROR(__xludf.DUMMYFUNCTION("""COMPUTED_VALUE"""),"")</f>
        <v/>
      </c>
      <c r="M760" s="36" t="str">
        <f ca="1">IFERROR(__xludf.DUMMYFUNCTION("""COMPUTED_VALUE"""),"")</f>
        <v/>
      </c>
      <c r="N760" s="36" t="str">
        <f ca="1">IFERROR(__xludf.DUMMYFUNCTION("""COMPUTED_VALUE"""),"")</f>
        <v/>
      </c>
      <c r="O760" s="36" t="str">
        <f ca="1">IFERROR(__xludf.DUMMYFUNCTION("""COMPUTED_VALUE"""),"")</f>
        <v/>
      </c>
      <c r="P760" s="36" t="str">
        <f ca="1">IFERROR(__xludf.DUMMYFUNCTION("""COMPUTED_VALUE"""),"")</f>
        <v/>
      </c>
      <c r="Q760" s="36" t="str">
        <f ca="1">IFERROR(__xludf.DUMMYFUNCTION("""COMPUTED_VALUE"""),"")</f>
        <v/>
      </c>
      <c r="R760" s="36" t="str">
        <f ca="1">IFERROR(__xludf.DUMMYFUNCTION("""COMPUTED_VALUE"""),"")</f>
        <v/>
      </c>
      <c r="S760" s="36" t="str">
        <f ca="1">IFERROR(__xludf.DUMMYFUNCTION("""COMPUTED_VALUE"""),"")</f>
        <v/>
      </c>
      <c r="T760" s="36" t="str">
        <f ca="1">IFERROR(__xludf.DUMMYFUNCTION("""COMPUTED_VALUE"""),"")</f>
        <v/>
      </c>
      <c r="U760" s="36" t="str">
        <f ca="1">IFERROR(__xludf.DUMMYFUNCTION("""COMPUTED_VALUE"""),"")</f>
        <v/>
      </c>
      <c r="V760" s="36" t="str">
        <f ca="1">IFERROR(__xludf.DUMMYFUNCTION("""COMPUTED_VALUE"""),"")</f>
        <v/>
      </c>
      <c r="W760" s="36" t="str">
        <f ca="1">IFERROR(__xludf.DUMMYFUNCTION("""COMPUTED_VALUE"""),"")</f>
        <v/>
      </c>
      <c r="X760" s="36"/>
      <c r="Y760" s="36"/>
      <c r="Z760" s="36"/>
    </row>
    <row r="761" spans="1:26" ht="12.75" hidden="1">
      <c r="A761" s="36" t="str">
        <f ca="1">IFERROR(__xludf.DUMMYFUNCTION("""COMPUTED_VALUE"""),"")</f>
        <v/>
      </c>
      <c r="B761" s="36" t="str">
        <f ca="1">IFERROR(__xludf.DUMMYFUNCTION("""COMPUTED_VALUE"""),"")</f>
        <v/>
      </c>
      <c r="C761" s="36" t="str">
        <f ca="1">IFERROR(__xludf.DUMMYFUNCTION("""COMPUTED_VALUE"""),"")</f>
        <v/>
      </c>
      <c r="D761" s="36" t="str">
        <f ca="1">IFERROR(__xludf.DUMMYFUNCTION("""COMPUTED_VALUE"""),"")</f>
        <v/>
      </c>
      <c r="E761" s="36" t="str">
        <f ca="1">IFERROR(__xludf.DUMMYFUNCTION("""COMPUTED_VALUE"""),"")</f>
        <v/>
      </c>
      <c r="F761" s="36" t="str">
        <f ca="1">IFERROR(__xludf.DUMMYFUNCTION("""COMPUTED_VALUE"""),"")</f>
        <v/>
      </c>
      <c r="G761" s="36" t="str">
        <f ca="1">IFERROR(__xludf.DUMMYFUNCTION("""COMPUTED_VALUE"""),"")</f>
        <v/>
      </c>
      <c r="H761" s="36" t="str">
        <f ca="1">IFERROR(__xludf.DUMMYFUNCTION("""COMPUTED_VALUE"""),"")</f>
        <v/>
      </c>
      <c r="I761" s="36" t="str">
        <f ca="1">IFERROR(__xludf.DUMMYFUNCTION("""COMPUTED_VALUE"""),"")</f>
        <v/>
      </c>
      <c r="J761" s="36" t="str">
        <f ca="1">IFERROR(__xludf.DUMMYFUNCTION("""COMPUTED_VALUE"""),"")</f>
        <v/>
      </c>
      <c r="K761" s="36" t="str">
        <f ca="1">IFERROR(__xludf.DUMMYFUNCTION("""COMPUTED_VALUE"""),"")</f>
        <v/>
      </c>
      <c r="L761" s="36" t="str">
        <f ca="1">IFERROR(__xludf.DUMMYFUNCTION("""COMPUTED_VALUE"""),"")</f>
        <v/>
      </c>
      <c r="M761" s="36" t="str">
        <f ca="1">IFERROR(__xludf.DUMMYFUNCTION("""COMPUTED_VALUE"""),"")</f>
        <v/>
      </c>
      <c r="N761" s="36" t="str">
        <f ca="1">IFERROR(__xludf.DUMMYFUNCTION("""COMPUTED_VALUE"""),"")</f>
        <v/>
      </c>
      <c r="O761" s="36" t="str">
        <f ca="1">IFERROR(__xludf.DUMMYFUNCTION("""COMPUTED_VALUE"""),"")</f>
        <v/>
      </c>
      <c r="P761" s="36" t="str">
        <f ca="1">IFERROR(__xludf.DUMMYFUNCTION("""COMPUTED_VALUE"""),"")</f>
        <v/>
      </c>
      <c r="Q761" s="36" t="str">
        <f ca="1">IFERROR(__xludf.DUMMYFUNCTION("""COMPUTED_VALUE"""),"")</f>
        <v/>
      </c>
      <c r="R761" s="36" t="str">
        <f ca="1">IFERROR(__xludf.DUMMYFUNCTION("""COMPUTED_VALUE"""),"")</f>
        <v/>
      </c>
      <c r="S761" s="36" t="str">
        <f ca="1">IFERROR(__xludf.DUMMYFUNCTION("""COMPUTED_VALUE"""),"")</f>
        <v/>
      </c>
      <c r="T761" s="36" t="str">
        <f ca="1">IFERROR(__xludf.DUMMYFUNCTION("""COMPUTED_VALUE"""),"")</f>
        <v/>
      </c>
      <c r="U761" s="36" t="str">
        <f ca="1">IFERROR(__xludf.DUMMYFUNCTION("""COMPUTED_VALUE"""),"")</f>
        <v/>
      </c>
      <c r="V761" s="36" t="str">
        <f ca="1">IFERROR(__xludf.DUMMYFUNCTION("""COMPUTED_VALUE"""),"")</f>
        <v/>
      </c>
      <c r="W761" s="36" t="str">
        <f ca="1">IFERROR(__xludf.DUMMYFUNCTION("""COMPUTED_VALUE"""),"")</f>
        <v/>
      </c>
      <c r="X761" s="36"/>
      <c r="Y761" s="36"/>
      <c r="Z761" s="36"/>
    </row>
    <row r="762" spans="1:26" ht="12.75" hidden="1">
      <c r="A762" s="36" t="str">
        <f ca="1">IFERROR(__xludf.DUMMYFUNCTION("""COMPUTED_VALUE"""),"")</f>
        <v/>
      </c>
      <c r="B762" s="36" t="str">
        <f ca="1">IFERROR(__xludf.DUMMYFUNCTION("""COMPUTED_VALUE"""),"")</f>
        <v/>
      </c>
      <c r="C762" s="36" t="str">
        <f ca="1">IFERROR(__xludf.DUMMYFUNCTION("""COMPUTED_VALUE"""),"")</f>
        <v/>
      </c>
      <c r="D762" s="36" t="str">
        <f ca="1">IFERROR(__xludf.DUMMYFUNCTION("""COMPUTED_VALUE"""),"")</f>
        <v/>
      </c>
      <c r="E762" s="36" t="str">
        <f ca="1">IFERROR(__xludf.DUMMYFUNCTION("""COMPUTED_VALUE"""),"")</f>
        <v/>
      </c>
      <c r="F762" s="36" t="str">
        <f ca="1">IFERROR(__xludf.DUMMYFUNCTION("""COMPUTED_VALUE"""),"")</f>
        <v/>
      </c>
      <c r="G762" s="36" t="str">
        <f ca="1">IFERROR(__xludf.DUMMYFUNCTION("""COMPUTED_VALUE"""),"")</f>
        <v/>
      </c>
      <c r="H762" s="36" t="str">
        <f ca="1">IFERROR(__xludf.DUMMYFUNCTION("""COMPUTED_VALUE"""),"")</f>
        <v/>
      </c>
      <c r="I762" s="36" t="str">
        <f ca="1">IFERROR(__xludf.DUMMYFUNCTION("""COMPUTED_VALUE"""),"")</f>
        <v/>
      </c>
      <c r="J762" s="36" t="str">
        <f ca="1">IFERROR(__xludf.DUMMYFUNCTION("""COMPUTED_VALUE"""),"")</f>
        <v/>
      </c>
      <c r="K762" s="36" t="str">
        <f ca="1">IFERROR(__xludf.DUMMYFUNCTION("""COMPUTED_VALUE"""),"")</f>
        <v/>
      </c>
      <c r="L762" s="36" t="str">
        <f ca="1">IFERROR(__xludf.DUMMYFUNCTION("""COMPUTED_VALUE"""),"")</f>
        <v/>
      </c>
      <c r="M762" s="36" t="str">
        <f ca="1">IFERROR(__xludf.DUMMYFUNCTION("""COMPUTED_VALUE"""),"")</f>
        <v/>
      </c>
      <c r="N762" s="36" t="str">
        <f ca="1">IFERROR(__xludf.DUMMYFUNCTION("""COMPUTED_VALUE"""),"")</f>
        <v/>
      </c>
      <c r="O762" s="36" t="str">
        <f ca="1">IFERROR(__xludf.DUMMYFUNCTION("""COMPUTED_VALUE"""),"")</f>
        <v/>
      </c>
      <c r="P762" s="36" t="str">
        <f ca="1">IFERROR(__xludf.DUMMYFUNCTION("""COMPUTED_VALUE"""),"")</f>
        <v/>
      </c>
      <c r="Q762" s="36" t="str">
        <f ca="1">IFERROR(__xludf.DUMMYFUNCTION("""COMPUTED_VALUE"""),"")</f>
        <v/>
      </c>
      <c r="R762" s="36" t="str">
        <f ca="1">IFERROR(__xludf.DUMMYFUNCTION("""COMPUTED_VALUE"""),"")</f>
        <v/>
      </c>
      <c r="S762" s="36" t="str">
        <f ca="1">IFERROR(__xludf.DUMMYFUNCTION("""COMPUTED_VALUE"""),"")</f>
        <v/>
      </c>
      <c r="T762" s="36" t="str">
        <f ca="1">IFERROR(__xludf.DUMMYFUNCTION("""COMPUTED_VALUE"""),"")</f>
        <v/>
      </c>
      <c r="U762" s="36" t="str">
        <f ca="1">IFERROR(__xludf.DUMMYFUNCTION("""COMPUTED_VALUE"""),"")</f>
        <v/>
      </c>
      <c r="V762" s="36" t="str">
        <f ca="1">IFERROR(__xludf.DUMMYFUNCTION("""COMPUTED_VALUE"""),"")</f>
        <v/>
      </c>
      <c r="W762" s="36" t="str">
        <f ca="1">IFERROR(__xludf.DUMMYFUNCTION("""COMPUTED_VALUE"""),"")</f>
        <v/>
      </c>
      <c r="X762" s="36"/>
      <c r="Y762" s="36"/>
      <c r="Z762" s="36"/>
    </row>
    <row r="763" spans="1:26" ht="12.75" hidden="1">
      <c r="A763" s="36" t="str">
        <f ca="1">IFERROR(__xludf.DUMMYFUNCTION("""COMPUTED_VALUE"""),"")</f>
        <v/>
      </c>
      <c r="B763" s="36" t="str">
        <f ca="1">IFERROR(__xludf.DUMMYFUNCTION("""COMPUTED_VALUE"""),"")</f>
        <v/>
      </c>
      <c r="C763" s="36" t="str">
        <f ca="1">IFERROR(__xludf.DUMMYFUNCTION("""COMPUTED_VALUE"""),"")</f>
        <v/>
      </c>
      <c r="D763" s="36" t="str">
        <f ca="1">IFERROR(__xludf.DUMMYFUNCTION("""COMPUTED_VALUE"""),"")</f>
        <v/>
      </c>
      <c r="E763" s="36" t="str">
        <f ca="1">IFERROR(__xludf.DUMMYFUNCTION("""COMPUTED_VALUE"""),"")</f>
        <v/>
      </c>
      <c r="F763" s="36" t="str">
        <f ca="1">IFERROR(__xludf.DUMMYFUNCTION("""COMPUTED_VALUE"""),"")</f>
        <v/>
      </c>
      <c r="G763" s="36" t="str">
        <f ca="1">IFERROR(__xludf.DUMMYFUNCTION("""COMPUTED_VALUE"""),"")</f>
        <v/>
      </c>
      <c r="H763" s="36" t="str">
        <f ca="1">IFERROR(__xludf.DUMMYFUNCTION("""COMPUTED_VALUE"""),"")</f>
        <v/>
      </c>
      <c r="I763" s="36" t="str">
        <f ca="1">IFERROR(__xludf.DUMMYFUNCTION("""COMPUTED_VALUE"""),"")</f>
        <v/>
      </c>
      <c r="J763" s="36" t="str">
        <f ca="1">IFERROR(__xludf.DUMMYFUNCTION("""COMPUTED_VALUE"""),"")</f>
        <v/>
      </c>
      <c r="K763" s="36" t="str">
        <f ca="1">IFERROR(__xludf.DUMMYFUNCTION("""COMPUTED_VALUE"""),"")</f>
        <v/>
      </c>
      <c r="L763" s="36" t="str">
        <f ca="1">IFERROR(__xludf.DUMMYFUNCTION("""COMPUTED_VALUE"""),"")</f>
        <v/>
      </c>
      <c r="M763" s="36" t="str">
        <f ca="1">IFERROR(__xludf.DUMMYFUNCTION("""COMPUTED_VALUE"""),"")</f>
        <v/>
      </c>
      <c r="N763" s="36" t="str">
        <f ca="1">IFERROR(__xludf.DUMMYFUNCTION("""COMPUTED_VALUE"""),"")</f>
        <v/>
      </c>
      <c r="O763" s="36" t="str">
        <f ca="1">IFERROR(__xludf.DUMMYFUNCTION("""COMPUTED_VALUE"""),"")</f>
        <v/>
      </c>
      <c r="P763" s="36" t="str">
        <f ca="1">IFERROR(__xludf.DUMMYFUNCTION("""COMPUTED_VALUE"""),"")</f>
        <v/>
      </c>
      <c r="Q763" s="36" t="str">
        <f ca="1">IFERROR(__xludf.DUMMYFUNCTION("""COMPUTED_VALUE"""),"")</f>
        <v/>
      </c>
      <c r="R763" s="36" t="str">
        <f ca="1">IFERROR(__xludf.DUMMYFUNCTION("""COMPUTED_VALUE"""),"")</f>
        <v/>
      </c>
      <c r="S763" s="36" t="str">
        <f ca="1">IFERROR(__xludf.DUMMYFUNCTION("""COMPUTED_VALUE"""),"")</f>
        <v/>
      </c>
      <c r="T763" s="36" t="str">
        <f ca="1">IFERROR(__xludf.DUMMYFUNCTION("""COMPUTED_VALUE"""),"")</f>
        <v/>
      </c>
      <c r="U763" s="36" t="str">
        <f ca="1">IFERROR(__xludf.DUMMYFUNCTION("""COMPUTED_VALUE"""),"")</f>
        <v/>
      </c>
      <c r="V763" s="36" t="str">
        <f ca="1">IFERROR(__xludf.DUMMYFUNCTION("""COMPUTED_VALUE"""),"")</f>
        <v/>
      </c>
      <c r="W763" s="36" t="str">
        <f ca="1">IFERROR(__xludf.DUMMYFUNCTION("""COMPUTED_VALUE"""),"")</f>
        <v/>
      </c>
      <c r="X763" s="36"/>
      <c r="Y763" s="36"/>
      <c r="Z763" s="36"/>
    </row>
    <row r="764" spans="1:26" ht="12.75" hidden="1">
      <c r="A764" s="36" t="str">
        <f ca="1">IFERROR(__xludf.DUMMYFUNCTION("""COMPUTED_VALUE"""),"")</f>
        <v/>
      </c>
      <c r="B764" s="36" t="str">
        <f ca="1">IFERROR(__xludf.DUMMYFUNCTION("""COMPUTED_VALUE"""),"")</f>
        <v/>
      </c>
      <c r="C764" s="36" t="str">
        <f ca="1">IFERROR(__xludf.DUMMYFUNCTION("""COMPUTED_VALUE"""),"")</f>
        <v/>
      </c>
      <c r="D764" s="36" t="str">
        <f ca="1">IFERROR(__xludf.DUMMYFUNCTION("""COMPUTED_VALUE"""),"")</f>
        <v/>
      </c>
      <c r="E764" s="36" t="str">
        <f ca="1">IFERROR(__xludf.DUMMYFUNCTION("""COMPUTED_VALUE"""),"")</f>
        <v/>
      </c>
      <c r="F764" s="36" t="str">
        <f ca="1">IFERROR(__xludf.DUMMYFUNCTION("""COMPUTED_VALUE"""),"")</f>
        <v/>
      </c>
      <c r="G764" s="36" t="str">
        <f ca="1">IFERROR(__xludf.DUMMYFUNCTION("""COMPUTED_VALUE"""),"")</f>
        <v/>
      </c>
      <c r="H764" s="36" t="str">
        <f ca="1">IFERROR(__xludf.DUMMYFUNCTION("""COMPUTED_VALUE"""),"")</f>
        <v/>
      </c>
      <c r="I764" s="36" t="str">
        <f ca="1">IFERROR(__xludf.DUMMYFUNCTION("""COMPUTED_VALUE"""),"")</f>
        <v/>
      </c>
      <c r="J764" s="36" t="str">
        <f ca="1">IFERROR(__xludf.DUMMYFUNCTION("""COMPUTED_VALUE"""),"")</f>
        <v/>
      </c>
      <c r="K764" s="36" t="str">
        <f ca="1">IFERROR(__xludf.DUMMYFUNCTION("""COMPUTED_VALUE"""),"")</f>
        <v/>
      </c>
      <c r="L764" s="36" t="str">
        <f ca="1">IFERROR(__xludf.DUMMYFUNCTION("""COMPUTED_VALUE"""),"")</f>
        <v/>
      </c>
      <c r="M764" s="36" t="str">
        <f ca="1">IFERROR(__xludf.DUMMYFUNCTION("""COMPUTED_VALUE"""),"")</f>
        <v/>
      </c>
      <c r="N764" s="36" t="str">
        <f ca="1">IFERROR(__xludf.DUMMYFUNCTION("""COMPUTED_VALUE"""),"")</f>
        <v/>
      </c>
      <c r="O764" s="36" t="str">
        <f ca="1">IFERROR(__xludf.DUMMYFUNCTION("""COMPUTED_VALUE"""),"")</f>
        <v/>
      </c>
      <c r="P764" s="36" t="str">
        <f ca="1">IFERROR(__xludf.DUMMYFUNCTION("""COMPUTED_VALUE"""),"")</f>
        <v/>
      </c>
      <c r="Q764" s="36" t="str">
        <f ca="1">IFERROR(__xludf.DUMMYFUNCTION("""COMPUTED_VALUE"""),"")</f>
        <v/>
      </c>
      <c r="R764" s="36" t="str">
        <f ca="1">IFERROR(__xludf.DUMMYFUNCTION("""COMPUTED_VALUE"""),"")</f>
        <v/>
      </c>
      <c r="S764" s="36" t="str">
        <f ca="1">IFERROR(__xludf.DUMMYFUNCTION("""COMPUTED_VALUE"""),"")</f>
        <v/>
      </c>
      <c r="T764" s="36" t="str">
        <f ca="1">IFERROR(__xludf.DUMMYFUNCTION("""COMPUTED_VALUE"""),"")</f>
        <v/>
      </c>
      <c r="U764" s="36" t="str">
        <f ca="1">IFERROR(__xludf.DUMMYFUNCTION("""COMPUTED_VALUE"""),"")</f>
        <v/>
      </c>
      <c r="V764" s="36" t="str">
        <f ca="1">IFERROR(__xludf.DUMMYFUNCTION("""COMPUTED_VALUE"""),"")</f>
        <v/>
      </c>
      <c r="W764" s="36" t="str">
        <f ca="1">IFERROR(__xludf.DUMMYFUNCTION("""COMPUTED_VALUE"""),"")</f>
        <v/>
      </c>
      <c r="X764" s="36"/>
      <c r="Y764" s="36"/>
      <c r="Z764" s="36"/>
    </row>
    <row r="765" spans="1:26" ht="12.75" hidden="1">
      <c r="A765" s="36" t="str">
        <f ca="1">IFERROR(__xludf.DUMMYFUNCTION("""COMPUTED_VALUE"""),"")</f>
        <v/>
      </c>
      <c r="B765" s="36" t="str">
        <f ca="1">IFERROR(__xludf.DUMMYFUNCTION("""COMPUTED_VALUE"""),"")</f>
        <v/>
      </c>
      <c r="C765" s="36" t="str">
        <f ca="1">IFERROR(__xludf.DUMMYFUNCTION("""COMPUTED_VALUE"""),"")</f>
        <v/>
      </c>
      <c r="D765" s="36" t="str">
        <f ca="1">IFERROR(__xludf.DUMMYFUNCTION("""COMPUTED_VALUE"""),"")</f>
        <v/>
      </c>
      <c r="E765" s="36" t="str">
        <f ca="1">IFERROR(__xludf.DUMMYFUNCTION("""COMPUTED_VALUE"""),"")</f>
        <v/>
      </c>
      <c r="F765" s="36" t="str">
        <f ca="1">IFERROR(__xludf.DUMMYFUNCTION("""COMPUTED_VALUE"""),"")</f>
        <v/>
      </c>
      <c r="G765" s="36" t="str">
        <f ca="1">IFERROR(__xludf.DUMMYFUNCTION("""COMPUTED_VALUE"""),"")</f>
        <v/>
      </c>
      <c r="H765" s="36" t="str">
        <f ca="1">IFERROR(__xludf.DUMMYFUNCTION("""COMPUTED_VALUE"""),"")</f>
        <v/>
      </c>
      <c r="I765" s="36" t="str">
        <f ca="1">IFERROR(__xludf.DUMMYFUNCTION("""COMPUTED_VALUE"""),"")</f>
        <v/>
      </c>
      <c r="J765" s="36" t="str">
        <f ca="1">IFERROR(__xludf.DUMMYFUNCTION("""COMPUTED_VALUE"""),"")</f>
        <v/>
      </c>
      <c r="K765" s="36" t="str">
        <f ca="1">IFERROR(__xludf.DUMMYFUNCTION("""COMPUTED_VALUE"""),"")</f>
        <v/>
      </c>
      <c r="L765" s="36" t="str">
        <f ca="1">IFERROR(__xludf.DUMMYFUNCTION("""COMPUTED_VALUE"""),"")</f>
        <v/>
      </c>
      <c r="M765" s="36" t="str">
        <f ca="1">IFERROR(__xludf.DUMMYFUNCTION("""COMPUTED_VALUE"""),"")</f>
        <v/>
      </c>
      <c r="N765" s="36" t="str">
        <f ca="1">IFERROR(__xludf.DUMMYFUNCTION("""COMPUTED_VALUE"""),"")</f>
        <v/>
      </c>
      <c r="O765" s="36" t="str">
        <f ca="1">IFERROR(__xludf.DUMMYFUNCTION("""COMPUTED_VALUE"""),"")</f>
        <v/>
      </c>
      <c r="P765" s="36" t="str">
        <f ca="1">IFERROR(__xludf.DUMMYFUNCTION("""COMPUTED_VALUE"""),"")</f>
        <v/>
      </c>
      <c r="Q765" s="36" t="str">
        <f ca="1">IFERROR(__xludf.DUMMYFUNCTION("""COMPUTED_VALUE"""),"")</f>
        <v/>
      </c>
      <c r="R765" s="36" t="str">
        <f ca="1">IFERROR(__xludf.DUMMYFUNCTION("""COMPUTED_VALUE"""),"")</f>
        <v/>
      </c>
      <c r="S765" s="36" t="str">
        <f ca="1">IFERROR(__xludf.DUMMYFUNCTION("""COMPUTED_VALUE"""),"")</f>
        <v/>
      </c>
      <c r="T765" s="36" t="str">
        <f ca="1">IFERROR(__xludf.DUMMYFUNCTION("""COMPUTED_VALUE"""),"")</f>
        <v/>
      </c>
      <c r="U765" s="36" t="str">
        <f ca="1">IFERROR(__xludf.DUMMYFUNCTION("""COMPUTED_VALUE"""),"")</f>
        <v/>
      </c>
      <c r="V765" s="36" t="str">
        <f ca="1">IFERROR(__xludf.DUMMYFUNCTION("""COMPUTED_VALUE"""),"")</f>
        <v/>
      </c>
      <c r="W765" s="36" t="str">
        <f ca="1">IFERROR(__xludf.DUMMYFUNCTION("""COMPUTED_VALUE"""),"")</f>
        <v/>
      </c>
      <c r="X765" s="36"/>
      <c r="Y765" s="36"/>
      <c r="Z765" s="36"/>
    </row>
    <row r="766" spans="1:26" ht="12.75" hidden="1">
      <c r="A766" s="36" t="str">
        <f ca="1">IFERROR(__xludf.DUMMYFUNCTION("""COMPUTED_VALUE"""),"")</f>
        <v/>
      </c>
      <c r="B766" s="36" t="str">
        <f ca="1">IFERROR(__xludf.DUMMYFUNCTION("""COMPUTED_VALUE"""),"")</f>
        <v/>
      </c>
      <c r="C766" s="36" t="str">
        <f ca="1">IFERROR(__xludf.DUMMYFUNCTION("""COMPUTED_VALUE"""),"")</f>
        <v/>
      </c>
      <c r="D766" s="36" t="str">
        <f ca="1">IFERROR(__xludf.DUMMYFUNCTION("""COMPUTED_VALUE"""),"")</f>
        <v/>
      </c>
      <c r="E766" s="36" t="str">
        <f ca="1">IFERROR(__xludf.DUMMYFUNCTION("""COMPUTED_VALUE"""),"")</f>
        <v/>
      </c>
      <c r="F766" s="36" t="str">
        <f ca="1">IFERROR(__xludf.DUMMYFUNCTION("""COMPUTED_VALUE"""),"")</f>
        <v/>
      </c>
      <c r="G766" s="36" t="str">
        <f ca="1">IFERROR(__xludf.DUMMYFUNCTION("""COMPUTED_VALUE"""),"")</f>
        <v/>
      </c>
      <c r="H766" s="36" t="str">
        <f ca="1">IFERROR(__xludf.DUMMYFUNCTION("""COMPUTED_VALUE"""),"")</f>
        <v/>
      </c>
      <c r="I766" s="36" t="str">
        <f ca="1">IFERROR(__xludf.DUMMYFUNCTION("""COMPUTED_VALUE"""),"")</f>
        <v/>
      </c>
      <c r="J766" s="36" t="str">
        <f ca="1">IFERROR(__xludf.DUMMYFUNCTION("""COMPUTED_VALUE"""),"")</f>
        <v/>
      </c>
      <c r="K766" s="36" t="str">
        <f ca="1">IFERROR(__xludf.DUMMYFUNCTION("""COMPUTED_VALUE"""),"")</f>
        <v/>
      </c>
      <c r="L766" s="36" t="str">
        <f ca="1">IFERROR(__xludf.DUMMYFUNCTION("""COMPUTED_VALUE"""),"")</f>
        <v/>
      </c>
      <c r="M766" s="36" t="str">
        <f ca="1">IFERROR(__xludf.DUMMYFUNCTION("""COMPUTED_VALUE"""),"")</f>
        <v/>
      </c>
      <c r="N766" s="36" t="str">
        <f ca="1">IFERROR(__xludf.DUMMYFUNCTION("""COMPUTED_VALUE"""),"")</f>
        <v/>
      </c>
      <c r="O766" s="36" t="str">
        <f ca="1">IFERROR(__xludf.DUMMYFUNCTION("""COMPUTED_VALUE"""),"")</f>
        <v/>
      </c>
      <c r="P766" s="36" t="str">
        <f ca="1">IFERROR(__xludf.DUMMYFUNCTION("""COMPUTED_VALUE"""),"")</f>
        <v/>
      </c>
      <c r="Q766" s="36" t="str">
        <f ca="1">IFERROR(__xludf.DUMMYFUNCTION("""COMPUTED_VALUE"""),"")</f>
        <v/>
      </c>
      <c r="R766" s="36" t="str">
        <f ca="1">IFERROR(__xludf.DUMMYFUNCTION("""COMPUTED_VALUE"""),"")</f>
        <v/>
      </c>
      <c r="S766" s="36" t="str">
        <f ca="1">IFERROR(__xludf.DUMMYFUNCTION("""COMPUTED_VALUE"""),"")</f>
        <v/>
      </c>
      <c r="T766" s="36" t="str">
        <f ca="1">IFERROR(__xludf.DUMMYFUNCTION("""COMPUTED_VALUE"""),"")</f>
        <v/>
      </c>
      <c r="U766" s="36" t="str">
        <f ca="1">IFERROR(__xludf.DUMMYFUNCTION("""COMPUTED_VALUE"""),"")</f>
        <v/>
      </c>
      <c r="V766" s="36" t="str">
        <f ca="1">IFERROR(__xludf.DUMMYFUNCTION("""COMPUTED_VALUE"""),"")</f>
        <v/>
      </c>
      <c r="W766" s="36" t="str">
        <f ca="1">IFERROR(__xludf.DUMMYFUNCTION("""COMPUTED_VALUE"""),"")</f>
        <v/>
      </c>
      <c r="X766" s="36"/>
      <c r="Y766" s="36"/>
      <c r="Z766" s="36"/>
    </row>
    <row r="767" spans="1:26" ht="12.75" hidden="1">
      <c r="A767" s="36" t="str">
        <f ca="1">IFERROR(__xludf.DUMMYFUNCTION("""COMPUTED_VALUE"""),"")</f>
        <v/>
      </c>
      <c r="B767" s="36" t="str">
        <f ca="1">IFERROR(__xludf.DUMMYFUNCTION("""COMPUTED_VALUE"""),"")</f>
        <v/>
      </c>
      <c r="C767" s="36" t="str">
        <f ca="1">IFERROR(__xludf.DUMMYFUNCTION("""COMPUTED_VALUE"""),"")</f>
        <v/>
      </c>
      <c r="D767" s="36" t="str">
        <f ca="1">IFERROR(__xludf.DUMMYFUNCTION("""COMPUTED_VALUE"""),"")</f>
        <v/>
      </c>
      <c r="E767" s="36" t="str">
        <f ca="1">IFERROR(__xludf.DUMMYFUNCTION("""COMPUTED_VALUE"""),"")</f>
        <v/>
      </c>
      <c r="F767" s="36" t="str">
        <f ca="1">IFERROR(__xludf.DUMMYFUNCTION("""COMPUTED_VALUE"""),"")</f>
        <v/>
      </c>
      <c r="G767" s="36" t="str">
        <f ca="1">IFERROR(__xludf.DUMMYFUNCTION("""COMPUTED_VALUE"""),"")</f>
        <v/>
      </c>
      <c r="H767" s="36" t="str">
        <f ca="1">IFERROR(__xludf.DUMMYFUNCTION("""COMPUTED_VALUE"""),"")</f>
        <v/>
      </c>
      <c r="I767" s="36" t="str">
        <f ca="1">IFERROR(__xludf.DUMMYFUNCTION("""COMPUTED_VALUE"""),"")</f>
        <v/>
      </c>
      <c r="J767" s="36" t="str">
        <f ca="1">IFERROR(__xludf.DUMMYFUNCTION("""COMPUTED_VALUE"""),"")</f>
        <v/>
      </c>
      <c r="K767" s="36" t="str">
        <f ca="1">IFERROR(__xludf.DUMMYFUNCTION("""COMPUTED_VALUE"""),"")</f>
        <v/>
      </c>
      <c r="L767" s="36" t="str">
        <f ca="1">IFERROR(__xludf.DUMMYFUNCTION("""COMPUTED_VALUE"""),"")</f>
        <v/>
      </c>
      <c r="M767" s="36" t="str">
        <f ca="1">IFERROR(__xludf.DUMMYFUNCTION("""COMPUTED_VALUE"""),"")</f>
        <v/>
      </c>
      <c r="N767" s="36" t="str">
        <f ca="1">IFERROR(__xludf.DUMMYFUNCTION("""COMPUTED_VALUE"""),"")</f>
        <v/>
      </c>
      <c r="O767" s="36" t="str">
        <f ca="1">IFERROR(__xludf.DUMMYFUNCTION("""COMPUTED_VALUE"""),"")</f>
        <v/>
      </c>
      <c r="P767" s="36" t="str">
        <f ca="1">IFERROR(__xludf.DUMMYFUNCTION("""COMPUTED_VALUE"""),"")</f>
        <v/>
      </c>
      <c r="Q767" s="36" t="str">
        <f ca="1">IFERROR(__xludf.DUMMYFUNCTION("""COMPUTED_VALUE"""),"")</f>
        <v/>
      </c>
      <c r="R767" s="36" t="str">
        <f ca="1">IFERROR(__xludf.DUMMYFUNCTION("""COMPUTED_VALUE"""),"")</f>
        <v/>
      </c>
      <c r="S767" s="36" t="str">
        <f ca="1">IFERROR(__xludf.DUMMYFUNCTION("""COMPUTED_VALUE"""),"")</f>
        <v/>
      </c>
      <c r="T767" s="36" t="str">
        <f ca="1">IFERROR(__xludf.DUMMYFUNCTION("""COMPUTED_VALUE"""),"")</f>
        <v/>
      </c>
      <c r="U767" s="36" t="str">
        <f ca="1">IFERROR(__xludf.DUMMYFUNCTION("""COMPUTED_VALUE"""),"")</f>
        <v/>
      </c>
      <c r="V767" s="36" t="str">
        <f ca="1">IFERROR(__xludf.DUMMYFUNCTION("""COMPUTED_VALUE"""),"")</f>
        <v/>
      </c>
      <c r="W767" s="36" t="str">
        <f ca="1">IFERROR(__xludf.DUMMYFUNCTION("""COMPUTED_VALUE"""),"")</f>
        <v/>
      </c>
      <c r="X767" s="36"/>
      <c r="Y767" s="36"/>
      <c r="Z767" s="36"/>
    </row>
    <row r="768" spans="1:26" ht="12.75" hidden="1">
      <c r="A768" s="36" t="str">
        <f ca="1">IFERROR(__xludf.DUMMYFUNCTION("""COMPUTED_VALUE"""),"")</f>
        <v/>
      </c>
      <c r="B768" s="36" t="str">
        <f ca="1">IFERROR(__xludf.DUMMYFUNCTION("""COMPUTED_VALUE"""),"")</f>
        <v/>
      </c>
      <c r="C768" s="36" t="str">
        <f ca="1">IFERROR(__xludf.DUMMYFUNCTION("""COMPUTED_VALUE"""),"")</f>
        <v/>
      </c>
      <c r="D768" s="36" t="str">
        <f ca="1">IFERROR(__xludf.DUMMYFUNCTION("""COMPUTED_VALUE"""),"")</f>
        <v/>
      </c>
      <c r="E768" s="36" t="str">
        <f ca="1">IFERROR(__xludf.DUMMYFUNCTION("""COMPUTED_VALUE"""),"")</f>
        <v/>
      </c>
      <c r="F768" s="36" t="str">
        <f ca="1">IFERROR(__xludf.DUMMYFUNCTION("""COMPUTED_VALUE"""),"")</f>
        <v/>
      </c>
      <c r="G768" s="36" t="str">
        <f ca="1">IFERROR(__xludf.DUMMYFUNCTION("""COMPUTED_VALUE"""),"")</f>
        <v/>
      </c>
      <c r="H768" s="36" t="str">
        <f ca="1">IFERROR(__xludf.DUMMYFUNCTION("""COMPUTED_VALUE"""),"")</f>
        <v/>
      </c>
      <c r="I768" s="36" t="str">
        <f ca="1">IFERROR(__xludf.DUMMYFUNCTION("""COMPUTED_VALUE"""),"")</f>
        <v/>
      </c>
      <c r="J768" s="36" t="str">
        <f ca="1">IFERROR(__xludf.DUMMYFUNCTION("""COMPUTED_VALUE"""),"")</f>
        <v/>
      </c>
      <c r="K768" s="36" t="str">
        <f ca="1">IFERROR(__xludf.DUMMYFUNCTION("""COMPUTED_VALUE"""),"")</f>
        <v/>
      </c>
      <c r="L768" s="36" t="str">
        <f ca="1">IFERROR(__xludf.DUMMYFUNCTION("""COMPUTED_VALUE"""),"")</f>
        <v/>
      </c>
      <c r="M768" s="36" t="str">
        <f ca="1">IFERROR(__xludf.DUMMYFUNCTION("""COMPUTED_VALUE"""),"")</f>
        <v/>
      </c>
      <c r="N768" s="36" t="str">
        <f ca="1">IFERROR(__xludf.DUMMYFUNCTION("""COMPUTED_VALUE"""),"")</f>
        <v/>
      </c>
      <c r="O768" s="36" t="str">
        <f ca="1">IFERROR(__xludf.DUMMYFUNCTION("""COMPUTED_VALUE"""),"")</f>
        <v/>
      </c>
      <c r="P768" s="36" t="str">
        <f ca="1">IFERROR(__xludf.DUMMYFUNCTION("""COMPUTED_VALUE"""),"")</f>
        <v/>
      </c>
      <c r="Q768" s="36" t="str">
        <f ca="1">IFERROR(__xludf.DUMMYFUNCTION("""COMPUTED_VALUE"""),"")</f>
        <v/>
      </c>
      <c r="R768" s="36" t="str">
        <f ca="1">IFERROR(__xludf.DUMMYFUNCTION("""COMPUTED_VALUE"""),"")</f>
        <v/>
      </c>
      <c r="S768" s="36" t="str">
        <f ca="1">IFERROR(__xludf.DUMMYFUNCTION("""COMPUTED_VALUE"""),"")</f>
        <v/>
      </c>
      <c r="T768" s="36" t="str">
        <f ca="1">IFERROR(__xludf.DUMMYFUNCTION("""COMPUTED_VALUE"""),"")</f>
        <v/>
      </c>
      <c r="U768" s="36" t="str">
        <f ca="1">IFERROR(__xludf.DUMMYFUNCTION("""COMPUTED_VALUE"""),"")</f>
        <v/>
      </c>
      <c r="V768" s="36" t="str">
        <f ca="1">IFERROR(__xludf.DUMMYFUNCTION("""COMPUTED_VALUE"""),"")</f>
        <v/>
      </c>
      <c r="W768" s="36" t="str">
        <f ca="1">IFERROR(__xludf.DUMMYFUNCTION("""COMPUTED_VALUE"""),"")</f>
        <v/>
      </c>
      <c r="X768" s="36"/>
      <c r="Y768" s="36"/>
      <c r="Z768" s="36"/>
    </row>
    <row r="769" spans="1:26" ht="12.75" hidden="1">
      <c r="A769" s="36" t="str">
        <f ca="1">IFERROR(__xludf.DUMMYFUNCTION("""COMPUTED_VALUE"""),"")</f>
        <v/>
      </c>
      <c r="B769" s="36" t="str">
        <f ca="1">IFERROR(__xludf.DUMMYFUNCTION("""COMPUTED_VALUE"""),"")</f>
        <v/>
      </c>
      <c r="C769" s="36" t="str">
        <f ca="1">IFERROR(__xludf.DUMMYFUNCTION("""COMPUTED_VALUE"""),"")</f>
        <v/>
      </c>
      <c r="D769" s="36" t="str">
        <f ca="1">IFERROR(__xludf.DUMMYFUNCTION("""COMPUTED_VALUE"""),"")</f>
        <v/>
      </c>
      <c r="E769" s="36" t="str">
        <f ca="1">IFERROR(__xludf.DUMMYFUNCTION("""COMPUTED_VALUE"""),"")</f>
        <v/>
      </c>
      <c r="F769" s="36" t="str">
        <f ca="1">IFERROR(__xludf.DUMMYFUNCTION("""COMPUTED_VALUE"""),"")</f>
        <v/>
      </c>
      <c r="G769" s="36" t="str">
        <f ca="1">IFERROR(__xludf.DUMMYFUNCTION("""COMPUTED_VALUE"""),"")</f>
        <v/>
      </c>
      <c r="H769" s="36" t="str">
        <f ca="1">IFERROR(__xludf.DUMMYFUNCTION("""COMPUTED_VALUE"""),"")</f>
        <v/>
      </c>
      <c r="I769" s="36" t="str">
        <f ca="1">IFERROR(__xludf.DUMMYFUNCTION("""COMPUTED_VALUE"""),"")</f>
        <v/>
      </c>
      <c r="J769" s="36" t="str">
        <f ca="1">IFERROR(__xludf.DUMMYFUNCTION("""COMPUTED_VALUE"""),"")</f>
        <v/>
      </c>
      <c r="K769" s="36" t="str">
        <f ca="1">IFERROR(__xludf.DUMMYFUNCTION("""COMPUTED_VALUE"""),"")</f>
        <v/>
      </c>
      <c r="L769" s="36" t="str">
        <f ca="1">IFERROR(__xludf.DUMMYFUNCTION("""COMPUTED_VALUE"""),"")</f>
        <v/>
      </c>
      <c r="M769" s="36" t="str">
        <f ca="1">IFERROR(__xludf.DUMMYFUNCTION("""COMPUTED_VALUE"""),"")</f>
        <v/>
      </c>
      <c r="N769" s="36" t="str">
        <f ca="1">IFERROR(__xludf.DUMMYFUNCTION("""COMPUTED_VALUE"""),"")</f>
        <v/>
      </c>
      <c r="O769" s="36" t="str">
        <f ca="1">IFERROR(__xludf.DUMMYFUNCTION("""COMPUTED_VALUE"""),"")</f>
        <v/>
      </c>
      <c r="P769" s="36" t="str">
        <f ca="1">IFERROR(__xludf.DUMMYFUNCTION("""COMPUTED_VALUE"""),"")</f>
        <v/>
      </c>
      <c r="Q769" s="36" t="str">
        <f ca="1">IFERROR(__xludf.DUMMYFUNCTION("""COMPUTED_VALUE"""),"")</f>
        <v/>
      </c>
      <c r="R769" s="36" t="str">
        <f ca="1">IFERROR(__xludf.DUMMYFUNCTION("""COMPUTED_VALUE"""),"")</f>
        <v/>
      </c>
      <c r="S769" s="36" t="str">
        <f ca="1">IFERROR(__xludf.DUMMYFUNCTION("""COMPUTED_VALUE"""),"")</f>
        <v/>
      </c>
      <c r="T769" s="36" t="str">
        <f ca="1">IFERROR(__xludf.DUMMYFUNCTION("""COMPUTED_VALUE"""),"")</f>
        <v/>
      </c>
      <c r="U769" s="36" t="str">
        <f ca="1">IFERROR(__xludf.DUMMYFUNCTION("""COMPUTED_VALUE"""),"")</f>
        <v/>
      </c>
      <c r="V769" s="36" t="str">
        <f ca="1">IFERROR(__xludf.DUMMYFUNCTION("""COMPUTED_VALUE"""),"")</f>
        <v/>
      </c>
      <c r="W769" s="36" t="str">
        <f ca="1">IFERROR(__xludf.DUMMYFUNCTION("""COMPUTED_VALUE"""),"")</f>
        <v/>
      </c>
      <c r="X769" s="36"/>
      <c r="Y769" s="36"/>
      <c r="Z769" s="36"/>
    </row>
    <row r="770" spans="1:26" ht="12.75" hidden="1">
      <c r="A770" s="36" t="str">
        <f ca="1">IFERROR(__xludf.DUMMYFUNCTION("""COMPUTED_VALUE"""),"")</f>
        <v/>
      </c>
      <c r="B770" s="36" t="str">
        <f ca="1">IFERROR(__xludf.DUMMYFUNCTION("""COMPUTED_VALUE"""),"")</f>
        <v/>
      </c>
      <c r="C770" s="36" t="str">
        <f ca="1">IFERROR(__xludf.DUMMYFUNCTION("""COMPUTED_VALUE"""),"")</f>
        <v/>
      </c>
      <c r="D770" s="36" t="str">
        <f ca="1">IFERROR(__xludf.DUMMYFUNCTION("""COMPUTED_VALUE"""),"")</f>
        <v/>
      </c>
      <c r="E770" s="36" t="str">
        <f ca="1">IFERROR(__xludf.DUMMYFUNCTION("""COMPUTED_VALUE"""),"")</f>
        <v/>
      </c>
      <c r="F770" s="36" t="str">
        <f ca="1">IFERROR(__xludf.DUMMYFUNCTION("""COMPUTED_VALUE"""),"")</f>
        <v/>
      </c>
      <c r="G770" s="36" t="str">
        <f ca="1">IFERROR(__xludf.DUMMYFUNCTION("""COMPUTED_VALUE"""),"")</f>
        <v/>
      </c>
      <c r="H770" s="36" t="str">
        <f ca="1">IFERROR(__xludf.DUMMYFUNCTION("""COMPUTED_VALUE"""),"")</f>
        <v/>
      </c>
      <c r="I770" s="36" t="str">
        <f ca="1">IFERROR(__xludf.DUMMYFUNCTION("""COMPUTED_VALUE"""),"")</f>
        <v/>
      </c>
      <c r="J770" s="36" t="str">
        <f ca="1">IFERROR(__xludf.DUMMYFUNCTION("""COMPUTED_VALUE"""),"")</f>
        <v/>
      </c>
      <c r="K770" s="36" t="str">
        <f ca="1">IFERROR(__xludf.DUMMYFUNCTION("""COMPUTED_VALUE"""),"")</f>
        <v/>
      </c>
      <c r="L770" s="36" t="str">
        <f ca="1">IFERROR(__xludf.DUMMYFUNCTION("""COMPUTED_VALUE"""),"")</f>
        <v/>
      </c>
      <c r="M770" s="36" t="str">
        <f ca="1">IFERROR(__xludf.DUMMYFUNCTION("""COMPUTED_VALUE"""),"")</f>
        <v/>
      </c>
      <c r="N770" s="36" t="str">
        <f ca="1">IFERROR(__xludf.DUMMYFUNCTION("""COMPUTED_VALUE"""),"")</f>
        <v/>
      </c>
      <c r="O770" s="36" t="str">
        <f ca="1">IFERROR(__xludf.DUMMYFUNCTION("""COMPUTED_VALUE"""),"")</f>
        <v/>
      </c>
      <c r="P770" s="36" t="str">
        <f ca="1">IFERROR(__xludf.DUMMYFUNCTION("""COMPUTED_VALUE"""),"")</f>
        <v/>
      </c>
      <c r="Q770" s="36" t="str">
        <f ca="1">IFERROR(__xludf.DUMMYFUNCTION("""COMPUTED_VALUE"""),"")</f>
        <v/>
      </c>
      <c r="R770" s="36" t="str">
        <f ca="1">IFERROR(__xludf.DUMMYFUNCTION("""COMPUTED_VALUE"""),"")</f>
        <v/>
      </c>
      <c r="S770" s="36" t="str">
        <f ca="1">IFERROR(__xludf.DUMMYFUNCTION("""COMPUTED_VALUE"""),"")</f>
        <v/>
      </c>
      <c r="T770" s="36" t="str">
        <f ca="1">IFERROR(__xludf.DUMMYFUNCTION("""COMPUTED_VALUE"""),"")</f>
        <v/>
      </c>
      <c r="U770" s="36" t="str">
        <f ca="1">IFERROR(__xludf.DUMMYFUNCTION("""COMPUTED_VALUE"""),"")</f>
        <v/>
      </c>
      <c r="V770" s="36" t="str">
        <f ca="1">IFERROR(__xludf.DUMMYFUNCTION("""COMPUTED_VALUE"""),"")</f>
        <v/>
      </c>
      <c r="W770" s="36" t="str">
        <f ca="1">IFERROR(__xludf.DUMMYFUNCTION("""COMPUTED_VALUE"""),"")</f>
        <v/>
      </c>
      <c r="X770" s="36"/>
      <c r="Y770" s="36"/>
      <c r="Z770" s="36"/>
    </row>
    <row r="771" spans="1:26" ht="12.75" hidden="1">
      <c r="A771" s="36" t="str">
        <f ca="1">IFERROR(__xludf.DUMMYFUNCTION("""COMPUTED_VALUE"""),"")</f>
        <v/>
      </c>
      <c r="B771" s="36" t="str">
        <f ca="1">IFERROR(__xludf.DUMMYFUNCTION("""COMPUTED_VALUE"""),"")</f>
        <v/>
      </c>
      <c r="C771" s="36" t="str">
        <f ca="1">IFERROR(__xludf.DUMMYFUNCTION("""COMPUTED_VALUE"""),"")</f>
        <v/>
      </c>
      <c r="D771" s="36" t="str">
        <f ca="1">IFERROR(__xludf.DUMMYFUNCTION("""COMPUTED_VALUE"""),"")</f>
        <v/>
      </c>
      <c r="E771" s="36" t="str">
        <f ca="1">IFERROR(__xludf.DUMMYFUNCTION("""COMPUTED_VALUE"""),"")</f>
        <v/>
      </c>
      <c r="F771" s="36" t="str">
        <f ca="1">IFERROR(__xludf.DUMMYFUNCTION("""COMPUTED_VALUE"""),"")</f>
        <v/>
      </c>
      <c r="G771" s="36" t="str">
        <f ca="1">IFERROR(__xludf.DUMMYFUNCTION("""COMPUTED_VALUE"""),"")</f>
        <v/>
      </c>
      <c r="H771" s="36" t="str">
        <f ca="1">IFERROR(__xludf.DUMMYFUNCTION("""COMPUTED_VALUE"""),"")</f>
        <v/>
      </c>
      <c r="I771" s="36" t="str">
        <f ca="1">IFERROR(__xludf.DUMMYFUNCTION("""COMPUTED_VALUE"""),"")</f>
        <v/>
      </c>
      <c r="J771" s="36" t="str">
        <f ca="1">IFERROR(__xludf.DUMMYFUNCTION("""COMPUTED_VALUE"""),"")</f>
        <v/>
      </c>
      <c r="K771" s="36" t="str">
        <f ca="1">IFERROR(__xludf.DUMMYFUNCTION("""COMPUTED_VALUE"""),"")</f>
        <v/>
      </c>
      <c r="L771" s="36" t="str">
        <f ca="1">IFERROR(__xludf.DUMMYFUNCTION("""COMPUTED_VALUE"""),"")</f>
        <v/>
      </c>
      <c r="M771" s="36" t="str">
        <f ca="1">IFERROR(__xludf.DUMMYFUNCTION("""COMPUTED_VALUE"""),"")</f>
        <v/>
      </c>
      <c r="N771" s="36" t="str">
        <f ca="1">IFERROR(__xludf.DUMMYFUNCTION("""COMPUTED_VALUE"""),"")</f>
        <v/>
      </c>
      <c r="O771" s="36" t="str">
        <f ca="1">IFERROR(__xludf.DUMMYFUNCTION("""COMPUTED_VALUE"""),"")</f>
        <v/>
      </c>
      <c r="P771" s="36" t="str">
        <f ca="1">IFERROR(__xludf.DUMMYFUNCTION("""COMPUTED_VALUE"""),"")</f>
        <v/>
      </c>
      <c r="Q771" s="36" t="str">
        <f ca="1">IFERROR(__xludf.DUMMYFUNCTION("""COMPUTED_VALUE"""),"")</f>
        <v/>
      </c>
      <c r="R771" s="36" t="str">
        <f ca="1">IFERROR(__xludf.DUMMYFUNCTION("""COMPUTED_VALUE"""),"")</f>
        <v/>
      </c>
      <c r="S771" s="36" t="str">
        <f ca="1">IFERROR(__xludf.DUMMYFUNCTION("""COMPUTED_VALUE"""),"")</f>
        <v/>
      </c>
      <c r="T771" s="36" t="str">
        <f ca="1">IFERROR(__xludf.DUMMYFUNCTION("""COMPUTED_VALUE"""),"")</f>
        <v/>
      </c>
      <c r="U771" s="36" t="str">
        <f ca="1">IFERROR(__xludf.DUMMYFUNCTION("""COMPUTED_VALUE"""),"")</f>
        <v/>
      </c>
      <c r="V771" s="36" t="str">
        <f ca="1">IFERROR(__xludf.DUMMYFUNCTION("""COMPUTED_VALUE"""),"")</f>
        <v/>
      </c>
      <c r="W771" s="36" t="str">
        <f ca="1">IFERROR(__xludf.DUMMYFUNCTION("""COMPUTED_VALUE"""),"")</f>
        <v/>
      </c>
      <c r="X771" s="36"/>
      <c r="Y771" s="36"/>
      <c r="Z771" s="36"/>
    </row>
    <row r="772" spans="1:26" ht="12.75" hidden="1">
      <c r="A772" s="36" t="str">
        <f ca="1">IFERROR(__xludf.DUMMYFUNCTION("""COMPUTED_VALUE"""),"")</f>
        <v/>
      </c>
      <c r="B772" s="36" t="str">
        <f ca="1">IFERROR(__xludf.DUMMYFUNCTION("""COMPUTED_VALUE"""),"")</f>
        <v/>
      </c>
      <c r="C772" s="36" t="str">
        <f ca="1">IFERROR(__xludf.DUMMYFUNCTION("""COMPUTED_VALUE"""),"")</f>
        <v/>
      </c>
      <c r="D772" s="36" t="str">
        <f ca="1">IFERROR(__xludf.DUMMYFUNCTION("""COMPUTED_VALUE"""),"")</f>
        <v/>
      </c>
      <c r="E772" s="36" t="str">
        <f ca="1">IFERROR(__xludf.DUMMYFUNCTION("""COMPUTED_VALUE"""),"")</f>
        <v/>
      </c>
      <c r="F772" s="36" t="str">
        <f ca="1">IFERROR(__xludf.DUMMYFUNCTION("""COMPUTED_VALUE"""),"")</f>
        <v/>
      </c>
      <c r="G772" s="36" t="str">
        <f ca="1">IFERROR(__xludf.DUMMYFUNCTION("""COMPUTED_VALUE"""),"")</f>
        <v/>
      </c>
      <c r="H772" s="36" t="str">
        <f ca="1">IFERROR(__xludf.DUMMYFUNCTION("""COMPUTED_VALUE"""),"")</f>
        <v/>
      </c>
      <c r="I772" s="36" t="str">
        <f ca="1">IFERROR(__xludf.DUMMYFUNCTION("""COMPUTED_VALUE"""),"")</f>
        <v/>
      </c>
      <c r="J772" s="36" t="str">
        <f ca="1">IFERROR(__xludf.DUMMYFUNCTION("""COMPUTED_VALUE"""),"")</f>
        <v/>
      </c>
      <c r="K772" s="36" t="str">
        <f ca="1">IFERROR(__xludf.DUMMYFUNCTION("""COMPUTED_VALUE"""),"")</f>
        <v/>
      </c>
      <c r="L772" s="36" t="str">
        <f ca="1">IFERROR(__xludf.DUMMYFUNCTION("""COMPUTED_VALUE"""),"")</f>
        <v/>
      </c>
      <c r="M772" s="36" t="str">
        <f ca="1">IFERROR(__xludf.DUMMYFUNCTION("""COMPUTED_VALUE"""),"")</f>
        <v/>
      </c>
      <c r="N772" s="36" t="str">
        <f ca="1">IFERROR(__xludf.DUMMYFUNCTION("""COMPUTED_VALUE"""),"")</f>
        <v/>
      </c>
      <c r="O772" s="36" t="str">
        <f ca="1">IFERROR(__xludf.DUMMYFUNCTION("""COMPUTED_VALUE"""),"")</f>
        <v/>
      </c>
      <c r="P772" s="36" t="str">
        <f ca="1">IFERROR(__xludf.DUMMYFUNCTION("""COMPUTED_VALUE"""),"")</f>
        <v/>
      </c>
      <c r="Q772" s="36" t="str">
        <f ca="1">IFERROR(__xludf.DUMMYFUNCTION("""COMPUTED_VALUE"""),"")</f>
        <v/>
      </c>
      <c r="R772" s="36" t="str">
        <f ca="1">IFERROR(__xludf.DUMMYFUNCTION("""COMPUTED_VALUE"""),"")</f>
        <v/>
      </c>
      <c r="S772" s="36" t="str">
        <f ca="1">IFERROR(__xludf.DUMMYFUNCTION("""COMPUTED_VALUE"""),"")</f>
        <v/>
      </c>
      <c r="T772" s="36" t="str">
        <f ca="1">IFERROR(__xludf.DUMMYFUNCTION("""COMPUTED_VALUE"""),"")</f>
        <v/>
      </c>
      <c r="U772" s="36" t="str">
        <f ca="1">IFERROR(__xludf.DUMMYFUNCTION("""COMPUTED_VALUE"""),"")</f>
        <v/>
      </c>
      <c r="V772" s="36" t="str">
        <f ca="1">IFERROR(__xludf.DUMMYFUNCTION("""COMPUTED_VALUE"""),"")</f>
        <v/>
      </c>
      <c r="W772" s="36" t="str">
        <f ca="1">IFERROR(__xludf.DUMMYFUNCTION("""COMPUTED_VALUE"""),"")</f>
        <v/>
      </c>
      <c r="X772" s="36"/>
      <c r="Y772" s="36"/>
      <c r="Z772" s="36"/>
    </row>
    <row r="773" spans="1:26" ht="12.75" hidden="1">
      <c r="A773" s="36" t="str">
        <f ca="1">IFERROR(__xludf.DUMMYFUNCTION("""COMPUTED_VALUE"""),"")</f>
        <v/>
      </c>
      <c r="B773" s="36" t="str">
        <f ca="1">IFERROR(__xludf.DUMMYFUNCTION("""COMPUTED_VALUE"""),"")</f>
        <v/>
      </c>
      <c r="C773" s="36" t="str">
        <f ca="1">IFERROR(__xludf.DUMMYFUNCTION("""COMPUTED_VALUE"""),"")</f>
        <v/>
      </c>
      <c r="D773" s="36" t="str">
        <f ca="1">IFERROR(__xludf.DUMMYFUNCTION("""COMPUTED_VALUE"""),"")</f>
        <v/>
      </c>
      <c r="E773" s="36" t="str">
        <f ca="1">IFERROR(__xludf.DUMMYFUNCTION("""COMPUTED_VALUE"""),"")</f>
        <v/>
      </c>
      <c r="F773" s="36" t="str">
        <f ca="1">IFERROR(__xludf.DUMMYFUNCTION("""COMPUTED_VALUE"""),"")</f>
        <v/>
      </c>
      <c r="G773" s="36" t="str">
        <f ca="1">IFERROR(__xludf.DUMMYFUNCTION("""COMPUTED_VALUE"""),"")</f>
        <v/>
      </c>
      <c r="H773" s="36" t="str">
        <f ca="1">IFERROR(__xludf.DUMMYFUNCTION("""COMPUTED_VALUE"""),"")</f>
        <v/>
      </c>
      <c r="I773" s="36" t="str">
        <f ca="1">IFERROR(__xludf.DUMMYFUNCTION("""COMPUTED_VALUE"""),"")</f>
        <v/>
      </c>
      <c r="J773" s="36" t="str">
        <f ca="1">IFERROR(__xludf.DUMMYFUNCTION("""COMPUTED_VALUE"""),"")</f>
        <v/>
      </c>
      <c r="K773" s="36" t="str">
        <f ca="1">IFERROR(__xludf.DUMMYFUNCTION("""COMPUTED_VALUE"""),"")</f>
        <v/>
      </c>
      <c r="L773" s="36" t="str">
        <f ca="1">IFERROR(__xludf.DUMMYFUNCTION("""COMPUTED_VALUE"""),"")</f>
        <v/>
      </c>
      <c r="M773" s="36" t="str">
        <f ca="1">IFERROR(__xludf.DUMMYFUNCTION("""COMPUTED_VALUE"""),"")</f>
        <v/>
      </c>
      <c r="N773" s="36" t="str">
        <f ca="1">IFERROR(__xludf.DUMMYFUNCTION("""COMPUTED_VALUE"""),"")</f>
        <v/>
      </c>
      <c r="O773" s="36" t="str">
        <f ca="1">IFERROR(__xludf.DUMMYFUNCTION("""COMPUTED_VALUE"""),"")</f>
        <v/>
      </c>
      <c r="P773" s="36" t="str">
        <f ca="1">IFERROR(__xludf.DUMMYFUNCTION("""COMPUTED_VALUE"""),"")</f>
        <v/>
      </c>
      <c r="Q773" s="36" t="str">
        <f ca="1">IFERROR(__xludf.DUMMYFUNCTION("""COMPUTED_VALUE"""),"")</f>
        <v/>
      </c>
      <c r="R773" s="36" t="str">
        <f ca="1">IFERROR(__xludf.DUMMYFUNCTION("""COMPUTED_VALUE"""),"")</f>
        <v/>
      </c>
      <c r="S773" s="36" t="str">
        <f ca="1">IFERROR(__xludf.DUMMYFUNCTION("""COMPUTED_VALUE"""),"")</f>
        <v/>
      </c>
      <c r="T773" s="36" t="str">
        <f ca="1">IFERROR(__xludf.DUMMYFUNCTION("""COMPUTED_VALUE"""),"")</f>
        <v/>
      </c>
      <c r="U773" s="36" t="str">
        <f ca="1">IFERROR(__xludf.DUMMYFUNCTION("""COMPUTED_VALUE"""),"")</f>
        <v/>
      </c>
      <c r="V773" s="36" t="str">
        <f ca="1">IFERROR(__xludf.DUMMYFUNCTION("""COMPUTED_VALUE"""),"")</f>
        <v/>
      </c>
      <c r="W773" s="36" t="str">
        <f ca="1">IFERROR(__xludf.DUMMYFUNCTION("""COMPUTED_VALUE"""),"")</f>
        <v/>
      </c>
      <c r="X773" s="36"/>
      <c r="Y773" s="36"/>
      <c r="Z773" s="36"/>
    </row>
    <row r="774" spans="1:26" ht="12.75" hidden="1">
      <c r="A774" s="36" t="str">
        <f ca="1">IFERROR(__xludf.DUMMYFUNCTION("""COMPUTED_VALUE"""),"")</f>
        <v/>
      </c>
      <c r="B774" s="36" t="str">
        <f ca="1">IFERROR(__xludf.DUMMYFUNCTION("""COMPUTED_VALUE"""),"")</f>
        <v/>
      </c>
      <c r="C774" s="36" t="str">
        <f ca="1">IFERROR(__xludf.DUMMYFUNCTION("""COMPUTED_VALUE"""),"")</f>
        <v/>
      </c>
      <c r="D774" s="36" t="str">
        <f ca="1">IFERROR(__xludf.DUMMYFUNCTION("""COMPUTED_VALUE"""),"")</f>
        <v/>
      </c>
      <c r="E774" s="36" t="str">
        <f ca="1">IFERROR(__xludf.DUMMYFUNCTION("""COMPUTED_VALUE"""),"")</f>
        <v/>
      </c>
      <c r="F774" s="36" t="str">
        <f ca="1">IFERROR(__xludf.DUMMYFUNCTION("""COMPUTED_VALUE"""),"")</f>
        <v/>
      </c>
      <c r="G774" s="36" t="str">
        <f ca="1">IFERROR(__xludf.DUMMYFUNCTION("""COMPUTED_VALUE"""),"")</f>
        <v/>
      </c>
      <c r="H774" s="36" t="str">
        <f ca="1">IFERROR(__xludf.DUMMYFUNCTION("""COMPUTED_VALUE"""),"")</f>
        <v/>
      </c>
      <c r="I774" s="36" t="str">
        <f ca="1">IFERROR(__xludf.DUMMYFUNCTION("""COMPUTED_VALUE"""),"")</f>
        <v/>
      </c>
      <c r="J774" s="36" t="str">
        <f ca="1">IFERROR(__xludf.DUMMYFUNCTION("""COMPUTED_VALUE"""),"")</f>
        <v/>
      </c>
      <c r="K774" s="36" t="str">
        <f ca="1">IFERROR(__xludf.DUMMYFUNCTION("""COMPUTED_VALUE"""),"")</f>
        <v/>
      </c>
      <c r="L774" s="36" t="str">
        <f ca="1">IFERROR(__xludf.DUMMYFUNCTION("""COMPUTED_VALUE"""),"")</f>
        <v/>
      </c>
      <c r="M774" s="36" t="str">
        <f ca="1">IFERROR(__xludf.DUMMYFUNCTION("""COMPUTED_VALUE"""),"")</f>
        <v/>
      </c>
      <c r="N774" s="36" t="str">
        <f ca="1">IFERROR(__xludf.DUMMYFUNCTION("""COMPUTED_VALUE"""),"")</f>
        <v/>
      </c>
      <c r="O774" s="36" t="str">
        <f ca="1">IFERROR(__xludf.DUMMYFUNCTION("""COMPUTED_VALUE"""),"")</f>
        <v/>
      </c>
      <c r="P774" s="36" t="str">
        <f ca="1">IFERROR(__xludf.DUMMYFUNCTION("""COMPUTED_VALUE"""),"")</f>
        <v/>
      </c>
      <c r="Q774" s="36" t="str">
        <f ca="1">IFERROR(__xludf.DUMMYFUNCTION("""COMPUTED_VALUE"""),"")</f>
        <v/>
      </c>
      <c r="R774" s="36" t="str">
        <f ca="1">IFERROR(__xludf.DUMMYFUNCTION("""COMPUTED_VALUE"""),"")</f>
        <v/>
      </c>
      <c r="S774" s="36" t="str">
        <f ca="1">IFERROR(__xludf.DUMMYFUNCTION("""COMPUTED_VALUE"""),"")</f>
        <v/>
      </c>
      <c r="T774" s="36" t="str">
        <f ca="1">IFERROR(__xludf.DUMMYFUNCTION("""COMPUTED_VALUE"""),"")</f>
        <v/>
      </c>
      <c r="U774" s="36" t="str">
        <f ca="1">IFERROR(__xludf.DUMMYFUNCTION("""COMPUTED_VALUE"""),"")</f>
        <v/>
      </c>
      <c r="V774" s="36" t="str">
        <f ca="1">IFERROR(__xludf.DUMMYFUNCTION("""COMPUTED_VALUE"""),"")</f>
        <v/>
      </c>
      <c r="W774" s="36" t="str">
        <f ca="1">IFERROR(__xludf.DUMMYFUNCTION("""COMPUTED_VALUE"""),"")</f>
        <v/>
      </c>
      <c r="X774" s="36"/>
      <c r="Y774" s="36"/>
      <c r="Z774" s="36"/>
    </row>
    <row r="775" spans="1:26" ht="12.75" hidden="1">
      <c r="A775" s="36" t="str">
        <f ca="1">IFERROR(__xludf.DUMMYFUNCTION("""COMPUTED_VALUE"""),"")</f>
        <v/>
      </c>
      <c r="B775" s="36" t="str">
        <f ca="1">IFERROR(__xludf.DUMMYFUNCTION("""COMPUTED_VALUE"""),"")</f>
        <v/>
      </c>
      <c r="C775" s="36" t="str">
        <f ca="1">IFERROR(__xludf.DUMMYFUNCTION("""COMPUTED_VALUE"""),"")</f>
        <v/>
      </c>
      <c r="D775" s="36" t="str">
        <f ca="1">IFERROR(__xludf.DUMMYFUNCTION("""COMPUTED_VALUE"""),"")</f>
        <v/>
      </c>
      <c r="E775" s="36" t="str">
        <f ca="1">IFERROR(__xludf.DUMMYFUNCTION("""COMPUTED_VALUE"""),"")</f>
        <v/>
      </c>
      <c r="F775" s="36" t="str">
        <f ca="1">IFERROR(__xludf.DUMMYFUNCTION("""COMPUTED_VALUE"""),"")</f>
        <v/>
      </c>
      <c r="G775" s="36" t="str">
        <f ca="1">IFERROR(__xludf.DUMMYFUNCTION("""COMPUTED_VALUE"""),"")</f>
        <v/>
      </c>
      <c r="H775" s="36" t="str">
        <f ca="1">IFERROR(__xludf.DUMMYFUNCTION("""COMPUTED_VALUE"""),"")</f>
        <v/>
      </c>
      <c r="I775" s="36" t="str">
        <f ca="1">IFERROR(__xludf.DUMMYFUNCTION("""COMPUTED_VALUE"""),"")</f>
        <v/>
      </c>
      <c r="J775" s="36" t="str">
        <f ca="1">IFERROR(__xludf.DUMMYFUNCTION("""COMPUTED_VALUE"""),"")</f>
        <v/>
      </c>
      <c r="K775" s="36" t="str">
        <f ca="1">IFERROR(__xludf.DUMMYFUNCTION("""COMPUTED_VALUE"""),"")</f>
        <v/>
      </c>
      <c r="L775" s="36" t="str">
        <f ca="1">IFERROR(__xludf.DUMMYFUNCTION("""COMPUTED_VALUE"""),"")</f>
        <v/>
      </c>
      <c r="M775" s="36" t="str">
        <f ca="1">IFERROR(__xludf.DUMMYFUNCTION("""COMPUTED_VALUE"""),"")</f>
        <v/>
      </c>
      <c r="N775" s="36" t="str">
        <f ca="1">IFERROR(__xludf.DUMMYFUNCTION("""COMPUTED_VALUE"""),"")</f>
        <v/>
      </c>
      <c r="O775" s="36" t="str">
        <f ca="1">IFERROR(__xludf.DUMMYFUNCTION("""COMPUTED_VALUE"""),"")</f>
        <v/>
      </c>
      <c r="P775" s="36" t="str">
        <f ca="1">IFERROR(__xludf.DUMMYFUNCTION("""COMPUTED_VALUE"""),"")</f>
        <v/>
      </c>
      <c r="Q775" s="36" t="str">
        <f ca="1">IFERROR(__xludf.DUMMYFUNCTION("""COMPUTED_VALUE"""),"")</f>
        <v/>
      </c>
      <c r="R775" s="36" t="str">
        <f ca="1">IFERROR(__xludf.DUMMYFUNCTION("""COMPUTED_VALUE"""),"")</f>
        <v/>
      </c>
      <c r="S775" s="36" t="str">
        <f ca="1">IFERROR(__xludf.DUMMYFUNCTION("""COMPUTED_VALUE"""),"")</f>
        <v/>
      </c>
      <c r="T775" s="36" t="str">
        <f ca="1">IFERROR(__xludf.DUMMYFUNCTION("""COMPUTED_VALUE"""),"")</f>
        <v/>
      </c>
      <c r="U775" s="36" t="str">
        <f ca="1">IFERROR(__xludf.DUMMYFUNCTION("""COMPUTED_VALUE"""),"")</f>
        <v/>
      </c>
      <c r="V775" s="36" t="str">
        <f ca="1">IFERROR(__xludf.DUMMYFUNCTION("""COMPUTED_VALUE"""),"")</f>
        <v/>
      </c>
      <c r="W775" s="36" t="str">
        <f ca="1">IFERROR(__xludf.DUMMYFUNCTION("""COMPUTED_VALUE"""),"")</f>
        <v/>
      </c>
      <c r="X775" s="36"/>
      <c r="Y775" s="36"/>
      <c r="Z775" s="36"/>
    </row>
    <row r="776" spans="1:26" ht="12.75" hidden="1">
      <c r="A776" s="36" t="str">
        <f ca="1">IFERROR(__xludf.DUMMYFUNCTION("""COMPUTED_VALUE"""),"")</f>
        <v/>
      </c>
      <c r="B776" s="36" t="str">
        <f ca="1">IFERROR(__xludf.DUMMYFUNCTION("""COMPUTED_VALUE"""),"")</f>
        <v/>
      </c>
      <c r="C776" s="36" t="str">
        <f ca="1">IFERROR(__xludf.DUMMYFUNCTION("""COMPUTED_VALUE"""),"")</f>
        <v/>
      </c>
      <c r="D776" s="36" t="str">
        <f ca="1">IFERROR(__xludf.DUMMYFUNCTION("""COMPUTED_VALUE"""),"")</f>
        <v/>
      </c>
      <c r="E776" s="36" t="str">
        <f ca="1">IFERROR(__xludf.DUMMYFUNCTION("""COMPUTED_VALUE"""),"")</f>
        <v/>
      </c>
      <c r="F776" s="36" t="str">
        <f ca="1">IFERROR(__xludf.DUMMYFUNCTION("""COMPUTED_VALUE"""),"")</f>
        <v/>
      </c>
      <c r="G776" s="36" t="str">
        <f ca="1">IFERROR(__xludf.DUMMYFUNCTION("""COMPUTED_VALUE"""),"")</f>
        <v/>
      </c>
      <c r="H776" s="36" t="str">
        <f ca="1">IFERROR(__xludf.DUMMYFUNCTION("""COMPUTED_VALUE"""),"")</f>
        <v/>
      </c>
      <c r="I776" s="36" t="str">
        <f ca="1">IFERROR(__xludf.DUMMYFUNCTION("""COMPUTED_VALUE"""),"")</f>
        <v/>
      </c>
      <c r="J776" s="36" t="str">
        <f ca="1">IFERROR(__xludf.DUMMYFUNCTION("""COMPUTED_VALUE"""),"")</f>
        <v/>
      </c>
      <c r="K776" s="36" t="str">
        <f ca="1">IFERROR(__xludf.DUMMYFUNCTION("""COMPUTED_VALUE"""),"")</f>
        <v/>
      </c>
      <c r="L776" s="36" t="str">
        <f ca="1">IFERROR(__xludf.DUMMYFUNCTION("""COMPUTED_VALUE"""),"")</f>
        <v/>
      </c>
      <c r="M776" s="36" t="str">
        <f ca="1">IFERROR(__xludf.DUMMYFUNCTION("""COMPUTED_VALUE"""),"")</f>
        <v/>
      </c>
      <c r="N776" s="36" t="str">
        <f ca="1">IFERROR(__xludf.DUMMYFUNCTION("""COMPUTED_VALUE"""),"")</f>
        <v/>
      </c>
      <c r="O776" s="36" t="str">
        <f ca="1">IFERROR(__xludf.DUMMYFUNCTION("""COMPUTED_VALUE"""),"")</f>
        <v/>
      </c>
      <c r="P776" s="36" t="str">
        <f ca="1">IFERROR(__xludf.DUMMYFUNCTION("""COMPUTED_VALUE"""),"")</f>
        <v/>
      </c>
      <c r="Q776" s="36" t="str">
        <f ca="1">IFERROR(__xludf.DUMMYFUNCTION("""COMPUTED_VALUE"""),"")</f>
        <v/>
      </c>
      <c r="R776" s="36" t="str">
        <f ca="1">IFERROR(__xludf.DUMMYFUNCTION("""COMPUTED_VALUE"""),"")</f>
        <v/>
      </c>
      <c r="S776" s="36" t="str">
        <f ca="1">IFERROR(__xludf.DUMMYFUNCTION("""COMPUTED_VALUE"""),"")</f>
        <v/>
      </c>
      <c r="T776" s="36" t="str">
        <f ca="1">IFERROR(__xludf.DUMMYFUNCTION("""COMPUTED_VALUE"""),"")</f>
        <v/>
      </c>
      <c r="U776" s="36" t="str">
        <f ca="1">IFERROR(__xludf.DUMMYFUNCTION("""COMPUTED_VALUE"""),"")</f>
        <v/>
      </c>
      <c r="V776" s="36" t="str">
        <f ca="1">IFERROR(__xludf.DUMMYFUNCTION("""COMPUTED_VALUE"""),"")</f>
        <v/>
      </c>
      <c r="W776" s="36" t="str">
        <f ca="1">IFERROR(__xludf.DUMMYFUNCTION("""COMPUTED_VALUE"""),"")</f>
        <v/>
      </c>
      <c r="X776" s="36"/>
      <c r="Y776" s="36"/>
      <c r="Z776" s="36"/>
    </row>
    <row r="777" spans="1:26" ht="12.75" hidden="1">
      <c r="A777" s="36" t="str">
        <f ca="1">IFERROR(__xludf.DUMMYFUNCTION("""COMPUTED_VALUE"""),"")</f>
        <v/>
      </c>
      <c r="B777" s="36" t="str">
        <f ca="1">IFERROR(__xludf.DUMMYFUNCTION("""COMPUTED_VALUE"""),"")</f>
        <v/>
      </c>
      <c r="C777" s="36" t="str">
        <f ca="1">IFERROR(__xludf.DUMMYFUNCTION("""COMPUTED_VALUE"""),"")</f>
        <v/>
      </c>
      <c r="D777" s="36" t="str">
        <f ca="1">IFERROR(__xludf.DUMMYFUNCTION("""COMPUTED_VALUE"""),"")</f>
        <v/>
      </c>
      <c r="E777" s="36" t="str">
        <f ca="1">IFERROR(__xludf.DUMMYFUNCTION("""COMPUTED_VALUE"""),"")</f>
        <v/>
      </c>
      <c r="F777" s="36" t="str">
        <f ca="1">IFERROR(__xludf.DUMMYFUNCTION("""COMPUTED_VALUE"""),"")</f>
        <v/>
      </c>
      <c r="G777" s="36" t="str">
        <f ca="1">IFERROR(__xludf.DUMMYFUNCTION("""COMPUTED_VALUE"""),"")</f>
        <v/>
      </c>
      <c r="H777" s="36" t="str">
        <f ca="1">IFERROR(__xludf.DUMMYFUNCTION("""COMPUTED_VALUE"""),"")</f>
        <v/>
      </c>
      <c r="I777" s="36" t="str">
        <f ca="1">IFERROR(__xludf.DUMMYFUNCTION("""COMPUTED_VALUE"""),"")</f>
        <v/>
      </c>
      <c r="J777" s="36" t="str">
        <f ca="1">IFERROR(__xludf.DUMMYFUNCTION("""COMPUTED_VALUE"""),"")</f>
        <v/>
      </c>
      <c r="K777" s="36" t="str">
        <f ca="1">IFERROR(__xludf.DUMMYFUNCTION("""COMPUTED_VALUE"""),"")</f>
        <v/>
      </c>
      <c r="L777" s="36" t="str">
        <f ca="1">IFERROR(__xludf.DUMMYFUNCTION("""COMPUTED_VALUE"""),"")</f>
        <v/>
      </c>
      <c r="M777" s="36" t="str">
        <f ca="1">IFERROR(__xludf.DUMMYFUNCTION("""COMPUTED_VALUE"""),"")</f>
        <v/>
      </c>
      <c r="N777" s="36" t="str">
        <f ca="1">IFERROR(__xludf.DUMMYFUNCTION("""COMPUTED_VALUE"""),"")</f>
        <v/>
      </c>
      <c r="O777" s="36" t="str">
        <f ca="1">IFERROR(__xludf.DUMMYFUNCTION("""COMPUTED_VALUE"""),"")</f>
        <v/>
      </c>
      <c r="P777" s="36" t="str">
        <f ca="1">IFERROR(__xludf.DUMMYFUNCTION("""COMPUTED_VALUE"""),"")</f>
        <v/>
      </c>
      <c r="Q777" s="36" t="str">
        <f ca="1">IFERROR(__xludf.DUMMYFUNCTION("""COMPUTED_VALUE"""),"")</f>
        <v/>
      </c>
      <c r="R777" s="36" t="str">
        <f ca="1">IFERROR(__xludf.DUMMYFUNCTION("""COMPUTED_VALUE"""),"")</f>
        <v/>
      </c>
      <c r="S777" s="36" t="str">
        <f ca="1">IFERROR(__xludf.DUMMYFUNCTION("""COMPUTED_VALUE"""),"")</f>
        <v/>
      </c>
      <c r="T777" s="36" t="str">
        <f ca="1">IFERROR(__xludf.DUMMYFUNCTION("""COMPUTED_VALUE"""),"")</f>
        <v/>
      </c>
      <c r="U777" s="36" t="str">
        <f ca="1">IFERROR(__xludf.DUMMYFUNCTION("""COMPUTED_VALUE"""),"")</f>
        <v/>
      </c>
      <c r="V777" s="36" t="str">
        <f ca="1">IFERROR(__xludf.DUMMYFUNCTION("""COMPUTED_VALUE"""),"")</f>
        <v/>
      </c>
      <c r="W777" s="36" t="str">
        <f ca="1">IFERROR(__xludf.DUMMYFUNCTION("""COMPUTED_VALUE"""),"")</f>
        <v/>
      </c>
      <c r="X777" s="36"/>
      <c r="Y777" s="36"/>
      <c r="Z777" s="36"/>
    </row>
    <row r="778" spans="1:26" ht="12.75" hidden="1">
      <c r="A778" s="36" t="str">
        <f ca="1">IFERROR(__xludf.DUMMYFUNCTION("""COMPUTED_VALUE"""),"")</f>
        <v/>
      </c>
      <c r="B778" s="36" t="str">
        <f ca="1">IFERROR(__xludf.DUMMYFUNCTION("""COMPUTED_VALUE"""),"")</f>
        <v/>
      </c>
      <c r="C778" s="36" t="str">
        <f ca="1">IFERROR(__xludf.DUMMYFUNCTION("""COMPUTED_VALUE"""),"")</f>
        <v/>
      </c>
      <c r="D778" s="36" t="str">
        <f ca="1">IFERROR(__xludf.DUMMYFUNCTION("""COMPUTED_VALUE"""),"")</f>
        <v/>
      </c>
      <c r="E778" s="36" t="str">
        <f ca="1">IFERROR(__xludf.DUMMYFUNCTION("""COMPUTED_VALUE"""),"")</f>
        <v/>
      </c>
      <c r="F778" s="36" t="str">
        <f ca="1">IFERROR(__xludf.DUMMYFUNCTION("""COMPUTED_VALUE"""),"")</f>
        <v/>
      </c>
      <c r="G778" s="36" t="str">
        <f ca="1">IFERROR(__xludf.DUMMYFUNCTION("""COMPUTED_VALUE"""),"")</f>
        <v/>
      </c>
      <c r="H778" s="36" t="str">
        <f ca="1">IFERROR(__xludf.DUMMYFUNCTION("""COMPUTED_VALUE"""),"")</f>
        <v/>
      </c>
      <c r="I778" s="36" t="str">
        <f ca="1">IFERROR(__xludf.DUMMYFUNCTION("""COMPUTED_VALUE"""),"")</f>
        <v/>
      </c>
      <c r="J778" s="36" t="str">
        <f ca="1">IFERROR(__xludf.DUMMYFUNCTION("""COMPUTED_VALUE"""),"")</f>
        <v/>
      </c>
      <c r="K778" s="36" t="str">
        <f ca="1">IFERROR(__xludf.DUMMYFUNCTION("""COMPUTED_VALUE"""),"")</f>
        <v/>
      </c>
      <c r="L778" s="36" t="str">
        <f ca="1">IFERROR(__xludf.DUMMYFUNCTION("""COMPUTED_VALUE"""),"")</f>
        <v/>
      </c>
      <c r="M778" s="36" t="str">
        <f ca="1">IFERROR(__xludf.DUMMYFUNCTION("""COMPUTED_VALUE"""),"")</f>
        <v/>
      </c>
      <c r="N778" s="36" t="str">
        <f ca="1">IFERROR(__xludf.DUMMYFUNCTION("""COMPUTED_VALUE"""),"")</f>
        <v/>
      </c>
      <c r="O778" s="36" t="str">
        <f ca="1">IFERROR(__xludf.DUMMYFUNCTION("""COMPUTED_VALUE"""),"")</f>
        <v/>
      </c>
      <c r="P778" s="36" t="str">
        <f ca="1">IFERROR(__xludf.DUMMYFUNCTION("""COMPUTED_VALUE"""),"")</f>
        <v/>
      </c>
      <c r="Q778" s="36" t="str">
        <f ca="1">IFERROR(__xludf.DUMMYFUNCTION("""COMPUTED_VALUE"""),"")</f>
        <v/>
      </c>
      <c r="R778" s="36" t="str">
        <f ca="1">IFERROR(__xludf.DUMMYFUNCTION("""COMPUTED_VALUE"""),"")</f>
        <v/>
      </c>
      <c r="S778" s="36" t="str">
        <f ca="1">IFERROR(__xludf.DUMMYFUNCTION("""COMPUTED_VALUE"""),"")</f>
        <v/>
      </c>
      <c r="T778" s="36" t="str">
        <f ca="1">IFERROR(__xludf.DUMMYFUNCTION("""COMPUTED_VALUE"""),"")</f>
        <v/>
      </c>
      <c r="U778" s="36" t="str">
        <f ca="1">IFERROR(__xludf.DUMMYFUNCTION("""COMPUTED_VALUE"""),"")</f>
        <v/>
      </c>
      <c r="V778" s="36" t="str">
        <f ca="1">IFERROR(__xludf.DUMMYFUNCTION("""COMPUTED_VALUE"""),"")</f>
        <v/>
      </c>
      <c r="W778" s="36" t="str">
        <f ca="1">IFERROR(__xludf.DUMMYFUNCTION("""COMPUTED_VALUE"""),"")</f>
        <v/>
      </c>
      <c r="X778" s="36"/>
      <c r="Y778" s="36"/>
      <c r="Z778" s="36"/>
    </row>
    <row r="779" spans="1:26" ht="12.75" hidden="1">
      <c r="A779" s="36" t="str">
        <f ca="1">IFERROR(__xludf.DUMMYFUNCTION("""COMPUTED_VALUE"""),"")</f>
        <v/>
      </c>
      <c r="B779" s="36" t="str">
        <f ca="1">IFERROR(__xludf.DUMMYFUNCTION("""COMPUTED_VALUE"""),"")</f>
        <v/>
      </c>
      <c r="C779" s="36" t="str">
        <f ca="1">IFERROR(__xludf.DUMMYFUNCTION("""COMPUTED_VALUE"""),"")</f>
        <v/>
      </c>
      <c r="D779" s="36" t="str">
        <f ca="1">IFERROR(__xludf.DUMMYFUNCTION("""COMPUTED_VALUE"""),"")</f>
        <v/>
      </c>
      <c r="E779" s="36" t="str">
        <f ca="1">IFERROR(__xludf.DUMMYFUNCTION("""COMPUTED_VALUE"""),"")</f>
        <v/>
      </c>
      <c r="F779" s="36" t="str">
        <f ca="1">IFERROR(__xludf.DUMMYFUNCTION("""COMPUTED_VALUE"""),"")</f>
        <v/>
      </c>
      <c r="G779" s="36" t="str">
        <f ca="1">IFERROR(__xludf.DUMMYFUNCTION("""COMPUTED_VALUE"""),"")</f>
        <v/>
      </c>
      <c r="H779" s="36" t="str">
        <f ca="1">IFERROR(__xludf.DUMMYFUNCTION("""COMPUTED_VALUE"""),"")</f>
        <v/>
      </c>
      <c r="I779" s="36" t="str">
        <f ca="1">IFERROR(__xludf.DUMMYFUNCTION("""COMPUTED_VALUE"""),"")</f>
        <v/>
      </c>
      <c r="J779" s="36" t="str">
        <f ca="1">IFERROR(__xludf.DUMMYFUNCTION("""COMPUTED_VALUE"""),"")</f>
        <v/>
      </c>
      <c r="K779" s="36" t="str">
        <f ca="1">IFERROR(__xludf.DUMMYFUNCTION("""COMPUTED_VALUE"""),"")</f>
        <v/>
      </c>
      <c r="L779" s="36" t="str">
        <f ca="1">IFERROR(__xludf.DUMMYFUNCTION("""COMPUTED_VALUE"""),"")</f>
        <v/>
      </c>
      <c r="M779" s="36" t="str">
        <f ca="1">IFERROR(__xludf.DUMMYFUNCTION("""COMPUTED_VALUE"""),"")</f>
        <v/>
      </c>
      <c r="N779" s="36" t="str">
        <f ca="1">IFERROR(__xludf.DUMMYFUNCTION("""COMPUTED_VALUE"""),"")</f>
        <v/>
      </c>
      <c r="O779" s="36" t="str">
        <f ca="1">IFERROR(__xludf.DUMMYFUNCTION("""COMPUTED_VALUE"""),"")</f>
        <v/>
      </c>
      <c r="P779" s="36" t="str">
        <f ca="1">IFERROR(__xludf.DUMMYFUNCTION("""COMPUTED_VALUE"""),"")</f>
        <v/>
      </c>
      <c r="Q779" s="36" t="str">
        <f ca="1">IFERROR(__xludf.DUMMYFUNCTION("""COMPUTED_VALUE"""),"")</f>
        <v/>
      </c>
      <c r="R779" s="36" t="str">
        <f ca="1">IFERROR(__xludf.DUMMYFUNCTION("""COMPUTED_VALUE"""),"")</f>
        <v/>
      </c>
      <c r="S779" s="36" t="str">
        <f ca="1">IFERROR(__xludf.DUMMYFUNCTION("""COMPUTED_VALUE"""),"")</f>
        <v/>
      </c>
      <c r="T779" s="36" t="str">
        <f ca="1">IFERROR(__xludf.DUMMYFUNCTION("""COMPUTED_VALUE"""),"")</f>
        <v/>
      </c>
      <c r="U779" s="36" t="str">
        <f ca="1">IFERROR(__xludf.DUMMYFUNCTION("""COMPUTED_VALUE"""),"")</f>
        <v/>
      </c>
      <c r="V779" s="36" t="str">
        <f ca="1">IFERROR(__xludf.DUMMYFUNCTION("""COMPUTED_VALUE"""),"")</f>
        <v/>
      </c>
      <c r="W779" s="36" t="str">
        <f ca="1">IFERROR(__xludf.DUMMYFUNCTION("""COMPUTED_VALUE"""),"")</f>
        <v/>
      </c>
      <c r="X779" s="36"/>
      <c r="Y779" s="36"/>
      <c r="Z779" s="36"/>
    </row>
    <row r="780" spans="1:26" ht="12.75" hidden="1">
      <c r="A780" s="36" t="str">
        <f ca="1">IFERROR(__xludf.DUMMYFUNCTION("""COMPUTED_VALUE"""),"")</f>
        <v/>
      </c>
      <c r="B780" s="36" t="str">
        <f ca="1">IFERROR(__xludf.DUMMYFUNCTION("""COMPUTED_VALUE"""),"")</f>
        <v/>
      </c>
      <c r="C780" s="36" t="str">
        <f ca="1">IFERROR(__xludf.DUMMYFUNCTION("""COMPUTED_VALUE"""),"")</f>
        <v/>
      </c>
      <c r="D780" s="36" t="str">
        <f ca="1">IFERROR(__xludf.DUMMYFUNCTION("""COMPUTED_VALUE"""),"")</f>
        <v/>
      </c>
      <c r="E780" s="36" t="str">
        <f ca="1">IFERROR(__xludf.DUMMYFUNCTION("""COMPUTED_VALUE"""),"")</f>
        <v/>
      </c>
      <c r="F780" s="36" t="str">
        <f ca="1">IFERROR(__xludf.DUMMYFUNCTION("""COMPUTED_VALUE"""),"")</f>
        <v/>
      </c>
      <c r="G780" s="36" t="str">
        <f ca="1">IFERROR(__xludf.DUMMYFUNCTION("""COMPUTED_VALUE"""),"")</f>
        <v/>
      </c>
      <c r="H780" s="36" t="str">
        <f ca="1">IFERROR(__xludf.DUMMYFUNCTION("""COMPUTED_VALUE"""),"")</f>
        <v/>
      </c>
      <c r="I780" s="36" t="str">
        <f ca="1">IFERROR(__xludf.DUMMYFUNCTION("""COMPUTED_VALUE"""),"")</f>
        <v/>
      </c>
      <c r="J780" s="36" t="str">
        <f ca="1">IFERROR(__xludf.DUMMYFUNCTION("""COMPUTED_VALUE"""),"")</f>
        <v/>
      </c>
      <c r="K780" s="36" t="str">
        <f ca="1">IFERROR(__xludf.DUMMYFUNCTION("""COMPUTED_VALUE"""),"")</f>
        <v/>
      </c>
      <c r="L780" s="36" t="str">
        <f ca="1">IFERROR(__xludf.DUMMYFUNCTION("""COMPUTED_VALUE"""),"")</f>
        <v/>
      </c>
      <c r="M780" s="36" t="str">
        <f ca="1">IFERROR(__xludf.DUMMYFUNCTION("""COMPUTED_VALUE"""),"")</f>
        <v/>
      </c>
      <c r="N780" s="36" t="str">
        <f ca="1">IFERROR(__xludf.DUMMYFUNCTION("""COMPUTED_VALUE"""),"")</f>
        <v/>
      </c>
      <c r="O780" s="36" t="str">
        <f ca="1">IFERROR(__xludf.DUMMYFUNCTION("""COMPUTED_VALUE"""),"")</f>
        <v/>
      </c>
      <c r="P780" s="36" t="str">
        <f ca="1">IFERROR(__xludf.DUMMYFUNCTION("""COMPUTED_VALUE"""),"")</f>
        <v/>
      </c>
      <c r="Q780" s="36" t="str">
        <f ca="1">IFERROR(__xludf.DUMMYFUNCTION("""COMPUTED_VALUE"""),"")</f>
        <v/>
      </c>
      <c r="R780" s="36" t="str">
        <f ca="1">IFERROR(__xludf.DUMMYFUNCTION("""COMPUTED_VALUE"""),"")</f>
        <v/>
      </c>
      <c r="S780" s="36" t="str">
        <f ca="1">IFERROR(__xludf.DUMMYFUNCTION("""COMPUTED_VALUE"""),"")</f>
        <v/>
      </c>
      <c r="T780" s="36" t="str">
        <f ca="1">IFERROR(__xludf.DUMMYFUNCTION("""COMPUTED_VALUE"""),"")</f>
        <v/>
      </c>
      <c r="U780" s="36" t="str">
        <f ca="1">IFERROR(__xludf.DUMMYFUNCTION("""COMPUTED_VALUE"""),"")</f>
        <v/>
      </c>
      <c r="V780" s="36" t="str">
        <f ca="1">IFERROR(__xludf.DUMMYFUNCTION("""COMPUTED_VALUE"""),"")</f>
        <v/>
      </c>
      <c r="W780" s="36" t="str">
        <f ca="1">IFERROR(__xludf.DUMMYFUNCTION("""COMPUTED_VALUE"""),"")</f>
        <v/>
      </c>
      <c r="X780" s="36"/>
      <c r="Y780" s="36"/>
      <c r="Z780" s="36"/>
    </row>
    <row r="781" spans="1:26" ht="12.75" hidden="1">
      <c r="A781" s="36" t="str">
        <f ca="1">IFERROR(__xludf.DUMMYFUNCTION("""COMPUTED_VALUE"""),"")</f>
        <v/>
      </c>
      <c r="B781" s="36" t="str">
        <f ca="1">IFERROR(__xludf.DUMMYFUNCTION("""COMPUTED_VALUE"""),"")</f>
        <v/>
      </c>
      <c r="C781" s="36" t="str">
        <f ca="1">IFERROR(__xludf.DUMMYFUNCTION("""COMPUTED_VALUE"""),"")</f>
        <v/>
      </c>
      <c r="D781" s="36" t="str">
        <f ca="1">IFERROR(__xludf.DUMMYFUNCTION("""COMPUTED_VALUE"""),"")</f>
        <v/>
      </c>
      <c r="E781" s="36" t="str">
        <f ca="1">IFERROR(__xludf.DUMMYFUNCTION("""COMPUTED_VALUE"""),"")</f>
        <v/>
      </c>
      <c r="F781" s="36" t="str">
        <f ca="1">IFERROR(__xludf.DUMMYFUNCTION("""COMPUTED_VALUE"""),"")</f>
        <v/>
      </c>
      <c r="G781" s="36" t="str">
        <f ca="1">IFERROR(__xludf.DUMMYFUNCTION("""COMPUTED_VALUE"""),"")</f>
        <v/>
      </c>
      <c r="H781" s="36" t="str">
        <f ca="1">IFERROR(__xludf.DUMMYFUNCTION("""COMPUTED_VALUE"""),"")</f>
        <v/>
      </c>
      <c r="I781" s="36" t="str">
        <f ca="1">IFERROR(__xludf.DUMMYFUNCTION("""COMPUTED_VALUE"""),"")</f>
        <v/>
      </c>
      <c r="J781" s="36" t="str">
        <f ca="1">IFERROR(__xludf.DUMMYFUNCTION("""COMPUTED_VALUE"""),"")</f>
        <v/>
      </c>
      <c r="K781" s="36" t="str">
        <f ca="1">IFERROR(__xludf.DUMMYFUNCTION("""COMPUTED_VALUE"""),"")</f>
        <v/>
      </c>
      <c r="L781" s="36" t="str">
        <f ca="1">IFERROR(__xludf.DUMMYFUNCTION("""COMPUTED_VALUE"""),"")</f>
        <v/>
      </c>
      <c r="M781" s="36" t="str">
        <f ca="1">IFERROR(__xludf.DUMMYFUNCTION("""COMPUTED_VALUE"""),"")</f>
        <v/>
      </c>
      <c r="N781" s="36" t="str">
        <f ca="1">IFERROR(__xludf.DUMMYFUNCTION("""COMPUTED_VALUE"""),"")</f>
        <v/>
      </c>
      <c r="O781" s="36" t="str">
        <f ca="1">IFERROR(__xludf.DUMMYFUNCTION("""COMPUTED_VALUE"""),"")</f>
        <v/>
      </c>
      <c r="P781" s="36" t="str">
        <f ca="1">IFERROR(__xludf.DUMMYFUNCTION("""COMPUTED_VALUE"""),"")</f>
        <v/>
      </c>
      <c r="Q781" s="36" t="str">
        <f ca="1">IFERROR(__xludf.DUMMYFUNCTION("""COMPUTED_VALUE"""),"")</f>
        <v/>
      </c>
      <c r="R781" s="36" t="str">
        <f ca="1">IFERROR(__xludf.DUMMYFUNCTION("""COMPUTED_VALUE"""),"")</f>
        <v/>
      </c>
      <c r="S781" s="36" t="str">
        <f ca="1">IFERROR(__xludf.DUMMYFUNCTION("""COMPUTED_VALUE"""),"")</f>
        <v/>
      </c>
      <c r="T781" s="36" t="str">
        <f ca="1">IFERROR(__xludf.DUMMYFUNCTION("""COMPUTED_VALUE"""),"")</f>
        <v/>
      </c>
      <c r="U781" s="36" t="str">
        <f ca="1">IFERROR(__xludf.DUMMYFUNCTION("""COMPUTED_VALUE"""),"")</f>
        <v/>
      </c>
      <c r="V781" s="36" t="str">
        <f ca="1">IFERROR(__xludf.DUMMYFUNCTION("""COMPUTED_VALUE"""),"")</f>
        <v/>
      </c>
      <c r="W781" s="36" t="str">
        <f ca="1">IFERROR(__xludf.DUMMYFUNCTION("""COMPUTED_VALUE"""),"")</f>
        <v/>
      </c>
      <c r="X781" s="36"/>
      <c r="Y781" s="36"/>
      <c r="Z781" s="36"/>
    </row>
    <row r="782" spans="1:26" ht="12.75" hidden="1">
      <c r="A782" s="36" t="str">
        <f ca="1">IFERROR(__xludf.DUMMYFUNCTION("""COMPUTED_VALUE"""),"")</f>
        <v/>
      </c>
      <c r="B782" s="36" t="str">
        <f ca="1">IFERROR(__xludf.DUMMYFUNCTION("""COMPUTED_VALUE"""),"")</f>
        <v/>
      </c>
      <c r="C782" s="36" t="str">
        <f ca="1">IFERROR(__xludf.DUMMYFUNCTION("""COMPUTED_VALUE"""),"")</f>
        <v/>
      </c>
      <c r="D782" s="36" t="str">
        <f ca="1">IFERROR(__xludf.DUMMYFUNCTION("""COMPUTED_VALUE"""),"")</f>
        <v/>
      </c>
      <c r="E782" s="36" t="str">
        <f ca="1">IFERROR(__xludf.DUMMYFUNCTION("""COMPUTED_VALUE"""),"")</f>
        <v/>
      </c>
      <c r="F782" s="36" t="str">
        <f ca="1">IFERROR(__xludf.DUMMYFUNCTION("""COMPUTED_VALUE"""),"")</f>
        <v/>
      </c>
      <c r="G782" s="36" t="str">
        <f ca="1">IFERROR(__xludf.DUMMYFUNCTION("""COMPUTED_VALUE"""),"")</f>
        <v/>
      </c>
      <c r="H782" s="36" t="str">
        <f ca="1">IFERROR(__xludf.DUMMYFUNCTION("""COMPUTED_VALUE"""),"")</f>
        <v/>
      </c>
      <c r="I782" s="36" t="str">
        <f ca="1">IFERROR(__xludf.DUMMYFUNCTION("""COMPUTED_VALUE"""),"")</f>
        <v/>
      </c>
      <c r="J782" s="36" t="str">
        <f ca="1">IFERROR(__xludf.DUMMYFUNCTION("""COMPUTED_VALUE"""),"")</f>
        <v/>
      </c>
      <c r="K782" s="36" t="str">
        <f ca="1">IFERROR(__xludf.DUMMYFUNCTION("""COMPUTED_VALUE"""),"")</f>
        <v/>
      </c>
      <c r="L782" s="36" t="str">
        <f ca="1">IFERROR(__xludf.DUMMYFUNCTION("""COMPUTED_VALUE"""),"")</f>
        <v/>
      </c>
      <c r="M782" s="36" t="str">
        <f ca="1">IFERROR(__xludf.DUMMYFUNCTION("""COMPUTED_VALUE"""),"")</f>
        <v/>
      </c>
      <c r="N782" s="36" t="str">
        <f ca="1">IFERROR(__xludf.DUMMYFUNCTION("""COMPUTED_VALUE"""),"")</f>
        <v/>
      </c>
      <c r="O782" s="36" t="str">
        <f ca="1">IFERROR(__xludf.DUMMYFUNCTION("""COMPUTED_VALUE"""),"")</f>
        <v/>
      </c>
      <c r="P782" s="36" t="str">
        <f ca="1">IFERROR(__xludf.DUMMYFUNCTION("""COMPUTED_VALUE"""),"")</f>
        <v/>
      </c>
      <c r="Q782" s="36" t="str">
        <f ca="1">IFERROR(__xludf.DUMMYFUNCTION("""COMPUTED_VALUE"""),"")</f>
        <v/>
      </c>
      <c r="R782" s="36" t="str">
        <f ca="1">IFERROR(__xludf.DUMMYFUNCTION("""COMPUTED_VALUE"""),"")</f>
        <v/>
      </c>
      <c r="S782" s="36" t="str">
        <f ca="1">IFERROR(__xludf.DUMMYFUNCTION("""COMPUTED_VALUE"""),"")</f>
        <v/>
      </c>
      <c r="T782" s="36" t="str">
        <f ca="1">IFERROR(__xludf.DUMMYFUNCTION("""COMPUTED_VALUE"""),"")</f>
        <v/>
      </c>
      <c r="U782" s="36" t="str">
        <f ca="1">IFERROR(__xludf.DUMMYFUNCTION("""COMPUTED_VALUE"""),"")</f>
        <v/>
      </c>
      <c r="V782" s="36" t="str">
        <f ca="1">IFERROR(__xludf.DUMMYFUNCTION("""COMPUTED_VALUE"""),"")</f>
        <v/>
      </c>
      <c r="W782" s="36" t="str">
        <f ca="1">IFERROR(__xludf.DUMMYFUNCTION("""COMPUTED_VALUE"""),"")</f>
        <v/>
      </c>
      <c r="X782" s="36"/>
      <c r="Y782" s="36"/>
      <c r="Z782" s="36"/>
    </row>
    <row r="783" spans="1:26" ht="12.75" hidden="1">
      <c r="A783" s="36" t="str">
        <f ca="1">IFERROR(__xludf.DUMMYFUNCTION("""COMPUTED_VALUE"""),"")</f>
        <v/>
      </c>
      <c r="B783" s="36" t="str">
        <f ca="1">IFERROR(__xludf.DUMMYFUNCTION("""COMPUTED_VALUE"""),"")</f>
        <v/>
      </c>
      <c r="C783" s="36" t="str">
        <f ca="1">IFERROR(__xludf.DUMMYFUNCTION("""COMPUTED_VALUE"""),"")</f>
        <v/>
      </c>
      <c r="D783" s="36" t="str">
        <f ca="1">IFERROR(__xludf.DUMMYFUNCTION("""COMPUTED_VALUE"""),"")</f>
        <v/>
      </c>
      <c r="E783" s="36" t="str">
        <f ca="1">IFERROR(__xludf.DUMMYFUNCTION("""COMPUTED_VALUE"""),"")</f>
        <v/>
      </c>
      <c r="F783" s="36" t="str">
        <f ca="1">IFERROR(__xludf.DUMMYFUNCTION("""COMPUTED_VALUE"""),"")</f>
        <v/>
      </c>
      <c r="G783" s="36" t="str">
        <f ca="1">IFERROR(__xludf.DUMMYFUNCTION("""COMPUTED_VALUE"""),"")</f>
        <v/>
      </c>
      <c r="H783" s="36" t="str">
        <f ca="1">IFERROR(__xludf.DUMMYFUNCTION("""COMPUTED_VALUE"""),"")</f>
        <v/>
      </c>
      <c r="I783" s="36" t="str">
        <f ca="1">IFERROR(__xludf.DUMMYFUNCTION("""COMPUTED_VALUE"""),"")</f>
        <v/>
      </c>
      <c r="J783" s="36" t="str">
        <f ca="1">IFERROR(__xludf.DUMMYFUNCTION("""COMPUTED_VALUE"""),"")</f>
        <v/>
      </c>
      <c r="K783" s="36" t="str">
        <f ca="1">IFERROR(__xludf.DUMMYFUNCTION("""COMPUTED_VALUE"""),"")</f>
        <v/>
      </c>
      <c r="L783" s="36" t="str">
        <f ca="1">IFERROR(__xludf.DUMMYFUNCTION("""COMPUTED_VALUE"""),"")</f>
        <v/>
      </c>
      <c r="M783" s="36" t="str">
        <f ca="1">IFERROR(__xludf.DUMMYFUNCTION("""COMPUTED_VALUE"""),"")</f>
        <v/>
      </c>
      <c r="N783" s="36" t="str">
        <f ca="1">IFERROR(__xludf.DUMMYFUNCTION("""COMPUTED_VALUE"""),"")</f>
        <v/>
      </c>
      <c r="O783" s="36" t="str">
        <f ca="1">IFERROR(__xludf.DUMMYFUNCTION("""COMPUTED_VALUE"""),"")</f>
        <v/>
      </c>
      <c r="P783" s="36" t="str">
        <f ca="1">IFERROR(__xludf.DUMMYFUNCTION("""COMPUTED_VALUE"""),"")</f>
        <v/>
      </c>
      <c r="Q783" s="36" t="str">
        <f ca="1">IFERROR(__xludf.DUMMYFUNCTION("""COMPUTED_VALUE"""),"")</f>
        <v/>
      </c>
      <c r="R783" s="36" t="str">
        <f ca="1">IFERROR(__xludf.DUMMYFUNCTION("""COMPUTED_VALUE"""),"")</f>
        <v/>
      </c>
      <c r="S783" s="36" t="str">
        <f ca="1">IFERROR(__xludf.DUMMYFUNCTION("""COMPUTED_VALUE"""),"")</f>
        <v/>
      </c>
      <c r="T783" s="36" t="str">
        <f ca="1">IFERROR(__xludf.DUMMYFUNCTION("""COMPUTED_VALUE"""),"")</f>
        <v/>
      </c>
      <c r="U783" s="36" t="str">
        <f ca="1">IFERROR(__xludf.DUMMYFUNCTION("""COMPUTED_VALUE"""),"")</f>
        <v/>
      </c>
      <c r="V783" s="36" t="str">
        <f ca="1">IFERROR(__xludf.DUMMYFUNCTION("""COMPUTED_VALUE"""),"")</f>
        <v/>
      </c>
      <c r="W783" s="36" t="str">
        <f ca="1">IFERROR(__xludf.DUMMYFUNCTION("""COMPUTED_VALUE"""),"")</f>
        <v/>
      </c>
      <c r="X783" s="36"/>
      <c r="Y783" s="36"/>
      <c r="Z783" s="36"/>
    </row>
    <row r="784" spans="1:26" ht="12.75" hidden="1">
      <c r="A784" s="36" t="str">
        <f ca="1">IFERROR(__xludf.DUMMYFUNCTION("""COMPUTED_VALUE"""),"")</f>
        <v/>
      </c>
      <c r="B784" s="36" t="str">
        <f ca="1">IFERROR(__xludf.DUMMYFUNCTION("""COMPUTED_VALUE"""),"")</f>
        <v/>
      </c>
      <c r="C784" s="36" t="str">
        <f ca="1">IFERROR(__xludf.DUMMYFUNCTION("""COMPUTED_VALUE"""),"")</f>
        <v/>
      </c>
      <c r="D784" s="36" t="str">
        <f ca="1">IFERROR(__xludf.DUMMYFUNCTION("""COMPUTED_VALUE"""),"")</f>
        <v/>
      </c>
      <c r="E784" s="36" t="str">
        <f ca="1">IFERROR(__xludf.DUMMYFUNCTION("""COMPUTED_VALUE"""),"")</f>
        <v/>
      </c>
      <c r="F784" s="36" t="str">
        <f ca="1">IFERROR(__xludf.DUMMYFUNCTION("""COMPUTED_VALUE"""),"")</f>
        <v/>
      </c>
      <c r="G784" s="36" t="str">
        <f ca="1">IFERROR(__xludf.DUMMYFUNCTION("""COMPUTED_VALUE"""),"")</f>
        <v/>
      </c>
      <c r="H784" s="36" t="str">
        <f ca="1">IFERROR(__xludf.DUMMYFUNCTION("""COMPUTED_VALUE"""),"")</f>
        <v/>
      </c>
      <c r="I784" s="36" t="str">
        <f ca="1">IFERROR(__xludf.DUMMYFUNCTION("""COMPUTED_VALUE"""),"")</f>
        <v/>
      </c>
      <c r="J784" s="36" t="str">
        <f ca="1">IFERROR(__xludf.DUMMYFUNCTION("""COMPUTED_VALUE"""),"")</f>
        <v/>
      </c>
      <c r="K784" s="36" t="str">
        <f ca="1">IFERROR(__xludf.DUMMYFUNCTION("""COMPUTED_VALUE"""),"")</f>
        <v/>
      </c>
      <c r="L784" s="36" t="str">
        <f ca="1">IFERROR(__xludf.DUMMYFUNCTION("""COMPUTED_VALUE"""),"")</f>
        <v/>
      </c>
      <c r="M784" s="36" t="str">
        <f ca="1">IFERROR(__xludf.DUMMYFUNCTION("""COMPUTED_VALUE"""),"")</f>
        <v/>
      </c>
      <c r="N784" s="36" t="str">
        <f ca="1">IFERROR(__xludf.DUMMYFUNCTION("""COMPUTED_VALUE"""),"")</f>
        <v/>
      </c>
      <c r="O784" s="36" t="str">
        <f ca="1">IFERROR(__xludf.DUMMYFUNCTION("""COMPUTED_VALUE"""),"")</f>
        <v/>
      </c>
      <c r="P784" s="36" t="str">
        <f ca="1">IFERROR(__xludf.DUMMYFUNCTION("""COMPUTED_VALUE"""),"")</f>
        <v/>
      </c>
      <c r="Q784" s="36" t="str">
        <f ca="1">IFERROR(__xludf.DUMMYFUNCTION("""COMPUTED_VALUE"""),"")</f>
        <v/>
      </c>
      <c r="R784" s="36" t="str">
        <f ca="1">IFERROR(__xludf.DUMMYFUNCTION("""COMPUTED_VALUE"""),"")</f>
        <v/>
      </c>
      <c r="S784" s="36" t="str">
        <f ca="1">IFERROR(__xludf.DUMMYFUNCTION("""COMPUTED_VALUE"""),"")</f>
        <v/>
      </c>
      <c r="T784" s="36" t="str">
        <f ca="1">IFERROR(__xludf.DUMMYFUNCTION("""COMPUTED_VALUE"""),"")</f>
        <v/>
      </c>
      <c r="U784" s="36" t="str">
        <f ca="1">IFERROR(__xludf.DUMMYFUNCTION("""COMPUTED_VALUE"""),"")</f>
        <v/>
      </c>
      <c r="V784" s="36" t="str">
        <f ca="1">IFERROR(__xludf.DUMMYFUNCTION("""COMPUTED_VALUE"""),"")</f>
        <v/>
      </c>
      <c r="W784" s="36" t="str">
        <f ca="1">IFERROR(__xludf.DUMMYFUNCTION("""COMPUTED_VALUE"""),"")</f>
        <v/>
      </c>
      <c r="X784" s="36"/>
      <c r="Y784" s="36"/>
      <c r="Z784" s="36"/>
    </row>
    <row r="785" spans="1:26" ht="12.75" hidden="1">
      <c r="A785" s="36" t="str">
        <f ca="1">IFERROR(__xludf.DUMMYFUNCTION("""COMPUTED_VALUE"""),"")</f>
        <v/>
      </c>
      <c r="B785" s="36" t="str">
        <f ca="1">IFERROR(__xludf.DUMMYFUNCTION("""COMPUTED_VALUE"""),"")</f>
        <v/>
      </c>
      <c r="C785" s="36" t="str">
        <f ca="1">IFERROR(__xludf.DUMMYFUNCTION("""COMPUTED_VALUE"""),"")</f>
        <v/>
      </c>
      <c r="D785" s="36" t="str">
        <f ca="1">IFERROR(__xludf.DUMMYFUNCTION("""COMPUTED_VALUE"""),"")</f>
        <v/>
      </c>
      <c r="E785" s="36" t="str">
        <f ca="1">IFERROR(__xludf.DUMMYFUNCTION("""COMPUTED_VALUE"""),"")</f>
        <v/>
      </c>
      <c r="F785" s="36" t="str">
        <f ca="1">IFERROR(__xludf.DUMMYFUNCTION("""COMPUTED_VALUE"""),"")</f>
        <v/>
      </c>
      <c r="G785" s="36" t="str">
        <f ca="1">IFERROR(__xludf.DUMMYFUNCTION("""COMPUTED_VALUE"""),"")</f>
        <v/>
      </c>
      <c r="H785" s="36" t="str">
        <f ca="1">IFERROR(__xludf.DUMMYFUNCTION("""COMPUTED_VALUE"""),"")</f>
        <v/>
      </c>
      <c r="I785" s="36" t="str">
        <f ca="1">IFERROR(__xludf.DUMMYFUNCTION("""COMPUTED_VALUE"""),"")</f>
        <v/>
      </c>
      <c r="J785" s="36" t="str">
        <f ca="1">IFERROR(__xludf.DUMMYFUNCTION("""COMPUTED_VALUE"""),"")</f>
        <v/>
      </c>
      <c r="K785" s="36" t="str">
        <f ca="1">IFERROR(__xludf.DUMMYFUNCTION("""COMPUTED_VALUE"""),"")</f>
        <v/>
      </c>
      <c r="L785" s="36" t="str">
        <f ca="1">IFERROR(__xludf.DUMMYFUNCTION("""COMPUTED_VALUE"""),"")</f>
        <v/>
      </c>
      <c r="M785" s="36" t="str">
        <f ca="1">IFERROR(__xludf.DUMMYFUNCTION("""COMPUTED_VALUE"""),"")</f>
        <v/>
      </c>
      <c r="N785" s="36" t="str">
        <f ca="1">IFERROR(__xludf.DUMMYFUNCTION("""COMPUTED_VALUE"""),"")</f>
        <v/>
      </c>
      <c r="O785" s="36" t="str">
        <f ca="1">IFERROR(__xludf.DUMMYFUNCTION("""COMPUTED_VALUE"""),"")</f>
        <v/>
      </c>
      <c r="P785" s="36" t="str">
        <f ca="1">IFERROR(__xludf.DUMMYFUNCTION("""COMPUTED_VALUE"""),"")</f>
        <v/>
      </c>
      <c r="Q785" s="36" t="str">
        <f ca="1">IFERROR(__xludf.DUMMYFUNCTION("""COMPUTED_VALUE"""),"")</f>
        <v/>
      </c>
      <c r="R785" s="36" t="str">
        <f ca="1">IFERROR(__xludf.DUMMYFUNCTION("""COMPUTED_VALUE"""),"")</f>
        <v/>
      </c>
      <c r="S785" s="36" t="str">
        <f ca="1">IFERROR(__xludf.DUMMYFUNCTION("""COMPUTED_VALUE"""),"")</f>
        <v/>
      </c>
      <c r="T785" s="36" t="str">
        <f ca="1">IFERROR(__xludf.DUMMYFUNCTION("""COMPUTED_VALUE"""),"")</f>
        <v/>
      </c>
      <c r="U785" s="36" t="str">
        <f ca="1">IFERROR(__xludf.DUMMYFUNCTION("""COMPUTED_VALUE"""),"")</f>
        <v/>
      </c>
      <c r="V785" s="36" t="str">
        <f ca="1">IFERROR(__xludf.DUMMYFUNCTION("""COMPUTED_VALUE"""),"")</f>
        <v/>
      </c>
      <c r="W785" s="36" t="str">
        <f ca="1">IFERROR(__xludf.DUMMYFUNCTION("""COMPUTED_VALUE"""),"")</f>
        <v/>
      </c>
      <c r="X785" s="36"/>
      <c r="Y785" s="36"/>
      <c r="Z785" s="36"/>
    </row>
    <row r="786" spans="1:26" ht="12.75" hidden="1">
      <c r="A786" s="36" t="str">
        <f ca="1">IFERROR(__xludf.DUMMYFUNCTION("""COMPUTED_VALUE"""),"")</f>
        <v/>
      </c>
      <c r="B786" s="36" t="str">
        <f ca="1">IFERROR(__xludf.DUMMYFUNCTION("""COMPUTED_VALUE"""),"")</f>
        <v/>
      </c>
      <c r="C786" s="36" t="str">
        <f ca="1">IFERROR(__xludf.DUMMYFUNCTION("""COMPUTED_VALUE"""),"")</f>
        <v/>
      </c>
      <c r="D786" s="36" t="str">
        <f ca="1">IFERROR(__xludf.DUMMYFUNCTION("""COMPUTED_VALUE"""),"")</f>
        <v/>
      </c>
      <c r="E786" s="36" t="str">
        <f ca="1">IFERROR(__xludf.DUMMYFUNCTION("""COMPUTED_VALUE"""),"")</f>
        <v/>
      </c>
      <c r="F786" s="36" t="str">
        <f ca="1">IFERROR(__xludf.DUMMYFUNCTION("""COMPUTED_VALUE"""),"")</f>
        <v/>
      </c>
      <c r="G786" s="36" t="str">
        <f ca="1">IFERROR(__xludf.DUMMYFUNCTION("""COMPUTED_VALUE"""),"")</f>
        <v/>
      </c>
      <c r="H786" s="36" t="str">
        <f ca="1">IFERROR(__xludf.DUMMYFUNCTION("""COMPUTED_VALUE"""),"")</f>
        <v/>
      </c>
      <c r="I786" s="36" t="str">
        <f ca="1">IFERROR(__xludf.DUMMYFUNCTION("""COMPUTED_VALUE"""),"")</f>
        <v/>
      </c>
      <c r="J786" s="36" t="str">
        <f ca="1">IFERROR(__xludf.DUMMYFUNCTION("""COMPUTED_VALUE"""),"")</f>
        <v/>
      </c>
      <c r="K786" s="36" t="str">
        <f ca="1">IFERROR(__xludf.DUMMYFUNCTION("""COMPUTED_VALUE"""),"")</f>
        <v/>
      </c>
      <c r="L786" s="36" t="str">
        <f ca="1">IFERROR(__xludf.DUMMYFUNCTION("""COMPUTED_VALUE"""),"")</f>
        <v/>
      </c>
      <c r="M786" s="36" t="str">
        <f ca="1">IFERROR(__xludf.DUMMYFUNCTION("""COMPUTED_VALUE"""),"")</f>
        <v/>
      </c>
      <c r="N786" s="36" t="str">
        <f ca="1">IFERROR(__xludf.DUMMYFUNCTION("""COMPUTED_VALUE"""),"")</f>
        <v/>
      </c>
      <c r="O786" s="36" t="str">
        <f ca="1">IFERROR(__xludf.DUMMYFUNCTION("""COMPUTED_VALUE"""),"")</f>
        <v/>
      </c>
      <c r="P786" s="36" t="str">
        <f ca="1">IFERROR(__xludf.DUMMYFUNCTION("""COMPUTED_VALUE"""),"")</f>
        <v/>
      </c>
      <c r="Q786" s="36" t="str">
        <f ca="1">IFERROR(__xludf.DUMMYFUNCTION("""COMPUTED_VALUE"""),"")</f>
        <v/>
      </c>
      <c r="R786" s="36" t="str">
        <f ca="1">IFERROR(__xludf.DUMMYFUNCTION("""COMPUTED_VALUE"""),"")</f>
        <v/>
      </c>
      <c r="S786" s="36" t="str">
        <f ca="1">IFERROR(__xludf.DUMMYFUNCTION("""COMPUTED_VALUE"""),"")</f>
        <v/>
      </c>
      <c r="T786" s="36" t="str">
        <f ca="1">IFERROR(__xludf.DUMMYFUNCTION("""COMPUTED_VALUE"""),"")</f>
        <v/>
      </c>
      <c r="U786" s="36" t="str">
        <f ca="1">IFERROR(__xludf.DUMMYFUNCTION("""COMPUTED_VALUE"""),"")</f>
        <v/>
      </c>
      <c r="V786" s="36" t="str">
        <f ca="1">IFERROR(__xludf.DUMMYFUNCTION("""COMPUTED_VALUE"""),"")</f>
        <v/>
      </c>
      <c r="W786" s="36" t="str">
        <f ca="1">IFERROR(__xludf.DUMMYFUNCTION("""COMPUTED_VALUE"""),"")</f>
        <v/>
      </c>
      <c r="X786" s="36"/>
      <c r="Y786" s="36"/>
      <c r="Z786" s="36"/>
    </row>
    <row r="787" spans="1:26" ht="12.75" hidden="1">
      <c r="A787" s="36" t="str">
        <f ca="1">IFERROR(__xludf.DUMMYFUNCTION("""COMPUTED_VALUE"""),"")</f>
        <v/>
      </c>
      <c r="B787" s="36" t="str">
        <f ca="1">IFERROR(__xludf.DUMMYFUNCTION("""COMPUTED_VALUE"""),"")</f>
        <v/>
      </c>
      <c r="C787" s="36" t="str">
        <f ca="1">IFERROR(__xludf.DUMMYFUNCTION("""COMPUTED_VALUE"""),"")</f>
        <v/>
      </c>
      <c r="D787" s="36" t="str">
        <f ca="1">IFERROR(__xludf.DUMMYFUNCTION("""COMPUTED_VALUE"""),"")</f>
        <v/>
      </c>
      <c r="E787" s="36" t="str">
        <f ca="1">IFERROR(__xludf.DUMMYFUNCTION("""COMPUTED_VALUE"""),"")</f>
        <v/>
      </c>
      <c r="F787" s="36" t="str">
        <f ca="1">IFERROR(__xludf.DUMMYFUNCTION("""COMPUTED_VALUE"""),"")</f>
        <v/>
      </c>
      <c r="G787" s="36" t="str">
        <f ca="1">IFERROR(__xludf.DUMMYFUNCTION("""COMPUTED_VALUE"""),"")</f>
        <v/>
      </c>
      <c r="H787" s="36" t="str">
        <f ca="1">IFERROR(__xludf.DUMMYFUNCTION("""COMPUTED_VALUE"""),"")</f>
        <v/>
      </c>
      <c r="I787" s="36" t="str">
        <f ca="1">IFERROR(__xludf.DUMMYFUNCTION("""COMPUTED_VALUE"""),"")</f>
        <v/>
      </c>
      <c r="J787" s="36" t="str">
        <f ca="1">IFERROR(__xludf.DUMMYFUNCTION("""COMPUTED_VALUE"""),"")</f>
        <v/>
      </c>
      <c r="K787" s="36" t="str">
        <f ca="1">IFERROR(__xludf.DUMMYFUNCTION("""COMPUTED_VALUE"""),"")</f>
        <v/>
      </c>
      <c r="L787" s="36" t="str">
        <f ca="1">IFERROR(__xludf.DUMMYFUNCTION("""COMPUTED_VALUE"""),"")</f>
        <v/>
      </c>
      <c r="M787" s="36" t="str">
        <f ca="1">IFERROR(__xludf.DUMMYFUNCTION("""COMPUTED_VALUE"""),"")</f>
        <v/>
      </c>
      <c r="N787" s="36" t="str">
        <f ca="1">IFERROR(__xludf.DUMMYFUNCTION("""COMPUTED_VALUE"""),"")</f>
        <v/>
      </c>
      <c r="O787" s="36" t="str">
        <f ca="1">IFERROR(__xludf.DUMMYFUNCTION("""COMPUTED_VALUE"""),"")</f>
        <v/>
      </c>
      <c r="P787" s="36" t="str">
        <f ca="1">IFERROR(__xludf.DUMMYFUNCTION("""COMPUTED_VALUE"""),"")</f>
        <v/>
      </c>
      <c r="Q787" s="36" t="str">
        <f ca="1">IFERROR(__xludf.DUMMYFUNCTION("""COMPUTED_VALUE"""),"")</f>
        <v/>
      </c>
      <c r="R787" s="36" t="str">
        <f ca="1">IFERROR(__xludf.DUMMYFUNCTION("""COMPUTED_VALUE"""),"")</f>
        <v/>
      </c>
      <c r="S787" s="36" t="str">
        <f ca="1">IFERROR(__xludf.DUMMYFUNCTION("""COMPUTED_VALUE"""),"")</f>
        <v/>
      </c>
      <c r="T787" s="36" t="str">
        <f ca="1">IFERROR(__xludf.DUMMYFUNCTION("""COMPUTED_VALUE"""),"")</f>
        <v/>
      </c>
      <c r="U787" s="36" t="str">
        <f ca="1">IFERROR(__xludf.DUMMYFUNCTION("""COMPUTED_VALUE"""),"")</f>
        <v/>
      </c>
      <c r="V787" s="36" t="str">
        <f ca="1">IFERROR(__xludf.DUMMYFUNCTION("""COMPUTED_VALUE"""),"")</f>
        <v/>
      </c>
      <c r="W787" s="36" t="str">
        <f ca="1">IFERROR(__xludf.DUMMYFUNCTION("""COMPUTED_VALUE"""),"")</f>
        <v/>
      </c>
      <c r="X787" s="36"/>
      <c r="Y787" s="36"/>
      <c r="Z787" s="36"/>
    </row>
    <row r="788" spans="1:26" ht="12.75" hidden="1">
      <c r="A788" s="36" t="str">
        <f ca="1">IFERROR(__xludf.DUMMYFUNCTION("""COMPUTED_VALUE"""),"")</f>
        <v/>
      </c>
      <c r="B788" s="36" t="str">
        <f ca="1">IFERROR(__xludf.DUMMYFUNCTION("""COMPUTED_VALUE"""),"")</f>
        <v/>
      </c>
      <c r="C788" s="36" t="str">
        <f ca="1">IFERROR(__xludf.DUMMYFUNCTION("""COMPUTED_VALUE"""),"")</f>
        <v/>
      </c>
      <c r="D788" s="36" t="str">
        <f ca="1">IFERROR(__xludf.DUMMYFUNCTION("""COMPUTED_VALUE"""),"")</f>
        <v/>
      </c>
      <c r="E788" s="36" t="str">
        <f ca="1">IFERROR(__xludf.DUMMYFUNCTION("""COMPUTED_VALUE"""),"")</f>
        <v/>
      </c>
      <c r="F788" s="36" t="str">
        <f ca="1">IFERROR(__xludf.DUMMYFUNCTION("""COMPUTED_VALUE"""),"")</f>
        <v/>
      </c>
      <c r="G788" s="36" t="str">
        <f ca="1">IFERROR(__xludf.DUMMYFUNCTION("""COMPUTED_VALUE"""),"")</f>
        <v/>
      </c>
      <c r="H788" s="36" t="str">
        <f ca="1">IFERROR(__xludf.DUMMYFUNCTION("""COMPUTED_VALUE"""),"")</f>
        <v/>
      </c>
      <c r="I788" s="36" t="str">
        <f ca="1">IFERROR(__xludf.DUMMYFUNCTION("""COMPUTED_VALUE"""),"")</f>
        <v/>
      </c>
      <c r="J788" s="36" t="str">
        <f ca="1">IFERROR(__xludf.DUMMYFUNCTION("""COMPUTED_VALUE"""),"")</f>
        <v/>
      </c>
      <c r="K788" s="36" t="str">
        <f ca="1">IFERROR(__xludf.DUMMYFUNCTION("""COMPUTED_VALUE"""),"")</f>
        <v/>
      </c>
      <c r="L788" s="36" t="str">
        <f ca="1">IFERROR(__xludf.DUMMYFUNCTION("""COMPUTED_VALUE"""),"")</f>
        <v/>
      </c>
      <c r="M788" s="36" t="str">
        <f ca="1">IFERROR(__xludf.DUMMYFUNCTION("""COMPUTED_VALUE"""),"")</f>
        <v/>
      </c>
      <c r="N788" s="36" t="str">
        <f ca="1">IFERROR(__xludf.DUMMYFUNCTION("""COMPUTED_VALUE"""),"")</f>
        <v/>
      </c>
      <c r="O788" s="36" t="str">
        <f ca="1">IFERROR(__xludf.DUMMYFUNCTION("""COMPUTED_VALUE"""),"")</f>
        <v/>
      </c>
      <c r="P788" s="36" t="str">
        <f ca="1">IFERROR(__xludf.DUMMYFUNCTION("""COMPUTED_VALUE"""),"")</f>
        <v/>
      </c>
      <c r="Q788" s="36" t="str">
        <f ca="1">IFERROR(__xludf.DUMMYFUNCTION("""COMPUTED_VALUE"""),"")</f>
        <v/>
      </c>
      <c r="R788" s="36" t="str">
        <f ca="1">IFERROR(__xludf.DUMMYFUNCTION("""COMPUTED_VALUE"""),"")</f>
        <v/>
      </c>
      <c r="S788" s="36" t="str">
        <f ca="1">IFERROR(__xludf.DUMMYFUNCTION("""COMPUTED_VALUE"""),"")</f>
        <v/>
      </c>
      <c r="T788" s="36" t="str">
        <f ca="1">IFERROR(__xludf.DUMMYFUNCTION("""COMPUTED_VALUE"""),"")</f>
        <v/>
      </c>
      <c r="U788" s="36" t="str">
        <f ca="1">IFERROR(__xludf.DUMMYFUNCTION("""COMPUTED_VALUE"""),"")</f>
        <v/>
      </c>
      <c r="V788" s="36" t="str">
        <f ca="1">IFERROR(__xludf.DUMMYFUNCTION("""COMPUTED_VALUE"""),"")</f>
        <v/>
      </c>
      <c r="W788" s="36" t="str">
        <f ca="1">IFERROR(__xludf.DUMMYFUNCTION("""COMPUTED_VALUE"""),"")</f>
        <v/>
      </c>
      <c r="X788" s="36"/>
      <c r="Y788" s="36"/>
      <c r="Z788" s="36"/>
    </row>
    <row r="789" spans="1:26" ht="12.75" hidden="1">
      <c r="A789" s="36" t="str">
        <f ca="1">IFERROR(__xludf.DUMMYFUNCTION("""COMPUTED_VALUE"""),"")</f>
        <v/>
      </c>
      <c r="B789" s="36" t="str">
        <f ca="1">IFERROR(__xludf.DUMMYFUNCTION("""COMPUTED_VALUE"""),"")</f>
        <v/>
      </c>
      <c r="C789" s="36" t="str">
        <f ca="1">IFERROR(__xludf.DUMMYFUNCTION("""COMPUTED_VALUE"""),"")</f>
        <v/>
      </c>
      <c r="D789" s="36" t="str">
        <f ca="1">IFERROR(__xludf.DUMMYFUNCTION("""COMPUTED_VALUE"""),"")</f>
        <v/>
      </c>
      <c r="E789" s="36" t="str">
        <f ca="1">IFERROR(__xludf.DUMMYFUNCTION("""COMPUTED_VALUE"""),"")</f>
        <v/>
      </c>
      <c r="F789" s="36" t="str">
        <f ca="1">IFERROR(__xludf.DUMMYFUNCTION("""COMPUTED_VALUE"""),"")</f>
        <v/>
      </c>
      <c r="G789" s="36" t="str">
        <f ca="1">IFERROR(__xludf.DUMMYFUNCTION("""COMPUTED_VALUE"""),"")</f>
        <v/>
      </c>
      <c r="H789" s="36" t="str">
        <f ca="1">IFERROR(__xludf.DUMMYFUNCTION("""COMPUTED_VALUE"""),"")</f>
        <v/>
      </c>
      <c r="I789" s="36" t="str">
        <f ca="1">IFERROR(__xludf.DUMMYFUNCTION("""COMPUTED_VALUE"""),"")</f>
        <v/>
      </c>
      <c r="J789" s="36" t="str">
        <f ca="1">IFERROR(__xludf.DUMMYFUNCTION("""COMPUTED_VALUE"""),"")</f>
        <v/>
      </c>
      <c r="K789" s="36" t="str">
        <f ca="1">IFERROR(__xludf.DUMMYFUNCTION("""COMPUTED_VALUE"""),"")</f>
        <v/>
      </c>
      <c r="L789" s="36" t="str">
        <f ca="1">IFERROR(__xludf.DUMMYFUNCTION("""COMPUTED_VALUE"""),"")</f>
        <v/>
      </c>
      <c r="M789" s="36" t="str">
        <f ca="1">IFERROR(__xludf.DUMMYFUNCTION("""COMPUTED_VALUE"""),"")</f>
        <v/>
      </c>
      <c r="N789" s="36" t="str">
        <f ca="1">IFERROR(__xludf.DUMMYFUNCTION("""COMPUTED_VALUE"""),"")</f>
        <v/>
      </c>
      <c r="O789" s="36" t="str">
        <f ca="1">IFERROR(__xludf.DUMMYFUNCTION("""COMPUTED_VALUE"""),"")</f>
        <v/>
      </c>
      <c r="P789" s="36" t="str">
        <f ca="1">IFERROR(__xludf.DUMMYFUNCTION("""COMPUTED_VALUE"""),"")</f>
        <v/>
      </c>
      <c r="Q789" s="36" t="str">
        <f ca="1">IFERROR(__xludf.DUMMYFUNCTION("""COMPUTED_VALUE"""),"")</f>
        <v/>
      </c>
      <c r="R789" s="36" t="str">
        <f ca="1">IFERROR(__xludf.DUMMYFUNCTION("""COMPUTED_VALUE"""),"")</f>
        <v/>
      </c>
      <c r="S789" s="36" t="str">
        <f ca="1">IFERROR(__xludf.DUMMYFUNCTION("""COMPUTED_VALUE"""),"")</f>
        <v/>
      </c>
      <c r="T789" s="36" t="str">
        <f ca="1">IFERROR(__xludf.DUMMYFUNCTION("""COMPUTED_VALUE"""),"")</f>
        <v/>
      </c>
      <c r="U789" s="36" t="str">
        <f ca="1">IFERROR(__xludf.DUMMYFUNCTION("""COMPUTED_VALUE"""),"")</f>
        <v/>
      </c>
      <c r="V789" s="36" t="str">
        <f ca="1">IFERROR(__xludf.DUMMYFUNCTION("""COMPUTED_VALUE"""),"")</f>
        <v/>
      </c>
      <c r="W789" s="36" t="str">
        <f ca="1">IFERROR(__xludf.DUMMYFUNCTION("""COMPUTED_VALUE"""),"")</f>
        <v/>
      </c>
      <c r="X789" s="36"/>
      <c r="Y789" s="36"/>
      <c r="Z789" s="36"/>
    </row>
    <row r="790" spans="1:26" ht="12.75" hidden="1">
      <c r="A790" s="36" t="str">
        <f ca="1">IFERROR(__xludf.DUMMYFUNCTION("""COMPUTED_VALUE"""),"")</f>
        <v/>
      </c>
      <c r="B790" s="36" t="str">
        <f ca="1">IFERROR(__xludf.DUMMYFUNCTION("""COMPUTED_VALUE"""),"")</f>
        <v/>
      </c>
      <c r="C790" s="36" t="str">
        <f ca="1">IFERROR(__xludf.DUMMYFUNCTION("""COMPUTED_VALUE"""),"")</f>
        <v/>
      </c>
      <c r="D790" s="36" t="str">
        <f ca="1">IFERROR(__xludf.DUMMYFUNCTION("""COMPUTED_VALUE"""),"")</f>
        <v/>
      </c>
      <c r="E790" s="36" t="str">
        <f ca="1">IFERROR(__xludf.DUMMYFUNCTION("""COMPUTED_VALUE"""),"")</f>
        <v/>
      </c>
      <c r="F790" s="36" t="str">
        <f ca="1">IFERROR(__xludf.DUMMYFUNCTION("""COMPUTED_VALUE"""),"")</f>
        <v/>
      </c>
      <c r="G790" s="36" t="str">
        <f ca="1">IFERROR(__xludf.DUMMYFUNCTION("""COMPUTED_VALUE"""),"")</f>
        <v/>
      </c>
      <c r="H790" s="36" t="str">
        <f ca="1">IFERROR(__xludf.DUMMYFUNCTION("""COMPUTED_VALUE"""),"")</f>
        <v/>
      </c>
      <c r="I790" s="36" t="str">
        <f ca="1">IFERROR(__xludf.DUMMYFUNCTION("""COMPUTED_VALUE"""),"")</f>
        <v/>
      </c>
      <c r="J790" s="36" t="str">
        <f ca="1">IFERROR(__xludf.DUMMYFUNCTION("""COMPUTED_VALUE"""),"")</f>
        <v/>
      </c>
      <c r="K790" s="36" t="str">
        <f ca="1">IFERROR(__xludf.DUMMYFUNCTION("""COMPUTED_VALUE"""),"")</f>
        <v/>
      </c>
      <c r="L790" s="36" t="str">
        <f ca="1">IFERROR(__xludf.DUMMYFUNCTION("""COMPUTED_VALUE"""),"")</f>
        <v/>
      </c>
      <c r="M790" s="36" t="str">
        <f ca="1">IFERROR(__xludf.DUMMYFUNCTION("""COMPUTED_VALUE"""),"")</f>
        <v/>
      </c>
      <c r="N790" s="36" t="str">
        <f ca="1">IFERROR(__xludf.DUMMYFUNCTION("""COMPUTED_VALUE"""),"")</f>
        <v/>
      </c>
      <c r="O790" s="36" t="str">
        <f ca="1">IFERROR(__xludf.DUMMYFUNCTION("""COMPUTED_VALUE"""),"")</f>
        <v/>
      </c>
      <c r="P790" s="36" t="str">
        <f ca="1">IFERROR(__xludf.DUMMYFUNCTION("""COMPUTED_VALUE"""),"")</f>
        <v/>
      </c>
      <c r="Q790" s="36" t="str">
        <f ca="1">IFERROR(__xludf.DUMMYFUNCTION("""COMPUTED_VALUE"""),"")</f>
        <v/>
      </c>
      <c r="R790" s="36" t="str">
        <f ca="1">IFERROR(__xludf.DUMMYFUNCTION("""COMPUTED_VALUE"""),"")</f>
        <v/>
      </c>
      <c r="S790" s="36" t="str">
        <f ca="1">IFERROR(__xludf.DUMMYFUNCTION("""COMPUTED_VALUE"""),"")</f>
        <v/>
      </c>
      <c r="T790" s="36" t="str">
        <f ca="1">IFERROR(__xludf.DUMMYFUNCTION("""COMPUTED_VALUE"""),"")</f>
        <v/>
      </c>
      <c r="U790" s="36" t="str">
        <f ca="1">IFERROR(__xludf.DUMMYFUNCTION("""COMPUTED_VALUE"""),"")</f>
        <v/>
      </c>
      <c r="V790" s="36" t="str">
        <f ca="1">IFERROR(__xludf.DUMMYFUNCTION("""COMPUTED_VALUE"""),"")</f>
        <v/>
      </c>
      <c r="W790" s="36" t="str">
        <f ca="1">IFERROR(__xludf.DUMMYFUNCTION("""COMPUTED_VALUE"""),"")</f>
        <v/>
      </c>
      <c r="X790" s="36"/>
      <c r="Y790" s="36"/>
      <c r="Z790" s="36"/>
    </row>
    <row r="791" spans="1:26" ht="12.75" hidden="1">
      <c r="A791" s="36" t="str">
        <f ca="1">IFERROR(__xludf.DUMMYFUNCTION("""COMPUTED_VALUE"""),"")</f>
        <v/>
      </c>
      <c r="B791" s="36" t="str">
        <f ca="1">IFERROR(__xludf.DUMMYFUNCTION("""COMPUTED_VALUE"""),"")</f>
        <v/>
      </c>
      <c r="C791" s="36" t="str">
        <f ca="1">IFERROR(__xludf.DUMMYFUNCTION("""COMPUTED_VALUE"""),"")</f>
        <v/>
      </c>
      <c r="D791" s="36" t="str">
        <f ca="1">IFERROR(__xludf.DUMMYFUNCTION("""COMPUTED_VALUE"""),"")</f>
        <v/>
      </c>
      <c r="E791" s="36" t="str">
        <f ca="1">IFERROR(__xludf.DUMMYFUNCTION("""COMPUTED_VALUE"""),"")</f>
        <v/>
      </c>
      <c r="F791" s="36" t="str">
        <f ca="1">IFERROR(__xludf.DUMMYFUNCTION("""COMPUTED_VALUE"""),"")</f>
        <v/>
      </c>
      <c r="G791" s="36" t="str">
        <f ca="1">IFERROR(__xludf.DUMMYFUNCTION("""COMPUTED_VALUE"""),"")</f>
        <v/>
      </c>
      <c r="H791" s="36" t="str">
        <f ca="1">IFERROR(__xludf.DUMMYFUNCTION("""COMPUTED_VALUE"""),"")</f>
        <v/>
      </c>
      <c r="I791" s="36" t="str">
        <f ca="1">IFERROR(__xludf.DUMMYFUNCTION("""COMPUTED_VALUE"""),"")</f>
        <v/>
      </c>
      <c r="J791" s="36" t="str">
        <f ca="1">IFERROR(__xludf.DUMMYFUNCTION("""COMPUTED_VALUE"""),"")</f>
        <v/>
      </c>
      <c r="K791" s="36" t="str">
        <f ca="1">IFERROR(__xludf.DUMMYFUNCTION("""COMPUTED_VALUE"""),"")</f>
        <v/>
      </c>
      <c r="L791" s="36" t="str">
        <f ca="1">IFERROR(__xludf.DUMMYFUNCTION("""COMPUTED_VALUE"""),"")</f>
        <v/>
      </c>
      <c r="M791" s="36" t="str">
        <f ca="1">IFERROR(__xludf.DUMMYFUNCTION("""COMPUTED_VALUE"""),"")</f>
        <v/>
      </c>
      <c r="N791" s="36" t="str">
        <f ca="1">IFERROR(__xludf.DUMMYFUNCTION("""COMPUTED_VALUE"""),"")</f>
        <v/>
      </c>
      <c r="O791" s="36" t="str">
        <f ca="1">IFERROR(__xludf.DUMMYFUNCTION("""COMPUTED_VALUE"""),"")</f>
        <v/>
      </c>
      <c r="P791" s="36" t="str">
        <f ca="1">IFERROR(__xludf.DUMMYFUNCTION("""COMPUTED_VALUE"""),"")</f>
        <v/>
      </c>
      <c r="Q791" s="36" t="str">
        <f ca="1">IFERROR(__xludf.DUMMYFUNCTION("""COMPUTED_VALUE"""),"")</f>
        <v/>
      </c>
      <c r="R791" s="36" t="str">
        <f ca="1">IFERROR(__xludf.DUMMYFUNCTION("""COMPUTED_VALUE"""),"")</f>
        <v/>
      </c>
      <c r="S791" s="36" t="str">
        <f ca="1">IFERROR(__xludf.DUMMYFUNCTION("""COMPUTED_VALUE"""),"")</f>
        <v/>
      </c>
      <c r="T791" s="36" t="str">
        <f ca="1">IFERROR(__xludf.DUMMYFUNCTION("""COMPUTED_VALUE"""),"")</f>
        <v/>
      </c>
      <c r="U791" s="36" t="str">
        <f ca="1">IFERROR(__xludf.DUMMYFUNCTION("""COMPUTED_VALUE"""),"")</f>
        <v/>
      </c>
      <c r="V791" s="36" t="str">
        <f ca="1">IFERROR(__xludf.DUMMYFUNCTION("""COMPUTED_VALUE"""),"")</f>
        <v/>
      </c>
      <c r="W791" s="36" t="str">
        <f ca="1">IFERROR(__xludf.DUMMYFUNCTION("""COMPUTED_VALUE"""),"")</f>
        <v/>
      </c>
      <c r="X791" s="36"/>
      <c r="Y791" s="36"/>
      <c r="Z791" s="36"/>
    </row>
    <row r="792" spans="1:26" ht="12.75" hidden="1">
      <c r="A792" s="36" t="str">
        <f ca="1">IFERROR(__xludf.DUMMYFUNCTION("""COMPUTED_VALUE"""),"")</f>
        <v/>
      </c>
      <c r="B792" s="36" t="str">
        <f ca="1">IFERROR(__xludf.DUMMYFUNCTION("""COMPUTED_VALUE"""),"")</f>
        <v/>
      </c>
      <c r="C792" s="36" t="str">
        <f ca="1">IFERROR(__xludf.DUMMYFUNCTION("""COMPUTED_VALUE"""),"")</f>
        <v/>
      </c>
      <c r="D792" s="36" t="str">
        <f ca="1">IFERROR(__xludf.DUMMYFUNCTION("""COMPUTED_VALUE"""),"")</f>
        <v/>
      </c>
      <c r="E792" s="36" t="str">
        <f ca="1">IFERROR(__xludf.DUMMYFUNCTION("""COMPUTED_VALUE"""),"")</f>
        <v/>
      </c>
      <c r="F792" s="36" t="str">
        <f ca="1">IFERROR(__xludf.DUMMYFUNCTION("""COMPUTED_VALUE"""),"")</f>
        <v/>
      </c>
      <c r="G792" s="36" t="str">
        <f ca="1">IFERROR(__xludf.DUMMYFUNCTION("""COMPUTED_VALUE"""),"")</f>
        <v/>
      </c>
      <c r="H792" s="36" t="str">
        <f ca="1">IFERROR(__xludf.DUMMYFUNCTION("""COMPUTED_VALUE"""),"")</f>
        <v/>
      </c>
      <c r="I792" s="36" t="str">
        <f ca="1">IFERROR(__xludf.DUMMYFUNCTION("""COMPUTED_VALUE"""),"")</f>
        <v/>
      </c>
      <c r="J792" s="36" t="str">
        <f ca="1">IFERROR(__xludf.DUMMYFUNCTION("""COMPUTED_VALUE"""),"")</f>
        <v/>
      </c>
      <c r="K792" s="36" t="str">
        <f ca="1">IFERROR(__xludf.DUMMYFUNCTION("""COMPUTED_VALUE"""),"")</f>
        <v/>
      </c>
      <c r="L792" s="36" t="str">
        <f ca="1">IFERROR(__xludf.DUMMYFUNCTION("""COMPUTED_VALUE"""),"")</f>
        <v/>
      </c>
      <c r="M792" s="36" t="str">
        <f ca="1">IFERROR(__xludf.DUMMYFUNCTION("""COMPUTED_VALUE"""),"")</f>
        <v/>
      </c>
      <c r="N792" s="36" t="str">
        <f ca="1">IFERROR(__xludf.DUMMYFUNCTION("""COMPUTED_VALUE"""),"")</f>
        <v/>
      </c>
      <c r="O792" s="36" t="str">
        <f ca="1">IFERROR(__xludf.DUMMYFUNCTION("""COMPUTED_VALUE"""),"")</f>
        <v/>
      </c>
      <c r="P792" s="36" t="str">
        <f ca="1">IFERROR(__xludf.DUMMYFUNCTION("""COMPUTED_VALUE"""),"")</f>
        <v/>
      </c>
      <c r="Q792" s="36" t="str">
        <f ca="1">IFERROR(__xludf.DUMMYFUNCTION("""COMPUTED_VALUE"""),"")</f>
        <v/>
      </c>
      <c r="R792" s="36" t="str">
        <f ca="1">IFERROR(__xludf.DUMMYFUNCTION("""COMPUTED_VALUE"""),"")</f>
        <v/>
      </c>
      <c r="S792" s="36" t="str">
        <f ca="1">IFERROR(__xludf.DUMMYFUNCTION("""COMPUTED_VALUE"""),"")</f>
        <v/>
      </c>
      <c r="T792" s="36" t="str">
        <f ca="1">IFERROR(__xludf.DUMMYFUNCTION("""COMPUTED_VALUE"""),"")</f>
        <v/>
      </c>
      <c r="U792" s="36" t="str">
        <f ca="1">IFERROR(__xludf.DUMMYFUNCTION("""COMPUTED_VALUE"""),"")</f>
        <v/>
      </c>
      <c r="V792" s="36" t="str">
        <f ca="1">IFERROR(__xludf.DUMMYFUNCTION("""COMPUTED_VALUE"""),"")</f>
        <v/>
      </c>
      <c r="W792" s="36" t="str">
        <f ca="1">IFERROR(__xludf.DUMMYFUNCTION("""COMPUTED_VALUE"""),"")</f>
        <v/>
      </c>
      <c r="X792" s="36"/>
      <c r="Y792" s="36"/>
      <c r="Z792" s="36"/>
    </row>
    <row r="793" spans="1:26" ht="12.75" hidden="1">
      <c r="A793" s="36" t="str">
        <f ca="1">IFERROR(__xludf.DUMMYFUNCTION("""COMPUTED_VALUE"""),"")</f>
        <v/>
      </c>
      <c r="B793" s="36" t="str">
        <f ca="1">IFERROR(__xludf.DUMMYFUNCTION("""COMPUTED_VALUE"""),"")</f>
        <v/>
      </c>
      <c r="C793" s="36" t="str">
        <f ca="1">IFERROR(__xludf.DUMMYFUNCTION("""COMPUTED_VALUE"""),"")</f>
        <v/>
      </c>
      <c r="D793" s="36" t="str">
        <f ca="1">IFERROR(__xludf.DUMMYFUNCTION("""COMPUTED_VALUE"""),"")</f>
        <v/>
      </c>
      <c r="E793" s="36" t="str">
        <f ca="1">IFERROR(__xludf.DUMMYFUNCTION("""COMPUTED_VALUE"""),"")</f>
        <v/>
      </c>
      <c r="F793" s="36" t="str">
        <f ca="1">IFERROR(__xludf.DUMMYFUNCTION("""COMPUTED_VALUE"""),"")</f>
        <v/>
      </c>
      <c r="G793" s="36" t="str">
        <f ca="1">IFERROR(__xludf.DUMMYFUNCTION("""COMPUTED_VALUE"""),"")</f>
        <v/>
      </c>
      <c r="H793" s="36" t="str">
        <f ca="1">IFERROR(__xludf.DUMMYFUNCTION("""COMPUTED_VALUE"""),"")</f>
        <v/>
      </c>
      <c r="I793" s="36" t="str">
        <f ca="1">IFERROR(__xludf.DUMMYFUNCTION("""COMPUTED_VALUE"""),"")</f>
        <v/>
      </c>
      <c r="J793" s="36" t="str">
        <f ca="1">IFERROR(__xludf.DUMMYFUNCTION("""COMPUTED_VALUE"""),"")</f>
        <v/>
      </c>
      <c r="K793" s="36" t="str">
        <f ca="1">IFERROR(__xludf.DUMMYFUNCTION("""COMPUTED_VALUE"""),"")</f>
        <v/>
      </c>
      <c r="L793" s="36" t="str">
        <f ca="1">IFERROR(__xludf.DUMMYFUNCTION("""COMPUTED_VALUE"""),"")</f>
        <v/>
      </c>
      <c r="M793" s="36" t="str">
        <f ca="1">IFERROR(__xludf.DUMMYFUNCTION("""COMPUTED_VALUE"""),"")</f>
        <v/>
      </c>
      <c r="N793" s="36" t="str">
        <f ca="1">IFERROR(__xludf.DUMMYFUNCTION("""COMPUTED_VALUE"""),"")</f>
        <v/>
      </c>
      <c r="O793" s="36" t="str">
        <f ca="1">IFERROR(__xludf.DUMMYFUNCTION("""COMPUTED_VALUE"""),"")</f>
        <v/>
      </c>
      <c r="P793" s="36" t="str">
        <f ca="1">IFERROR(__xludf.DUMMYFUNCTION("""COMPUTED_VALUE"""),"")</f>
        <v/>
      </c>
      <c r="Q793" s="36" t="str">
        <f ca="1">IFERROR(__xludf.DUMMYFUNCTION("""COMPUTED_VALUE"""),"")</f>
        <v/>
      </c>
      <c r="R793" s="36" t="str">
        <f ca="1">IFERROR(__xludf.DUMMYFUNCTION("""COMPUTED_VALUE"""),"")</f>
        <v/>
      </c>
      <c r="S793" s="36" t="str">
        <f ca="1">IFERROR(__xludf.DUMMYFUNCTION("""COMPUTED_VALUE"""),"")</f>
        <v/>
      </c>
      <c r="T793" s="36" t="str">
        <f ca="1">IFERROR(__xludf.DUMMYFUNCTION("""COMPUTED_VALUE"""),"")</f>
        <v/>
      </c>
      <c r="U793" s="36" t="str">
        <f ca="1">IFERROR(__xludf.DUMMYFUNCTION("""COMPUTED_VALUE"""),"")</f>
        <v/>
      </c>
      <c r="V793" s="36" t="str">
        <f ca="1">IFERROR(__xludf.DUMMYFUNCTION("""COMPUTED_VALUE"""),"")</f>
        <v/>
      </c>
      <c r="W793" s="36" t="str">
        <f ca="1">IFERROR(__xludf.DUMMYFUNCTION("""COMPUTED_VALUE"""),"")</f>
        <v/>
      </c>
      <c r="X793" s="36"/>
      <c r="Y793" s="36"/>
      <c r="Z793" s="36"/>
    </row>
    <row r="794" spans="1:26" ht="12.75" hidden="1">
      <c r="A794" s="36" t="str">
        <f ca="1">IFERROR(__xludf.DUMMYFUNCTION("""COMPUTED_VALUE"""),"")</f>
        <v/>
      </c>
      <c r="B794" s="36" t="str">
        <f ca="1">IFERROR(__xludf.DUMMYFUNCTION("""COMPUTED_VALUE"""),"")</f>
        <v/>
      </c>
      <c r="C794" s="36" t="str">
        <f ca="1">IFERROR(__xludf.DUMMYFUNCTION("""COMPUTED_VALUE"""),"")</f>
        <v/>
      </c>
      <c r="D794" s="36" t="str">
        <f ca="1">IFERROR(__xludf.DUMMYFUNCTION("""COMPUTED_VALUE"""),"")</f>
        <v/>
      </c>
      <c r="E794" s="36" t="str">
        <f ca="1">IFERROR(__xludf.DUMMYFUNCTION("""COMPUTED_VALUE"""),"")</f>
        <v/>
      </c>
      <c r="F794" s="36" t="str">
        <f ca="1">IFERROR(__xludf.DUMMYFUNCTION("""COMPUTED_VALUE"""),"")</f>
        <v/>
      </c>
      <c r="G794" s="36" t="str">
        <f ca="1">IFERROR(__xludf.DUMMYFUNCTION("""COMPUTED_VALUE"""),"")</f>
        <v/>
      </c>
      <c r="H794" s="36" t="str">
        <f ca="1">IFERROR(__xludf.DUMMYFUNCTION("""COMPUTED_VALUE"""),"")</f>
        <v/>
      </c>
      <c r="I794" s="36" t="str">
        <f ca="1">IFERROR(__xludf.DUMMYFUNCTION("""COMPUTED_VALUE"""),"")</f>
        <v/>
      </c>
      <c r="J794" s="36" t="str">
        <f ca="1">IFERROR(__xludf.DUMMYFUNCTION("""COMPUTED_VALUE"""),"")</f>
        <v/>
      </c>
      <c r="K794" s="36" t="str">
        <f ca="1">IFERROR(__xludf.DUMMYFUNCTION("""COMPUTED_VALUE"""),"")</f>
        <v/>
      </c>
      <c r="L794" s="36" t="str">
        <f ca="1">IFERROR(__xludf.DUMMYFUNCTION("""COMPUTED_VALUE"""),"")</f>
        <v/>
      </c>
      <c r="M794" s="36" t="str">
        <f ca="1">IFERROR(__xludf.DUMMYFUNCTION("""COMPUTED_VALUE"""),"")</f>
        <v/>
      </c>
      <c r="N794" s="36" t="str">
        <f ca="1">IFERROR(__xludf.DUMMYFUNCTION("""COMPUTED_VALUE"""),"")</f>
        <v/>
      </c>
      <c r="O794" s="36" t="str">
        <f ca="1">IFERROR(__xludf.DUMMYFUNCTION("""COMPUTED_VALUE"""),"")</f>
        <v/>
      </c>
      <c r="P794" s="36" t="str">
        <f ca="1">IFERROR(__xludf.DUMMYFUNCTION("""COMPUTED_VALUE"""),"")</f>
        <v/>
      </c>
      <c r="Q794" s="36" t="str">
        <f ca="1">IFERROR(__xludf.DUMMYFUNCTION("""COMPUTED_VALUE"""),"")</f>
        <v/>
      </c>
      <c r="R794" s="36" t="str">
        <f ca="1">IFERROR(__xludf.DUMMYFUNCTION("""COMPUTED_VALUE"""),"")</f>
        <v/>
      </c>
      <c r="S794" s="36" t="str">
        <f ca="1">IFERROR(__xludf.DUMMYFUNCTION("""COMPUTED_VALUE"""),"")</f>
        <v/>
      </c>
      <c r="T794" s="36" t="str">
        <f ca="1">IFERROR(__xludf.DUMMYFUNCTION("""COMPUTED_VALUE"""),"")</f>
        <v/>
      </c>
      <c r="U794" s="36" t="str">
        <f ca="1">IFERROR(__xludf.DUMMYFUNCTION("""COMPUTED_VALUE"""),"")</f>
        <v/>
      </c>
      <c r="V794" s="36" t="str">
        <f ca="1">IFERROR(__xludf.DUMMYFUNCTION("""COMPUTED_VALUE"""),"")</f>
        <v/>
      </c>
      <c r="W794" s="36" t="str">
        <f ca="1">IFERROR(__xludf.DUMMYFUNCTION("""COMPUTED_VALUE"""),"")</f>
        <v/>
      </c>
      <c r="X794" s="36"/>
      <c r="Y794" s="36"/>
      <c r="Z794" s="36"/>
    </row>
    <row r="795" spans="1:26" ht="12.75" hidden="1">
      <c r="A795" s="36" t="str">
        <f ca="1">IFERROR(__xludf.DUMMYFUNCTION("""COMPUTED_VALUE"""),"")</f>
        <v/>
      </c>
      <c r="B795" s="36" t="str">
        <f ca="1">IFERROR(__xludf.DUMMYFUNCTION("""COMPUTED_VALUE"""),"")</f>
        <v/>
      </c>
      <c r="C795" s="36" t="str">
        <f ca="1">IFERROR(__xludf.DUMMYFUNCTION("""COMPUTED_VALUE"""),"")</f>
        <v/>
      </c>
      <c r="D795" s="36" t="str">
        <f ca="1">IFERROR(__xludf.DUMMYFUNCTION("""COMPUTED_VALUE"""),"")</f>
        <v/>
      </c>
      <c r="E795" s="36" t="str">
        <f ca="1">IFERROR(__xludf.DUMMYFUNCTION("""COMPUTED_VALUE"""),"")</f>
        <v/>
      </c>
      <c r="F795" s="36" t="str">
        <f ca="1">IFERROR(__xludf.DUMMYFUNCTION("""COMPUTED_VALUE"""),"")</f>
        <v/>
      </c>
      <c r="G795" s="36" t="str">
        <f ca="1">IFERROR(__xludf.DUMMYFUNCTION("""COMPUTED_VALUE"""),"")</f>
        <v/>
      </c>
      <c r="H795" s="36" t="str">
        <f ca="1">IFERROR(__xludf.DUMMYFUNCTION("""COMPUTED_VALUE"""),"")</f>
        <v/>
      </c>
      <c r="I795" s="36" t="str">
        <f ca="1">IFERROR(__xludf.DUMMYFUNCTION("""COMPUTED_VALUE"""),"")</f>
        <v/>
      </c>
      <c r="J795" s="36" t="str">
        <f ca="1">IFERROR(__xludf.DUMMYFUNCTION("""COMPUTED_VALUE"""),"")</f>
        <v/>
      </c>
      <c r="K795" s="36" t="str">
        <f ca="1">IFERROR(__xludf.DUMMYFUNCTION("""COMPUTED_VALUE"""),"")</f>
        <v/>
      </c>
      <c r="L795" s="36" t="str">
        <f ca="1">IFERROR(__xludf.DUMMYFUNCTION("""COMPUTED_VALUE"""),"")</f>
        <v/>
      </c>
      <c r="M795" s="36" t="str">
        <f ca="1">IFERROR(__xludf.DUMMYFUNCTION("""COMPUTED_VALUE"""),"")</f>
        <v/>
      </c>
      <c r="N795" s="36" t="str">
        <f ca="1">IFERROR(__xludf.DUMMYFUNCTION("""COMPUTED_VALUE"""),"")</f>
        <v/>
      </c>
      <c r="O795" s="36" t="str">
        <f ca="1">IFERROR(__xludf.DUMMYFUNCTION("""COMPUTED_VALUE"""),"")</f>
        <v/>
      </c>
      <c r="P795" s="36" t="str">
        <f ca="1">IFERROR(__xludf.DUMMYFUNCTION("""COMPUTED_VALUE"""),"")</f>
        <v/>
      </c>
      <c r="Q795" s="36" t="str">
        <f ca="1">IFERROR(__xludf.DUMMYFUNCTION("""COMPUTED_VALUE"""),"")</f>
        <v/>
      </c>
      <c r="R795" s="36" t="str">
        <f ca="1">IFERROR(__xludf.DUMMYFUNCTION("""COMPUTED_VALUE"""),"")</f>
        <v/>
      </c>
      <c r="S795" s="36" t="str">
        <f ca="1">IFERROR(__xludf.DUMMYFUNCTION("""COMPUTED_VALUE"""),"")</f>
        <v/>
      </c>
      <c r="T795" s="36" t="str">
        <f ca="1">IFERROR(__xludf.DUMMYFUNCTION("""COMPUTED_VALUE"""),"")</f>
        <v/>
      </c>
      <c r="U795" s="36" t="str">
        <f ca="1">IFERROR(__xludf.DUMMYFUNCTION("""COMPUTED_VALUE"""),"")</f>
        <v/>
      </c>
      <c r="V795" s="36" t="str">
        <f ca="1">IFERROR(__xludf.DUMMYFUNCTION("""COMPUTED_VALUE"""),"")</f>
        <v/>
      </c>
      <c r="W795" s="36" t="str">
        <f ca="1">IFERROR(__xludf.DUMMYFUNCTION("""COMPUTED_VALUE"""),"")</f>
        <v/>
      </c>
      <c r="X795" s="36"/>
      <c r="Y795" s="36"/>
      <c r="Z795" s="36"/>
    </row>
    <row r="796" spans="1:26" ht="12.75" hidden="1">
      <c r="A796" s="36" t="str">
        <f ca="1">IFERROR(__xludf.DUMMYFUNCTION("""COMPUTED_VALUE"""),"")</f>
        <v/>
      </c>
      <c r="B796" s="36" t="str">
        <f ca="1">IFERROR(__xludf.DUMMYFUNCTION("""COMPUTED_VALUE"""),"")</f>
        <v/>
      </c>
      <c r="C796" s="36" t="str">
        <f ca="1">IFERROR(__xludf.DUMMYFUNCTION("""COMPUTED_VALUE"""),"")</f>
        <v/>
      </c>
      <c r="D796" s="36" t="str">
        <f ca="1">IFERROR(__xludf.DUMMYFUNCTION("""COMPUTED_VALUE"""),"")</f>
        <v/>
      </c>
      <c r="E796" s="36" t="str">
        <f ca="1">IFERROR(__xludf.DUMMYFUNCTION("""COMPUTED_VALUE"""),"")</f>
        <v/>
      </c>
      <c r="F796" s="36" t="str">
        <f ca="1">IFERROR(__xludf.DUMMYFUNCTION("""COMPUTED_VALUE"""),"")</f>
        <v/>
      </c>
      <c r="G796" s="36" t="str">
        <f ca="1">IFERROR(__xludf.DUMMYFUNCTION("""COMPUTED_VALUE"""),"")</f>
        <v/>
      </c>
      <c r="H796" s="36" t="str">
        <f ca="1">IFERROR(__xludf.DUMMYFUNCTION("""COMPUTED_VALUE"""),"")</f>
        <v/>
      </c>
      <c r="I796" s="36" t="str">
        <f ca="1">IFERROR(__xludf.DUMMYFUNCTION("""COMPUTED_VALUE"""),"")</f>
        <v/>
      </c>
      <c r="J796" s="36" t="str">
        <f ca="1">IFERROR(__xludf.DUMMYFUNCTION("""COMPUTED_VALUE"""),"")</f>
        <v/>
      </c>
      <c r="K796" s="36" t="str">
        <f ca="1">IFERROR(__xludf.DUMMYFUNCTION("""COMPUTED_VALUE"""),"")</f>
        <v/>
      </c>
      <c r="L796" s="36" t="str">
        <f ca="1">IFERROR(__xludf.DUMMYFUNCTION("""COMPUTED_VALUE"""),"")</f>
        <v/>
      </c>
      <c r="M796" s="36" t="str">
        <f ca="1">IFERROR(__xludf.DUMMYFUNCTION("""COMPUTED_VALUE"""),"")</f>
        <v/>
      </c>
      <c r="N796" s="36" t="str">
        <f ca="1">IFERROR(__xludf.DUMMYFUNCTION("""COMPUTED_VALUE"""),"")</f>
        <v/>
      </c>
      <c r="O796" s="36" t="str">
        <f ca="1">IFERROR(__xludf.DUMMYFUNCTION("""COMPUTED_VALUE"""),"")</f>
        <v/>
      </c>
      <c r="P796" s="36" t="str">
        <f ca="1">IFERROR(__xludf.DUMMYFUNCTION("""COMPUTED_VALUE"""),"")</f>
        <v/>
      </c>
      <c r="Q796" s="36" t="str">
        <f ca="1">IFERROR(__xludf.DUMMYFUNCTION("""COMPUTED_VALUE"""),"")</f>
        <v/>
      </c>
      <c r="R796" s="36" t="str">
        <f ca="1">IFERROR(__xludf.DUMMYFUNCTION("""COMPUTED_VALUE"""),"")</f>
        <v/>
      </c>
      <c r="S796" s="36" t="str">
        <f ca="1">IFERROR(__xludf.DUMMYFUNCTION("""COMPUTED_VALUE"""),"")</f>
        <v/>
      </c>
      <c r="T796" s="36" t="str">
        <f ca="1">IFERROR(__xludf.DUMMYFUNCTION("""COMPUTED_VALUE"""),"")</f>
        <v/>
      </c>
      <c r="U796" s="36" t="str">
        <f ca="1">IFERROR(__xludf.DUMMYFUNCTION("""COMPUTED_VALUE"""),"")</f>
        <v/>
      </c>
      <c r="V796" s="36" t="str">
        <f ca="1">IFERROR(__xludf.DUMMYFUNCTION("""COMPUTED_VALUE"""),"")</f>
        <v/>
      </c>
      <c r="W796" s="36" t="str">
        <f ca="1">IFERROR(__xludf.DUMMYFUNCTION("""COMPUTED_VALUE"""),"")</f>
        <v/>
      </c>
      <c r="X796" s="36"/>
      <c r="Y796" s="36"/>
      <c r="Z796" s="36"/>
    </row>
    <row r="797" spans="1:26" ht="12.75" hidden="1">
      <c r="A797" s="36" t="str">
        <f ca="1">IFERROR(__xludf.DUMMYFUNCTION("""COMPUTED_VALUE"""),"")</f>
        <v/>
      </c>
      <c r="B797" s="36" t="str">
        <f ca="1">IFERROR(__xludf.DUMMYFUNCTION("""COMPUTED_VALUE"""),"")</f>
        <v/>
      </c>
      <c r="C797" s="36" t="str">
        <f ca="1">IFERROR(__xludf.DUMMYFUNCTION("""COMPUTED_VALUE"""),"")</f>
        <v/>
      </c>
      <c r="D797" s="36" t="str">
        <f ca="1">IFERROR(__xludf.DUMMYFUNCTION("""COMPUTED_VALUE"""),"")</f>
        <v/>
      </c>
      <c r="E797" s="36" t="str">
        <f ca="1">IFERROR(__xludf.DUMMYFUNCTION("""COMPUTED_VALUE"""),"")</f>
        <v/>
      </c>
      <c r="F797" s="36" t="str">
        <f ca="1">IFERROR(__xludf.DUMMYFUNCTION("""COMPUTED_VALUE"""),"")</f>
        <v/>
      </c>
      <c r="G797" s="36" t="str">
        <f ca="1">IFERROR(__xludf.DUMMYFUNCTION("""COMPUTED_VALUE"""),"")</f>
        <v/>
      </c>
      <c r="H797" s="36" t="str">
        <f ca="1">IFERROR(__xludf.DUMMYFUNCTION("""COMPUTED_VALUE"""),"")</f>
        <v/>
      </c>
      <c r="I797" s="36" t="str">
        <f ca="1">IFERROR(__xludf.DUMMYFUNCTION("""COMPUTED_VALUE"""),"")</f>
        <v/>
      </c>
      <c r="J797" s="36" t="str">
        <f ca="1">IFERROR(__xludf.DUMMYFUNCTION("""COMPUTED_VALUE"""),"")</f>
        <v/>
      </c>
      <c r="K797" s="36" t="str">
        <f ca="1">IFERROR(__xludf.DUMMYFUNCTION("""COMPUTED_VALUE"""),"")</f>
        <v/>
      </c>
      <c r="L797" s="36" t="str">
        <f ca="1">IFERROR(__xludf.DUMMYFUNCTION("""COMPUTED_VALUE"""),"")</f>
        <v/>
      </c>
      <c r="M797" s="36" t="str">
        <f ca="1">IFERROR(__xludf.DUMMYFUNCTION("""COMPUTED_VALUE"""),"")</f>
        <v/>
      </c>
      <c r="N797" s="36" t="str">
        <f ca="1">IFERROR(__xludf.DUMMYFUNCTION("""COMPUTED_VALUE"""),"")</f>
        <v/>
      </c>
      <c r="O797" s="36" t="str">
        <f ca="1">IFERROR(__xludf.DUMMYFUNCTION("""COMPUTED_VALUE"""),"")</f>
        <v/>
      </c>
      <c r="P797" s="36" t="str">
        <f ca="1">IFERROR(__xludf.DUMMYFUNCTION("""COMPUTED_VALUE"""),"")</f>
        <v/>
      </c>
      <c r="Q797" s="36" t="str">
        <f ca="1">IFERROR(__xludf.DUMMYFUNCTION("""COMPUTED_VALUE"""),"")</f>
        <v/>
      </c>
      <c r="R797" s="36" t="str">
        <f ca="1">IFERROR(__xludf.DUMMYFUNCTION("""COMPUTED_VALUE"""),"")</f>
        <v/>
      </c>
      <c r="S797" s="36" t="str">
        <f ca="1">IFERROR(__xludf.DUMMYFUNCTION("""COMPUTED_VALUE"""),"")</f>
        <v/>
      </c>
      <c r="T797" s="36" t="str">
        <f ca="1">IFERROR(__xludf.DUMMYFUNCTION("""COMPUTED_VALUE"""),"")</f>
        <v/>
      </c>
      <c r="U797" s="36" t="str">
        <f ca="1">IFERROR(__xludf.DUMMYFUNCTION("""COMPUTED_VALUE"""),"")</f>
        <v/>
      </c>
      <c r="V797" s="36" t="str">
        <f ca="1">IFERROR(__xludf.DUMMYFUNCTION("""COMPUTED_VALUE"""),"")</f>
        <v/>
      </c>
      <c r="W797" s="36" t="str">
        <f ca="1">IFERROR(__xludf.DUMMYFUNCTION("""COMPUTED_VALUE"""),"")</f>
        <v/>
      </c>
      <c r="X797" s="36"/>
      <c r="Y797" s="36"/>
      <c r="Z797" s="36"/>
    </row>
    <row r="798" spans="1:26" ht="12.75" hidden="1">
      <c r="A798" s="36" t="str">
        <f ca="1">IFERROR(__xludf.DUMMYFUNCTION("""COMPUTED_VALUE"""),"")</f>
        <v/>
      </c>
      <c r="B798" s="36" t="str">
        <f ca="1">IFERROR(__xludf.DUMMYFUNCTION("""COMPUTED_VALUE"""),"")</f>
        <v/>
      </c>
      <c r="C798" s="36" t="str">
        <f ca="1">IFERROR(__xludf.DUMMYFUNCTION("""COMPUTED_VALUE"""),"")</f>
        <v/>
      </c>
      <c r="D798" s="36" t="str">
        <f ca="1">IFERROR(__xludf.DUMMYFUNCTION("""COMPUTED_VALUE"""),"")</f>
        <v/>
      </c>
      <c r="E798" s="36" t="str">
        <f ca="1">IFERROR(__xludf.DUMMYFUNCTION("""COMPUTED_VALUE"""),"")</f>
        <v/>
      </c>
      <c r="F798" s="36" t="str">
        <f ca="1">IFERROR(__xludf.DUMMYFUNCTION("""COMPUTED_VALUE"""),"")</f>
        <v/>
      </c>
      <c r="G798" s="36" t="str">
        <f ca="1">IFERROR(__xludf.DUMMYFUNCTION("""COMPUTED_VALUE"""),"")</f>
        <v/>
      </c>
      <c r="H798" s="36" t="str">
        <f ca="1">IFERROR(__xludf.DUMMYFUNCTION("""COMPUTED_VALUE"""),"")</f>
        <v/>
      </c>
      <c r="I798" s="36" t="str">
        <f ca="1">IFERROR(__xludf.DUMMYFUNCTION("""COMPUTED_VALUE"""),"")</f>
        <v/>
      </c>
      <c r="J798" s="36" t="str">
        <f ca="1">IFERROR(__xludf.DUMMYFUNCTION("""COMPUTED_VALUE"""),"")</f>
        <v/>
      </c>
      <c r="K798" s="36" t="str">
        <f ca="1">IFERROR(__xludf.DUMMYFUNCTION("""COMPUTED_VALUE"""),"")</f>
        <v/>
      </c>
      <c r="L798" s="36" t="str">
        <f ca="1">IFERROR(__xludf.DUMMYFUNCTION("""COMPUTED_VALUE"""),"")</f>
        <v/>
      </c>
      <c r="M798" s="36" t="str">
        <f ca="1">IFERROR(__xludf.DUMMYFUNCTION("""COMPUTED_VALUE"""),"")</f>
        <v/>
      </c>
      <c r="N798" s="36" t="str">
        <f ca="1">IFERROR(__xludf.DUMMYFUNCTION("""COMPUTED_VALUE"""),"")</f>
        <v/>
      </c>
      <c r="O798" s="36" t="str">
        <f ca="1">IFERROR(__xludf.DUMMYFUNCTION("""COMPUTED_VALUE"""),"")</f>
        <v/>
      </c>
      <c r="P798" s="36" t="str">
        <f ca="1">IFERROR(__xludf.DUMMYFUNCTION("""COMPUTED_VALUE"""),"")</f>
        <v/>
      </c>
      <c r="Q798" s="36" t="str">
        <f ca="1">IFERROR(__xludf.DUMMYFUNCTION("""COMPUTED_VALUE"""),"")</f>
        <v/>
      </c>
      <c r="R798" s="36" t="str">
        <f ca="1">IFERROR(__xludf.DUMMYFUNCTION("""COMPUTED_VALUE"""),"")</f>
        <v/>
      </c>
      <c r="S798" s="36" t="str">
        <f ca="1">IFERROR(__xludf.DUMMYFUNCTION("""COMPUTED_VALUE"""),"")</f>
        <v/>
      </c>
      <c r="T798" s="36" t="str">
        <f ca="1">IFERROR(__xludf.DUMMYFUNCTION("""COMPUTED_VALUE"""),"")</f>
        <v/>
      </c>
      <c r="U798" s="36" t="str">
        <f ca="1">IFERROR(__xludf.DUMMYFUNCTION("""COMPUTED_VALUE"""),"")</f>
        <v/>
      </c>
      <c r="V798" s="36" t="str">
        <f ca="1">IFERROR(__xludf.DUMMYFUNCTION("""COMPUTED_VALUE"""),"")</f>
        <v/>
      </c>
      <c r="W798" s="36" t="str">
        <f ca="1">IFERROR(__xludf.DUMMYFUNCTION("""COMPUTED_VALUE"""),"")</f>
        <v/>
      </c>
      <c r="X798" s="36"/>
      <c r="Y798" s="36"/>
      <c r="Z798" s="36"/>
    </row>
    <row r="799" spans="1:26" ht="12.75" hidden="1">
      <c r="A799" s="36" t="str">
        <f ca="1">IFERROR(__xludf.DUMMYFUNCTION("""COMPUTED_VALUE"""),"")</f>
        <v/>
      </c>
      <c r="B799" s="36" t="str">
        <f ca="1">IFERROR(__xludf.DUMMYFUNCTION("""COMPUTED_VALUE"""),"")</f>
        <v/>
      </c>
      <c r="C799" s="36" t="str">
        <f ca="1">IFERROR(__xludf.DUMMYFUNCTION("""COMPUTED_VALUE"""),"")</f>
        <v/>
      </c>
      <c r="D799" s="36" t="str">
        <f ca="1">IFERROR(__xludf.DUMMYFUNCTION("""COMPUTED_VALUE"""),"")</f>
        <v/>
      </c>
      <c r="E799" s="36" t="str">
        <f ca="1">IFERROR(__xludf.DUMMYFUNCTION("""COMPUTED_VALUE"""),"")</f>
        <v/>
      </c>
      <c r="F799" s="36" t="str">
        <f ca="1">IFERROR(__xludf.DUMMYFUNCTION("""COMPUTED_VALUE"""),"")</f>
        <v/>
      </c>
      <c r="G799" s="36" t="str">
        <f ca="1">IFERROR(__xludf.DUMMYFUNCTION("""COMPUTED_VALUE"""),"")</f>
        <v/>
      </c>
      <c r="H799" s="36" t="str">
        <f ca="1">IFERROR(__xludf.DUMMYFUNCTION("""COMPUTED_VALUE"""),"")</f>
        <v/>
      </c>
      <c r="I799" s="36" t="str">
        <f ca="1">IFERROR(__xludf.DUMMYFUNCTION("""COMPUTED_VALUE"""),"")</f>
        <v/>
      </c>
      <c r="J799" s="36" t="str">
        <f ca="1">IFERROR(__xludf.DUMMYFUNCTION("""COMPUTED_VALUE"""),"")</f>
        <v/>
      </c>
      <c r="K799" s="36" t="str">
        <f ca="1">IFERROR(__xludf.DUMMYFUNCTION("""COMPUTED_VALUE"""),"")</f>
        <v/>
      </c>
      <c r="L799" s="36" t="str">
        <f ca="1">IFERROR(__xludf.DUMMYFUNCTION("""COMPUTED_VALUE"""),"")</f>
        <v/>
      </c>
      <c r="M799" s="36" t="str">
        <f ca="1">IFERROR(__xludf.DUMMYFUNCTION("""COMPUTED_VALUE"""),"")</f>
        <v/>
      </c>
      <c r="N799" s="36" t="str">
        <f ca="1">IFERROR(__xludf.DUMMYFUNCTION("""COMPUTED_VALUE"""),"")</f>
        <v/>
      </c>
      <c r="O799" s="36" t="str">
        <f ca="1">IFERROR(__xludf.DUMMYFUNCTION("""COMPUTED_VALUE"""),"")</f>
        <v/>
      </c>
      <c r="P799" s="36" t="str">
        <f ca="1">IFERROR(__xludf.DUMMYFUNCTION("""COMPUTED_VALUE"""),"")</f>
        <v/>
      </c>
      <c r="Q799" s="36" t="str">
        <f ca="1">IFERROR(__xludf.DUMMYFUNCTION("""COMPUTED_VALUE"""),"")</f>
        <v/>
      </c>
      <c r="R799" s="36" t="str">
        <f ca="1">IFERROR(__xludf.DUMMYFUNCTION("""COMPUTED_VALUE"""),"")</f>
        <v/>
      </c>
      <c r="S799" s="36" t="str">
        <f ca="1">IFERROR(__xludf.DUMMYFUNCTION("""COMPUTED_VALUE"""),"")</f>
        <v/>
      </c>
      <c r="T799" s="36" t="str">
        <f ca="1">IFERROR(__xludf.DUMMYFUNCTION("""COMPUTED_VALUE"""),"")</f>
        <v/>
      </c>
      <c r="U799" s="36" t="str">
        <f ca="1">IFERROR(__xludf.DUMMYFUNCTION("""COMPUTED_VALUE"""),"")</f>
        <v/>
      </c>
      <c r="V799" s="36" t="str">
        <f ca="1">IFERROR(__xludf.DUMMYFUNCTION("""COMPUTED_VALUE"""),"")</f>
        <v/>
      </c>
      <c r="W799" s="36" t="str">
        <f ca="1">IFERROR(__xludf.DUMMYFUNCTION("""COMPUTED_VALUE"""),"")</f>
        <v/>
      </c>
      <c r="X799" s="36"/>
      <c r="Y799" s="36"/>
      <c r="Z799" s="36"/>
    </row>
    <row r="800" spans="1:26" ht="12.75" hidden="1">
      <c r="A800" s="36" t="str">
        <f ca="1">IFERROR(__xludf.DUMMYFUNCTION("""COMPUTED_VALUE"""),"")</f>
        <v/>
      </c>
      <c r="B800" s="36" t="str">
        <f ca="1">IFERROR(__xludf.DUMMYFUNCTION("""COMPUTED_VALUE"""),"")</f>
        <v/>
      </c>
      <c r="C800" s="36" t="str">
        <f ca="1">IFERROR(__xludf.DUMMYFUNCTION("""COMPUTED_VALUE"""),"")</f>
        <v/>
      </c>
      <c r="D800" s="36" t="str">
        <f ca="1">IFERROR(__xludf.DUMMYFUNCTION("""COMPUTED_VALUE"""),"")</f>
        <v/>
      </c>
      <c r="E800" s="36" t="str">
        <f ca="1">IFERROR(__xludf.DUMMYFUNCTION("""COMPUTED_VALUE"""),"")</f>
        <v/>
      </c>
      <c r="F800" s="36" t="str">
        <f ca="1">IFERROR(__xludf.DUMMYFUNCTION("""COMPUTED_VALUE"""),"")</f>
        <v/>
      </c>
      <c r="G800" s="36" t="str">
        <f ca="1">IFERROR(__xludf.DUMMYFUNCTION("""COMPUTED_VALUE"""),"")</f>
        <v/>
      </c>
      <c r="H800" s="36" t="str">
        <f ca="1">IFERROR(__xludf.DUMMYFUNCTION("""COMPUTED_VALUE"""),"")</f>
        <v/>
      </c>
      <c r="I800" s="36" t="str">
        <f ca="1">IFERROR(__xludf.DUMMYFUNCTION("""COMPUTED_VALUE"""),"")</f>
        <v/>
      </c>
      <c r="J800" s="36" t="str">
        <f ca="1">IFERROR(__xludf.DUMMYFUNCTION("""COMPUTED_VALUE"""),"")</f>
        <v/>
      </c>
      <c r="K800" s="36" t="str">
        <f ca="1">IFERROR(__xludf.DUMMYFUNCTION("""COMPUTED_VALUE"""),"")</f>
        <v/>
      </c>
      <c r="L800" s="36" t="str">
        <f ca="1">IFERROR(__xludf.DUMMYFUNCTION("""COMPUTED_VALUE"""),"")</f>
        <v/>
      </c>
      <c r="M800" s="36" t="str">
        <f ca="1">IFERROR(__xludf.DUMMYFUNCTION("""COMPUTED_VALUE"""),"")</f>
        <v/>
      </c>
      <c r="N800" s="36" t="str">
        <f ca="1">IFERROR(__xludf.DUMMYFUNCTION("""COMPUTED_VALUE"""),"")</f>
        <v/>
      </c>
      <c r="O800" s="36" t="str">
        <f ca="1">IFERROR(__xludf.DUMMYFUNCTION("""COMPUTED_VALUE"""),"")</f>
        <v/>
      </c>
      <c r="P800" s="36" t="str">
        <f ca="1">IFERROR(__xludf.DUMMYFUNCTION("""COMPUTED_VALUE"""),"")</f>
        <v/>
      </c>
      <c r="Q800" s="36" t="str">
        <f ca="1">IFERROR(__xludf.DUMMYFUNCTION("""COMPUTED_VALUE"""),"")</f>
        <v/>
      </c>
      <c r="R800" s="36" t="str">
        <f ca="1">IFERROR(__xludf.DUMMYFUNCTION("""COMPUTED_VALUE"""),"")</f>
        <v/>
      </c>
      <c r="S800" s="36" t="str">
        <f ca="1">IFERROR(__xludf.DUMMYFUNCTION("""COMPUTED_VALUE"""),"")</f>
        <v/>
      </c>
      <c r="T800" s="36" t="str">
        <f ca="1">IFERROR(__xludf.DUMMYFUNCTION("""COMPUTED_VALUE"""),"")</f>
        <v/>
      </c>
      <c r="U800" s="36" t="str">
        <f ca="1">IFERROR(__xludf.DUMMYFUNCTION("""COMPUTED_VALUE"""),"")</f>
        <v/>
      </c>
      <c r="V800" s="36" t="str">
        <f ca="1">IFERROR(__xludf.DUMMYFUNCTION("""COMPUTED_VALUE"""),"")</f>
        <v/>
      </c>
      <c r="W800" s="36" t="str">
        <f ca="1">IFERROR(__xludf.DUMMYFUNCTION("""COMPUTED_VALUE"""),"")</f>
        <v/>
      </c>
      <c r="X800" s="36"/>
      <c r="Y800" s="36"/>
      <c r="Z800" s="36"/>
    </row>
    <row r="801" spans="1:26" ht="12.75" hidden="1">
      <c r="A801" s="36" t="str">
        <f ca="1">IFERROR(__xludf.DUMMYFUNCTION("""COMPUTED_VALUE"""),"")</f>
        <v/>
      </c>
      <c r="B801" s="36" t="str">
        <f ca="1">IFERROR(__xludf.DUMMYFUNCTION("""COMPUTED_VALUE"""),"")</f>
        <v/>
      </c>
      <c r="C801" s="36" t="str">
        <f ca="1">IFERROR(__xludf.DUMMYFUNCTION("""COMPUTED_VALUE"""),"")</f>
        <v/>
      </c>
      <c r="D801" s="36" t="str">
        <f ca="1">IFERROR(__xludf.DUMMYFUNCTION("""COMPUTED_VALUE"""),"")</f>
        <v/>
      </c>
      <c r="E801" s="36" t="str">
        <f ca="1">IFERROR(__xludf.DUMMYFUNCTION("""COMPUTED_VALUE"""),"")</f>
        <v/>
      </c>
      <c r="F801" s="36" t="str">
        <f ca="1">IFERROR(__xludf.DUMMYFUNCTION("""COMPUTED_VALUE"""),"")</f>
        <v/>
      </c>
      <c r="G801" s="36" t="str">
        <f ca="1">IFERROR(__xludf.DUMMYFUNCTION("""COMPUTED_VALUE"""),"")</f>
        <v/>
      </c>
      <c r="H801" s="36" t="str">
        <f ca="1">IFERROR(__xludf.DUMMYFUNCTION("""COMPUTED_VALUE"""),"")</f>
        <v/>
      </c>
      <c r="I801" s="36" t="str">
        <f ca="1">IFERROR(__xludf.DUMMYFUNCTION("""COMPUTED_VALUE"""),"")</f>
        <v/>
      </c>
      <c r="J801" s="36" t="str">
        <f ca="1">IFERROR(__xludf.DUMMYFUNCTION("""COMPUTED_VALUE"""),"")</f>
        <v/>
      </c>
      <c r="K801" s="36" t="str">
        <f ca="1">IFERROR(__xludf.DUMMYFUNCTION("""COMPUTED_VALUE"""),"")</f>
        <v/>
      </c>
      <c r="L801" s="36" t="str">
        <f ca="1">IFERROR(__xludf.DUMMYFUNCTION("""COMPUTED_VALUE"""),"")</f>
        <v/>
      </c>
      <c r="M801" s="36" t="str">
        <f ca="1">IFERROR(__xludf.DUMMYFUNCTION("""COMPUTED_VALUE"""),"")</f>
        <v/>
      </c>
      <c r="N801" s="36" t="str">
        <f ca="1">IFERROR(__xludf.DUMMYFUNCTION("""COMPUTED_VALUE"""),"")</f>
        <v/>
      </c>
      <c r="O801" s="36" t="str">
        <f ca="1">IFERROR(__xludf.DUMMYFUNCTION("""COMPUTED_VALUE"""),"")</f>
        <v/>
      </c>
      <c r="P801" s="36" t="str">
        <f ca="1">IFERROR(__xludf.DUMMYFUNCTION("""COMPUTED_VALUE"""),"")</f>
        <v/>
      </c>
      <c r="Q801" s="36" t="str">
        <f ca="1">IFERROR(__xludf.DUMMYFUNCTION("""COMPUTED_VALUE"""),"")</f>
        <v/>
      </c>
      <c r="R801" s="36" t="str">
        <f ca="1">IFERROR(__xludf.DUMMYFUNCTION("""COMPUTED_VALUE"""),"")</f>
        <v/>
      </c>
      <c r="S801" s="36" t="str">
        <f ca="1">IFERROR(__xludf.DUMMYFUNCTION("""COMPUTED_VALUE"""),"")</f>
        <v/>
      </c>
      <c r="T801" s="36" t="str">
        <f ca="1">IFERROR(__xludf.DUMMYFUNCTION("""COMPUTED_VALUE"""),"")</f>
        <v/>
      </c>
      <c r="U801" s="36" t="str">
        <f ca="1">IFERROR(__xludf.DUMMYFUNCTION("""COMPUTED_VALUE"""),"")</f>
        <v/>
      </c>
      <c r="V801" s="36" t="str">
        <f ca="1">IFERROR(__xludf.DUMMYFUNCTION("""COMPUTED_VALUE"""),"")</f>
        <v/>
      </c>
      <c r="W801" s="36" t="str">
        <f ca="1">IFERROR(__xludf.DUMMYFUNCTION("""COMPUTED_VALUE"""),"")</f>
        <v/>
      </c>
      <c r="X801" s="36"/>
      <c r="Y801" s="36"/>
      <c r="Z801" s="36"/>
    </row>
    <row r="802" spans="1:26" ht="12.75" hidden="1">
      <c r="A802" s="36" t="str">
        <f ca="1">IFERROR(__xludf.DUMMYFUNCTION("""COMPUTED_VALUE"""),"")</f>
        <v/>
      </c>
      <c r="B802" s="36" t="str">
        <f ca="1">IFERROR(__xludf.DUMMYFUNCTION("""COMPUTED_VALUE"""),"")</f>
        <v/>
      </c>
      <c r="C802" s="36" t="str">
        <f ca="1">IFERROR(__xludf.DUMMYFUNCTION("""COMPUTED_VALUE"""),"")</f>
        <v/>
      </c>
      <c r="D802" s="36" t="str">
        <f ca="1">IFERROR(__xludf.DUMMYFUNCTION("""COMPUTED_VALUE"""),"")</f>
        <v/>
      </c>
      <c r="E802" s="36" t="str">
        <f ca="1">IFERROR(__xludf.DUMMYFUNCTION("""COMPUTED_VALUE"""),"")</f>
        <v/>
      </c>
      <c r="F802" s="36" t="str">
        <f ca="1">IFERROR(__xludf.DUMMYFUNCTION("""COMPUTED_VALUE"""),"")</f>
        <v/>
      </c>
      <c r="G802" s="36" t="str">
        <f ca="1">IFERROR(__xludf.DUMMYFUNCTION("""COMPUTED_VALUE"""),"")</f>
        <v/>
      </c>
      <c r="H802" s="36" t="str">
        <f ca="1">IFERROR(__xludf.DUMMYFUNCTION("""COMPUTED_VALUE"""),"")</f>
        <v/>
      </c>
      <c r="I802" s="36" t="str">
        <f ca="1">IFERROR(__xludf.DUMMYFUNCTION("""COMPUTED_VALUE"""),"")</f>
        <v/>
      </c>
      <c r="J802" s="36" t="str">
        <f ca="1">IFERROR(__xludf.DUMMYFUNCTION("""COMPUTED_VALUE"""),"")</f>
        <v/>
      </c>
      <c r="K802" s="36" t="str">
        <f ca="1">IFERROR(__xludf.DUMMYFUNCTION("""COMPUTED_VALUE"""),"")</f>
        <v/>
      </c>
      <c r="L802" s="36" t="str">
        <f ca="1">IFERROR(__xludf.DUMMYFUNCTION("""COMPUTED_VALUE"""),"")</f>
        <v/>
      </c>
      <c r="M802" s="36" t="str">
        <f ca="1">IFERROR(__xludf.DUMMYFUNCTION("""COMPUTED_VALUE"""),"")</f>
        <v/>
      </c>
      <c r="N802" s="36" t="str">
        <f ca="1">IFERROR(__xludf.DUMMYFUNCTION("""COMPUTED_VALUE"""),"")</f>
        <v/>
      </c>
      <c r="O802" s="36" t="str">
        <f ca="1">IFERROR(__xludf.DUMMYFUNCTION("""COMPUTED_VALUE"""),"")</f>
        <v/>
      </c>
      <c r="P802" s="36" t="str">
        <f ca="1">IFERROR(__xludf.DUMMYFUNCTION("""COMPUTED_VALUE"""),"")</f>
        <v/>
      </c>
      <c r="Q802" s="36" t="str">
        <f ca="1">IFERROR(__xludf.DUMMYFUNCTION("""COMPUTED_VALUE"""),"")</f>
        <v/>
      </c>
      <c r="R802" s="36" t="str">
        <f ca="1">IFERROR(__xludf.DUMMYFUNCTION("""COMPUTED_VALUE"""),"")</f>
        <v/>
      </c>
      <c r="S802" s="36" t="str">
        <f ca="1">IFERROR(__xludf.DUMMYFUNCTION("""COMPUTED_VALUE"""),"")</f>
        <v/>
      </c>
      <c r="T802" s="36" t="str">
        <f ca="1">IFERROR(__xludf.DUMMYFUNCTION("""COMPUTED_VALUE"""),"")</f>
        <v/>
      </c>
      <c r="U802" s="36" t="str">
        <f ca="1">IFERROR(__xludf.DUMMYFUNCTION("""COMPUTED_VALUE"""),"")</f>
        <v/>
      </c>
      <c r="V802" s="36" t="str">
        <f ca="1">IFERROR(__xludf.DUMMYFUNCTION("""COMPUTED_VALUE"""),"")</f>
        <v/>
      </c>
      <c r="W802" s="36" t="str">
        <f ca="1">IFERROR(__xludf.DUMMYFUNCTION("""COMPUTED_VALUE"""),"")</f>
        <v/>
      </c>
      <c r="X802" s="36"/>
      <c r="Y802" s="36"/>
      <c r="Z802" s="36"/>
    </row>
    <row r="803" spans="1:26" ht="12.75" hidden="1">
      <c r="A803" s="36" t="str">
        <f ca="1">IFERROR(__xludf.DUMMYFUNCTION("""COMPUTED_VALUE"""),"")</f>
        <v/>
      </c>
      <c r="B803" s="36" t="str">
        <f ca="1">IFERROR(__xludf.DUMMYFUNCTION("""COMPUTED_VALUE"""),"")</f>
        <v/>
      </c>
      <c r="C803" s="36" t="str">
        <f ca="1">IFERROR(__xludf.DUMMYFUNCTION("""COMPUTED_VALUE"""),"")</f>
        <v/>
      </c>
      <c r="D803" s="36" t="str">
        <f ca="1">IFERROR(__xludf.DUMMYFUNCTION("""COMPUTED_VALUE"""),"")</f>
        <v/>
      </c>
      <c r="E803" s="36" t="str">
        <f ca="1">IFERROR(__xludf.DUMMYFUNCTION("""COMPUTED_VALUE"""),"")</f>
        <v/>
      </c>
      <c r="F803" s="36" t="str">
        <f ca="1">IFERROR(__xludf.DUMMYFUNCTION("""COMPUTED_VALUE"""),"")</f>
        <v/>
      </c>
      <c r="G803" s="36" t="str">
        <f ca="1">IFERROR(__xludf.DUMMYFUNCTION("""COMPUTED_VALUE"""),"")</f>
        <v/>
      </c>
      <c r="H803" s="36" t="str">
        <f ca="1">IFERROR(__xludf.DUMMYFUNCTION("""COMPUTED_VALUE"""),"")</f>
        <v/>
      </c>
      <c r="I803" s="36" t="str">
        <f ca="1">IFERROR(__xludf.DUMMYFUNCTION("""COMPUTED_VALUE"""),"")</f>
        <v/>
      </c>
      <c r="J803" s="36" t="str">
        <f ca="1">IFERROR(__xludf.DUMMYFUNCTION("""COMPUTED_VALUE"""),"")</f>
        <v/>
      </c>
      <c r="K803" s="36" t="str">
        <f ca="1">IFERROR(__xludf.DUMMYFUNCTION("""COMPUTED_VALUE"""),"")</f>
        <v/>
      </c>
      <c r="L803" s="36" t="str">
        <f ca="1">IFERROR(__xludf.DUMMYFUNCTION("""COMPUTED_VALUE"""),"")</f>
        <v/>
      </c>
      <c r="M803" s="36" t="str">
        <f ca="1">IFERROR(__xludf.DUMMYFUNCTION("""COMPUTED_VALUE"""),"")</f>
        <v/>
      </c>
      <c r="N803" s="36" t="str">
        <f ca="1">IFERROR(__xludf.DUMMYFUNCTION("""COMPUTED_VALUE"""),"")</f>
        <v/>
      </c>
      <c r="O803" s="36" t="str">
        <f ca="1">IFERROR(__xludf.DUMMYFUNCTION("""COMPUTED_VALUE"""),"")</f>
        <v/>
      </c>
      <c r="P803" s="36" t="str">
        <f ca="1">IFERROR(__xludf.DUMMYFUNCTION("""COMPUTED_VALUE"""),"")</f>
        <v/>
      </c>
      <c r="Q803" s="36" t="str">
        <f ca="1">IFERROR(__xludf.DUMMYFUNCTION("""COMPUTED_VALUE"""),"")</f>
        <v/>
      </c>
      <c r="R803" s="36" t="str">
        <f ca="1">IFERROR(__xludf.DUMMYFUNCTION("""COMPUTED_VALUE"""),"")</f>
        <v/>
      </c>
      <c r="S803" s="36" t="str">
        <f ca="1">IFERROR(__xludf.DUMMYFUNCTION("""COMPUTED_VALUE"""),"")</f>
        <v/>
      </c>
      <c r="T803" s="36" t="str">
        <f ca="1">IFERROR(__xludf.DUMMYFUNCTION("""COMPUTED_VALUE"""),"")</f>
        <v/>
      </c>
      <c r="U803" s="36" t="str">
        <f ca="1">IFERROR(__xludf.DUMMYFUNCTION("""COMPUTED_VALUE"""),"")</f>
        <v/>
      </c>
      <c r="V803" s="36" t="str">
        <f ca="1">IFERROR(__xludf.DUMMYFUNCTION("""COMPUTED_VALUE"""),"")</f>
        <v/>
      </c>
      <c r="W803" s="36" t="str">
        <f ca="1">IFERROR(__xludf.DUMMYFUNCTION("""COMPUTED_VALUE"""),"")</f>
        <v/>
      </c>
      <c r="X803" s="36"/>
      <c r="Y803" s="36"/>
      <c r="Z803" s="36"/>
    </row>
    <row r="804" spans="1:26" ht="12.75" hidden="1">
      <c r="A804" s="36" t="str">
        <f ca="1">IFERROR(__xludf.DUMMYFUNCTION("""COMPUTED_VALUE"""),"")</f>
        <v/>
      </c>
      <c r="B804" s="36" t="str">
        <f ca="1">IFERROR(__xludf.DUMMYFUNCTION("""COMPUTED_VALUE"""),"")</f>
        <v/>
      </c>
      <c r="C804" s="36" t="str">
        <f ca="1">IFERROR(__xludf.DUMMYFUNCTION("""COMPUTED_VALUE"""),"")</f>
        <v/>
      </c>
      <c r="D804" s="36" t="str">
        <f ca="1">IFERROR(__xludf.DUMMYFUNCTION("""COMPUTED_VALUE"""),"")</f>
        <v/>
      </c>
      <c r="E804" s="36" t="str">
        <f ca="1">IFERROR(__xludf.DUMMYFUNCTION("""COMPUTED_VALUE"""),"")</f>
        <v/>
      </c>
      <c r="F804" s="36" t="str">
        <f ca="1">IFERROR(__xludf.DUMMYFUNCTION("""COMPUTED_VALUE"""),"")</f>
        <v/>
      </c>
      <c r="G804" s="36" t="str">
        <f ca="1">IFERROR(__xludf.DUMMYFUNCTION("""COMPUTED_VALUE"""),"")</f>
        <v/>
      </c>
      <c r="H804" s="36" t="str">
        <f ca="1">IFERROR(__xludf.DUMMYFUNCTION("""COMPUTED_VALUE"""),"")</f>
        <v/>
      </c>
      <c r="I804" s="36" t="str">
        <f ca="1">IFERROR(__xludf.DUMMYFUNCTION("""COMPUTED_VALUE"""),"")</f>
        <v/>
      </c>
      <c r="J804" s="36" t="str">
        <f ca="1">IFERROR(__xludf.DUMMYFUNCTION("""COMPUTED_VALUE"""),"")</f>
        <v/>
      </c>
      <c r="K804" s="36" t="str">
        <f ca="1">IFERROR(__xludf.DUMMYFUNCTION("""COMPUTED_VALUE"""),"")</f>
        <v/>
      </c>
      <c r="L804" s="36" t="str">
        <f ca="1">IFERROR(__xludf.DUMMYFUNCTION("""COMPUTED_VALUE"""),"")</f>
        <v/>
      </c>
      <c r="M804" s="36" t="str">
        <f ca="1">IFERROR(__xludf.DUMMYFUNCTION("""COMPUTED_VALUE"""),"")</f>
        <v/>
      </c>
      <c r="N804" s="36" t="str">
        <f ca="1">IFERROR(__xludf.DUMMYFUNCTION("""COMPUTED_VALUE"""),"")</f>
        <v/>
      </c>
      <c r="O804" s="36" t="str">
        <f ca="1">IFERROR(__xludf.DUMMYFUNCTION("""COMPUTED_VALUE"""),"")</f>
        <v/>
      </c>
      <c r="P804" s="36" t="str">
        <f ca="1">IFERROR(__xludf.DUMMYFUNCTION("""COMPUTED_VALUE"""),"")</f>
        <v/>
      </c>
      <c r="Q804" s="36" t="str">
        <f ca="1">IFERROR(__xludf.DUMMYFUNCTION("""COMPUTED_VALUE"""),"")</f>
        <v/>
      </c>
      <c r="R804" s="36" t="str">
        <f ca="1">IFERROR(__xludf.DUMMYFUNCTION("""COMPUTED_VALUE"""),"")</f>
        <v/>
      </c>
      <c r="S804" s="36" t="str">
        <f ca="1">IFERROR(__xludf.DUMMYFUNCTION("""COMPUTED_VALUE"""),"")</f>
        <v/>
      </c>
      <c r="T804" s="36" t="str">
        <f ca="1">IFERROR(__xludf.DUMMYFUNCTION("""COMPUTED_VALUE"""),"")</f>
        <v/>
      </c>
      <c r="U804" s="36" t="str">
        <f ca="1">IFERROR(__xludf.DUMMYFUNCTION("""COMPUTED_VALUE"""),"")</f>
        <v/>
      </c>
      <c r="V804" s="36" t="str">
        <f ca="1">IFERROR(__xludf.DUMMYFUNCTION("""COMPUTED_VALUE"""),"")</f>
        <v/>
      </c>
      <c r="W804" s="36" t="str">
        <f ca="1">IFERROR(__xludf.DUMMYFUNCTION("""COMPUTED_VALUE"""),"")</f>
        <v/>
      </c>
      <c r="X804" s="36"/>
      <c r="Y804" s="36"/>
      <c r="Z804" s="36"/>
    </row>
    <row r="805" spans="1:26" ht="12.75" hidden="1">
      <c r="A805" s="36" t="str">
        <f ca="1">IFERROR(__xludf.DUMMYFUNCTION("""COMPUTED_VALUE"""),"")</f>
        <v/>
      </c>
      <c r="B805" s="36" t="str">
        <f ca="1">IFERROR(__xludf.DUMMYFUNCTION("""COMPUTED_VALUE"""),"")</f>
        <v/>
      </c>
      <c r="C805" s="36" t="str">
        <f ca="1">IFERROR(__xludf.DUMMYFUNCTION("""COMPUTED_VALUE"""),"")</f>
        <v/>
      </c>
      <c r="D805" s="36" t="str">
        <f ca="1">IFERROR(__xludf.DUMMYFUNCTION("""COMPUTED_VALUE"""),"")</f>
        <v/>
      </c>
      <c r="E805" s="36" t="str">
        <f ca="1">IFERROR(__xludf.DUMMYFUNCTION("""COMPUTED_VALUE"""),"")</f>
        <v/>
      </c>
      <c r="F805" s="36" t="str">
        <f ca="1">IFERROR(__xludf.DUMMYFUNCTION("""COMPUTED_VALUE"""),"")</f>
        <v/>
      </c>
      <c r="G805" s="36" t="str">
        <f ca="1">IFERROR(__xludf.DUMMYFUNCTION("""COMPUTED_VALUE"""),"")</f>
        <v/>
      </c>
      <c r="H805" s="36" t="str">
        <f ca="1">IFERROR(__xludf.DUMMYFUNCTION("""COMPUTED_VALUE"""),"")</f>
        <v/>
      </c>
      <c r="I805" s="36" t="str">
        <f ca="1">IFERROR(__xludf.DUMMYFUNCTION("""COMPUTED_VALUE"""),"")</f>
        <v/>
      </c>
      <c r="J805" s="36" t="str">
        <f ca="1">IFERROR(__xludf.DUMMYFUNCTION("""COMPUTED_VALUE"""),"")</f>
        <v/>
      </c>
      <c r="K805" s="36" t="str">
        <f ca="1">IFERROR(__xludf.DUMMYFUNCTION("""COMPUTED_VALUE"""),"")</f>
        <v/>
      </c>
      <c r="L805" s="36" t="str">
        <f ca="1">IFERROR(__xludf.DUMMYFUNCTION("""COMPUTED_VALUE"""),"")</f>
        <v/>
      </c>
      <c r="M805" s="36" t="str">
        <f ca="1">IFERROR(__xludf.DUMMYFUNCTION("""COMPUTED_VALUE"""),"")</f>
        <v/>
      </c>
      <c r="N805" s="36" t="str">
        <f ca="1">IFERROR(__xludf.DUMMYFUNCTION("""COMPUTED_VALUE"""),"")</f>
        <v/>
      </c>
      <c r="O805" s="36" t="str">
        <f ca="1">IFERROR(__xludf.DUMMYFUNCTION("""COMPUTED_VALUE"""),"")</f>
        <v/>
      </c>
      <c r="P805" s="36" t="str">
        <f ca="1">IFERROR(__xludf.DUMMYFUNCTION("""COMPUTED_VALUE"""),"")</f>
        <v/>
      </c>
      <c r="Q805" s="36" t="str">
        <f ca="1">IFERROR(__xludf.DUMMYFUNCTION("""COMPUTED_VALUE"""),"")</f>
        <v/>
      </c>
      <c r="R805" s="36" t="str">
        <f ca="1">IFERROR(__xludf.DUMMYFUNCTION("""COMPUTED_VALUE"""),"")</f>
        <v/>
      </c>
      <c r="S805" s="36" t="str">
        <f ca="1">IFERROR(__xludf.DUMMYFUNCTION("""COMPUTED_VALUE"""),"")</f>
        <v/>
      </c>
      <c r="T805" s="36" t="str">
        <f ca="1">IFERROR(__xludf.DUMMYFUNCTION("""COMPUTED_VALUE"""),"")</f>
        <v/>
      </c>
      <c r="U805" s="36" t="str">
        <f ca="1">IFERROR(__xludf.DUMMYFUNCTION("""COMPUTED_VALUE"""),"")</f>
        <v/>
      </c>
      <c r="V805" s="36" t="str">
        <f ca="1">IFERROR(__xludf.DUMMYFUNCTION("""COMPUTED_VALUE"""),"")</f>
        <v/>
      </c>
      <c r="W805" s="36" t="str">
        <f ca="1">IFERROR(__xludf.DUMMYFUNCTION("""COMPUTED_VALUE"""),"")</f>
        <v/>
      </c>
      <c r="X805" s="36"/>
      <c r="Y805" s="36"/>
      <c r="Z805" s="36"/>
    </row>
    <row r="806" spans="1:26" ht="12.75" hidden="1">
      <c r="A806" s="36" t="str">
        <f ca="1">IFERROR(__xludf.DUMMYFUNCTION("""COMPUTED_VALUE"""),"")</f>
        <v/>
      </c>
      <c r="B806" s="36" t="str">
        <f ca="1">IFERROR(__xludf.DUMMYFUNCTION("""COMPUTED_VALUE"""),"")</f>
        <v/>
      </c>
      <c r="C806" s="36" t="str">
        <f ca="1">IFERROR(__xludf.DUMMYFUNCTION("""COMPUTED_VALUE"""),"")</f>
        <v/>
      </c>
      <c r="D806" s="36" t="str">
        <f ca="1">IFERROR(__xludf.DUMMYFUNCTION("""COMPUTED_VALUE"""),"")</f>
        <v/>
      </c>
      <c r="E806" s="36" t="str">
        <f ca="1">IFERROR(__xludf.DUMMYFUNCTION("""COMPUTED_VALUE"""),"")</f>
        <v/>
      </c>
      <c r="F806" s="36" t="str">
        <f ca="1">IFERROR(__xludf.DUMMYFUNCTION("""COMPUTED_VALUE"""),"")</f>
        <v/>
      </c>
      <c r="G806" s="36" t="str">
        <f ca="1">IFERROR(__xludf.DUMMYFUNCTION("""COMPUTED_VALUE"""),"")</f>
        <v/>
      </c>
      <c r="H806" s="36" t="str">
        <f ca="1">IFERROR(__xludf.DUMMYFUNCTION("""COMPUTED_VALUE"""),"")</f>
        <v/>
      </c>
      <c r="I806" s="36" t="str">
        <f ca="1">IFERROR(__xludf.DUMMYFUNCTION("""COMPUTED_VALUE"""),"")</f>
        <v/>
      </c>
      <c r="J806" s="36" t="str">
        <f ca="1">IFERROR(__xludf.DUMMYFUNCTION("""COMPUTED_VALUE"""),"")</f>
        <v/>
      </c>
      <c r="K806" s="36" t="str">
        <f ca="1">IFERROR(__xludf.DUMMYFUNCTION("""COMPUTED_VALUE"""),"")</f>
        <v/>
      </c>
      <c r="L806" s="36" t="str">
        <f ca="1">IFERROR(__xludf.DUMMYFUNCTION("""COMPUTED_VALUE"""),"")</f>
        <v/>
      </c>
      <c r="M806" s="36" t="str">
        <f ca="1">IFERROR(__xludf.DUMMYFUNCTION("""COMPUTED_VALUE"""),"")</f>
        <v/>
      </c>
      <c r="N806" s="36" t="str">
        <f ca="1">IFERROR(__xludf.DUMMYFUNCTION("""COMPUTED_VALUE"""),"")</f>
        <v/>
      </c>
      <c r="O806" s="36" t="str">
        <f ca="1">IFERROR(__xludf.DUMMYFUNCTION("""COMPUTED_VALUE"""),"")</f>
        <v/>
      </c>
      <c r="P806" s="36" t="str">
        <f ca="1">IFERROR(__xludf.DUMMYFUNCTION("""COMPUTED_VALUE"""),"")</f>
        <v/>
      </c>
      <c r="Q806" s="36" t="str">
        <f ca="1">IFERROR(__xludf.DUMMYFUNCTION("""COMPUTED_VALUE"""),"")</f>
        <v/>
      </c>
      <c r="R806" s="36" t="str">
        <f ca="1">IFERROR(__xludf.DUMMYFUNCTION("""COMPUTED_VALUE"""),"")</f>
        <v/>
      </c>
      <c r="S806" s="36" t="str">
        <f ca="1">IFERROR(__xludf.DUMMYFUNCTION("""COMPUTED_VALUE"""),"")</f>
        <v/>
      </c>
      <c r="T806" s="36" t="str">
        <f ca="1">IFERROR(__xludf.DUMMYFUNCTION("""COMPUTED_VALUE"""),"")</f>
        <v/>
      </c>
      <c r="U806" s="36" t="str">
        <f ca="1">IFERROR(__xludf.DUMMYFUNCTION("""COMPUTED_VALUE"""),"")</f>
        <v/>
      </c>
      <c r="V806" s="36" t="str">
        <f ca="1">IFERROR(__xludf.DUMMYFUNCTION("""COMPUTED_VALUE"""),"")</f>
        <v/>
      </c>
      <c r="W806" s="36" t="str">
        <f ca="1">IFERROR(__xludf.DUMMYFUNCTION("""COMPUTED_VALUE"""),"")</f>
        <v/>
      </c>
      <c r="X806" s="36"/>
      <c r="Y806" s="36"/>
      <c r="Z806" s="36"/>
    </row>
    <row r="807" spans="1:26" ht="12.75" hidden="1">
      <c r="A807" s="36" t="str">
        <f ca="1">IFERROR(__xludf.DUMMYFUNCTION("""COMPUTED_VALUE"""),"")</f>
        <v/>
      </c>
      <c r="B807" s="36" t="str">
        <f ca="1">IFERROR(__xludf.DUMMYFUNCTION("""COMPUTED_VALUE"""),"")</f>
        <v/>
      </c>
      <c r="C807" s="36" t="str">
        <f ca="1">IFERROR(__xludf.DUMMYFUNCTION("""COMPUTED_VALUE"""),"")</f>
        <v/>
      </c>
      <c r="D807" s="36" t="str">
        <f ca="1">IFERROR(__xludf.DUMMYFUNCTION("""COMPUTED_VALUE"""),"")</f>
        <v/>
      </c>
      <c r="E807" s="36" t="str">
        <f ca="1">IFERROR(__xludf.DUMMYFUNCTION("""COMPUTED_VALUE"""),"")</f>
        <v/>
      </c>
      <c r="F807" s="36" t="str">
        <f ca="1">IFERROR(__xludf.DUMMYFUNCTION("""COMPUTED_VALUE"""),"")</f>
        <v/>
      </c>
      <c r="G807" s="36" t="str">
        <f ca="1">IFERROR(__xludf.DUMMYFUNCTION("""COMPUTED_VALUE"""),"")</f>
        <v/>
      </c>
      <c r="H807" s="36" t="str">
        <f ca="1">IFERROR(__xludf.DUMMYFUNCTION("""COMPUTED_VALUE"""),"")</f>
        <v/>
      </c>
      <c r="I807" s="36" t="str">
        <f ca="1">IFERROR(__xludf.DUMMYFUNCTION("""COMPUTED_VALUE"""),"")</f>
        <v/>
      </c>
      <c r="J807" s="36" t="str">
        <f ca="1">IFERROR(__xludf.DUMMYFUNCTION("""COMPUTED_VALUE"""),"")</f>
        <v/>
      </c>
      <c r="K807" s="36" t="str">
        <f ca="1">IFERROR(__xludf.DUMMYFUNCTION("""COMPUTED_VALUE"""),"")</f>
        <v/>
      </c>
      <c r="L807" s="36" t="str">
        <f ca="1">IFERROR(__xludf.DUMMYFUNCTION("""COMPUTED_VALUE"""),"")</f>
        <v/>
      </c>
      <c r="M807" s="36" t="str">
        <f ca="1">IFERROR(__xludf.DUMMYFUNCTION("""COMPUTED_VALUE"""),"")</f>
        <v/>
      </c>
      <c r="N807" s="36" t="str">
        <f ca="1">IFERROR(__xludf.DUMMYFUNCTION("""COMPUTED_VALUE"""),"")</f>
        <v/>
      </c>
      <c r="O807" s="36" t="str">
        <f ca="1">IFERROR(__xludf.DUMMYFUNCTION("""COMPUTED_VALUE"""),"")</f>
        <v/>
      </c>
      <c r="P807" s="36" t="str">
        <f ca="1">IFERROR(__xludf.DUMMYFUNCTION("""COMPUTED_VALUE"""),"")</f>
        <v/>
      </c>
      <c r="Q807" s="36" t="str">
        <f ca="1">IFERROR(__xludf.DUMMYFUNCTION("""COMPUTED_VALUE"""),"")</f>
        <v/>
      </c>
      <c r="R807" s="36" t="str">
        <f ca="1">IFERROR(__xludf.DUMMYFUNCTION("""COMPUTED_VALUE"""),"")</f>
        <v/>
      </c>
      <c r="S807" s="36" t="str">
        <f ca="1">IFERROR(__xludf.DUMMYFUNCTION("""COMPUTED_VALUE"""),"")</f>
        <v/>
      </c>
      <c r="T807" s="36" t="str">
        <f ca="1">IFERROR(__xludf.DUMMYFUNCTION("""COMPUTED_VALUE"""),"")</f>
        <v/>
      </c>
      <c r="U807" s="36" t="str">
        <f ca="1">IFERROR(__xludf.DUMMYFUNCTION("""COMPUTED_VALUE"""),"")</f>
        <v/>
      </c>
      <c r="V807" s="36" t="str">
        <f ca="1">IFERROR(__xludf.DUMMYFUNCTION("""COMPUTED_VALUE"""),"")</f>
        <v/>
      </c>
      <c r="W807" s="36" t="str">
        <f ca="1">IFERROR(__xludf.DUMMYFUNCTION("""COMPUTED_VALUE"""),"")</f>
        <v/>
      </c>
      <c r="X807" s="36"/>
      <c r="Y807" s="36"/>
      <c r="Z807" s="36"/>
    </row>
    <row r="808" spans="1:26" ht="12.75" hidden="1">
      <c r="A808" s="36" t="str">
        <f ca="1">IFERROR(__xludf.DUMMYFUNCTION("""COMPUTED_VALUE"""),"")</f>
        <v/>
      </c>
      <c r="B808" s="36" t="str">
        <f ca="1">IFERROR(__xludf.DUMMYFUNCTION("""COMPUTED_VALUE"""),"")</f>
        <v/>
      </c>
      <c r="C808" s="36" t="str">
        <f ca="1">IFERROR(__xludf.DUMMYFUNCTION("""COMPUTED_VALUE"""),"")</f>
        <v/>
      </c>
      <c r="D808" s="36" t="str">
        <f ca="1">IFERROR(__xludf.DUMMYFUNCTION("""COMPUTED_VALUE"""),"")</f>
        <v/>
      </c>
      <c r="E808" s="36" t="str">
        <f ca="1">IFERROR(__xludf.DUMMYFUNCTION("""COMPUTED_VALUE"""),"")</f>
        <v/>
      </c>
      <c r="F808" s="36" t="str">
        <f ca="1">IFERROR(__xludf.DUMMYFUNCTION("""COMPUTED_VALUE"""),"")</f>
        <v/>
      </c>
      <c r="G808" s="36" t="str">
        <f ca="1">IFERROR(__xludf.DUMMYFUNCTION("""COMPUTED_VALUE"""),"")</f>
        <v/>
      </c>
      <c r="H808" s="36" t="str">
        <f ca="1">IFERROR(__xludf.DUMMYFUNCTION("""COMPUTED_VALUE"""),"")</f>
        <v/>
      </c>
      <c r="I808" s="36" t="str">
        <f ca="1">IFERROR(__xludf.DUMMYFUNCTION("""COMPUTED_VALUE"""),"")</f>
        <v/>
      </c>
      <c r="J808" s="36" t="str">
        <f ca="1">IFERROR(__xludf.DUMMYFUNCTION("""COMPUTED_VALUE"""),"")</f>
        <v/>
      </c>
      <c r="K808" s="36" t="str">
        <f ca="1">IFERROR(__xludf.DUMMYFUNCTION("""COMPUTED_VALUE"""),"")</f>
        <v/>
      </c>
      <c r="L808" s="36" t="str">
        <f ca="1">IFERROR(__xludf.DUMMYFUNCTION("""COMPUTED_VALUE"""),"")</f>
        <v/>
      </c>
      <c r="M808" s="36" t="str">
        <f ca="1">IFERROR(__xludf.DUMMYFUNCTION("""COMPUTED_VALUE"""),"")</f>
        <v/>
      </c>
      <c r="N808" s="36" t="str">
        <f ca="1">IFERROR(__xludf.DUMMYFUNCTION("""COMPUTED_VALUE"""),"")</f>
        <v/>
      </c>
      <c r="O808" s="36" t="str">
        <f ca="1">IFERROR(__xludf.DUMMYFUNCTION("""COMPUTED_VALUE"""),"")</f>
        <v/>
      </c>
      <c r="P808" s="36" t="str">
        <f ca="1">IFERROR(__xludf.DUMMYFUNCTION("""COMPUTED_VALUE"""),"")</f>
        <v/>
      </c>
      <c r="Q808" s="36" t="str">
        <f ca="1">IFERROR(__xludf.DUMMYFUNCTION("""COMPUTED_VALUE"""),"")</f>
        <v/>
      </c>
      <c r="R808" s="36" t="str">
        <f ca="1">IFERROR(__xludf.DUMMYFUNCTION("""COMPUTED_VALUE"""),"")</f>
        <v/>
      </c>
      <c r="S808" s="36" t="str">
        <f ca="1">IFERROR(__xludf.DUMMYFUNCTION("""COMPUTED_VALUE"""),"")</f>
        <v/>
      </c>
      <c r="T808" s="36" t="str">
        <f ca="1">IFERROR(__xludf.DUMMYFUNCTION("""COMPUTED_VALUE"""),"")</f>
        <v/>
      </c>
      <c r="U808" s="36" t="str">
        <f ca="1">IFERROR(__xludf.DUMMYFUNCTION("""COMPUTED_VALUE"""),"")</f>
        <v/>
      </c>
      <c r="V808" s="36" t="str">
        <f ca="1">IFERROR(__xludf.DUMMYFUNCTION("""COMPUTED_VALUE"""),"")</f>
        <v/>
      </c>
      <c r="W808" s="36" t="str">
        <f ca="1">IFERROR(__xludf.DUMMYFUNCTION("""COMPUTED_VALUE"""),"")</f>
        <v/>
      </c>
      <c r="X808" s="36"/>
      <c r="Y808" s="36"/>
      <c r="Z808" s="36"/>
    </row>
    <row r="809" spans="1:26" ht="12.75" hidden="1">
      <c r="A809" s="36" t="str">
        <f ca="1">IFERROR(__xludf.DUMMYFUNCTION("""COMPUTED_VALUE"""),"")</f>
        <v/>
      </c>
      <c r="B809" s="36" t="str">
        <f ca="1">IFERROR(__xludf.DUMMYFUNCTION("""COMPUTED_VALUE"""),"")</f>
        <v/>
      </c>
      <c r="C809" s="36" t="str">
        <f ca="1">IFERROR(__xludf.DUMMYFUNCTION("""COMPUTED_VALUE"""),"")</f>
        <v/>
      </c>
      <c r="D809" s="36" t="str">
        <f ca="1">IFERROR(__xludf.DUMMYFUNCTION("""COMPUTED_VALUE"""),"")</f>
        <v/>
      </c>
      <c r="E809" s="36" t="str">
        <f ca="1">IFERROR(__xludf.DUMMYFUNCTION("""COMPUTED_VALUE"""),"")</f>
        <v/>
      </c>
      <c r="F809" s="36" t="str">
        <f ca="1">IFERROR(__xludf.DUMMYFUNCTION("""COMPUTED_VALUE"""),"")</f>
        <v/>
      </c>
      <c r="G809" s="36" t="str">
        <f ca="1">IFERROR(__xludf.DUMMYFUNCTION("""COMPUTED_VALUE"""),"")</f>
        <v/>
      </c>
      <c r="H809" s="36" t="str">
        <f ca="1">IFERROR(__xludf.DUMMYFUNCTION("""COMPUTED_VALUE"""),"")</f>
        <v/>
      </c>
      <c r="I809" s="36" t="str">
        <f ca="1">IFERROR(__xludf.DUMMYFUNCTION("""COMPUTED_VALUE"""),"")</f>
        <v/>
      </c>
      <c r="J809" s="36" t="str">
        <f ca="1">IFERROR(__xludf.DUMMYFUNCTION("""COMPUTED_VALUE"""),"")</f>
        <v/>
      </c>
      <c r="K809" s="36" t="str">
        <f ca="1">IFERROR(__xludf.DUMMYFUNCTION("""COMPUTED_VALUE"""),"")</f>
        <v/>
      </c>
      <c r="L809" s="36" t="str">
        <f ca="1">IFERROR(__xludf.DUMMYFUNCTION("""COMPUTED_VALUE"""),"")</f>
        <v/>
      </c>
      <c r="M809" s="36" t="str">
        <f ca="1">IFERROR(__xludf.DUMMYFUNCTION("""COMPUTED_VALUE"""),"")</f>
        <v/>
      </c>
      <c r="N809" s="36" t="str">
        <f ca="1">IFERROR(__xludf.DUMMYFUNCTION("""COMPUTED_VALUE"""),"")</f>
        <v/>
      </c>
      <c r="O809" s="36" t="str">
        <f ca="1">IFERROR(__xludf.DUMMYFUNCTION("""COMPUTED_VALUE"""),"")</f>
        <v/>
      </c>
      <c r="P809" s="36" t="str">
        <f ca="1">IFERROR(__xludf.DUMMYFUNCTION("""COMPUTED_VALUE"""),"")</f>
        <v/>
      </c>
      <c r="Q809" s="36" t="str">
        <f ca="1">IFERROR(__xludf.DUMMYFUNCTION("""COMPUTED_VALUE"""),"")</f>
        <v/>
      </c>
      <c r="R809" s="36" t="str">
        <f ca="1">IFERROR(__xludf.DUMMYFUNCTION("""COMPUTED_VALUE"""),"")</f>
        <v/>
      </c>
      <c r="S809" s="36" t="str">
        <f ca="1">IFERROR(__xludf.DUMMYFUNCTION("""COMPUTED_VALUE"""),"")</f>
        <v/>
      </c>
      <c r="T809" s="36" t="str">
        <f ca="1">IFERROR(__xludf.DUMMYFUNCTION("""COMPUTED_VALUE"""),"")</f>
        <v/>
      </c>
      <c r="U809" s="36" t="str">
        <f ca="1">IFERROR(__xludf.DUMMYFUNCTION("""COMPUTED_VALUE"""),"")</f>
        <v/>
      </c>
      <c r="V809" s="36" t="str">
        <f ca="1">IFERROR(__xludf.DUMMYFUNCTION("""COMPUTED_VALUE"""),"")</f>
        <v/>
      </c>
      <c r="W809" s="36" t="str">
        <f ca="1">IFERROR(__xludf.DUMMYFUNCTION("""COMPUTED_VALUE"""),"")</f>
        <v/>
      </c>
      <c r="X809" s="36"/>
      <c r="Y809" s="36"/>
      <c r="Z809" s="36"/>
    </row>
    <row r="810" spans="1:26" ht="12.75" hidden="1">
      <c r="A810" s="36" t="str">
        <f ca="1">IFERROR(__xludf.DUMMYFUNCTION("""COMPUTED_VALUE"""),"")</f>
        <v/>
      </c>
      <c r="B810" s="36" t="str">
        <f ca="1">IFERROR(__xludf.DUMMYFUNCTION("""COMPUTED_VALUE"""),"")</f>
        <v/>
      </c>
      <c r="C810" s="36" t="str">
        <f ca="1">IFERROR(__xludf.DUMMYFUNCTION("""COMPUTED_VALUE"""),"")</f>
        <v/>
      </c>
      <c r="D810" s="36" t="str">
        <f ca="1">IFERROR(__xludf.DUMMYFUNCTION("""COMPUTED_VALUE"""),"")</f>
        <v/>
      </c>
      <c r="E810" s="36" t="str">
        <f ca="1">IFERROR(__xludf.DUMMYFUNCTION("""COMPUTED_VALUE"""),"")</f>
        <v/>
      </c>
      <c r="F810" s="36" t="str">
        <f ca="1">IFERROR(__xludf.DUMMYFUNCTION("""COMPUTED_VALUE"""),"")</f>
        <v/>
      </c>
      <c r="G810" s="36" t="str">
        <f ca="1">IFERROR(__xludf.DUMMYFUNCTION("""COMPUTED_VALUE"""),"")</f>
        <v/>
      </c>
      <c r="H810" s="36" t="str">
        <f ca="1">IFERROR(__xludf.DUMMYFUNCTION("""COMPUTED_VALUE"""),"")</f>
        <v/>
      </c>
      <c r="I810" s="36" t="str">
        <f ca="1">IFERROR(__xludf.DUMMYFUNCTION("""COMPUTED_VALUE"""),"")</f>
        <v/>
      </c>
      <c r="J810" s="36" t="str">
        <f ca="1">IFERROR(__xludf.DUMMYFUNCTION("""COMPUTED_VALUE"""),"")</f>
        <v/>
      </c>
      <c r="K810" s="36" t="str">
        <f ca="1">IFERROR(__xludf.DUMMYFUNCTION("""COMPUTED_VALUE"""),"")</f>
        <v/>
      </c>
      <c r="L810" s="36" t="str">
        <f ca="1">IFERROR(__xludf.DUMMYFUNCTION("""COMPUTED_VALUE"""),"")</f>
        <v/>
      </c>
      <c r="M810" s="36" t="str">
        <f ca="1">IFERROR(__xludf.DUMMYFUNCTION("""COMPUTED_VALUE"""),"")</f>
        <v/>
      </c>
      <c r="N810" s="36" t="str">
        <f ca="1">IFERROR(__xludf.DUMMYFUNCTION("""COMPUTED_VALUE"""),"")</f>
        <v/>
      </c>
      <c r="O810" s="36" t="str">
        <f ca="1">IFERROR(__xludf.DUMMYFUNCTION("""COMPUTED_VALUE"""),"")</f>
        <v/>
      </c>
      <c r="P810" s="36" t="str">
        <f ca="1">IFERROR(__xludf.DUMMYFUNCTION("""COMPUTED_VALUE"""),"")</f>
        <v/>
      </c>
      <c r="Q810" s="36" t="str">
        <f ca="1">IFERROR(__xludf.DUMMYFUNCTION("""COMPUTED_VALUE"""),"")</f>
        <v/>
      </c>
      <c r="R810" s="36" t="str">
        <f ca="1">IFERROR(__xludf.DUMMYFUNCTION("""COMPUTED_VALUE"""),"")</f>
        <v/>
      </c>
      <c r="S810" s="36" t="str">
        <f ca="1">IFERROR(__xludf.DUMMYFUNCTION("""COMPUTED_VALUE"""),"")</f>
        <v/>
      </c>
      <c r="T810" s="36" t="str">
        <f ca="1">IFERROR(__xludf.DUMMYFUNCTION("""COMPUTED_VALUE"""),"")</f>
        <v/>
      </c>
      <c r="U810" s="36" t="str">
        <f ca="1">IFERROR(__xludf.DUMMYFUNCTION("""COMPUTED_VALUE"""),"")</f>
        <v/>
      </c>
      <c r="V810" s="36" t="str">
        <f ca="1">IFERROR(__xludf.DUMMYFUNCTION("""COMPUTED_VALUE"""),"")</f>
        <v/>
      </c>
      <c r="W810" s="36" t="str">
        <f ca="1">IFERROR(__xludf.DUMMYFUNCTION("""COMPUTED_VALUE"""),"")</f>
        <v/>
      </c>
      <c r="X810" s="36"/>
      <c r="Y810" s="36"/>
      <c r="Z810" s="36"/>
    </row>
    <row r="811" spans="1:26" ht="12.75" hidden="1">
      <c r="A811" s="36" t="str">
        <f ca="1">IFERROR(__xludf.DUMMYFUNCTION("""COMPUTED_VALUE"""),"")</f>
        <v/>
      </c>
      <c r="B811" s="36" t="str">
        <f ca="1">IFERROR(__xludf.DUMMYFUNCTION("""COMPUTED_VALUE"""),"")</f>
        <v/>
      </c>
      <c r="C811" s="36" t="str">
        <f ca="1">IFERROR(__xludf.DUMMYFUNCTION("""COMPUTED_VALUE"""),"")</f>
        <v/>
      </c>
      <c r="D811" s="36" t="str">
        <f ca="1">IFERROR(__xludf.DUMMYFUNCTION("""COMPUTED_VALUE"""),"")</f>
        <v/>
      </c>
      <c r="E811" s="36" t="str">
        <f ca="1">IFERROR(__xludf.DUMMYFUNCTION("""COMPUTED_VALUE"""),"")</f>
        <v/>
      </c>
      <c r="F811" s="36" t="str">
        <f ca="1">IFERROR(__xludf.DUMMYFUNCTION("""COMPUTED_VALUE"""),"")</f>
        <v/>
      </c>
      <c r="G811" s="36" t="str">
        <f ca="1">IFERROR(__xludf.DUMMYFUNCTION("""COMPUTED_VALUE"""),"")</f>
        <v/>
      </c>
      <c r="H811" s="36" t="str">
        <f ca="1">IFERROR(__xludf.DUMMYFUNCTION("""COMPUTED_VALUE"""),"")</f>
        <v/>
      </c>
      <c r="I811" s="36" t="str">
        <f ca="1">IFERROR(__xludf.DUMMYFUNCTION("""COMPUTED_VALUE"""),"")</f>
        <v/>
      </c>
      <c r="J811" s="36" t="str">
        <f ca="1">IFERROR(__xludf.DUMMYFUNCTION("""COMPUTED_VALUE"""),"")</f>
        <v/>
      </c>
      <c r="K811" s="36" t="str">
        <f ca="1">IFERROR(__xludf.DUMMYFUNCTION("""COMPUTED_VALUE"""),"")</f>
        <v/>
      </c>
      <c r="L811" s="36" t="str">
        <f ca="1">IFERROR(__xludf.DUMMYFUNCTION("""COMPUTED_VALUE"""),"")</f>
        <v/>
      </c>
      <c r="M811" s="36" t="str">
        <f ca="1">IFERROR(__xludf.DUMMYFUNCTION("""COMPUTED_VALUE"""),"")</f>
        <v/>
      </c>
      <c r="N811" s="36" t="str">
        <f ca="1">IFERROR(__xludf.DUMMYFUNCTION("""COMPUTED_VALUE"""),"")</f>
        <v/>
      </c>
      <c r="O811" s="36" t="str">
        <f ca="1">IFERROR(__xludf.DUMMYFUNCTION("""COMPUTED_VALUE"""),"")</f>
        <v/>
      </c>
      <c r="P811" s="36" t="str">
        <f ca="1">IFERROR(__xludf.DUMMYFUNCTION("""COMPUTED_VALUE"""),"")</f>
        <v/>
      </c>
      <c r="Q811" s="36" t="str">
        <f ca="1">IFERROR(__xludf.DUMMYFUNCTION("""COMPUTED_VALUE"""),"")</f>
        <v/>
      </c>
      <c r="R811" s="36" t="str">
        <f ca="1">IFERROR(__xludf.DUMMYFUNCTION("""COMPUTED_VALUE"""),"")</f>
        <v/>
      </c>
      <c r="S811" s="36" t="str">
        <f ca="1">IFERROR(__xludf.DUMMYFUNCTION("""COMPUTED_VALUE"""),"")</f>
        <v/>
      </c>
      <c r="T811" s="36" t="str">
        <f ca="1">IFERROR(__xludf.DUMMYFUNCTION("""COMPUTED_VALUE"""),"")</f>
        <v/>
      </c>
      <c r="U811" s="36" t="str">
        <f ca="1">IFERROR(__xludf.DUMMYFUNCTION("""COMPUTED_VALUE"""),"")</f>
        <v/>
      </c>
      <c r="V811" s="36" t="str">
        <f ca="1">IFERROR(__xludf.DUMMYFUNCTION("""COMPUTED_VALUE"""),"")</f>
        <v/>
      </c>
      <c r="W811" s="36" t="str">
        <f ca="1">IFERROR(__xludf.DUMMYFUNCTION("""COMPUTED_VALUE"""),"")</f>
        <v/>
      </c>
      <c r="X811" s="36"/>
      <c r="Y811" s="36"/>
      <c r="Z811" s="36"/>
    </row>
    <row r="812" spans="1:26" ht="12.75" hidden="1">
      <c r="A812" s="36" t="str">
        <f ca="1">IFERROR(__xludf.DUMMYFUNCTION("""COMPUTED_VALUE"""),"")</f>
        <v/>
      </c>
      <c r="B812" s="36" t="str">
        <f ca="1">IFERROR(__xludf.DUMMYFUNCTION("""COMPUTED_VALUE"""),"")</f>
        <v/>
      </c>
      <c r="C812" s="36" t="str">
        <f ca="1">IFERROR(__xludf.DUMMYFUNCTION("""COMPUTED_VALUE"""),"")</f>
        <v/>
      </c>
      <c r="D812" s="36" t="str">
        <f ca="1">IFERROR(__xludf.DUMMYFUNCTION("""COMPUTED_VALUE"""),"")</f>
        <v/>
      </c>
      <c r="E812" s="36" t="str">
        <f ca="1">IFERROR(__xludf.DUMMYFUNCTION("""COMPUTED_VALUE"""),"")</f>
        <v/>
      </c>
      <c r="F812" s="36" t="str">
        <f ca="1">IFERROR(__xludf.DUMMYFUNCTION("""COMPUTED_VALUE"""),"")</f>
        <v/>
      </c>
      <c r="G812" s="36" t="str">
        <f ca="1">IFERROR(__xludf.DUMMYFUNCTION("""COMPUTED_VALUE"""),"")</f>
        <v/>
      </c>
      <c r="H812" s="36" t="str">
        <f ca="1">IFERROR(__xludf.DUMMYFUNCTION("""COMPUTED_VALUE"""),"")</f>
        <v/>
      </c>
      <c r="I812" s="36" t="str">
        <f ca="1">IFERROR(__xludf.DUMMYFUNCTION("""COMPUTED_VALUE"""),"")</f>
        <v/>
      </c>
      <c r="J812" s="36" t="str">
        <f ca="1">IFERROR(__xludf.DUMMYFUNCTION("""COMPUTED_VALUE"""),"")</f>
        <v/>
      </c>
      <c r="K812" s="36" t="str">
        <f ca="1">IFERROR(__xludf.DUMMYFUNCTION("""COMPUTED_VALUE"""),"")</f>
        <v/>
      </c>
      <c r="L812" s="36" t="str">
        <f ca="1">IFERROR(__xludf.DUMMYFUNCTION("""COMPUTED_VALUE"""),"")</f>
        <v/>
      </c>
      <c r="M812" s="36" t="str">
        <f ca="1">IFERROR(__xludf.DUMMYFUNCTION("""COMPUTED_VALUE"""),"")</f>
        <v/>
      </c>
      <c r="N812" s="36" t="str">
        <f ca="1">IFERROR(__xludf.DUMMYFUNCTION("""COMPUTED_VALUE"""),"")</f>
        <v/>
      </c>
      <c r="O812" s="36" t="str">
        <f ca="1">IFERROR(__xludf.DUMMYFUNCTION("""COMPUTED_VALUE"""),"")</f>
        <v/>
      </c>
      <c r="P812" s="36" t="str">
        <f ca="1">IFERROR(__xludf.DUMMYFUNCTION("""COMPUTED_VALUE"""),"")</f>
        <v/>
      </c>
      <c r="Q812" s="36" t="str">
        <f ca="1">IFERROR(__xludf.DUMMYFUNCTION("""COMPUTED_VALUE"""),"")</f>
        <v/>
      </c>
      <c r="R812" s="36" t="str">
        <f ca="1">IFERROR(__xludf.DUMMYFUNCTION("""COMPUTED_VALUE"""),"")</f>
        <v/>
      </c>
      <c r="S812" s="36" t="str">
        <f ca="1">IFERROR(__xludf.DUMMYFUNCTION("""COMPUTED_VALUE"""),"")</f>
        <v/>
      </c>
      <c r="T812" s="36" t="str">
        <f ca="1">IFERROR(__xludf.DUMMYFUNCTION("""COMPUTED_VALUE"""),"")</f>
        <v/>
      </c>
      <c r="U812" s="36" t="str">
        <f ca="1">IFERROR(__xludf.DUMMYFUNCTION("""COMPUTED_VALUE"""),"")</f>
        <v/>
      </c>
      <c r="V812" s="36" t="str">
        <f ca="1">IFERROR(__xludf.DUMMYFUNCTION("""COMPUTED_VALUE"""),"")</f>
        <v/>
      </c>
      <c r="W812" s="36" t="str">
        <f ca="1">IFERROR(__xludf.DUMMYFUNCTION("""COMPUTED_VALUE"""),"")</f>
        <v/>
      </c>
      <c r="X812" s="36"/>
      <c r="Y812" s="36"/>
      <c r="Z812" s="36"/>
    </row>
    <row r="813" spans="1:26" ht="12.75" hidden="1">
      <c r="A813" s="36" t="str">
        <f ca="1">IFERROR(__xludf.DUMMYFUNCTION("""COMPUTED_VALUE"""),"")</f>
        <v/>
      </c>
      <c r="B813" s="36" t="str">
        <f ca="1">IFERROR(__xludf.DUMMYFUNCTION("""COMPUTED_VALUE"""),"")</f>
        <v/>
      </c>
      <c r="C813" s="36" t="str">
        <f ca="1">IFERROR(__xludf.DUMMYFUNCTION("""COMPUTED_VALUE"""),"")</f>
        <v/>
      </c>
      <c r="D813" s="36" t="str">
        <f ca="1">IFERROR(__xludf.DUMMYFUNCTION("""COMPUTED_VALUE"""),"")</f>
        <v/>
      </c>
      <c r="E813" s="36" t="str">
        <f ca="1">IFERROR(__xludf.DUMMYFUNCTION("""COMPUTED_VALUE"""),"")</f>
        <v/>
      </c>
      <c r="F813" s="36" t="str">
        <f ca="1">IFERROR(__xludf.DUMMYFUNCTION("""COMPUTED_VALUE"""),"")</f>
        <v/>
      </c>
      <c r="G813" s="36" t="str">
        <f ca="1">IFERROR(__xludf.DUMMYFUNCTION("""COMPUTED_VALUE"""),"")</f>
        <v/>
      </c>
      <c r="H813" s="36" t="str">
        <f ca="1">IFERROR(__xludf.DUMMYFUNCTION("""COMPUTED_VALUE"""),"")</f>
        <v/>
      </c>
      <c r="I813" s="36" t="str">
        <f ca="1">IFERROR(__xludf.DUMMYFUNCTION("""COMPUTED_VALUE"""),"")</f>
        <v/>
      </c>
      <c r="J813" s="36" t="str">
        <f ca="1">IFERROR(__xludf.DUMMYFUNCTION("""COMPUTED_VALUE"""),"")</f>
        <v/>
      </c>
      <c r="K813" s="36" t="str">
        <f ca="1">IFERROR(__xludf.DUMMYFUNCTION("""COMPUTED_VALUE"""),"")</f>
        <v/>
      </c>
      <c r="L813" s="36" t="str">
        <f ca="1">IFERROR(__xludf.DUMMYFUNCTION("""COMPUTED_VALUE"""),"")</f>
        <v/>
      </c>
      <c r="M813" s="36" t="str">
        <f ca="1">IFERROR(__xludf.DUMMYFUNCTION("""COMPUTED_VALUE"""),"")</f>
        <v/>
      </c>
      <c r="N813" s="36" t="str">
        <f ca="1">IFERROR(__xludf.DUMMYFUNCTION("""COMPUTED_VALUE"""),"")</f>
        <v/>
      </c>
      <c r="O813" s="36" t="str">
        <f ca="1">IFERROR(__xludf.DUMMYFUNCTION("""COMPUTED_VALUE"""),"")</f>
        <v/>
      </c>
      <c r="P813" s="36" t="str">
        <f ca="1">IFERROR(__xludf.DUMMYFUNCTION("""COMPUTED_VALUE"""),"")</f>
        <v/>
      </c>
      <c r="Q813" s="36" t="str">
        <f ca="1">IFERROR(__xludf.DUMMYFUNCTION("""COMPUTED_VALUE"""),"")</f>
        <v/>
      </c>
      <c r="R813" s="36" t="str">
        <f ca="1">IFERROR(__xludf.DUMMYFUNCTION("""COMPUTED_VALUE"""),"")</f>
        <v/>
      </c>
      <c r="S813" s="36" t="str">
        <f ca="1">IFERROR(__xludf.DUMMYFUNCTION("""COMPUTED_VALUE"""),"")</f>
        <v/>
      </c>
      <c r="T813" s="36" t="str">
        <f ca="1">IFERROR(__xludf.DUMMYFUNCTION("""COMPUTED_VALUE"""),"")</f>
        <v/>
      </c>
      <c r="U813" s="36" t="str">
        <f ca="1">IFERROR(__xludf.DUMMYFUNCTION("""COMPUTED_VALUE"""),"")</f>
        <v/>
      </c>
      <c r="V813" s="36" t="str">
        <f ca="1">IFERROR(__xludf.DUMMYFUNCTION("""COMPUTED_VALUE"""),"")</f>
        <v/>
      </c>
      <c r="W813" s="36" t="str">
        <f ca="1">IFERROR(__xludf.DUMMYFUNCTION("""COMPUTED_VALUE"""),"")</f>
        <v/>
      </c>
      <c r="X813" s="36"/>
      <c r="Y813" s="36"/>
      <c r="Z813" s="36"/>
    </row>
    <row r="814" spans="1:26" ht="12.75" hidden="1">
      <c r="A814" s="36" t="str">
        <f ca="1">IFERROR(__xludf.DUMMYFUNCTION("""COMPUTED_VALUE"""),"")</f>
        <v/>
      </c>
      <c r="B814" s="36" t="str">
        <f ca="1">IFERROR(__xludf.DUMMYFUNCTION("""COMPUTED_VALUE"""),"")</f>
        <v/>
      </c>
      <c r="C814" s="36" t="str">
        <f ca="1">IFERROR(__xludf.DUMMYFUNCTION("""COMPUTED_VALUE"""),"")</f>
        <v/>
      </c>
      <c r="D814" s="36" t="str">
        <f ca="1">IFERROR(__xludf.DUMMYFUNCTION("""COMPUTED_VALUE"""),"")</f>
        <v/>
      </c>
      <c r="E814" s="36" t="str">
        <f ca="1">IFERROR(__xludf.DUMMYFUNCTION("""COMPUTED_VALUE"""),"")</f>
        <v/>
      </c>
      <c r="F814" s="36" t="str">
        <f ca="1">IFERROR(__xludf.DUMMYFUNCTION("""COMPUTED_VALUE"""),"")</f>
        <v/>
      </c>
      <c r="G814" s="36" t="str">
        <f ca="1">IFERROR(__xludf.DUMMYFUNCTION("""COMPUTED_VALUE"""),"")</f>
        <v/>
      </c>
      <c r="H814" s="36" t="str">
        <f ca="1">IFERROR(__xludf.DUMMYFUNCTION("""COMPUTED_VALUE"""),"")</f>
        <v/>
      </c>
      <c r="I814" s="36" t="str">
        <f ca="1">IFERROR(__xludf.DUMMYFUNCTION("""COMPUTED_VALUE"""),"")</f>
        <v/>
      </c>
      <c r="J814" s="36" t="str">
        <f ca="1">IFERROR(__xludf.DUMMYFUNCTION("""COMPUTED_VALUE"""),"")</f>
        <v/>
      </c>
      <c r="K814" s="36" t="str">
        <f ca="1">IFERROR(__xludf.DUMMYFUNCTION("""COMPUTED_VALUE"""),"")</f>
        <v/>
      </c>
      <c r="L814" s="36" t="str">
        <f ca="1">IFERROR(__xludf.DUMMYFUNCTION("""COMPUTED_VALUE"""),"")</f>
        <v/>
      </c>
      <c r="M814" s="36" t="str">
        <f ca="1">IFERROR(__xludf.DUMMYFUNCTION("""COMPUTED_VALUE"""),"")</f>
        <v/>
      </c>
      <c r="N814" s="36" t="str">
        <f ca="1">IFERROR(__xludf.DUMMYFUNCTION("""COMPUTED_VALUE"""),"")</f>
        <v/>
      </c>
      <c r="O814" s="36" t="str">
        <f ca="1">IFERROR(__xludf.DUMMYFUNCTION("""COMPUTED_VALUE"""),"")</f>
        <v/>
      </c>
      <c r="P814" s="36" t="str">
        <f ca="1">IFERROR(__xludf.DUMMYFUNCTION("""COMPUTED_VALUE"""),"")</f>
        <v/>
      </c>
      <c r="Q814" s="36" t="str">
        <f ca="1">IFERROR(__xludf.DUMMYFUNCTION("""COMPUTED_VALUE"""),"")</f>
        <v/>
      </c>
      <c r="R814" s="36" t="str">
        <f ca="1">IFERROR(__xludf.DUMMYFUNCTION("""COMPUTED_VALUE"""),"")</f>
        <v/>
      </c>
      <c r="S814" s="36" t="str">
        <f ca="1">IFERROR(__xludf.DUMMYFUNCTION("""COMPUTED_VALUE"""),"")</f>
        <v/>
      </c>
      <c r="T814" s="36" t="str">
        <f ca="1">IFERROR(__xludf.DUMMYFUNCTION("""COMPUTED_VALUE"""),"")</f>
        <v/>
      </c>
      <c r="U814" s="36" t="str">
        <f ca="1">IFERROR(__xludf.DUMMYFUNCTION("""COMPUTED_VALUE"""),"")</f>
        <v/>
      </c>
      <c r="V814" s="36" t="str">
        <f ca="1">IFERROR(__xludf.DUMMYFUNCTION("""COMPUTED_VALUE"""),"")</f>
        <v/>
      </c>
      <c r="W814" s="36" t="str">
        <f ca="1">IFERROR(__xludf.DUMMYFUNCTION("""COMPUTED_VALUE"""),"")</f>
        <v/>
      </c>
      <c r="X814" s="36"/>
      <c r="Y814" s="36"/>
      <c r="Z814" s="36"/>
    </row>
    <row r="815" spans="1:26" ht="12.75" hidden="1">
      <c r="A815" s="36" t="str">
        <f ca="1">IFERROR(__xludf.DUMMYFUNCTION("""COMPUTED_VALUE"""),"")</f>
        <v/>
      </c>
      <c r="B815" s="36" t="str">
        <f ca="1">IFERROR(__xludf.DUMMYFUNCTION("""COMPUTED_VALUE"""),"")</f>
        <v/>
      </c>
      <c r="C815" s="36" t="str">
        <f ca="1">IFERROR(__xludf.DUMMYFUNCTION("""COMPUTED_VALUE"""),"")</f>
        <v/>
      </c>
      <c r="D815" s="36" t="str">
        <f ca="1">IFERROR(__xludf.DUMMYFUNCTION("""COMPUTED_VALUE"""),"")</f>
        <v/>
      </c>
      <c r="E815" s="36" t="str">
        <f ca="1">IFERROR(__xludf.DUMMYFUNCTION("""COMPUTED_VALUE"""),"")</f>
        <v/>
      </c>
      <c r="F815" s="36" t="str">
        <f ca="1">IFERROR(__xludf.DUMMYFUNCTION("""COMPUTED_VALUE"""),"")</f>
        <v/>
      </c>
      <c r="G815" s="36" t="str">
        <f ca="1">IFERROR(__xludf.DUMMYFUNCTION("""COMPUTED_VALUE"""),"")</f>
        <v/>
      </c>
      <c r="H815" s="36" t="str">
        <f ca="1">IFERROR(__xludf.DUMMYFUNCTION("""COMPUTED_VALUE"""),"")</f>
        <v/>
      </c>
      <c r="I815" s="36" t="str">
        <f ca="1">IFERROR(__xludf.DUMMYFUNCTION("""COMPUTED_VALUE"""),"")</f>
        <v/>
      </c>
      <c r="J815" s="36" t="str">
        <f ca="1">IFERROR(__xludf.DUMMYFUNCTION("""COMPUTED_VALUE"""),"")</f>
        <v/>
      </c>
      <c r="K815" s="36" t="str">
        <f ca="1">IFERROR(__xludf.DUMMYFUNCTION("""COMPUTED_VALUE"""),"")</f>
        <v/>
      </c>
      <c r="L815" s="36" t="str">
        <f ca="1">IFERROR(__xludf.DUMMYFUNCTION("""COMPUTED_VALUE"""),"")</f>
        <v/>
      </c>
      <c r="M815" s="36" t="str">
        <f ca="1">IFERROR(__xludf.DUMMYFUNCTION("""COMPUTED_VALUE"""),"")</f>
        <v/>
      </c>
      <c r="N815" s="36" t="str">
        <f ca="1">IFERROR(__xludf.DUMMYFUNCTION("""COMPUTED_VALUE"""),"")</f>
        <v/>
      </c>
      <c r="O815" s="36" t="str">
        <f ca="1">IFERROR(__xludf.DUMMYFUNCTION("""COMPUTED_VALUE"""),"")</f>
        <v/>
      </c>
      <c r="P815" s="36" t="str">
        <f ca="1">IFERROR(__xludf.DUMMYFUNCTION("""COMPUTED_VALUE"""),"")</f>
        <v/>
      </c>
      <c r="Q815" s="36" t="str">
        <f ca="1">IFERROR(__xludf.DUMMYFUNCTION("""COMPUTED_VALUE"""),"")</f>
        <v/>
      </c>
      <c r="R815" s="36" t="str">
        <f ca="1">IFERROR(__xludf.DUMMYFUNCTION("""COMPUTED_VALUE"""),"")</f>
        <v/>
      </c>
      <c r="S815" s="36" t="str">
        <f ca="1">IFERROR(__xludf.DUMMYFUNCTION("""COMPUTED_VALUE"""),"")</f>
        <v/>
      </c>
      <c r="T815" s="36" t="str">
        <f ca="1">IFERROR(__xludf.DUMMYFUNCTION("""COMPUTED_VALUE"""),"")</f>
        <v/>
      </c>
      <c r="U815" s="36" t="str">
        <f ca="1">IFERROR(__xludf.DUMMYFUNCTION("""COMPUTED_VALUE"""),"")</f>
        <v/>
      </c>
      <c r="V815" s="36" t="str">
        <f ca="1">IFERROR(__xludf.DUMMYFUNCTION("""COMPUTED_VALUE"""),"")</f>
        <v/>
      </c>
      <c r="W815" s="36" t="str">
        <f ca="1">IFERROR(__xludf.DUMMYFUNCTION("""COMPUTED_VALUE"""),"")</f>
        <v/>
      </c>
      <c r="X815" s="36"/>
      <c r="Y815" s="36"/>
      <c r="Z815" s="36"/>
    </row>
    <row r="816" spans="1:26" ht="12.75" hidden="1">
      <c r="A816" s="36" t="str">
        <f ca="1">IFERROR(__xludf.DUMMYFUNCTION("""COMPUTED_VALUE"""),"")</f>
        <v/>
      </c>
      <c r="B816" s="36" t="str">
        <f ca="1">IFERROR(__xludf.DUMMYFUNCTION("""COMPUTED_VALUE"""),"")</f>
        <v/>
      </c>
      <c r="C816" s="36" t="str">
        <f ca="1">IFERROR(__xludf.DUMMYFUNCTION("""COMPUTED_VALUE"""),"")</f>
        <v/>
      </c>
      <c r="D816" s="36" t="str">
        <f ca="1">IFERROR(__xludf.DUMMYFUNCTION("""COMPUTED_VALUE"""),"")</f>
        <v/>
      </c>
      <c r="E816" s="36" t="str">
        <f ca="1">IFERROR(__xludf.DUMMYFUNCTION("""COMPUTED_VALUE"""),"")</f>
        <v/>
      </c>
      <c r="F816" s="36" t="str">
        <f ca="1">IFERROR(__xludf.DUMMYFUNCTION("""COMPUTED_VALUE"""),"")</f>
        <v/>
      </c>
      <c r="G816" s="36" t="str">
        <f ca="1">IFERROR(__xludf.DUMMYFUNCTION("""COMPUTED_VALUE"""),"")</f>
        <v/>
      </c>
      <c r="H816" s="36" t="str">
        <f ca="1">IFERROR(__xludf.DUMMYFUNCTION("""COMPUTED_VALUE"""),"")</f>
        <v/>
      </c>
      <c r="I816" s="36" t="str">
        <f ca="1">IFERROR(__xludf.DUMMYFUNCTION("""COMPUTED_VALUE"""),"")</f>
        <v/>
      </c>
      <c r="J816" s="36" t="str">
        <f ca="1">IFERROR(__xludf.DUMMYFUNCTION("""COMPUTED_VALUE"""),"")</f>
        <v/>
      </c>
      <c r="K816" s="36" t="str">
        <f ca="1">IFERROR(__xludf.DUMMYFUNCTION("""COMPUTED_VALUE"""),"")</f>
        <v/>
      </c>
      <c r="L816" s="36" t="str">
        <f ca="1">IFERROR(__xludf.DUMMYFUNCTION("""COMPUTED_VALUE"""),"")</f>
        <v/>
      </c>
      <c r="M816" s="36" t="str">
        <f ca="1">IFERROR(__xludf.DUMMYFUNCTION("""COMPUTED_VALUE"""),"")</f>
        <v/>
      </c>
      <c r="N816" s="36" t="str">
        <f ca="1">IFERROR(__xludf.DUMMYFUNCTION("""COMPUTED_VALUE"""),"")</f>
        <v/>
      </c>
      <c r="O816" s="36" t="str">
        <f ca="1">IFERROR(__xludf.DUMMYFUNCTION("""COMPUTED_VALUE"""),"")</f>
        <v/>
      </c>
      <c r="P816" s="36" t="str">
        <f ca="1">IFERROR(__xludf.DUMMYFUNCTION("""COMPUTED_VALUE"""),"")</f>
        <v/>
      </c>
      <c r="Q816" s="36" t="str">
        <f ca="1">IFERROR(__xludf.DUMMYFUNCTION("""COMPUTED_VALUE"""),"")</f>
        <v/>
      </c>
      <c r="R816" s="36" t="str">
        <f ca="1">IFERROR(__xludf.DUMMYFUNCTION("""COMPUTED_VALUE"""),"")</f>
        <v/>
      </c>
      <c r="S816" s="36" t="str">
        <f ca="1">IFERROR(__xludf.DUMMYFUNCTION("""COMPUTED_VALUE"""),"")</f>
        <v/>
      </c>
      <c r="T816" s="36" t="str">
        <f ca="1">IFERROR(__xludf.DUMMYFUNCTION("""COMPUTED_VALUE"""),"")</f>
        <v/>
      </c>
      <c r="U816" s="36" t="str">
        <f ca="1">IFERROR(__xludf.DUMMYFUNCTION("""COMPUTED_VALUE"""),"")</f>
        <v/>
      </c>
      <c r="V816" s="36" t="str">
        <f ca="1">IFERROR(__xludf.DUMMYFUNCTION("""COMPUTED_VALUE"""),"")</f>
        <v/>
      </c>
      <c r="W816" s="36" t="str">
        <f ca="1">IFERROR(__xludf.DUMMYFUNCTION("""COMPUTED_VALUE"""),"")</f>
        <v/>
      </c>
      <c r="X816" s="36"/>
      <c r="Y816" s="36"/>
      <c r="Z816" s="36"/>
    </row>
    <row r="817" spans="1:26" ht="12.75" hidden="1">
      <c r="A817" s="36" t="str">
        <f ca="1">IFERROR(__xludf.DUMMYFUNCTION("""COMPUTED_VALUE"""),"")</f>
        <v/>
      </c>
      <c r="B817" s="36" t="str">
        <f ca="1">IFERROR(__xludf.DUMMYFUNCTION("""COMPUTED_VALUE"""),"")</f>
        <v/>
      </c>
      <c r="C817" s="36" t="str">
        <f ca="1">IFERROR(__xludf.DUMMYFUNCTION("""COMPUTED_VALUE"""),"")</f>
        <v/>
      </c>
      <c r="D817" s="36" t="str">
        <f ca="1">IFERROR(__xludf.DUMMYFUNCTION("""COMPUTED_VALUE"""),"")</f>
        <v/>
      </c>
      <c r="E817" s="36" t="str">
        <f ca="1">IFERROR(__xludf.DUMMYFUNCTION("""COMPUTED_VALUE"""),"")</f>
        <v/>
      </c>
      <c r="F817" s="36" t="str">
        <f ca="1">IFERROR(__xludf.DUMMYFUNCTION("""COMPUTED_VALUE"""),"")</f>
        <v/>
      </c>
      <c r="G817" s="36" t="str">
        <f ca="1">IFERROR(__xludf.DUMMYFUNCTION("""COMPUTED_VALUE"""),"")</f>
        <v/>
      </c>
      <c r="H817" s="36" t="str">
        <f ca="1">IFERROR(__xludf.DUMMYFUNCTION("""COMPUTED_VALUE"""),"")</f>
        <v/>
      </c>
      <c r="I817" s="36" t="str">
        <f ca="1">IFERROR(__xludf.DUMMYFUNCTION("""COMPUTED_VALUE"""),"")</f>
        <v/>
      </c>
      <c r="J817" s="36" t="str">
        <f ca="1">IFERROR(__xludf.DUMMYFUNCTION("""COMPUTED_VALUE"""),"")</f>
        <v/>
      </c>
      <c r="K817" s="36" t="str">
        <f ca="1">IFERROR(__xludf.DUMMYFUNCTION("""COMPUTED_VALUE"""),"")</f>
        <v/>
      </c>
      <c r="L817" s="36" t="str">
        <f ca="1">IFERROR(__xludf.DUMMYFUNCTION("""COMPUTED_VALUE"""),"")</f>
        <v/>
      </c>
      <c r="M817" s="36" t="str">
        <f ca="1">IFERROR(__xludf.DUMMYFUNCTION("""COMPUTED_VALUE"""),"")</f>
        <v/>
      </c>
      <c r="N817" s="36" t="str">
        <f ca="1">IFERROR(__xludf.DUMMYFUNCTION("""COMPUTED_VALUE"""),"")</f>
        <v/>
      </c>
      <c r="O817" s="36" t="str">
        <f ca="1">IFERROR(__xludf.DUMMYFUNCTION("""COMPUTED_VALUE"""),"")</f>
        <v/>
      </c>
      <c r="P817" s="36" t="str">
        <f ca="1">IFERROR(__xludf.DUMMYFUNCTION("""COMPUTED_VALUE"""),"")</f>
        <v/>
      </c>
      <c r="Q817" s="36" t="str">
        <f ca="1">IFERROR(__xludf.DUMMYFUNCTION("""COMPUTED_VALUE"""),"")</f>
        <v/>
      </c>
      <c r="R817" s="36" t="str">
        <f ca="1">IFERROR(__xludf.DUMMYFUNCTION("""COMPUTED_VALUE"""),"")</f>
        <v/>
      </c>
      <c r="S817" s="36" t="str">
        <f ca="1">IFERROR(__xludf.DUMMYFUNCTION("""COMPUTED_VALUE"""),"")</f>
        <v/>
      </c>
      <c r="T817" s="36" t="str">
        <f ca="1">IFERROR(__xludf.DUMMYFUNCTION("""COMPUTED_VALUE"""),"")</f>
        <v/>
      </c>
      <c r="U817" s="36" t="str">
        <f ca="1">IFERROR(__xludf.DUMMYFUNCTION("""COMPUTED_VALUE"""),"")</f>
        <v/>
      </c>
      <c r="V817" s="36" t="str">
        <f ca="1">IFERROR(__xludf.DUMMYFUNCTION("""COMPUTED_VALUE"""),"")</f>
        <v/>
      </c>
      <c r="W817" s="36" t="str">
        <f ca="1">IFERROR(__xludf.DUMMYFUNCTION("""COMPUTED_VALUE"""),"")</f>
        <v/>
      </c>
      <c r="X817" s="36"/>
      <c r="Y817" s="36"/>
      <c r="Z817" s="36"/>
    </row>
    <row r="818" spans="1:26" ht="12.75" hidden="1">
      <c r="A818" s="36" t="str">
        <f ca="1">IFERROR(__xludf.DUMMYFUNCTION("""COMPUTED_VALUE"""),"")</f>
        <v/>
      </c>
      <c r="B818" s="36" t="str">
        <f ca="1">IFERROR(__xludf.DUMMYFUNCTION("""COMPUTED_VALUE"""),"")</f>
        <v/>
      </c>
      <c r="C818" s="36" t="str">
        <f ca="1">IFERROR(__xludf.DUMMYFUNCTION("""COMPUTED_VALUE"""),"")</f>
        <v/>
      </c>
      <c r="D818" s="36" t="str">
        <f ca="1">IFERROR(__xludf.DUMMYFUNCTION("""COMPUTED_VALUE"""),"")</f>
        <v/>
      </c>
      <c r="E818" s="36" t="str">
        <f ca="1">IFERROR(__xludf.DUMMYFUNCTION("""COMPUTED_VALUE"""),"")</f>
        <v/>
      </c>
      <c r="F818" s="36" t="str">
        <f ca="1">IFERROR(__xludf.DUMMYFUNCTION("""COMPUTED_VALUE"""),"")</f>
        <v/>
      </c>
      <c r="G818" s="36" t="str">
        <f ca="1">IFERROR(__xludf.DUMMYFUNCTION("""COMPUTED_VALUE"""),"")</f>
        <v/>
      </c>
      <c r="H818" s="36" t="str">
        <f ca="1">IFERROR(__xludf.DUMMYFUNCTION("""COMPUTED_VALUE"""),"")</f>
        <v/>
      </c>
      <c r="I818" s="36" t="str">
        <f ca="1">IFERROR(__xludf.DUMMYFUNCTION("""COMPUTED_VALUE"""),"")</f>
        <v/>
      </c>
      <c r="J818" s="36" t="str">
        <f ca="1">IFERROR(__xludf.DUMMYFUNCTION("""COMPUTED_VALUE"""),"")</f>
        <v/>
      </c>
      <c r="K818" s="36" t="str">
        <f ca="1">IFERROR(__xludf.DUMMYFUNCTION("""COMPUTED_VALUE"""),"")</f>
        <v/>
      </c>
      <c r="L818" s="36" t="str">
        <f ca="1">IFERROR(__xludf.DUMMYFUNCTION("""COMPUTED_VALUE"""),"")</f>
        <v/>
      </c>
      <c r="M818" s="36" t="str">
        <f ca="1">IFERROR(__xludf.DUMMYFUNCTION("""COMPUTED_VALUE"""),"")</f>
        <v/>
      </c>
      <c r="N818" s="36" t="str">
        <f ca="1">IFERROR(__xludf.DUMMYFUNCTION("""COMPUTED_VALUE"""),"")</f>
        <v/>
      </c>
      <c r="O818" s="36" t="str">
        <f ca="1">IFERROR(__xludf.DUMMYFUNCTION("""COMPUTED_VALUE"""),"")</f>
        <v/>
      </c>
      <c r="P818" s="36" t="str">
        <f ca="1">IFERROR(__xludf.DUMMYFUNCTION("""COMPUTED_VALUE"""),"")</f>
        <v/>
      </c>
      <c r="Q818" s="36" t="str">
        <f ca="1">IFERROR(__xludf.DUMMYFUNCTION("""COMPUTED_VALUE"""),"")</f>
        <v/>
      </c>
      <c r="R818" s="36" t="str">
        <f ca="1">IFERROR(__xludf.DUMMYFUNCTION("""COMPUTED_VALUE"""),"")</f>
        <v/>
      </c>
      <c r="S818" s="36" t="str">
        <f ca="1">IFERROR(__xludf.DUMMYFUNCTION("""COMPUTED_VALUE"""),"")</f>
        <v/>
      </c>
      <c r="T818" s="36" t="str">
        <f ca="1">IFERROR(__xludf.DUMMYFUNCTION("""COMPUTED_VALUE"""),"")</f>
        <v/>
      </c>
      <c r="U818" s="36" t="str">
        <f ca="1">IFERROR(__xludf.DUMMYFUNCTION("""COMPUTED_VALUE"""),"")</f>
        <v/>
      </c>
      <c r="V818" s="36" t="str">
        <f ca="1">IFERROR(__xludf.DUMMYFUNCTION("""COMPUTED_VALUE"""),"")</f>
        <v/>
      </c>
      <c r="W818" s="36" t="str">
        <f ca="1">IFERROR(__xludf.DUMMYFUNCTION("""COMPUTED_VALUE"""),"")</f>
        <v/>
      </c>
      <c r="X818" s="36"/>
      <c r="Y818" s="36"/>
      <c r="Z818" s="36"/>
    </row>
    <row r="819" spans="1:26" ht="12.75" hidden="1">
      <c r="A819" s="36" t="str">
        <f ca="1">IFERROR(__xludf.DUMMYFUNCTION("""COMPUTED_VALUE"""),"")</f>
        <v/>
      </c>
      <c r="B819" s="36" t="str">
        <f ca="1">IFERROR(__xludf.DUMMYFUNCTION("""COMPUTED_VALUE"""),"")</f>
        <v/>
      </c>
      <c r="C819" s="36" t="str">
        <f ca="1">IFERROR(__xludf.DUMMYFUNCTION("""COMPUTED_VALUE"""),"")</f>
        <v/>
      </c>
      <c r="D819" s="36" t="str">
        <f ca="1">IFERROR(__xludf.DUMMYFUNCTION("""COMPUTED_VALUE"""),"")</f>
        <v/>
      </c>
      <c r="E819" s="36" t="str">
        <f ca="1">IFERROR(__xludf.DUMMYFUNCTION("""COMPUTED_VALUE"""),"")</f>
        <v/>
      </c>
      <c r="F819" s="36" t="str">
        <f ca="1">IFERROR(__xludf.DUMMYFUNCTION("""COMPUTED_VALUE"""),"")</f>
        <v/>
      </c>
      <c r="G819" s="36" t="str">
        <f ca="1">IFERROR(__xludf.DUMMYFUNCTION("""COMPUTED_VALUE"""),"")</f>
        <v/>
      </c>
      <c r="H819" s="36" t="str">
        <f ca="1">IFERROR(__xludf.DUMMYFUNCTION("""COMPUTED_VALUE"""),"")</f>
        <v/>
      </c>
      <c r="I819" s="36" t="str">
        <f ca="1">IFERROR(__xludf.DUMMYFUNCTION("""COMPUTED_VALUE"""),"")</f>
        <v/>
      </c>
      <c r="J819" s="36" t="str">
        <f ca="1">IFERROR(__xludf.DUMMYFUNCTION("""COMPUTED_VALUE"""),"")</f>
        <v/>
      </c>
      <c r="K819" s="36" t="str">
        <f ca="1">IFERROR(__xludf.DUMMYFUNCTION("""COMPUTED_VALUE"""),"")</f>
        <v/>
      </c>
      <c r="L819" s="36" t="str">
        <f ca="1">IFERROR(__xludf.DUMMYFUNCTION("""COMPUTED_VALUE"""),"")</f>
        <v/>
      </c>
      <c r="M819" s="36" t="str">
        <f ca="1">IFERROR(__xludf.DUMMYFUNCTION("""COMPUTED_VALUE"""),"")</f>
        <v/>
      </c>
      <c r="N819" s="36" t="str">
        <f ca="1">IFERROR(__xludf.DUMMYFUNCTION("""COMPUTED_VALUE"""),"")</f>
        <v/>
      </c>
      <c r="O819" s="36" t="str">
        <f ca="1">IFERROR(__xludf.DUMMYFUNCTION("""COMPUTED_VALUE"""),"")</f>
        <v/>
      </c>
      <c r="P819" s="36" t="str">
        <f ca="1">IFERROR(__xludf.DUMMYFUNCTION("""COMPUTED_VALUE"""),"")</f>
        <v/>
      </c>
      <c r="Q819" s="36" t="str">
        <f ca="1">IFERROR(__xludf.DUMMYFUNCTION("""COMPUTED_VALUE"""),"")</f>
        <v/>
      </c>
      <c r="R819" s="36" t="str">
        <f ca="1">IFERROR(__xludf.DUMMYFUNCTION("""COMPUTED_VALUE"""),"")</f>
        <v/>
      </c>
      <c r="S819" s="36" t="str">
        <f ca="1">IFERROR(__xludf.DUMMYFUNCTION("""COMPUTED_VALUE"""),"")</f>
        <v/>
      </c>
      <c r="T819" s="36" t="str">
        <f ca="1">IFERROR(__xludf.DUMMYFUNCTION("""COMPUTED_VALUE"""),"")</f>
        <v/>
      </c>
      <c r="U819" s="36" t="str">
        <f ca="1">IFERROR(__xludf.DUMMYFUNCTION("""COMPUTED_VALUE"""),"")</f>
        <v/>
      </c>
      <c r="V819" s="36" t="str">
        <f ca="1">IFERROR(__xludf.DUMMYFUNCTION("""COMPUTED_VALUE"""),"")</f>
        <v/>
      </c>
      <c r="W819" s="36" t="str">
        <f ca="1">IFERROR(__xludf.DUMMYFUNCTION("""COMPUTED_VALUE"""),"")</f>
        <v/>
      </c>
      <c r="X819" s="36"/>
      <c r="Y819" s="36"/>
      <c r="Z819" s="36"/>
    </row>
    <row r="820" spans="1:26" ht="12.75" hidden="1">
      <c r="A820" s="36" t="str">
        <f ca="1">IFERROR(__xludf.DUMMYFUNCTION("""COMPUTED_VALUE"""),"")</f>
        <v/>
      </c>
      <c r="B820" s="36" t="str">
        <f ca="1">IFERROR(__xludf.DUMMYFUNCTION("""COMPUTED_VALUE"""),"")</f>
        <v/>
      </c>
      <c r="C820" s="36" t="str">
        <f ca="1">IFERROR(__xludf.DUMMYFUNCTION("""COMPUTED_VALUE"""),"")</f>
        <v/>
      </c>
      <c r="D820" s="36" t="str">
        <f ca="1">IFERROR(__xludf.DUMMYFUNCTION("""COMPUTED_VALUE"""),"")</f>
        <v/>
      </c>
      <c r="E820" s="36" t="str">
        <f ca="1">IFERROR(__xludf.DUMMYFUNCTION("""COMPUTED_VALUE"""),"")</f>
        <v/>
      </c>
      <c r="F820" s="36" t="str">
        <f ca="1">IFERROR(__xludf.DUMMYFUNCTION("""COMPUTED_VALUE"""),"")</f>
        <v/>
      </c>
      <c r="G820" s="36" t="str">
        <f ca="1">IFERROR(__xludf.DUMMYFUNCTION("""COMPUTED_VALUE"""),"")</f>
        <v/>
      </c>
      <c r="H820" s="36" t="str">
        <f ca="1">IFERROR(__xludf.DUMMYFUNCTION("""COMPUTED_VALUE"""),"")</f>
        <v/>
      </c>
      <c r="I820" s="36" t="str">
        <f ca="1">IFERROR(__xludf.DUMMYFUNCTION("""COMPUTED_VALUE"""),"")</f>
        <v/>
      </c>
      <c r="J820" s="36" t="str">
        <f ca="1">IFERROR(__xludf.DUMMYFUNCTION("""COMPUTED_VALUE"""),"")</f>
        <v/>
      </c>
      <c r="K820" s="36" t="str">
        <f ca="1">IFERROR(__xludf.DUMMYFUNCTION("""COMPUTED_VALUE"""),"")</f>
        <v/>
      </c>
      <c r="L820" s="36" t="str">
        <f ca="1">IFERROR(__xludf.DUMMYFUNCTION("""COMPUTED_VALUE"""),"")</f>
        <v/>
      </c>
      <c r="M820" s="36" t="str">
        <f ca="1">IFERROR(__xludf.DUMMYFUNCTION("""COMPUTED_VALUE"""),"")</f>
        <v/>
      </c>
      <c r="N820" s="36" t="str">
        <f ca="1">IFERROR(__xludf.DUMMYFUNCTION("""COMPUTED_VALUE"""),"")</f>
        <v/>
      </c>
      <c r="O820" s="36" t="str">
        <f ca="1">IFERROR(__xludf.DUMMYFUNCTION("""COMPUTED_VALUE"""),"")</f>
        <v/>
      </c>
      <c r="P820" s="36" t="str">
        <f ca="1">IFERROR(__xludf.DUMMYFUNCTION("""COMPUTED_VALUE"""),"")</f>
        <v/>
      </c>
      <c r="Q820" s="36" t="str">
        <f ca="1">IFERROR(__xludf.DUMMYFUNCTION("""COMPUTED_VALUE"""),"")</f>
        <v/>
      </c>
      <c r="R820" s="36" t="str">
        <f ca="1">IFERROR(__xludf.DUMMYFUNCTION("""COMPUTED_VALUE"""),"")</f>
        <v/>
      </c>
      <c r="S820" s="36" t="str">
        <f ca="1">IFERROR(__xludf.DUMMYFUNCTION("""COMPUTED_VALUE"""),"")</f>
        <v/>
      </c>
      <c r="T820" s="36" t="str">
        <f ca="1">IFERROR(__xludf.DUMMYFUNCTION("""COMPUTED_VALUE"""),"")</f>
        <v/>
      </c>
      <c r="U820" s="36" t="str">
        <f ca="1">IFERROR(__xludf.DUMMYFUNCTION("""COMPUTED_VALUE"""),"")</f>
        <v/>
      </c>
      <c r="V820" s="36" t="str">
        <f ca="1">IFERROR(__xludf.DUMMYFUNCTION("""COMPUTED_VALUE"""),"")</f>
        <v/>
      </c>
      <c r="W820" s="36" t="str">
        <f ca="1">IFERROR(__xludf.DUMMYFUNCTION("""COMPUTED_VALUE"""),"")</f>
        <v/>
      </c>
      <c r="X820" s="36"/>
      <c r="Y820" s="36"/>
      <c r="Z820" s="36"/>
    </row>
    <row r="821" spans="1:26" ht="12.75" hidden="1">
      <c r="A821" s="36" t="str">
        <f ca="1">IFERROR(__xludf.DUMMYFUNCTION("""COMPUTED_VALUE"""),"")</f>
        <v/>
      </c>
      <c r="B821" s="36" t="str">
        <f ca="1">IFERROR(__xludf.DUMMYFUNCTION("""COMPUTED_VALUE"""),"")</f>
        <v/>
      </c>
      <c r="C821" s="36" t="str">
        <f ca="1">IFERROR(__xludf.DUMMYFUNCTION("""COMPUTED_VALUE"""),"")</f>
        <v/>
      </c>
      <c r="D821" s="36" t="str">
        <f ca="1">IFERROR(__xludf.DUMMYFUNCTION("""COMPUTED_VALUE"""),"")</f>
        <v/>
      </c>
      <c r="E821" s="36" t="str">
        <f ca="1">IFERROR(__xludf.DUMMYFUNCTION("""COMPUTED_VALUE"""),"")</f>
        <v/>
      </c>
      <c r="F821" s="36" t="str">
        <f ca="1">IFERROR(__xludf.DUMMYFUNCTION("""COMPUTED_VALUE"""),"")</f>
        <v/>
      </c>
      <c r="G821" s="36" t="str">
        <f ca="1">IFERROR(__xludf.DUMMYFUNCTION("""COMPUTED_VALUE"""),"")</f>
        <v/>
      </c>
      <c r="H821" s="36" t="str">
        <f ca="1">IFERROR(__xludf.DUMMYFUNCTION("""COMPUTED_VALUE"""),"")</f>
        <v/>
      </c>
      <c r="I821" s="36" t="str">
        <f ca="1">IFERROR(__xludf.DUMMYFUNCTION("""COMPUTED_VALUE"""),"")</f>
        <v/>
      </c>
      <c r="J821" s="36" t="str">
        <f ca="1">IFERROR(__xludf.DUMMYFUNCTION("""COMPUTED_VALUE"""),"")</f>
        <v/>
      </c>
      <c r="K821" s="36" t="str">
        <f ca="1">IFERROR(__xludf.DUMMYFUNCTION("""COMPUTED_VALUE"""),"")</f>
        <v/>
      </c>
      <c r="L821" s="36" t="str">
        <f ca="1">IFERROR(__xludf.DUMMYFUNCTION("""COMPUTED_VALUE"""),"")</f>
        <v/>
      </c>
      <c r="M821" s="36" t="str">
        <f ca="1">IFERROR(__xludf.DUMMYFUNCTION("""COMPUTED_VALUE"""),"")</f>
        <v/>
      </c>
      <c r="N821" s="36" t="str">
        <f ca="1">IFERROR(__xludf.DUMMYFUNCTION("""COMPUTED_VALUE"""),"")</f>
        <v/>
      </c>
      <c r="O821" s="36" t="str">
        <f ca="1">IFERROR(__xludf.DUMMYFUNCTION("""COMPUTED_VALUE"""),"")</f>
        <v/>
      </c>
      <c r="P821" s="36" t="str">
        <f ca="1">IFERROR(__xludf.DUMMYFUNCTION("""COMPUTED_VALUE"""),"")</f>
        <v/>
      </c>
      <c r="Q821" s="36" t="str">
        <f ca="1">IFERROR(__xludf.DUMMYFUNCTION("""COMPUTED_VALUE"""),"")</f>
        <v/>
      </c>
      <c r="R821" s="36" t="str">
        <f ca="1">IFERROR(__xludf.DUMMYFUNCTION("""COMPUTED_VALUE"""),"")</f>
        <v/>
      </c>
      <c r="S821" s="36" t="str">
        <f ca="1">IFERROR(__xludf.DUMMYFUNCTION("""COMPUTED_VALUE"""),"")</f>
        <v/>
      </c>
      <c r="T821" s="36" t="str">
        <f ca="1">IFERROR(__xludf.DUMMYFUNCTION("""COMPUTED_VALUE"""),"")</f>
        <v/>
      </c>
      <c r="U821" s="36" t="str">
        <f ca="1">IFERROR(__xludf.DUMMYFUNCTION("""COMPUTED_VALUE"""),"")</f>
        <v/>
      </c>
      <c r="V821" s="36" t="str">
        <f ca="1">IFERROR(__xludf.DUMMYFUNCTION("""COMPUTED_VALUE"""),"")</f>
        <v/>
      </c>
      <c r="W821" s="36" t="str">
        <f ca="1">IFERROR(__xludf.DUMMYFUNCTION("""COMPUTED_VALUE"""),"")</f>
        <v/>
      </c>
      <c r="X821" s="36"/>
      <c r="Y821" s="36"/>
      <c r="Z821" s="36"/>
    </row>
    <row r="822" spans="1:26" ht="12.75" hidden="1">
      <c r="A822" s="36" t="str">
        <f ca="1">IFERROR(__xludf.DUMMYFUNCTION("""COMPUTED_VALUE"""),"")</f>
        <v/>
      </c>
      <c r="B822" s="36" t="str">
        <f ca="1">IFERROR(__xludf.DUMMYFUNCTION("""COMPUTED_VALUE"""),"")</f>
        <v/>
      </c>
      <c r="C822" s="36" t="str">
        <f ca="1">IFERROR(__xludf.DUMMYFUNCTION("""COMPUTED_VALUE"""),"")</f>
        <v/>
      </c>
      <c r="D822" s="36" t="str">
        <f ca="1">IFERROR(__xludf.DUMMYFUNCTION("""COMPUTED_VALUE"""),"")</f>
        <v/>
      </c>
      <c r="E822" s="36" t="str">
        <f ca="1">IFERROR(__xludf.DUMMYFUNCTION("""COMPUTED_VALUE"""),"")</f>
        <v/>
      </c>
      <c r="F822" s="36" t="str">
        <f ca="1">IFERROR(__xludf.DUMMYFUNCTION("""COMPUTED_VALUE"""),"")</f>
        <v/>
      </c>
      <c r="G822" s="36" t="str">
        <f ca="1">IFERROR(__xludf.DUMMYFUNCTION("""COMPUTED_VALUE"""),"")</f>
        <v/>
      </c>
      <c r="H822" s="36" t="str">
        <f ca="1">IFERROR(__xludf.DUMMYFUNCTION("""COMPUTED_VALUE"""),"")</f>
        <v/>
      </c>
      <c r="I822" s="36" t="str">
        <f ca="1">IFERROR(__xludf.DUMMYFUNCTION("""COMPUTED_VALUE"""),"")</f>
        <v/>
      </c>
      <c r="J822" s="36" t="str">
        <f ca="1">IFERROR(__xludf.DUMMYFUNCTION("""COMPUTED_VALUE"""),"")</f>
        <v/>
      </c>
      <c r="K822" s="36" t="str">
        <f ca="1">IFERROR(__xludf.DUMMYFUNCTION("""COMPUTED_VALUE"""),"")</f>
        <v/>
      </c>
      <c r="L822" s="36" t="str">
        <f ca="1">IFERROR(__xludf.DUMMYFUNCTION("""COMPUTED_VALUE"""),"")</f>
        <v/>
      </c>
      <c r="M822" s="36" t="str">
        <f ca="1">IFERROR(__xludf.DUMMYFUNCTION("""COMPUTED_VALUE"""),"")</f>
        <v/>
      </c>
      <c r="N822" s="36" t="str">
        <f ca="1">IFERROR(__xludf.DUMMYFUNCTION("""COMPUTED_VALUE"""),"")</f>
        <v/>
      </c>
      <c r="O822" s="36" t="str">
        <f ca="1">IFERROR(__xludf.DUMMYFUNCTION("""COMPUTED_VALUE"""),"")</f>
        <v/>
      </c>
      <c r="P822" s="36" t="str">
        <f ca="1">IFERROR(__xludf.DUMMYFUNCTION("""COMPUTED_VALUE"""),"")</f>
        <v/>
      </c>
      <c r="Q822" s="36" t="str">
        <f ca="1">IFERROR(__xludf.DUMMYFUNCTION("""COMPUTED_VALUE"""),"")</f>
        <v/>
      </c>
      <c r="R822" s="36" t="str">
        <f ca="1">IFERROR(__xludf.DUMMYFUNCTION("""COMPUTED_VALUE"""),"")</f>
        <v/>
      </c>
      <c r="S822" s="36" t="str">
        <f ca="1">IFERROR(__xludf.DUMMYFUNCTION("""COMPUTED_VALUE"""),"")</f>
        <v/>
      </c>
      <c r="T822" s="36" t="str">
        <f ca="1">IFERROR(__xludf.DUMMYFUNCTION("""COMPUTED_VALUE"""),"")</f>
        <v/>
      </c>
      <c r="U822" s="36" t="str">
        <f ca="1">IFERROR(__xludf.DUMMYFUNCTION("""COMPUTED_VALUE"""),"")</f>
        <v/>
      </c>
      <c r="V822" s="36" t="str">
        <f ca="1">IFERROR(__xludf.DUMMYFUNCTION("""COMPUTED_VALUE"""),"")</f>
        <v/>
      </c>
      <c r="W822" s="36" t="str">
        <f ca="1">IFERROR(__xludf.DUMMYFUNCTION("""COMPUTED_VALUE"""),"")</f>
        <v/>
      </c>
      <c r="X822" s="36"/>
      <c r="Y822" s="36"/>
      <c r="Z822" s="36"/>
    </row>
    <row r="823" spans="1:26" ht="12.75" hidden="1">
      <c r="A823" s="36" t="str">
        <f ca="1">IFERROR(__xludf.DUMMYFUNCTION("""COMPUTED_VALUE"""),"")</f>
        <v/>
      </c>
      <c r="B823" s="36" t="str">
        <f ca="1">IFERROR(__xludf.DUMMYFUNCTION("""COMPUTED_VALUE"""),"")</f>
        <v/>
      </c>
      <c r="C823" s="36" t="str">
        <f ca="1">IFERROR(__xludf.DUMMYFUNCTION("""COMPUTED_VALUE"""),"")</f>
        <v/>
      </c>
      <c r="D823" s="36" t="str">
        <f ca="1">IFERROR(__xludf.DUMMYFUNCTION("""COMPUTED_VALUE"""),"")</f>
        <v/>
      </c>
      <c r="E823" s="36" t="str">
        <f ca="1">IFERROR(__xludf.DUMMYFUNCTION("""COMPUTED_VALUE"""),"")</f>
        <v/>
      </c>
      <c r="F823" s="36" t="str">
        <f ca="1">IFERROR(__xludf.DUMMYFUNCTION("""COMPUTED_VALUE"""),"")</f>
        <v/>
      </c>
      <c r="G823" s="36" t="str">
        <f ca="1">IFERROR(__xludf.DUMMYFUNCTION("""COMPUTED_VALUE"""),"")</f>
        <v/>
      </c>
      <c r="H823" s="36" t="str">
        <f ca="1">IFERROR(__xludf.DUMMYFUNCTION("""COMPUTED_VALUE"""),"")</f>
        <v/>
      </c>
      <c r="I823" s="36" t="str">
        <f ca="1">IFERROR(__xludf.DUMMYFUNCTION("""COMPUTED_VALUE"""),"")</f>
        <v/>
      </c>
      <c r="J823" s="36" t="str">
        <f ca="1">IFERROR(__xludf.DUMMYFUNCTION("""COMPUTED_VALUE"""),"")</f>
        <v/>
      </c>
      <c r="K823" s="36" t="str">
        <f ca="1">IFERROR(__xludf.DUMMYFUNCTION("""COMPUTED_VALUE"""),"")</f>
        <v/>
      </c>
      <c r="L823" s="36" t="str">
        <f ca="1">IFERROR(__xludf.DUMMYFUNCTION("""COMPUTED_VALUE"""),"")</f>
        <v/>
      </c>
      <c r="M823" s="36" t="str">
        <f ca="1">IFERROR(__xludf.DUMMYFUNCTION("""COMPUTED_VALUE"""),"")</f>
        <v/>
      </c>
      <c r="N823" s="36" t="str">
        <f ca="1">IFERROR(__xludf.DUMMYFUNCTION("""COMPUTED_VALUE"""),"")</f>
        <v/>
      </c>
      <c r="O823" s="36" t="str">
        <f ca="1">IFERROR(__xludf.DUMMYFUNCTION("""COMPUTED_VALUE"""),"")</f>
        <v/>
      </c>
      <c r="P823" s="36" t="str">
        <f ca="1">IFERROR(__xludf.DUMMYFUNCTION("""COMPUTED_VALUE"""),"")</f>
        <v/>
      </c>
      <c r="Q823" s="36" t="str">
        <f ca="1">IFERROR(__xludf.DUMMYFUNCTION("""COMPUTED_VALUE"""),"")</f>
        <v/>
      </c>
      <c r="R823" s="36" t="str">
        <f ca="1">IFERROR(__xludf.DUMMYFUNCTION("""COMPUTED_VALUE"""),"")</f>
        <v/>
      </c>
      <c r="S823" s="36" t="str">
        <f ca="1">IFERROR(__xludf.DUMMYFUNCTION("""COMPUTED_VALUE"""),"")</f>
        <v/>
      </c>
      <c r="T823" s="36" t="str">
        <f ca="1">IFERROR(__xludf.DUMMYFUNCTION("""COMPUTED_VALUE"""),"")</f>
        <v/>
      </c>
      <c r="U823" s="36" t="str">
        <f ca="1">IFERROR(__xludf.DUMMYFUNCTION("""COMPUTED_VALUE"""),"")</f>
        <v/>
      </c>
      <c r="V823" s="36" t="str">
        <f ca="1">IFERROR(__xludf.DUMMYFUNCTION("""COMPUTED_VALUE"""),"")</f>
        <v/>
      </c>
      <c r="W823" s="36" t="str">
        <f ca="1">IFERROR(__xludf.DUMMYFUNCTION("""COMPUTED_VALUE"""),"")</f>
        <v/>
      </c>
      <c r="X823" s="36"/>
      <c r="Y823" s="36"/>
      <c r="Z823" s="36"/>
    </row>
    <row r="824" spans="1:26" ht="12.75" hidden="1">
      <c r="A824" s="36" t="str">
        <f ca="1">IFERROR(__xludf.DUMMYFUNCTION("""COMPUTED_VALUE"""),"")</f>
        <v/>
      </c>
      <c r="B824" s="36" t="str">
        <f ca="1">IFERROR(__xludf.DUMMYFUNCTION("""COMPUTED_VALUE"""),"")</f>
        <v/>
      </c>
      <c r="C824" s="36" t="str">
        <f ca="1">IFERROR(__xludf.DUMMYFUNCTION("""COMPUTED_VALUE"""),"")</f>
        <v/>
      </c>
      <c r="D824" s="36" t="str">
        <f ca="1">IFERROR(__xludf.DUMMYFUNCTION("""COMPUTED_VALUE"""),"")</f>
        <v/>
      </c>
      <c r="E824" s="36" t="str">
        <f ca="1">IFERROR(__xludf.DUMMYFUNCTION("""COMPUTED_VALUE"""),"")</f>
        <v/>
      </c>
      <c r="F824" s="36" t="str">
        <f ca="1">IFERROR(__xludf.DUMMYFUNCTION("""COMPUTED_VALUE"""),"")</f>
        <v/>
      </c>
      <c r="G824" s="36" t="str">
        <f ca="1">IFERROR(__xludf.DUMMYFUNCTION("""COMPUTED_VALUE"""),"")</f>
        <v/>
      </c>
      <c r="H824" s="36" t="str">
        <f ca="1">IFERROR(__xludf.DUMMYFUNCTION("""COMPUTED_VALUE"""),"")</f>
        <v/>
      </c>
      <c r="I824" s="36" t="str">
        <f ca="1">IFERROR(__xludf.DUMMYFUNCTION("""COMPUTED_VALUE"""),"")</f>
        <v/>
      </c>
      <c r="J824" s="36" t="str">
        <f ca="1">IFERROR(__xludf.DUMMYFUNCTION("""COMPUTED_VALUE"""),"")</f>
        <v/>
      </c>
      <c r="K824" s="36" t="str">
        <f ca="1">IFERROR(__xludf.DUMMYFUNCTION("""COMPUTED_VALUE"""),"")</f>
        <v/>
      </c>
      <c r="L824" s="36" t="str">
        <f ca="1">IFERROR(__xludf.DUMMYFUNCTION("""COMPUTED_VALUE"""),"")</f>
        <v/>
      </c>
      <c r="M824" s="36" t="str">
        <f ca="1">IFERROR(__xludf.DUMMYFUNCTION("""COMPUTED_VALUE"""),"")</f>
        <v/>
      </c>
      <c r="N824" s="36" t="str">
        <f ca="1">IFERROR(__xludf.DUMMYFUNCTION("""COMPUTED_VALUE"""),"")</f>
        <v/>
      </c>
      <c r="O824" s="36" t="str">
        <f ca="1">IFERROR(__xludf.DUMMYFUNCTION("""COMPUTED_VALUE"""),"")</f>
        <v/>
      </c>
      <c r="P824" s="36" t="str">
        <f ca="1">IFERROR(__xludf.DUMMYFUNCTION("""COMPUTED_VALUE"""),"")</f>
        <v/>
      </c>
      <c r="Q824" s="36" t="str">
        <f ca="1">IFERROR(__xludf.DUMMYFUNCTION("""COMPUTED_VALUE"""),"")</f>
        <v/>
      </c>
      <c r="R824" s="36" t="str">
        <f ca="1">IFERROR(__xludf.DUMMYFUNCTION("""COMPUTED_VALUE"""),"")</f>
        <v/>
      </c>
      <c r="S824" s="36" t="str">
        <f ca="1">IFERROR(__xludf.DUMMYFUNCTION("""COMPUTED_VALUE"""),"")</f>
        <v/>
      </c>
      <c r="T824" s="36" t="str">
        <f ca="1">IFERROR(__xludf.DUMMYFUNCTION("""COMPUTED_VALUE"""),"")</f>
        <v/>
      </c>
      <c r="U824" s="36" t="str">
        <f ca="1">IFERROR(__xludf.DUMMYFUNCTION("""COMPUTED_VALUE"""),"")</f>
        <v/>
      </c>
      <c r="V824" s="36" t="str">
        <f ca="1">IFERROR(__xludf.DUMMYFUNCTION("""COMPUTED_VALUE"""),"")</f>
        <v/>
      </c>
      <c r="W824" s="36" t="str">
        <f ca="1">IFERROR(__xludf.DUMMYFUNCTION("""COMPUTED_VALUE"""),"")</f>
        <v/>
      </c>
      <c r="X824" s="36"/>
      <c r="Y824" s="36"/>
      <c r="Z824" s="36"/>
    </row>
    <row r="825" spans="1:26" ht="12.75" hidden="1">
      <c r="A825" s="36" t="str">
        <f ca="1">IFERROR(__xludf.DUMMYFUNCTION("""COMPUTED_VALUE"""),"")</f>
        <v/>
      </c>
      <c r="B825" s="36" t="str">
        <f ca="1">IFERROR(__xludf.DUMMYFUNCTION("""COMPUTED_VALUE"""),"")</f>
        <v/>
      </c>
      <c r="C825" s="36" t="str">
        <f ca="1">IFERROR(__xludf.DUMMYFUNCTION("""COMPUTED_VALUE"""),"")</f>
        <v/>
      </c>
      <c r="D825" s="36" t="str">
        <f ca="1">IFERROR(__xludf.DUMMYFUNCTION("""COMPUTED_VALUE"""),"")</f>
        <v/>
      </c>
      <c r="E825" s="36" t="str">
        <f ca="1">IFERROR(__xludf.DUMMYFUNCTION("""COMPUTED_VALUE"""),"")</f>
        <v/>
      </c>
      <c r="F825" s="36" t="str">
        <f ca="1">IFERROR(__xludf.DUMMYFUNCTION("""COMPUTED_VALUE"""),"")</f>
        <v/>
      </c>
      <c r="G825" s="36" t="str">
        <f ca="1">IFERROR(__xludf.DUMMYFUNCTION("""COMPUTED_VALUE"""),"")</f>
        <v/>
      </c>
      <c r="H825" s="36" t="str">
        <f ca="1">IFERROR(__xludf.DUMMYFUNCTION("""COMPUTED_VALUE"""),"")</f>
        <v/>
      </c>
      <c r="I825" s="36" t="str">
        <f ca="1">IFERROR(__xludf.DUMMYFUNCTION("""COMPUTED_VALUE"""),"")</f>
        <v/>
      </c>
      <c r="J825" s="36" t="str">
        <f ca="1">IFERROR(__xludf.DUMMYFUNCTION("""COMPUTED_VALUE"""),"")</f>
        <v/>
      </c>
      <c r="K825" s="36" t="str">
        <f ca="1">IFERROR(__xludf.DUMMYFUNCTION("""COMPUTED_VALUE"""),"")</f>
        <v/>
      </c>
      <c r="L825" s="36" t="str">
        <f ca="1">IFERROR(__xludf.DUMMYFUNCTION("""COMPUTED_VALUE"""),"")</f>
        <v/>
      </c>
      <c r="M825" s="36" t="str">
        <f ca="1">IFERROR(__xludf.DUMMYFUNCTION("""COMPUTED_VALUE"""),"")</f>
        <v/>
      </c>
      <c r="N825" s="36" t="str">
        <f ca="1">IFERROR(__xludf.DUMMYFUNCTION("""COMPUTED_VALUE"""),"")</f>
        <v/>
      </c>
      <c r="O825" s="36" t="str">
        <f ca="1">IFERROR(__xludf.DUMMYFUNCTION("""COMPUTED_VALUE"""),"")</f>
        <v/>
      </c>
      <c r="P825" s="36" t="str">
        <f ca="1">IFERROR(__xludf.DUMMYFUNCTION("""COMPUTED_VALUE"""),"")</f>
        <v/>
      </c>
      <c r="Q825" s="36" t="str">
        <f ca="1">IFERROR(__xludf.DUMMYFUNCTION("""COMPUTED_VALUE"""),"")</f>
        <v/>
      </c>
      <c r="R825" s="36" t="str">
        <f ca="1">IFERROR(__xludf.DUMMYFUNCTION("""COMPUTED_VALUE"""),"")</f>
        <v/>
      </c>
      <c r="S825" s="36" t="str">
        <f ca="1">IFERROR(__xludf.DUMMYFUNCTION("""COMPUTED_VALUE"""),"")</f>
        <v/>
      </c>
      <c r="T825" s="36" t="str">
        <f ca="1">IFERROR(__xludf.DUMMYFUNCTION("""COMPUTED_VALUE"""),"")</f>
        <v/>
      </c>
      <c r="U825" s="36" t="str">
        <f ca="1">IFERROR(__xludf.DUMMYFUNCTION("""COMPUTED_VALUE"""),"")</f>
        <v/>
      </c>
      <c r="V825" s="36" t="str">
        <f ca="1">IFERROR(__xludf.DUMMYFUNCTION("""COMPUTED_VALUE"""),"")</f>
        <v/>
      </c>
      <c r="W825" s="36" t="str">
        <f ca="1">IFERROR(__xludf.DUMMYFUNCTION("""COMPUTED_VALUE"""),"")</f>
        <v/>
      </c>
      <c r="X825" s="36"/>
      <c r="Y825" s="36"/>
      <c r="Z825" s="36"/>
    </row>
    <row r="826" spans="1:26" ht="12.75" hidden="1">
      <c r="A826" s="36" t="str">
        <f ca="1">IFERROR(__xludf.DUMMYFUNCTION("""COMPUTED_VALUE"""),"")</f>
        <v/>
      </c>
      <c r="B826" s="36" t="str">
        <f ca="1">IFERROR(__xludf.DUMMYFUNCTION("""COMPUTED_VALUE"""),"")</f>
        <v/>
      </c>
      <c r="C826" s="36" t="str">
        <f ca="1">IFERROR(__xludf.DUMMYFUNCTION("""COMPUTED_VALUE"""),"")</f>
        <v/>
      </c>
      <c r="D826" s="36" t="str">
        <f ca="1">IFERROR(__xludf.DUMMYFUNCTION("""COMPUTED_VALUE"""),"")</f>
        <v/>
      </c>
      <c r="E826" s="36" t="str">
        <f ca="1">IFERROR(__xludf.DUMMYFUNCTION("""COMPUTED_VALUE"""),"")</f>
        <v/>
      </c>
      <c r="F826" s="36" t="str">
        <f ca="1">IFERROR(__xludf.DUMMYFUNCTION("""COMPUTED_VALUE"""),"")</f>
        <v/>
      </c>
      <c r="G826" s="36" t="str">
        <f ca="1">IFERROR(__xludf.DUMMYFUNCTION("""COMPUTED_VALUE"""),"")</f>
        <v/>
      </c>
      <c r="H826" s="36" t="str">
        <f ca="1">IFERROR(__xludf.DUMMYFUNCTION("""COMPUTED_VALUE"""),"")</f>
        <v/>
      </c>
      <c r="I826" s="36" t="str">
        <f ca="1">IFERROR(__xludf.DUMMYFUNCTION("""COMPUTED_VALUE"""),"")</f>
        <v/>
      </c>
      <c r="J826" s="36" t="str">
        <f ca="1">IFERROR(__xludf.DUMMYFUNCTION("""COMPUTED_VALUE"""),"")</f>
        <v/>
      </c>
      <c r="K826" s="36" t="str">
        <f ca="1">IFERROR(__xludf.DUMMYFUNCTION("""COMPUTED_VALUE"""),"")</f>
        <v/>
      </c>
      <c r="L826" s="36" t="str">
        <f ca="1">IFERROR(__xludf.DUMMYFUNCTION("""COMPUTED_VALUE"""),"")</f>
        <v/>
      </c>
      <c r="M826" s="36" t="str">
        <f ca="1">IFERROR(__xludf.DUMMYFUNCTION("""COMPUTED_VALUE"""),"")</f>
        <v/>
      </c>
      <c r="N826" s="36" t="str">
        <f ca="1">IFERROR(__xludf.DUMMYFUNCTION("""COMPUTED_VALUE"""),"")</f>
        <v/>
      </c>
      <c r="O826" s="36" t="str">
        <f ca="1">IFERROR(__xludf.DUMMYFUNCTION("""COMPUTED_VALUE"""),"")</f>
        <v/>
      </c>
      <c r="P826" s="36" t="str">
        <f ca="1">IFERROR(__xludf.DUMMYFUNCTION("""COMPUTED_VALUE"""),"")</f>
        <v/>
      </c>
      <c r="Q826" s="36" t="str">
        <f ca="1">IFERROR(__xludf.DUMMYFUNCTION("""COMPUTED_VALUE"""),"")</f>
        <v/>
      </c>
      <c r="R826" s="36" t="str">
        <f ca="1">IFERROR(__xludf.DUMMYFUNCTION("""COMPUTED_VALUE"""),"")</f>
        <v/>
      </c>
      <c r="S826" s="36" t="str">
        <f ca="1">IFERROR(__xludf.DUMMYFUNCTION("""COMPUTED_VALUE"""),"")</f>
        <v/>
      </c>
      <c r="T826" s="36" t="str">
        <f ca="1">IFERROR(__xludf.DUMMYFUNCTION("""COMPUTED_VALUE"""),"")</f>
        <v/>
      </c>
      <c r="U826" s="36" t="str">
        <f ca="1">IFERROR(__xludf.DUMMYFUNCTION("""COMPUTED_VALUE"""),"")</f>
        <v/>
      </c>
      <c r="V826" s="36" t="str">
        <f ca="1">IFERROR(__xludf.DUMMYFUNCTION("""COMPUTED_VALUE"""),"")</f>
        <v/>
      </c>
      <c r="W826" s="36" t="str">
        <f ca="1">IFERROR(__xludf.DUMMYFUNCTION("""COMPUTED_VALUE"""),"")</f>
        <v/>
      </c>
      <c r="X826" s="36"/>
      <c r="Y826" s="36"/>
      <c r="Z826" s="36"/>
    </row>
    <row r="827" spans="1:26" ht="12.75" hidden="1">
      <c r="A827" s="36" t="str">
        <f ca="1">IFERROR(__xludf.DUMMYFUNCTION("""COMPUTED_VALUE"""),"")</f>
        <v/>
      </c>
      <c r="B827" s="36" t="str">
        <f ca="1">IFERROR(__xludf.DUMMYFUNCTION("""COMPUTED_VALUE"""),"")</f>
        <v/>
      </c>
      <c r="C827" s="36" t="str">
        <f ca="1">IFERROR(__xludf.DUMMYFUNCTION("""COMPUTED_VALUE"""),"")</f>
        <v/>
      </c>
      <c r="D827" s="36" t="str">
        <f ca="1">IFERROR(__xludf.DUMMYFUNCTION("""COMPUTED_VALUE"""),"")</f>
        <v/>
      </c>
      <c r="E827" s="36" t="str">
        <f ca="1">IFERROR(__xludf.DUMMYFUNCTION("""COMPUTED_VALUE"""),"")</f>
        <v/>
      </c>
      <c r="F827" s="36" t="str">
        <f ca="1">IFERROR(__xludf.DUMMYFUNCTION("""COMPUTED_VALUE"""),"")</f>
        <v/>
      </c>
      <c r="G827" s="36" t="str">
        <f ca="1">IFERROR(__xludf.DUMMYFUNCTION("""COMPUTED_VALUE"""),"")</f>
        <v/>
      </c>
      <c r="H827" s="36" t="str">
        <f ca="1">IFERROR(__xludf.DUMMYFUNCTION("""COMPUTED_VALUE"""),"")</f>
        <v/>
      </c>
      <c r="I827" s="36" t="str">
        <f ca="1">IFERROR(__xludf.DUMMYFUNCTION("""COMPUTED_VALUE"""),"")</f>
        <v/>
      </c>
      <c r="J827" s="36" t="str">
        <f ca="1">IFERROR(__xludf.DUMMYFUNCTION("""COMPUTED_VALUE"""),"")</f>
        <v/>
      </c>
      <c r="K827" s="36" t="str">
        <f ca="1">IFERROR(__xludf.DUMMYFUNCTION("""COMPUTED_VALUE"""),"")</f>
        <v/>
      </c>
      <c r="L827" s="36" t="str">
        <f ca="1">IFERROR(__xludf.DUMMYFUNCTION("""COMPUTED_VALUE"""),"")</f>
        <v/>
      </c>
      <c r="M827" s="36" t="str">
        <f ca="1">IFERROR(__xludf.DUMMYFUNCTION("""COMPUTED_VALUE"""),"")</f>
        <v/>
      </c>
      <c r="N827" s="36" t="str">
        <f ca="1">IFERROR(__xludf.DUMMYFUNCTION("""COMPUTED_VALUE"""),"")</f>
        <v/>
      </c>
      <c r="O827" s="36" t="str">
        <f ca="1">IFERROR(__xludf.DUMMYFUNCTION("""COMPUTED_VALUE"""),"")</f>
        <v/>
      </c>
      <c r="P827" s="36" t="str">
        <f ca="1">IFERROR(__xludf.DUMMYFUNCTION("""COMPUTED_VALUE"""),"")</f>
        <v/>
      </c>
      <c r="Q827" s="36" t="str">
        <f ca="1">IFERROR(__xludf.DUMMYFUNCTION("""COMPUTED_VALUE"""),"")</f>
        <v/>
      </c>
      <c r="R827" s="36" t="str">
        <f ca="1">IFERROR(__xludf.DUMMYFUNCTION("""COMPUTED_VALUE"""),"")</f>
        <v/>
      </c>
      <c r="S827" s="36" t="str">
        <f ca="1">IFERROR(__xludf.DUMMYFUNCTION("""COMPUTED_VALUE"""),"")</f>
        <v/>
      </c>
      <c r="T827" s="36" t="str">
        <f ca="1">IFERROR(__xludf.DUMMYFUNCTION("""COMPUTED_VALUE"""),"")</f>
        <v/>
      </c>
      <c r="U827" s="36" t="str">
        <f ca="1">IFERROR(__xludf.DUMMYFUNCTION("""COMPUTED_VALUE"""),"")</f>
        <v/>
      </c>
      <c r="V827" s="36" t="str">
        <f ca="1">IFERROR(__xludf.DUMMYFUNCTION("""COMPUTED_VALUE"""),"")</f>
        <v/>
      </c>
      <c r="W827" s="36" t="str">
        <f ca="1">IFERROR(__xludf.DUMMYFUNCTION("""COMPUTED_VALUE"""),"")</f>
        <v/>
      </c>
      <c r="X827" s="36"/>
      <c r="Y827" s="36"/>
      <c r="Z827" s="36"/>
    </row>
    <row r="828" spans="1:26" ht="12.75" hidden="1">
      <c r="A828" s="36" t="str">
        <f ca="1">IFERROR(__xludf.DUMMYFUNCTION("""COMPUTED_VALUE"""),"")</f>
        <v/>
      </c>
      <c r="B828" s="36" t="str">
        <f ca="1">IFERROR(__xludf.DUMMYFUNCTION("""COMPUTED_VALUE"""),"")</f>
        <v/>
      </c>
      <c r="C828" s="36" t="str">
        <f ca="1">IFERROR(__xludf.DUMMYFUNCTION("""COMPUTED_VALUE"""),"")</f>
        <v/>
      </c>
      <c r="D828" s="36" t="str">
        <f ca="1">IFERROR(__xludf.DUMMYFUNCTION("""COMPUTED_VALUE"""),"")</f>
        <v/>
      </c>
      <c r="E828" s="36" t="str">
        <f ca="1">IFERROR(__xludf.DUMMYFUNCTION("""COMPUTED_VALUE"""),"")</f>
        <v/>
      </c>
      <c r="F828" s="36" t="str">
        <f ca="1">IFERROR(__xludf.DUMMYFUNCTION("""COMPUTED_VALUE"""),"")</f>
        <v/>
      </c>
      <c r="G828" s="36" t="str">
        <f ca="1">IFERROR(__xludf.DUMMYFUNCTION("""COMPUTED_VALUE"""),"")</f>
        <v/>
      </c>
      <c r="H828" s="36" t="str">
        <f ca="1">IFERROR(__xludf.DUMMYFUNCTION("""COMPUTED_VALUE"""),"")</f>
        <v/>
      </c>
      <c r="I828" s="36" t="str">
        <f ca="1">IFERROR(__xludf.DUMMYFUNCTION("""COMPUTED_VALUE"""),"")</f>
        <v/>
      </c>
      <c r="J828" s="36" t="str">
        <f ca="1">IFERROR(__xludf.DUMMYFUNCTION("""COMPUTED_VALUE"""),"")</f>
        <v/>
      </c>
      <c r="K828" s="36" t="str">
        <f ca="1">IFERROR(__xludf.DUMMYFUNCTION("""COMPUTED_VALUE"""),"")</f>
        <v/>
      </c>
      <c r="L828" s="36" t="str">
        <f ca="1">IFERROR(__xludf.DUMMYFUNCTION("""COMPUTED_VALUE"""),"")</f>
        <v/>
      </c>
      <c r="M828" s="36" t="str">
        <f ca="1">IFERROR(__xludf.DUMMYFUNCTION("""COMPUTED_VALUE"""),"")</f>
        <v/>
      </c>
      <c r="N828" s="36" t="str">
        <f ca="1">IFERROR(__xludf.DUMMYFUNCTION("""COMPUTED_VALUE"""),"")</f>
        <v/>
      </c>
      <c r="O828" s="36" t="str">
        <f ca="1">IFERROR(__xludf.DUMMYFUNCTION("""COMPUTED_VALUE"""),"")</f>
        <v/>
      </c>
      <c r="P828" s="36" t="str">
        <f ca="1">IFERROR(__xludf.DUMMYFUNCTION("""COMPUTED_VALUE"""),"")</f>
        <v/>
      </c>
      <c r="Q828" s="36" t="str">
        <f ca="1">IFERROR(__xludf.DUMMYFUNCTION("""COMPUTED_VALUE"""),"")</f>
        <v/>
      </c>
      <c r="R828" s="36" t="str">
        <f ca="1">IFERROR(__xludf.DUMMYFUNCTION("""COMPUTED_VALUE"""),"")</f>
        <v/>
      </c>
      <c r="S828" s="36" t="str">
        <f ca="1">IFERROR(__xludf.DUMMYFUNCTION("""COMPUTED_VALUE"""),"")</f>
        <v/>
      </c>
      <c r="T828" s="36" t="str">
        <f ca="1">IFERROR(__xludf.DUMMYFUNCTION("""COMPUTED_VALUE"""),"")</f>
        <v/>
      </c>
      <c r="U828" s="36" t="str">
        <f ca="1">IFERROR(__xludf.DUMMYFUNCTION("""COMPUTED_VALUE"""),"")</f>
        <v/>
      </c>
      <c r="V828" s="36" t="str">
        <f ca="1">IFERROR(__xludf.DUMMYFUNCTION("""COMPUTED_VALUE"""),"")</f>
        <v/>
      </c>
      <c r="W828" s="36" t="str">
        <f ca="1">IFERROR(__xludf.DUMMYFUNCTION("""COMPUTED_VALUE"""),"")</f>
        <v/>
      </c>
      <c r="X828" s="36"/>
      <c r="Y828" s="36"/>
      <c r="Z828" s="36"/>
    </row>
    <row r="829" spans="1:26" ht="12.75" hidden="1">
      <c r="A829" s="36" t="str">
        <f ca="1">IFERROR(__xludf.DUMMYFUNCTION("""COMPUTED_VALUE"""),"")</f>
        <v/>
      </c>
      <c r="B829" s="36" t="str">
        <f ca="1">IFERROR(__xludf.DUMMYFUNCTION("""COMPUTED_VALUE"""),"")</f>
        <v/>
      </c>
      <c r="C829" s="36" t="str">
        <f ca="1">IFERROR(__xludf.DUMMYFUNCTION("""COMPUTED_VALUE"""),"")</f>
        <v/>
      </c>
      <c r="D829" s="36" t="str">
        <f ca="1">IFERROR(__xludf.DUMMYFUNCTION("""COMPUTED_VALUE"""),"")</f>
        <v/>
      </c>
      <c r="E829" s="36" t="str">
        <f ca="1">IFERROR(__xludf.DUMMYFUNCTION("""COMPUTED_VALUE"""),"")</f>
        <v/>
      </c>
      <c r="F829" s="36" t="str">
        <f ca="1">IFERROR(__xludf.DUMMYFUNCTION("""COMPUTED_VALUE"""),"")</f>
        <v/>
      </c>
      <c r="G829" s="36" t="str">
        <f ca="1">IFERROR(__xludf.DUMMYFUNCTION("""COMPUTED_VALUE"""),"")</f>
        <v/>
      </c>
      <c r="H829" s="36" t="str">
        <f ca="1">IFERROR(__xludf.DUMMYFUNCTION("""COMPUTED_VALUE"""),"")</f>
        <v/>
      </c>
      <c r="I829" s="36" t="str">
        <f ca="1">IFERROR(__xludf.DUMMYFUNCTION("""COMPUTED_VALUE"""),"")</f>
        <v/>
      </c>
      <c r="J829" s="36" t="str">
        <f ca="1">IFERROR(__xludf.DUMMYFUNCTION("""COMPUTED_VALUE"""),"")</f>
        <v/>
      </c>
      <c r="K829" s="36" t="str">
        <f ca="1">IFERROR(__xludf.DUMMYFUNCTION("""COMPUTED_VALUE"""),"")</f>
        <v/>
      </c>
      <c r="L829" s="36" t="str">
        <f ca="1">IFERROR(__xludf.DUMMYFUNCTION("""COMPUTED_VALUE"""),"")</f>
        <v/>
      </c>
      <c r="M829" s="36" t="str">
        <f ca="1">IFERROR(__xludf.DUMMYFUNCTION("""COMPUTED_VALUE"""),"")</f>
        <v/>
      </c>
      <c r="N829" s="36" t="str">
        <f ca="1">IFERROR(__xludf.DUMMYFUNCTION("""COMPUTED_VALUE"""),"")</f>
        <v/>
      </c>
      <c r="O829" s="36" t="str">
        <f ca="1">IFERROR(__xludf.DUMMYFUNCTION("""COMPUTED_VALUE"""),"")</f>
        <v/>
      </c>
      <c r="P829" s="36" t="str">
        <f ca="1">IFERROR(__xludf.DUMMYFUNCTION("""COMPUTED_VALUE"""),"")</f>
        <v/>
      </c>
      <c r="Q829" s="36" t="str">
        <f ca="1">IFERROR(__xludf.DUMMYFUNCTION("""COMPUTED_VALUE"""),"")</f>
        <v/>
      </c>
      <c r="R829" s="36" t="str">
        <f ca="1">IFERROR(__xludf.DUMMYFUNCTION("""COMPUTED_VALUE"""),"")</f>
        <v/>
      </c>
      <c r="S829" s="36" t="str">
        <f ca="1">IFERROR(__xludf.DUMMYFUNCTION("""COMPUTED_VALUE"""),"")</f>
        <v/>
      </c>
      <c r="T829" s="36" t="str">
        <f ca="1">IFERROR(__xludf.DUMMYFUNCTION("""COMPUTED_VALUE"""),"")</f>
        <v/>
      </c>
      <c r="U829" s="36" t="str">
        <f ca="1">IFERROR(__xludf.DUMMYFUNCTION("""COMPUTED_VALUE"""),"")</f>
        <v/>
      </c>
      <c r="V829" s="36" t="str">
        <f ca="1">IFERROR(__xludf.DUMMYFUNCTION("""COMPUTED_VALUE"""),"")</f>
        <v/>
      </c>
      <c r="W829" s="36" t="str">
        <f ca="1">IFERROR(__xludf.DUMMYFUNCTION("""COMPUTED_VALUE"""),"")</f>
        <v/>
      </c>
      <c r="X829" s="36"/>
      <c r="Y829" s="36"/>
      <c r="Z829" s="36"/>
    </row>
    <row r="830" spans="1:26" ht="12.75" hidden="1">
      <c r="A830" s="36" t="str">
        <f ca="1">IFERROR(__xludf.DUMMYFUNCTION("""COMPUTED_VALUE"""),"")</f>
        <v/>
      </c>
      <c r="B830" s="36" t="str">
        <f ca="1">IFERROR(__xludf.DUMMYFUNCTION("""COMPUTED_VALUE"""),"")</f>
        <v/>
      </c>
      <c r="C830" s="36" t="str">
        <f ca="1">IFERROR(__xludf.DUMMYFUNCTION("""COMPUTED_VALUE"""),"")</f>
        <v/>
      </c>
      <c r="D830" s="36" t="str">
        <f ca="1">IFERROR(__xludf.DUMMYFUNCTION("""COMPUTED_VALUE"""),"")</f>
        <v/>
      </c>
      <c r="E830" s="36" t="str">
        <f ca="1">IFERROR(__xludf.DUMMYFUNCTION("""COMPUTED_VALUE"""),"")</f>
        <v/>
      </c>
      <c r="F830" s="36" t="str">
        <f ca="1">IFERROR(__xludf.DUMMYFUNCTION("""COMPUTED_VALUE"""),"")</f>
        <v/>
      </c>
      <c r="G830" s="36" t="str">
        <f ca="1">IFERROR(__xludf.DUMMYFUNCTION("""COMPUTED_VALUE"""),"")</f>
        <v/>
      </c>
      <c r="H830" s="36" t="str">
        <f ca="1">IFERROR(__xludf.DUMMYFUNCTION("""COMPUTED_VALUE"""),"")</f>
        <v/>
      </c>
      <c r="I830" s="36" t="str">
        <f ca="1">IFERROR(__xludf.DUMMYFUNCTION("""COMPUTED_VALUE"""),"")</f>
        <v/>
      </c>
      <c r="J830" s="36" t="str">
        <f ca="1">IFERROR(__xludf.DUMMYFUNCTION("""COMPUTED_VALUE"""),"")</f>
        <v/>
      </c>
      <c r="K830" s="36" t="str">
        <f ca="1">IFERROR(__xludf.DUMMYFUNCTION("""COMPUTED_VALUE"""),"")</f>
        <v/>
      </c>
      <c r="L830" s="36" t="str">
        <f ca="1">IFERROR(__xludf.DUMMYFUNCTION("""COMPUTED_VALUE"""),"")</f>
        <v/>
      </c>
      <c r="M830" s="36" t="str">
        <f ca="1">IFERROR(__xludf.DUMMYFUNCTION("""COMPUTED_VALUE"""),"")</f>
        <v/>
      </c>
      <c r="N830" s="36" t="str">
        <f ca="1">IFERROR(__xludf.DUMMYFUNCTION("""COMPUTED_VALUE"""),"")</f>
        <v/>
      </c>
      <c r="O830" s="36" t="str">
        <f ca="1">IFERROR(__xludf.DUMMYFUNCTION("""COMPUTED_VALUE"""),"")</f>
        <v/>
      </c>
      <c r="P830" s="36" t="str">
        <f ca="1">IFERROR(__xludf.DUMMYFUNCTION("""COMPUTED_VALUE"""),"")</f>
        <v/>
      </c>
      <c r="Q830" s="36" t="str">
        <f ca="1">IFERROR(__xludf.DUMMYFUNCTION("""COMPUTED_VALUE"""),"")</f>
        <v/>
      </c>
      <c r="R830" s="36" t="str">
        <f ca="1">IFERROR(__xludf.DUMMYFUNCTION("""COMPUTED_VALUE"""),"")</f>
        <v/>
      </c>
      <c r="S830" s="36" t="str">
        <f ca="1">IFERROR(__xludf.DUMMYFUNCTION("""COMPUTED_VALUE"""),"")</f>
        <v/>
      </c>
      <c r="T830" s="36" t="str">
        <f ca="1">IFERROR(__xludf.DUMMYFUNCTION("""COMPUTED_VALUE"""),"")</f>
        <v/>
      </c>
      <c r="U830" s="36" t="str">
        <f ca="1">IFERROR(__xludf.DUMMYFUNCTION("""COMPUTED_VALUE"""),"")</f>
        <v/>
      </c>
      <c r="V830" s="36" t="str">
        <f ca="1">IFERROR(__xludf.DUMMYFUNCTION("""COMPUTED_VALUE"""),"")</f>
        <v/>
      </c>
      <c r="W830" s="36" t="str">
        <f ca="1">IFERROR(__xludf.DUMMYFUNCTION("""COMPUTED_VALUE"""),"")</f>
        <v/>
      </c>
      <c r="X830" s="36"/>
      <c r="Y830" s="36"/>
      <c r="Z830" s="36"/>
    </row>
    <row r="831" spans="1:26" ht="12.75" hidden="1">
      <c r="A831" s="36" t="str">
        <f ca="1">IFERROR(__xludf.DUMMYFUNCTION("""COMPUTED_VALUE"""),"")</f>
        <v/>
      </c>
      <c r="B831" s="36" t="str">
        <f ca="1">IFERROR(__xludf.DUMMYFUNCTION("""COMPUTED_VALUE"""),"")</f>
        <v/>
      </c>
      <c r="C831" s="36" t="str">
        <f ca="1">IFERROR(__xludf.DUMMYFUNCTION("""COMPUTED_VALUE"""),"")</f>
        <v/>
      </c>
      <c r="D831" s="36" t="str">
        <f ca="1">IFERROR(__xludf.DUMMYFUNCTION("""COMPUTED_VALUE"""),"")</f>
        <v/>
      </c>
      <c r="E831" s="36" t="str">
        <f ca="1">IFERROR(__xludf.DUMMYFUNCTION("""COMPUTED_VALUE"""),"")</f>
        <v/>
      </c>
      <c r="F831" s="36" t="str">
        <f ca="1">IFERROR(__xludf.DUMMYFUNCTION("""COMPUTED_VALUE"""),"")</f>
        <v/>
      </c>
      <c r="G831" s="36" t="str">
        <f ca="1">IFERROR(__xludf.DUMMYFUNCTION("""COMPUTED_VALUE"""),"")</f>
        <v/>
      </c>
      <c r="H831" s="36" t="str">
        <f ca="1">IFERROR(__xludf.DUMMYFUNCTION("""COMPUTED_VALUE"""),"")</f>
        <v/>
      </c>
      <c r="I831" s="36" t="str">
        <f ca="1">IFERROR(__xludf.DUMMYFUNCTION("""COMPUTED_VALUE"""),"")</f>
        <v/>
      </c>
      <c r="J831" s="36" t="str">
        <f ca="1">IFERROR(__xludf.DUMMYFUNCTION("""COMPUTED_VALUE"""),"")</f>
        <v/>
      </c>
      <c r="K831" s="36" t="str">
        <f ca="1">IFERROR(__xludf.DUMMYFUNCTION("""COMPUTED_VALUE"""),"")</f>
        <v/>
      </c>
      <c r="L831" s="36" t="str">
        <f ca="1">IFERROR(__xludf.DUMMYFUNCTION("""COMPUTED_VALUE"""),"")</f>
        <v/>
      </c>
      <c r="M831" s="36" t="str">
        <f ca="1">IFERROR(__xludf.DUMMYFUNCTION("""COMPUTED_VALUE"""),"")</f>
        <v/>
      </c>
      <c r="N831" s="36" t="str">
        <f ca="1">IFERROR(__xludf.DUMMYFUNCTION("""COMPUTED_VALUE"""),"")</f>
        <v/>
      </c>
      <c r="O831" s="36" t="str">
        <f ca="1">IFERROR(__xludf.DUMMYFUNCTION("""COMPUTED_VALUE"""),"")</f>
        <v/>
      </c>
      <c r="P831" s="36" t="str">
        <f ca="1">IFERROR(__xludf.DUMMYFUNCTION("""COMPUTED_VALUE"""),"")</f>
        <v/>
      </c>
      <c r="Q831" s="36" t="str">
        <f ca="1">IFERROR(__xludf.DUMMYFUNCTION("""COMPUTED_VALUE"""),"")</f>
        <v/>
      </c>
      <c r="R831" s="36" t="str">
        <f ca="1">IFERROR(__xludf.DUMMYFUNCTION("""COMPUTED_VALUE"""),"")</f>
        <v/>
      </c>
      <c r="S831" s="36" t="str">
        <f ca="1">IFERROR(__xludf.DUMMYFUNCTION("""COMPUTED_VALUE"""),"")</f>
        <v/>
      </c>
      <c r="T831" s="36" t="str">
        <f ca="1">IFERROR(__xludf.DUMMYFUNCTION("""COMPUTED_VALUE"""),"")</f>
        <v/>
      </c>
      <c r="U831" s="36" t="str">
        <f ca="1">IFERROR(__xludf.DUMMYFUNCTION("""COMPUTED_VALUE"""),"")</f>
        <v/>
      </c>
      <c r="V831" s="36" t="str">
        <f ca="1">IFERROR(__xludf.DUMMYFUNCTION("""COMPUTED_VALUE"""),"")</f>
        <v/>
      </c>
      <c r="W831" s="36" t="str">
        <f ca="1">IFERROR(__xludf.DUMMYFUNCTION("""COMPUTED_VALUE"""),"")</f>
        <v/>
      </c>
      <c r="X831" s="36"/>
      <c r="Y831" s="36"/>
      <c r="Z831" s="36"/>
    </row>
    <row r="832" spans="1:26" ht="12.75" hidden="1">
      <c r="A832" s="36" t="str">
        <f ca="1">IFERROR(__xludf.DUMMYFUNCTION("""COMPUTED_VALUE"""),"")</f>
        <v/>
      </c>
      <c r="B832" s="36" t="str">
        <f ca="1">IFERROR(__xludf.DUMMYFUNCTION("""COMPUTED_VALUE"""),"")</f>
        <v/>
      </c>
      <c r="C832" s="36" t="str">
        <f ca="1">IFERROR(__xludf.DUMMYFUNCTION("""COMPUTED_VALUE"""),"")</f>
        <v/>
      </c>
      <c r="D832" s="36" t="str">
        <f ca="1">IFERROR(__xludf.DUMMYFUNCTION("""COMPUTED_VALUE"""),"")</f>
        <v/>
      </c>
      <c r="E832" s="36" t="str">
        <f ca="1">IFERROR(__xludf.DUMMYFUNCTION("""COMPUTED_VALUE"""),"")</f>
        <v/>
      </c>
      <c r="F832" s="36" t="str">
        <f ca="1">IFERROR(__xludf.DUMMYFUNCTION("""COMPUTED_VALUE"""),"")</f>
        <v/>
      </c>
      <c r="G832" s="36" t="str">
        <f ca="1">IFERROR(__xludf.DUMMYFUNCTION("""COMPUTED_VALUE"""),"")</f>
        <v/>
      </c>
      <c r="H832" s="36" t="str">
        <f ca="1">IFERROR(__xludf.DUMMYFUNCTION("""COMPUTED_VALUE"""),"")</f>
        <v/>
      </c>
      <c r="I832" s="36" t="str">
        <f ca="1">IFERROR(__xludf.DUMMYFUNCTION("""COMPUTED_VALUE"""),"")</f>
        <v/>
      </c>
      <c r="J832" s="36" t="str">
        <f ca="1">IFERROR(__xludf.DUMMYFUNCTION("""COMPUTED_VALUE"""),"")</f>
        <v/>
      </c>
      <c r="K832" s="36" t="str">
        <f ca="1">IFERROR(__xludf.DUMMYFUNCTION("""COMPUTED_VALUE"""),"")</f>
        <v/>
      </c>
      <c r="L832" s="36" t="str">
        <f ca="1">IFERROR(__xludf.DUMMYFUNCTION("""COMPUTED_VALUE"""),"")</f>
        <v/>
      </c>
      <c r="M832" s="36" t="str">
        <f ca="1">IFERROR(__xludf.DUMMYFUNCTION("""COMPUTED_VALUE"""),"")</f>
        <v/>
      </c>
      <c r="N832" s="36" t="str">
        <f ca="1">IFERROR(__xludf.DUMMYFUNCTION("""COMPUTED_VALUE"""),"")</f>
        <v/>
      </c>
      <c r="O832" s="36" t="str">
        <f ca="1">IFERROR(__xludf.DUMMYFUNCTION("""COMPUTED_VALUE"""),"")</f>
        <v/>
      </c>
      <c r="P832" s="36" t="str">
        <f ca="1">IFERROR(__xludf.DUMMYFUNCTION("""COMPUTED_VALUE"""),"")</f>
        <v/>
      </c>
      <c r="Q832" s="36" t="str">
        <f ca="1">IFERROR(__xludf.DUMMYFUNCTION("""COMPUTED_VALUE"""),"")</f>
        <v/>
      </c>
      <c r="R832" s="36" t="str">
        <f ca="1">IFERROR(__xludf.DUMMYFUNCTION("""COMPUTED_VALUE"""),"")</f>
        <v/>
      </c>
      <c r="S832" s="36" t="str">
        <f ca="1">IFERROR(__xludf.DUMMYFUNCTION("""COMPUTED_VALUE"""),"")</f>
        <v/>
      </c>
      <c r="T832" s="36" t="str">
        <f ca="1">IFERROR(__xludf.DUMMYFUNCTION("""COMPUTED_VALUE"""),"")</f>
        <v/>
      </c>
      <c r="U832" s="36" t="str">
        <f ca="1">IFERROR(__xludf.DUMMYFUNCTION("""COMPUTED_VALUE"""),"")</f>
        <v/>
      </c>
      <c r="V832" s="36" t="str">
        <f ca="1">IFERROR(__xludf.DUMMYFUNCTION("""COMPUTED_VALUE"""),"")</f>
        <v/>
      </c>
      <c r="W832" s="36" t="str">
        <f ca="1">IFERROR(__xludf.DUMMYFUNCTION("""COMPUTED_VALUE"""),"")</f>
        <v/>
      </c>
      <c r="X832" s="36"/>
      <c r="Y832" s="36"/>
      <c r="Z832" s="36"/>
    </row>
    <row r="833" spans="1:26" ht="12.75" hidden="1">
      <c r="A833" s="36" t="str">
        <f ca="1">IFERROR(__xludf.DUMMYFUNCTION("""COMPUTED_VALUE"""),"")</f>
        <v/>
      </c>
      <c r="B833" s="36" t="str">
        <f ca="1">IFERROR(__xludf.DUMMYFUNCTION("""COMPUTED_VALUE"""),"")</f>
        <v/>
      </c>
      <c r="C833" s="36" t="str">
        <f ca="1">IFERROR(__xludf.DUMMYFUNCTION("""COMPUTED_VALUE"""),"")</f>
        <v/>
      </c>
      <c r="D833" s="36" t="str">
        <f ca="1">IFERROR(__xludf.DUMMYFUNCTION("""COMPUTED_VALUE"""),"")</f>
        <v/>
      </c>
      <c r="E833" s="36" t="str">
        <f ca="1">IFERROR(__xludf.DUMMYFUNCTION("""COMPUTED_VALUE"""),"")</f>
        <v/>
      </c>
      <c r="F833" s="36" t="str">
        <f ca="1">IFERROR(__xludf.DUMMYFUNCTION("""COMPUTED_VALUE"""),"")</f>
        <v/>
      </c>
      <c r="G833" s="36" t="str">
        <f ca="1">IFERROR(__xludf.DUMMYFUNCTION("""COMPUTED_VALUE"""),"")</f>
        <v/>
      </c>
      <c r="H833" s="36" t="str">
        <f ca="1">IFERROR(__xludf.DUMMYFUNCTION("""COMPUTED_VALUE"""),"")</f>
        <v/>
      </c>
      <c r="I833" s="36" t="str">
        <f ca="1">IFERROR(__xludf.DUMMYFUNCTION("""COMPUTED_VALUE"""),"")</f>
        <v/>
      </c>
      <c r="J833" s="36" t="str">
        <f ca="1">IFERROR(__xludf.DUMMYFUNCTION("""COMPUTED_VALUE"""),"")</f>
        <v/>
      </c>
      <c r="K833" s="36" t="str">
        <f ca="1">IFERROR(__xludf.DUMMYFUNCTION("""COMPUTED_VALUE"""),"")</f>
        <v/>
      </c>
      <c r="L833" s="36" t="str">
        <f ca="1">IFERROR(__xludf.DUMMYFUNCTION("""COMPUTED_VALUE"""),"")</f>
        <v/>
      </c>
      <c r="M833" s="36" t="str">
        <f ca="1">IFERROR(__xludf.DUMMYFUNCTION("""COMPUTED_VALUE"""),"")</f>
        <v/>
      </c>
      <c r="N833" s="36" t="str">
        <f ca="1">IFERROR(__xludf.DUMMYFUNCTION("""COMPUTED_VALUE"""),"")</f>
        <v/>
      </c>
      <c r="O833" s="36" t="str">
        <f ca="1">IFERROR(__xludf.DUMMYFUNCTION("""COMPUTED_VALUE"""),"")</f>
        <v/>
      </c>
      <c r="P833" s="36" t="str">
        <f ca="1">IFERROR(__xludf.DUMMYFUNCTION("""COMPUTED_VALUE"""),"")</f>
        <v/>
      </c>
      <c r="Q833" s="36" t="str">
        <f ca="1">IFERROR(__xludf.DUMMYFUNCTION("""COMPUTED_VALUE"""),"")</f>
        <v/>
      </c>
      <c r="R833" s="36" t="str">
        <f ca="1">IFERROR(__xludf.DUMMYFUNCTION("""COMPUTED_VALUE"""),"")</f>
        <v/>
      </c>
      <c r="S833" s="36" t="str">
        <f ca="1">IFERROR(__xludf.DUMMYFUNCTION("""COMPUTED_VALUE"""),"")</f>
        <v/>
      </c>
      <c r="T833" s="36" t="str">
        <f ca="1">IFERROR(__xludf.DUMMYFUNCTION("""COMPUTED_VALUE"""),"")</f>
        <v/>
      </c>
      <c r="U833" s="36" t="str">
        <f ca="1">IFERROR(__xludf.DUMMYFUNCTION("""COMPUTED_VALUE"""),"")</f>
        <v/>
      </c>
      <c r="V833" s="36" t="str">
        <f ca="1">IFERROR(__xludf.DUMMYFUNCTION("""COMPUTED_VALUE"""),"")</f>
        <v/>
      </c>
      <c r="W833" s="36" t="str">
        <f ca="1">IFERROR(__xludf.DUMMYFUNCTION("""COMPUTED_VALUE"""),"")</f>
        <v/>
      </c>
      <c r="X833" s="36"/>
      <c r="Y833" s="36"/>
      <c r="Z833" s="36"/>
    </row>
    <row r="834" spans="1:26" ht="12.75" hidden="1">
      <c r="A834" s="36" t="str">
        <f ca="1">IFERROR(__xludf.DUMMYFUNCTION("""COMPUTED_VALUE"""),"")</f>
        <v/>
      </c>
      <c r="B834" s="36" t="str">
        <f ca="1">IFERROR(__xludf.DUMMYFUNCTION("""COMPUTED_VALUE"""),"")</f>
        <v/>
      </c>
      <c r="C834" s="36" t="str">
        <f ca="1">IFERROR(__xludf.DUMMYFUNCTION("""COMPUTED_VALUE"""),"")</f>
        <v/>
      </c>
      <c r="D834" s="36" t="str">
        <f ca="1">IFERROR(__xludf.DUMMYFUNCTION("""COMPUTED_VALUE"""),"")</f>
        <v/>
      </c>
      <c r="E834" s="36" t="str">
        <f ca="1">IFERROR(__xludf.DUMMYFUNCTION("""COMPUTED_VALUE"""),"")</f>
        <v/>
      </c>
      <c r="F834" s="36" t="str">
        <f ca="1">IFERROR(__xludf.DUMMYFUNCTION("""COMPUTED_VALUE"""),"")</f>
        <v/>
      </c>
      <c r="G834" s="36" t="str">
        <f ca="1">IFERROR(__xludf.DUMMYFUNCTION("""COMPUTED_VALUE"""),"")</f>
        <v/>
      </c>
      <c r="H834" s="36" t="str">
        <f ca="1">IFERROR(__xludf.DUMMYFUNCTION("""COMPUTED_VALUE"""),"")</f>
        <v/>
      </c>
      <c r="I834" s="36" t="str">
        <f ca="1">IFERROR(__xludf.DUMMYFUNCTION("""COMPUTED_VALUE"""),"")</f>
        <v/>
      </c>
      <c r="J834" s="36" t="str">
        <f ca="1">IFERROR(__xludf.DUMMYFUNCTION("""COMPUTED_VALUE"""),"")</f>
        <v/>
      </c>
      <c r="K834" s="36" t="str">
        <f ca="1">IFERROR(__xludf.DUMMYFUNCTION("""COMPUTED_VALUE"""),"")</f>
        <v/>
      </c>
      <c r="L834" s="36" t="str">
        <f ca="1">IFERROR(__xludf.DUMMYFUNCTION("""COMPUTED_VALUE"""),"")</f>
        <v/>
      </c>
      <c r="M834" s="36" t="str">
        <f ca="1">IFERROR(__xludf.DUMMYFUNCTION("""COMPUTED_VALUE"""),"")</f>
        <v/>
      </c>
      <c r="N834" s="36" t="str">
        <f ca="1">IFERROR(__xludf.DUMMYFUNCTION("""COMPUTED_VALUE"""),"")</f>
        <v/>
      </c>
      <c r="O834" s="36" t="str">
        <f ca="1">IFERROR(__xludf.DUMMYFUNCTION("""COMPUTED_VALUE"""),"")</f>
        <v/>
      </c>
      <c r="P834" s="36" t="str">
        <f ca="1">IFERROR(__xludf.DUMMYFUNCTION("""COMPUTED_VALUE"""),"")</f>
        <v/>
      </c>
      <c r="Q834" s="36" t="str">
        <f ca="1">IFERROR(__xludf.DUMMYFUNCTION("""COMPUTED_VALUE"""),"")</f>
        <v/>
      </c>
      <c r="R834" s="36" t="str">
        <f ca="1">IFERROR(__xludf.DUMMYFUNCTION("""COMPUTED_VALUE"""),"")</f>
        <v/>
      </c>
      <c r="S834" s="36" t="str">
        <f ca="1">IFERROR(__xludf.DUMMYFUNCTION("""COMPUTED_VALUE"""),"")</f>
        <v/>
      </c>
      <c r="T834" s="36" t="str">
        <f ca="1">IFERROR(__xludf.DUMMYFUNCTION("""COMPUTED_VALUE"""),"")</f>
        <v/>
      </c>
      <c r="U834" s="36" t="str">
        <f ca="1">IFERROR(__xludf.DUMMYFUNCTION("""COMPUTED_VALUE"""),"")</f>
        <v/>
      </c>
      <c r="V834" s="36" t="str">
        <f ca="1">IFERROR(__xludf.DUMMYFUNCTION("""COMPUTED_VALUE"""),"")</f>
        <v/>
      </c>
      <c r="W834" s="36" t="str">
        <f ca="1">IFERROR(__xludf.DUMMYFUNCTION("""COMPUTED_VALUE"""),"")</f>
        <v/>
      </c>
      <c r="X834" s="36"/>
      <c r="Y834" s="36"/>
      <c r="Z834" s="36"/>
    </row>
    <row r="835" spans="1:26" ht="12.75" hidden="1">
      <c r="A835" s="36" t="str">
        <f ca="1">IFERROR(__xludf.DUMMYFUNCTION("""COMPUTED_VALUE"""),"")</f>
        <v/>
      </c>
      <c r="B835" s="36" t="str">
        <f ca="1">IFERROR(__xludf.DUMMYFUNCTION("""COMPUTED_VALUE"""),"")</f>
        <v/>
      </c>
      <c r="C835" s="36" t="str">
        <f ca="1">IFERROR(__xludf.DUMMYFUNCTION("""COMPUTED_VALUE"""),"")</f>
        <v/>
      </c>
      <c r="D835" s="36" t="str">
        <f ca="1">IFERROR(__xludf.DUMMYFUNCTION("""COMPUTED_VALUE"""),"")</f>
        <v/>
      </c>
      <c r="E835" s="36" t="str">
        <f ca="1">IFERROR(__xludf.DUMMYFUNCTION("""COMPUTED_VALUE"""),"")</f>
        <v/>
      </c>
      <c r="F835" s="36" t="str">
        <f ca="1">IFERROR(__xludf.DUMMYFUNCTION("""COMPUTED_VALUE"""),"")</f>
        <v/>
      </c>
      <c r="G835" s="36" t="str">
        <f ca="1">IFERROR(__xludf.DUMMYFUNCTION("""COMPUTED_VALUE"""),"")</f>
        <v/>
      </c>
      <c r="H835" s="36" t="str">
        <f ca="1">IFERROR(__xludf.DUMMYFUNCTION("""COMPUTED_VALUE"""),"")</f>
        <v/>
      </c>
      <c r="I835" s="36" t="str">
        <f ca="1">IFERROR(__xludf.DUMMYFUNCTION("""COMPUTED_VALUE"""),"")</f>
        <v/>
      </c>
      <c r="J835" s="36" t="str">
        <f ca="1">IFERROR(__xludf.DUMMYFUNCTION("""COMPUTED_VALUE"""),"")</f>
        <v/>
      </c>
      <c r="K835" s="36" t="str">
        <f ca="1">IFERROR(__xludf.DUMMYFUNCTION("""COMPUTED_VALUE"""),"")</f>
        <v/>
      </c>
      <c r="L835" s="36" t="str">
        <f ca="1">IFERROR(__xludf.DUMMYFUNCTION("""COMPUTED_VALUE"""),"")</f>
        <v/>
      </c>
      <c r="M835" s="36" t="str">
        <f ca="1">IFERROR(__xludf.DUMMYFUNCTION("""COMPUTED_VALUE"""),"")</f>
        <v/>
      </c>
      <c r="N835" s="36" t="str">
        <f ca="1">IFERROR(__xludf.DUMMYFUNCTION("""COMPUTED_VALUE"""),"")</f>
        <v/>
      </c>
      <c r="O835" s="36" t="str">
        <f ca="1">IFERROR(__xludf.DUMMYFUNCTION("""COMPUTED_VALUE"""),"")</f>
        <v/>
      </c>
      <c r="P835" s="36" t="str">
        <f ca="1">IFERROR(__xludf.DUMMYFUNCTION("""COMPUTED_VALUE"""),"")</f>
        <v/>
      </c>
      <c r="Q835" s="36" t="str">
        <f ca="1">IFERROR(__xludf.DUMMYFUNCTION("""COMPUTED_VALUE"""),"")</f>
        <v/>
      </c>
      <c r="R835" s="36" t="str">
        <f ca="1">IFERROR(__xludf.DUMMYFUNCTION("""COMPUTED_VALUE"""),"")</f>
        <v/>
      </c>
      <c r="S835" s="36" t="str">
        <f ca="1">IFERROR(__xludf.DUMMYFUNCTION("""COMPUTED_VALUE"""),"")</f>
        <v/>
      </c>
      <c r="T835" s="36" t="str">
        <f ca="1">IFERROR(__xludf.DUMMYFUNCTION("""COMPUTED_VALUE"""),"")</f>
        <v/>
      </c>
      <c r="U835" s="36" t="str">
        <f ca="1">IFERROR(__xludf.DUMMYFUNCTION("""COMPUTED_VALUE"""),"")</f>
        <v/>
      </c>
      <c r="V835" s="36" t="str">
        <f ca="1">IFERROR(__xludf.DUMMYFUNCTION("""COMPUTED_VALUE"""),"")</f>
        <v/>
      </c>
      <c r="W835" s="36" t="str">
        <f ca="1">IFERROR(__xludf.DUMMYFUNCTION("""COMPUTED_VALUE"""),"")</f>
        <v/>
      </c>
      <c r="X835" s="36"/>
      <c r="Y835" s="36"/>
      <c r="Z835" s="36"/>
    </row>
    <row r="836" spans="1:26" ht="12.75" hidden="1">
      <c r="A836" s="36" t="str">
        <f ca="1">IFERROR(__xludf.DUMMYFUNCTION("""COMPUTED_VALUE"""),"")</f>
        <v/>
      </c>
      <c r="B836" s="36" t="str">
        <f ca="1">IFERROR(__xludf.DUMMYFUNCTION("""COMPUTED_VALUE"""),"")</f>
        <v/>
      </c>
      <c r="C836" s="36" t="str">
        <f ca="1">IFERROR(__xludf.DUMMYFUNCTION("""COMPUTED_VALUE"""),"")</f>
        <v/>
      </c>
      <c r="D836" s="36" t="str">
        <f ca="1">IFERROR(__xludf.DUMMYFUNCTION("""COMPUTED_VALUE"""),"")</f>
        <v/>
      </c>
      <c r="E836" s="36" t="str">
        <f ca="1">IFERROR(__xludf.DUMMYFUNCTION("""COMPUTED_VALUE"""),"")</f>
        <v/>
      </c>
      <c r="F836" s="36" t="str">
        <f ca="1">IFERROR(__xludf.DUMMYFUNCTION("""COMPUTED_VALUE"""),"")</f>
        <v/>
      </c>
      <c r="G836" s="36" t="str">
        <f ca="1">IFERROR(__xludf.DUMMYFUNCTION("""COMPUTED_VALUE"""),"")</f>
        <v/>
      </c>
      <c r="H836" s="36" t="str">
        <f ca="1">IFERROR(__xludf.DUMMYFUNCTION("""COMPUTED_VALUE"""),"")</f>
        <v/>
      </c>
      <c r="I836" s="36" t="str">
        <f ca="1">IFERROR(__xludf.DUMMYFUNCTION("""COMPUTED_VALUE"""),"")</f>
        <v/>
      </c>
      <c r="J836" s="36" t="str">
        <f ca="1">IFERROR(__xludf.DUMMYFUNCTION("""COMPUTED_VALUE"""),"")</f>
        <v/>
      </c>
      <c r="K836" s="36" t="str">
        <f ca="1">IFERROR(__xludf.DUMMYFUNCTION("""COMPUTED_VALUE"""),"")</f>
        <v/>
      </c>
      <c r="L836" s="36" t="str">
        <f ca="1">IFERROR(__xludf.DUMMYFUNCTION("""COMPUTED_VALUE"""),"")</f>
        <v/>
      </c>
      <c r="M836" s="36" t="str">
        <f ca="1">IFERROR(__xludf.DUMMYFUNCTION("""COMPUTED_VALUE"""),"")</f>
        <v/>
      </c>
      <c r="N836" s="36" t="str">
        <f ca="1">IFERROR(__xludf.DUMMYFUNCTION("""COMPUTED_VALUE"""),"")</f>
        <v/>
      </c>
      <c r="O836" s="36" t="str">
        <f ca="1">IFERROR(__xludf.DUMMYFUNCTION("""COMPUTED_VALUE"""),"")</f>
        <v/>
      </c>
      <c r="P836" s="36" t="str">
        <f ca="1">IFERROR(__xludf.DUMMYFUNCTION("""COMPUTED_VALUE"""),"")</f>
        <v/>
      </c>
      <c r="Q836" s="36" t="str">
        <f ca="1">IFERROR(__xludf.DUMMYFUNCTION("""COMPUTED_VALUE"""),"")</f>
        <v/>
      </c>
      <c r="R836" s="36" t="str">
        <f ca="1">IFERROR(__xludf.DUMMYFUNCTION("""COMPUTED_VALUE"""),"")</f>
        <v/>
      </c>
      <c r="S836" s="36" t="str">
        <f ca="1">IFERROR(__xludf.DUMMYFUNCTION("""COMPUTED_VALUE"""),"")</f>
        <v/>
      </c>
      <c r="T836" s="36" t="str">
        <f ca="1">IFERROR(__xludf.DUMMYFUNCTION("""COMPUTED_VALUE"""),"")</f>
        <v/>
      </c>
      <c r="U836" s="36" t="str">
        <f ca="1">IFERROR(__xludf.DUMMYFUNCTION("""COMPUTED_VALUE"""),"")</f>
        <v/>
      </c>
      <c r="V836" s="36" t="str">
        <f ca="1">IFERROR(__xludf.DUMMYFUNCTION("""COMPUTED_VALUE"""),"")</f>
        <v/>
      </c>
      <c r="W836" s="36" t="str">
        <f ca="1">IFERROR(__xludf.DUMMYFUNCTION("""COMPUTED_VALUE"""),"")</f>
        <v/>
      </c>
      <c r="X836" s="36"/>
      <c r="Y836" s="36"/>
      <c r="Z836" s="36"/>
    </row>
    <row r="837" spans="1:26" ht="12.75" hidden="1">
      <c r="A837" s="36" t="str">
        <f ca="1">IFERROR(__xludf.DUMMYFUNCTION("""COMPUTED_VALUE"""),"")</f>
        <v/>
      </c>
      <c r="B837" s="36" t="str">
        <f ca="1">IFERROR(__xludf.DUMMYFUNCTION("""COMPUTED_VALUE"""),"")</f>
        <v/>
      </c>
      <c r="C837" s="36" t="str">
        <f ca="1">IFERROR(__xludf.DUMMYFUNCTION("""COMPUTED_VALUE"""),"")</f>
        <v/>
      </c>
      <c r="D837" s="36" t="str">
        <f ca="1">IFERROR(__xludf.DUMMYFUNCTION("""COMPUTED_VALUE"""),"")</f>
        <v/>
      </c>
      <c r="E837" s="36" t="str">
        <f ca="1">IFERROR(__xludf.DUMMYFUNCTION("""COMPUTED_VALUE"""),"")</f>
        <v/>
      </c>
      <c r="F837" s="36" t="str">
        <f ca="1">IFERROR(__xludf.DUMMYFUNCTION("""COMPUTED_VALUE"""),"")</f>
        <v/>
      </c>
      <c r="G837" s="36" t="str">
        <f ca="1">IFERROR(__xludf.DUMMYFUNCTION("""COMPUTED_VALUE"""),"")</f>
        <v/>
      </c>
      <c r="H837" s="36" t="str">
        <f ca="1">IFERROR(__xludf.DUMMYFUNCTION("""COMPUTED_VALUE"""),"")</f>
        <v/>
      </c>
      <c r="I837" s="36" t="str">
        <f ca="1">IFERROR(__xludf.DUMMYFUNCTION("""COMPUTED_VALUE"""),"")</f>
        <v/>
      </c>
      <c r="J837" s="36" t="str">
        <f ca="1">IFERROR(__xludf.DUMMYFUNCTION("""COMPUTED_VALUE"""),"")</f>
        <v/>
      </c>
      <c r="K837" s="36" t="str">
        <f ca="1">IFERROR(__xludf.DUMMYFUNCTION("""COMPUTED_VALUE"""),"")</f>
        <v/>
      </c>
      <c r="L837" s="36" t="str">
        <f ca="1">IFERROR(__xludf.DUMMYFUNCTION("""COMPUTED_VALUE"""),"")</f>
        <v/>
      </c>
      <c r="M837" s="36" t="str">
        <f ca="1">IFERROR(__xludf.DUMMYFUNCTION("""COMPUTED_VALUE"""),"")</f>
        <v/>
      </c>
      <c r="N837" s="36" t="str">
        <f ca="1">IFERROR(__xludf.DUMMYFUNCTION("""COMPUTED_VALUE"""),"")</f>
        <v/>
      </c>
      <c r="O837" s="36" t="str">
        <f ca="1">IFERROR(__xludf.DUMMYFUNCTION("""COMPUTED_VALUE"""),"")</f>
        <v/>
      </c>
      <c r="P837" s="36" t="str">
        <f ca="1">IFERROR(__xludf.DUMMYFUNCTION("""COMPUTED_VALUE"""),"")</f>
        <v/>
      </c>
      <c r="Q837" s="36" t="str">
        <f ca="1">IFERROR(__xludf.DUMMYFUNCTION("""COMPUTED_VALUE"""),"")</f>
        <v/>
      </c>
      <c r="R837" s="36" t="str">
        <f ca="1">IFERROR(__xludf.DUMMYFUNCTION("""COMPUTED_VALUE"""),"")</f>
        <v/>
      </c>
      <c r="S837" s="36" t="str">
        <f ca="1">IFERROR(__xludf.DUMMYFUNCTION("""COMPUTED_VALUE"""),"")</f>
        <v/>
      </c>
      <c r="T837" s="36" t="str">
        <f ca="1">IFERROR(__xludf.DUMMYFUNCTION("""COMPUTED_VALUE"""),"")</f>
        <v/>
      </c>
      <c r="U837" s="36" t="str">
        <f ca="1">IFERROR(__xludf.DUMMYFUNCTION("""COMPUTED_VALUE"""),"")</f>
        <v/>
      </c>
      <c r="V837" s="36" t="str">
        <f ca="1">IFERROR(__xludf.DUMMYFUNCTION("""COMPUTED_VALUE"""),"")</f>
        <v/>
      </c>
      <c r="W837" s="36" t="str">
        <f ca="1">IFERROR(__xludf.DUMMYFUNCTION("""COMPUTED_VALUE"""),"")</f>
        <v/>
      </c>
      <c r="X837" s="36"/>
      <c r="Y837" s="36"/>
      <c r="Z837" s="36"/>
    </row>
    <row r="838" spans="1:26" ht="12.75" hidden="1">
      <c r="A838" s="36" t="str">
        <f ca="1">IFERROR(__xludf.DUMMYFUNCTION("""COMPUTED_VALUE"""),"")</f>
        <v/>
      </c>
      <c r="B838" s="36" t="str">
        <f ca="1">IFERROR(__xludf.DUMMYFUNCTION("""COMPUTED_VALUE"""),"")</f>
        <v/>
      </c>
      <c r="C838" s="36" t="str">
        <f ca="1">IFERROR(__xludf.DUMMYFUNCTION("""COMPUTED_VALUE"""),"")</f>
        <v/>
      </c>
      <c r="D838" s="36" t="str">
        <f ca="1">IFERROR(__xludf.DUMMYFUNCTION("""COMPUTED_VALUE"""),"")</f>
        <v/>
      </c>
      <c r="E838" s="36" t="str">
        <f ca="1">IFERROR(__xludf.DUMMYFUNCTION("""COMPUTED_VALUE"""),"")</f>
        <v/>
      </c>
      <c r="F838" s="36" t="str">
        <f ca="1">IFERROR(__xludf.DUMMYFUNCTION("""COMPUTED_VALUE"""),"")</f>
        <v/>
      </c>
      <c r="G838" s="36" t="str">
        <f ca="1">IFERROR(__xludf.DUMMYFUNCTION("""COMPUTED_VALUE"""),"")</f>
        <v/>
      </c>
      <c r="H838" s="36" t="str">
        <f ca="1">IFERROR(__xludf.DUMMYFUNCTION("""COMPUTED_VALUE"""),"")</f>
        <v/>
      </c>
      <c r="I838" s="36" t="str">
        <f ca="1">IFERROR(__xludf.DUMMYFUNCTION("""COMPUTED_VALUE"""),"")</f>
        <v/>
      </c>
      <c r="J838" s="36" t="str">
        <f ca="1">IFERROR(__xludf.DUMMYFUNCTION("""COMPUTED_VALUE"""),"")</f>
        <v/>
      </c>
      <c r="K838" s="36" t="str">
        <f ca="1">IFERROR(__xludf.DUMMYFUNCTION("""COMPUTED_VALUE"""),"")</f>
        <v/>
      </c>
      <c r="L838" s="36" t="str">
        <f ca="1">IFERROR(__xludf.DUMMYFUNCTION("""COMPUTED_VALUE"""),"")</f>
        <v/>
      </c>
      <c r="M838" s="36" t="str">
        <f ca="1">IFERROR(__xludf.DUMMYFUNCTION("""COMPUTED_VALUE"""),"")</f>
        <v/>
      </c>
      <c r="N838" s="36" t="str">
        <f ca="1">IFERROR(__xludf.DUMMYFUNCTION("""COMPUTED_VALUE"""),"")</f>
        <v/>
      </c>
      <c r="O838" s="36" t="str">
        <f ca="1">IFERROR(__xludf.DUMMYFUNCTION("""COMPUTED_VALUE"""),"")</f>
        <v/>
      </c>
      <c r="P838" s="36" t="str">
        <f ca="1">IFERROR(__xludf.DUMMYFUNCTION("""COMPUTED_VALUE"""),"")</f>
        <v/>
      </c>
      <c r="Q838" s="36" t="str">
        <f ca="1">IFERROR(__xludf.DUMMYFUNCTION("""COMPUTED_VALUE"""),"")</f>
        <v/>
      </c>
      <c r="R838" s="36" t="str">
        <f ca="1">IFERROR(__xludf.DUMMYFUNCTION("""COMPUTED_VALUE"""),"")</f>
        <v/>
      </c>
      <c r="S838" s="36" t="str">
        <f ca="1">IFERROR(__xludf.DUMMYFUNCTION("""COMPUTED_VALUE"""),"")</f>
        <v/>
      </c>
      <c r="T838" s="36" t="str">
        <f ca="1">IFERROR(__xludf.DUMMYFUNCTION("""COMPUTED_VALUE"""),"")</f>
        <v/>
      </c>
      <c r="U838" s="36" t="str">
        <f ca="1">IFERROR(__xludf.DUMMYFUNCTION("""COMPUTED_VALUE"""),"")</f>
        <v/>
      </c>
      <c r="V838" s="36" t="str">
        <f ca="1">IFERROR(__xludf.DUMMYFUNCTION("""COMPUTED_VALUE"""),"")</f>
        <v/>
      </c>
      <c r="W838" s="36" t="str">
        <f ca="1">IFERROR(__xludf.DUMMYFUNCTION("""COMPUTED_VALUE"""),"")</f>
        <v/>
      </c>
      <c r="X838" s="36"/>
      <c r="Y838" s="36"/>
      <c r="Z838" s="36"/>
    </row>
    <row r="839" spans="1:26" ht="12.75" hidden="1">
      <c r="A839" s="36" t="str">
        <f ca="1">IFERROR(__xludf.DUMMYFUNCTION("""COMPUTED_VALUE"""),"")</f>
        <v/>
      </c>
      <c r="B839" s="36" t="str">
        <f ca="1">IFERROR(__xludf.DUMMYFUNCTION("""COMPUTED_VALUE"""),"")</f>
        <v/>
      </c>
      <c r="C839" s="36" t="str">
        <f ca="1">IFERROR(__xludf.DUMMYFUNCTION("""COMPUTED_VALUE"""),"")</f>
        <v/>
      </c>
      <c r="D839" s="36" t="str">
        <f ca="1">IFERROR(__xludf.DUMMYFUNCTION("""COMPUTED_VALUE"""),"")</f>
        <v/>
      </c>
      <c r="E839" s="36" t="str">
        <f ca="1">IFERROR(__xludf.DUMMYFUNCTION("""COMPUTED_VALUE"""),"")</f>
        <v/>
      </c>
      <c r="F839" s="36" t="str">
        <f ca="1">IFERROR(__xludf.DUMMYFUNCTION("""COMPUTED_VALUE"""),"")</f>
        <v/>
      </c>
      <c r="G839" s="36" t="str">
        <f ca="1">IFERROR(__xludf.DUMMYFUNCTION("""COMPUTED_VALUE"""),"")</f>
        <v/>
      </c>
      <c r="H839" s="36" t="str">
        <f ca="1">IFERROR(__xludf.DUMMYFUNCTION("""COMPUTED_VALUE"""),"")</f>
        <v/>
      </c>
      <c r="I839" s="36" t="str">
        <f ca="1">IFERROR(__xludf.DUMMYFUNCTION("""COMPUTED_VALUE"""),"")</f>
        <v/>
      </c>
      <c r="J839" s="36" t="str">
        <f ca="1">IFERROR(__xludf.DUMMYFUNCTION("""COMPUTED_VALUE"""),"")</f>
        <v/>
      </c>
      <c r="K839" s="36" t="str">
        <f ca="1">IFERROR(__xludf.DUMMYFUNCTION("""COMPUTED_VALUE"""),"")</f>
        <v/>
      </c>
      <c r="L839" s="36" t="str">
        <f ca="1">IFERROR(__xludf.DUMMYFUNCTION("""COMPUTED_VALUE"""),"")</f>
        <v/>
      </c>
      <c r="M839" s="36" t="str">
        <f ca="1">IFERROR(__xludf.DUMMYFUNCTION("""COMPUTED_VALUE"""),"")</f>
        <v/>
      </c>
      <c r="N839" s="36" t="str">
        <f ca="1">IFERROR(__xludf.DUMMYFUNCTION("""COMPUTED_VALUE"""),"")</f>
        <v/>
      </c>
      <c r="O839" s="36" t="str">
        <f ca="1">IFERROR(__xludf.DUMMYFUNCTION("""COMPUTED_VALUE"""),"")</f>
        <v/>
      </c>
      <c r="P839" s="36" t="str">
        <f ca="1">IFERROR(__xludf.DUMMYFUNCTION("""COMPUTED_VALUE"""),"")</f>
        <v/>
      </c>
      <c r="Q839" s="36" t="str">
        <f ca="1">IFERROR(__xludf.DUMMYFUNCTION("""COMPUTED_VALUE"""),"")</f>
        <v/>
      </c>
      <c r="R839" s="36" t="str">
        <f ca="1">IFERROR(__xludf.DUMMYFUNCTION("""COMPUTED_VALUE"""),"")</f>
        <v/>
      </c>
      <c r="S839" s="36" t="str">
        <f ca="1">IFERROR(__xludf.DUMMYFUNCTION("""COMPUTED_VALUE"""),"")</f>
        <v/>
      </c>
      <c r="T839" s="36" t="str">
        <f ca="1">IFERROR(__xludf.DUMMYFUNCTION("""COMPUTED_VALUE"""),"")</f>
        <v/>
      </c>
      <c r="U839" s="36" t="str">
        <f ca="1">IFERROR(__xludf.DUMMYFUNCTION("""COMPUTED_VALUE"""),"")</f>
        <v/>
      </c>
      <c r="V839" s="36" t="str">
        <f ca="1">IFERROR(__xludf.DUMMYFUNCTION("""COMPUTED_VALUE"""),"")</f>
        <v/>
      </c>
      <c r="W839" s="36" t="str">
        <f ca="1">IFERROR(__xludf.DUMMYFUNCTION("""COMPUTED_VALUE"""),"")</f>
        <v/>
      </c>
      <c r="X839" s="36"/>
      <c r="Y839" s="36"/>
      <c r="Z839" s="36"/>
    </row>
    <row r="840" spans="1:26" ht="12.75" hidden="1">
      <c r="A840" s="36" t="str">
        <f ca="1">IFERROR(__xludf.DUMMYFUNCTION("""COMPUTED_VALUE"""),"")</f>
        <v/>
      </c>
      <c r="B840" s="36" t="str">
        <f ca="1">IFERROR(__xludf.DUMMYFUNCTION("""COMPUTED_VALUE"""),"")</f>
        <v/>
      </c>
      <c r="C840" s="36" t="str">
        <f ca="1">IFERROR(__xludf.DUMMYFUNCTION("""COMPUTED_VALUE"""),"")</f>
        <v/>
      </c>
      <c r="D840" s="36" t="str">
        <f ca="1">IFERROR(__xludf.DUMMYFUNCTION("""COMPUTED_VALUE"""),"")</f>
        <v/>
      </c>
      <c r="E840" s="36" t="str">
        <f ca="1">IFERROR(__xludf.DUMMYFUNCTION("""COMPUTED_VALUE"""),"")</f>
        <v/>
      </c>
      <c r="F840" s="36" t="str">
        <f ca="1">IFERROR(__xludf.DUMMYFUNCTION("""COMPUTED_VALUE"""),"")</f>
        <v/>
      </c>
      <c r="G840" s="36" t="str">
        <f ca="1">IFERROR(__xludf.DUMMYFUNCTION("""COMPUTED_VALUE"""),"")</f>
        <v/>
      </c>
      <c r="H840" s="36" t="str">
        <f ca="1">IFERROR(__xludf.DUMMYFUNCTION("""COMPUTED_VALUE"""),"")</f>
        <v/>
      </c>
      <c r="I840" s="36" t="str">
        <f ca="1">IFERROR(__xludf.DUMMYFUNCTION("""COMPUTED_VALUE"""),"")</f>
        <v/>
      </c>
      <c r="J840" s="36" t="str">
        <f ca="1">IFERROR(__xludf.DUMMYFUNCTION("""COMPUTED_VALUE"""),"")</f>
        <v/>
      </c>
      <c r="K840" s="36" t="str">
        <f ca="1">IFERROR(__xludf.DUMMYFUNCTION("""COMPUTED_VALUE"""),"")</f>
        <v/>
      </c>
      <c r="L840" s="36" t="str">
        <f ca="1">IFERROR(__xludf.DUMMYFUNCTION("""COMPUTED_VALUE"""),"")</f>
        <v/>
      </c>
      <c r="M840" s="36" t="str">
        <f ca="1">IFERROR(__xludf.DUMMYFUNCTION("""COMPUTED_VALUE"""),"")</f>
        <v/>
      </c>
      <c r="N840" s="36" t="str">
        <f ca="1">IFERROR(__xludf.DUMMYFUNCTION("""COMPUTED_VALUE"""),"")</f>
        <v/>
      </c>
      <c r="O840" s="36" t="str">
        <f ca="1">IFERROR(__xludf.DUMMYFUNCTION("""COMPUTED_VALUE"""),"")</f>
        <v/>
      </c>
      <c r="P840" s="36" t="str">
        <f ca="1">IFERROR(__xludf.DUMMYFUNCTION("""COMPUTED_VALUE"""),"")</f>
        <v/>
      </c>
      <c r="Q840" s="36" t="str">
        <f ca="1">IFERROR(__xludf.DUMMYFUNCTION("""COMPUTED_VALUE"""),"")</f>
        <v/>
      </c>
      <c r="R840" s="36" t="str">
        <f ca="1">IFERROR(__xludf.DUMMYFUNCTION("""COMPUTED_VALUE"""),"")</f>
        <v/>
      </c>
      <c r="S840" s="36" t="str">
        <f ca="1">IFERROR(__xludf.DUMMYFUNCTION("""COMPUTED_VALUE"""),"")</f>
        <v/>
      </c>
      <c r="T840" s="36" t="str">
        <f ca="1">IFERROR(__xludf.DUMMYFUNCTION("""COMPUTED_VALUE"""),"")</f>
        <v/>
      </c>
      <c r="U840" s="36" t="str">
        <f ca="1">IFERROR(__xludf.DUMMYFUNCTION("""COMPUTED_VALUE"""),"")</f>
        <v/>
      </c>
      <c r="V840" s="36" t="str">
        <f ca="1">IFERROR(__xludf.DUMMYFUNCTION("""COMPUTED_VALUE"""),"")</f>
        <v/>
      </c>
      <c r="W840" s="36" t="str">
        <f ca="1">IFERROR(__xludf.DUMMYFUNCTION("""COMPUTED_VALUE"""),"")</f>
        <v/>
      </c>
      <c r="X840" s="36"/>
      <c r="Y840" s="36"/>
      <c r="Z840" s="36"/>
    </row>
    <row r="841" spans="1:26" ht="12.75" hidden="1">
      <c r="A841" s="36" t="str">
        <f ca="1">IFERROR(__xludf.DUMMYFUNCTION("""COMPUTED_VALUE"""),"")</f>
        <v/>
      </c>
      <c r="B841" s="36" t="str">
        <f ca="1">IFERROR(__xludf.DUMMYFUNCTION("""COMPUTED_VALUE"""),"")</f>
        <v/>
      </c>
      <c r="C841" s="36" t="str">
        <f ca="1">IFERROR(__xludf.DUMMYFUNCTION("""COMPUTED_VALUE"""),"")</f>
        <v/>
      </c>
      <c r="D841" s="36" t="str">
        <f ca="1">IFERROR(__xludf.DUMMYFUNCTION("""COMPUTED_VALUE"""),"")</f>
        <v/>
      </c>
      <c r="E841" s="36" t="str">
        <f ca="1">IFERROR(__xludf.DUMMYFUNCTION("""COMPUTED_VALUE"""),"")</f>
        <v/>
      </c>
      <c r="F841" s="36" t="str">
        <f ca="1">IFERROR(__xludf.DUMMYFUNCTION("""COMPUTED_VALUE"""),"")</f>
        <v/>
      </c>
      <c r="G841" s="36" t="str">
        <f ca="1">IFERROR(__xludf.DUMMYFUNCTION("""COMPUTED_VALUE"""),"")</f>
        <v/>
      </c>
      <c r="H841" s="36" t="str">
        <f ca="1">IFERROR(__xludf.DUMMYFUNCTION("""COMPUTED_VALUE"""),"")</f>
        <v/>
      </c>
      <c r="I841" s="36" t="str">
        <f ca="1">IFERROR(__xludf.DUMMYFUNCTION("""COMPUTED_VALUE"""),"")</f>
        <v/>
      </c>
      <c r="J841" s="36" t="str">
        <f ca="1">IFERROR(__xludf.DUMMYFUNCTION("""COMPUTED_VALUE"""),"")</f>
        <v/>
      </c>
      <c r="K841" s="36" t="str">
        <f ca="1">IFERROR(__xludf.DUMMYFUNCTION("""COMPUTED_VALUE"""),"")</f>
        <v/>
      </c>
      <c r="L841" s="36" t="str">
        <f ca="1">IFERROR(__xludf.DUMMYFUNCTION("""COMPUTED_VALUE"""),"")</f>
        <v/>
      </c>
      <c r="M841" s="36" t="str">
        <f ca="1">IFERROR(__xludf.DUMMYFUNCTION("""COMPUTED_VALUE"""),"")</f>
        <v/>
      </c>
      <c r="N841" s="36" t="str">
        <f ca="1">IFERROR(__xludf.DUMMYFUNCTION("""COMPUTED_VALUE"""),"")</f>
        <v/>
      </c>
      <c r="O841" s="36" t="str">
        <f ca="1">IFERROR(__xludf.DUMMYFUNCTION("""COMPUTED_VALUE"""),"")</f>
        <v/>
      </c>
      <c r="P841" s="36" t="str">
        <f ca="1">IFERROR(__xludf.DUMMYFUNCTION("""COMPUTED_VALUE"""),"")</f>
        <v/>
      </c>
      <c r="Q841" s="36" t="str">
        <f ca="1">IFERROR(__xludf.DUMMYFUNCTION("""COMPUTED_VALUE"""),"")</f>
        <v/>
      </c>
      <c r="R841" s="36" t="str">
        <f ca="1">IFERROR(__xludf.DUMMYFUNCTION("""COMPUTED_VALUE"""),"")</f>
        <v/>
      </c>
      <c r="S841" s="36" t="str">
        <f ca="1">IFERROR(__xludf.DUMMYFUNCTION("""COMPUTED_VALUE"""),"")</f>
        <v/>
      </c>
      <c r="T841" s="36" t="str">
        <f ca="1">IFERROR(__xludf.DUMMYFUNCTION("""COMPUTED_VALUE"""),"")</f>
        <v/>
      </c>
      <c r="U841" s="36" t="str">
        <f ca="1">IFERROR(__xludf.DUMMYFUNCTION("""COMPUTED_VALUE"""),"")</f>
        <v/>
      </c>
      <c r="V841" s="36" t="str">
        <f ca="1">IFERROR(__xludf.DUMMYFUNCTION("""COMPUTED_VALUE"""),"")</f>
        <v/>
      </c>
      <c r="W841" s="36" t="str">
        <f ca="1">IFERROR(__xludf.DUMMYFUNCTION("""COMPUTED_VALUE"""),"")</f>
        <v/>
      </c>
      <c r="X841" s="36"/>
      <c r="Y841" s="36"/>
      <c r="Z841" s="36"/>
    </row>
    <row r="842" spans="1:26" ht="12.75" hidden="1">
      <c r="A842" s="36" t="str">
        <f ca="1">IFERROR(__xludf.DUMMYFUNCTION("""COMPUTED_VALUE"""),"")</f>
        <v/>
      </c>
      <c r="B842" s="36" t="str">
        <f ca="1">IFERROR(__xludf.DUMMYFUNCTION("""COMPUTED_VALUE"""),"")</f>
        <v/>
      </c>
      <c r="C842" s="36" t="str">
        <f ca="1">IFERROR(__xludf.DUMMYFUNCTION("""COMPUTED_VALUE"""),"")</f>
        <v/>
      </c>
      <c r="D842" s="36" t="str">
        <f ca="1">IFERROR(__xludf.DUMMYFUNCTION("""COMPUTED_VALUE"""),"")</f>
        <v/>
      </c>
      <c r="E842" s="36" t="str">
        <f ca="1">IFERROR(__xludf.DUMMYFUNCTION("""COMPUTED_VALUE"""),"")</f>
        <v/>
      </c>
      <c r="F842" s="36" t="str">
        <f ca="1">IFERROR(__xludf.DUMMYFUNCTION("""COMPUTED_VALUE"""),"")</f>
        <v/>
      </c>
      <c r="G842" s="36" t="str">
        <f ca="1">IFERROR(__xludf.DUMMYFUNCTION("""COMPUTED_VALUE"""),"")</f>
        <v/>
      </c>
      <c r="H842" s="36" t="str">
        <f ca="1">IFERROR(__xludf.DUMMYFUNCTION("""COMPUTED_VALUE"""),"")</f>
        <v/>
      </c>
      <c r="I842" s="36" t="str">
        <f ca="1">IFERROR(__xludf.DUMMYFUNCTION("""COMPUTED_VALUE"""),"")</f>
        <v/>
      </c>
      <c r="J842" s="36" t="str">
        <f ca="1">IFERROR(__xludf.DUMMYFUNCTION("""COMPUTED_VALUE"""),"")</f>
        <v/>
      </c>
      <c r="K842" s="36" t="str">
        <f ca="1">IFERROR(__xludf.DUMMYFUNCTION("""COMPUTED_VALUE"""),"")</f>
        <v/>
      </c>
      <c r="L842" s="36" t="str">
        <f ca="1">IFERROR(__xludf.DUMMYFUNCTION("""COMPUTED_VALUE"""),"")</f>
        <v/>
      </c>
      <c r="M842" s="36" t="str">
        <f ca="1">IFERROR(__xludf.DUMMYFUNCTION("""COMPUTED_VALUE"""),"")</f>
        <v/>
      </c>
      <c r="N842" s="36" t="str">
        <f ca="1">IFERROR(__xludf.DUMMYFUNCTION("""COMPUTED_VALUE"""),"")</f>
        <v/>
      </c>
      <c r="O842" s="36" t="str">
        <f ca="1">IFERROR(__xludf.DUMMYFUNCTION("""COMPUTED_VALUE"""),"")</f>
        <v/>
      </c>
      <c r="P842" s="36" t="str">
        <f ca="1">IFERROR(__xludf.DUMMYFUNCTION("""COMPUTED_VALUE"""),"")</f>
        <v/>
      </c>
      <c r="Q842" s="36" t="str">
        <f ca="1">IFERROR(__xludf.DUMMYFUNCTION("""COMPUTED_VALUE"""),"")</f>
        <v/>
      </c>
      <c r="R842" s="36" t="str">
        <f ca="1">IFERROR(__xludf.DUMMYFUNCTION("""COMPUTED_VALUE"""),"")</f>
        <v/>
      </c>
      <c r="S842" s="36" t="str">
        <f ca="1">IFERROR(__xludf.DUMMYFUNCTION("""COMPUTED_VALUE"""),"")</f>
        <v/>
      </c>
      <c r="T842" s="36" t="str">
        <f ca="1">IFERROR(__xludf.DUMMYFUNCTION("""COMPUTED_VALUE"""),"")</f>
        <v/>
      </c>
      <c r="U842" s="36" t="str">
        <f ca="1">IFERROR(__xludf.DUMMYFUNCTION("""COMPUTED_VALUE"""),"")</f>
        <v/>
      </c>
      <c r="V842" s="36" t="str">
        <f ca="1">IFERROR(__xludf.DUMMYFUNCTION("""COMPUTED_VALUE"""),"")</f>
        <v/>
      </c>
      <c r="W842" s="36" t="str">
        <f ca="1">IFERROR(__xludf.DUMMYFUNCTION("""COMPUTED_VALUE"""),"")</f>
        <v/>
      </c>
      <c r="X842" s="36"/>
      <c r="Y842" s="36"/>
      <c r="Z842" s="36"/>
    </row>
    <row r="843" spans="1:26" ht="12.75" hidden="1">
      <c r="A843" s="36" t="str">
        <f ca="1">IFERROR(__xludf.DUMMYFUNCTION("""COMPUTED_VALUE"""),"")</f>
        <v/>
      </c>
      <c r="B843" s="36" t="str">
        <f ca="1">IFERROR(__xludf.DUMMYFUNCTION("""COMPUTED_VALUE"""),"")</f>
        <v/>
      </c>
      <c r="C843" s="36" t="str">
        <f ca="1">IFERROR(__xludf.DUMMYFUNCTION("""COMPUTED_VALUE"""),"")</f>
        <v/>
      </c>
      <c r="D843" s="36" t="str">
        <f ca="1">IFERROR(__xludf.DUMMYFUNCTION("""COMPUTED_VALUE"""),"")</f>
        <v/>
      </c>
      <c r="E843" s="36" t="str">
        <f ca="1">IFERROR(__xludf.DUMMYFUNCTION("""COMPUTED_VALUE"""),"")</f>
        <v/>
      </c>
      <c r="F843" s="36" t="str">
        <f ca="1">IFERROR(__xludf.DUMMYFUNCTION("""COMPUTED_VALUE"""),"")</f>
        <v/>
      </c>
      <c r="G843" s="36" t="str">
        <f ca="1">IFERROR(__xludf.DUMMYFUNCTION("""COMPUTED_VALUE"""),"")</f>
        <v/>
      </c>
      <c r="H843" s="36" t="str">
        <f ca="1">IFERROR(__xludf.DUMMYFUNCTION("""COMPUTED_VALUE"""),"")</f>
        <v/>
      </c>
      <c r="I843" s="36" t="str">
        <f ca="1">IFERROR(__xludf.DUMMYFUNCTION("""COMPUTED_VALUE"""),"")</f>
        <v/>
      </c>
      <c r="J843" s="36" t="str">
        <f ca="1">IFERROR(__xludf.DUMMYFUNCTION("""COMPUTED_VALUE"""),"")</f>
        <v/>
      </c>
      <c r="K843" s="36" t="str">
        <f ca="1">IFERROR(__xludf.DUMMYFUNCTION("""COMPUTED_VALUE"""),"")</f>
        <v/>
      </c>
      <c r="L843" s="36" t="str">
        <f ca="1">IFERROR(__xludf.DUMMYFUNCTION("""COMPUTED_VALUE"""),"")</f>
        <v/>
      </c>
      <c r="M843" s="36" t="str">
        <f ca="1">IFERROR(__xludf.DUMMYFUNCTION("""COMPUTED_VALUE"""),"")</f>
        <v/>
      </c>
      <c r="N843" s="36" t="str">
        <f ca="1">IFERROR(__xludf.DUMMYFUNCTION("""COMPUTED_VALUE"""),"")</f>
        <v/>
      </c>
      <c r="O843" s="36" t="str">
        <f ca="1">IFERROR(__xludf.DUMMYFUNCTION("""COMPUTED_VALUE"""),"")</f>
        <v/>
      </c>
      <c r="P843" s="36" t="str">
        <f ca="1">IFERROR(__xludf.DUMMYFUNCTION("""COMPUTED_VALUE"""),"")</f>
        <v/>
      </c>
      <c r="Q843" s="36" t="str">
        <f ca="1">IFERROR(__xludf.DUMMYFUNCTION("""COMPUTED_VALUE"""),"")</f>
        <v/>
      </c>
      <c r="R843" s="36" t="str">
        <f ca="1">IFERROR(__xludf.DUMMYFUNCTION("""COMPUTED_VALUE"""),"")</f>
        <v/>
      </c>
      <c r="S843" s="36" t="str">
        <f ca="1">IFERROR(__xludf.DUMMYFUNCTION("""COMPUTED_VALUE"""),"")</f>
        <v/>
      </c>
      <c r="T843" s="36" t="str">
        <f ca="1">IFERROR(__xludf.DUMMYFUNCTION("""COMPUTED_VALUE"""),"")</f>
        <v/>
      </c>
      <c r="U843" s="36" t="str">
        <f ca="1">IFERROR(__xludf.DUMMYFUNCTION("""COMPUTED_VALUE"""),"")</f>
        <v/>
      </c>
      <c r="V843" s="36" t="str">
        <f ca="1">IFERROR(__xludf.DUMMYFUNCTION("""COMPUTED_VALUE"""),"")</f>
        <v/>
      </c>
      <c r="W843" s="36" t="str">
        <f ca="1">IFERROR(__xludf.DUMMYFUNCTION("""COMPUTED_VALUE"""),"")</f>
        <v/>
      </c>
      <c r="X843" s="36"/>
      <c r="Y843" s="36"/>
      <c r="Z843" s="36"/>
    </row>
    <row r="844" spans="1:26" ht="12.75" hidden="1">
      <c r="A844" s="36" t="str">
        <f ca="1">IFERROR(__xludf.DUMMYFUNCTION("""COMPUTED_VALUE"""),"")</f>
        <v/>
      </c>
      <c r="B844" s="36" t="str">
        <f ca="1">IFERROR(__xludf.DUMMYFUNCTION("""COMPUTED_VALUE"""),"")</f>
        <v/>
      </c>
      <c r="C844" s="36" t="str">
        <f ca="1">IFERROR(__xludf.DUMMYFUNCTION("""COMPUTED_VALUE"""),"")</f>
        <v/>
      </c>
      <c r="D844" s="36" t="str">
        <f ca="1">IFERROR(__xludf.DUMMYFUNCTION("""COMPUTED_VALUE"""),"")</f>
        <v/>
      </c>
      <c r="E844" s="36" t="str">
        <f ca="1">IFERROR(__xludf.DUMMYFUNCTION("""COMPUTED_VALUE"""),"")</f>
        <v/>
      </c>
      <c r="F844" s="36" t="str">
        <f ca="1">IFERROR(__xludf.DUMMYFUNCTION("""COMPUTED_VALUE"""),"")</f>
        <v/>
      </c>
      <c r="G844" s="36" t="str">
        <f ca="1">IFERROR(__xludf.DUMMYFUNCTION("""COMPUTED_VALUE"""),"")</f>
        <v/>
      </c>
      <c r="H844" s="36" t="str">
        <f ca="1">IFERROR(__xludf.DUMMYFUNCTION("""COMPUTED_VALUE"""),"")</f>
        <v/>
      </c>
      <c r="I844" s="36" t="str">
        <f ca="1">IFERROR(__xludf.DUMMYFUNCTION("""COMPUTED_VALUE"""),"")</f>
        <v/>
      </c>
      <c r="J844" s="36" t="str">
        <f ca="1">IFERROR(__xludf.DUMMYFUNCTION("""COMPUTED_VALUE"""),"")</f>
        <v/>
      </c>
      <c r="K844" s="36" t="str">
        <f ca="1">IFERROR(__xludf.DUMMYFUNCTION("""COMPUTED_VALUE"""),"")</f>
        <v/>
      </c>
      <c r="L844" s="36" t="str">
        <f ca="1">IFERROR(__xludf.DUMMYFUNCTION("""COMPUTED_VALUE"""),"")</f>
        <v/>
      </c>
      <c r="M844" s="36" t="str">
        <f ca="1">IFERROR(__xludf.DUMMYFUNCTION("""COMPUTED_VALUE"""),"")</f>
        <v/>
      </c>
      <c r="N844" s="36" t="str">
        <f ca="1">IFERROR(__xludf.DUMMYFUNCTION("""COMPUTED_VALUE"""),"")</f>
        <v/>
      </c>
      <c r="O844" s="36" t="str">
        <f ca="1">IFERROR(__xludf.DUMMYFUNCTION("""COMPUTED_VALUE"""),"")</f>
        <v/>
      </c>
      <c r="P844" s="36" t="str">
        <f ca="1">IFERROR(__xludf.DUMMYFUNCTION("""COMPUTED_VALUE"""),"")</f>
        <v/>
      </c>
      <c r="Q844" s="36" t="str">
        <f ca="1">IFERROR(__xludf.DUMMYFUNCTION("""COMPUTED_VALUE"""),"")</f>
        <v/>
      </c>
      <c r="R844" s="36" t="str">
        <f ca="1">IFERROR(__xludf.DUMMYFUNCTION("""COMPUTED_VALUE"""),"")</f>
        <v/>
      </c>
      <c r="S844" s="36" t="str">
        <f ca="1">IFERROR(__xludf.DUMMYFUNCTION("""COMPUTED_VALUE"""),"")</f>
        <v/>
      </c>
      <c r="T844" s="36" t="str">
        <f ca="1">IFERROR(__xludf.DUMMYFUNCTION("""COMPUTED_VALUE"""),"")</f>
        <v/>
      </c>
      <c r="U844" s="36" t="str">
        <f ca="1">IFERROR(__xludf.DUMMYFUNCTION("""COMPUTED_VALUE"""),"")</f>
        <v/>
      </c>
      <c r="V844" s="36" t="str">
        <f ca="1">IFERROR(__xludf.DUMMYFUNCTION("""COMPUTED_VALUE"""),"")</f>
        <v/>
      </c>
      <c r="W844" s="36" t="str">
        <f ca="1">IFERROR(__xludf.DUMMYFUNCTION("""COMPUTED_VALUE"""),"")</f>
        <v/>
      </c>
      <c r="X844" s="36"/>
      <c r="Y844" s="36"/>
      <c r="Z844" s="36"/>
    </row>
    <row r="845" spans="1:26" ht="12.75" hidden="1">
      <c r="A845" s="36" t="str">
        <f ca="1">IFERROR(__xludf.DUMMYFUNCTION("""COMPUTED_VALUE"""),"")</f>
        <v/>
      </c>
      <c r="B845" s="36" t="str">
        <f ca="1">IFERROR(__xludf.DUMMYFUNCTION("""COMPUTED_VALUE"""),"")</f>
        <v/>
      </c>
      <c r="C845" s="36" t="str">
        <f ca="1">IFERROR(__xludf.DUMMYFUNCTION("""COMPUTED_VALUE"""),"")</f>
        <v/>
      </c>
      <c r="D845" s="36" t="str">
        <f ca="1">IFERROR(__xludf.DUMMYFUNCTION("""COMPUTED_VALUE"""),"")</f>
        <v/>
      </c>
      <c r="E845" s="36" t="str">
        <f ca="1">IFERROR(__xludf.DUMMYFUNCTION("""COMPUTED_VALUE"""),"")</f>
        <v/>
      </c>
      <c r="F845" s="36" t="str">
        <f ca="1">IFERROR(__xludf.DUMMYFUNCTION("""COMPUTED_VALUE"""),"")</f>
        <v/>
      </c>
      <c r="G845" s="36" t="str">
        <f ca="1">IFERROR(__xludf.DUMMYFUNCTION("""COMPUTED_VALUE"""),"")</f>
        <v/>
      </c>
      <c r="H845" s="36" t="str">
        <f ca="1">IFERROR(__xludf.DUMMYFUNCTION("""COMPUTED_VALUE"""),"")</f>
        <v/>
      </c>
      <c r="I845" s="36" t="str">
        <f ca="1">IFERROR(__xludf.DUMMYFUNCTION("""COMPUTED_VALUE"""),"")</f>
        <v/>
      </c>
      <c r="J845" s="36" t="str">
        <f ca="1">IFERROR(__xludf.DUMMYFUNCTION("""COMPUTED_VALUE"""),"")</f>
        <v/>
      </c>
      <c r="K845" s="36" t="str">
        <f ca="1">IFERROR(__xludf.DUMMYFUNCTION("""COMPUTED_VALUE"""),"")</f>
        <v/>
      </c>
      <c r="L845" s="36" t="str">
        <f ca="1">IFERROR(__xludf.DUMMYFUNCTION("""COMPUTED_VALUE"""),"")</f>
        <v/>
      </c>
      <c r="M845" s="36" t="str">
        <f ca="1">IFERROR(__xludf.DUMMYFUNCTION("""COMPUTED_VALUE"""),"")</f>
        <v/>
      </c>
      <c r="N845" s="36" t="str">
        <f ca="1">IFERROR(__xludf.DUMMYFUNCTION("""COMPUTED_VALUE"""),"")</f>
        <v/>
      </c>
      <c r="O845" s="36" t="str">
        <f ca="1">IFERROR(__xludf.DUMMYFUNCTION("""COMPUTED_VALUE"""),"")</f>
        <v/>
      </c>
      <c r="P845" s="36" t="str">
        <f ca="1">IFERROR(__xludf.DUMMYFUNCTION("""COMPUTED_VALUE"""),"")</f>
        <v/>
      </c>
      <c r="Q845" s="36" t="str">
        <f ca="1">IFERROR(__xludf.DUMMYFUNCTION("""COMPUTED_VALUE"""),"")</f>
        <v/>
      </c>
      <c r="R845" s="36" t="str">
        <f ca="1">IFERROR(__xludf.DUMMYFUNCTION("""COMPUTED_VALUE"""),"")</f>
        <v/>
      </c>
      <c r="S845" s="36" t="str">
        <f ca="1">IFERROR(__xludf.DUMMYFUNCTION("""COMPUTED_VALUE"""),"")</f>
        <v/>
      </c>
      <c r="T845" s="36" t="str">
        <f ca="1">IFERROR(__xludf.DUMMYFUNCTION("""COMPUTED_VALUE"""),"")</f>
        <v/>
      </c>
      <c r="U845" s="36" t="str">
        <f ca="1">IFERROR(__xludf.DUMMYFUNCTION("""COMPUTED_VALUE"""),"")</f>
        <v/>
      </c>
      <c r="V845" s="36" t="str">
        <f ca="1">IFERROR(__xludf.DUMMYFUNCTION("""COMPUTED_VALUE"""),"")</f>
        <v/>
      </c>
      <c r="W845" s="36" t="str">
        <f ca="1">IFERROR(__xludf.DUMMYFUNCTION("""COMPUTED_VALUE"""),"")</f>
        <v/>
      </c>
      <c r="X845" s="36"/>
      <c r="Y845" s="36"/>
      <c r="Z845" s="36"/>
    </row>
    <row r="846" spans="1:26" ht="12.75" hidden="1">
      <c r="A846" s="36" t="str">
        <f ca="1">IFERROR(__xludf.DUMMYFUNCTION("""COMPUTED_VALUE"""),"")</f>
        <v/>
      </c>
      <c r="B846" s="36" t="str">
        <f ca="1">IFERROR(__xludf.DUMMYFUNCTION("""COMPUTED_VALUE"""),"")</f>
        <v/>
      </c>
      <c r="C846" s="36" t="str">
        <f ca="1">IFERROR(__xludf.DUMMYFUNCTION("""COMPUTED_VALUE"""),"")</f>
        <v/>
      </c>
      <c r="D846" s="36" t="str">
        <f ca="1">IFERROR(__xludf.DUMMYFUNCTION("""COMPUTED_VALUE"""),"")</f>
        <v/>
      </c>
      <c r="E846" s="36" t="str">
        <f ca="1">IFERROR(__xludf.DUMMYFUNCTION("""COMPUTED_VALUE"""),"")</f>
        <v/>
      </c>
      <c r="F846" s="36" t="str">
        <f ca="1">IFERROR(__xludf.DUMMYFUNCTION("""COMPUTED_VALUE"""),"")</f>
        <v/>
      </c>
      <c r="G846" s="36" t="str">
        <f ca="1">IFERROR(__xludf.DUMMYFUNCTION("""COMPUTED_VALUE"""),"")</f>
        <v/>
      </c>
      <c r="H846" s="36" t="str">
        <f ca="1">IFERROR(__xludf.DUMMYFUNCTION("""COMPUTED_VALUE"""),"")</f>
        <v/>
      </c>
      <c r="I846" s="36" t="str">
        <f ca="1">IFERROR(__xludf.DUMMYFUNCTION("""COMPUTED_VALUE"""),"")</f>
        <v/>
      </c>
      <c r="J846" s="36" t="str">
        <f ca="1">IFERROR(__xludf.DUMMYFUNCTION("""COMPUTED_VALUE"""),"")</f>
        <v/>
      </c>
      <c r="K846" s="36" t="str">
        <f ca="1">IFERROR(__xludf.DUMMYFUNCTION("""COMPUTED_VALUE"""),"")</f>
        <v/>
      </c>
      <c r="L846" s="36" t="str">
        <f ca="1">IFERROR(__xludf.DUMMYFUNCTION("""COMPUTED_VALUE"""),"")</f>
        <v/>
      </c>
      <c r="M846" s="36" t="str">
        <f ca="1">IFERROR(__xludf.DUMMYFUNCTION("""COMPUTED_VALUE"""),"")</f>
        <v/>
      </c>
      <c r="N846" s="36" t="str">
        <f ca="1">IFERROR(__xludf.DUMMYFUNCTION("""COMPUTED_VALUE"""),"")</f>
        <v/>
      </c>
      <c r="O846" s="36" t="str">
        <f ca="1">IFERROR(__xludf.DUMMYFUNCTION("""COMPUTED_VALUE"""),"")</f>
        <v/>
      </c>
      <c r="P846" s="36" t="str">
        <f ca="1">IFERROR(__xludf.DUMMYFUNCTION("""COMPUTED_VALUE"""),"")</f>
        <v/>
      </c>
      <c r="Q846" s="36" t="str">
        <f ca="1">IFERROR(__xludf.DUMMYFUNCTION("""COMPUTED_VALUE"""),"")</f>
        <v/>
      </c>
      <c r="R846" s="36" t="str">
        <f ca="1">IFERROR(__xludf.DUMMYFUNCTION("""COMPUTED_VALUE"""),"")</f>
        <v/>
      </c>
      <c r="S846" s="36" t="str">
        <f ca="1">IFERROR(__xludf.DUMMYFUNCTION("""COMPUTED_VALUE"""),"")</f>
        <v/>
      </c>
      <c r="T846" s="36" t="str">
        <f ca="1">IFERROR(__xludf.DUMMYFUNCTION("""COMPUTED_VALUE"""),"")</f>
        <v/>
      </c>
      <c r="U846" s="36" t="str">
        <f ca="1">IFERROR(__xludf.DUMMYFUNCTION("""COMPUTED_VALUE"""),"")</f>
        <v/>
      </c>
      <c r="V846" s="36" t="str">
        <f ca="1">IFERROR(__xludf.DUMMYFUNCTION("""COMPUTED_VALUE"""),"")</f>
        <v/>
      </c>
      <c r="W846" s="36" t="str">
        <f ca="1">IFERROR(__xludf.DUMMYFUNCTION("""COMPUTED_VALUE"""),"")</f>
        <v/>
      </c>
      <c r="X846" s="36"/>
      <c r="Y846" s="36"/>
      <c r="Z846" s="36"/>
    </row>
    <row r="847" spans="1:26" ht="12.75" hidden="1">
      <c r="A847" s="36" t="str">
        <f ca="1">IFERROR(__xludf.DUMMYFUNCTION("""COMPUTED_VALUE"""),"")</f>
        <v/>
      </c>
      <c r="B847" s="36" t="str">
        <f ca="1">IFERROR(__xludf.DUMMYFUNCTION("""COMPUTED_VALUE"""),"")</f>
        <v/>
      </c>
      <c r="C847" s="36" t="str">
        <f ca="1">IFERROR(__xludf.DUMMYFUNCTION("""COMPUTED_VALUE"""),"")</f>
        <v/>
      </c>
      <c r="D847" s="36" t="str">
        <f ca="1">IFERROR(__xludf.DUMMYFUNCTION("""COMPUTED_VALUE"""),"")</f>
        <v/>
      </c>
      <c r="E847" s="36" t="str">
        <f ca="1">IFERROR(__xludf.DUMMYFUNCTION("""COMPUTED_VALUE"""),"")</f>
        <v/>
      </c>
      <c r="F847" s="36" t="str">
        <f ca="1">IFERROR(__xludf.DUMMYFUNCTION("""COMPUTED_VALUE"""),"")</f>
        <v/>
      </c>
      <c r="G847" s="36" t="str">
        <f ca="1">IFERROR(__xludf.DUMMYFUNCTION("""COMPUTED_VALUE"""),"")</f>
        <v/>
      </c>
      <c r="H847" s="36" t="str">
        <f ca="1">IFERROR(__xludf.DUMMYFUNCTION("""COMPUTED_VALUE"""),"")</f>
        <v/>
      </c>
      <c r="I847" s="36" t="str">
        <f ca="1">IFERROR(__xludf.DUMMYFUNCTION("""COMPUTED_VALUE"""),"")</f>
        <v/>
      </c>
      <c r="J847" s="36" t="str">
        <f ca="1">IFERROR(__xludf.DUMMYFUNCTION("""COMPUTED_VALUE"""),"")</f>
        <v/>
      </c>
      <c r="K847" s="36" t="str">
        <f ca="1">IFERROR(__xludf.DUMMYFUNCTION("""COMPUTED_VALUE"""),"")</f>
        <v/>
      </c>
      <c r="L847" s="36" t="str">
        <f ca="1">IFERROR(__xludf.DUMMYFUNCTION("""COMPUTED_VALUE"""),"")</f>
        <v/>
      </c>
      <c r="M847" s="36" t="str">
        <f ca="1">IFERROR(__xludf.DUMMYFUNCTION("""COMPUTED_VALUE"""),"")</f>
        <v/>
      </c>
      <c r="N847" s="36" t="str">
        <f ca="1">IFERROR(__xludf.DUMMYFUNCTION("""COMPUTED_VALUE"""),"")</f>
        <v/>
      </c>
      <c r="O847" s="36" t="str">
        <f ca="1">IFERROR(__xludf.DUMMYFUNCTION("""COMPUTED_VALUE"""),"")</f>
        <v/>
      </c>
      <c r="P847" s="36" t="str">
        <f ca="1">IFERROR(__xludf.DUMMYFUNCTION("""COMPUTED_VALUE"""),"")</f>
        <v/>
      </c>
      <c r="Q847" s="36" t="str">
        <f ca="1">IFERROR(__xludf.DUMMYFUNCTION("""COMPUTED_VALUE"""),"")</f>
        <v/>
      </c>
      <c r="R847" s="36" t="str">
        <f ca="1">IFERROR(__xludf.DUMMYFUNCTION("""COMPUTED_VALUE"""),"")</f>
        <v/>
      </c>
      <c r="S847" s="36" t="str">
        <f ca="1">IFERROR(__xludf.DUMMYFUNCTION("""COMPUTED_VALUE"""),"")</f>
        <v/>
      </c>
      <c r="T847" s="36" t="str">
        <f ca="1">IFERROR(__xludf.DUMMYFUNCTION("""COMPUTED_VALUE"""),"")</f>
        <v/>
      </c>
      <c r="U847" s="36" t="str">
        <f ca="1">IFERROR(__xludf.DUMMYFUNCTION("""COMPUTED_VALUE"""),"")</f>
        <v/>
      </c>
      <c r="V847" s="36" t="str">
        <f ca="1">IFERROR(__xludf.DUMMYFUNCTION("""COMPUTED_VALUE"""),"")</f>
        <v/>
      </c>
      <c r="W847" s="36" t="str">
        <f ca="1">IFERROR(__xludf.DUMMYFUNCTION("""COMPUTED_VALUE"""),"")</f>
        <v/>
      </c>
      <c r="X847" s="36"/>
      <c r="Y847" s="36"/>
      <c r="Z847" s="36"/>
    </row>
    <row r="848" spans="1:26" ht="12.75" hidden="1">
      <c r="A848" s="36" t="str">
        <f ca="1">IFERROR(__xludf.DUMMYFUNCTION("""COMPUTED_VALUE"""),"")</f>
        <v/>
      </c>
      <c r="B848" s="36" t="str">
        <f ca="1">IFERROR(__xludf.DUMMYFUNCTION("""COMPUTED_VALUE"""),"")</f>
        <v/>
      </c>
      <c r="C848" s="36" t="str">
        <f ca="1">IFERROR(__xludf.DUMMYFUNCTION("""COMPUTED_VALUE"""),"")</f>
        <v/>
      </c>
      <c r="D848" s="36" t="str">
        <f ca="1">IFERROR(__xludf.DUMMYFUNCTION("""COMPUTED_VALUE"""),"")</f>
        <v/>
      </c>
      <c r="E848" s="36" t="str">
        <f ca="1">IFERROR(__xludf.DUMMYFUNCTION("""COMPUTED_VALUE"""),"")</f>
        <v/>
      </c>
      <c r="F848" s="36" t="str">
        <f ca="1">IFERROR(__xludf.DUMMYFUNCTION("""COMPUTED_VALUE"""),"")</f>
        <v/>
      </c>
      <c r="G848" s="36" t="str">
        <f ca="1">IFERROR(__xludf.DUMMYFUNCTION("""COMPUTED_VALUE"""),"")</f>
        <v/>
      </c>
      <c r="H848" s="36" t="str">
        <f ca="1">IFERROR(__xludf.DUMMYFUNCTION("""COMPUTED_VALUE"""),"")</f>
        <v/>
      </c>
      <c r="I848" s="36" t="str">
        <f ca="1">IFERROR(__xludf.DUMMYFUNCTION("""COMPUTED_VALUE"""),"")</f>
        <v/>
      </c>
      <c r="J848" s="36" t="str">
        <f ca="1">IFERROR(__xludf.DUMMYFUNCTION("""COMPUTED_VALUE"""),"")</f>
        <v/>
      </c>
      <c r="K848" s="36" t="str">
        <f ca="1">IFERROR(__xludf.DUMMYFUNCTION("""COMPUTED_VALUE"""),"")</f>
        <v/>
      </c>
      <c r="L848" s="36" t="str">
        <f ca="1">IFERROR(__xludf.DUMMYFUNCTION("""COMPUTED_VALUE"""),"")</f>
        <v/>
      </c>
      <c r="M848" s="36" t="str">
        <f ca="1">IFERROR(__xludf.DUMMYFUNCTION("""COMPUTED_VALUE"""),"")</f>
        <v/>
      </c>
      <c r="N848" s="36" t="str">
        <f ca="1">IFERROR(__xludf.DUMMYFUNCTION("""COMPUTED_VALUE"""),"")</f>
        <v/>
      </c>
      <c r="O848" s="36" t="str">
        <f ca="1">IFERROR(__xludf.DUMMYFUNCTION("""COMPUTED_VALUE"""),"")</f>
        <v/>
      </c>
      <c r="P848" s="36" t="str">
        <f ca="1">IFERROR(__xludf.DUMMYFUNCTION("""COMPUTED_VALUE"""),"")</f>
        <v/>
      </c>
      <c r="Q848" s="36" t="str">
        <f ca="1">IFERROR(__xludf.DUMMYFUNCTION("""COMPUTED_VALUE"""),"")</f>
        <v/>
      </c>
      <c r="R848" s="36" t="str">
        <f ca="1">IFERROR(__xludf.DUMMYFUNCTION("""COMPUTED_VALUE"""),"")</f>
        <v/>
      </c>
      <c r="S848" s="36" t="str">
        <f ca="1">IFERROR(__xludf.DUMMYFUNCTION("""COMPUTED_VALUE"""),"")</f>
        <v/>
      </c>
      <c r="T848" s="36" t="str">
        <f ca="1">IFERROR(__xludf.DUMMYFUNCTION("""COMPUTED_VALUE"""),"")</f>
        <v/>
      </c>
      <c r="U848" s="36" t="str">
        <f ca="1">IFERROR(__xludf.DUMMYFUNCTION("""COMPUTED_VALUE"""),"")</f>
        <v/>
      </c>
      <c r="V848" s="36" t="str">
        <f ca="1">IFERROR(__xludf.DUMMYFUNCTION("""COMPUTED_VALUE"""),"")</f>
        <v/>
      </c>
      <c r="W848" s="36" t="str">
        <f ca="1">IFERROR(__xludf.DUMMYFUNCTION("""COMPUTED_VALUE"""),"")</f>
        <v/>
      </c>
      <c r="X848" s="36"/>
      <c r="Y848" s="36"/>
      <c r="Z848" s="36"/>
    </row>
    <row r="849" spans="1:26" ht="12.75" hidden="1">
      <c r="A849" s="36" t="str">
        <f ca="1">IFERROR(__xludf.DUMMYFUNCTION("""COMPUTED_VALUE"""),"")</f>
        <v/>
      </c>
      <c r="B849" s="36" t="str">
        <f ca="1">IFERROR(__xludf.DUMMYFUNCTION("""COMPUTED_VALUE"""),"")</f>
        <v/>
      </c>
      <c r="C849" s="36" t="str">
        <f ca="1">IFERROR(__xludf.DUMMYFUNCTION("""COMPUTED_VALUE"""),"")</f>
        <v/>
      </c>
      <c r="D849" s="36" t="str">
        <f ca="1">IFERROR(__xludf.DUMMYFUNCTION("""COMPUTED_VALUE"""),"")</f>
        <v/>
      </c>
      <c r="E849" s="36" t="str">
        <f ca="1">IFERROR(__xludf.DUMMYFUNCTION("""COMPUTED_VALUE"""),"")</f>
        <v/>
      </c>
      <c r="F849" s="36" t="str">
        <f ca="1">IFERROR(__xludf.DUMMYFUNCTION("""COMPUTED_VALUE"""),"")</f>
        <v/>
      </c>
      <c r="G849" s="36" t="str">
        <f ca="1">IFERROR(__xludf.DUMMYFUNCTION("""COMPUTED_VALUE"""),"")</f>
        <v/>
      </c>
      <c r="H849" s="36" t="str">
        <f ca="1">IFERROR(__xludf.DUMMYFUNCTION("""COMPUTED_VALUE"""),"")</f>
        <v/>
      </c>
      <c r="I849" s="36" t="str">
        <f ca="1">IFERROR(__xludf.DUMMYFUNCTION("""COMPUTED_VALUE"""),"")</f>
        <v/>
      </c>
      <c r="J849" s="36" t="str">
        <f ca="1">IFERROR(__xludf.DUMMYFUNCTION("""COMPUTED_VALUE"""),"")</f>
        <v/>
      </c>
      <c r="K849" s="36" t="str">
        <f ca="1">IFERROR(__xludf.DUMMYFUNCTION("""COMPUTED_VALUE"""),"")</f>
        <v/>
      </c>
      <c r="L849" s="36" t="str">
        <f ca="1">IFERROR(__xludf.DUMMYFUNCTION("""COMPUTED_VALUE"""),"")</f>
        <v/>
      </c>
      <c r="M849" s="36" t="str">
        <f ca="1">IFERROR(__xludf.DUMMYFUNCTION("""COMPUTED_VALUE"""),"")</f>
        <v/>
      </c>
      <c r="N849" s="36" t="str">
        <f ca="1">IFERROR(__xludf.DUMMYFUNCTION("""COMPUTED_VALUE"""),"")</f>
        <v/>
      </c>
      <c r="O849" s="36" t="str">
        <f ca="1">IFERROR(__xludf.DUMMYFUNCTION("""COMPUTED_VALUE"""),"")</f>
        <v/>
      </c>
      <c r="P849" s="36" t="str">
        <f ca="1">IFERROR(__xludf.DUMMYFUNCTION("""COMPUTED_VALUE"""),"")</f>
        <v/>
      </c>
      <c r="Q849" s="36" t="str">
        <f ca="1">IFERROR(__xludf.DUMMYFUNCTION("""COMPUTED_VALUE"""),"")</f>
        <v/>
      </c>
      <c r="R849" s="36" t="str">
        <f ca="1">IFERROR(__xludf.DUMMYFUNCTION("""COMPUTED_VALUE"""),"")</f>
        <v/>
      </c>
      <c r="S849" s="36" t="str">
        <f ca="1">IFERROR(__xludf.DUMMYFUNCTION("""COMPUTED_VALUE"""),"")</f>
        <v/>
      </c>
      <c r="T849" s="36" t="str">
        <f ca="1">IFERROR(__xludf.DUMMYFUNCTION("""COMPUTED_VALUE"""),"")</f>
        <v/>
      </c>
      <c r="U849" s="36" t="str">
        <f ca="1">IFERROR(__xludf.DUMMYFUNCTION("""COMPUTED_VALUE"""),"")</f>
        <v/>
      </c>
      <c r="V849" s="36" t="str">
        <f ca="1">IFERROR(__xludf.DUMMYFUNCTION("""COMPUTED_VALUE"""),"")</f>
        <v/>
      </c>
      <c r="W849" s="36" t="str">
        <f ca="1">IFERROR(__xludf.DUMMYFUNCTION("""COMPUTED_VALUE"""),"")</f>
        <v/>
      </c>
      <c r="X849" s="36"/>
      <c r="Y849" s="36"/>
      <c r="Z849" s="36"/>
    </row>
    <row r="850" spans="1:26" ht="12.75" hidden="1">
      <c r="A850" s="36" t="str">
        <f ca="1">IFERROR(__xludf.DUMMYFUNCTION("""COMPUTED_VALUE"""),"")</f>
        <v/>
      </c>
      <c r="B850" s="36" t="str">
        <f ca="1">IFERROR(__xludf.DUMMYFUNCTION("""COMPUTED_VALUE"""),"")</f>
        <v/>
      </c>
      <c r="C850" s="36" t="str">
        <f ca="1">IFERROR(__xludf.DUMMYFUNCTION("""COMPUTED_VALUE"""),"")</f>
        <v/>
      </c>
      <c r="D850" s="36" t="str">
        <f ca="1">IFERROR(__xludf.DUMMYFUNCTION("""COMPUTED_VALUE"""),"")</f>
        <v/>
      </c>
      <c r="E850" s="36" t="str">
        <f ca="1">IFERROR(__xludf.DUMMYFUNCTION("""COMPUTED_VALUE"""),"")</f>
        <v/>
      </c>
      <c r="F850" s="36" t="str">
        <f ca="1">IFERROR(__xludf.DUMMYFUNCTION("""COMPUTED_VALUE"""),"")</f>
        <v/>
      </c>
      <c r="G850" s="36" t="str">
        <f ca="1">IFERROR(__xludf.DUMMYFUNCTION("""COMPUTED_VALUE"""),"")</f>
        <v/>
      </c>
      <c r="H850" s="36" t="str">
        <f ca="1">IFERROR(__xludf.DUMMYFUNCTION("""COMPUTED_VALUE"""),"")</f>
        <v/>
      </c>
      <c r="I850" s="36" t="str">
        <f ca="1">IFERROR(__xludf.DUMMYFUNCTION("""COMPUTED_VALUE"""),"")</f>
        <v/>
      </c>
      <c r="J850" s="36" t="str">
        <f ca="1">IFERROR(__xludf.DUMMYFUNCTION("""COMPUTED_VALUE"""),"")</f>
        <v/>
      </c>
      <c r="K850" s="36" t="str">
        <f ca="1">IFERROR(__xludf.DUMMYFUNCTION("""COMPUTED_VALUE"""),"")</f>
        <v/>
      </c>
      <c r="L850" s="36" t="str">
        <f ca="1">IFERROR(__xludf.DUMMYFUNCTION("""COMPUTED_VALUE"""),"")</f>
        <v/>
      </c>
      <c r="M850" s="36" t="str">
        <f ca="1">IFERROR(__xludf.DUMMYFUNCTION("""COMPUTED_VALUE"""),"")</f>
        <v/>
      </c>
      <c r="N850" s="36" t="str">
        <f ca="1">IFERROR(__xludf.DUMMYFUNCTION("""COMPUTED_VALUE"""),"")</f>
        <v/>
      </c>
      <c r="O850" s="36" t="str">
        <f ca="1">IFERROR(__xludf.DUMMYFUNCTION("""COMPUTED_VALUE"""),"")</f>
        <v/>
      </c>
      <c r="P850" s="36" t="str">
        <f ca="1">IFERROR(__xludf.DUMMYFUNCTION("""COMPUTED_VALUE"""),"")</f>
        <v/>
      </c>
      <c r="Q850" s="36" t="str">
        <f ca="1">IFERROR(__xludf.DUMMYFUNCTION("""COMPUTED_VALUE"""),"")</f>
        <v/>
      </c>
      <c r="R850" s="36" t="str">
        <f ca="1">IFERROR(__xludf.DUMMYFUNCTION("""COMPUTED_VALUE"""),"")</f>
        <v/>
      </c>
      <c r="S850" s="36" t="str">
        <f ca="1">IFERROR(__xludf.DUMMYFUNCTION("""COMPUTED_VALUE"""),"")</f>
        <v/>
      </c>
      <c r="T850" s="36" t="str">
        <f ca="1">IFERROR(__xludf.DUMMYFUNCTION("""COMPUTED_VALUE"""),"")</f>
        <v/>
      </c>
      <c r="U850" s="36" t="str">
        <f ca="1">IFERROR(__xludf.DUMMYFUNCTION("""COMPUTED_VALUE"""),"")</f>
        <v/>
      </c>
      <c r="V850" s="36" t="str">
        <f ca="1">IFERROR(__xludf.DUMMYFUNCTION("""COMPUTED_VALUE"""),"")</f>
        <v/>
      </c>
      <c r="W850" s="36" t="str">
        <f ca="1">IFERROR(__xludf.DUMMYFUNCTION("""COMPUTED_VALUE"""),"")</f>
        <v/>
      </c>
      <c r="X850" s="36"/>
      <c r="Y850" s="36"/>
      <c r="Z850" s="36"/>
    </row>
    <row r="851" spans="1:26" ht="12.75" hidden="1">
      <c r="A851" s="36" t="str">
        <f ca="1">IFERROR(__xludf.DUMMYFUNCTION("""COMPUTED_VALUE"""),"")</f>
        <v/>
      </c>
      <c r="B851" s="36" t="str">
        <f ca="1">IFERROR(__xludf.DUMMYFUNCTION("""COMPUTED_VALUE"""),"")</f>
        <v/>
      </c>
      <c r="C851" s="36" t="str">
        <f ca="1">IFERROR(__xludf.DUMMYFUNCTION("""COMPUTED_VALUE"""),"")</f>
        <v/>
      </c>
      <c r="D851" s="36" t="str">
        <f ca="1">IFERROR(__xludf.DUMMYFUNCTION("""COMPUTED_VALUE"""),"")</f>
        <v/>
      </c>
      <c r="E851" s="36" t="str">
        <f ca="1">IFERROR(__xludf.DUMMYFUNCTION("""COMPUTED_VALUE"""),"")</f>
        <v/>
      </c>
      <c r="F851" s="36" t="str">
        <f ca="1">IFERROR(__xludf.DUMMYFUNCTION("""COMPUTED_VALUE"""),"")</f>
        <v/>
      </c>
      <c r="G851" s="36" t="str">
        <f ca="1">IFERROR(__xludf.DUMMYFUNCTION("""COMPUTED_VALUE"""),"")</f>
        <v/>
      </c>
      <c r="H851" s="36" t="str">
        <f ca="1">IFERROR(__xludf.DUMMYFUNCTION("""COMPUTED_VALUE"""),"")</f>
        <v/>
      </c>
      <c r="I851" s="36" t="str">
        <f ca="1">IFERROR(__xludf.DUMMYFUNCTION("""COMPUTED_VALUE"""),"")</f>
        <v/>
      </c>
      <c r="J851" s="36" t="str">
        <f ca="1">IFERROR(__xludf.DUMMYFUNCTION("""COMPUTED_VALUE"""),"")</f>
        <v/>
      </c>
      <c r="K851" s="36" t="str">
        <f ca="1">IFERROR(__xludf.DUMMYFUNCTION("""COMPUTED_VALUE"""),"")</f>
        <v/>
      </c>
      <c r="L851" s="36" t="str">
        <f ca="1">IFERROR(__xludf.DUMMYFUNCTION("""COMPUTED_VALUE"""),"")</f>
        <v/>
      </c>
      <c r="M851" s="36" t="str">
        <f ca="1">IFERROR(__xludf.DUMMYFUNCTION("""COMPUTED_VALUE"""),"")</f>
        <v/>
      </c>
      <c r="N851" s="36" t="str">
        <f ca="1">IFERROR(__xludf.DUMMYFUNCTION("""COMPUTED_VALUE"""),"")</f>
        <v/>
      </c>
      <c r="O851" s="36" t="str">
        <f ca="1">IFERROR(__xludf.DUMMYFUNCTION("""COMPUTED_VALUE"""),"")</f>
        <v/>
      </c>
      <c r="P851" s="36" t="str">
        <f ca="1">IFERROR(__xludf.DUMMYFUNCTION("""COMPUTED_VALUE"""),"")</f>
        <v/>
      </c>
      <c r="Q851" s="36" t="str">
        <f ca="1">IFERROR(__xludf.DUMMYFUNCTION("""COMPUTED_VALUE"""),"")</f>
        <v/>
      </c>
      <c r="R851" s="36" t="str">
        <f ca="1">IFERROR(__xludf.DUMMYFUNCTION("""COMPUTED_VALUE"""),"")</f>
        <v/>
      </c>
      <c r="S851" s="36" t="str">
        <f ca="1">IFERROR(__xludf.DUMMYFUNCTION("""COMPUTED_VALUE"""),"")</f>
        <v/>
      </c>
      <c r="T851" s="36" t="str">
        <f ca="1">IFERROR(__xludf.DUMMYFUNCTION("""COMPUTED_VALUE"""),"")</f>
        <v/>
      </c>
      <c r="U851" s="36" t="str">
        <f ca="1">IFERROR(__xludf.DUMMYFUNCTION("""COMPUTED_VALUE"""),"")</f>
        <v/>
      </c>
      <c r="V851" s="36" t="str">
        <f ca="1">IFERROR(__xludf.DUMMYFUNCTION("""COMPUTED_VALUE"""),"")</f>
        <v/>
      </c>
      <c r="W851" s="36" t="str">
        <f ca="1">IFERROR(__xludf.DUMMYFUNCTION("""COMPUTED_VALUE"""),"")</f>
        <v/>
      </c>
      <c r="X851" s="36"/>
      <c r="Y851" s="36"/>
      <c r="Z851" s="36"/>
    </row>
    <row r="852" spans="1:26" ht="12.75" hidden="1">
      <c r="A852" s="36" t="str">
        <f ca="1">IFERROR(__xludf.DUMMYFUNCTION("""COMPUTED_VALUE"""),"")</f>
        <v/>
      </c>
      <c r="B852" s="36" t="str">
        <f ca="1">IFERROR(__xludf.DUMMYFUNCTION("""COMPUTED_VALUE"""),"")</f>
        <v/>
      </c>
      <c r="C852" s="36" t="str">
        <f ca="1">IFERROR(__xludf.DUMMYFUNCTION("""COMPUTED_VALUE"""),"")</f>
        <v/>
      </c>
      <c r="D852" s="36" t="str">
        <f ca="1">IFERROR(__xludf.DUMMYFUNCTION("""COMPUTED_VALUE"""),"")</f>
        <v/>
      </c>
      <c r="E852" s="36" t="str">
        <f ca="1">IFERROR(__xludf.DUMMYFUNCTION("""COMPUTED_VALUE"""),"")</f>
        <v/>
      </c>
      <c r="F852" s="36" t="str">
        <f ca="1">IFERROR(__xludf.DUMMYFUNCTION("""COMPUTED_VALUE"""),"")</f>
        <v/>
      </c>
      <c r="G852" s="36" t="str">
        <f ca="1">IFERROR(__xludf.DUMMYFUNCTION("""COMPUTED_VALUE"""),"")</f>
        <v/>
      </c>
      <c r="H852" s="36" t="str">
        <f ca="1">IFERROR(__xludf.DUMMYFUNCTION("""COMPUTED_VALUE"""),"")</f>
        <v/>
      </c>
      <c r="I852" s="36" t="str">
        <f ca="1">IFERROR(__xludf.DUMMYFUNCTION("""COMPUTED_VALUE"""),"")</f>
        <v/>
      </c>
      <c r="J852" s="36" t="str">
        <f ca="1">IFERROR(__xludf.DUMMYFUNCTION("""COMPUTED_VALUE"""),"")</f>
        <v/>
      </c>
      <c r="K852" s="36" t="str">
        <f ca="1">IFERROR(__xludf.DUMMYFUNCTION("""COMPUTED_VALUE"""),"")</f>
        <v/>
      </c>
      <c r="L852" s="36" t="str">
        <f ca="1">IFERROR(__xludf.DUMMYFUNCTION("""COMPUTED_VALUE"""),"")</f>
        <v/>
      </c>
      <c r="M852" s="36" t="str">
        <f ca="1">IFERROR(__xludf.DUMMYFUNCTION("""COMPUTED_VALUE"""),"")</f>
        <v/>
      </c>
      <c r="N852" s="36" t="str">
        <f ca="1">IFERROR(__xludf.DUMMYFUNCTION("""COMPUTED_VALUE"""),"")</f>
        <v/>
      </c>
      <c r="O852" s="36" t="str">
        <f ca="1">IFERROR(__xludf.DUMMYFUNCTION("""COMPUTED_VALUE"""),"")</f>
        <v/>
      </c>
      <c r="P852" s="36" t="str">
        <f ca="1">IFERROR(__xludf.DUMMYFUNCTION("""COMPUTED_VALUE"""),"")</f>
        <v/>
      </c>
      <c r="Q852" s="36" t="str">
        <f ca="1">IFERROR(__xludf.DUMMYFUNCTION("""COMPUTED_VALUE"""),"")</f>
        <v/>
      </c>
      <c r="R852" s="36" t="str">
        <f ca="1">IFERROR(__xludf.DUMMYFUNCTION("""COMPUTED_VALUE"""),"")</f>
        <v/>
      </c>
      <c r="S852" s="36" t="str">
        <f ca="1">IFERROR(__xludf.DUMMYFUNCTION("""COMPUTED_VALUE"""),"")</f>
        <v/>
      </c>
      <c r="T852" s="36" t="str">
        <f ca="1">IFERROR(__xludf.DUMMYFUNCTION("""COMPUTED_VALUE"""),"")</f>
        <v/>
      </c>
      <c r="U852" s="36" t="str">
        <f ca="1">IFERROR(__xludf.DUMMYFUNCTION("""COMPUTED_VALUE"""),"")</f>
        <v/>
      </c>
      <c r="V852" s="36" t="str">
        <f ca="1">IFERROR(__xludf.DUMMYFUNCTION("""COMPUTED_VALUE"""),"")</f>
        <v/>
      </c>
      <c r="W852" s="36" t="str">
        <f ca="1">IFERROR(__xludf.DUMMYFUNCTION("""COMPUTED_VALUE"""),"")</f>
        <v/>
      </c>
      <c r="X852" s="36"/>
      <c r="Y852" s="36"/>
      <c r="Z852" s="36"/>
    </row>
    <row r="853" spans="1:26" ht="12.75" hidden="1">
      <c r="A853" s="36" t="str">
        <f ca="1">IFERROR(__xludf.DUMMYFUNCTION("""COMPUTED_VALUE"""),"")</f>
        <v/>
      </c>
      <c r="B853" s="36" t="str">
        <f ca="1">IFERROR(__xludf.DUMMYFUNCTION("""COMPUTED_VALUE"""),"")</f>
        <v/>
      </c>
      <c r="C853" s="36" t="str">
        <f ca="1">IFERROR(__xludf.DUMMYFUNCTION("""COMPUTED_VALUE"""),"")</f>
        <v/>
      </c>
      <c r="D853" s="36" t="str">
        <f ca="1">IFERROR(__xludf.DUMMYFUNCTION("""COMPUTED_VALUE"""),"")</f>
        <v/>
      </c>
      <c r="E853" s="36" t="str">
        <f ca="1">IFERROR(__xludf.DUMMYFUNCTION("""COMPUTED_VALUE"""),"")</f>
        <v/>
      </c>
      <c r="F853" s="36" t="str">
        <f ca="1">IFERROR(__xludf.DUMMYFUNCTION("""COMPUTED_VALUE"""),"")</f>
        <v/>
      </c>
      <c r="G853" s="36" t="str">
        <f ca="1">IFERROR(__xludf.DUMMYFUNCTION("""COMPUTED_VALUE"""),"")</f>
        <v/>
      </c>
      <c r="H853" s="36" t="str">
        <f ca="1">IFERROR(__xludf.DUMMYFUNCTION("""COMPUTED_VALUE"""),"")</f>
        <v/>
      </c>
      <c r="I853" s="36" t="str">
        <f ca="1">IFERROR(__xludf.DUMMYFUNCTION("""COMPUTED_VALUE"""),"")</f>
        <v/>
      </c>
      <c r="J853" s="36" t="str">
        <f ca="1">IFERROR(__xludf.DUMMYFUNCTION("""COMPUTED_VALUE"""),"")</f>
        <v/>
      </c>
      <c r="K853" s="36" t="str">
        <f ca="1">IFERROR(__xludf.DUMMYFUNCTION("""COMPUTED_VALUE"""),"")</f>
        <v/>
      </c>
      <c r="L853" s="36" t="str">
        <f ca="1">IFERROR(__xludf.DUMMYFUNCTION("""COMPUTED_VALUE"""),"")</f>
        <v/>
      </c>
      <c r="M853" s="36" t="str">
        <f ca="1">IFERROR(__xludf.DUMMYFUNCTION("""COMPUTED_VALUE"""),"")</f>
        <v/>
      </c>
      <c r="N853" s="36" t="str">
        <f ca="1">IFERROR(__xludf.DUMMYFUNCTION("""COMPUTED_VALUE"""),"")</f>
        <v/>
      </c>
      <c r="O853" s="36" t="str">
        <f ca="1">IFERROR(__xludf.DUMMYFUNCTION("""COMPUTED_VALUE"""),"")</f>
        <v/>
      </c>
      <c r="P853" s="36" t="str">
        <f ca="1">IFERROR(__xludf.DUMMYFUNCTION("""COMPUTED_VALUE"""),"")</f>
        <v/>
      </c>
      <c r="Q853" s="36" t="str">
        <f ca="1">IFERROR(__xludf.DUMMYFUNCTION("""COMPUTED_VALUE"""),"")</f>
        <v/>
      </c>
      <c r="R853" s="36" t="str">
        <f ca="1">IFERROR(__xludf.DUMMYFUNCTION("""COMPUTED_VALUE"""),"")</f>
        <v/>
      </c>
      <c r="S853" s="36" t="str">
        <f ca="1">IFERROR(__xludf.DUMMYFUNCTION("""COMPUTED_VALUE"""),"")</f>
        <v/>
      </c>
      <c r="T853" s="36" t="str">
        <f ca="1">IFERROR(__xludf.DUMMYFUNCTION("""COMPUTED_VALUE"""),"")</f>
        <v/>
      </c>
      <c r="U853" s="36" t="str">
        <f ca="1">IFERROR(__xludf.DUMMYFUNCTION("""COMPUTED_VALUE"""),"")</f>
        <v/>
      </c>
      <c r="V853" s="36" t="str">
        <f ca="1">IFERROR(__xludf.DUMMYFUNCTION("""COMPUTED_VALUE"""),"")</f>
        <v/>
      </c>
      <c r="W853" s="36" t="str">
        <f ca="1">IFERROR(__xludf.DUMMYFUNCTION("""COMPUTED_VALUE"""),"")</f>
        <v/>
      </c>
      <c r="X853" s="36"/>
      <c r="Y853" s="36"/>
      <c r="Z853" s="36"/>
    </row>
    <row r="854" spans="1:26" ht="12.75" hidden="1">
      <c r="A854" s="36" t="str">
        <f ca="1">IFERROR(__xludf.DUMMYFUNCTION("""COMPUTED_VALUE"""),"")</f>
        <v/>
      </c>
      <c r="B854" s="36" t="str">
        <f ca="1">IFERROR(__xludf.DUMMYFUNCTION("""COMPUTED_VALUE"""),"")</f>
        <v/>
      </c>
      <c r="C854" s="36" t="str">
        <f ca="1">IFERROR(__xludf.DUMMYFUNCTION("""COMPUTED_VALUE"""),"")</f>
        <v/>
      </c>
      <c r="D854" s="36" t="str">
        <f ca="1">IFERROR(__xludf.DUMMYFUNCTION("""COMPUTED_VALUE"""),"")</f>
        <v/>
      </c>
      <c r="E854" s="36" t="str">
        <f ca="1">IFERROR(__xludf.DUMMYFUNCTION("""COMPUTED_VALUE"""),"")</f>
        <v/>
      </c>
      <c r="F854" s="36" t="str">
        <f ca="1">IFERROR(__xludf.DUMMYFUNCTION("""COMPUTED_VALUE"""),"")</f>
        <v/>
      </c>
      <c r="G854" s="36" t="str">
        <f ca="1">IFERROR(__xludf.DUMMYFUNCTION("""COMPUTED_VALUE"""),"")</f>
        <v/>
      </c>
      <c r="H854" s="36" t="str">
        <f ca="1">IFERROR(__xludf.DUMMYFUNCTION("""COMPUTED_VALUE"""),"")</f>
        <v/>
      </c>
      <c r="I854" s="36" t="str">
        <f ca="1">IFERROR(__xludf.DUMMYFUNCTION("""COMPUTED_VALUE"""),"")</f>
        <v/>
      </c>
      <c r="J854" s="36" t="str">
        <f ca="1">IFERROR(__xludf.DUMMYFUNCTION("""COMPUTED_VALUE"""),"")</f>
        <v/>
      </c>
      <c r="K854" s="36" t="str">
        <f ca="1">IFERROR(__xludf.DUMMYFUNCTION("""COMPUTED_VALUE"""),"")</f>
        <v/>
      </c>
      <c r="L854" s="36" t="str">
        <f ca="1">IFERROR(__xludf.DUMMYFUNCTION("""COMPUTED_VALUE"""),"")</f>
        <v/>
      </c>
      <c r="M854" s="36" t="str">
        <f ca="1">IFERROR(__xludf.DUMMYFUNCTION("""COMPUTED_VALUE"""),"")</f>
        <v/>
      </c>
      <c r="N854" s="36" t="str">
        <f ca="1">IFERROR(__xludf.DUMMYFUNCTION("""COMPUTED_VALUE"""),"")</f>
        <v/>
      </c>
      <c r="O854" s="36" t="str">
        <f ca="1">IFERROR(__xludf.DUMMYFUNCTION("""COMPUTED_VALUE"""),"")</f>
        <v/>
      </c>
      <c r="P854" s="36" t="str">
        <f ca="1">IFERROR(__xludf.DUMMYFUNCTION("""COMPUTED_VALUE"""),"")</f>
        <v/>
      </c>
      <c r="Q854" s="36" t="str">
        <f ca="1">IFERROR(__xludf.DUMMYFUNCTION("""COMPUTED_VALUE"""),"")</f>
        <v/>
      </c>
      <c r="R854" s="36" t="str">
        <f ca="1">IFERROR(__xludf.DUMMYFUNCTION("""COMPUTED_VALUE"""),"")</f>
        <v/>
      </c>
      <c r="S854" s="36" t="str">
        <f ca="1">IFERROR(__xludf.DUMMYFUNCTION("""COMPUTED_VALUE"""),"")</f>
        <v/>
      </c>
      <c r="T854" s="36" t="str">
        <f ca="1">IFERROR(__xludf.DUMMYFUNCTION("""COMPUTED_VALUE"""),"")</f>
        <v/>
      </c>
      <c r="U854" s="36" t="str">
        <f ca="1">IFERROR(__xludf.DUMMYFUNCTION("""COMPUTED_VALUE"""),"")</f>
        <v/>
      </c>
      <c r="V854" s="36" t="str">
        <f ca="1">IFERROR(__xludf.DUMMYFUNCTION("""COMPUTED_VALUE"""),"")</f>
        <v/>
      </c>
      <c r="W854" s="36" t="str">
        <f ca="1">IFERROR(__xludf.DUMMYFUNCTION("""COMPUTED_VALUE"""),"")</f>
        <v/>
      </c>
      <c r="X854" s="36"/>
      <c r="Y854" s="36"/>
      <c r="Z854" s="36"/>
    </row>
    <row r="855" spans="1:26" ht="12.75" hidden="1">
      <c r="A855" s="36" t="str">
        <f ca="1">IFERROR(__xludf.DUMMYFUNCTION("""COMPUTED_VALUE"""),"")</f>
        <v/>
      </c>
      <c r="B855" s="36" t="str">
        <f ca="1">IFERROR(__xludf.DUMMYFUNCTION("""COMPUTED_VALUE"""),"")</f>
        <v/>
      </c>
      <c r="C855" s="36" t="str">
        <f ca="1">IFERROR(__xludf.DUMMYFUNCTION("""COMPUTED_VALUE"""),"")</f>
        <v/>
      </c>
      <c r="D855" s="36" t="str">
        <f ca="1">IFERROR(__xludf.DUMMYFUNCTION("""COMPUTED_VALUE"""),"")</f>
        <v/>
      </c>
      <c r="E855" s="36" t="str">
        <f ca="1">IFERROR(__xludf.DUMMYFUNCTION("""COMPUTED_VALUE"""),"")</f>
        <v/>
      </c>
      <c r="F855" s="36" t="str">
        <f ca="1">IFERROR(__xludf.DUMMYFUNCTION("""COMPUTED_VALUE"""),"")</f>
        <v/>
      </c>
      <c r="G855" s="36" t="str">
        <f ca="1">IFERROR(__xludf.DUMMYFUNCTION("""COMPUTED_VALUE"""),"")</f>
        <v/>
      </c>
      <c r="H855" s="36" t="str">
        <f ca="1">IFERROR(__xludf.DUMMYFUNCTION("""COMPUTED_VALUE"""),"")</f>
        <v/>
      </c>
      <c r="I855" s="36" t="str">
        <f ca="1">IFERROR(__xludf.DUMMYFUNCTION("""COMPUTED_VALUE"""),"")</f>
        <v/>
      </c>
      <c r="J855" s="36" t="str">
        <f ca="1">IFERROR(__xludf.DUMMYFUNCTION("""COMPUTED_VALUE"""),"")</f>
        <v/>
      </c>
      <c r="K855" s="36" t="str">
        <f ca="1">IFERROR(__xludf.DUMMYFUNCTION("""COMPUTED_VALUE"""),"")</f>
        <v/>
      </c>
      <c r="L855" s="36" t="str">
        <f ca="1">IFERROR(__xludf.DUMMYFUNCTION("""COMPUTED_VALUE"""),"")</f>
        <v/>
      </c>
      <c r="M855" s="36" t="str">
        <f ca="1">IFERROR(__xludf.DUMMYFUNCTION("""COMPUTED_VALUE"""),"")</f>
        <v/>
      </c>
      <c r="N855" s="36" t="str">
        <f ca="1">IFERROR(__xludf.DUMMYFUNCTION("""COMPUTED_VALUE"""),"")</f>
        <v/>
      </c>
      <c r="O855" s="36" t="str">
        <f ca="1">IFERROR(__xludf.DUMMYFUNCTION("""COMPUTED_VALUE"""),"")</f>
        <v/>
      </c>
      <c r="P855" s="36" t="str">
        <f ca="1">IFERROR(__xludf.DUMMYFUNCTION("""COMPUTED_VALUE"""),"")</f>
        <v/>
      </c>
      <c r="Q855" s="36" t="str">
        <f ca="1">IFERROR(__xludf.DUMMYFUNCTION("""COMPUTED_VALUE"""),"")</f>
        <v/>
      </c>
      <c r="R855" s="36" t="str">
        <f ca="1">IFERROR(__xludf.DUMMYFUNCTION("""COMPUTED_VALUE"""),"")</f>
        <v/>
      </c>
      <c r="S855" s="36" t="str">
        <f ca="1">IFERROR(__xludf.DUMMYFUNCTION("""COMPUTED_VALUE"""),"")</f>
        <v/>
      </c>
      <c r="T855" s="36" t="str">
        <f ca="1">IFERROR(__xludf.DUMMYFUNCTION("""COMPUTED_VALUE"""),"")</f>
        <v/>
      </c>
      <c r="U855" s="36" t="str">
        <f ca="1">IFERROR(__xludf.DUMMYFUNCTION("""COMPUTED_VALUE"""),"")</f>
        <v/>
      </c>
      <c r="V855" s="36" t="str">
        <f ca="1">IFERROR(__xludf.DUMMYFUNCTION("""COMPUTED_VALUE"""),"")</f>
        <v/>
      </c>
      <c r="W855" s="36" t="str">
        <f ca="1">IFERROR(__xludf.DUMMYFUNCTION("""COMPUTED_VALUE"""),"")</f>
        <v/>
      </c>
      <c r="X855" s="36"/>
      <c r="Y855" s="36"/>
      <c r="Z855" s="36"/>
    </row>
    <row r="856" spans="1:26" ht="12.75" hidden="1">
      <c r="A856" s="36" t="str">
        <f ca="1">IFERROR(__xludf.DUMMYFUNCTION("""COMPUTED_VALUE"""),"")</f>
        <v/>
      </c>
      <c r="B856" s="36" t="str">
        <f ca="1">IFERROR(__xludf.DUMMYFUNCTION("""COMPUTED_VALUE"""),"")</f>
        <v/>
      </c>
      <c r="C856" s="36" t="str">
        <f ca="1">IFERROR(__xludf.DUMMYFUNCTION("""COMPUTED_VALUE"""),"")</f>
        <v/>
      </c>
      <c r="D856" s="36" t="str">
        <f ca="1">IFERROR(__xludf.DUMMYFUNCTION("""COMPUTED_VALUE"""),"")</f>
        <v/>
      </c>
      <c r="E856" s="36" t="str">
        <f ca="1">IFERROR(__xludf.DUMMYFUNCTION("""COMPUTED_VALUE"""),"")</f>
        <v/>
      </c>
      <c r="F856" s="36" t="str">
        <f ca="1">IFERROR(__xludf.DUMMYFUNCTION("""COMPUTED_VALUE"""),"")</f>
        <v/>
      </c>
      <c r="G856" s="36" t="str">
        <f ca="1">IFERROR(__xludf.DUMMYFUNCTION("""COMPUTED_VALUE"""),"")</f>
        <v/>
      </c>
      <c r="H856" s="36" t="str">
        <f ca="1">IFERROR(__xludf.DUMMYFUNCTION("""COMPUTED_VALUE"""),"")</f>
        <v/>
      </c>
      <c r="I856" s="36" t="str">
        <f ca="1">IFERROR(__xludf.DUMMYFUNCTION("""COMPUTED_VALUE"""),"")</f>
        <v/>
      </c>
      <c r="J856" s="36" t="str">
        <f ca="1">IFERROR(__xludf.DUMMYFUNCTION("""COMPUTED_VALUE"""),"")</f>
        <v/>
      </c>
      <c r="K856" s="36" t="str">
        <f ca="1">IFERROR(__xludf.DUMMYFUNCTION("""COMPUTED_VALUE"""),"")</f>
        <v/>
      </c>
      <c r="L856" s="36" t="str">
        <f ca="1">IFERROR(__xludf.DUMMYFUNCTION("""COMPUTED_VALUE"""),"")</f>
        <v/>
      </c>
      <c r="M856" s="36" t="str">
        <f ca="1">IFERROR(__xludf.DUMMYFUNCTION("""COMPUTED_VALUE"""),"")</f>
        <v/>
      </c>
      <c r="N856" s="36" t="str">
        <f ca="1">IFERROR(__xludf.DUMMYFUNCTION("""COMPUTED_VALUE"""),"")</f>
        <v/>
      </c>
      <c r="O856" s="36" t="str">
        <f ca="1">IFERROR(__xludf.DUMMYFUNCTION("""COMPUTED_VALUE"""),"")</f>
        <v/>
      </c>
      <c r="P856" s="36" t="str">
        <f ca="1">IFERROR(__xludf.DUMMYFUNCTION("""COMPUTED_VALUE"""),"")</f>
        <v/>
      </c>
      <c r="Q856" s="36" t="str">
        <f ca="1">IFERROR(__xludf.DUMMYFUNCTION("""COMPUTED_VALUE"""),"")</f>
        <v/>
      </c>
      <c r="R856" s="36" t="str">
        <f ca="1">IFERROR(__xludf.DUMMYFUNCTION("""COMPUTED_VALUE"""),"")</f>
        <v/>
      </c>
      <c r="S856" s="36" t="str">
        <f ca="1">IFERROR(__xludf.DUMMYFUNCTION("""COMPUTED_VALUE"""),"")</f>
        <v/>
      </c>
      <c r="T856" s="36" t="str">
        <f ca="1">IFERROR(__xludf.DUMMYFUNCTION("""COMPUTED_VALUE"""),"")</f>
        <v/>
      </c>
      <c r="U856" s="36" t="str">
        <f ca="1">IFERROR(__xludf.DUMMYFUNCTION("""COMPUTED_VALUE"""),"")</f>
        <v/>
      </c>
      <c r="V856" s="36" t="str">
        <f ca="1">IFERROR(__xludf.DUMMYFUNCTION("""COMPUTED_VALUE"""),"")</f>
        <v/>
      </c>
      <c r="W856" s="36" t="str">
        <f ca="1">IFERROR(__xludf.DUMMYFUNCTION("""COMPUTED_VALUE"""),"")</f>
        <v/>
      </c>
      <c r="X856" s="36"/>
      <c r="Y856" s="36"/>
      <c r="Z856" s="36"/>
    </row>
    <row r="857" spans="1:26" ht="12.75" hidden="1">
      <c r="A857" s="36" t="str">
        <f ca="1">IFERROR(__xludf.DUMMYFUNCTION("""COMPUTED_VALUE"""),"")</f>
        <v/>
      </c>
      <c r="B857" s="36" t="str">
        <f ca="1">IFERROR(__xludf.DUMMYFUNCTION("""COMPUTED_VALUE"""),"")</f>
        <v/>
      </c>
      <c r="C857" s="36" t="str">
        <f ca="1">IFERROR(__xludf.DUMMYFUNCTION("""COMPUTED_VALUE"""),"")</f>
        <v/>
      </c>
      <c r="D857" s="36" t="str">
        <f ca="1">IFERROR(__xludf.DUMMYFUNCTION("""COMPUTED_VALUE"""),"")</f>
        <v/>
      </c>
      <c r="E857" s="36" t="str">
        <f ca="1">IFERROR(__xludf.DUMMYFUNCTION("""COMPUTED_VALUE"""),"")</f>
        <v/>
      </c>
      <c r="F857" s="36" t="str">
        <f ca="1">IFERROR(__xludf.DUMMYFUNCTION("""COMPUTED_VALUE"""),"")</f>
        <v/>
      </c>
      <c r="G857" s="36" t="str">
        <f ca="1">IFERROR(__xludf.DUMMYFUNCTION("""COMPUTED_VALUE"""),"")</f>
        <v/>
      </c>
      <c r="H857" s="36" t="str">
        <f ca="1">IFERROR(__xludf.DUMMYFUNCTION("""COMPUTED_VALUE"""),"")</f>
        <v/>
      </c>
      <c r="I857" s="36" t="str">
        <f ca="1">IFERROR(__xludf.DUMMYFUNCTION("""COMPUTED_VALUE"""),"")</f>
        <v/>
      </c>
      <c r="J857" s="36" t="str">
        <f ca="1">IFERROR(__xludf.DUMMYFUNCTION("""COMPUTED_VALUE"""),"")</f>
        <v/>
      </c>
      <c r="K857" s="36" t="str">
        <f ca="1">IFERROR(__xludf.DUMMYFUNCTION("""COMPUTED_VALUE"""),"")</f>
        <v/>
      </c>
      <c r="L857" s="36" t="str">
        <f ca="1">IFERROR(__xludf.DUMMYFUNCTION("""COMPUTED_VALUE"""),"")</f>
        <v/>
      </c>
      <c r="M857" s="36" t="str">
        <f ca="1">IFERROR(__xludf.DUMMYFUNCTION("""COMPUTED_VALUE"""),"")</f>
        <v/>
      </c>
      <c r="N857" s="36" t="str">
        <f ca="1">IFERROR(__xludf.DUMMYFUNCTION("""COMPUTED_VALUE"""),"")</f>
        <v/>
      </c>
      <c r="O857" s="36" t="str">
        <f ca="1">IFERROR(__xludf.DUMMYFUNCTION("""COMPUTED_VALUE"""),"")</f>
        <v/>
      </c>
      <c r="P857" s="36" t="str">
        <f ca="1">IFERROR(__xludf.DUMMYFUNCTION("""COMPUTED_VALUE"""),"")</f>
        <v/>
      </c>
      <c r="Q857" s="36" t="str">
        <f ca="1">IFERROR(__xludf.DUMMYFUNCTION("""COMPUTED_VALUE"""),"")</f>
        <v/>
      </c>
      <c r="R857" s="36" t="str">
        <f ca="1">IFERROR(__xludf.DUMMYFUNCTION("""COMPUTED_VALUE"""),"")</f>
        <v/>
      </c>
      <c r="S857" s="36" t="str">
        <f ca="1">IFERROR(__xludf.DUMMYFUNCTION("""COMPUTED_VALUE"""),"")</f>
        <v/>
      </c>
      <c r="T857" s="36" t="str">
        <f ca="1">IFERROR(__xludf.DUMMYFUNCTION("""COMPUTED_VALUE"""),"")</f>
        <v/>
      </c>
      <c r="U857" s="36" t="str">
        <f ca="1">IFERROR(__xludf.DUMMYFUNCTION("""COMPUTED_VALUE"""),"")</f>
        <v/>
      </c>
      <c r="V857" s="36" t="str">
        <f ca="1">IFERROR(__xludf.DUMMYFUNCTION("""COMPUTED_VALUE"""),"")</f>
        <v/>
      </c>
      <c r="W857" s="36" t="str">
        <f ca="1">IFERROR(__xludf.DUMMYFUNCTION("""COMPUTED_VALUE"""),"")</f>
        <v/>
      </c>
      <c r="X857" s="36"/>
      <c r="Y857" s="36"/>
      <c r="Z857" s="36"/>
    </row>
    <row r="858" spans="1:26" ht="12.75" hidden="1">
      <c r="A858" s="36" t="str">
        <f ca="1">IFERROR(__xludf.DUMMYFUNCTION("""COMPUTED_VALUE"""),"")</f>
        <v/>
      </c>
      <c r="B858" s="36" t="str">
        <f ca="1">IFERROR(__xludf.DUMMYFUNCTION("""COMPUTED_VALUE"""),"")</f>
        <v/>
      </c>
      <c r="C858" s="36" t="str">
        <f ca="1">IFERROR(__xludf.DUMMYFUNCTION("""COMPUTED_VALUE"""),"")</f>
        <v/>
      </c>
      <c r="D858" s="36" t="str">
        <f ca="1">IFERROR(__xludf.DUMMYFUNCTION("""COMPUTED_VALUE"""),"")</f>
        <v/>
      </c>
      <c r="E858" s="36" t="str">
        <f ca="1">IFERROR(__xludf.DUMMYFUNCTION("""COMPUTED_VALUE"""),"")</f>
        <v/>
      </c>
      <c r="F858" s="36" t="str">
        <f ca="1">IFERROR(__xludf.DUMMYFUNCTION("""COMPUTED_VALUE"""),"")</f>
        <v/>
      </c>
      <c r="G858" s="36" t="str">
        <f ca="1">IFERROR(__xludf.DUMMYFUNCTION("""COMPUTED_VALUE"""),"")</f>
        <v/>
      </c>
      <c r="H858" s="36" t="str">
        <f ca="1">IFERROR(__xludf.DUMMYFUNCTION("""COMPUTED_VALUE"""),"")</f>
        <v/>
      </c>
      <c r="I858" s="36" t="str">
        <f ca="1">IFERROR(__xludf.DUMMYFUNCTION("""COMPUTED_VALUE"""),"")</f>
        <v/>
      </c>
      <c r="J858" s="36" t="str">
        <f ca="1">IFERROR(__xludf.DUMMYFUNCTION("""COMPUTED_VALUE"""),"")</f>
        <v/>
      </c>
      <c r="K858" s="36" t="str">
        <f ca="1">IFERROR(__xludf.DUMMYFUNCTION("""COMPUTED_VALUE"""),"")</f>
        <v/>
      </c>
      <c r="L858" s="36" t="str">
        <f ca="1">IFERROR(__xludf.DUMMYFUNCTION("""COMPUTED_VALUE"""),"")</f>
        <v/>
      </c>
      <c r="M858" s="36" t="str">
        <f ca="1">IFERROR(__xludf.DUMMYFUNCTION("""COMPUTED_VALUE"""),"")</f>
        <v/>
      </c>
      <c r="N858" s="36" t="str">
        <f ca="1">IFERROR(__xludf.DUMMYFUNCTION("""COMPUTED_VALUE"""),"")</f>
        <v/>
      </c>
      <c r="O858" s="36" t="str">
        <f ca="1">IFERROR(__xludf.DUMMYFUNCTION("""COMPUTED_VALUE"""),"")</f>
        <v/>
      </c>
      <c r="P858" s="36" t="str">
        <f ca="1">IFERROR(__xludf.DUMMYFUNCTION("""COMPUTED_VALUE"""),"")</f>
        <v/>
      </c>
      <c r="Q858" s="36" t="str">
        <f ca="1">IFERROR(__xludf.DUMMYFUNCTION("""COMPUTED_VALUE"""),"")</f>
        <v/>
      </c>
      <c r="R858" s="36" t="str">
        <f ca="1">IFERROR(__xludf.DUMMYFUNCTION("""COMPUTED_VALUE"""),"")</f>
        <v/>
      </c>
      <c r="S858" s="36" t="str">
        <f ca="1">IFERROR(__xludf.DUMMYFUNCTION("""COMPUTED_VALUE"""),"")</f>
        <v/>
      </c>
      <c r="T858" s="36" t="str">
        <f ca="1">IFERROR(__xludf.DUMMYFUNCTION("""COMPUTED_VALUE"""),"")</f>
        <v/>
      </c>
      <c r="U858" s="36" t="str">
        <f ca="1">IFERROR(__xludf.DUMMYFUNCTION("""COMPUTED_VALUE"""),"")</f>
        <v/>
      </c>
      <c r="V858" s="36" t="str">
        <f ca="1">IFERROR(__xludf.DUMMYFUNCTION("""COMPUTED_VALUE"""),"")</f>
        <v/>
      </c>
      <c r="W858" s="36" t="str">
        <f ca="1">IFERROR(__xludf.DUMMYFUNCTION("""COMPUTED_VALUE"""),"")</f>
        <v/>
      </c>
      <c r="X858" s="36"/>
      <c r="Y858" s="36"/>
      <c r="Z858" s="36"/>
    </row>
    <row r="859" spans="1:26" ht="12.75" hidden="1">
      <c r="A859" s="36" t="str">
        <f ca="1">IFERROR(__xludf.DUMMYFUNCTION("""COMPUTED_VALUE"""),"")</f>
        <v/>
      </c>
      <c r="B859" s="36" t="str">
        <f ca="1">IFERROR(__xludf.DUMMYFUNCTION("""COMPUTED_VALUE"""),"")</f>
        <v/>
      </c>
      <c r="C859" s="36" t="str">
        <f ca="1">IFERROR(__xludf.DUMMYFUNCTION("""COMPUTED_VALUE"""),"")</f>
        <v/>
      </c>
      <c r="D859" s="36" t="str">
        <f ca="1">IFERROR(__xludf.DUMMYFUNCTION("""COMPUTED_VALUE"""),"")</f>
        <v/>
      </c>
      <c r="E859" s="36" t="str">
        <f ca="1">IFERROR(__xludf.DUMMYFUNCTION("""COMPUTED_VALUE"""),"")</f>
        <v/>
      </c>
      <c r="F859" s="36" t="str">
        <f ca="1">IFERROR(__xludf.DUMMYFUNCTION("""COMPUTED_VALUE"""),"")</f>
        <v/>
      </c>
      <c r="G859" s="36" t="str">
        <f ca="1">IFERROR(__xludf.DUMMYFUNCTION("""COMPUTED_VALUE"""),"")</f>
        <v/>
      </c>
      <c r="H859" s="36" t="str">
        <f ca="1">IFERROR(__xludf.DUMMYFUNCTION("""COMPUTED_VALUE"""),"")</f>
        <v/>
      </c>
      <c r="I859" s="36" t="str">
        <f ca="1">IFERROR(__xludf.DUMMYFUNCTION("""COMPUTED_VALUE"""),"")</f>
        <v/>
      </c>
      <c r="J859" s="36" t="str">
        <f ca="1">IFERROR(__xludf.DUMMYFUNCTION("""COMPUTED_VALUE"""),"")</f>
        <v/>
      </c>
      <c r="K859" s="36" t="str">
        <f ca="1">IFERROR(__xludf.DUMMYFUNCTION("""COMPUTED_VALUE"""),"")</f>
        <v/>
      </c>
      <c r="L859" s="36" t="str">
        <f ca="1">IFERROR(__xludf.DUMMYFUNCTION("""COMPUTED_VALUE"""),"")</f>
        <v/>
      </c>
      <c r="M859" s="36" t="str">
        <f ca="1">IFERROR(__xludf.DUMMYFUNCTION("""COMPUTED_VALUE"""),"")</f>
        <v/>
      </c>
      <c r="N859" s="36" t="str">
        <f ca="1">IFERROR(__xludf.DUMMYFUNCTION("""COMPUTED_VALUE"""),"")</f>
        <v/>
      </c>
      <c r="O859" s="36" t="str">
        <f ca="1">IFERROR(__xludf.DUMMYFUNCTION("""COMPUTED_VALUE"""),"")</f>
        <v/>
      </c>
      <c r="P859" s="36" t="str">
        <f ca="1">IFERROR(__xludf.DUMMYFUNCTION("""COMPUTED_VALUE"""),"")</f>
        <v/>
      </c>
      <c r="Q859" s="36" t="str">
        <f ca="1">IFERROR(__xludf.DUMMYFUNCTION("""COMPUTED_VALUE"""),"")</f>
        <v/>
      </c>
      <c r="R859" s="36" t="str">
        <f ca="1">IFERROR(__xludf.DUMMYFUNCTION("""COMPUTED_VALUE"""),"")</f>
        <v/>
      </c>
      <c r="S859" s="36" t="str">
        <f ca="1">IFERROR(__xludf.DUMMYFUNCTION("""COMPUTED_VALUE"""),"")</f>
        <v/>
      </c>
      <c r="T859" s="36" t="str">
        <f ca="1">IFERROR(__xludf.DUMMYFUNCTION("""COMPUTED_VALUE"""),"")</f>
        <v/>
      </c>
      <c r="U859" s="36" t="str">
        <f ca="1">IFERROR(__xludf.DUMMYFUNCTION("""COMPUTED_VALUE"""),"")</f>
        <v/>
      </c>
      <c r="V859" s="36" t="str">
        <f ca="1">IFERROR(__xludf.DUMMYFUNCTION("""COMPUTED_VALUE"""),"")</f>
        <v/>
      </c>
      <c r="W859" s="36" t="str">
        <f ca="1">IFERROR(__xludf.DUMMYFUNCTION("""COMPUTED_VALUE"""),"")</f>
        <v/>
      </c>
      <c r="X859" s="36"/>
      <c r="Y859" s="36"/>
      <c r="Z859" s="36"/>
    </row>
    <row r="860" spans="1:26" ht="12.75" hidden="1">
      <c r="A860" s="36" t="str">
        <f ca="1">IFERROR(__xludf.DUMMYFUNCTION("""COMPUTED_VALUE"""),"")</f>
        <v/>
      </c>
      <c r="B860" s="36" t="str">
        <f ca="1">IFERROR(__xludf.DUMMYFUNCTION("""COMPUTED_VALUE"""),"")</f>
        <v/>
      </c>
      <c r="C860" s="36" t="str">
        <f ca="1">IFERROR(__xludf.DUMMYFUNCTION("""COMPUTED_VALUE"""),"")</f>
        <v/>
      </c>
      <c r="D860" s="36" t="str">
        <f ca="1">IFERROR(__xludf.DUMMYFUNCTION("""COMPUTED_VALUE"""),"")</f>
        <v/>
      </c>
      <c r="E860" s="36" t="str">
        <f ca="1">IFERROR(__xludf.DUMMYFUNCTION("""COMPUTED_VALUE"""),"")</f>
        <v/>
      </c>
      <c r="F860" s="36" t="str">
        <f ca="1">IFERROR(__xludf.DUMMYFUNCTION("""COMPUTED_VALUE"""),"")</f>
        <v/>
      </c>
      <c r="G860" s="36" t="str">
        <f ca="1">IFERROR(__xludf.DUMMYFUNCTION("""COMPUTED_VALUE"""),"")</f>
        <v/>
      </c>
      <c r="H860" s="36" t="str">
        <f ca="1">IFERROR(__xludf.DUMMYFUNCTION("""COMPUTED_VALUE"""),"")</f>
        <v/>
      </c>
      <c r="I860" s="36" t="str">
        <f ca="1">IFERROR(__xludf.DUMMYFUNCTION("""COMPUTED_VALUE"""),"")</f>
        <v/>
      </c>
      <c r="J860" s="36" t="str">
        <f ca="1">IFERROR(__xludf.DUMMYFUNCTION("""COMPUTED_VALUE"""),"")</f>
        <v/>
      </c>
      <c r="K860" s="36" t="str">
        <f ca="1">IFERROR(__xludf.DUMMYFUNCTION("""COMPUTED_VALUE"""),"")</f>
        <v/>
      </c>
      <c r="L860" s="36" t="str">
        <f ca="1">IFERROR(__xludf.DUMMYFUNCTION("""COMPUTED_VALUE"""),"")</f>
        <v/>
      </c>
      <c r="M860" s="36" t="str">
        <f ca="1">IFERROR(__xludf.DUMMYFUNCTION("""COMPUTED_VALUE"""),"")</f>
        <v/>
      </c>
      <c r="N860" s="36" t="str">
        <f ca="1">IFERROR(__xludf.DUMMYFUNCTION("""COMPUTED_VALUE"""),"")</f>
        <v/>
      </c>
      <c r="O860" s="36" t="str">
        <f ca="1">IFERROR(__xludf.DUMMYFUNCTION("""COMPUTED_VALUE"""),"")</f>
        <v/>
      </c>
      <c r="P860" s="36" t="str">
        <f ca="1">IFERROR(__xludf.DUMMYFUNCTION("""COMPUTED_VALUE"""),"")</f>
        <v/>
      </c>
      <c r="Q860" s="36" t="str">
        <f ca="1">IFERROR(__xludf.DUMMYFUNCTION("""COMPUTED_VALUE"""),"")</f>
        <v/>
      </c>
      <c r="R860" s="36" t="str">
        <f ca="1">IFERROR(__xludf.DUMMYFUNCTION("""COMPUTED_VALUE"""),"")</f>
        <v/>
      </c>
      <c r="S860" s="36" t="str">
        <f ca="1">IFERROR(__xludf.DUMMYFUNCTION("""COMPUTED_VALUE"""),"")</f>
        <v/>
      </c>
      <c r="T860" s="36" t="str">
        <f ca="1">IFERROR(__xludf.DUMMYFUNCTION("""COMPUTED_VALUE"""),"")</f>
        <v/>
      </c>
      <c r="U860" s="36" t="str">
        <f ca="1">IFERROR(__xludf.DUMMYFUNCTION("""COMPUTED_VALUE"""),"")</f>
        <v/>
      </c>
      <c r="V860" s="36" t="str">
        <f ca="1">IFERROR(__xludf.DUMMYFUNCTION("""COMPUTED_VALUE"""),"")</f>
        <v/>
      </c>
      <c r="W860" s="36" t="str">
        <f ca="1">IFERROR(__xludf.DUMMYFUNCTION("""COMPUTED_VALUE"""),"")</f>
        <v/>
      </c>
      <c r="X860" s="36"/>
      <c r="Y860" s="36"/>
      <c r="Z860" s="36"/>
    </row>
    <row r="861" spans="1:26" ht="12.75" hidden="1">
      <c r="A861" s="36" t="str">
        <f ca="1">IFERROR(__xludf.DUMMYFUNCTION("""COMPUTED_VALUE"""),"")</f>
        <v/>
      </c>
      <c r="B861" s="36" t="str">
        <f ca="1">IFERROR(__xludf.DUMMYFUNCTION("""COMPUTED_VALUE"""),"")</f>
        <v/>
      </c>
      <c r="C861" s="36" t="str">
        <f ca="1">IFERROR(__xludf.DUMMYFUNCTION("""COMPUTED_VALUE"""),"")</f>
        <v/>
      </c>
      <c r="D861" s="36" t="str">
        <f ca="1">IFERROR(__xludf.DUMMYFUNCTION("""COMPUTED_VALUE"""),"")</f>
        <v/>
      </c>
      <c r="E861" s="36" t="str">
        <f ca="1">IFERROR(__xludf.DUMMYFUNCTION("""COMPUTED_VALUE"""),"")</f>
        <v/>
      </c>
      <c r="F861" s="36" t="str">
        <f ca="1">IFERROR(__xludf.DUMMYFUNCTION("""COMPUTED_VALUE"""),"")</f>
        <v/>
      </c>
      <c r="G861" s="36" t="str">
        <f ca="1">IFERROR(__xludf.DUMMYFUNCTION("""COMPUTED_VALUE"""),"")</f>
        <v/>
      </c>
      <c r="H861" s="36" t="str">
        <f ca="1">IFERROR(__xludf.DUMMYFUNCTION("""COMPUTED_VALUE"""),"")</f>
        <v/>
      </c>
      <c r="I861" s="36" t="str">
        <f ca="1">IFERROR(__xludf.DUMMYFUNCTION("""COMPUTED_VALUE"""),"")</f>
        <v/>
      </c>
      <c r="J861" s="36" t="str">
        <f ca="1">IFERROR(__xludf.DUMMYFUNCTION("""COMPUTED_VALUE"""),"")</f>
        <v/>
      </c>
      <c r="K861" s="36" t="str">
        <f ca="1">IFERROR(__xludf.DUMMYFUNCTION("""COMPUTED_VALUE"""),"")</f>
        <v/>
      </c>
      <c r="L861" s="36" t="str">
        <f ca="1">IFERROR(__xludf.DUMMYFUNCTION("""COMPUTED_VALUE"""),"")</f>
        <v/>
      </c>
      <c r="M861" s="36" t="str">
        <f ca="1">IFERROR(__xludf.DUMMYFUNCTION("""COMPUTED_VALUE"""),"")</f>
        <v/>
      </c>
      <c r="N861" s="36" t="str">
        <f ca="1">IFERROR(__xludf.DUMMYFUNCTION("""COMPUTED_VALUE"""),"")</f>
        <v/>
      </c>
      <c r="O861" s="36" t="str">
        <f ca="1">IFERROR(__xludf.DUMMYFUNCTION("""COMPUTED_VALUE"""),"")</f>
        <v/>
      </c>
      <c r="P861" s="36" t="str">
        <f ca="1">IFERROR(__xludf.DUMMYFUNCTION("""COMPUTED_VALUE"""),"")</f>
        <v/>
      </c>
      <c r="Q861" s="36" t="str">
        <f ca="1">IFERROR(__xludf.DUMMYFUNCTION("""COMPUTED_VALUE"""),"")</f>
        <v/>
      </c>
      <c r="R861" s="36" t="str">
        <f ca="1">IFERROR(__xludf.DUMMYFUNCTION("""COMPUTED_VALUE"""),"")</f>
        <v/>
      </c>
      <c r="S861" s="36" t="str">
        <f ca="1">IFERROR(__xludf.DUMMYFUNCTION("""COMPUTED_VALUE"""),"")</f>
        <v/>
      </c>
      <c r="T861" s="36" t="str">
        <f ca="1">IFERROR(__xludf.DUMMYFUNCTION("""COMPUTED_VALUE"""),"")</f>
        <v/>
      </c>
      <c r="U861" s="36" t="str">
        <f ca="1">IFERROR(__xludf.DUMMYFUNCTION("""COMPUTED_VALUE"""),"")</f>
        <v/>
      </c>
      <c r="V861" s="36" t="str">
        <f ca="1">IFERROR(__xludf.DUMMYFUNCTION("""COMPUTED_VALUE"""),"")</f>
        <v/>
      </c>
      <c r="W861" s="36" t="str">
        <f ca="1">IFERROR(__xludf.DUMMYFUNCTION("""COMPUTED_VALUE"""),"")</f>
        <v/>
      </c>
      <c r="X861" s="36"/>
      <c r="Y861" s="36"/>
      <c r="Z861" s="36"/>
    </row>
    <row r="862" spans="1:26" ht="12.75" hidden="1">
      <c r="A862" s="36" t="str">
        <f ca="1">IFERROR(__xludf.DUMMYFUNCTION("""COMPUTED_VALUE"""),"")</f>
        <v/>
      </c>
      <c r="B862" s="36" t="str">
        <f ca="1">IFERROR(__xludf.DUMMYFUNCTION("""COMPUTED_VALUE"""),"")</f>
        <v/>
      </c>
      <c r="C862" s="36" t="str">
        <f ca="1">IFERROR(__xludf.DUMMYFUNCTION("""COMPUTED_VALUE"""),"")</f>
        <v/>
      </c>
      <c r="D862" s="36" t="str">
        <f ca="1">IFERROR(__xludf.DUMMYFUNCTION("""COMPUTED_VALUE"""),"")</f>
        <v/>
      </c>
      <c r="E862" s="36" t="str">
        <f ca="1">IFERROR(__xludf.DUMMYFUNCTION("""COMPUTED_VALUE"""),"")</f>
        <v/>
      </c>
      <c r="F862" s="36" t="str">
        <f ca="1">IFERROR(__xludf.DUMMYFUNCTION("""COMPUTED_VALUE"""),"")</f>
        <v/>
      </c>
      <c r="G862" s="36" t="str">
        <f ca="1">IFERROR(__xludf.DUMMYFUNCTION("""COMPUTED_VALUE"""),"")</f>
        <v/>
      </c>
      <c r="H862" s="36" t="str">
        <f ca="1">IFERROR(__xludf.DUMMYFUNCTION("""COMPUTED_VALUE"""),"")</f>
        <v/>
      </c>
      <c r="I862" s="36" t="str">
        <f ca="1">IFERROR(__xludf.DUMMYFUNCTION("""COMPUTED_VALUE"""),"")</f>
        <v/>
      </c>
      <c r="J862" s="36" t="str">
        <f ca="1">IFERROR(__xludf.DUMMYFUNCTION("""COMPUTED_VALUE"""),"")</f>
        <v/>
      </c>
      <c r="K862" s="36" t="str">
        <f ca="1">IFERROR(__xludf.DUMMYFUNCTION("""COMPUTED_VALUE"""),"")</f>
        <v/>
      </c>
      <c r="L862" s="36" t="str">
        <f ca="1">IFERROR(__xludf.DUMMYFUNCTION("""COMPUTED_VALUE"""),"")</f>
        <v/>
      </c>
      <c r="M862" s="36" t="str">
        <f ca="1">IFERROR(__xludf.DUMMYFUNCTION("""COMPUTED_VALUE"""),"")</f>
        <v/>
      </c>
      <c r="N862" s="36" t="str">
        <f ca="1">IFERROR(__xludf.DUMMYFUNCTION("""COMPUTED_VALUE"""),"")</f>
        <v/>
      </c>
      <c r="O862" s="36" t="str">
        <f ca="1">IFERROR(__xludf.DUMMYFUNCTION("""COMPUTED_VALUE"""),"")</f>
        <v/>
      </c>
      <c r="P862" s="36" t="str">
        <f ca="1">IFERROR(__xludf.DUMMYFUNCTION("""COMPUTED_VALUE"""),"")</f>
        <v/>
      </c>
      <c r="Q862" s="36" t="str">
        <f ca="1">IFERROR(__xludf.DUMMYFUNCTION("""COMPUTED_VALUE"""),"")</f>
        <v/>
      </c>
      <c r="R862" s="36" t="str">
        <f ca="1">IFERROR(__xludf.DUMMYFUNCTION("""COMPUTED_VALUE"""),"")</f>
        <v/>
      </c>
      <c r="S862" s="36" t="str">
        <f ca="1">IFERROR(__xludf.DUMMYFUNCTION("""COMPUTED_VALUE"""),"")</f>
        <v/>
      </c>
      <c r="T862" s="36" t="str">
        <f ca="1">IFERROR(__xludf.DUMMYFUNCTION("""COMPUTED_VALUE"""),"")</f>
        <v/>
      </c>
      <c r="U862" s="36" t="str">
        <f ca="1">IFERROR(__xludf.DUMMYFUNCTION("""COMPUTED_VALUE"""),"")</f>
        <v/>
      </c>
      <c r="V862" s="36" t="str">
        <f ca="1">IFERROR(__xludf.DUMMYFUNCTION("""COMPUTED_VALUE"""),"")</f>
        <v/>
      </c>
      <c r="W862" s="36" t="str">
        <f ca="1">IFERROR(__xludf.DUMMYFUNCTION("""COMPUTED_VALUE"""),"")</f>
        <v/>
      </c>
      <c r="X862" s="36"/>
      <c r="Y862" s="36"/>
      <c r="Z862" s="36"/>
    </row>
    <row r="863" spans="1:26" ht="12.75" hidden="1">
      <c r="A863" s="36" t="str">
        <f ca="1">IFERROR(__xludf.DUMMYFUNCTION("""COMPUTED_VALUE"""),"")</f>
        <v/>
      </c>
      <c r="B863" s="36" t="str">
        <f ca="1">IFERROR(__xludf.DUMMYFUNCTION("""COMPUTED_VALUE"""),"")</f>
        <v/>
      </c>
      <c r="C863" s="36" t="str">
        <f ca="1">IFERROR(__xludf.DUMMYFUNCTION("""COMPUTED_VALUE"""),"")</f>
        <v/>
      </c>
      <c r="D863" s="36" t="str">
        <f ca="1">IFERROR(__xludf.DUMMYFUNCTION("""COMPUTED_VALUE"""),"")</f>
        <v/>
      </c>
      <c r="E863" s="36" t="str">
        <f ca="1">IFERROR(__xludf.DUMMYFUNCTION("""COMPUTED_VALUE"""),"")</f>
        <v/>
      </c>
      <c r="F863" s="36" t="str">
        <f ca="1">IFERROR(__xludf.DUMMYFUNCTION("""COMPUTED_VALUE"""),"")</f>
        <v/>
      </c>
      <c r="G863" s="36" t="str">
        <f ca="1">IFERROR(__xludf.DUMMYFUNCTION("""COMPUTED_VALUE"""),"")</f>
        <v/>
      </c>
      <c r="H863" s="36" t="str">
        <f ca="1">IFERROR(__xludf.DUMMYFUNCTION("""COMPUTED_VALUE"""),"")</f>
        <v/>
      </c>
      <c r="I863" s="36" t="str">
        <f ca="1">IFERROR(__xludf.DUMMYFUNCTION("""COMPUTED_VALUE"""),"")</f>
        <v/>
      </c>
      <c r="J863" s="36" t="str">
        <f ca="1">IFERROR(__xludf.DUMMYFUNCTION("""COMPUTED_VALUE"""),"")</f>
        <v/>
      </c>
      <c r="K863" s="36" t="str">
        <f ca="1">IFERROR(__xludf.DUMMYFUNCTION("""COMPUTED_VALUE"""),"")</f>
        <v/>
      </c>
      <c r="L863" s="36" t="str">
        <f ca="1">IFERROR(__xludf.DUMMYFUNCTION("""COMPUTED_VALUE"""),"")</f>
        <v/>
      </c>
      <c r="M863" s="36" t="str">
        <f ca="1">IFERROR(__xludf.DUMMYFUNCTION("""COMPUTED_VALUE"""),"")</f>
        <v/>
      </c>
      <c r="N863" s="36" t="str">
        <f ca="1">IFERROR(__xludf.DUMMYFUNCTION("""COMPUTED_VALUE"""),"")</f>
        <v/>
      </c>
      <c r="O863" s="36" t="str">
        <f ca="1">IFERROR(__xludf.DUMMYFUNCTION("""COMPUTED_VALUE"""),"")</f>
        <v/>
      </c>
      <c r="P863" s="36" t="str">
        <f ca="1">IFERROR(__xludf.DUMMYFUNCTION("""COMPUTED_VALUE"""),"")</f>
        <v/>
      </c>
      <c r="Q863" s="36" t="str">
        <f ca="1">IFERROR(__xludf.DUMMYFUNCTION("""COMPUTED_VALUE"""),"")</f>
        <v/>
      </c>
      <c r="R863" s="36" t="str">
        <f ca="1">IFERROR(__xludf.DUMMYFUNCTION("""COMPUTED_VALUE"""),"")</f>
        <v/>
      </c>
      <c r="S863" s="36" t="str">
        <f ca="1">IFERROR(__xludf.DUMMYFUNCTION("""COMPUTED_VALUE"""),"")</f>
        <v/>
      </c>
      <c r="T863" s="36" t="str">
        <f ca="1">IFERROR(__xludf.DUMMYFUNCTION("""COMPUTED_VALUE"""),"")</f>
        <v/>
      </c>
      <c r="U863" s="36" t="str">
        <f ca="1">IFERROR(__xludf.DUMMYFUNCTION("""COMPUTED_VALUE"""),"")</f>
        <v/>
      </c>
      <c r="V863" s="36" t="str">
        <f ca="1">IFERROR(__xludf.DUMMYFUNCTION("""COMPUTED_VALUE"""),"")</f>
        <v/>
      </c>
      <c r="W863" s="36" t="str">
        <f ca="1">IFERROR(__xludf.DUMMYFUNCTION("""COMPUTED_VALUE"""),"")</f>
        <v/>
      </c>
      <c r="X863" s="36"/>
      <c r="Y863" s="36"/>
      <c r="Z863" s="36"/>
    </row>
    <row r="864" spans="1:26" ht="12.75" hidden="1">
      <c r="A864" s="36" t="str">
        <f ca="1">IFERROR(__xludf.DUMMYFUNCTION("""COMPUTED_VALUE"""),"")</f>
        <v/>
      </c>
      <c r="B864" s="36" t="str">
        <f ca="1">IFERROR(__xludf.DUMMYFUNCTION("""COMPUTED_VALUE"""),"")</f>
        <v/>
      </c>
      <c r="C864" s="36" t="str">
        <f ca="1">IFERROR(__xludf.DUMMYFUNCTION("""COMPUTED_VALUE"""),"")</f>
        <v/>
      </c>
      <c r="D864" s="36" t="str">
        <f ca="1">IFERROR(__xludf.DUMMYFUNCTION("""COMPUTED_VALUE"""),"")</f>
        <v/>
      </c>
      <c r="E864" s="36" t="str">
        <f ca="1">IFERROR(__xludf.DUMMYFUNCTION("""COMPUTED_VALUE"""),"")</f>
        <v/>
      </c>
      <c r="F864" s="36" t="str">
        <f ca="1">IFERROR(__xludf.DUMMYFUNCTION("""COMPUTED_VALUE"""),"")</f>
        <v/>
      </c>
      <c r="G864" s="36" t="str">
        <f ca="1">IFERROR(__xludf.DUMMYFUNCTION("""COMPUTED_VALUE"""),"")</f>
        <v/>
      </c>
      <c r="H864" s="36" t="str">
        <f ca="1">IFERROR(__xludf.DUMMYFUNCTION("""COMPUTED_VALUE"""),"")</f>
        <v/>
      </c>
      <c r="I864" s="36" t="str">
        <f ca="1">IFERROR(__xludf.DUMMYFUNCTION("""COMPUTED_VALUE"""),"")</f>
        <v/>
      </c>
      <c r="J864" s="36" t="str">
        <f ca="1">IFERROR(__xludf.DUMMYFUNCTION("""COMPUTED_VALUE"""),"")</f>
        <v/>
      </c>
      <c r="K864" s="36" t="str">
        <f ca="1">IFERROR(__xludf.DUMMYFUNCTION("""COMPUTED_VALUE"""),"")</f>
        <v/>
      </c>
      <c r="L864" s="36" t="str">
        <f ca="1">IFERROR(__xludf.DUMMYFUNCTION("""COMPUTED_VALUE"""),"")</f>
        <v/>
      </c>
      <c r="M864" s="36" t="str">
        <f ca="1">IFERROR(__xludf.DUMMYFUNCTION("""COMPUTED_VALUE"""),"")</f>
        <v/>
      </c>
      <c r="N864" s="36" t="str">
        <f ca="1">IFERROR(__xludf.DUMMYFUNCTION("""COMPUTED_VALUE"""),"")</f>
        <v/>
      </c>
      <c r="O864" s="36" t="str">
        <f ca="1">IFERROR(__xludf.DUMMYFUNCTION("""COMPUTED_VALUE"""),"")</f>
        <v/>
      </c>
      <c r="P864" s="36" t="str">
        <f ca="1">IFERROR(__xludf.DUMMYFUNCTION("""COMPUTED_VALUE"""),"")</f>
        <v/>
      </c>
      <c r="Q864" s="36" t="str">
        <f ca="1">IFERROR(__xludf.DUMMYFUNCTION("""COMPUTED_VALUE"""),"")</f>
        <v/>
      </c>
      <c r="R864" s="36" t="str">
        <f ca="1">IFERROR(__xludf.DUMMYFUNCTION("""COMPUTED_VALUE"""),"")</f>
        <v/>
      </c>
      <c r="S864" s="36" t="str">
        <f ca="1">IFERROR(__xludf.DUMMYFUNCTION("""COMPUTED_VALUE"""),"")</f>
        <v/>
      </c>
      <c r="T864" s="36" t="str">
        <f ca="1">IFERROR(__xludf.DUMMYFUNCTION("""COMPUTED_VALUE"""),"")</f>
        <v/>
      </c>
      <c r="U864" s="36" t="str">
        <f ca="1">IFERROR(__xludf.DUMMYFUNCTION("""COMPUTED_VALUE"""),"")</f>
        <v/>
      </c>
      <c r="V864" s="36" t="str">
        <f ca="1">IFERROR(__xludf.DUMMYFUNCTION("""COMPUTED_VALUE"""),"")</f>
        <v/>
      </c>
      <c r="W864" s="36" t="str">
        <f ca="1">IFERROR(__xludf.DUMMYFUNCTION("""COMPUTED_VALUE"""),"")</f>
        <v/>
      </c>
      <c r="X864" s="36"/>
      <c r="Y864" s="36"/>
      <c r="Z864" s="36"/>
    </row>
    <row r="865" spans="1:26" ht="12.75" hidden="1">
      <c r="A865" s="36" t="str">
        <f ca="1">IFERROR(__xludf.DUMMYFUNCTION("""COMPUTED_VALUE"""),"")</f>
        <v/>
      </c>
      <c r="B865" s="36" t="str">
        <f ca="1">IFERROR(__xludf.DUMMYFUNCTION("""COMPUTED_VALUE"""),"")</f>
        <v/>
      </c>
      <c r="C865" s="36" t="str">
        <f ca="1">IFERROR(__xludf.DUMMYFUNCTION("""COMPUTED_VALUE"""),"")</f>
        <v/>
      </c>
      <c r="D865" s="36" t="str">
        <f ca="1">IFERROR(__xludf.DUMMYFUNCTION("""COMPUTED_VALUE"""),"")</f>
        <v/>
      </c>
      <c r="E865" s="36" t="str">
        <f ca="1">IFERROR(__xludf.DUMMYFUNCTION("""COMPUTED_VALUE"""),"")</f>
        <v/>
      </c>
      <c r="F865" s="36" t="str">
        <f ca="1">IFERROR(__xludf.DUMMYFUNCTION("""COMPUTED_VALUE"""),"")</f>
        <v/>
      </c>
      <c r="G865" s="36" t="str">
        <f ca="1">IFERROR(__xludf.DUMMYFUNCTION("""COMPUTED_VALUE"""),"")</f>
        <v/>
      </c>
      <c r="H865" s="36" t="str">
        <f ca="1">IFERROR(__xludf.DUMMYFUNCTION("""COMPUTED_VALUE"""),"")</f>
        <v/>
      </c>
      <c r="I865" s="36" t="str">
        <f ca="1">IFERROR(__xludf.DUMMYFUNCTION("""COMPUTED_VALUE"""),"")</f>
        <v/>
      </c>
      <c r="J865" s="36" t="str">
        <f ca="1">IFERROR(__xludf.DUMMYFUNCTION("""COMPUTED_VALUE"""),"")</f>
        <v/>
      </c>
      <c r="K865" s="36" t="str">
        <f ca="1">IFERROR(__xludf.DUMMYFUNCTION("""COMPUTED_VALUE"""),"")</f>
        <v/>
      </c>
      <c r="L865" s="36" t="str">
        <f ca="1">IFERROR(__xludf.DUMMYFUNCTION("""COMPUTED_VALUE"""),"")</f>
        <v/>
      </c>
      <c r="M865" s="36" t="str">
        <f ca="1">IFERROR(__xludf.DUMMYFUNCTION("""COMPUTED_VALUE"""),"")</f>
        <v/>
      </c>
      <c r="N865" s="36" t="str">
        <f ca="1">IFERROR(__xludf.DUMMYFUNCTION("""COMPUTED_VALUE"""),"")</f>
        <v/>
      </c>
      <c r="O865" s="36" t="str">
        <f ca="1">IFERROR(__xludf.DUMMYFUNCTION("""COMPUTED_VALUE"""),"")</f>
        <v/>
      </c>
      <c r="P865" s="36" t="str">
        <f ca="1">IFERROR(__xludf.DUMMYFUNCTION("""COMPUTED_VALUE"""),"")</f>
        <v/>
      </c>
      <c r="Q865" s="36" t="str">
        <f ca="1">IFERROR(__xludf.DUMMYFUNCTION("""COMPUTED_VALUE"""),"")</f>
        <v/>
      </c>
      <c r="R865" s="36" t="str">
        <f ca="1">IFERROR(__xludf.DUMMYFUNCTION("""COMPUTED_VALUE"""),"")</f>
        <v/>
      </c>
      <c r="S865" s="36" t="str">
        <f ca="1">IFERROR(__xludf.DUMMYFUNCTION("""COMPUTED_VALUE"""),"")</f>
        <v/>
      </c>
      <c r="T865" s="36" t="str">
        <f ca="1">IFERROR(__xludf.DUMMYFUNCTION("""COMPUTED_VALUE"""),"")</f>
        <v/>
      </c>
      <c r="U865" s="36" t="str">
        <f ca="1">IFERROR(__xludf.DUMMYFUNCTION("""COMPUTED_VALUE"""),"")</f>
        <v/>
      </c>
      <c r="V865" s="36" t="str">
        <f ca="1">IFERROR(__xludf.DUMMYFUNCTION("""COMPUTED_VALUE"""),"")</f>
        <v/>
      </c>
      <c r="W865" s="36" t="str">
        <f ca="1">IFERROR(__xludf.DUMMYFUNCTION("""COMPUTED_VALUE"""),"")</f>
        <v/>
      </c>
      <c r="X865" s="36"/>
      <c r="Y865" s="36"/>
      <c r="Z865" s="36"/>
    </row>
    <row r="866" spans="1:26" ht="12.75" hidden="1">
      <c r="A866" s="36" t="str">
        <f ca="1">IFERROR(__xludf.DUMMYFUNCTION("""COMPUTED_VALUE"""),"")</f>
        <v/>
      </c>
      <c r="B866" s="36" t="str">
        <f ca="1">IFERROR(__xludf.DUMMYFUNCTION("""COMPUTED_VALUE"""),"")</f>
        <v/>
      </c>
      <c r="C866" s="36" t="str">
        <f ca="1">IFERROR(__xludf.DUMMYFUNCTION("""COMPUTED_VALUE"""),"")</f>
        <v/>
      </c>
      <c r="D866" s="36" t="str">
        <f ca="1">IFERROR(__xludf.DUMMYFUNCTION("""COMPUTED_VALUE"""),"")</f>
        <v/>
      </c>
      <c r="E866" s="36" t="str">
        <f ca="1">IFERROR(__xludf.DUMMYFUNCTION("""COMPUTED_VALUE"""),"")</f>
        <v/>
      </c>
      <c r="F866" s="36" t="str">
        <f ca="1">IFERROR(__xludf.DUMMYFUNCTION("""COMPUTED_VALUE"""),"")</f>
        <v/>
      </c>
      <c r="G866" s="36" t="str">
        <f ca="1">IFERROR(__xludf.DUMMYFUNCTION("""COMPUTED_VALUE"""),"")</f>
        <v/>
      </c>
      <c r="H866" s="36" t="str">
        <f ca="1">IFERROR(__xludf.DUMMYFUNCTION("""COMPUTED_VALUE"""),"")</f>
        <v/>
      </c>
      <c r="I866" s="36" t="str">
        <f ca="1">IFERROR(__xludf.DUMMYFUNCTION("""COMPUTED_VALUE"""),"")</f>
        <v/>
      </c>
      <c r="J866" s="36" t="str">
        <f ca="1">IFERROR(__xludf.DUMMYFUNCTION("""COMPUTED_VALUE"""),"")</f>
        <v/>
      </c>
      <c r="K866" s="36" t="str">
        <f ca="1">IFERROR(__xludf.DUMMYFUNCTION("""COMPUTED_VALUE"""),"")</f>
        <v/>
      </c>
      <c r="L866" s="36" t="str">
        <f ca="1">IFERROR(__xludf.DUMMYFUNCTION("""COMPUTED_VALUE"""),"")</f>
        <v/>
      </c>
      <c r="M866" s="36" t="str">
        <f ca="1">IFERROR(__xludf.DUMMYFUNCTION("""COMPUTED_VALUE"""),"")</f>
        <v/>
      </c>
      <c r="N866" s="36" t="str">
        <f ca="1">IFERROR(__xludf.DUMMYFUNCTION("""COMPUTED_VALUE"""),"")</f>
        <v/>
      </c>
      <c r="O866" s="36" t="str">
        <f ca="1">IFERROR(__xludf.DUMMYFUNCTION("""COMPUTED_VALUE"""),"")</f>
        <v/>
      </c>
      <c r="P866" s="36" t="str">
        <f ca="1">IFERROR(__xludf.DUMMYFUNCTION("""COMPUTED_VALUE"""),"")</f>
        <v/>
      </c>
      <c r="Q866" s="36" t="str">
        <f ca="1">IFERROR(__xludf.DUMMYFUNCTION("""COMPUTED_VALUE"""),"")</f>
        <v/>
      </c>
      <c r="R866" s="36" t="str">
        <f ca="1">IFERROR(__xludf.DUMMYFUNCTION("""COMPUTED_VALUE"""),"")</f>
        <v/>
      </c>
      <c r="S866" s="36" t="str">
        <f ca="1">IFERROR(__xludf.DUMMYFUNCTION("""COMPUTED_VALUE"""),"")</f>
        <v/>
      </c>
      <c r="T866" s="36" t="str">
        <f ca="1">IFERROR(__xludf.DUMMYFUNCTION("""COMPUTED_VALUE"""),"")</f>
        <v/>
      </c>
      <c r="U866" s="36" t="str">
        <f ca="1">IFERROR(__xludf.DUMMYFUNCTION("""COMPUTED_VALUE"""),"")</f>
        <v/>
      </c>
      <c r="V866" s="36" t="str">
        <f ca="1">IFERROR(__xludf.DUMMYFUNCTION("""COMPUTED_VALUE"""),"")</f>
        <v/>
      </c>
      <c r="W866" s="36" t="str">
        <f ca="1">IFERROR(__xludf.DUMMYFUNCTION("""COMPUTED_VALUE"""),"")</f>
        <v/>
      </c>
      <c r="X866" s="36"/>
      <c r="Y866" s="36"/>
      <c r="Z866" s="36"/>
    </row>
    <row r="867" spans="1:26" ht="12.75" hidden="1">
      <c r="A867" s="36" t="str">
        <f ca="1">IFERROR(__xludf.DUMMYFUNCTION("""COMPUTED_VALUE"""),"")</f>
        <v/>
      </c>
      <c r="B867" s="36" t="str">
        <f ca="1">IFERROR(__xludf.DUMMYFUNCTION("""COMPUTED_VALUE"""),"")</f>
        <v/>
      </c>
      <c r="C867" s="36" t="str">
        <f ca="1">IFERROR(__xludf.DUMMYFUNCTION("""COMPUTED_VALUE"""),"")</f>
        <v/>
      </c>
      <c r="D867" s="36" t="str">
        <f ca="1">IFERROR(__xludf.DUMMYFUNCTION("""COMPUTED_VALUE"""),"")</f>
        <v/>
      </c>
      <c r="E867" s="36" t="str">
        <f ca="1">IFERROR(__xludf.DUMMYFUNCTION("""COMPUTED_VALUE"""),"")</f>
        <v/>
      </c>
      <c r="F867" s="36" t="str">
        <f ca="1">IFERROR(__xludf.DUMMYFUNCTION("""COMPUTED_VALUE"""),"")</f>
        <v/>
      </c>
      <c r="G867" s="36" t="str">
        <f ca="1">IFERROR(__xludf.DUMMYFUNCTION("""COMPUTED_VALUE"""),"")</f>
        <v/>
      </c>
      <c r="H867" s="36" t="str">
        <f ca="1">IFERROR(__xludf.DUMMYFUNCTION("""COMPUTED_VALUE"""),"")</f>
        <v/>
      </c>
      <c r="I867" s="36" t="str">
        <f ca="1">IFERROR(__xludf.DUMMYFUNCTION("""COMPUTED_VALUE"""),"")</f>
        <v/>
      </c>
      <c r="J867" s="36" t="str">
        <f ca="1">IFERROR(__xludf.DUMMYFUNCTION("""COMPUTED_VALUE"""),"")</f>
        <v/>
      </c>
      <c r="K867" s="36" t="str">
        <f ca="1">IFERROR(__xludf.DUMMYFUNCTION("""COMPUTED_VALUE"""),"")</f>
        <v/>
      </c>
      <c r="L867" s="36" t="str">
        <f ca="1">IFERROR(__xludf.DUMMYFUNCTION("""COMPUTED_VALUE"""),"")</f>
        <v/>
      </c>
      <c r="M867" s="36" t="str">
        <f ca="1">IFERROR(__xludf.DUMMYFUNCTION("""COMPUTED_VALUE"""),"")</f>
        <v/>
      </c>
      <c r="N867" s="36" t="str">
        <f ca="1">IFERROR(__xludf.DUMMYFUNCTION("""COMPUTED_VALUE"""),"")</f>
        <v/>
      </c>
      <c r="O867" s="36" t="str">
        <f ca="1">IFERROR(__xludf.DUMMYFUNCTION("""COMPUTED_VALUE"""),"")</f>
        <v/>
      </c>
      <c r="P867" s="36" t="str">
        <f ca="1">IFERROR(__xludf.DUMMYFUNCTION("""COMPUTED_VALUE"""),"")</f>
        <v/>
      </c>
      <c r="Q867" s="36" t="str">
        <f ca="1">IFERROR(__xludf.DUMMYFUNCTION("""COMPUTED_VALUE"""),"")</f>
        <v/>
      </c>
      <c r="R867" s="36" t="str">
        <f ca="1">IFERROR(__xludf.DUMMYFUNCTION("""COMPUTED_VALUE"""),"")</f>
        <v/>
      </c>
      <c r="S867" s="36" t="str">
        <f ca="1">IFERROR(__xludf.DUMMYFUNCTION("""COMPUTED_VALUE"""),"")</f>
        <v/>
      </c>
      <c r="T867" s="36" t="str">
        <f ca="1">IFERROR(__xludf.DUMMYFUNCTION("""COMPUTED_VALUE"""),"")</f>
        <v/>
      </c>
      <c r="U867" s="36" t="str">
        <f ca="1">IFERROR(__xludf.DUMMYFUNCTION("""COMPUTED_VALUE"""),"")</f>
        <v/>
      </c>
      <c r="V867" s="36" t="str">
        <f ca="1">IFERROR(__xludf.DUMMYFUNCTION("""COMPUTED_VALUE"""),"")</f>
        <v/>
      </c>
      <c r="W867" s="36" t="str">
        <f ca="1">IFERROR(__xludf.DUMMYFUNCTION("""COMPUTED_VALUE"""),"")</f>
        <v/>
      </c>
      <c r="X867" s="36"/>
      <c r="Y867" s="36"/>
      <c r="Z867" s="36"/>
    </row>
    <row r="868" spans="1:26" ht="12.75" hidden="1">
      <c r="A868" s="36" t="str">
        <f ca="1">IFERROR(__xludf.DUMMYFUNCTION("""COMPUTED_VALUE"""),"")</f>
        <v/>
      </c>
      <c r="B868" s="36" t="str">
        <f ca="1">IFERROR(__xludf.DUMMYFUNCTION("""COMPUTED_VALUE"""),"")</f>
        <v/>
      </c>
      <c r="C868" s="36" t="str">
        <f ca="1">IFERROR(__xludf.DUMMYFUNCTION("""COMPUTED_VALUE"""),"")</f>
        <v/>
      </c>
      <c r="D868" s="36" t="str">
        <f ca="1">IFERROR(__xludf.DUMMYFUNCTION("""COMPUTED_VALUE"""),"")</f>
        <v/>
      </c>
      <c r="E868" s="36" t="str">
        <f ca="1">IFERROR(__xludf.DUMMYFUNCTION("""COMPUTED_VALUE"""),"")</f>
        <v/>
      </c>
      <c r="F868" s="36" t="str">
        <f ca="1">IFERROR(__xludf.DUMMYFUNCTION("""COMPUTED_VALUE"""),"")</f>
        <v/>
      </c>
      <c r="G868" s="36" t="str">
        <f ca="1">IFERROR(__xludf.DUMMYFUNCTION("""COMPUTED_VALUE"""),"")</f>
        <v/>
      </c>
      <c r="H868" s="36" t="str">
        <f ca="1">IFERROR(__xludf.DUMMYFUNCTION("""COMPUTED_VALUE"""),"")</f>
        <v/>
      </c>
      <c r="I868" s="36" t="str">
        <f ca="1">IFERROR(__xludf.DUMMYFUNCTION("""COMPUTED_VALUE"""),"")</f>
        <v/>
      </c>
      <c r="J868" s="36" t="str">
        <f ca="1">IFERROR(__xludf.DUMMYFUNCTION("""COMPUTED_VALUE"""),"")</f>
        <v/>
      </c>
      <c r="K868" s="36" t="str">
        <f ca="1">IFERROR(__xludf.DUMMYFUNCTION("""COMPUTED_VALUE"""),"")</f>
        <v/>
      </c>
      <c r="L868" s="36" t="str">
        <f ca="1">IFERROR(__xludf.DUMMYFUNCTION("""COMPUTED_VALUE"""),"")</f>
        <v/>
      </c>
      <c r="M868" s="36" t="str">
        <f ca="1">IFERROR(__xludf.DUMMYFUNCTION("""COMPUTED_VALUE"""),"")</f>
        <v/>
      </c>
      <c r="N868" s="36" t="str">
        <f ca="1">IFERROR(__xludf.DUMMYFUNCTION("""COMPUTED_VALUE"""),"")</f>
        <v/>
      </c>
      <c r="O868" s="36" t="str">
        <f ca="1">IFERROR(__xludf.DUMMYFUNCTION("""COMPUTED_VALUE"""),"")</f>
        <v/>
      </c>
      <c r="P868" s="36" t="str">
        <f ca="1">IFERROR(__xludf.DUMMYFUNCTION("""COMPUTED_VALUE"""),"")</f>
        <v/>
      </c>
      <c r="Q868" s="36" t="str">
        <f ca="1">IFERROR(__xludf.DUMMYFUNCTION("""COMPUTED_VALUE"""),"")</f>
        <v/>
      </c>
      <c r="R868" s="36" t="str">
        <f ca="1">IFERROR(__xludf.DUMMYFUNCTION("""COMPUTED_VALUE"""),"")</f>
        <v/>
      </c>
      <c r="S868" s="36" t="str">
        <f ca="1">IFERROR(__xludf.DUMMYFUNCTION("""COMPUTED_VALUE"""),"")</f>
        <v/>
      </c>
      <c r="T868" s="36" t="str">
        <f ca="1">IFERROR(__xludf.DUMMYFUNCTION("""COMPUTED_VALUE"""),"")</f>
        <v/>
      </c>
      <c r="U868" s="36" t="str">
        <f ca="1">IFERROR(__xludf.DUMMYFUNCTION("""COMPUTED_VALUE"""),"")</f>
        <v/>
      </c>
      <c r="V868" s="36" t="str">
        <f ca="1">IFERROR(__xludf.DUMMYFUNCTION("""COMPUTED_VALUE"""),"")</f>
        <v/>
      </c>
      <c r="W868" s="36" t="str">
        <f ca="1">IFERROR(__xludf.DUMMYFUNCTION("""COMPUTED_VALUE"""),"")</f>
        <v/>
      </c>
      <c r="X868" s="36"/>
      <c r="Y868" s="36"/>
      <c r="Z868" s="36"/>
    </row>
    <row r="869" spans="1:26" ht="12.75" hidden="1">
      <c r="A869" s="36" t="str">
        <f ca="1">IFERROR(__xludf.DUMMYFUNCTION("""COMPUTED_VALUE"""),"")</f>
        <v/>
      </c>
      <c r="B869" s="36" t="str">
        <f ca="1">IFERROR(__xludf.DUMMYFUNCTION("""COMPUTED_VALUE"""),"")</f>
        <v/>
      </c>
      <c r="C869" s="36" t="str">
        <f ca="1">IFERROR(__xludf.DUMMYFUNCTION("""COMPUTED_VALUE"""),"")</f>
        <v/>
      </c>
      <c r="D869" s="36" t="str">
        <f ca="1">IFERROR(__xludf.DUMMYFUNCTION("""COMPUTED_VALUE"""),"")</f>
        <v/>
      </c>
      <c r="E869" s="36" t="str">
        <f ca="1">IFERROR(__xludf.DUMMYFUNCTION("""COMPUTED_VALUE"""),"")</f>
        <v/>
      </c>
      <c r="F869" s="36" t="str">
        <f ca="1">IFERROR(__xludf.DUMMYFUNCTION("""COMPUTED_VALUE"""),"")</f>
        <v/>
      </c>
      <c r="G869" s="36" t="str">
        <f ca="1">IFERROR(__xludf.DUMMYFUNCTION("""COMPUTED_VALUE"""),"")</f>
        <v/>
      </c>
      <c r="H869" s="36" t="str">
        <f ca="1">IFERROR(__xludf.DUMMYFUNCTION("""COMPUTED_VALUE"""),"")</f>
        <v/>
      </c>
      <c r="I869" s="36" t="str">
        <f ca="1">IFERROR(__xludf.DUMMYFUNCTION("""COMPUTED_VALUE"""),"")</f>
        <v/>
      </c>
      <c r="J869" s="36" t="str">
        <f ca="1">IFERROR(__xludf.DUMMYFUNCTION("""COMPUTED_VALUE"""),"")</f>
        <v/>
      </c>
      <c r="K869" s="36" t="str">
        <f ca="1">IFERROR(__xludf.DUMMYFUNCTION("""COMPUTED_VALUE"""),"")</f>
        <v/>
      </c>
      <c r="L869" s="36" t="str">
        <f ca="1">IFERROR(__xludf.DUMMYFUNCTION("""COMPUTED_VALUE"""),"")</f>
        <v/>
      </c>
      <c r="M869" s="36" t="str">
        <f ca="1">IFERROR(__xludf.DUMMYFUNCTION("""COMPUTED_VALUE"""),"")</f>
        <v/>
      </c>
      <c r="N869" s="36" t="str">
        <f ca="1">IFERROR(__xludf.DUMMYFUNCTION("""COMPUTED_VALUE"""),"")</f>
        <v/>
      </c>
      <c r="O869" s="36" t="str">
        <f ca="1">IFERROR(__xludf.DUMMYFUNCTION("""COMPUTED_VALUE"""),"")</f>
        <v/>
      </c>
      <c r="P869" s="36" t="str">
        <f ca="1">IFERROR(__xludf.DUMMYFUNCTION("""COMPUTED_VALUE"""),"")</f>
        <v/>
      </c>
      <c r="Q869" s="36" t="str">
        <f ca="1">IFERROR(__xludf.DUMMYFUNCTION("""COMPUTED_VALUE"""),"")</f>
        <v/>
      </c>
      <c r="R869" s="36" t="str">
        <f ca="1">IFERROR(__xludf.DUMMYFUNCTION("""COMPUTED_VALUE"""),"")</f>
        <v/>
      </c>
      <c r="S869" s="36" t="str">
        <f ca="1">IFERROR(__xludf.DUMMYFUNCTION("""COMPUTED_VALUE"""),"")</f>
        <v/>
      </c>
      <c r="T869" s="36" t="str">
        <f ca="1">IFERROR(__xludf.DUMMYFUNCTION("""COMPUTED_VALUE"""),"")</f>
        <v/>
      </c>
      <c r="U869" s="36" t="str">
        <f ca="1">IFERROR(__xludf.DUMMYFUNCTION("""COMPUTED_VALUE"""),"")</f>
        <v/>
      </c>
      <c r="V869" s="36" t="str">
        <f ca="1">IFERROR(__xludf.DUMMYFUNCTION("""COMPUTED_VALUE"""),"")</f>
        <v/>
      </c>
      <c r="W869" s="36" t="str">
        <f ca="1">IFERROR(__xludf.DUMMYFUNCTION("""COMPUTED_VALUE"""),"")</f>
        <v/>
      </c>
      <c r="X869" s="36"/>
      <c r="Y869" s="36"/>
      <c r="Z869" s="36"/>
    </row>
    <row r="870" spans="1:26" ht="12.75" hidden="1">
      <c r="A870" s="36" t="str">
        <f ca="1">IFERROR(__xludf.DUMMYFUNCTION("""COMPUTED_VALUE"""),"")</f>
        <v/>
      </c>
      <c r="B870" s="36" t="str">
        <f ca="1">IFERROR(__xludf.DUMMYFUNCTION("""COMPUTED_VALUE"""),"")</f>
        <v/>
      </c>
      <c r="C870" s="36" t="str">
        <f ca="1">IFERROR(__xludf.DUMMYFUNCTION("""COMPUTED_VALUE"""),"")</f>
        <v/>
      </c>
      <c r="D870" s="36" t="str">
        <f ca="1">IFERROR(__xludf.DUMMYFUNCTION("""COMPUTED_VALUE"""),"")</f>
        <v/>
      </c>
      <c r="E870" s="36" t="str">
        <f ca="1">IFERROR(__xludf.DUMMYFUNCTION("""COMPUTED_VALUE"""),"")</f>
        <v/>
      </c>
      <c r="F870" s="36" t="str">
        <f ca="1">IFERROR(__xludf.DUMMYFUNCTION("""COMPUTED_VALUE"""),"")</f>
        <v/>
      </c>
      <c r="G870" s="36" t="str">
        <f ca="1">IFERROR(__xludf.DUMMYFUNCTION("""COMPUTED_VALUE"""),"")</f>
        <v/>
      </c>
      <c r="H870" s="36" t="str">
        <f ca="1">IFERROR(__xludf.DUMMYFUNCTION("""COMPUTED_VALUE"""),"")</f>
        <v/>
      </c>
      <c r="I870" s="36" t="str">
        <f ca="1">IFERROR(__xludf.DUMMYFUNCTION("""COMPUTED_VALUE"""),"")</f>
        <v/>
      </c>
      <c r="J870" s="36" t="str">
        <f ca="1">IFERROR(__xludf.DUMMYFUNCTION("""COMPUTED_VALUE"""),"")</f>
        <v/>
      </c>
      <c r="K870" s="36" t="str">
        <f ca="1">IFERROR(__xludf.DUMMYFUNCTION("""COMPUTED_VALUE"""),"")</f>
        <v/>
      </c>
      <c r="L870" s="36" t="str">
        <f ca="1">IFERROR(__xludf.DUMMYFUNCTION("""COMPUTED_VALUE"""),"")</f>
        <v/>
      </c>
      <c r="M870" s="36" t="str">
        <f ca="1">IFERROR(__xludf.DUMMYFUNCTION("""COMPUTED_VALUE"""),"")</f>
        <v/>
      </c>
      <c r="N870" s="36" t="str">
        <f ca="1">IFERROR(__xludf.DUMMYFUNCTION("""COMPUTED_VALUE"""),"")</f>
        <v/>
      </c>
      <c r="O870" s="36" t="str">
        <f ca="1">IFERROR(__xludf.DUMMYFUNCTION("""COMPUTED_VALUE"""),"")</f>
        <v/>
      </c>
      <c r="P870" s="36" t="str">
        <f ca="1">IFERROR(__xludf.DUMMYFUNCTION("""COMPUTED_VALUE"""),"")</f>
        <v/>
      </c>
      <c r="Q870" s="36" t="str">
        <f ca="1">IFERROR(__xludf.DUMMYFUNCTION("""COMPUTED_VALUE"""),"")</f>
        <v/>
      </c>
      <c r="R870" s="36" t="str">
        <f ca="1">IFERROR(__xludf.DUMMYFUNCTION("""COMPUTED_VALUE"""),"")</f>
        <v/>
      </c>
      <c r="S870" s="36" t="str">
        <f ca="1">IFERROR(__xludf.DUMMYFUNCTION("""COMPUTED_VALUE"""),"")</f>
        <v/>
      </c>
      <c r="T870" s="36" t="str">
        <f ca="1">IFERROR(__xludf.DUMMYFUNCTION("""COMPUTED_VALUE"""),"")</f>
        <v/>
      </c>
      <c r="U870" s="36" t="str">
        <f ca="1">IFERROR(__xludf.DUMMYFUNCTION("""COMPUTED_VALUE"""),"")</f>
        <v/>
      </c>
      <c r="V870" s="36" t="str">
        <f ca="1">IFERROR(__xludf.DUMMYFUNCTION("""COMPUTED_VALUE"""),"")</f>
        <v/>
      </c>
      <c r="W870" s="36" t="str">
        <f ca="1">IFERROR(__xludf.DUMMYFUNCTION("""COMPUTED_VALUE"""),"")</f>
        <v/>
      </c>
      <c r="X870" s="36"/>
      <c r="Y870" s="36"/>
      <c r="Z870" s="36"/>
    </row>
    <row r="871" spans="1:26" ht="12.75" hidden="1">
      <c r="A871" s="36" t="str">
        <f ca="1">IFERROR(__xludf.DUMMYFUNCTION("""COMPUTED_VALUE"""),"")</f>
        <v/>
      </c>
      <c r="B871" s="36" t="str">
        <f ca="1">IFERROR(__xludf.DUMMYFUNCTION("""COMPUTED_VALUE"""),"")</f>
        <v/>
      </c>
      <c r="C871" s="36" t="str">
        <f ca="1">IFERROR(__xludf.DUMMYFUNCTION("""COMPUTED_VALUE"""),"")</f>
        <v/>
      </c>
      <c r="D871" s="36" t="str">
        <f ca="1">IFERROR(__xludf.DUMMYFUNCTION("""COMPUTED_VALUE"""),"")</f>
        <v/>
      </c>
      <c r="E871" s="36" t="str">
        <f ca="1">IFERROR(__xludf.DUMMYFUNCTION("""COMPUTED_VALUE"""),"")</f>
        <v/>
      </c>
      <c r="F871" s="36" t="str">
        <f ca="1">IFERROR(__xludf.DUMMYFUNCTION("""COMPUTED_VALUE"""),"")</f>
        <v/>
      </c>
      <c r="G871" s="36" t="str">
        <f ca="1">IFERROR(__xludf.DUMMYFUNCTION("""COMPUTED_VALUE"""),"")</f>
        <v/>
      </c>
      <c r="H871" s="36" t="str">
        <f ca="1">IFERROR(__xludf.DUMMYFUNCTION("""COMPUTED_VALUE"""),"")</f>
        <v/>
      </c>
      <c r="I871" s="36" t="str">
        <f ca="1">IFERROR(__xludf.DUMMYFUNCTION("""COMPUTED_VALUE"""),"")</f>
        <v/>
      </c>
      <c r="J871" s="36" t="str">
        <f ca="1">IFERROR(__xludf.DUMMYFUNCTION("""COMPUTED_VALUE"""),"")</f>
        <v/>
      </c>
      <c r="K871" s="36" t="str">
        <f ca="1">IFERROR(__xludf.DUMMYFUNCTION("""COMPUTED_VALUE"""),"")</f>
        <v/>
      </c>
      <c r="L871" s="36" t="str">
        <f ca="1">IFERROR(__xludf.DUMMYFUNCTION("""COMPUTED_VALUE"""),"")</f>
        <v/>
      </c>
      <c r="M871" s="36" t="str">
        <f ca="1">IFERROR(__xludf.DUMMYFUNCTION("""COMPUTED_VALUE"""),"")</f>
        <v/>
      </c>
      <c r="N871" s="36" t="str">
        <f ca="1">IFERROR(__xludf.DUMMYFUNCTION("""COMPUTED_VALUE"""),"")</f>
        <v/>
      </c>
      <c r="O871" s="36" t="str">
        <f ca="1">IFERROR(__xludf.DUMMYFUNCTION("""COMPUTED_VALUE"""),"")</f>
        <v/>
      </c>
      <c r="P871" s="36" t="str">
        <f ca="1">IFERROR(__xludf.DUMMYFUNCTION("""COMPUTED_VALUE"""),"")</f>
        <v/>
      </c>
      <c r="Q871" s="36" t="str">
        <f ca="1">IFERROR(__xludf.DUMMYFUNCTION("""COMPUTED_VALUE"""),"")</f>
        <v/>
      </c>
      <c r="R871" s="36" t="str">
        <f ca="1">IFERROR(__xludf.DUMMYFUNCTION("""COMPUTED_VALUE"""),"")</f>
        <v/>
      </c>
      <c r="S871" s="36" t="str">
        <f ca="1">IFERROR(__xludf.DUMMYFUNCTION("""COMPUTED_VALUE"""),"")</f>
        <v/>
      </c>
      <c r="T871" s="36" t="str">
        <f ca="1">IFERROR(__xludf.DUMMYFUNCTION("""COMPUTED_VALUE"""),"")</f>
        <v/>
      </c>
      <c r="U871" s="36" t="str">
        <f ca="1">IFERROR(__xludf.DUMMYFUNCTION("""COMPUTED_VALUE"""),"")</f>
        <v/>
      </c>
      <c r="V871" s="36" t="str">
        <f ca="1">IFERROR(__xludf.DUMMYFUNCTION("""COMPUTED_VALUE"""),"")</f>
        <v/>
      </c>
      <c r="W871" s="36" t="str">
        <f ca="1">IFERROR(__xludf.DUMMYFUNCTION("""COMPUTED_VALUE"""),"")</f>
        <v/>
      </c>
      <c r="X871" s="36"/>
      <c r="Y871" s="36"/>
      <c r="Z871" s="36"/>
    </row>
    <row r="872" spans="1:26" ht="12.75" hidden="1">
      <c r="A872" s="36" t="str">
        <f ca="1">IFERROR(__xludf.DUMMYFUNCTION("""COMPUTED_VALUE"""),"")</f>
        <v/>
      </c>
      <c r="B872" s="36" t="str">
        <f ca="1">IFERROR(__xludf.DUMMYFUNCTION("""COMPUTED_VALUE"""),"")</f>
        <v/>
      </c>
      <c r="C872" s="36" t="str">
        <f ca="1">IFERROR(__xludf.DUMMYFUNCTION("""COMPUTED_VALUE"""),"")</f>
        <v/>
      </c>
      <c r="D872" s="36" t="str">
        <f ca="1">IFERROR(__xludf.DUMMYFUNCTION("""COMPUTED_VALUE"""),"")</f>
        <v/>
      </c>
      <c r="E872" s="36" t="str">
        <f ca="1">IFERROR(__xludf.DUMMYFUNCTION("""COMPUTED_VALUE"""),"")</f>
        <v/>
      </c>
      <c r="F872" s="36" t="str">
        <f ca="1">IFERROR(__xludf.DUMMYFUNCTION("""COMPUTED_VALUE"""),"")</f>
        <v/>
      </c>
      <c r="G872" s="36" t="str">
        <f ca="1">IFERROR(__xludf.DUMMYFUNCTION("""COMPUTED_VALUE"""),"")</f>
        <v/>
      </c>
      <c r="H872" s="36" t="str">
        <f ca="1">IFERROR(__xludf.DUMMYFUNCTION("""COMPUTED_VALUE"""),"")</f>
        <v/>
      </c>
      <c r="I872" s="36" t="str">
        <f ca="1">IFERROR(__xludf.DUMMYFUNCTION("""COMPUTED_VALUE"""),"")</f>
        <v/>
      </c>
      <c r="J872" s="36" t="str">
        <f ca="1">IFERROR(__xludf.DUMMYFUNCTION("""COMPUTED_VALUE"""),"")</f>
        <v/>
      </c>
      <c r="K872" s="36" t="str">
        <f ca="1">IFERROR(__xludf.DUMMYFUNCTION("""COMPUTED_VALUE"""),"")</f>
        <v/>
      </c>
      <c r="L872" s="36" t="str">
        <f ca="1">IFERROR(__xludf.DUMMYFUNCTION("""COMPUTED_VALUE"""),"")</f>
        <v/>
      </c>
      <c r="M872" s="36" t="str">
        <f ca="1">IFERROR(__xludf.DUMMYFUNCTION("""COMPUTED_VALUE"""),"")</f>
        <v/>
      </c>
      <c r="N872" s="36" t="str">
        <f ca="1">IFERROR(__xludf.DUMMYFUNCTION("""COMPUTED_VALUE"""),"")</f>
        <v/>
      </c>
      <c r="O872" s="36" t="str">
        <f ca="1">IFERROR(__xludf.DUMMYFUNCTION("""COMPUTED_VALUE"""),"")</f>
        <v/>
      </c>
      <c r="P872" s="36" t="str">
        <f ca="1">IFERROR(__xludf.DUMMYFUNCTION("""COMPUTED_VALUE"""),"")</f>
        <v/>
      </c>
      <c r="Q872" s="36" t="str">
        <f ca="1">IFERROR(__xludf.DUMMYFUNCTION("""COMPUTED_VALUE"""),"")</f>
        <v/>
      </c>
      <c r="R872" s="36" t="str">
        <f ca="1">IFERROR(__xludf.DUMMYFUNCTION("""COMPUTED_VALUE"""),"")</f>
        <v/>
      </c>
      <c r="S872" s="36" t="str">
        <f ca="1">IFERROR(__xludf.DUMMYFUNCTION("""COMPUTED_VALUE"""),"")</f>
        <v/>
      </c>
      <c r="T872" s="36" t="str">
        <f ca="1">IFERROR(__xludf.DUMMYFUNCTION("""COMPUTED_VALUE"""),"")</f>
        <v/>
      </c>
      <c r="U872" s="36" t="str">
        <f ca="1">IFERROR(__xludf.DUMMYFUNCTION("""COMPUTED_VALUE"""),"")</f>
        <v/>
      </c>
      <c r="V872" s="36" t="str">
        <f ca="1">IFERROR(__xludf.DUMMYFUNCTION("""COMPUTED_VALUE"""),"")</f>
        <v/>
      </c>
      <c r="W872" s="36" t="str">
        <f ca="1">IFERROR(__xludf.DUMMYFUNCTION("""COMPUTED_VALUE"""),"")</f>
        <v/>
      </c>
      <c r="X872" s="36"/>
      <c r="Y872" s="36"/>
      <c r="Z872" s="36"/>
    </row>
    <row r="873" spans="1:26" ht="12.75" hidden="1">
      <c r="A873" s="36" t="str">
        <f ca="1">IFERROR(__xludf.DUMMYFUNCTION("""COMPUTED_VALUE"""),"")</f>
        <v/>
      </c>
      <c r="B873" s="36" t="str">
        <f ca="1">IFERROR(__xludf.DUMMYFUNCTION("""COMPUTED_VALUE"""),"")</f>
        <v/>
      </c>
      <c r="C873" s="36" t="str">
        <f ca="1">IFERROR(__xludf.DUMMYFUNCTION("""COMPUTED_VALUE"""),"")</f>
        <v/>
      </c>
      <c r="D873" s="36" t="str">
        <f ca="1">IFERROR(__xludf.DUMMYFUNCTION("""COMPUTED_VALUE"""),"")</f>
        <v/>
      </c>
      <c r="E873" s="36" t="str">
        <f ca="1">IFERROR(__xludf.DUMMYFUNCTION("""COMPUTED_VALUE"""),"")</f>
        <v/>
      </c>
      <c r="F873" s="36" t="str">
        <f ca="1">IFERROR(__xludf.DUMMYFUNCTION("""COMPUTED_VALUE"""),"")</f>
        <v/>
      </c>
      <c r="G873" s="36" t="str">
        <f ca="1">IFERROR(__xludf.DUMMYFUNCTION("""COMPUTED_VALUE"""),"")</f>
        <v/>
      </c>
      <c r="H873" s="36" t="str">
        <f ca="1">IFERROR(__xludf.DUMMYFUNCTION("""COMPUTED_VALUE"""),"")</f>
        <v/>
      </c>
      <c r="I873" s="36" t="str">
        <f ca="1">IFERROR(__xludf.DUMMYFUNCTION("""COMPUTED_VALUE"""),"")</f>
        <v/>
      </c>
      <c r="J873" s="36" t="str">
        <f ca="1">IFERROR(__xludf.DUMMYFUNCTION("""COMPUTED_VALUE"""),"")</f>
        <v/>
      </c>
      <c r="K873" s="36" t="str">
        <f ca="1">IFERROR(__xludf.DUMMYFUNCTION("""COMPUTED_VALUE"""),"")</f>
        <v/>
      </c>
      <c r="L873" s="36" t="str">
        <f ca="1">IFERROR(__xludf.DUMMYFUNCTION("""COMPUTED_VALUE"""),"")</f>
        <v/>
      </c>
      <c r="M873" s="36" t="str">
        <f ca="1">IFERROR(__xludf.DUMMYFUNCTION("""COMPUTED_VALUE"""),"")</f>
        <v/>
      </c>
      <c r="N873" s="36" t="str">
        <f ca="1">IFERROR(__xludf.DUMMYFUNCTION("""COMPUTED_VALUE"""),"")</f>
        <v/>
      </c>
      <c r="O873" s="36" t="str">
        <f ca="1">IFERROR(__xludf.DUMMYFUNCTION("""COMPUTED_VALUE"""),"")</f>
        <v/>
      </c>
      <c r="P873" s="36" t="str">
        <f ca="1">IFERROR(__xludf.DUMMYFUNCTION("""COMPUTED_VALUE"""),"")</f>
        <v/>
      </c>
      <c r="Q873" s="36" t="str">
        <f ca="1">IFERROR(__xludf.DUMMYFUNCTION("""COMPUTED_VALUE"""),"")</f>
        <v/>
      </c>
      <c r="R873" s="36" t="str">
        <f ca="1">IFERROR(__xludf.DUMMYFUNCTION("""COMPUTED_VALUE"""),"")</f>
        <v/>
      </c>
      <c r="S873" s="36" t="str">
        <f ca="1">IFERROR(__xludf.DUMMYFUNCTION("""COMPUTED_VALUE"""),"")</f>
        <v/>
      </c>
      <c r="T873" s="36" t="str">
        <f ca="1">IFERROR(__xludf.DUMMYFUNCTION("""COMPUTED_VALUE"""),"")</f>
        <v/>
      </c>
      <c r="U873" s="36" t="str">
        <f ca="1">IFERROR(__xludf.DUMMYFUNCTION("""COMPUTED_VALUE"""),"")</f>
        <v/>
      </c>
      <c r="V873" s="36" t="str">
        <f ca="1">IFERROR(__xludf.DUMMYFUNCTION("""COMPUTED_VALUE"""),"")</f>
        <v/>
      </c>
      <c r="W873" s="36" t="str">
        <f ca="1">IFERROR(__xludf.DUMMYFUNCTION("""COMPUTED_VALUE"""),"")</f>
        <v/>
      </c>
      <c r="X873" s="36"/>
      <c r="Y873" s="36"/>
      <c r="Z873" s="36"/>
    </row>
    <row r="874" spans="1:26" ht="12.75" hidden="1">
      <c r="A874" s="36" t="str">
        <f ca="1">IFERROR(__xludf.DUMMYFUNCTION("""COMPUTED_VALUE"""),"")</f>
        <v/>
      </c>
      <c r="B874" s="36" t="str">
        <f ca="1">IFERROR(__xludf.DUMMYFUNCTION("""COMPUTED_VALUE"""),"")</f>
        <v/>
      </c>
      <c r="C874" s="36" t="str">
        <f ca="1">IFERROR(__xludf.DUMMYFUNCTION("""COMPUTED_VALUE"""),"")</f>
        <v/>
      </c>
      <c r="D874" s="36" t="str">
        <f ca="1">IFERROR(__xludf.DUMMYFUNCTION("""COMPUTED_VALUE"""),"")</f>
        <v/>
      </c>
      <c r="E874" s="36" t="str">
        <f ca="1">IFERROR(__xludf.DUMMYFUNCTION("""COMPUTED_VALUE"""),"")</f>
        <v/>
      </c>
      <c r="F874" s="36" t="str">
        <f ca="1">IFERROR(__xludf.DUMMYFUNCTION("""COMPUTED_VALUE"""),"")</f>
        <v/>
      </c>
      <c r="G874" s="36" t="str">
        <f ca="1">IFERROR(__xludf.DUMMYFUNCTION("""COMPUTED_VALUE"""),"")</f>
        <v/>
      </c>
      <c r="H874" s="36" t="str">
        <f ca="1">IFERROR(__xludf.DUMMYFUNCTION("""COMPUTED_VALUE"""),"")</f>
        <v/>
      </c>
      <c r="I874" s="36" t="str">
        <f ca="1">IFERROR(__xludf.DUMMYFUNCTION("""COMPUTED_VALUE"""),"")</f>
        <v/>
      </c>
      <c r="J874" s="36" t="str">
        <f ca="1">IFERROR(__xludf.DUMMYFUNCTION("""COMPUTED_VALUE"""),"")</f>
        <v/>
      </c>
      <c r="K874" s="36" t="str">
        <f ca="1">IFERROR(__xludf.DUMMYFUNCTION("""COMPUTED_VALUE"""),"")</f>
        <v/>
      </c>
      <c r="L874" s="36" t="str">
        <f ca="1">IFERROR(__xludf.DUMMYFUNCTION("""COMPUTED_VALUE"""),"")</f>
        <v/>
      </c>
      <c r="M874" s="36" t="str">
        <f ca="1">IFERROR(__xludf.DUMMYFUNCTION("""COMPUTED_VALUE"""),"")</f>
        <v/>
      </c>
      <c r="N874" s="36" t="str">
        <f ca="1">IFERROR(__xludf.DUMMYFUNCTION("""COMPUTED_VALUE"""),"")</f>
        <v/>
      </c>
      <c r="O874" s="36" t="str">
        <f ca="1">IFERROR(__xludf.DUMMYFUNCTION("""COMPUTED_VALUE"""),"")</f>
        <v/>
      </c>
      <c r="P874" s="36" t="str">
        <f ca="1">IFERROR(__xludf.DUMMYFUNCTION("""COMPUTED_VALUE"""),"")</f>
        <v/>
      </c>
      <c r="Q874" s="36" t="str">
        <f ca="1">IFERROR(__xludf.DUMMYFUNCTION("""COMPUTED_VALUE"""),"")</f>
        <v/>
      </c>
      <c r="R874" s="36" t="str">
        <f ca="1">IFERROR(__xludf.DUMMYFUNCTION("""COMPUTED_VALUE"""),"")</f>
        <v/>
      </c>
      <c r="S874" s="36" t="str">
        <f ca="1">IFERROR(__xludf.DUMMYFUNCTION("""COMPUTED_VALUE"""),"")</f>
        <v/>
      </c>
      <c r="T874" s="36" t="str">
        <f ca="1">IFERROR(__xludf.DUMMYFUNCTION("""COMPUTED_VALUE"""),"")</f>
        <v/>
      </c>
      <c r="U874" s="36" t="str">
        <f ca="1">IFERROR(__xludf.DUMMYFUNCTION("""COMPUTED_VALUE"""),"")</f>
        <v/>
      </c>
      <c r="V874" s="36" t="str">
        <f ca="1">IFERROR(__xludf.DUMMYFUNCTION("""COMPUTED_VALUE"""),"")</f>
        <v/>
      </c>
      <c r="W874" s="36" t="str">
        <f ca="1">IFERROR(__xludf.DUMMYFUNCTION("""COMPUTED_VALUE"""),"")</f>
        <v/>
      </c>
      <c r="X874" s="36"/>
      <c r="Y874" s="36"/>
      <c r="Z874" s="36"/>
    </row>
    <row r="875" spans="1:26" ht="12.75" hidden="1">
      <c r="A875" s="36" t="str">
        <f ca="1">IFERROR(__xludf.DUMMYFUNCTION("""COMPUTED_VALUE"""),"")</f>
        <v/>
      </c>
      <c r="B875" s="36" t="str">
        <f ca="1">IFERROR(__xludf.DUMMYFUNCTION("""COMPUTED_VALUE"""),"")</f>
        <v/>
      </c>
      <c r="C875" s="36" t="str">
        <f ca="1">IFERROR(__xludf.DUMMYFUNCTION("""COMPUTED_VALUE"""),"")</f>
        <v/>
      </c>
      <c r="D875" s="36" t="str">
        <f ca="1">IFERROR(__xludf.DUMMYFUNCTION("""COMPUTED_VALUE"""),"")</f>
        <v/>
      </c>
      <c r="E875" s="36" t="str">
        <f ca="1">IFERROR(__xludf.DUMMYFUNCTION("""COMPUTED_VALUE"""),"")</f>
        <v/>
      </c>
      <c r="F875" s="36" t="str">
        <f ca="1">IFERROR(__xludf.DUMMYFUNCTION("""COMPUTED_VALUE"""),"")</f>
        <v/>
      </c>
      <c r="G875" s="36" t="str">
        <f ca="1">IFERROR(__xludf.DUMMYFUNCTION("""COMPUTED_VALUE"""),"")</f>
        <v/>
      </c>
      <c r="H875" s="36" t="str">
        <f ca="1">IFERROR(__xludf.DUMMYFUNCTION("""COMPUTED_VALUE"""),"")</f>
        <v/>
      </c>
      <c r="I875" s="36" t="str">
        <f ca="1">IFERROR(__xludf.DUMMYFUNCTION("""COMPUTED_VALUE"""),"")</f>
        <v/>
      </c>
      <c r="J875" s="36" t="str">
        <f ca="1">IFERROR(__xludf.DUMMYFUNCTION("""COMPUTED_VALUE"""),"")</f>
        <v/>
      </c>
      <c r="K875" s="36" t="str">
        <f ca="1">IFERROR(__xludf.DUMMYFUNCTION("""COMPUTED_VALUE"""),"")</f>
        <v/>
      </c>
      <c r="L875" s="36" t="str">
        <f ca="1">IFERROR(__xludf.DUMMYFUNCTION("""COMPUTED_VALUE"""),"")</f>
        <v/>
      </c>
      <c r="M875" s="36" t="str">
        <f ca="1">IFERROR(__xludf.DUMMYFUNCTION("""COMPUTED_VALUE"""),"")</f>
        <v/>
      </c>
      <c r="N875" s="36" t="str">
        <f ca="1">IFERROR(__xludf.DUMMYFUNCTION("""COMPUTED_VALUE"""),"")</f>
        <v/>
      </c>
      <c r="O875" s="36" t="str">
        <f ca="1">IFERROR(__xludf.DUMMYFUNCTION("""COMPUTED_VALUE"""),"")</f>
        <v/>
      </c>
      <c r="P875" s="36" t="str">
        <f ca="1">IFERROR(__xludf.DUMMYFUNCTION("""COMPUTED_VALUE"""),"")</f>
        <v/>
      </c>
      <c r="Q875" s="36" t="str">
        <f ca="1">IFERROR(__xludf.DUMMYFUNCTION("""COMPUTED_VALUE"""),"")</f>
        <v/>
      </c>
      <c r="R875" s="36" t="str">
        <f ca="1">IFERROR(__xludf.DUMMYFUNCTION("""COMPUTED_VALUE"""),"")</f>
        <v/>
      </c>
      <c r="S875" s="36" t="str">
        <f ca="1">IFERROR(__xludf.DUMMYFUNCTION("""COMPUTED_VALUE"""),"")</f>
        <v/>
      </c>
      <c r="T875" s="36" t="str">
        <f ca="1">IFERROR(__xludf.DUMMYFUNCTION("""COMPUTED_VALUE"""),"")</f>
        <v/>
      </c>
      <c r="U875" s="36" t="str">
        <f ca="1">IFERROR(__xludf.DUMMYFUNCTION("""COMPUTED_VALUE"""),"")</f>
        <v/>
      </c>
      <c r="V875" s="36" t="str">
        <f ca="1">IFERROR(__xludf.DUMMYFUNCTION("""COMPUTED_VALUE"""),"")</f>
        <v/>
      </c>
      <c r="W875" s="36" t="str">
        <f ca="1">IFERROR(__xludf.DUMMYFUNCTION("""COMPUTED_VALUE"""),"")</f>
        <v/>
      </c>
      <c r="X875" s="36"/>
      <c r="Y875" s="36"/>
      <c r="Z875" s="36"/>
    </row>
    <row r="876" spans="1:26" ht="12.75" hidden="1">
      <c r="A876" s="36" t="str">
        <f ca="1">IFERROR(__xludf.DUMMYFUNCTION("""COMPUTED_VALUE"""),"")</f>
        <v/>
      </c>
      <c r="B876" s="36" t="str">
        <f ca="1">IFERROR(__xludf.DUMMYFUNCTION("""COMPUTED_VALUE"""),"")</f>
        <v/>
      </c>
      <c r="C876" s="36" t="str">
        <f ca="1">IFERROR(__xludf.DUMMYFUNCTION("""COMPUTED_VALUE"""),"")</f>
        <v/>
      </c>
      <c r="D876" s="36" t="str">
        <f ca="1">IFERROR(__xludf.DUMMYFUNCTION("""COMPUTED_VALUE"""),"")</f>
        <v/>
      </c>
      <c r="E876" s="36" t="str">
        <f ca="1">IFERROR(__xludf.DUMMYFUNCTION("""COMPUTED_VALUE"""),"")</f>
        <v/>
      </c>
      <c r="F876" s="36" t="str">
        <f ca="1">IFERROR(__xludf.DUMMYFUNCTION("""COMPUTED_VALUE"""),"")</f>
        <v/>
      </c>
      <c r="G876" s="36" t="str">
        <f ca="1">IFERROR(__xludf.DUMMYFUNCTION("""COMPUTED_VALUE"""),"")</f>
        <v/>
      </c>
      <c r="H876" s="36" t="str">
        <f ca="1">IFERROR(__xludf.DUMMYFUNCTION("""COMPUTED_VALUE"""),"")</f>
        <v/>
      </c>
      <c r="I876" s="36" t="str">
        <f ca="1">IFERROR(__xludf.DUMMYFUNCTION("""COMPUTED_VALUE"""),"")</f>
        <v/>
      </c>
      <c r="J876" s="36" t="str">
        <f ca="1">IFERROR(__xludf.DUMMYFUNCTION("""COMPUTED_VALUE"""),"")</f>
        <v/>
      </c>
      <c r="K876" s="36" t="str">
        <f ca="1">IFERROR(__xludf.DUMMYFUNCTION("""COMPUTED_VALUE"""),"")</f>
        <v/>
      </c>
      <c r="L876" s="36" t="str">
        <f ca="1">IFERROR(__xludf.DUMMYFUNCTION("""COMPUTED_VALUE"""),"")</f>
        <v/>
      </c>
      <c r="M876" s="36" t="str">
        <f ca="1">IFERROR(__xludf.DUMMYFUNCTION("""COMPUTED_VALUE"""),"")</f>
        <v/>
      </c>
      <c r="N876" s="36" t="str">
        <f ca="1">IFERROR(__xludf.DUMMYFUNCTION("""COMPUTED_VALUE"""),"")</f>
        <v/>
      </c>
      <c r="O876" s="36" t="str">
        <f ca="1">IFERROR(__xludf.DUMMYFUNCTION("""COMPUTED_VALUE"""),"")</f>
        <v/>
      </c>
      <c r="P876" s="36" t="str">
        <f ca="1">IFERROR(__xludf.DUMMYFUNCTION("""COMPUTED_VALUE"""),"")</f>
        <v/>
      </c>
      <c r="Q876" s="36" t="str">
        <f ca="1">IFERROR(__xludf.DUMMYFUNCTION("""COMPUTED_VALUE"""),"")</f>
        <v/>
      </c>
      <c r="R876" s="36" t="str">
        <f ca="1">IFERROR(__xludf.DUMMYFUNCTION("""COMPUTED_VALUE"""),"")</f>
        <v/>
      </c>
      <c r="S876" s="36" t="str">
        <f ca="1">IFERROR(__xludf.DUMMYFUNCTION("""COMPUTED_VALUE"""),"")</f>
        <v/>
      </c>
      <c r="T876" s="36" t="str">
        <f ca="1">IFERROR(__xludf.DUMMYFUNCTION("""COMPUTED_VALUE"""),"")</f>
        <v/>
      </c>
      <c r="U876" s="36" t="str">
        <f ca="1">IFERROR(__xludf.DUMMYFUNCTION("""COMPUTED_VALUE"""),"")</f>
        <v/>
      </c>
      <c r="V876" s="36" t="str">
        <f ca="1">IFERROR(__xludf.DUMMYFUNCTION("""COMPUTED_VALUE"""),"")</f>
        <v/>
      </c>
      <c r="W876" s="36" t="str">
        <f ca="1">IFERROR(__xludf.DUMMYFUNCTION("""COMPUTED_VALUE"""),"")</f>
        <v/>
      </c>
      <c r="X876" s="36"/>
      <c r="Y876" s="36"/>
      <c r="Z876" s="36"/>
    </row>
    <row r="877" spans="1:26" ht="12.75" hidden="1">
      <c r="A877" s="36" t="str">
        <f ca="1">IFERROR(__xludf.DUMMYFUNCTION("""COMPUTED_VALUE"""),"")</f>
        <v/>
      </c>
      <c r="B877" s="36" t="str">
        <f ca="1">IFERROR(__xludf.DUMMYFUNCTION("""COMPUTED_VALUE"""),"")</f>
        <v/>
      </c>
      <c r="C877" s="36" t="str">
        <f ca="1">IFERROR(__xludf.DUMMYFUNCTION("""COMPUTED_VALUE"""),"")</f>
        <v/>
      </c>
      <c r="D877" s="36" t="str">
        <f ca="1">IFERROR(__xludf.DUMMYFUNCTION("""COMPUTED_VALUE"""),"")</f>
        <v/>
      </c>
      <c r="E877" s="36" t="str">
        <f ca="1">IFERROR(__xludf.DUMMYFUNCTION("""COMPUTED_VALUE"""),"")</f>
        <v/>
      </c>
      <c r="F877" s="36" t="str">
        <f ca="1">IFERROR(__xludf.DUMMYFUNCTION("""COMPUTED_VALUE"""),"")</f>
        <v/>
      </c>
      <c r="G877" s="36" t="str">
        <f ca="1">IFERROR(__xludf.DUMMYFUNCTION("""COMPUTED_VALUE"""),"")</f>
        <v/>
      </c>
      <c r="H877" s="36" t="str">
        <f ca="1">IFERROR(__xludf.DUMMYFUNCTION("""COMPUTED_VALUE"""),"")</f>
        <v/>
      </c>
      <c r="I877" s="36" t="str">
        <f ca="1">IFERROR(__xludf.DUMMYFUNCTION("""COMPUTED_VALUE"""),"")</f>
        <v/>
      </c>
      <c r="J877" s="36" t="str">
        <f ca="1">IFERROR(__xludf.DUMMYFUNCTION("""COMPUTED_VALUE"""),"")</f>
        <v/>
      </c>
      <c r="K877" s="36" t="str">
        <f ca="1">IFERROR(__xludf.DUMMYFUNCTION("""COMPUTED_VALUE"""),"")</f>
        <v/>
      </c>
      <c r="L877" s="36" t="str">
        <f ca="1">IFERROR(__xludf.DUMMYFUNCTION("""COMPUTED_VALUE"""),"")</f>
        <v/>
      </c>
      <c r="M877" s="36" t="str">
        <f ca="1">IFERROR(__xludf.DUMMYFUNCTION("""COMPUTED_VALUE"""),"")</f>
        <v/>
      </c>
      <c r="N877" s="36" t="str">
        <f ca="1">IFERROR(__xludf.DUMMYFUNCTION("""COMPUTED_VALUE"""),"")</f>
        <v/>
      </c>
      <c r="O877" s="36" t="str">
        <f ca="1">IFERROR(__xludf.DUMMYFUNCTION("""COMPUTED_VALUE"""),"")</f>
        <v/>
      </c>
      <c r="P877" s="36" t="str">
        <f ca="1">IFERROR(__xludf.DUMMYFUNCTION("""COMPUTED_VALUE"""),"")</f>
        <v/>
      </c>
      <c r="Q877" s="36" t="str">
        <f ca="1">IFERROR(__xludf.DUMMYFUNCTION("""COMPUTED_VALUE"""),"")</f>
        <v/>
      </c>
      <c r="R877" s="36" t="str">
        <f ca="1">IFERROR(__xludf.DUMMYFUNCTION("""COMPUTED_VALUE"""),"")</f>
        <v/>
      </c>
      <c r="S877" s="36" t="str">
        <f ca="1">IFERROR(__xludf.DUMMYFUNCTION("""COMPUTED_VALUE"""),"")</f>
        <v/>
      </c>
      <c r="T877" s="36" t="str">
        <f ca="1">IFERROR(__xludf.DUMMYFUNCTION("""COMPUTED_VALUE"""),"")</f>
        <v/>
      </c>
      <c r="U877" s="36" t="str">
        <f ca="1">IFERROR(__xludf.DUMMYFUNCTION("""COMPUTED_VALUE"""),"")</f>
        <v/>
      </c>
      <c r="V877" s="36" t="str">
        <f ca="1">IFERROR(__xludf.DUMMYFUNCTION("""COMPUTED_VALUE"""),"")</f>
        <v/>
      </c>
      <c r="W877" s="36" t="str">
        <f ca="1">IFERROR(__xludf.DUMMYFUNCTION("""COMPUTED_VALUE"""),"")</f>
        <v/>
      </c>
      <c r="X877" s="36"/>
      <c r="Y877" s="36"/>
      <c r="Z877" s="36"/>
    </row>
    <row r="878" spans="1:26" ht="12.75" hidden="1">
      <c r="A878" s="36" t="str">
        <f ca="1">IFERROR(__xludf.DUMMYFUNCTION("""COMPUTED_VALUE"""),"")</f>
        <v/>
      </c>
      <c r="B878" s="36" t="str">
        <f ca="1">IFERROR(__xludf.DUMMYFUNCTION("""COMPUTED_VALUE"""),"")</f>
        <v/>
      </c>
      <c r="C878" s="36" t="str">
        <f ca="1">IFERROR(__xludf.DUMMYFUNCTION("""COMPUTED_VALUE"""),"")</f>
        <v/>
      </c>
      <c r="D878" s="36" t="str">
        <f ca="1">IFERROR(__xludf.DUMMYFUNCTION("""COMPUTED_VALUE"""),"")</f>
        <v/>
      </c>
      <c r="E878" s="36" t="str">
        <f ca="1">IFERROR(__xludf.DUMMYFUNCTION("""COMPUTED_VALUE"""),"")</f>
        <v/>
      </c>
      <c r="F878" s="36" t="str">
        <f ca="1">IFERROR(__xludf.DUMMYFUNCTION("""COMPUTED_VALUE"""),"")</f>
        <v/>
      </c>
      <c r="G878" s="36" t="str">
        <f ca="1">IFERROR(__xludf.DUMMYFUNCTION("""COMPUTED_VALUE"""),"")</f>
        <v/>
      </c>
      <c r="H878" s="36" t="str">
        <f ca="1">IFERROR(__xludf.DUMMYFUNCTION("""COMPUTED_VALUE"""),"")</f>
        <v/>
      </c>
      <c r="I878" s="36" t="str">
        <f ca="1">IFERROR(__xludf.DUMMYFUNCTION("""COMPUTED_VALUE"""),"")</f>
        <v/>
      </c>
      <c r="J878" s="36" t="str">
        <f ca="1">IFERROR(__xludf.DUMMYFUNCTION("""COMPUTED_VALUE"""),"")</f>
        <v/>
      </c>
      <c r="K878" s="36" t="str">
        <f ca="1">IFERROR(__xludf.DUMMYFUNCTION("""COMPUTED_VALUE"""),"")</f>
        <v/>
      </c>
      <c r="L878" s="36" t="str">
        <f ca="1">IFERROR(__xludf.DUMMYFUNCTION("""COMPUTED_VALUE"""),"")</f>
        <v/>
      </c>
      <c r="M878" s="36" t="str">
        <f ca="1">IFERROR(__xludf.DUMMYFUNCTION("""COMPUTED_VALUE"""),"")</f>
        <v/>
      </c>
      <c r="N878" s="36" t="str">
        <f ca="1">IFERROR(__xludf.DUMMYFUNCTION("""COMPUTED_VALUE"""),"")</f>
        <v/>
      </c>
      <c r="O878" s="36" t="str">
        <f ca="1">IFERROR(__xludf.DUMMYFUNCTION("""COMPUTED_VALUE"""),"")</f>
        <v/>
      </c>
      <c r="P878" s="36" t="str">
        <f ca="1">IFERROR(__xludf.DUMMYFUNCTION("""COMPUTED_VALUE"""),"")</f>
        <v/>
      </c>
      <c r="Q878" s="36" t="str">
        <f ca="1">IFERROR(__xludf.DUMMYFUNCTION("""COMPUTED_VALUE"""),"")</f>
        <v/>
      </c>
      <c r="R878" s="36" t="str">
        <f ca="1">IFERROR(__xludf.DUMMYFUNCTION("""COMPUTED_VALUE"""),"")</f>
        <v/>
      </c>
      <c r="S878" s="36" t="str">
        <f ca="1">IFERROR(__xludf.DUMMYFUNCTION("""COMPUTED_VALUE"""),"")</f>
        <v/>
      </c>
      <c r="T878" s="36" t="str">
        <f ca="1">IFERROR(__xludf.DUMMYFUNCTION("""COMPUTED_VALUE"""),"")</f>
        <v/>
      </c>
      <c r="U878" s="36" t="str">
        <f ca="1">IFERROR(__xludf.DUMMYFUNCTION("""COMPUTED_VALUE"""),"")</f>
        <v/>
      </c>
      <c r="V878" s="36" t="str">
        <f ca="1">IFERROR(__xludf.DUMMYFUNCTION("""COMPUTED_VALUE"""),"")</f>
        <v/>
      </c>
      <c r="W878" s="36" t="str">
        <f ca="1">IFERROR(__xludf.DUMMYFUNCTION("""COMPUTED_VALUE"""),"")</f>
        <v/>
      </c>
      <c r="X878" s="36"/>
      <c r="Y878" s="36"/>
      <c r="Z878" s="36"/>
    </row>
    <row r="879" spans="1:26" ht="12.75" hidden="1">
      <c r="A879" s="36" t="str">
        <f ca="1">IFERROR(__xludf.DUMMYFUNCTION("""COMPUTED_VALUE"""),"")</f>
        <v/>
      </c>
      <c r="B879" s="36" t="str">
        <f ca="1">IFERROR(__xludf.DUMMYFUNCTION("""COMPUTED_VALUE"""),"")</f>
        <v/>
      </c>
      <c r="C879" s="36" t="str">
        <f ca="1">IFERROR(__xludf.DUMMYFUNCTION("""COMPUTED_VALUE"""),"")</f>
        <v/>
      </c>
      <c r="D879" s="36" t="str">
        <f ca="1">IFERROR(__xludf.DUMMYFUNCTION("""COMPUTED_VALUE"""),"")</f>
        <v/>
      </c>
      <c r="E879" s="36" t="str">
        <f ca="1">IFERROR(__xludf.DUMMYFUNCTION("""COMPUTED_VALUE"""),"")</f>
        <v/>
      </c>
      <c r="F879" s="36" t="str">
        <f ca="1">IFERROR(__xludf.DUMMYFUNCTION("""COMPUTED_VALUE"""),"")</f>
        <v/>
      </c>
      <c r="G879" s="36" t="str">
        <f ca="1">IFERROR(__xludf.DUMMYFUNCTION("""COMPUTED_VALUE"""),"")</f>
        <v/>
      </c>
      <c r="H879" s="36" t="str">
        <f ca="1">IFERROR(__xludf.DUMMYFUNCTION("""COMPUTED_VALUE"""),"")</f>
        <v/>
      </c>
      <c r="I879" s="36" t="str">
        <f ca="1">IFERROR(__xludf.DUMMYFUNCTION("""COMPUTED_VALUE"""),"")</f>
        <v/>
      </c>
      <c r="J879" s="36" t="str">
        <f ca="1">IFERROR(__xludf.DUMMYFUNCTION("""COMPUTED_VALUE"""),"")</f>
        <v/>
      </c>
      <c r="K879" s="36" t="str">
        <f ca="1">IFERROR(__xludf.DUMMYFUNCTION("""COMPUTED_VALUE"""),"")</f>
        <v/>
      </c>
      <c r="L879" s="36" t="str">
        <f ca="1">IFERROR(__xludf.DUMMYFUNCTION("""COMPUTED_VALUE"""),"")</f>
        <v/>
      </c>
      <c r="M879" s="36" t="str">
        <f ca="1">IFERROR(__xludf.DUMMYFUNCTION("""COMPUTED_VALUE"""),"")</f>
        <v/>
      </c>
      <c r="N879" s="36" t="str">
        <f ca="1">IFERROR(__xludf.DUMMYFUNCTION("""COMPUTED_VALUE"""),"")</f>
        <v/>
      </c>
      <c r="O879" s="36" t="str">
        <f ca="1">IFERROR(__xludf.DUMMYFUNCTION("""COMPUTED_VALUE"""),"")</f>
        <v/>
      </c>
      <c r="P879" s="36" t="str">
        <f ca="1">IFERROR(__xludf.DUMMYFUNCTION("""COMPUTED_VALUE"""),"")</f>
        <v/>
      </c>
      <c r="Q879" s="36" t="str">
        <f ca="1">IFERROR(__xludf.DUMMYFUNCTION("""COMPUTED_VALUE"""),"")</f>
        <v/>
      </c>
      <c r="R879" s="36" t="str">
        <f ca="1">IFERROR(__xludf.DUMMYFUNCTION("""COMPUTED_VALUE"""),"")</f>
        <v/>
      </c>
      <c r="S879" s="36" t="str">
        <f ca="1">IFERROR(__xludf.DUMMYFUNCTION("""COMPUTED_VALUE"""),"")</f>
        <v/>
      </c>
      <c r="T879" s="36" t="str">
        <f ca="1">IFERROR(__xludf.DUMMYFUNCTION("""COMPUTED_VALUE"""),"")</f>
        <v/>
      </c>
      <c r="U879" s="36" t="str">
        <f ca="1">IFERROR(__xludf.DUMMYFUNCTION("""COMPUTED_VALUE"""),"")</f>
        <v/>
      </c>
      <c r="V879" s="36" t="str">
        <f ca="1">IFERROR(__xludf.DUMMYFUNCTION("""COMPUTED_VALUE"""),"")</f>
        <v/>
      </c>
      <c r="W879" s="36" t="str">
        <f ca="1">IFERROR(__xludf.DUMMYFUNCTION("""COMPUTED_VALUE"""),"")</f>
        <v/>
      </c>
      <c r="X879" s="36"/>
      <c r="Y879" s="36"/>
      <c r="Z879" s="36"/>
    </row>
    <row r="880" spans="1:26" ht="12.75" hidden="1">
      <c r="A880" s="36" t="str">
        <f ca="1">IFERROR(__xludf.DUMMYFUNCTION("""COMPUTED_VALUE"""),"")</f>
        <v/>
      </c>
      <c r="B880" s="36" t="str">
        <f ca="1">IFERROR(__xludf.DUMMYFUNCTION("""COMPUTED_VALUE"""),"")</f>
        <v/>
      </c>
      <c r="C880" s="36" t="str">
        <f ca="1">IFERROR(__xludf.DUMMYFUNCTION("""COMPUTED_VALUE"""),"")</f>
        <v/>
      </c>
      <c r="D880" s="36" t="str">
        <f ca="1">IFERROR(__xludf.DUMMYFUNCTION("""COMPUTED_VALUE"""),"")</f>
        <v/>
      </c>
      <c r="E880" s="36" t="str">
        <f ca="1">IFERROR(__xludf.DUMMYFUNCTION("""COMPUTED_VALUE"""),"")</f>
        <v/>
      </c>
      <c r="F880" s="36" t="str">
        <f ca="1">IFERROR(__xludf.DUMMYFUNCTION("""COMPUTED_VALUE"""),"")</f>
        <v/>
      </c>
      <c r="G880" s="36" t="str">
        <f ca="1">IFERROR(__xludf.DUMMYFUNCTION("""COMPUTED_VALUE"""),"")</f>
        <v/>
      </c>
      <c r="H880" s="36" t="str">
        <f ca="1">IFERROR(__xludf.DUMMYFUNCTION("""COMPUTED_VALUE"""),"")</f>
        <v/>
      </c>
      <c r="I880" s="36" t="str">
        <f ca="1">IFERROR(__xludf.DUMMYFUNCTION("""COMPUTED_VALUE"""),"")</f>
        <v/>
      </c>
      <c r="J880" s="36" t="str">
        <f ca="1">IFERROR(__xludf.DUMMYFUNCTION("""COMPUTED_VALUE"""),"")</f>
        <v/>
      </c>
      <c r="K880" s="36" t="str">
        <f ca="1">IFERROR(__xludf.DUMMYFUNCTION("""COMPUTED_VALUE"""),"")</f>
        <v/>
      </c>
      <c r="L880" s="36" t="str">
        <f ca="1">IFERROR(__xludf.DUMMYFUNCTION("""COMPUTED_VALUE"""),"")</f>
        <v/>
      </c>
      <c r="M880" s="36" t="str">
        <f ca="1">IFERROR(__xludf.DUMMYFUNCTION("""COMPUTED_VALUE"""),"")</f>
        <v/>
      </c>
      <c r="N880" s="36" t="str">
        <f ca="1">IFERROR(__xludf.DUMMYFUNCTION("""COMPUTED_VALUE"""),"")</f>
        <v/>
      </c>
      <c r="O880" s="36" t="str">
        <f ca="1">IFERROR(__xludf.DUMMYFUNCTION("""COMPUTED_VALUE"""),"")</f>
        <v/>
      </c>
      <c r="P880" s="36" t="str">
        <f ca="1">IFERROR(__xludf.DUMMYFUNCTION("""COMPUTED_VALUE"""),"")</f>
        <v/>
      </c>
      <c r="Q880" s="36" t="str">
        <f ca="1">IFERROR(__xludf.DUMMYFUNCTION("""COMPUTED_VALUE"""),"")</f>
        <v/>
      </c>
      <c r="R880" s="36" t="str">
        <f ca="1">IFERROR(__xludf.DUMMYFUNCTION("""COMPUTED_VALUE"""),"")</f>
        <v/>
      </c>
      <c r="S880" s="36" t="str">
        <f ca="1">IFERROR(__xludf.DUMMYFUNCTION("""COMPUTED_VALUE"""),"")</f>
        <v/>
      </c>
      <c r="T880" s="36" t="str">
        <f ca="1">IFERROR(__xludf.DUMMYFUNCTION("""COMPUTED_VALUE"""),"")</f>
        <v/>
      </c>
      <c r="U880" s="36" t="str">
        <f ca="1">IFERROR(__xludf.DUMMYFUNCTION("""COMPUTED_VALUE"""),"")</f>
        <v/>
      </c>
      <c r="V880" s="36" t="str">
        <f ca="1">IFERROR(__xludf.DUMMYFUNCTION("""COMPUTED_VALUE"""),"")</f>
        <v/>
      </c>
      <c r="W880" s="36" t="str">
        <f ca="1">IFERROR(__xludf.DUMMYFUNCTION("""COMPUTED_VALUE"""),"")</f>
        <v/>
      </c>
      <c r="X880" s="36"/>
      <c r="Y880" s="36"/>
      <c r="Z880" s="36"/>
    </row>
    <row r="881" spans="1:26" ht="12.75" hidden="1">
      <c r="A881" s="36" t="str">
        <f ca="1">IFERROR(__xludf.DUMMYFUNCTION("""COMPUTED_VALUE"""),"")</f>
        <v/>
      </c>
      <c r="B881" s="36" t="str">
        <f ca="1">IFERROR(__xludf.DUMMYFUNCTION("""COMPUTED_VALUE"""),"")</f>
        <v/>
      </c>
      <c r="C881" s="36" t="str">
        <f ca="1">IFERROR(__xludf.DUMMYFUNCTION("""COMPUTED_VALUE"""),"")</f>
        <v/>
      </c>
      <c r="D881" s="36" t="str">
        <f ca="1">IFERROR(__xludf.DUMMYFUNCTION("""COMPUTED_VALUE"""),"")</f>
        <v/>
      </c>
      <c r="E881" s="36" t="str">
        <f ca="1">IFERROR(__xludf.DUMMYFUNCTION("""COMPUTED_VALUE"""),"")</f>
        <v/>
      </c>
      <c r="F881" s="36" t="str">
        <f ca="1">IFERROR(__xludf.DUMMYFUNCTION("""COMPUTED_VALUE"""),"")</f>
        <v/>
      </c>
      <c r="G881" s="36" t="str">
        <f ca="1">IFERROR(__xludf.DUMMYFUNCTION("""COMPUTED_VALUE"""),"")</f>
        <v/>
      </c>
      <c r="H881" s="36" t="str">
        <f ca="1">IFERROR(__xludf.DUMMYFUNCTION("""COMPUTED_VALUE"""),"")</f>
        <v/>
      </c>
      <c r="I881" s="36" t="str">
        <f ca="1">IFERROR(__xludf.DUMMYFUNCTION("""COMPUTED_VALUE"""),"")</f>
        <v/>
      </c>
      <c r="J881" s="36" t="str">
        <f ca="1">IFERROR(__xludf.DUMMYFUNCTION("""COMPUTED_VALUE"""),"")</f>
        <v/>
      </c>
      <c r="K881" s="36" t="str">
        <f ca="1">IFERROR(__xludf.DUMMYFUNCTION("""COMPUTED_VALUE"""),"")</f>
        <v/>
      </c>
      <c r="L881" s="36" t="str">
        <f ca="1">IFERROR(__xludf.DUMMYFUNCTION("""COMPUTED_VALUE"""),"")</f>
        <v/>
      </c>
      <c r="M881" s="36" t="str">
        <f ca="1">IFERROR(__xludf.DUMMYFUNCTION("""COMPUTED_VALUE"""),"")</f>
        <v/>
      </c>
      <c r="N881" s="36" t="str">
        <f ca="1">IFERROR(__xludf.DUMMYFUNCTION("""COMPUTED_VALUE"""),"")</f>
        <v/>
      </c>
      <c r="O881" s="36" t="str">
        <f ca="1">IFERROR(__xludf.DUMMYFUNCTION("""COMPUTED_VALUE"""),"")</f>
        <v/>
      </c>
      <c r="P881" s="36" t="str">
        <f ca="1">IFERROR(__xludf.DUMMYFUNCTION("""COMPUTED_VALUE"""),"")</f>
        <v/>
      </c>
      <c r="Q881" s="36" t="str">
        <f ca="1">IFERROR(__xludf.DUMMYFUNCTION("""COMPUTED_VALUE"""),"")</f>
        <v/>
      </c>
      <c r="R881" s="36" t="str">
        <f ca="1">IFERROR(__xludf.DUMMYFUNCTION("""COMPUTED_VALUE"""),"")</f>
        <v/>
      </c>
      <c r="S881" s="36" t="str">
        <f ca="1">IFERROR(__xludf.DUMMYFUNCTION("""COMPUTED_VALUE"""),"")</f>
        <v/>
      </c>
      <c r="T881" s="36" t="str">
        <f ca="1">IFERROR(__xludf.DUMMYFUNCTION("""COMPUTED_VALUE"""),"")</f>
        <v/>
      </c>
      <c r="U881" s="36" t="str">
        <f ca="1">IFERROR(__xludf.DUMMYFUNCTION("""COMPUTED_VALUE"""),"")</f>
        <v/>
      </c>
      <c r="V881" s="36" t="str">
        <f ca="1">IFERROR(__xludf.DUMMYFUNCTION("""COMPUTED_VALUE"""),"")</f>
        <v/>
      </c>
      <c r="W881" s="36" t="str">
        <f ca="1">IFERROR(__xludf.DUMMYFUNCTION("""COMPUTED_VALUE"""),"")</f>
        <v/>
      </c>
      <c r="X881" s="36"/>
      <c r="Y881" s="36"/>
      <c r="Z881" s="36"/>
    </row>
    <row r="882" spans="1:26" ht="12.75" hidden="1">
      <c r="A882" s="36" t="str">
        <f ca="1">IFERROR(__xludf.DUMMYFUNCTION("""COMPUTED_VALUE"""),"")</f>
        <v/>
      </c>
      <c r="B882" s="36" t="str">
        <f ca="1">IFERROR(__xludf.DUMMYFUNCTION("""COMPUTED_VALUE"""),"")</f>
        <v/>
      </c>
      <c r="C882" s="36" t="str">
        <f ca="1">IFERROR(__xludf.DUMMYFUNCTION("""COMPUTED_VALUE"""),"")</f>
        <v/>
      </c>
      <c r="D882" s="36" t="str">
        <f ca="1">IFERROR(__xludf.DUMMYFUNCTION("""COMPUTED_VALUE"""),"")</f>
        <v/>
      </c>
      <c r="E882" s="36" t="str">
        <f ca="1">IFERROR(__xludf.DUMMYFUNCTION("""COMPUTED_VALUE"""),"")</f>
        <v/>
      </c>
      <c r="F882" s="36" t="str">
        <f ca="1">IFERROR(__xludf.DUMMYFUNCTION("""COMPUTED_VALUE"""),"")</f>
        <v/>
      </c>
      <c r="G882" s="36" t="str">
        <f ca="1">IFERROR(__xludf.DUMMYFUNCTION("""COMPUTED_VALUE"""),"")</f>
        <v/>
      </c>
      <c r="H882" s="36" t="str">
        <f ca="1">IFERROR(__xludf.DUMMYFUNCTION("""COMPUTED_VALUE"""),"")</f>
        <v/>
      </c>
      <c r="I882" s="36" t="str">
        <f ca="1">IFERROR(__xludf.DUMMYFUNCTION("""COMPUTED_VALUE"""),"")</f>
        <v/>
      </c>
      <c r="J882" s="36" t="str">
        <f ca="1">IFERROR(__xludf.DUMMYFUNCTION("""COMPUTED_VALUE"""),"")</f>
        <v/>
      </c>
      <c r="K882" s="36" t="str">
        <f ca="1">IFERROR(__xludf.DUMMYFUNCTION("""COMPUTED_VALUE"""),"")</f>
        <v/>
      </c>
      <c r="L882" s="36" t="str">
        <f ca="1">IFERROR(__xludf.DUMMYFUNCTION("""COMPUTED_VALUE"""),"")</f>
        <v/>
      </c>
      <c r="M882" s="36" t="str">
        <f ca="1">IFERROR(__xludf.DUMMYFUNCTION("""COMPUTED_VALUE"""),"")</f>
        <v/>
      </c>
      <c r="N882" s="36" t="str">
        <f ca="1">IFERROR(__xludf.DUMMYFUNCTION("""COMPUTED_VALUE"""),"")</f>
        <v/>
      </c>
      <c r="O882" s="36" t="str">
        <f ca="1">IFERROR(__xludf.DUMMYFUNCTION("""COMPUTED_VALUE"""),"")</f>
        <v/>
      </c>
      <c r="P882" s="36" t="str">
        <f ca="1">IFERROR(__xludf.DUMMYFUNCTION("""COMPUTED_VALUE"""),"")</f>
        <v/>
      </c>
      <c r="Q882" s="36" t="str">
        <f ca="1">IFERROR(__xludf.DUMMYFUNCTION("""COMPUTED_VALUE"""),"")</f>
        <v/>
      </c>
      <c r="R882" s="36" t="str">
        <f ca="1">IFERROR(__xludf.DUMMYFUNCTION("""COMPUTED_VALUE"""),"")</f>
        <v/>
      </c>
      <c r="S882" s="36" t="str">
        <f ca="1">IFERROR(__xludf.DUMMYFUNCTION("""COMPUTED_VALUE"""),"")</f>
        <v/>
      </c>
      <c r="T882" s="36" t="str">
        <f ca="1">IFERROR(__xludf.DUMMYFUNCTION("""COMPUTED_VALUE"""),"")</f>
        <v/>
      </c>
      <c r="U882" s="36" t="str">
        <f ca="1">IFERROR(__xludf.DUMMYFUNCTION("""COMPUTED_VALUE"""),"")</f>
        <v/>
      </c>
      <c r="V882" s="36" t="str">
        <f ca="1">IFERROR(__xludf.DUMMYFUNCTION("""COMPUTED_VALUE"""),"")</f>
        <v/>
      </c>
      <c r="W882" s="36" t="str">
        <f ca="1">IFERROR(__xludf.DUMMYFUNCTION("""COMPUTED_VALUE"""),"")</f>
        <v/>
      </c>
      <c r="X882" s="36"/>
      <c r="Y882" s="36"/>
      <c r="Z882" s="36"/>
    </row>
    <row r="883" spans="1:26" ht="12.75" hidden="1">
      <c r="A883" s="36" t="str">
        <f ca="1">IFERROR(__xludf.DUMMYFUNCTION("""COMPUTED_VALUE"""),"")</f>
        <v/>
      </c>
      <c r="B883" s="36" t="str">
        <f ca="1">IFERROR(__xludf.DUMMYFUNCTION("""COMPUTED_VALUE"""),"")</f>
        <v/>
      </c>
      <c r="C883" s="36" t="str">
        <f ca="1">IFERROR(__xludf.DUMMYFUNCTION("""COMPUTED_VALUE"""),"")</f>
        <v/>
      </c>
      <c r="D883" s="36" t="str">
        <f ca="1">IFERROR(__xludf.DUMMYFUNCTION("""COMPUTED_VALUE"""),"")</f>
        <v/>
      </c>
      <c r="E883" s="36" t="str">
        <f ca="1">IFERROR(__xludf.DUMMYFUNCTION("""COMPUTED_VALUE"""),"")</f>
        <v/>
      </c>
      <c r="F883" s="36" t="str">
        <f ca="1">IFERROR(__xludf.DUMMYFUNCTION("""COMPUTED_VALUE"""),"")</f>
        <v/>
      </c>
      <c r="G883" s="36" t="str">
        <f ca="1">IFERROR(__xludf.DUMMYFUNCTION("""COMPUTED_VALUE"""),"")</f>
        <v/>
      </c>
      <c r="H883" s="36" t="str">
        <f ca="1">IFERROR(__xludf.DUMMYFUNCTION("""COMPUTED_VALUE"""),"")</f>
        <v/>
      </c>
      <c r="I883" s="36" t="str">
        <f ca="1">IFERROR(__xludf.DUMMYFUNCTION("""COMPUTED_VALUE"""),"")</f>
        <v/>
      </c>
      <c r="J883" s="36" t="str">
        <f ca="1">IFERROR(__xludf.DUMMYFUNCTION("""COMPUTED_VALUE"""),"")</f>
        <v/>
      </c>
      <c r="K883" s="36" t="str">
        <f ca="1">IFERROR(__xludf.DUMMYFUNCTION("""COMPUTED_VALUE"""),"")</f>
        <v/>
      </c>
      <c r="L883" s="36" t="str">
        <f ca="1">IFERROR(__xludf.DUMMYFUNCTION("""COMPUTED_VALUE"""),"")</f>
        <v/>
      </c>
      <c r="M883" s="36" t="str">
        <f ca="1">IFERROR(__xludf.DUMMYFUNCTION("""COMPUTED_VALUE"""),"")</f>
        <v/>
      </c>
      <c r="N883" s="36" t="str">
        <f ca="1">IFERROR(__xludf.DUMMYFUNCTION("""COMPUTED_VALUE"""),"")</f>
        <v/>
      </c>
      <c r="O883" s="36" t="str">
        <f ca="1">IFERROR(__xludf.DUMMYFUNCTION("""COMPUTED_VALUE"""),"")</f>
        <v/>
      </c>
      <c r="P883" s="36" t="str">
        <f ca="1">IFERROR(__xludf.DUMMYFUNCTION("""COMPUTED_VALUE"""),"")</f>
        <v/>
      </c>
      <c r="Q883" s="36" t="str">
        <f ca="1">IFERROR(__xludf.DUMMYFUNCTION("""COMPUTED_VALUE"""),"")</f>
        <v/>
      </c>
      <c r="R883" s="36" t="str">
        <f ca="1">IFERROR(__xludf.DUMMYFUNCTION("""COMPUTED_VALUE"""),"")</f>
        <v/>
      </c>
      <c r="S883" s="36" t="str">
        <f ca="1">IFERROR(__xludf.DUMMYFUNCTION("""COMPUTED_VALUE"""),"")</f>
        <v/>
      </c>
      <c r="T883" s="36" t="str">
        <f ca="1">IFERROR(__xludf.DUMMYFUNCTION("""COMPUTED_VALUE"""),"")</f>
        <v/>
      </c>
      <c r="U883" s="36" t="str">
        <f ca="1">IFERROR(__xludf.DUMMYFUNCTION("""COMPUTED_VALUE"""),"")</f>
        <v/>
      </c>
      <c r="V883" s="36" t="str">
        <f ca="1">IFERROR(__xludf.DUMMYFUNCTION("""COMPUTED_VALUE"""),"")</f>
        <v/>
      </c>
      <c r="W883" s="36" t="str">
        <f ca="1">IFERROR(__xludf.DUMMYFUNCTION("""COMPUTED_VALUE"""),"")</f>
        <v/>
      </c>
      <c r="X883" s="36"/>
      <c r="Y883" s="36"/>
      <c r="Z883" s="36"/>
    </row>
    <row r="884" spans="1:26" ht="12.75" hidden="1">
      <c r="A884" s="36" t="str">
        <f ca="1">IFERROR(__xludf.DUMMYFUNCTION("""COMPUTED_VALUE"""),"")</f>
        <v/>
      </c>
      <c r="B884" s="36" t="str">
        <f ca="1">IFERROR(__xludf.DUMMYFUNCTION("""COMPUTED_VALUE"""),"")</f>
        <v/>
      </c>
      <c r="C884" s="36" t="str">
        <f ca="1">IFERROR(__xludf.DUMMYFUNCTION("""COMPUTED_VALUE"""),"")</f>
        <v/>
      </c>
      <c r="D884" s="36" t="str">
        <f ca="1">IFERROR(__xludf.DUMMYFUNCTION("""COMPUTED_VALUE"""),"")</f>
        <v/>
      </c>
      <c r="E884" s="36" t="str">
        <f ca="1">IFERROR(__xludf.DUMMYFUNCTION("""COMPUTED_VALUE"""),"")</f>
        <v/>
      </c>
      <c r="F884" s="36" t="str">
        <f ca="1">IFERROR(__xludf.DUMMYFUNCTION("""COMPUTED_VALUE"""),"")</f>
        <v/>
      </c>
      <c r="G884" s="36" t="str">
        <f ca="1">IFERROR(__xludf.DUMMYFUNCTION("""COMPUTED_VALUE"""),"")</f>
        <v/>
      </c>
      <c r="H884" s="36" t="str">
        <f ca="1">IFERROR(__xludf.DUMMYFUNCTION("""COMPUTED_VALUE"""),"")</f>
        <v/>
      </c>
      <c r="I884" s="36" t="str">
        <f ca="1">IFERROR(__xludf.DUMMYFUNCTION("""COMPUTED_VALUE"""),"")</f>
        <v/>
      </c>
      <c r="J884" s="36" t="str">
        <f ca="1">IFERROR(__xludf.DUMMYFUNCTION("""COMPUTED_VALUE"""),"")</f>
        <v/>
      </c>
      <c r="K884" s="36" t="str">
        <f ca="1">IFERROR(__xludf.DUMMYFUNCTION("""COMPUTED_VALUE"""),"")</f>
        <v/>
      </c>
      <c r="L884" s="36" t="str">
        <f ca="1">IFERROR(__xludf.DUMMYFUNCTION("""COMPUTED_VALUE"""),"")</f>
        <v/>
      </c>
      <c r="M884" s="36" t="str">
        <f ca="1">IFERROR(__xludf.DUMMYFUNCTION("""COMPUTED_VALUE"""),"")</f>
        <v/>
      </c>
      <c r="N884" s="36" t="str">
        <f ca="1">IFERROR(__xludf.DUMMYFUNCTION("""COMPUTED_VALUE"""),"")</f>
        <v/>
      </c>
      <c r="O884" s="36" t="str">
        <f ca="1">IFERROR(__xludf.DUMMYFUNCTION("""COMPUTED_VALUE"""),"")</f>
        <v/>
      </c>
      <c r="P884" s="36" t="str">
        <f ca="1">IFERROR(__xludf.DUMMYFUNCTION("""COMPUTED_VALUE"""),"")</f>
        <v/>
      </c>
      <c r="Q884" s="36" t="str">
        <f ca="1">IFERROR(__xludf.DUMMYFUNCTION("""COMPUTED_VALUE"""),"")</f>
        <v/>
      </c>
      <c r="R884" s="36" t="str">
        <f ca="1">IFERROR(__xludf.DUMMYFUNCTION("""COMPUTED_VALUE"""),"")</f>
        <v/>
      </c>
      <c r="S884" s="36" t="str">
        <f ca="1">IFERROR(__xludf.DUMMYFUNCTION("""COMPUTED_VALUE"""),"")</f>
        <v/>
      </c>
      <c r="T884" s="36" t="str">
        <f ca="1">IFERROR(__xludf.DUMMYFUNCTION("""COMPUTED_VALUE"""),"")</f>
        <v/>
      </c>
      <c r="U884" s="36" t="str">
        <f ca="1">IFERROR(__xludf.DUMMYFUNCTION("""COMPUTED_VALUE"""),"")</f>
        <v/>
      </c>
      <c r="V884" s="36" t="str">
        <f ca="1">IFERROR(__xludf.DUMMYFUNCTION("""COMPUTED_VALUE"""),"")</f>
        <v/>
      </c>
      <c r="W884" s="36" t="str">
        <f ca="1">IFERROR(__xludf.DUMMYFUNCTION("""COMPUTED_VALUE"""),"")</f>
        <v/>
      </c>
      <c r="X884" s="36"/>
      <c r="Y884" s="36"/>
      <c r="Z884" s="36"/>
    </row>
    <row r="885" spans="1:26" ht="12.75" hidden="1">
      <c r="A885" s="36" t="str">
        <f ca="1">IFERROR(__xludf.DUMMYFUNCTION("""COMPUTED_VALUE"""),"")</f>
        <v/>
      </c>
      <c r="B885" s="36" t="str">
        <f ca="1">IFERROR(__xludf.DUMMYFUNCTION("""COMPUTED_VALUE"""),"")</f>
        <v/>
      </c>
      <c r="C885" s="36" t="str">
        <f ca="1">IFERROR(__xludf.DUMMYFUNCTION("""COMPUTED_VALUE"""),"")</f>
        <v/>
      </c>
      <c r="D885" s="36" t="str">
        <f ca="1">IFERROR(__xludf.DUMMYFUNCTION("""COMPUTED_VALUE"""),"")</f>
        <v/>
      </c>
      <c r="E885" s="36" t="str">
        <f ca="1">IFERROR(__xludf.DUMMYFUNCTION("""COMPUTED_VALUE"""),"")</f>
        <v/>
      </c>
      <c r="F885" s="36" t="str">
        <f ca="1">IFERROR(__xludf.DUMMYFUNCTION("""COMPUTED_VALUE"""),"")</f>
        <v/>
      </c>
      <c r="G885" s="36" t="str">
        <f ca="1">IFERROR(__xludf.DUMMYFUNCTION("""COMPUTED_VALUE"""),"")</f>
        <v/>
      </c>
      <c r="H885" s="36" t="str">
        <f ca="1">IFERROR(__xludf.DUMMYFUNCTION("""COMPUTED_VALUE"""),"")</f>
        <v/>
      </c>
      <c r="I885" s="36" t="str">
        <f ca="1">IFERROR(__xludf.DUMMYFUNCTION("""COMPUTED_VALUE"""),"")</f>
        <v/>
      </c>
      <c r="J885" s="36" t="str">
        <f ca="1">IFERROR(__xludf.DUMMYFUNCTION("""COMPUTED_VALUE"""),"")</f>
        <v/>
      </c>
      <c r="K885" s="36" t="str">
        <f ca="1">IFERROR(__xludf.DUMMYFUNCTION("""COMPUTED_VALUE"""),"")</f>
        <v/>
      </c>
      <c r="L885" s="36" t="str">
        <f ca="1">IFERROR(__xludf.DUMMYFUNCTION("""COMPUTED_VALUE"""),"")</f>
        <v/>
      </c>
      <c r="M885" s="36" t="str">
        <f ca="1">IFERROR(__xludf.DUMMYFUNCTION("""COMPUTED_VALUE"""),"")</f>
        <v/>
      </c>
      <c r="N885" s="36" t="str">
        <f ca="1">IFERROR(__xludf.DUMMYFUNCTION("""COMPUTED_VALUE"""),"")</f>
        <v/>
      </c>
      <c r="O885" s="36" t="str">
        <f ca="1">IFERROR(__xludf.DUMMYFUNCTION("""COMPUTED_VALUE"""),"")</f>
        <v/>
      </c>
      <c r="P885" s="36" t="str">
        <f ca="1">IFERROR(__xludf.DUMMYFUNCTION("""COMPUTED_VALUE"""),"")</f>
        <v/>
      </c>
      <c r="Q885" s="36" t="str">
        <f ca="1">IFERROR(__xludf.DUMMYFUNCTION("""COMPUTED_VALUE"""),"")</f>
        <v/>
      </c>
      <c r="R885" s="36" t="str">
        <f ca="1">IFERROR(__xludf.DUMMYFUNCTION("""COMPUTED_VALUE"""),"")</f>
        <v/>
      </c>
      <c r="S885" s="36" t="str">
        <f ca="1">IFERROR(__xludf.DUMMYFUNCTION("""COMPUTED_VALUE"""),"")</f>
        <v/>
      </c>
      <c r="T885" s="36" t="str">
        <f ca="1">IFERROR(__xludf.DUMMYFUNCTION("""COMPUTED_VALUE"""),"")</f>
        <v/>
      </c>
      <c r="U885" s="36" t="str">
        <f ca="1">IFERROR(__xludf.DUMMYFUNCTION("""COMPUTED_VALUE"""),"")</f>
        <v/>
      </c>
      <c r="V885" s="36" t="str">
        <f ca="1">IFERROR(__xludf.DUMMYFUNCTION("""COMPUTED_VALUE"""),"")</f>
        <v/>
      </c>
      <c r="W885" s="36" t="str">
        <f ca="1">IFERROR(__xludf.DUMMYFUNCTION("""COMPUTED_VALUE"""),"")</f>
        <v/>
      </c>
      <c r="X885" s="36"/>
      <c r="Y885" s="36"/>
      <c r="Z885" s="36"/>
    </row>
    <row r="886" spans="1:26" ht="12.75" hidden="1">
      <c r="A886" s="36" t="str">
        <f ca="1">IFERROR(__xludf.DUMMYFUNCTION("""COMPUTED_VALUE"""),"")</f>
        <v/>
      </c>
      <c r="B886" s="36" t="str">
        <f ca="1">IFERROR(__xludf.DUMMYFUNCTION("""COMPUTED_VALUE"""),"")</f>
        <v/>
      </c>
      <c r="C886" s="36" t="str">
        <f ca="1">IFERROR(__xludf.DUMMYFUNCTION("""COMPUTED_VALUE"""),"")</f>
        <v/>
      </c>
      <c r="D886" s="36" t="str">
        <f ca="1">IFERROR(__xludf.DUMMYFUNCTION("""COMPUTED_VALUE"""),"")</f>
        <v/>
      </c>
      <c r="E886" s="36" t="str">
        <f ca="1">IFERROR(__xludf.DUMMYFUNCTION("""COMPUTED_VALUE"""),"")</f>
        <v/>
      </c>
      <c r="F886" s="36" t="str">
        <f ca="1">IFERROR(__xludf.DUMMYFUNCTION("""COMPUTED_VALUE"""),"")</f>
        <v/>
      </c>
      <c r="G886" s="36" t="str">
        <f ca="1">IFERROR(__xludf.DUMMYFUNCTION("""COMPUTED_VALUE"""),"")</f>
        <v/>
      </c>
      <c r="H886" s="36" t="str">
        <f ca="1">IFERROR(__xludf.DUMMYFUNCTION("""COMPUTED_VALUE"""),"")</f>
        <v/>
      </c>
      <c r="I886" s="36" t="str">
        <f ca="1">IFERROR(__xludf.DUMMYFUNCTION("""COMPUTED_VALUE"""),"")</f>
        <v/>
      </c>
      <c r="J886" s="36" t="str">
        <f ca="1">IFERROR(__xludf.DUMMYFUNCTION("""COMPUTED_VALUE"""),"")</f>
        <v/>
      </c>
      <c r="K886" s="36" t="str">
        <f ca="1">IFERROR(__xludf.DUMMYFUNCTION("""COMPUTED_VALUE"""),"")</f>
        <v/>
      </c>
      <c r="L886" s="36" t="str">
        <f ca="1">IFERROR(__xludf.DUMMYFUNCTION("""COMPUTED_VALUE"""),"")</f>
        <v/>
      </c>
      <c r="M886" s="36" t="str">
        <f ca="1">IFERROR(__xludf.DUMMYFUNCTION("""COMPUTED_VALUE"""),"")</f>
        <v/>
      </c>
      <c r="N886" s="36" t="str">
        <f ca="1">IFERROR(__xludf.DUMMYFUNCTION("""COMPUTED_VALUE"""),"")</f>
        <v/>
      </c>
      <c r="O886" s="36" t="str">
        <f ca="1">IFERROR(__xludf.DUMMYFUNCTION("""COMPUTED_VALUE"""),"")</f>
        <v/>
      </c>
      <c r="P886" s="36" t="str">
        <f ca="1">IFERROR(__xludf.DUMMYFUNCTION("""COMPUTED_VALUE"""),"")</f>
        <v/>
      </c>
      <c r="Q886" s="36" t="str">
        <f ca="1">IFERROR(__xludf.DUMMYFUNCTION("""COMPUTED_VALUE"""),"")</f>
        <v/>
      </c>
      <c r="R886" s="36" t="str">
        <f ca="1">IFERROR(__xludf.DUMMYFUNCTION("""COMPUTED_VALUE"""),"")</f>
        <v/>
      </c>
      <c r="S886" s="36" t="str">
        <f ca="1">IFERROR(__xludf.DUMMYFUNCTION("""COMPUTED_VALUE"""),"")</f>
        <v/>
      </c>
      <c r="T886" s="36" t="str">
        <f ca="1">IFERROR(__xludf.DUMMYFUNCTION("""COMPUTED_VALUE"""),"")</f>
        <v/>
      </c>
      <c r="U886" s="36" t="str">
        <f ca="1">IFERROR(__xludf.DUMMYFUNCTION("""COMPUTED_VALUE"""),"")</f>
        <v/>
      </c>
      <c r="V886" s="36" t="str">
        <f ca="1">IFERROR(__xludf.DUMMYFUNCTION("""COMPUTED_VALUE"""),"")</f>
        <v/>
      </c>
      <c r="W886" s="36" t="str">
        <f ca="1">IFERROR(__xludf.DUMMYFUNCTION("""COMPUTED_VALUE"""),"")</f>
        <v/>
      </c>
      <c r="X886" s="36"/>
      <c r="Y886" s="36"/>
      <c r="Z886" s="36"/>
    </row>
    <row r="887" spans="1:26" ht="12.75" hidden="1">
      <c r="A887" s="36" t="str">
        <f ca="1">IFERROR(__xludf.DUMMYFUNCTION("""COMPUTED_VALUE"""),"")</f>
        <v/>
      </c>
      <c r="B887" s="36" t="str">
        <f ca="1">IFERROR(__xludf.DUMMYFUNCTION("""COMPUTED_VALUE"""),"")</f>
        <v/>
      </c>
      <c r="C887" s="36" t="str">
        <f ca="1">IFERROR(__xludf.DUMMYFUNCTION("""COMPUTED_VALUE"""),"")</f>
        <v/>
      </c>
      <c r="D887" s="36" t="str">
        <f ca="1">IFERROR(__xludf.DUMMYFUNCTION("""COMPUTED_VALUE"""),"")</f>
        <v/>
      </c>
      <c r="E887" s="36" t="str">
        <f ca="1">IFERROR(__xludf.DUMMYFUNCTION("""COMPUTED_VALUE"""),"")</f>
        <v/>
      </c>
      <c r="F887" s="36" t="str">
        <f ca="1">IFERROR(__xludf.DUMMYFUNCTION("""COMPUTED_VALUE"""),"")</f>
        <v/>
      </c>
      <c r="G887" s="36" t="str">
        <f ca="1">IFERROR(__xludf.DUMMYFUNCTION("""COMPUTED_VALUE"""),"")</f>
        <v/>
      </c>
      <c r="H887" s="36" t="str">
        <f ca="1">IFERROR(__xludf.DUMMYFUNCTION("""COMPUTED_VALUE"""),"")</f>
        <v/>
      </c>
      <c r="I887" s="36" t="str">
        <f ca="1">IFERROR(__xludf.DUMMYFUNCTION("""COMPUTED_VALUE"""),"")</f>
        <v/>
      </c>
      <c r="J887" s="36" t="str">
        <f ca="1">IFERROR(__xludf.DUMMYFUNCTION("""COMPUTED_VALUE"""),"")</f>
        <v/>
      </c>
      <c r="K887" s="36" t="str">
        <f ca="1">IFERROR(__xludf.DUMMYFUNCTION("""COMPUTED_VALUE"""),"")</f>
        <v/>
      </c>
      <c r="L887" s="36" t="str">
        <f ca="1">IFERROR(__xludf.DUMMYFUNCTION("""COMPUTED_VALUE"""),"")</f>
        <v/>
      </c>
      <c r="M887" s="36" t="str">
        <f ca="1">IFERROR(__xludf.DUMMYFUNCTION("""COMPUTED_VALUE"""),"")</f>
        <v/>
      </c>
      <c r="N887" s="36" t="str">
        <f ca="1">IFERROR(__xludf.DUMMYFUNCTION("""COMPUTED_VALUE"""),"")</f>
        <v/>
      </c>
      <c r="O887" s="36" t="str">
        <f ca="1">IFERROR(__xludf.DUMMYFUNCTION("""COMPUTED_VALUE"""),"")</f>
        <v/>
      </c>
      <c r="P887" s="36" t="str">
        <f ca="1">IFERROR(__xludf.DUMMYFUNCTION("""COMPUTED_VALUE"""),"")</f>
        <v/>
      </c>
      <c r="Q887" s="36" t="str">
        <f ca="1">IFERROR(__xludf.DUMMYFUNCTION("""COMPUTED_VALUE"""),"")</f>
        <v/>
      </c>
      <c r="R887" s="36" t="str">
        <f ca="1">IFERROR(__xludf.DUMMYFUNCTION("""COMPUTED_VALUE"""),"")</f>
        <v/>
      </c>
      <c r="S887" s="36" t="str">
        <f ca="1">IFERROR(__xludf.DUMMYFUNCTION("""COMPUTED_VALUE"""),"")</f>
        <v/>
      </c>
      <c r="T887" s="36" t="str">
        <f ca="1">IFERROR(__xludf.DUMMYFUNCTION("""COMPUTED_VALUE"""),"")</f>
        <v/>
      </c>
      <c r="U887" s="36" t="str">
        <f ca="1">IFERROR(__xludf.DUMMYFUNCTION("""COMPUTED_VALUE"""),"")</f>
        <v/>
      </c>
      <c r="V887" s="36" t="str">
        <f ca="1">IFERROR(__xludf.DUMMYFUNCTION("""COMPUTED_VALUE"""),"")</f>
        <v/>
      </c>
      <c r="W887" s="36" t="str">
        <f ca="1">IFERROR(__xludf.DUMMYFUNCTION("""COMPUTED_VALUE"""),"")</f>
        <v/>
      </c>
      <c r="X887" s="36"/>
      <c r="Y887" s="36"/>
      <c r="Z887" s="36"/>
    </row>
    <row r="888" spans="1:26" ht="12.75" hidden="1">
      <c r="A888" s="36" t="str">
        <f ca="1">IFERROR(__xludf.DUMMYFUNCTION("""COMPUTED_VALUE"""),"")</f>
        <v/>
      </c>
      <c r="B888" s="36" t="str">
        <f ca="1">IFERROR(__xludf.DUMMYFUNCTION("""COMPUTED_VALUE"""),"")</f>
        <v/>
      </c>
      <c r="C888" s="36" t="str">
        <f ca="1">IFERROR(__xludf.DUMMYFUNCTION("""COMPUTED_VALUE"""),"")</f>
        <v/>
      </c>
      <c r="D888" s="36" t="str">
        <f ca="1">IFERROR(__xludf.DUMMYFUNCTION("""COMPUTED_VALUE"""),"")</f>
        <v/>
      </c>
      <c r="E888" s="36" t="str">
        <f ca="1">IFERROR(__xludf.DUMMYFUNCTION("""COMPUTED_VALUE"""),"")</f>
        <v/>
      </c>
      <c r="F888" s="36" t="str">
        <f ca="1">IFERROR(__xludf.DUMMYFUNCTION("""COMPUTED_VALUE"""),"")</f>
        <v/>
      </c>
      <c r="G888" s="36" t="str">
        <f ca="1">IFERROR(__xludf.DUMMYFUNCTION("""COMPUTED_VALUE"""),"")</f>
        <v/>
      </c>
      <c r="H888" s="36" t="str">
        <f ca="1">IFERROR(__xludf.DUMMYFUNCTION("""COMPUTED_VALUE"""),"")</f>
        <v/>
      </c>
      <c r="I888" s="36" t="str">
        <f ca="1">IFERROR(__xludf.DUMMYFUNCTION("""COMPUTED_VALUE"""),"")</f>
        <v/>
      </c>
      <c r="J888" s="36" t="str">
        <f ca="1">IFERROR(__xludf.DUMMYFUNCTION("""COMPUTED_VALUE"""),"")</f>
        <v/>
      </c>
      <c r="K888" s="36" t="str">
        <f ca="1">IFERROR(__xludf.DUMMYFUNCTION("""COMPUTED_VALUE"""),"")</f>
        <v/>
      </c>
      <c r="L888" s="36" t="str">
        <f ca="1">IFERROR(__xludf.DUMMYFUNCTION("""COMPUTED_VALUE"""),"")</f>
        <v/>
      </c>
      <c r="M888" s="36" t="str">
        <f ca="1">IFERROR(__xludf.DUMMYFUNCTION("""COMPUTED_VALUE"""),"")</f>
        <v/>
      </c>
      <c r="N888" s="36" t="str">
        <f ca="1">IFERROR(__xludf.DUMMYFUNCTION("""COMPUTED_VALUE"""),"")</f>
        <v/>
      </c>
      <c r="O888" s="36" t="str">
        <f ca="1">IFERROR(__xludf.DUMMYFUNCTION("""COMPUTED_VALUE"""),"")</f>
        <v/>
      </c>
      <c r="P888" s="36" t="str">
        <f ca="1">IFERROR(__xludf.DUMMYFUNCTION("""COMPUTED_VALUE"""),"")</f>
        <v/>
      </c>
      <c r="Q888" s="36" t="str">
        <f ca="1">IFERROR(__xludf.DUMMYFUNCTION("""COMPUTED_VALUE"""),"")</f>
        <v/>
      </c>
      <c r="R888" s="36" t="str">
        <f ca="1">IFERROR(__xludf.DUMMYFUNCTION("""COMPUTED_VALUE"""),"")</f>
        <v/>
      </c>
      <c r="S888" s="36" t="str">
        <f ca="1">IFERROR(__xludf.DUMMYFUNCTION("""COMPUTED_VALUE"""),"")</f>
        <v/>
      </c>
      <c r="T888" s="36" t="str">
        <f ca="1">IFERROR(__xludf.DUMMYFUNCTION("""COMPUTED_VALUE"""),"")</f>
        <v/>
      </c>
      <c r="U888" s="36" t="str">
        <f ca="1">IFERROR(__xludf.DUMMYFUNCTION("""COMPUTED_VALUE"""),"")</f>
        <v/>
      </c>
      <c r="V888" s="36" t="str">
        <f ca="1">IFERROR(__xludf.DUMMYFUNCTION("""COMPUTED_VALUE"""),"")</f>
        <v/>
      </c>
      <c r="W888" s="36" t="str">
        <f ca="1">IFERROR(__xludf.DUMMYFUNCTION("""COMPUTED_VALUE"""),"")</f>
        <v/>
      </c>
      <c r="X888" s="36"/>
      <c r="Y888" s="36"/>
      <c r="Z888" s="36"/>
    </row>
    <row r="889" spans="1:26" ht="12.75" hidden="1">
      <c r="A889" s="36" t="str">
        <f ca="1">IFERROR(__xludf.DUMMYFUNCTION("""COMPUTED_VALUE"""),"")</f>
        <v/>
      </c>
      <c r="B889" s="36" t="str">
        <f ca="1">IFERROR(__xludf.DUMMYFUNCTION("""COMPUTED_VALUE"""),"")</f>
        <v/>
      </c>
      <c r="C889" s="36" t="str">
        <f ca="1">IFERROR(__xludf.DUMMYFUNCTION("""COMPUTED_VALUE"""),"")</f>
        <v/>
      </c>
      <c r="D889" s="36" t="str">
        <f ca="1">IFERROR(__xludf.DUMMYFUNCTION("""COMPUTED_VALUE"""),"")</f>
        <v/>
      </c>
      <c r="E889" s="36" t="str">
        <f ca="1">IFERROR(__xludf.DUMMYFUNCTION("""COMPUTED_VALUE"""),"")</f>
        <v/>
      </c>
      <c r="F889" s="36" t="str">
        <f ca="1">IFERROR(__xludf.DUMMYFUNCTION("""COMPUTED_VALUE"""),"")</f>
        <v/>
      </c>
      <c r="G889" s="36" t="str">
        <f ca="1">IFERROR(__xludf.DUMMYFUNCTION("""COMPUTED_VALUE"""),"")</f>
        <v/>
      </c>
      <c r="H889" s="36" t="str">
        <f ca="1">IFERROR(__xludf.DUMMYFUNCTION("""COMPUTED_VALUE"""),"")</f>
        <v/>
      </c>
      <c r="I889" s="36" t="str">
        <f ca="1">IFERROR(__xludf.DUMMYFUNCTION("""COMPUTED_VALUE"""),"")</f>
        <v/>
      </c>
      <c r="J889" s="36" t="str">
        <f ca="1">IFERROR(__xludf.DUMMYFUNCTION("""COMPUTED_VALUE"""),"")</f>
        <v/>
      </c>
      <c r="K889" s="36" t="str">
        <f ca="1">IFERROR(__xludf.DUMMYFUNCTION("""COMPUTED_VALUE"""),"")</f>
        <v/>
      </c>
      <c r="L889" s="36" t="str">
        <f ca="1">IFERROR(__xludf.DUMMYFUNCTION("""COMPUTED_VALUE"""),"")</f>
        <v/>
      </c>
      <c r="M889" s="36" t="str">
        <f ca="1">IFERROR(__xludf.DUMMYFUNCTION("""COMPUTED_VALUE"""),"")</f>
        <v/>
      </c>
      <c r="N889" s="36" t="str">
        <f ca="1">IFERROR(__xludf.DUMMYFUNCTION("""COMPUTED_VALUE"""),"")</f>
        <v/>
      </c>
      <c r="O889" s="36" t="str">
        <f ca="1">IFERROR(__xludf.DUMMYFUNCTION("""COMPUTED_VALUE"""),"")</f>
        <v/>
      </c>
      <c r="P889" s="36" t="str">
        <f ca="1">IFERROR(__xludf.DUMMYFUNCTION("""COMPUTED_VALUE"""),"")</f>
        <v/>
      </c>
      <c r="Q889" s="36" t="str">
        <f ca="1">IFERROR(__xludf.DUMMYFUNCTION("""COMPUTED_VALUE"""),"")</f>
        <v/>
      </c>
      <c r="R889" s="36" t="str">
        <f ca="1">IFERROR(__xludf.DUMMYFUNCTION("""COMPUTED_VALUE"""),"")</f>
        <v/>
      </c>
      <c r="S889" s="36" t="str">
        <f ca="1">IFERROR(__xludf.DUMMYFUNCTION("""COMPUTED_VALUE"""),"")</f>
        <v/>
      </c>
      <c r="T889" s="36" t="str">
        <f ca="1">IFERROR(__xludf.DUMMYFUNCTION("""COMPUTED_VALUE"""),"")</f>
        <v/>
      </c>
      <c r="U889" s="36" t="str">
        <f ca="1">IFERROR(__xludf.DUMMYFUNCTION("""COMPUTED_VALUE"""),"")</f>
        <v/>
      </c>
      <c r="V889" s="36" t="str">
        <f ca="1">IFERROR(__xludf.DUMMYFUNCTION("""COMPUTED_VALUE"""),"")</f>
        <v/>
      </c>
      <c r="W889" s="36" t="str">
        <f ca="1">IFERROR(__xludf.DUMMYFUNCTION("""COMPUTED_VALUE"""),"")</f>
        <v/>
      </c>
      <c r="X889" s="36"/>
      <c r="Y889" s="36"/>
      <c r="Z889" s="36"/>
    </row>
    <row r="890" spans="1:26" ht="12.75" hidden="1">
      <c r="A890" s="36" t="str">
        <f ca="1">IFERROR(__xludf.DUMMYFUNCTION("""COMPUTED_VALUE"""),"")</f>
        <v/>
      </c>
      <c r="B890" s="36" t="str">
        <f ca="1">IFERROR(__xludf.DUMMYFUNCTION("""COMPUTED_VALUE"""),"")</f>
        <v/>
      </c>
      <c r="C890" s="36" t="str">
        <f ca="1">IFERROR(__xludf.DUMMYFUNCTION("""COMPUTED_VALUE"""),"")</f>
        <v/>
      </c>
      <c r="D890" s="36" t="str">
        <f ca="1">IFERROR(__xludf.DUMMYFUNCTION("""COMPUTED_VALUE"""),"")</f>
        <v/>
      </c>
      <c r="E890" s="36" t="str">
        <f ca="1">IFERROR(__xludf.DUMMYFUNCTION("""COMPUTED_VALUE"""),"")</f>
        <v/>
      </c>
      <c r="F890" s="36" t="str">
        <f ca="1">IFERROR(__xludf.DUMMYFUNCTION("""COMPUTED_VALUE"""),"")</f>
        <v/>
      </c>
      <c r="G890" s="36" t="str">
        <f ca="1">IFERROR(__xludf.DUMMYFUNCTION("""COMPUTED_VALUE"""),"")</f>
        <v/>
      </c>
      <c r="H890" s="36" t="str">
        <f ca="1">IFERROR(__xludf.DUMMYFUNCTION("""COMPUTED_VALUE"""),"")</f>
        <v/>
      </c>
      <c r="I890" s="36" t="str">
        <f ca="1">IFERROR(__xludf.DUMMYFUNCTION("""COMPUTED_VALUE"""),"")</f>
        <v/>
      </c>
      <c r="J890" s="36" t="str">
        <f ca="1">IFERROR(__xludf.DUMMYFUNCTION("""COMPUTED_VALUE"""),"")</f>
        <v/>
      </c>
      <c r="K890" s="36" t="str">
        <f ca="1">IFERROR(__xludf.DUMMYFUNCTION("""COMPUTED_VALUE"""),"")</f>
        <v/>
      </c>
      <c r="L890" s="36" t="str">
        <f ca="1">IFERROR(__xludf.DUMMYFUNCTION("""COMPUTED_VALUE"""),"")</f>
        <v/>
      </c>
      <c r="M890" s="36" t="str">
        <f ca="1">IFERROR(__xludf.DUMMYFUNCTION("""COMPUTED_VALUE"""),"")</f>
        <v/>
      </c>
      <c r="N890" s="36" t="str">
        <f ca="1">IFERROR(__xludf.DUMMYFUNCTION("""COMPUTED_VALUE"""),"")</f>
        <v/>
      </c>
      <c r="O890" s="36" t="str">
        <f ca="1">IFERROR(__xludf.DUMMYFUNCTION("""COMPUTED_VALUE"""),"")</f>
        <v/>
      </c>
      <c r="P890" s="36" t="str">
        <f ca="1">IFERROR(__xludf.DUMMYFUNCTION("""COMPUTED_VALUE"""),"")</f>
        <v/>
      </c>
      <c r="Q890" s="36" t="str">
        <f ca="1">IFERROR(__xludf.DUMMYFUNCTION("""COMPUTED_VALUE"""),"")</f>
        <v/>
      </c>
      <c r="R890" s="36" t="str">
        <f ca="1">IFERROR(__xludf.DUMMYFUNCTION("""COMPUTED_VALUE"""),"")</f>
        <v/>
      </c>
      <c r="S890" s="36" t="str">
        <f ca="1">IFERROR(__xludf.DUMMYFUNCTION("""COMPUTED_VALUE"""),"")</f>
        <v/>
      </c>
      <c r="T890" s="36" t="str">
        <f ca="1">IFERROR(__xludf.DUMMYFUNCTION("""COMPUTED_VALUE"""),"")</f>
        <v/>
      </c>
      <c r="U890" s="36" t="str">
        <f ca="1">IFERROR(__xludf.DUMMYFUNCTION("""COMPUTED_VALUE"""),"")</f>
        <v/>
      </c>
      <c r="V890" s="36" t="str">
        <f ca="1">IFERROR(__xludf.DUMMYFUNCTION("""COMPUTED_VALUE"""),"")</f>
        <v/>
      </c>
      <c r="W890" s="36" t="str">
        <f ca="1">IFERROR(__xludf.DUMMYFUNCTION("""COMPUTED_VALUE"""),"")</f>
        <v/>
      </c>
      <c r="X890" s="36"/>
      <c r="Y890" s="36"/>
      <c r="Z890" s="36"/>
    </row>
    <row r="891" spans="1:26" ht="12.75" hidden="1">
      <c r="A891" s="36" t="str">
        <f ca="1">IFERROR(__xludf.DUMMYFUNCTION("""COMPUTED_VALUE"""),"")</f>
        <v/>
      </c>
      <c r="B891" s="36" t="str">
        <f ca="1">IFERROR(__xludf.DUMMYFUNCTION("""COMPUTED_VALUE"""),"")</f>
        <v/>
      </c>
      <c r="C891" s="36" t="str">
        <f ca="1">IFERROR(__xludf.DUMMYFUNCTION("""COMPUTED_VALUE"""),"")</f>
        <v/>
      </c>
      <c r="D891" s="36" t="str">
        <f ca="1">IFERROR(__xludf.DUMMYFUNCTION("""COMPUTED_VALUE"""),"")</f>
        <v/>
      </c>
      <c r="E891" s="36" t="str">
        <f ca="1">IFERROR(__xludf.DUMMYFUNCTION("""COMPUTED_VALUE"""),"")</f>
        <v/>
      </c>
      <c r="F891" s="36" t="str">
        <f ca="1">IFERROR(__xludf.DUMMYFUNCTION("""COMPUTED_VALUE"""),"")</f>
        <v/>
      </c>
      <c r="G891" s="36" t="str">
        <f ca="1">IFERROR(__xludf.DUMMYFUNCTION("""COMPUTED_VALUE"""),"")</f>
        <v/>
      </c>
      <c r="H891" s="36" t="str">
        <f ca="1">IFERROR(__xludf.DUMMYFUNCTION("""COMPUTED_VALUE"""),"")</f>
        <v/>
      </c>
      <c r="I891" s="36" t="str">
        <f ca="1">IFERROR(__xludf.DUMMYFUNCTION("""COMPUTED_VALUE"""),"")</f>
        <v/>
      </c>
      <c r="J891" s="36" t="str">
        <f ca="1">IFERROR(__xludf.DUMMYFUNCTION("""COMPUTED_VALUE"""),"")</f>
        <v/>
      </c>
      <c r="K891" s="36" t="str">
        <f ca="1">IFERROR(__xludf.DUMMYFUNCTION("""COMPUTED_VALUE"""),"")</f>
        <v/>
      </c>
      <c r="L891" s="36" t="str">
        <f ca="1">IFERROR(__xludf.DUMMYFUNCTION("""COMPUTED_VALUE"""),"")</f>
        <v/>
      </c>
      <c r="M891" s="36" t="str">
        <f ca="1">IFERROR(__xludf.DUMMYFUNCTION("""COMPUTED_VALUE"""),"")</f>
        <v/>
      </c>
      <c r="N891" s="36" t="str">
        <f ca="1">IFERROR(__xludf.DUMMYFUNCTION("""COMPUTED_VALUE"""),"")</f>
        <v/>
      </c>
      <c r="O891" s="36" t="str">
        <f ca="1">IFERROR(__xludf.DUMMYFUNCTION("""COMPUTED_VALUE"""),"")</f>
        <v/>
      </c>
      <c r="P891" s="36" t="str">
        <f ca="1">IFERROR(__xludf.DUMMYFUNCTION("""COMPUTED_VALUE"""),"")</f>
        <v/>
      </c>
      <c r="Q891" s="36" t="str">
        <f ca="1">IFERROR(__xludf.DUMMYFUNCTION("""COMPUTED_VALUE"""),"")</f>
        <v/>
      </c>
      <c r="R891" s="36" t="str">
        <f ca="1">IFERROR(__xludf.DUMMYFUNCTION("""COMPUTED_VALUE"""),"")</f>
        <v/>
      </c>
      <c r="S891" s="36" t="str">
        <f ca="1">IFERROR(__xludf.DUMMYFUNCTION("""COMPUTED_VALUE"""),"")</f>
        <v/>
      </c>
      <c r="T891" s="36" t="str">
        <f ca="1">IFERROR(__xludf.DUMMYFUNCTION("""COMPUTED_VALUE"""),"")</f>
        <v/>
      </c>
      <c r="U891" s="36" t="str">
        <f ca="1">IFERROR(__xludf.DUMMYFUNCTION("""COMPUTED_VALUE"""),"")</f>
        <v/>
      </c>
      <c r="V891" s="36" t="str">
        <f ca="1">IFERROR(__xludf.DUMMYFUNCTION("""COMPUTED_VALUE"""),"")</f>
        <v/>
      </c>
      <c r="W891" s="36" t="str">
        <f ca="1">IFERROR(__xludf.DUMMYFUNCTION("""COMPUTED_VALUE"""),"")</f>
        <v/>
      </c>
      <c r="X891" s="36"/>
      <c r="Y891" s="36"/>
      <c r="Z891" s="36"/>
    </row>
    <row r="892" spans="1:26" ht="12.75" hidden="1">
      <c r="A892" s="36" t="str">
        <f ca="1">IFERROR(__xludf.DUMMYFUNCTION("""COMPUTED_VALUE"""),"")</f>
        <v/>
      </c>
      <c r="B892" s="36" t="str">
        <f ca="1">IFERROR(__xludf.DUMMYFUNCTION("""COMPUTED_VALUE"""),"")</f>
        <v/>
      </c>
      <c r="C892" s="36" t="str">
        <f ca="1">IFERROR(__xludf.DUMMYFUNCTION("""COMPUTED_VALUE"""),"")</f>
        <v/>
      </c>
      <c r="D892" s="36" t="str">
        <f ca="1">IFERROR(__xludf.DUMMYFUNCTION("""COMPUTED_VALUE"""),"")</f>
        <v/>
      </c>
      <c r="E892" s="36" t="str">
        <f ca="1">IFERROR(__xludf.DUMMYFUNCTION("""COMPUTED_VALUE"""),"")</f>
        <v/>
      </c>
      <c r="F892" s="36" t="str">
        <f ca="1">IFERROR(__xludf.DUMMYFUNCTION("""COMPUTED_VALUE"""),"")</f>
        <v/>
      </c>
      <c r="G892" s="36" t="str">
        <f ca="1">IFERROR(__xludf.DUMMYFUNCTION("""COMPUTED_VALUE"""),"")</f>
        <v/>
      </c>
      <c r="H892" s="36" t="str">
        <f ca="1">IFERROR(__xludf.DUMMYFUNCTION("""COMPUTED_VALUE"""),"")</f>
        <v/>
      </c>
      <c r="I892" s="36" t="str">
        <f ca="1">IFERROR(__xludf.DUMMYFUNCTION("""COMPUTED_VALUE"""),"")</f>
        <v/>
      </c>
      <c r="J892" s="36" t="str">
        <f ca="1">IFERROR(__xludf.DUMMYFUNCTION("""COMPUTED_VALUE"""),"")</f>
        <v/>
      </c>
      <c r="K892" s="36" t="str">
        <f ca="1">IFERROR(__xludf.DUMMYFUNCTION("""COMPUTED_VALUE"""),"")</f>
        <v/>
      </c>
      <c r="L892" s="36" t="str">
        <f ca="1">IFERROR(__xludf.DUMMYFUNCTION("""COMPUTED_VALUE"""),"")</f>
        <v/>
      </c>
      <c r="M892" s="36" t="str">
        <f ca="1">IFERROR(__xludf.DUMMYFUNCTION("""COMPUTED_VALUE"""),"")</f>
        <v/>
      </c>
      <c r="N892" s="36" t="str">
        <f ca="1">IFERROR(__xludf.DUMMYFUNCTION("""COMPUTED_VALUE"""),"")</f>
        <v/>
      </c>
      <c r="O892" s="36" t="str">
        <f ca="1">IFERROR(__xludf.DUMMYFUNCTION("""COMPUTED_VALUE"""),"")</f>
        <v/>
      </c>
      <c r="P892" s="36" t="str">
        <f ca="1">IFERROR(__xludf.DUMMYFUNCTION("""COMPUTED_VALUE"""),"")</f>
        <v/>
      </c>
      <c r="Q892" s="36" t="str">
        <f ca="1">IFERROR(__xludf.DUMMYFUNCTION("""COMPUTED_VALUE"""),"")</f>
        <v/>
      </c>
      <c r="R892" s="36" t="str">
        <f ca="1">IFERROR(__xludf.DUMMYFUNCTION("""COMPUTED_VALUE"""),"")</f>
        <v/>
      </c>
      <c r="S892" s="36" t="str">
        <f ca="1">IFERROR(__xludf.DUMMYFUNCTION("""COMPUTED_VALUE"""),"")</f>
        <v/>
      </c>
      <c r="T892" s="36" t="str">
        <f ca="1">IFERROR(__xludf.DUMMYFUNCTION("""COMPUTED_VALUE"""),"")</f>
        <v/>
      </c>
      <c r="U892" s="36" t="str">
        <f ca="1">IFERROR(__xludf.DUMMYFUNCTION("""COMPUTED_VALUE"""),"")</f>
        <v/>
      </c>
      <c r="V892" s="36" t="str">
        <f ca="1">IFERROR(__xludf.DUMMYFUNCTION("""COMPUTED_VALUE"""),"")</f>
        <v/>
      </c>
      <c r="W892" s="36" t="str">
        <f ca="1">IFERROR(__xludf.DUMMYFUNCTION("""COMPUTED_VALUE"""),"")</f>
        <v/>
      </c>
      <c r="X892" s="36"/>
      <c r="Y892" s="36"/>
      <c r="Z892" s="36"/>
    </row>
    <row r="893" spans="1:26" ht="12.75" hidden="1">
      <c r="A893" s="36" t="str">
        <f ca="1">IFERROR(__xludf.DUMMYFUNCTION("""COMPUTED_VALUE"""),"")</f>
        <v/>
      </c>
      <c r="B893" s="36" t="str">
        <f ca="1">IFERROR(__xludf.DUMMYFUNCTION("""COMPUTED_VALUE"""),"")</f>
        <v/>
      </c>
      <c r="C893" s="36" t="str">
        <f ca="1">IFERROR(__xludf.DUMMYFUNCTION("""COMPUTED_VALUE"""),"")</f>
        <v/>
      </c>
      <c r="D893" s="36" t="str">
        <f ca="1">IFERROR(__xludf.DUMMYFUNCTION("""COMPUTED_VALUE"""),"")</f>
        <v/>
      </c>
      <c r="E893" s="36" t="str">
        <f ca="1">IFERROR(__xludf.DUMMYFUNCTION("""COMPUTED_VALUE"""),"")</f>
        <v/>
      </c>
      <c r="F893" s="36" t="str">
        <f ca="1">IFERROR(__xludf.DUMMYFUNCTION("""COMPUTED_VALUE"""),"")</f>
        <v/>
      </c>
      <c r="G893" s="36" t="str">
        <f ca="1">IFERROR(__xludf.DUMMYFUNCTION("""COMPUTED_VALUE"""),"")</f>
        <v/>
      </c>
      <c r="H893" s="36" t="str">
        <f ca="1">IFERROR(__xludf.DUMMYFUNCTION("""COMPUTED_VALUE"""),"")</f>
        <v/>
      </c>
      <c r="I893" s="36" t="str">
        <f ca="1">IFERROR(__xludf.DUMMYFUNCTION("""COMPUTED_VALUE"""),"")</f>
        <v/>
      </c>
      <c r="J893" s="36" t="str">
        <f ca="1">IFERROR(__xludf.DUMMYFUNCTION("""COMPUTED_VALUE"""),"")</f>
        <v/>
      </c>
      <c r="K893" s="36" t="str">
        <f ca="1">IFERROR(__xludf.DUMMYFUNCTION("""COMPUTED_VALUE"""),"")</f>
        <v/>
      </c>
      <c r="L893" s="36" t="str">
        <f ca="1">IFERROR(__xludf.DUMMYFUNCTION("""COMPUTED_VALUE"""),"")</f>
        <v/>
      </c>
      <c r="M893" s="36" t="str">
        <f ca="1">IFERROR(__xludf.DUMMYFUNCTION("""COMPUTED_VALUE"""),"")</f>
        <v/>
      </c>
      <c r="N893" s="36" t="str">
        <f ca="1">IFERROR(__xludf.DUMMYFUNCTION("""COMPUTED_VALUE"""),"")</f>
        <v/>
      </c>
      <c r="O893" s="36" t="str">
        <f ca="1">IFERROR(__xludf.DUMMYFUNCTION("""COMPUTED_VALUE"""),"")</f>
        <v/>
      </c>
      <c r="P893" s="36" t="str">
        <f ca="1">IFERROR(__xludf.DUMMYFUNCTION("""COMPUTED_VALUE"""),"")</f>
        <v/>
      </c>
      <c r="Q893" s="36" t="str">
        <f ca="1">IFERROR(__xludf.DUMMYFUNCTION("""COMPUTED_VALUE"""),"")</f>
        <v/>
      </c>
      <c r="R893" s="36" t="str">
        <f ca="1">IFERROR(__xludf.DUMMYFUNCTION("""COMPUTED_VALUE"""),"")</f>
        <v/>
      </c>
      <c r="S893" s="36" t="str">
        <f ca="1">IFERROR(__xludf.DUMMYFUNCTION("""COMPUTED_VALUE"""),"")</f>
        <v/>
      </c>
      <c r="T893" s="36" t="str">
        <f ca="1">IFERROR(__xludf.DUMMYFUNCTION("""COMPUTED_VALUE"""),"")</f>
        <v/>
      </c>
      <c r="U893" s="36" t="str">
        <f ca="1">IFERROR(__xludf.DUMMYFUNCTION("""COMPUTED_VALUE"""),"")</f>
        <v/>
      </c>
      <c r="V893" s="36" t="str">
        <f ca="1">IFERROR(__xludf.DUMMYFUNCTION("""COMPUTED_VALUE"""),"")</f>
        <v/>
      </c>
      <c r="W893" s="36" t="str">
        <f ca="1">IFERROR(__xludf.DUMMYFUNCTION("""COMPUTED_VALUE"""),"")</f>
        <v/>
      </c>
      <c r="X893" s="36"/>
      <c r="Y893" s="36"/>
      <c r="Z893" s="36"/>
    </row>
    <row r="894" spans="1:26" ht="12.75" hidden="1">
      <c r="A894" s="36" t="str">
        <f ca="1">IFERROR(__xludf.DUMMYFUNCTION("""COMPUTED_VALUE"""),"")</f>
        <v/>
      </c>
      <c r="B894" s="36" t="str">
        <f ca="1">IFERROR(__xludf.DUMMYFUNCTION("""COMPUTED_VALUE"""),"")</f>
        <v/>
      </c>
      <c r="C894" s="36" t="str">
        <f ca="1">IFERROR(__xludf.DUMMYFUNCTION("""COMPUTED_VALUE"""),"")</f>
        <v/>
      </c>
      <c r="D894" s="36" t="str">
        <f ca="1">IFERROR(__xludf.DUMMYFUNCTION("""COMPUTED_VALUE"""),"")</f>
        <v/>
      </c>
      <c r="E894" s="36" t="str">
        <f ca="1">IFERROR(__xludf.DUMMYFUNCTION("""COMPUTED_VALUE"""),"")</f>
        <v/>
      </c>
      <c r="F894" s="36" t="str">
        <f ca="1">IFERROR(__xludf.DUMMYFUNCTION("""COMPUTED_VALUE"""),"")</f>
        <v/>
      </c>
      <c r="G894" s="36" t="str">
        <f ca="1">IFERROR(__xludf.DUMMYFUNCTION("""COMPUTED_VALUE"""),"")</f>
        <v/>
      </c>
      <c r="H894" s="36" t="str">
        <f ca="1">IFERROR(__xludf.DUMMYFUNCTION("""COMPUTED_VALUE"""),"")</f>
        <v/>
      </c>
      <c r="I894" s="36" t="str">
        <f ca="1">IFERROR(__xludf.DUMMYFUNCTION("""COMPUTED_VALUE"""),"")</f>
        <v/>
      </c>
      <c r="J894" s="36" t="str">
        <f ca="1">IFERROR(__xludf.DUMMYFUNCTION("""COMPUTED_VALUE"""),"")</f>
        <v/>
      </c>
      <c r="K894" s="36" t="str">
        <f ca="1">IFERROR(__xludf.DUMMYFUNCTION("""COMPUTED_VALUE"""),"")</f>
        <v/>
      </c>
      <c r="L894" s="36" t="str">
        <f ca="1">IFERROR(__xludf.DUMMYFUNCTION("""COMPUTED_VALUE"""),"")</f>
        <v/>
      </c>
      <c r="M894" s="36" t="str">
        <f ca="1">IFERROR(__xludf.DUMMYFUNCTION("""COMPUTED_VALUE"""),"")</f>
        <v/>
      </c>
      <c r="N894" s="36" t="str">
        <f ca="1">IFERROR(__xludf.DUMMYFUNCTION("""COMPUTED_VALUE"""),"")</f>
        <v/>
      </c>
      <c r="O894" s="36" t="str">
        <f ca="1">IFERROR(__xludf.DUMMYFUNCTION("""COMPUTED_VALUE"""),"")</f>
        <v/>
      </c>
      <c r="P894" s="36" t="str">
        <f ca="1">IFERROR(__xludf.DUMMYFUNCTION("""COMPUTED_VALUE"""),"")</f>
        <v/>
      </c>
      <c r="Q894" s="36" t="str">
        <f ca="1">IFERROR(__xludf.DUMMYFUNCTION("""COMPUTED_VALUE"""),"")</f>
        <v/>
      </c>
      <c r="R894" s="36" t="str">
        <f ca="1">IFERROR(__xludf.DUMMYFUNCTION("""COMPUTED_VALUE"""),"")</f>
        <v/>
      </c>
      <c r="S894" s="36" t="str">
        <f ca="1">IFERROR(__xludf.DUMMYFUNCTION("""COMPUTED_VALUE"""),"")</f>
        <v/>
      </c>
      <c r="T894" s="36" t="str">
        <f ca="1">IFERROR(__xludf.DUMMYFUNCTION("""COMPUTED_VALUE"""),"")</f>
        <v/>
      </c>
      <c r="U894" s="36" t="str">
        <f ca="1">IFERROR(__xludf.DUMMYFUNCTION("""COMPUTED_VALUE"""),"")</f>
        <v/>
      </c>
      <c r="V894" s="36" t="str">
        <f ca="1">IFERROR(__xludf.DUMMYFUNCTION("""COMPUTED_VALUE"""),"")</f>
        <v/>
      </c>
      <c r="W894" s="36" t="str">
        <f ca="1">IFERROR(__xludf.DUMMYFUNCTION("""COMPUTED_VALUE"""),"")</f>
        <v/>
      </c>
      <c r="X894" s="36"/>
      <c r="Y894" s="36"/>
      <c r="Z894" s="36"/>
    </row>
    <row r="895" spans="1:26" ht="12.75" hidden="1">
      <c r="A895" s="36" t="str">
        <f ca="1">IFERROR(__xludf.DUMMYFUNCTION("""COMPUTED_VALUE"""),"")</f>
        <v/>
      </c>
      <c r="B895" s="36" t="str">
        <f ca="1">IFERROR(__xludf.DUMMYFUNCTION("""COMPUTED_VALUE"""),"")</f>
        <v/>
      </c>
      <c r="C895" s="36" t="str">
        <f ca="1">IFERROR(__xludf.DUMMYFUNCTION("""COMPUTED_VALUE"""),"")</f>
        <v/>
      </c>
      <c r="D895" s="36" t="str">
        <f ca="1">IFERROR(__xludf.DUMMYFUNCTION("""COMPUTED_VALUE"""),"")</f>
        <v/>
      </c>
      <c r="E895" s="36" t="str">
        <f ca="1">IFERROR(__xludf.DUMMYFUNCTION("""COMPUTED_VALUE"""),"")</f>
        <v/>
      </c>
      <c r="F895" s="36" t="str">
        <f ca="1">IFERROR(__xludf.DUMMYFUNCTION("""COMPUTED_VALUE"""),"")</f>
        <v/>
      </c>
      <c r="G895" s="36" t="str">
        <f ca="1">IFERROR(__xludf.DUMMYFUNCTION("""COMPUTED_VALUE"""),"")</f>
        <v/>
      </c>
      <c r="H895" s="36" t="str">
        <f ca="1">IFERROR(__xludf.DUMMYFUNCTION("""COMPUTED_VALUE"""),"")</f>
        <v/>
      </c>
      <c r="I895" s="36" t="str">
        <f ca="1">IFERROR(__xludf.DUMMYFUNCTION("""COMPUTED_VALUE"""),"")</f>
        <v/>
      </c>
      <c r="J895" s="36" t="str">
        <f ca="1">IFERROR(__xludf.DUMMYFUNCTION("""COMPUTED_VALUE"""),"")</f>
        <v/>
      </c>
      <c r="K895" s="36" t="str">
        <f ca="1">IFERROR(__xludf.DUMMYFUNCTION("""COMPUTED_VALUE"""),"")</f>
        <v/>
      </c>
      <c r="L895" s="36" t="str">
        <f ca="1">IFERROR(__xludf.DUMMYFUNCTION("""COMPUTED_VALUE"""),"")</f>
        <v/>
      </c>
      <c r="M895" s="36" t="str">
        <f ca="1">IFERROR(__xludf.DUMMYFUNCTION("""COMPUTED_VALUE"""),"")</f>
        <v/>
      </c>
      <c r="N895" s="36" t="str">
        <f ca="1">IFERROR(__xludf.DUMMYFUNCTION("""COMPUTED_VALUE"""),"")</f>
        <v/>
      </c>
      <c r="O895" s="36" t="str">
        <f ca="1">IFERROR(__xludf.DUMMYFUNCTION("""COMPUTED_VALUE"""),"")</f>
        <v/>
      </c>
      <c r="P895" s="36" t="str">
        <f ca="1">IFERROR(__xludf.DUMMYFUNCTION("""COMPUTED_VALUE"""),"")</f>
        <v/>
      </c>
      <c r="Q895" s="36" t="str">
        <f ca="1">IFERROR(__xludf.DUMMYFUNCTION("""COMPUTED_VALUE"""),"")</f>
        <v/>
      </c>
      <c r="R895" s="36" t="str">
        <f ca="1">IFERROR(__xludf.DUMMYFUNCTION("""COMPUTED_VALUE"""),"")</f>
        <v/>
      </c>
      <c r="S895" s="36" t="str">
        <f ca="1">IFERROR(__xludf.DUMMYFUNCTION("""COMPUTED_VALUE"""),"")</f>
        <v/>
      </c>
      <c r="T895" s="36" t="str">
        <f ca="1">IFERROR(__xludf.DUMMYFUNCTION("""COMPUTED_VALUE"""),"")</f>
        <v/>
      </c>
      <c r="U895" s="36" t="str">
        <f ca="1">IFERROR(__xludf.DUMMYFUNCTION("""COMPUTED_VALUE"""),"")</f>
        <v/>
      </c>
      <c r="V895" s="36" t="str">
        <f ca="1">IFERROR(__xludf.DUMMYFUNCTION("""COMPUTED_VALUE"""),"")</f>
        <v/>
      </c>
      <c r="W895" s="36" t="str">
        <f ca="1">IFERROR(__xludf.DUMMYFUNCTION("""COMPUTED_VALUE"""),"")</f>
        <v/>
      </c>
      <c r="X895" s="36"/>
      <c r="Y895" s="36"/>
      <c r="Z895" s="36"/>
    </row>
    <row r="896" spans="1:26" ht="12.75" hidden="1">
      <c r="A896" s="36" t="str">
        <f ca="1">IFERROR(__xludf.DUMMYFUNCTION("""COMPUTED_VALUE"""),"")</f>
        <v/>
      </c>
      <c r="B896" s="36" t="str">
        <f ca="1">IFERROR(__xludf.DUMMYFUNCTION("""COMPUTED_VALUE"""),"")</f>
        <v/>
      </c>
      <c r="C896" s="36" t="str">
        <f ca="1">IFERROR(__xludf.DUMMYFUNCTION("""COMPUTED_VALUE"""),"")</f>
        <v/>
      </c>
      <c r="D896" s="36" t="str">
        <f ca="1">IFERROR(__xludf.DUMMYFUNCTION("""COMPUTED_VALUE"""),"")</f>
        <v/>
      </c>
      <c r="E896" s="36" t="str">
        <f ca="1">IFERROR(__xludf.DUMMYFUNCTION("""COMPUTED_VALUE"""),"")</f>
        <v/>
      </c>
      <c r="F896" s="36" t="str">
        <f ca="1">IFERROR(__xludf.DUMMYFUNCTION("""COMPUTED_VALUE"""),"")</f>
        <v/>
      </c>
      <c r="G896" s="36" t="str">
        <f ca="1">IFERROR(__xludf.DUMMYFUNCTION("""COMPUTED_VALUE"""),"")</f>
        <v/>
      </c>
      <c r="H896" s="36" t="str">
        <f ca="1">IFERROR(__xludf.DUMMYFUNCTION("""COMPUTED_VALUE"""),"")</f>
        <v/>
      </c>
      <c r="I896" s="36" t="str">
        <f ca="1">IFERROR(__xludf.DUMMYFUNCTION("""COMPUTED_VALUE"""),"")</f>
        <v/>
      </c>
      <c r="J896" s="36" t="str">
        <f ca="1">IFERROR(__xludf.DUMMYFUNCTION("""COMPUTED_VALUE"""),"")</f>
        <v/>
      </c>
      <c r="K896" s="36" t="str">
        <f ca="1">IFERROR(__xludf.DUMMYFUNCTION("""COMPUTED_VALUE"""),"")</f>
        <v/>
      </c>
      <c r="L896" s="36" t="str">
        <f ca="1">IFERROR(__xludf.DUMMYFUNCTION("""COMPUTED_VALUE"""),"")</f>
        <v/>
      </c>
      <c r="M896" s="36" t="str">
        <f ca="1">IFERROR(__xludf.DUMMYFUNCTION("""COMPUTED_VALUE"""),"")</f>
        <v/>
      </c>
      <c r="N896" s="36" t="str">
        <f ca="1">IFERROR(__xludf.DUMMYFUNCTION("""COMPUTED_VALUE"""),"")</f>
        <v/>
      </c>
      <c r="O896" s="36" t="str">
        <f ca="1">IFERROR(__xludf.DUMMYFUNCTION("""COMPUTED_VALUE"""),"")</f>
        <v/>
      </c>
      <c r="P896" s="36" t="str">
        <f ca="1">IFERROR(__xludf.DUMMYFUNCTION("""COMPUTED_VALUE"""),"")</f>
        <v/>
      </c>
      <c r="Q896" s="36" t="str">
        <f ca="1">IFERROR(__xludf.DUMMYFUNCTION("""COMPUTED_VALUE"""),"")</f>
        <v/>
      </c>
      <c r="R896" s="36" t="str">
        <f ca="1">IFERROR(__xludf.DUMMYFUNCTION("""COMPUTED_VALUE"""),"")</f>
        <v/>
      </c>
      <c r="S896" s="36" t="str">
        <f ca="1">IFERROR(__xludf.DUMMYFUNCTION("""COMPUTED_VALUE"""),"")</f>
        <v/>
      </c>
      <c r="T896" s="36" t="str">
        <f ca="1">IFERROR(__xludf.DUMMYFUNCTION("""COMPUTED_VALUE"""),"")</f>
        <v/>
      </c>
      <c r="U896" s="36" t="str">
        <f ca="1">IFERROR(__xludf.DUMMYFUNCTION("""COMPUTED_VALUE"""),"")</f>
        <v/>
      </c>
      <c r="V896" s="36" t="str">
        <f ca="1">IFERROR(__xludf.DUMMYFUNCTION("""COMPUTED_VALUE"""),"")</f>
        <v/>
      </c>
      <c r="W896" s="36" t="str">
        <f ca="1">IFERROR(__xludf.DUMMYFUNCTION("""COMPUTED_VALUE"""),"")</f>
        <v/>
      </c>
      <c r="X896" s="36"/>
      <c r="Y896" s="36"/>
      <c r="Z896" s="36"/>
    </row>
    <row r="897" spans="1:26" ht="12.75" hidden="1">
      <c r="A897" s="36" t="str">
        <f ca="1">IFERROR(__xludf.DUMMYFUNCTION("""COMPUTED_VALUE"""),"")</f>
        <v/>
      </c>
      <c r="B897" s="36" t="str">
        <f ca="1">IFERROR(__xludf.DUMMYFUNCTION("""COMPUTED_VALUE"""),"")</f>
        <v/>
      </c>
      <c r="C897" s="36" t="str">
        <f ca="1">IFERROR(__xludf.DUMMYFUNCTION("""COMPUTED_VALUE"""),"")</f>
        <v/>
      </c>
      <c r="D897" s="36" t="str">
        <f ca="1">IFERROR(__xludf.DUMMYFUNCTION("""COMPUTED_VALUE"""),"")</f>
        <v/>
      </c>
      <c r="E897" s="36" t="str">
        <f ca="1">IFERROR(__xludf.DUMMYFUNCTION("""COMPUTED_VALUE"""),"")</f>
        <v/>
      </c>
      <c r="F897" s="36" t="str">
        <f ca="1">IFERROR(__xludf.DUMMYFUNCTION("""COMPUTED_VALUE"""),"")</f>
        <v/>
      </c>
      <c r="G897" s="36" t="str">
        <f ca="1">IFERROR(__xludf.DUMMYFUNCTION("""COMPUTED_VALUE"""),"")</f>
        <v/>
      </c>
      <c r="H897" s="36" t="str">
        <f ca="1">IFERROR(__xludf.DUMMYFUNCTION("""COMPUTED_VALUE"""),"")</f>
        <v/>
      </c>
      <c r="I897" s="36" t="str">
        <f ca="1">IFERROR(__xludf.DUMMYFUNCTION("""COMPUTED_VALUE"""),"")</f>
        <v/>
      </c>
      <c r="J897" s="36" t="str">
        <f ca="1">IFERROR(__xludf.DUMMYFUNCTION("""COMPUTED_VALUE"""),"")</f>
        <v/>
      </c>
      <c r="K897" s="36" t="str">
        <f ca="1">IFERROR(__xludf.DUMMYFUNCTION("""COMPUTED_VALUE"""),"")</f>
        <v/>
      </c>
      <c r="L897" s="36" t="str">
        <f ca="1">IFERROR(__xludf.DUMMYFUNCTION("""COMPUTED_VALUE"""),"")</f>
        <v/>
      </c>
      <c r="M897" s="36" t="str">
        <f ca="1">IFERROR(__xludf.DUMMYFUNCTION("""COMPUTED_VALUE"""),"")</f>
        <v/>
      </c>
      <c r="N897" s="36" t="str">
        <f ca="1">IFERROR(__xludf.DUMMYFUNCTION("""COMPUTED_VALUE"""),"")</f>
        <v/>
      </c>
      <c r="O897" s="36" t="str">
        <f ca="1">IFERROR(__xludf.DUMMYFUNCTION("""COMPUTED_VALUE"""),"")</f>
        <v/>
      </c>
      <c r="P897" s="36" t="str">
        <f ca="1">IFERROR(__xludf.DUMMYFUNCTION("""COMPUTED_VALUE"""),"")</f>
        <v/>
      </c>
      <c r="Q897" s="36" t="str">
        <f ca="1">IFERROR(__xludf.DUMMYFUNCTION("""COMPUTED_VALUE"""),"")</f>
        <v/>
      </c>
      <c r="R897" s="36" t="str">
        <f ca="1">IFERROR(__xludf.DUMMYFUNCTION("""COMPUTED_VALUE"""),"")</f>
        <v/>
      </c>
      <c r="S897" s="36" t="str">
        <f ca="1">IFERROR(__xludf.DUMMYFUNCTION("""COMPUTED_VALUE"""),"")</f>
        <v/>
      </c>
      <c r="T897" s="36" t="str">
        <f ca="1">IFERROR(__xludf.DUMMYFUNCTION("""COMPUTED_VALUE"""),"")</f>
        <v/>
      </c>
      <c r="U897" s="36" t="str">
        <f ca="1">IFERROR(__xludf.DUMMYFUNCTION("""COMPUTED_VALUE"""),"")</f>
        <v/>
      </c>
      <c r="V897" s="36" t="str">
        <f ca="1">IFERROR(__xludf.DUMMYFUNCTION("""COMPUTED_VALUE"""),"")</f>
        <v/>
      </c>
      <c r="W897" s="36" t="str">
        <f ca="1">IFERROR(__xludf.DUMMYFUNCTION("""COMPUTED_VALUE"""),"")</f>
        <v/>
      </c>
      <c r="X897" s="36"/>
      <c r="Y897" s="36"/>
      <c r="Z897" s="36"/>
    </row>
    <row r="898" spans="1:26" ht="12.75" hidden="1">
      <c r="A898" s="36" t="str">
        <f ca="1">IFERROR(__xludf.DUMMYFUNCTION("""COMPUTED_VALUE"""),"")</f>
        <v/>
      </c>
      <c r="B898" s="36" t="str">
        <f ca="1">IFERROR(__xludf.DUMMYFUNCTION("""COMPUTED_VALUE"""),"")</f>
        <v/>
      </c>
      <c r="C898" s="36" t="str">
        <f ca="1">IFERROR(__xludf.DUMMYFUNCTION("""COMPUTED_VALUE"""),"")</f>
        <v/>
      </c>
      <c r="D898" s="36" t="str">
        <f ca="1">IFERROR(__xludf.DUMMYFUNCTION("""COMPUTED_VALUE"""),"")</f>
        <v/>
      </c>
      <c r="E898" s="36" t="str">
        <f ca="1">IFERROR(__xludf.DUMMYFUNCTION("""COMPUTED_VALUE"""),"")</f>
        <v/>
      </c>
      <c r="F898" s="36" t="str">
        <f ca="1">IFERROR(__xludf.DUMMYFUNCTION("""COMPUTED_VALUE"""),"")</f>
        <v/>
      </c>
      <c r="G898" s="36" t="str">
        <f ca="1">IFERROR(__xludf.DUMMYFUNCTION("""COMPUTED_VALUE"""),"")</f>
        <v/>
      </c>
      <c r="H898" s="36" t="str">
        <f ca="1">IFERROR(__xludf.DUMMYFUNCTION("""COMPUTED_VALUE"""),"")</f>
        <v/>
      </c>
      <c r="I898" s="36" t="str">
        <f ca="1">IFERROR(__xludf.DUMMYFUNCTION("""COMPUTED_VALUE"""),"")</f>
        <v/>
      </c>
      <c r="J898" s="36" t="str">
        <f ca="1">IFERROR(__xludf.DUMMYFUNCTION("""COMPUTED_VALUE"""),"")</f>
        <v/>
      </c>
      <c r="K898" s="36" t="str">
        <f ca="1">IFERROR(__xludf.DUMMYFUNCTION("""COMPUTED_VALUE"""),"")</f>
        <v/>
      </c>
      <c r="L898" s="36" t="str">
        <f ca="1">IFERROR(__xludf.DUMMYFUNCTION("""COMPUTED_VALUE"""),"")</f>
        <v/>
      </c>
      <c r="M898" s="36" t="str">
        <f ca="1">IFERROR(__xludf.DUMMYFUNCTION("""COMPUTED_VALUE"""),"")</f>
        <v/>
      </c>
      <c r="N898" s="36" t="str">
        <f ca="1">IFERROR(__xludf.DUMMYFUNCTION("""COMPUTED_VALUE"""),"")</f>
        <v/>
      </c>
      <c r="O898" s="36" t="str">
        <f ca="1">IFERROR(__xludf.DUMMYFUNCTION("""COMPUTED_VALUE"""),"")</f>
        <v/>
      </c>
      <c r="P898" s="36" t="str">
        <f ca="1">IFERROR(__xludf.DUMMYFUNCTION("""COMPUTED_VALUE"""),"")</f>
        <v/>
      </c>
      <c r="Q898" s="36" t="str">
        <f ca="1">IFERROR(__xludf.DUMMYFUNCTION("""COMPUTED_VALUE"""),"")</f>
        <v/>
      </c>
      <c r="R898" s="36" t="str">
        <f ca="1">IFERROR(__xludf.DUMMYFUNCTION("""COMPUTED_VALUE"""),"")</f>
        <v/>
      </c>
      <c r="S898" s="36" t="str">
        <f ca="1">IFERROR(__xludf.DUMMYFUNCTION("""COMPUTED_VALUE"""),"")</f>
        <v/>
      </c>
      <c r="T898" s="36" t="str">
        <f ca="1">IFERROR(__xludf.DUMMYFUNCTION("""COMPUTED_VALUE"""),"")</f>
        <v/>
      </c>
      <c r="U898" s="36" t="str">
        <f ca="1">IFERROR(__xludf.DUMMYFUNCTION("""COMPUTED_VALUE"""),"")</f>
        <v/>
      </c>
      <c r="V898" s="36" t="str">
        <f ca="1">IFERROR(__xludf.DUMMYFUNCTION("""COMPUTED_VALUE"""),"")</f>
        <v/>
      </c>
      <c r="W898" s="36" t="str">
        <f ca="1">IFERROR(__xludf.DUMMYFUNCTION("""COMPUTED_VALUE"""),"")</f>
        <v/>
      </c>
      <c r="X898" s="36"/>
      <c r="Y898" s="36"/>
      <c r="Z898" s="36"/>
    </row>
    <row r="899" spans="1:26" ht="12.75" hidden="1">
      <c r="A899" s="36" t="str">
        <f ca="1">IFERROR(__xludf.DUMMYFUNCTION("""COMPUTED_VALUE"""),"")</f>
        <v/>
      </c>
      <c r="B899" s="36" t="str">
        <f ca="1">IFERROR(__xludf.DUMMYFUNCTION("""COMPUTED_VALUE"""),"")</f>
        <v/>
      </c>
      <c r="C899" s="36" t="str">
        <f ca="1">IFERROR(__xludf.DUMMYFUNCTION("""COMPUTED_VALUE"""),"")</f>
        <v/>
      </c>
      <c r="D899" s="36" t="str">
        <f ca="1">IFERROR(__xludf.DUMMYFUNCTION("""COMPUTED_VALUE"""),"")</f>
        <v/>
      </c>
      <c r="E899" s="36" t="str">
        <f ca="1">IFERROR(__xludf.DUMMYFUNCTION("""COMPUTED_VALUE"""),"")</f>
        <v/>
      </c>
      <c r="F899" s="36" t="str">
        <f ca="1">IFERROR(__xludf.DUMMYFUNCTION("""COMPUTED_VALUE"""),"")</f>
        <v/>
      </c>
      <c r="G899" s="36" t="str">
        <f ca="1">IFERROR(__xludf.DUMMYFUNCTION("""COMPUTED_VALUE"""),"")</f>
        <v/>
      </c>
      <c r="H899" s="36" t="str">
        <f ca="1">IFERROR(__xludf.DUMMYFUNCTION("""COMPUTED_VALUE"""),"")</f>
        <v/>
      </c>
      <c r="I899" s="36" t="str">
        <f ca="1">IFERROR(__xludf.DUMMYFUNCTION("""COMPUTED_VALUE"""),"")</f>
        <v/>
      </c>
      <c r="J899" s="36" t="str">
        <f ca="1">IFERROR(__xludf.DUMMYFUNCTION("""COMPUTED_VALUE"""),"")</f>
        <v/>
      </c>
      <c r="K899" s="36" t="str">
        <f ca="1">IFERROR(__xludf.DUMMYFUNCTION("""COMPUTED_VALUE"""),"")</f>
        <v/>
      </c>
      <c r="L899" s="36" t="str">
        <f ca="1">IFERROR(__xludf.DUMMYFUNCTION("""COMPUTED_VALUE"""),"")</f>
        <v/>
      </c>
      <c r="M899" s="36" t="str">
        <f ca="1">IFERROR(__xludf.DUMMYFUNCTION("""COMPUTED_VALUE"""),"")</f>
        <v/>
      </c>
      <c r="N899" s="36" t="str">
        <f ca="1">IFERROR(__xludf.DUMMYFUNCTION("""COMPUTED_VALUE"""),"")</f>
        <v/>
      </c>
      <c r="O899" s="36" t="str">
        <f ca="1">IFERROR(__xludf.DUMMYFUNCTION("""COMPUTED_VALUE"""),"")</f>
        <v/>
      </c>
      <c r="P899" s="36" t="str">
        <f ca="1">IFERROR(__xludf.DUMMYFUNCTION("""COMPUTED_VALUE"""),"")</f>
        <v/>
      </c>
      <c r="Q899" s="36" t="str">
        <f ca="1">IFERROR(__xludf.DUMMYFUNCTION("""COMPUTED_VALUE"""),"")</f>
        <v/>
      </c>
      <c r="R899" s="36" t="str">
        <f ca="1">IFERROR(__xludf.DUMMYFUNCTION("""COMPUTED_VALUE"""),"")</f>
        <v/>
      </c>
      <c r="S899" s="36" t="str">
        <f ca="1">IFERROR(__xludf.DUMMYFUNCTION("""COMPUTED_VALUE"""),"")</f>
        <v/>
      </c>
      <c r="T899" s="36" t="str">
        <f ca="1">IFERROR(__xludf.DUMMYFUNCTION("""COMPUTED_VALUE"""),"")</f>
        <v/>
      </c>
      <c r="U899" s="36" t="str">
        <f ca="1">IFERROR(__xludf.DUMMYFUNCTION("""COMPUTED_VALUE"""),"")</f>
        <v/>
      </c>
      <c r="V899" s="36" t="str">
        <f ca="1">IFERROR(__xludf.DUMMYFUNCTION("""COMPUTED_VALUE"""),"")</f>
        <v/>
      </c>
      <c r="W899" s="36" t="str">
        <f ca="1">IFERROR(__xludf.DUMMYFUNCTION("""COMPUTED_VALUE"""),"")</f>
        <v/>
      </c>
      <c r="X899" s="36"/>
      <c r="Y899" s="36"/>
      <c r="Z899" s="36"/>
    </row>
    <row r="900" spans="1:26" ht="12.75" hidden="1">
      <c r="A900" s="36" t="str">
        <f ca="1">IFERROR(__xludf.DUMMYFUNCTION("""COMPUTED_VALUE"""),"")</f>
        <v/>
      </c>
      <c r="B900" s="36" t="str">
        <f ca="1">IFERROR(__xludf.DUMMYFUNCTION("""COMPUTED_VALUE"""),"")</f>
        <v/>
      </c>
      <c r="C900" s="36" t="str">
        <f ca="1">IFERROR(__xludf.DUMMYFUNCTION("""COMPUTED_VALUE"""),"")</f>
        <v/>
      </c>
      <c r="D900" s="36" t="str">
        <f ca="1">IFERROR(__xludf.DUMMYFUNCTION("""COMPUTED_VALUE"""),"")</f>
        <v/>
      </c>
      <c r="E900" s="36" t="str">
        <f ca="1">IFERROR(__xludf.DUMMYFUNCTION("""COMPUTED_VALUE"""),"")</f>
        <v/>
      </c>
      <c r="F900" s="36" t="str">
        <f ca="1">IFERROR(__xludf.DUMMYFUNCTION("""COMPUTED_VALUE"""),"")</f>
        <v/>
      </c>
      <c r="G900" s="36" t="str">
        <f ca="1">IFERROR(__xludf.DUMMYFUNCTION("""COMPUTED_VALUE"""),"")</f>
        <v/>
      </c>
      <c r="H900" s="36" t="str">
        <f ca="1">IFERROR(__xludf.DUMMYFUNCTION("""COMPUTED_VALUE"""),"")</f>
        <v/>
      </c>
      <c r="I900" s="36" t="str">
        <f ca="1">IFERROR(__xludf.DUMMYFUNCTION("""COMPUTED_VALUE"""),"")</f>
        <v/>
      </c>
      <c r="J900" s="36" t="str">
        <f ca="1">IFERROR(__xludf.DUMMYFUNCTION("""COMPUTED_VALUE"""),"")</f>
        <v/>
      </c>
      <c r="K900" s="36" t="str">
        <f ca="1">IFERROR(__xludf.DUMMYFUNCTION("""COMPUTED_VALUE"""),"")</f>
        <v/>
      </c>
      <c r="L900" s="36" t="str">
        <f ca="1">IFERROR(__xludf.DUMMYFUNCTION("""COMPUTED_VALUE"""),"")</f>
        <v/>
      </c>
      <c r="M900" s="36" t="str">
        <f ca="1">IFERROR(__xludf.DUMMYFUNCTION("""COMPUTED_VALUE"""),"")</f>
        <v/>
      </c>
      <c r="N900" s="36" t="str">
        <f ca="1">IFERROR(__xludf.DUMMYFUNCTION("""COMPUTED_VALUE"""),"")</f>
        <v/>
      </c>
      <c r="O900" s="36" t="str">
        <f ca="1">IFERROR(__xludf.DUMMYFUNCTION("""COMPUTED_VALUE"""),"")</f>
        <v/>
      </c>
      <c r="P900" s="36" t="str">
        <f ca="1">IFERROR(__xludf.DUMMYFUNCTION("""COMPUTED_VALUE"""),"")</f>
        <v/>
      </c>
      <c r="Q900" s="36" t="str">
        <f ca="1">IFERROR(__xludf.DUMMYFUNCTION("""COMPUTED_VALUE"""),"")</f>
        <v/>
      </c>
      <c r="R900" s="36" t="str">
        <f ca="1">IFERROR(__xludf.DUMMYFUNCTION("""COMPUTED_VALUE"""),"")</f>
        <v/>
      </c>
      <c r="S900" s="36" t="str">
        <f ca="1">IFERROR(__xludf.DUMMYFUNCTION("""COMPUTED_VALUE"""),"")</f>
        <v/>
      </c>
      <c r="T900" s="36" t="str">
        <f ca="1">IFERROR(__xludf.DUMMYFUNCTION("""COMPUTED_VALUE"""),"")</f>
        <v/>
      </c>
      <c r="U900" s="36" t="str">
        <f ca="1">IFERROR(__xludf.DUMMYFUNCTION("""COMPUTED_VALUE"""),"")</f>
        <v/>
      </c>
      <c r="V900" s="36" t="str">
        <f ca="1">IFERROR(__xludf.DUMMYFUNCTION("""COMPUTED_VALUE"""),"")</f>
        <v/>
      </c>
      <c r="W900" s="36" t="str">
        <f ca="1">IFERROR(__xludf.DUMMYFUNCTION("""COMPUTED_VALUE"""),"")</f>
        <v/>
      </c>
      <c r="X900" s="36"/>
      <c r="Y900" s="36"/>
      <c r="Z900" s="36"/>
    </row>
    <row r="901" spans="1:26" ht="12.75" hidden="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2.75" hidden="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2.75" hidden="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2.75" hidden="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2.75" hidden="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2.75" hidden="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2.75" hidden="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2.75" hidden="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2.75" hidden="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2.75" hidden="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2.75" hidden="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2.75" hidden="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2.75" hidden="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2.75" hidden="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2.75" hidden="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2.75" hidden="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2.75" hidden="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2.75" hidden="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2.75" hidden="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2.75" hidden="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2.75" hidden="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2.75" hidden="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2.75" hidden="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2.75" hidden="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2.75" hidden="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2.75" hidden="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2.75" hidden="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2.75" hidden="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2.75" hidden="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2.75" hidden="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2.75" hidden="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2.75" hidden="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2.75" hidden="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2.75" hidden="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2.75" hidden="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2.75" hidden="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2.75" hidden="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2.75" hidden="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2.75" hidden="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2.75" hidden="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2.75" hidden="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2.75" hidden="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2.75" hidden="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2.75" hidden="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2.75" hidden="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2.75" hidden="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2.75" hidden="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2.75" hidden="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2.75" hidden="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2.75" hidden="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2.75" hidden="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2.75" hidden="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2.75" hidden="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2.75" hidden="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2.75" hidden="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2.75" hidden="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2.75" hidden="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2.75" hidden="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2.75" hidden="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2.75" hidden="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2.75" hidden="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2.75" hidden="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2.75" hidden="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2.75" hidden="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2.75" hidden="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2.75" hidden="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2.75" hidden="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2.75" hidden="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2.75" hidden="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2.75" hidden="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2.75" hidden="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2.75" hidden="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2.75" hidden="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2.75" hidden="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2.75" hidden="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2.75" hidden="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2.75" hidden="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2.75" hidden="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2.75" hidden="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2.75" hidden="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2.75" hidden="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2.75" hidden="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2.75" hidden="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2.75" hidden="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2.75" hidden="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2.75" hidden="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2.75" hidden="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2.75" hidden="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2.75" hidden="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2.75" hidden="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2.75" hidden="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2.75" hidden="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2.75" hidden="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2.75" hidden="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2.75" hidden="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2.75" hidden="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2.75" hidden="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2.75" hidden="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2.75" hidden="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2.75" hidden="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autoFilter ref="A1:Z1000" xr:uid="{00000000-0009-0000-0000-000008000000}">
    <filterColumn colId="0">
      <filters>
        <filter val="Asturias"/>
        <filter val="Asturias, Principado De"/>
        <filter val="Castilla y León"/>
      </filters>
    </filterColumn>
  </autoFilter>
  <hyperlinks>
    <hyperlink ref="K10" r:id="rId1" display="https://maps.google.es/maps?oe=utf-8&amp;client=firefox-a&amp;q=villanova&amp;ie=UTF-8&amp;hq=&amp;hnear=0x12a7d800ff9b261b:0x4018c6508cea590,Villanova&amp;gl=es&amp;ei=Bo3HT9ecDdKLhQfVxcCTCw&amp;oi=geocode_result&amp;ved=0CBoQ8gEwAQ" xr:uid="{00000000-0004-0000-0800-000000000000}"/>
    <hyperlink ref="K18" r:id="rId2" display="https://maps.google.com/maps?q=Proaza&amp;hl=en&amp;ll=43.240951,-6.01759&amp;spn=0.080533,0.181103&amp;hnear=Proaza,+Asturias,+Spain&amp;t=m&amp;z=13" xr:uid="{00000000-0004-0000-0800-000001000000}"/>
    <hyperlink ref="K37" r:id="rId3" display="http://goo.gl/maps/qMKa" xr:uid="{00000000-0004-0000-0800-000002000000}"/>
    <hyperlink ref="K43" r:id="rId4" display="https://maps.google.es/maps?q=Los+Llazos,+La+Pern%C3%ADa&amp;hl=es&amp;ie=UTF8&amp;ll=42.979841,-4.487325&amp;spn=0.006899,0.016512&amp;sll=40.396764,-3.713379&amp;sspn=14.695835,33.815918&amp;oq=los+llazos&amp;hnear=Los+Llazos,+La+Pern%C3%ADa,+Palencia,+Castilla+y+Le%C3%B3n&amp;t=h&amp;z=17" xr:uid="{00000000-0004-0000-0800-000003000000}"/>
    <hyperlink ref="K52" r:id="rId5" display="https://maps.google.es/maps/ms?msid=203418343783550310345.0004c1466ed55533d522c&amp;msa=0&amp;ll=41.834462,-2.743492&amp;spn=0.02785,0.066047" xr:uid="{00000000-0004-0000-0800-000004000000}"/>
    <hyperlink ref="K63" r:id="rId6" display="https://maps.google.es/maps?hl=es" xr:uid="{00000000-0004-0000-0800-000005000000}"/>
    <hyperlink ref="K84" r:id="rId7" display="http://goo.gl/maps/I4zW" xr:uid="{00000000-0004-0000-0800-000006000000}"/>
    <hyperlink ref="K108" r:id="rId8" display="https://maps.google.es/maps?q=pradera+de+los+orcos+casavieja&amp;ie=UTF-8&amp;hl=es" xr:uid="{00000000-0004-0000-0800-000007000000}"/>
    <hyperlink ref="K109" r:id="rId9" display="http://goo.gl/maps/mxab" xr:uid="{00000000-0004-0000-0800-000008000000}"/>
    <hyperlink ref="K118" r:id="rId10" display="https://maps.google.es/maps?hl=es&amp;authuser=0" xr:uid="{00000000-0004-0000-0800-000009000000}"/>
    <hyperlink ref="N139" r:id="rId11" display="http://ayuntamientocheca42gmail.com/" xr:uid="{00000000-0004-0000-0800-00000A000000}"/>
    <hyperlink ref="K144" r:id="rId12" display="https://www.google.com/maps/place/Campamento+Pe%C3%B1a+Negra+Piornal+Valle+del+Jerte/@40.1198892,-5.8320074,274m/data=!3m1!1e3!4m13!1m7!3m6!1s0xd3e36f986235c13:0xed87a1ddaa04f7cb!2s10615+Piornal,+C%C3%A1ceres!3b1!8m2!3d40.1164877!4d-5.8471434!3m4!1s0xd3e37317e7923b9:0x56703321a10940d0!8m2!3d40.1199673!4d-5.8311908" xr:uid="{00000000-0004-0000-0800-00000B000000}"/>
    <hyperlink ref="K146" r:id="rId13" display="https://maps.google.es/maps?q=Fontecha,+Lantar%C3%B3n&amp;hl=es&amp;ie=UTF8&amp;ll=42.738975,-3.038508&amp;spn=0.002372,0.004823&amp;sll=42.909999,-2.698387&amp;sspn=1.211015,2.469177&amp;oq=Fontecha&amp;t=h&amp;hnear=Fontecha,+Lantar%C3%B3n,+%C3%81lava,+Pa%C3%ADs+Vasco&amp;z=18" xr:uid="{00000000-0004-0000-0800-00000C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TODOS</vt:lpstr>
      <vt:lpstr>NVScriptsProperties</vt:lpstr>
      <vt:lpstr>Listado Zonas Campamento</vt:lpstr>
      <vt:lpstr>Lista con link</vt:lpstr>
      <vt:lpstr>Provincias</vt:lpstr>
      <vt:lpstr>CCAA</vt:lpstr>
      <vt:lpstr>Andalucía</vt:lpstr>
      <vt:lpstr>Aragón OK</vt:lpstr>
      <vt:lpstr>Asturias OK</vt:lpstr>
      <vt:lpstr>ARAGÓN </vt:lpstr>
      <vt:lpstr>ASTURIAS</vt:lpstr>
      <vt:lpstr>CANTABRIA</vt:lpstr>
      <vt:lpstr>CASTILLA Y LEÓN</vt:lpstr>
      <vt:lpstr>CASTILLA LA MANCHA </vt:lpstr>
      <vt:lpstr>CATALUÑA</vt:lpstr>
      <vt:lpstr>EXTREMADURA</vt:lpstr>
      <vt:lpstr>EUSKADI</vt:lpstr>
      <vt:lpstr>GALICIA</vt:lpstr>
      <vt:lpstr>LA RIOJA</vt:lpstr>
      <vt:lpstr>MADRID </vt:lpstr>
      <vt:lpstr>VALENCIA</vt:lpstr>
      <vt:lpstr>EXTRANJERO</vt:lpstr>
      <vt:lpstr>AutoCrat Demo Merge Sheet</vt:lpstr>
      <vt:lpstr>DO NOT DELETE - AutoCrat Job 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2020-02-09T16:52:22Z</dcterms:created>
  <dcterms:modified xsi:type="dcterms:W3CDTF">2020-02-09T16:52:26Z</dcterms:modified>
</cp:coreProperties>
</file>